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E1B976A-BD01-C544-BF53-94E7082508DA}" xr6:coauthVersionLast="47" xr6:coauthVersionMax="47" xr10:uidLastSave="{00000000-0000-0000-0000-000000000000}"/>
  <bookViews>
    <workbookView xWindow="-38420" yWindow="520" windowWidth="38400" windowHeight="19640" firstSheet="3" activeTab="11"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Buy"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6</definedName>
    <definedName name="SelRowNum">6</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57" i="27"/>
  <c r="C56"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L114" i="72"/>
  <c r="AI114" i="72"/>
  <c r="AL112" i="72"/>
  <c r="AL111" i="72"/>
  <c r="AL110" i="72"/>
  <c r="AL109" i="72"/>
  <c r="AL108" i="72"/>
  <c r="AL105" i="72"/>
  <c r="AL104" i="72"/>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66" i="15" a="1"/>
  <c r="F666" i="15" s="1"/>
  <c r="G666" i="15" s="1"/>
  <c r="H666" i="15" a="1"/>
  <c r="H666" i="15" s="1"/>
  <c r="I666" i="15" a="1"/>
  <c r="I666"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51" i="27"/>
  <c r="E51" i="27"/>
  <c r="F51"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Y113" i="72" l="1"/>
  <c r="AY112" i="72"/>
  <c r="AY111" i="72"/>
  <c r="BI102" i="72" a="1"/>
  <c r="BI102" i="72" s="1"/>
  <c r="BP97" i="72"/>
  <c r="E1" i="72"/>
  <c r="D1" i="72"/>
  <c r="CT109" i="70"/>
  <c r="AY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6" i="27" a="1"/>
  <c r="D56"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66" i="15" a="1"/>
  <c r="K666" i="15" s="1"/>
  <c r="L666" i="15" a="1"/>
  <c r="L666" i="15" s="1"/>
  <c r="M666" i="15" a="1"/>
  <c r="M666" i="15" s="1"/>
  <c r="N666" i="15" a="1"/>
  <c r="N666"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AL115" i="72" s="1"/>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L106"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1" i="1"/>
  <c r="A2" i="1" s="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J101" i="70" s="1"/>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AC14" i="27" s="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N659" i="15" l="1" a="1"/>
  <c r="N659" i="15" s="1"/>
  <c r="K659" i="15" a="1"/>
  <c r="K659" i="15" s="1"/>
  <c r="L659" i="15" a="1"/>
  <c r="L659" i="15" s="1"/>
  <c r="F667" i="15" l="1" a="1"/>
  <c r="F667" i="15" s="1"/>
  <c r="K667" i="15" a="1"/>
  <c r="K667" i="15" s="1"/>
  <c r="L667" i="15" a="1"/>
  <c r="L667" i="15" s="1"/>
  <c r="M667" i="15" a="1"/>
  <c r="M667" i="15" s="1"/>
  <c r="N667" i="15" a="1"/>
  <c r="N667" i="15" s="1"/>
  <c r="H659" i="15" a="1"/>
  <c r="H659" i="15" s="1"/>
  <c r="F659" i="15" a="1"/>
  <c r="F659" i="15" s="1"/>
  <c r="H656" i="15" a="1"/>
  <c r="H656" i="15" s="1"/>
  <c r="M656" i="15" a="1"/>
  <c r="M656" i="15" s="1"/>
  <c r="N656" i="15" a="1"/>
  <c r="N656" i="15" s="1"/>
  <c r="L656" i="15" a="1"/>
  <c r="L656" i="15" s="1"/>
  <c r="K656" i="15" a="1"/>
  <c r="K656" i="15" s="1"/>
  <c r="I656" i="15" a="1"/>
  <c r="I656" i="15" s="1"/>
  <c r="G667" i="15" l="1"/>
  <c r="I667" i="15" a="1"/>
  <c r="I667" i="15" s="1"/>
  <c r="G659" i="15"/>
  <c r="I659" i="15" a="1"/>
  <c r="I659" i="15" s="1"/>
  <c r="K664" i="15" l="1" a="1"/>
  <c r="K664" i="15" s="1"/>
  <c r="N664" i="15" a="1"/>
  <c r="N664" i="15" s="1"/>
  <c r="L664" i="15" a="1"/>
  <c r="L664" i="15" s="1"/>
  <c r="M664" i="15" a="1"/>
  <c r="M664" i="15" s="1"/>
  <c r="F664" i="15" a="1"/>
  <c r="F664" i="15" s="1"/>
  <c r="H664" i="15" a="1"/>
  <c r="H664" i="15" s="1"/>
  <c r="F656" i="15" a="1"/>
  <c r="F656" i="15" s="1"/>
  <c r="G656" i="15" s="1"/>
  <c r="I664" i="15" l="1" a="1"/>
  <c r="I664" i="15" s="1"/>
  <c r="G664" i="15" l="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86" i="13" l="1"/>
  <c r="Z126" i="13"/>
  <c r="Z168" i="13"/>
  <c r="Z120" i="13"/>
  <c r="Z191" i="13"/>
  <c r="Z179" i="13"/>
  <c r="Z167" i="13"/>
  <c r="Z155" i="13"/>
  <c r="Z143" i="13"/>
  <c r="Z131" i="13"/>
  <c r="Z119" i="13"/>
  <c r="Z106" i="13"/>
  <c r="Z196" i="13"/>
  <c r="Z180" i="13"/>
  <c r="Z144" i="13"/>
  <c r="Z178" i="13"/>
  <c r="Z142" i="13"/>
  <c r="Z118" i="13"/>
  <c r="Z192" i="13"/>
  <c r="Z165" i="13"/>
  <c r="Z153" i="13"/>
  <c r="Z141" i="13"/>
  <c r="Z129" i="13"/>
  <c r="Z117" i="13"/>
  <c r="Z198" i="13"/>
  <c r="Z124" i="13"/>
  <c r="Z132" i="13"/>
  <c r="Z166" i="13"/>
  <c r="Z105" i="13"/>
  <c r="Z188" i="13"/>
  <c r="Z164" i="13"/>
  <c r="Z152" i="13"/>
  <c r="Z140" i="13"/>
  <c r="Z128" i="13"/>
  <c r="Z116" i="13"/>
  <c r="Z190" i="13"/>
  <c r="Z154" i="13"/>
  <c r="Z130" i="13"/>
  <c r="Z189" i="13"/>
  <c r="Z177" i="13"/>
  <c r="Z176" i="13"/>
  <c r="Z187" i="13"/>
  <c r="Z175" i="13"/>
  <c r="Z163" i="13"/>
  <c r="Z151" i="13"/>
  <c r="Z139" i="13"/>
  <c r="Z127" i="13"/>
  <c r="Z115" i="13"/>
  <c r="Z174" i="13"/>
  <c r="Z138" i="13"/>
  <c r="Z185" i="13"/>
  <c r="Z173" i="13"/>
  <c r="Z161" i="13"/>
  <c r="Z149" i="13"/>
  <c r="Z137" i="13"/>
  <c r="Z125" i="13"/>
  <c r="Z113" i="13"/>
  <c r="Z197" i="13"/>
  <c r="Z136" i="13"/>
  <c r="Z195" i="13"/>
  <c r="Z171" i="13"/>
  <c r="Z159" i="13"/>
  <c r="Z135" i="13"/>
  <c r="Z183" i="13"/>
  <c r="Z111" i="13"/>
  <c r="Z194" i="13"/>
  <c r="Z182" i="13"/>
  <c r="Z170" i="13"/>
  <c r="Z158" i="13"/>
  <c r="Z146" i="13"/>
  <c r="Z134" i="13"/>
  <c r="Z110" i="13"/>
  <c r="Z162" i="13"/>
  <c r="Z114" i="13"/>
  <c r="Z172" i="13"/>
  <c r="Z148" i="13"/>
  <c r="Z112" i="13"/>
  <c r="Z147" i="13"/>
  <c r="Z123" i="13"/>
  <c r="Z122" i="13"/>
  <c r="Z193" i="13"/>
  <c r="Z181" i="13"/>
  <c r="Z169" i="13"/>
  <c r="Z157" i="13"/>
  <c r="Z145" i="13"/>
  <c r="Z133" i="13"/>
  <c r="Z121" i="13"/>
  <c r="Z109" i="13"/>
  <c r="Z150" i="13"/>
  <c r="Z184" i="13"/>
  <c r="Z160" i="13"/>
  <c r="Z156" i="13"/>
  <c r="Z108" i="13"/>
  <c r="Z1192" i="13" l="1"/>
  <c r="Z1095" i="13"/>
  <c r="Z11" i="13"/>
  <c r="Z211" i="13"/>
  <c r="Z611" i="13"/>
  <c r="Z710" i="13"/>
  <c r="Z909" i="13"/>
  <c r="Z1008" i="13"/>
  <c r="Z1107" i="13"/>
  <c r="A11" i="13" l="1"/>
  <c r="H9" i="4"/>
  <c r="H94" i="4"/>
  <c r="A96" i="13"/>
  <c r="Z1206" i="13"/>
  <c r="Z1404" i="13"/>
  <c r="Z511" i="13"/>
  <c r="Z512" i="13"/>
  <c r="CL9" i="4" a="1"/>
  <c r="CD9" i="4" a="1"/>
  <c r="CG9" i="4" a="1"/>
  <c r="CQ9" i="4"/>
  <c r="CB9" i="4" a="1"/>
  <c r="AM9" i="4" a="1"/>
  <c r="BP9" i="4" a="1"/>
  <c r="CH9" i="4"/>
  <c r="CN9" i="4" a="1"/>
  <c r="AC9" i="4" a="1"/>
  <c r="CM9" i="4" a="1"/>
  <c r="AE9" i="4" a="1"/>
  <c r="AK9" i="4" a="1"/>
  <c r="CJ9" i="4" a="1"/>
  <c r="BN9" i="4" a="1"/>
  <c r="CC9" i="4" a="1"/>
  <c r="CF9" i="4" a="1"/>
  <c r="CK9" i="4" a="1"/>
  <c r="CI9" i="4" a="1"/>
  <c r="CE9" i="4" a="1"/>
  <c r="CT9" i="4"/>
  <c r="CC94" i="4" a="1"/>
  <c r="CL94" i="4" a="1"/>
  <c r="CK94" i="4" a="1"/>
  <c r="CG94" i="4" a="1"/>
  <c r="BN94" i="4" a="1"/>
  <c r="AM94" i="4" a="1"/>
  <c r="CN94" i="4" a="1"/>
  <c r="AC94" i="4" a="1"/>
  <c r="BP94" i="4" a="1"/>
  <c r="CH94" i="4"/>
  <c r="CM94" i="4" a="1"/>
  <c r="AE94" i="4" a="1"/>
  <c r="CI94" i="4" a="1"/>
  <c r="CD94" i="4" a="1"/>
  <c r="CF94" i="4" a="1"/>
  <c r="CB94" i="4" a="1"/>
  <c r="CT94" i="4"/>
  <c r="CJ94" i="4" a="1"/>
  <c r="AK94" i="4" a="1"/>
  <c r="CQ94" i="4"/>
  <c r="CE94" i="4" a="1"/>
  <c r="CO9" i="4" a="1"/>
  <c r="CP9" i="4" a="1"/>
  <c r="CR9" i="4" a="1"/>
  <c r="CS9" i="4" a="1"/>
  <c r="CR94" i="4" a="1"/>
  <c r="CS94" i="4" a="1"/>
  <c r="CO94" i="4" a="1"/>
  <c r="CP94" i="4" a="1"/>
  <c r="CP94" i="4" l="1"/>
  <c r="CO94" i="4"/>
  <c r="CS94" i="4"/>
  <c r="CR94" i="4"/>
  <c r="CS9" i="4"/>
  <c r="CR9" i="4"/>
  <c r="CP9" i="4"/>
  <c r="CO9" i="4"/>
  <c r="CE94" i="4"/>
  <c r="AK94" i="4"/>
  <c r="CJ94" i="4"/>
  <c r="CB94" i="4"/>
  <c r="CF94" i="4"/>
  <c r="CD94" i="4"/>
  <c r="CI94" i="4"/>
  <c r="AE94" i="4"/>
  <c r="CM94" i="4"/>
  <c r="BP94" i="4"/>
  <c r="AC94" i="4"/>
  <c r="CN94" i="4"/>
  <c r="AM94" i="4"/>
  <c r="BN94" i="4"/>
  <c r="CG94" i="4"/>
  <c r="CK94" i="4"/>
  <c r="CL94" i="4"/>
  <c r="CC94" i="4"/>
  <c r="CE9" i="4"/>
  <c r="CI9" i="4"/>
  <c r="CK9" i="4"/>
  <c r="CF9" i="4"/>
  <c r="CC9" i="4"/>
  <c r="BN9" i="4"/>
  <c r="CJ9" i="4"/>
  <c r="AK9" i="4"/>
  <c r="AE9" i="4"/>
  <c r="CM9" i="4"/>
  <c r="AC9" i="4"/>
  <c r="CN9" i="4"/>
  <c r="BP9" i="4"/>
  <c r="AM9" i="4"/>
  <c r="CB9" i="4"/>
  <c r="CG9" i="4"/>
  <c r="CD9" i="4"/>
  <c r="CL9" i="4"/>
  <c r="A596" i="13"/>
  <c r="AX696" i="13"/>
  <c r="AX96" i="13"/>
  <c r="AX496" i="13"/>
  <c r="A1093" i="13"/>
  <c r="A994" i="13"/>
  <c r="AX994" i="13" s="1"/>
  <c r="A1192" i="13"/>
  <c r="A795" i="13"/>
  <c r="AX795" i="13" s="1"/>
  <c r="A1892" i="13"/>
  <c r="A196" i="13"/>
  <c r="A696" i="13"/>
  <c r="AX596" i="13"/>
  <c r="AX1093" i="13"/>
  <c r="A496" i="13"/>
  <c r="A895" i="13"/>
  <c r="AX895" i="13" s="1"/>
  <c r="D94" i="1"/>
  <c r="D94" i="4"/>
  <c r="BV94" i="4" a="1"/>
  <c r="BV94" i="4" s="1"/>
  <c r="BC94" i="4" a="1"/>
  <c r="BC94" i="4" s="1"/>
  <c r="BU94" i="4" a="1"/>
  <c r="BU94" i="4" s="1"/>
  <c r="C94" i="4"/>
  <c r="A96" i="9"/>
  <c r="A94" i="20"/>
  <c r="C9" i="4"/>
  <c r="BU9" i="4" a="1"/>
  <c r="BU9" i="4" s="1"/>
  <c r="BC9" i="4" a="1"/>
  <c r="BC9" i="4" s="1"/>
  <c r="BV9" i="4" a="1"/>
  <c r="BV9" i="4" s="1"/>
  <c r="A11" i="9"/>
  <c r="D9" i="1"/>
  <c r="D9" i="4"/>
  <c r="A9" i="20"/>
  <c r="AX611" i="13"/>
  <c r="A810" i="13"/>
  <c r="AX810" i="13" s="1"/>
  <c r="A1008" i="13"/>
  <c r="A611" i="13"/>
  <c r="A710" i="13"/>
  <c r="AX710" i="13" s="1"/>
  <c r="A909" i="13"/>
  <c r="AX909" i="13" s="1"/>
  <c r="AX511" i="13"/>
  <c r="A1107" i="13"/>
  <c r="A1807" i="13"/>
  <c r="AX411" i="13"/>
  <c r="AX1008" i="13"/>
  <c r="A411" i="13"/>
  <c r="A111" i="13"/>
  <c r="A511" i="13"/>
  <c r="AX11" i="13"/>
  <c r="Z12" i="13"/>
  <c r="Z212" i="13"/>
  <c r="Z513" i="13"/>
  <c r="Z612" i="13"/>
  <c r="Z711" i="13"/>
  <c r="Z810" i="13"/>
  <c r="Z910" i="13"/>
  <c r="Z1009" i="13"/>
  <c r="Z1108" i="13"/>
  <c r="AA9" i="4" a="1"/>
  <c r="AB9" i="4" a="1"/>
  <c r="AG94" i="4" a="1"/>
  <c r="AF94" i="4" a="1"/>
  <c r="AO9" i="4" a="1"/>
  <c r="AN9" i="4" a="1"/>
  <c r="AB94" i="4" a="1"/>
  <c r="AA94" i="4" a="1"/>
  <c r="B9" i="1" a="1"/>
  <c r="AO94" i="4" a="1"/>
  <c r="AN94" i="4" a="1"/>
  <c r="AI94" i="4" a="1"/>
  <c r="AJ94" i="4" a="1"/>
  <c r="AJ9" i="4" a="1"/>
  <c r="AI9" i="4" a="1"/>
  <c r="AF9" i="4" a="1"/>
  <c r="AG9" i="4" a="1"/>
  <c r="B94" i="1" a="1"/>
  <c r="BW94" i="4" l="1"/>
  <c r="B94" i="1"/>
  <c r="AG9" i="4"/>
  <c r="AF9" i="4"/>
  <c r="AI9" i="4"/>
  <c r="AJ9" i="4"/>
  <c r="AJ94" i="4"/>
  <c r="AI94" i="4"/>
  <c r="AN94" i="4"/>
  <c r="AO94" i="4"/>
  <c r="B9" i="1"/>
  <c r="AA94" i="4"/>
  <c r="AB94" i="4"/>
  <c r="AN9" i="4"/>
  <c r="AO9" i="4"/>
  <c r="AF94" i="4"/>
  <c r="AG94" i="4"/>
  <c r="AB9" i="4"/>
  <c r="AA9" i="4"/>
  <c r="Z1207" i="13"/>
  <c r="Z1405" i="13"/>
  <c r="H10" i="4"/>
  <c r="A12" i="13"/>
  <c r="H3" i="4"/>
  <c r="A5" i="13"/>
  <c r="BO94" i="4"/>
  <c r="G94" i="4"/>
  <c r="G9" i="4"/>
  <c r="BO9" i="4"/>
  <c r="DC11" i="4"/>
  <c r="DC9" i="4"/>
  <c r="AV211" i="13"/>
  <c r="AX111" i="13"/>
  <c r="A211" i="13"/>
  <c r="AX196" i="13"/>
  <c r="A296" i="13"/>
  <c r="BY9" i="4" a="1"/>
  <c r="BY9" i="4" s="1"/>
  <c r="BZ9" i="4" a="1"/>
  <c r="BZ9" i="4" s="1"/>
  <c r="BX9" i="4" s="1" a="1"/>
  <c r="BX9" i="4" s="1"/>
  <c r="A1291" i="13"/>
  <c r="AX1192" i="13"/>
  <c r="BW9" i="4"/>
  <c r="BY94" i="4" a="1"/>
  <c r="BY94" i="4" s="1"/>
  <c r="BZ94" i="4" a="1"/>
  <c r="BZ94" i="4" s="1"/>
  <c r="BX94" i="4" s="1" a="1"/>
  <c r="BX94" i="4" s="1"/>
  <c r="AX1107" i="13"/>
  <c r="A1206" i="13"/>
  <c r="BP10" i="4" a="1"/>
  <c r="CM10" i="4" a="1"/>
  <c r="CI10" i="4" a="1"/>
  <c r="CE10" i="4" a="1"/>
  <c r="CN10" i="4" a="1"/>
  <c r="CD10" i="4" a="1"/>
  <c r="CK10" i="4" a="1"/>
  <c r="CT10" i="4"/>
  <c r="CH10" i="4"/>
  <c r="CG10" i="4" a="1"/>
  <c r="CF10" i="4" a="1"/>
  <c r="AC10" i="4" a="1"/>
  <c r="AK10" i="4" a="1"/>
  <c r="CL10" i="4" a="1"/>
  <c r="BN10" i="4" a="1"/>
  <c r="CQ10" i="4"/>
  <c r="CJ10" i="4" a="1"/>
  <c r="CC10" i="4" a="1"/>
  <c r="AE10" i="4" a="1"/>
  <c r="CB10" i="4" a="1"/>
  <c r="AM10" i="4" a="1"/>
  <c r="CN3" i="4" a="1"/>
  <c r="CJ3" i="4" a="1"/>
  <c r="CH3" i="4"/>
  <c r="CE3" i="4" a="1"/>
  <c r="AK3" i="4" a="1"/>
  <c r="CT3" i="4"/>
  <c r="CB3" i="4" a="1"/>
  <c r="AM3" i="4" a="1"/>
  <c r="CL3" i="4" a="1"/>
  <c r="CK3" i="4" a="1"/>
  <c r="BP3" i="4" a="1"/>
  <c r="CF3" i="4" a="1"/>
  <c r="CM3" i="4" a="1"/>
  <c r="BN3" i="4" a="1"/>
  <c r="AC3" i="4" a="1"/>
  <c r="CD3" i="4" a="1"/>
  <c r="CQ3" i="4"/>
  <c r="AE3" i="4" a="1"/>
  <c r="CI3" i="4" a="1"/>
  <c r="CC3" i="4" a="1"/>
  <c r="CG3" i="4" a="1"/>
  <c r="CR10" i="4" a="1"/>
  <c r="CS10" i="4" a="1"/>
  <c r="CO10" i="4" a="1"/>
  <c r="CP10" i="4" a="1"/>
  <c r="CR3" i="4" a="1"/>
  <c r="CS3" i="4" a="1"/>
  <c r="CP3" i="4" a="1"/>
  <c r="CO3" i="4" a="1"/>
  <c r="CO3" i="4" l="1"/>
  <c r="CP3" i="4"/>
  <c r="CS3" i="4"/>
  <c r="CR3" i="4"/>
  <c r="CP10" i="4"/>
  <c r="CO10" i="4"/>
  <c r="CS10" i="4"/>
  <c r="CR10" i="4"/>
  <c r="CG3" i="4"/>
  <c r="CC3" i="4"/>
  <c r="CI3" i="4"/>
  <c r="AE3" i="4"/>
  <c r="CD3" i="4"/>
  <c r="AC3" i="4"/>
  <c r="BN3" i="4"/>
  <c r="CM3" i="4"/>
  <c r="CF3" i="4"/>
  <c r="BP3" i="4"/>
  <c r="CK3" i="4"/>
  <c r="CL3" i="4"/>
  <c r="AM3" i="4"/>
  <c r="CB3" i="4"/>
  <c r="AK3" i="4"/>
  <c r="CE3" i="4"/>
  <c r="CJ3" i="4"/>
  <c r="CN3" i="4"/>
  <c r="AM10" i="4"/>
  <c r="CB10" i="4"/>
  <c r="AE10" i="4"/>
  <c r="CC10" i="4"/>
  <c r="CJ10" i="4"/>
  <c r="BN10" i="4"/>
  <c r="CL10" i="4"/>
  <c r="AK10" i="4"/>
  <c r="AC10" i="4"/>
  <c r="CF10" i="4"/>
  <c r="CG10" i="4"/>
  <c r="CK10" i="4"/>
  <c r="CD10" i="4"/>
  <c r="CN10" i="4"/>
  <c r="CE10" i="4"/>
  <c r="CI10" i="4"/>
  <c r="CM10" i="4"/>
  <c r="BP10" i="4"/>
  <c r="X9" i="72"/>
  <c r="X9" i="69"/>
  <c r="AW9" i="4"/>
  <c r="AV11" i="13"/>
  <c r="AY9" i="4"/>
  <c r="Z1305" i="13"/>
  <c r="A396" i="13"/>
  <c r="AX396" i="13" s="1"/>
  <c r="AX296" i="13"/>
  <c r="K3" i="4"/>
  <c r="BC3" i="4" a="1"/>
  <c r="BC3" i="4" s="1"/>
  <c r="A5" i="9"/>
  <c r="D3" i="4"/>
  <c r="D3" i="1"/>
  <c r="BV3" i="4" a="1"/>
  <c r="BV3" i="4" s="1"/>
  <c r="BU3" i="4" a="1"/>
  <c r="BU3" i="4" s="1"/>
  <c r="A3" i="20"/>
  <c r="C3" i="4"/>
  <c r="G3" i="9"/>
  <c r="AX211" i="13"/>
  <c r="A311" i="13"/>
  <c r="AX311" i="13" s="1"/>
  <c r="AY94" i="4"/>
  <c r="AV96" i="13"/>
  <c r="AW94" i="4"/>
  <c r="Z1390" i="13"/>
  <c r="A1801" i="13"/>
  <c r="Z1801" i="13" s="1"/>
  <c r="B1801" i="13" s="1" a="1"/>
  <c r="B1801" i="13" s="1"/>
  <c r="A804" i="13"/>
  <c r="AX804" i="13" s="1"/>
  <c r="AX1002" i="13"/>
  <c r="A1101" i="13"/>
  <c r="A903" i="13"/>
  <c r="AX903" i="13" s="1"/>
  <c r="AX5" i="13"/>
  <c r="A105" i="13"/>
  <c r="A505" i="13"/>
  <c r="A605" i="13"/>
  <c r="AX405" i="13"/>
  <c r="A405" i="13"/>
  <c r="AX505" i="13"/>
  <c r="A1002" i="13"/>
  <c r="A704" i="13"/>
  <c r="AX605" i="13"/>
  <c r="A612" i="13"/>
  <c r="A112" i="13"/>
  <c r="A711" i="13"/>
  <c r="AX711" i="13" s="1"/>
  <c r="A512" i="13"/>
  <c r="A1009" i="13"/>
  <c r="AX12" i="13"/>
  <c r="A1108" i="13"/>
  <c r="A811" i="13"/>
  <c r="AX811" i="13" s="1"/>
  <c r="AX612" i="13"/>
  <c r="AX1009" i="13"/>
  <c r="AX512" i="13"/>
  <c r="A910" i="13"/>
  <c r="AX910" i="13" s="1"/>
  <c r="A1808" i="13"/>
  <c r="AX412" i="13"/>
  <c r="A412" i="13"/>
  <c r="A1305" i="13"/>
  <c r="AX1206" i="13"/>
  <c r="A1390" i="13"/>
  <c r="AX1291" i="13"/>
  <c r="D10" i="4"/>
  <c r="D10" i="1"/>
  <c r="BC10" i="4" a="1"/>
  <c r="BC10" i="4" s="1"/>
  <c r="BU10" i="4" a="1"/>
  <c r="BU10" i="4" s="1"/>
  <c r="A12" i="9"/>
  <c r="A10" i="20"/>
  <c r="BV10" i="4" a="1"/>
  <c r="BV10" i="4" s="1"/>
  <c r="C10" i="4"/>
  <c r="X94" i="69"/>
  <c r="X94" i="72"/>
  <c r="AB3" i="4" a="1"/>
  <c r="AA3" i="4" a="1"/>
  <c r="AO10" i="4" a="1"/>
  <c r="AN10" i="4" a="1"/>
  <c r="AG10" i="4" a="1"/>
  <c r="AF10" i="4" a="1"/>
  <c r="B3" i="1" a="1"/>
  <c r="AN3" i="4" a="1"/>
  <c r="AO3" i="4" a="1"/>
  <c r="AI10" i="4" a="1"/>
  <c r="AJ10" i="4" a="1"/>
  <c r="AG3" i="4" a="1"/>
  <c r="AF3" i="4" a="1"/>
  <c r="AJ3" i="4" a="1"/>
  <c r="AI3" i="4" a="1"/>
  <c r="AB10" i="4" a="1"/>
  <c r="AA10" i="4" a="1"/>
  <c r="B10" i="1" a="1"/>
  <c r="G10" i="4" l="1"/>
  <c r="AY10" i="4" s="1"/>
  <c r="BW10" i="4"/>
  <c r="B10" i="1"/>
  <c r="AA10" i="4"/>
  <c r="AB10" i="4"/>
  <c r="AI3" i="4"/>
  <c r="AJ3" i="4"/>
  <c r="AF3" i="4"/>
  <c r="AG3" i="4"/>
  <c r="AJ10" i="4"/>
  <c r="AI10" i="4"/>
  <c r="AO3" i="4"/>
  <c r="AN3" i="4"/>
  <c r="B3" i="1"/>
  <c r="AF10" i="4"/>
  <c r="AG10" i="4"/>
  <c r="AN10" i="4"/>
  <c r="AO10" i="4"/>
  <c r="AA3" i="4"/>
  <c r="AB3" i="4"/>
  <c r="A1200" i="13"/>
  <c r="AX1101" i="13"/>
  <c r="AX704" i="13"/>
  <c r="AX1108" i="13"/>
  <c r="A1207" i="13"/>
  <c r="A1404" i="13"/>
  <c r="AX1305" i="13"/>
  <c r="BU94" i="69"/>
  <c r="AA94" i="69"/>
  <c r="A1489" i="13"/>
  <c r="AX1390" i="13"/>
  <c r="A212" i="13"/>
  <c r="AX112" i="13"/>
  <c r="AX105" i="13"/>
  <c r="A205" i="13"/>
  <c r="BZ10" i="4" a="1"/>
  <c r="BZ10" i="4" s="1"/>
  <c r="BX10" i="4" s="1" a="1"/>
  <c r="BX10" i="4" s="1"/>
  <c r="BY10" i="4" a="1"/>
  <c r="BY10" i="4" s="1"/>
  <c r="AA94" i="72"/>
  <c r="BY94" i="72"/>
  <c r="BU9" i="69"/>
  <c r="AA9" i="69"/>
  <c r="AA9" i="72"/>
  <c r="BY9" i="72"/>
  <c r="BZ3" i="4" a="1"/>
  <c r="BZ3" i="4" s="1"/>
  <c r="BX3" i="4" s="1" a="1"/>
  <c r="BX3" i="4" s="1"/>
  <c r="BY3" i="4" a="1"/>
  <c r="BY3" i="4" s="1"/>
  <c r="BO10" i="4"/>
  <c r="BO3" i="4"/>
  <c r="G3" i="4"/>
  <c r="BW3"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V12" i="13" l="1"/>
  <c r="Z1306" i="13"/>
  <c r="AW10" i="4"/>
  <c r="AX1207" i="13"/>
  <c r="A1306" i="13"/>
  <c r="X3" i="69"/>
  <c r="X3" i="72"/>
  <c r="AX205" i="13"/>
  <c r="A305" i="13"/>
  <c r="AX305" i="13" s="1"/>
  <c r="Z1489" i="13"/>
  <c r="Z1291" i="13"/>
  <c r="A312" i="13"/>
  <c r="AX312" i="13" s="1"/>
  <c r="AX212" i="13"/>
  <c r="AX1200" i="13"/>
  <c r="A1299" i="13"/>
  <c r="Z1292" i="13"/>
  <c r="Z1490" i="13"/>
  <c r="DC96" i="4"/>
  <c r="AV296" i="13"/>
  <c r="Z1293" i="13"/>
  <c r="Z1491" i="13"/>
  <c r="A97" i="13"/>
  <c r="H95" i="4"/>
  <c r="A98" i="13"/>
  <c r="H96" i="4"/>
  <c r="AX1489" i="13"/>
  <c r="A1588" i="13"/>
  <c r="AY3" i="4"/>
  <c r="Z1299" i="13"/>
  <c r="AV5" i="13"/>
  <c r="AW3" i="4"/>
  <c r="W17" i="22"/>
  <c r="Y17" i="22" s="1"/>
  <c r="V17" i="22"/>
  <c r="AX1404" i="13"/>
  <c r="A1503" i="13"/>
  <c r="X10" i="69"/>
  <c r="X10" i="72"/>
  <c r="AC95" i="4" a="1"/>
  <c r="AE95" i="4" a="1"/>
  <c r="CJ95" i="4" a="1"/>
  <c r="CQ95" i="4"/>
  <c r="CN95" i="4" a="1"/>
  <c r="CB95" i="4" a="1"/>
  <c r="CF95" i="4" a="1"/>
  <c r="CG95" i="4" a="1"/>
  <c r="CD95" i="4" a="1"/>
  <c r="CK95" i="4" a="1"/>
  <c r="BP95" i="4" a="1"/>
  <c r="CC95" i="4" a="1"/>
  <c r="CT95" i="4"/>
  <c r="CL95" i="4" a="1"/>
  <c r="CH95" i="4"/>
  <c r="CE95" i="4" a="1"/>
  <c r="AM95" i="4" a="1"/>
  <c r="BN95" i="4" a="1"/>
  <c r="AK95" i="4" a="1"/>
  <c r="CI95" i="4" a="1"/>
  <c r="CM95" i="4" a="1"/>
  <c r="CN96" i="4" a="1"/>
  <c r="CE96" i="4" a="1"/>
  <c r="AM96" i="4" a="1"/>
  <c r="BN96" i="4" a="1"/>
  <c r="CB96" i="4" a="1"/>
  <c r="CT96" i="4"/>
  <c r="CL96" i="4" a="1"/>
  <c r="CK96" i="4" a="1"/>
  <c r="AC96" i="4" a="1"/>
  <c r="CQ96" i="4"/>
  <c r="AK96" i="4" a="1"/>
  <c r="CH96" i="4"/>
  <c r="CM96" i="4" a="1"/>
  <c r="BP96" i="4" a="1"/>
  <c r="AE96" i="4" a="1"/>
  <c r="CC96" i="4" a="1"/>
  <c r="CD96" i="4" a="1"/>
  <c r="CI96" i="4" a="1"/>
  <c r="CG96" i="4" a="1"/>
  <c r="CJ96" i="4" a="1"/>
  <c r="CF96" i="4" a="1"/>
  <c r="CO95" i="4" a="1"/>
  <c r="CP95" i="4" a="1"/>
  <c r="CS95" i="4" a="1"/>
  <c r="CR95" i="4" a="1"/>
  <c r="CS96" i="4" a="1"/>
  <c r="CR96" i="4" a="1"/>
  <c r="CP96" i="4" a="1"/>
  <c r="CO96" i="4" a="1"/>
  <c r="CO96" i="4" l="1"/>
  <c r="CP96" i="4"/>
  <c r="CR96" i="4"/>
  <c r="CS96" i="4"/>
  <c r="CR95" i="4"/>
  <c r="CS95" i="4"/>
  <c r="CP95" i="4"/>
  <c r="CO95" i="4"/>
  <c r="CF96" i="4"/>
  <c r="CJ96" i="4"/>
  <c r="CG96" i="4"/>
  <c r="CI96" i="4"/>
  <c r="CD96" i="4"/>
  <c r="CC96" i="4"/>
  <c r="AE96" i="4"/>
  <c r="BP96" i="4"/>
  <c r="CM96" i="4"/>
  <c r="AK96" i="4"/>
  <c r="AC96" i="4"/>
  <c r="CK96" i="4"/>
  <c r="CL96" i="4"/>
  <c r="CB96" i="4"/>
  <c r="BN96" i="4"/>
  <c r="AM96" i="4"/>
  <c r="CE96" i="4"/>
  <c r="CN96" i="4"/>
  <c r="CM95" i="4"/>
  <c r="CI95" i="4"/>
  <c r="AK95" i="4"/>
  <c r="BN95" i="4"/>
  <c r="AM95" i="4"/>
  <c r="CE95" i="4"/>
  <c r="CL95" i="4"/>
  <c r="CC95" i="4"/>
  <c r="BP95" i="4"/>
  <c r="CK95" i="4"/>
  <c r="CD95" i="4"/>
  <c r="CG95" i="4"/>
  <c r="CF95" i="4"/>
  <c r="CB95" i="4"/>
  <c r="CN95" i="4"/>
  <c r="CJ95" i="4"/>
  <c r="AE95" i="4"/>
  <c r="AC95" i="4"/>
  <c r="AX1503" i="13"/>
  <c r="A1602" i="13"/>
  <c r="AX1602" i="13" s="1"/>
  <c r="D96" i="4"/>
  <c r="A98" i="9"/>
  <c r="C96" i="4"/>
  <c r="BU96" i="4" a="1"/>
  <c r="BU96" i="4" s="1"/>
  <c r="D96" i="1"/>
  <c r="BC96" i="4" a="1"/>
  <c r="BC96" i="4" s="1"/>
  <c r="BV96" i="4" a="1"/>
  <c r="BV96" i="4" s="1"/>
  <c r="AX1299" i="13"/>
  <c r="A1398" i="13"/>
  <c r="BV95" i="4" a="1"/>
  <c r="BV95" i="4" s="1"/>
  <c r="A95" i="20"/>
  <c r="C95" i="4"/>
  <c r="BC95" i="4" a="1"/>
  <c r="BC95" i="4" s="1"/>
  <c r="BU95" i="4" a="1"/>
  <c r="BU95" i="4" s="1"/>
  <c r="D95" i="1"/>
  <c r="D95" i="4"/>
  <c r="A97" i="9"/>
  <c r="AX1094" i="13"/>
  <c r="A796" i="13"/>
  <c r="AX796" i="13" s="1"/>
  <c r="A197" i="13"/>
  <c r="A597" i="13"/>
  <c r="A1094" i="13"/>
  <c r="A896" i="13"/>
  <c r="AX896" i="13" s="1"/>
  <c r="A995" i="13"/>
  <c r="AX995" i="13" s="1"/>
  <c r="A1893" i="13"/>
  <c r="AX597" i="13"/>
  <c r="A497" i="13"/>
  <c r="AX697" i="13"/>
  <c r="AX97" i="13"/>
  <c r="A1193" i="13"/>
  <c r="A697" i="13"/>
  <c r="AX497" i="13"/>
  <c r="A698" i="13"/>
  <c r="A797" i="13"/>
  <c r="AX797" i="13" s="1"/>
  <c r="AX698" i="13"/>
  <c r="A598" i="13"/>
  <c r="A1894" i="13"/>
  <c r="A1194" i="13"/>
  <c r="A897" i="13"/>
  <c r="AX897" i="13" s="1"/>
  <c r="A198" i="13"/>
  <c r="A996" i="13"/>
  <c r="AX996" i="13" s="1"/>
  <c r="AX98" i="13"/>
  <c r="AX1095" i="13"/>
  <c r="AX598" i="13"/>
  <c r="A498" i="13"/>
  <c r="AX498" i="13" s="1"/>
  <c r="A1095" i="13"/>
  <c r="AA3" i="72"/>
  <c r="Y3" i="72"/>
  <c r="AW3" i="72"/>
  <c r="BF3" i="72"/>
  <c r="K3" i="72" a="1"/>
  <c r="K3" i="72" s="1"/>
  <c r="BY3" i="72"/>
  <c r="AC3" i="72"/>
  <c r="BG3" i="72"/>
  <c r="P3" i="72"/>
  <c r="Q3" i="72"/>
  <c r="AD3" i="72"/>
  <c r="N3" i="72" a="1"/>
  <c r="N3" i="72" s="1"/>
  <c r="AB3" i="72" a="1"/>
  <c r="AB3" i="72" s="1"/>
  <c r="BU10" i="69"/>
  <c r="AA10" i="69"/>
  <c r="BB3" i="69"/>
  <c r="N3" i="69" a="1"/>
  <c r="N3" i="69" s="1"/>
  <c r="AB3" i="69" a="1"/>
  <c r="AB3" i="69" s="1"/>
  <c r="AS3" i="69"/>
  <c r="Y3" i="69"/>
  <c r="K3" i="69" a="1"/>
  <c r="K3" i="69" s="1"/>
  <c r="AC3" i="69"/>
  <c r="AA3" i="69"/>
  <c r="P3" i="69"/>
  <c r="Q3" i="69"/>
  <c r="BC3" i="69"/>
  <c r="BU3" i="69"/>
  <c r="BY10" i="72"/>
  <c r="AA10" i="72"/>
  <c r="AX1306" i="13"/>
  <c r="A1405" i="13"/>
  <c r="A1687" i="13"/>
  <c r="AX1687" i="13" s="1"/>
  <c r="AX1588" i="13"/>
  <c r="AG96" i="4" a="1"/>
  <c r="AF96" i="4" a="1"/>
  <c r="B96" i="1" a="1"/>
  <c r="AI95" i="4" a="1"/>
  <c r="AJ95" i="4" a="1"/>
  <c r="AI96" i="4" a="1"/>
  <c r="AJ96" i="4" a="1"/>
  <c r="AA96" i="4" a="1"/>
  <c r="AB96" i="4" a="1"/>
  <c r="AO95" i="4" a="1"/>
  <c r="AN95" i="4" a="1"/>
  <c r="AG95" i="4" a="1"/>
  <c r="AF95" i="4" a="1"/>
  <c r="AB95" i="4" a="1"/>
  <c r="AA95" i="4" a="1"/>
  <c r="B95" i="1" a="1"/>
  <c r="AN96" i="4" a="1"/>
  <c r="AO96" i="4" a="1"/>
  <c r="AL3" i="72" l="1"/>
  <c r="BW96" i="4"/>
  <c r="AO96" i="4"/>
  <c r="AN96" i="4"/>
  <c r="B95" i="1"/>
  <c r="AA95" i="4"/>
  <c r="AB95" i="4"/>
  <c r="AF95" i="4"/>
  <c r="AG95" i="4"/>
  <c r="AN95" i="4"/>
  <c r="AO95" i="4"/>
  <c r="AB96" i="4"/>
  <c r="AA96" i="4"/>
  <c r="AJ96" i="4"/>
  <c r="AI96" i="4"/>
  <c r="AJ95" i="4"/>
  <c r="AI95" i="4"/>
  <c r="B96" i="1"/>
  <c r="AF96" i="4"/>
  <c r="AG96" i="4"/>
  <c r="BO96" i="4"/>
  <c r="G96" i="4"/>
  <c r="AX197" i="13"/>
  <c r="A297" i="13"/>
  <c r="AG3" i="72"/>
  <c r="BY95" i="4" a="1"/>
  <c r="BY95" i="4" s="1"/>
  <c r="BZ95" i="4" a="1"/>
  <c r="BZ95" i="4" s="1"/>
  <c r="BX95" i="4" s="1" a="1"/>
  <c r="BX95" i="4" s="1"/>
  <c r="BW95" i="4"/>
  <c r="BO95" i="4"/>
  <c r="G95" i="4"/>
  <c r="A1292" i="13"/>
  <c r="AX1193" i="13"/>
  <c r="AX198" i="13"/>
  <c r="A298" i="13"/>
  <c r="A1293" i="13"/>
  <c r="AX1194" i="13"/>
  <c r="Z1502" i="13"/>
  <c r="AX1398" i="13"/>
  <c r="A1497" i="13"/>
  <c r="BZ96" i="4" a="1"/>
  <c r="BZ96" i="4" s="1"/>
  <c r="BX96" i="4" s="1" a="1"/>
  <c r="BX96" i="4" s="1"/>
  <c r="BY96" i="4" a="1"/>
  <c r="BY96" i="4" s="1"/>
  <c r="AX1405" i="13"/>
  <c r="A1504" i="13"/>
  <c r="A1596" i="13" l="1"/>
  <c r="AX1596" i="13" s="1"/>
  <c r="AV1497" i="13"/>
  <c r="AX1497" i="13"/>
  <c r="AX298" i="13"/>
  <c r="A398" i="13"/>
  <c r="AX398" i="13" s="1"/>
  <c r="S8" i="4"/>
  <c r="Z1602" i="13"/>
  <c r="A1391" i="13"/>
  <c r="AX1292" i="13"/>
  <c r="A397" i="13"/>
  <c r="AX397" i="13" s="1"/>
  <c r="AX297" i="13"/>
  <c r="A1392" i="13"/>
  <c r="AX1293" i="13"/>
  <c r="Z1391" i="13"/>
  <c r="AW95" i="4"/>
  <c r="AY95" i="4"/>
  <c r="AV97" i="13"/>
  <c r="X95" i="72"/>
  <c r="X95" i="69"/>
  <c r="AX1504" i="13"/>
  <c r="A1603" i="13"/>
  <c r="AX1603" i="13" s="1"/>
  <c r="X96" i="69"/>
  <c r="X96" i="72"/>
  <c r="AW96" i="4"/>
  <c r="AY96" i="4"/>
  <c r="AV98" i="13"/>
  <c r="Z1392" i="13"/>
  <c r="AX1392" i="13" l="1"/>
  <c r="A1491" i="13"/>
  <c r="BU95" i="69"/>
  <c r="AA95" i="69"/>
  <c r="BY95" i="72"/>
  <c r="AA95" i="72"/>
  <c r="AX1391" i="13"/>
  <c r="A1490" i="13"/>
  <c r="BY96" i="72"/>
  <c r="AA96" i="72"/>
  <c r="BU96" i="69"/>
  <c r="AA96" i="69"/>
  <c r="AX1490" i="13" l="1"/>
  <c r="A1589" i="13"/>
  <c r="A1590" i="13"/>
  <c r="AX1491" i="13"/>
  <c r="A1689" i="13" l="1"/>
  <c r="AX1689" i="13" s="1"/>
  <c r="AX1590" i="13"/>
  <c r="A1688" i="13"/>
  <c r="AX1688" i="13" s="1"/>
  <c r="AX1589" i="13"/>
  <c r="Z3" i="72" l="1"/>
  <c r="Z3" i="69"/>
  <c r="A6" i="13" l="1"/>
  <c r="H4" i="4"/>
  <c r="Z747" i="13"/>
  <c r="Z505" i="13"/>
  <c r="CE4" i="4" a="1"/>
  <c r="AM4" i="4" a="1"/>
  <c r="CC4" i="4" a="1"/>
  <c r="CI4" i="4" a="1"/>
  <c r="CL4" i="4" a="1"/>
  <c r="CN4" i="4" a="1"/>
  <c r="AK4" i="4" a="1"/>
  <c r="CB4" i="4" a="1"/>
  <c r="CF4" i="4" a="1"/>
  <c r="CT4" i="4"/>
  <c r="CG4" i="4" a="1"/>
  <c r="AC4" i="4" a="1"/>
  <c r="CJ4" i="4" a="1"/>
  <c r="CD4" i="4" a="1"/>
  <c r="CK4" i="4" a="1"/>
  <c r="CH4" i="4"/>
  <c r="BP4" i="4" a="1"/>
  <c r="AE4" i="4" a="1"/>
  <c r="CM4" i="4" a="1"/>
  <c r="BN4" i="4" a="1"/>
  <c r="CQ4" i="4"/>
  <c r="CS4" i="4" a="1"/>
  <c r="CR4" i="4" a="1"/>
  <c r="CP4" i="4" a="1"/>
  <c r="CO4" i="4" a="1"/>
  <c r="CO4" i="4" l="1"/>
  <c r="CP4" i="4"/>
  <c r="CR4" i="4"/>
  <c r="CS4" i="4"/>
  <c r="BN4" i="4"/>
  <c r="CM4" i="4"/>
  <c r="AE4" i="4"/>
  <c r="BP4" i="4"/>
  <c r="CK4" i="4"/>
  <c r="CD4" i="4"/>
  <c r="CJ4" i="4"/>
  <c r="AC4" i="4"/>
  <c r="CG4" i="4"/>
  <c r="CF4" i="4"/>
  <c r="CB4" i="4"/>
  <c r="AK4" i="4"/>
  <c r="CN4" i="4"/>
  <c r="CL4" i="4"/>
  <c r="CI4" i="4"/>
  <c r="CC4" i="4"/>
  <c r="AM4" i="4"/>
  <c r="CE4" i="4"/>
  <c r="AV247" i="13"/>
  <c r="DC47" i="4"/>
  <c r="H58" i="4"/>
  <c r="A60" i="13"/>
  <c r="C4" i="4"/>
  <c r="A6" i="9"/>
  <c r="K4" i="4"/>
  <c r="BC4" i="4" a="1"/>
  <c r="BC4" i="4" s="1"/>
  <c r="BU4" i="4" a="1"/>
  <c r="BU4" i="4" s="1"/>
  <c r="D4" i="1"/>
  <c r="A4" i="20"/>
  <c r="BV4" i="4" a="1"/>
  <c r="BV4" i="4" s="1"/>
  <c r="D4" i="4"/>
  <c r="AX606" i="13"/>
  <c r="A705" i="13"/>
  <c r="A805" i="13"/>
  <c r="AX805" i="13" s="1"/>
  <c r="A1802" i="13"/>
  <c r="A904" i="13"/>
  <c r="AX904" i="13" s="1"/>
  <c r="A506" i="13"/>
  <c r="AX506" i="13"/>
  <c r="AX1003" i="13"/>
  <c r="A606" i="13"/>
  <c r="A1102" i="13"/>
  <c r="AX406" i="13"/>
  <c r="A406" i="13"/>
  <c r="AX6" i="13"/>
  <c r="A1003" i="13"/>
  <c r="A1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K58" i="4" a="1"/>
  <c r="AE58" i="4" a="1"/>
  <c r="CD58" i="4" a="1"/>
  <c r="CH58" i="4"/>
  <c r="AM58" i="4" a="1"/>
  <c r="BP58" i="4" a="1"/>
  <c r="CI58" i="4" a="1"/>
  <c r="BN58" i="4" a="1"/>
  <c r="CG58" i="4" a="1"/>
  <c r="CJ58" i="4" a="1"/>
  <c r="CM58" i="4" a="1"/>
  <c r="CL58" i="4" a="1"/>
  <c r="AK58" i="4" a="1"/>
  <c r="CF58" i="4" a="1"/>
  <c r="CQ58" i="4"/>
  <c r="CN58" i="4" a="1"/>
  <c r="CB58" i="4" a="1"/>
  <c r="CT58" i="4"/>
  <c r="AC58" i="4" a="1"/>
  <c r="CE58" i="4" a="1"/>
  <c r="CC58" i="4" a="1"/>
  <c r="AJ4" i="4" a="1"/>
  <c r="AI4" i="4" a="1"/>
  <c r="AG4" i="4" a="1"/>
  <c r="AF4" i="4" a="1"/>
  <c r="B4" i="1" a="1"/>
  <c r="AN4" i="4" a="1"/>
  <c r="AO4" i="4" a="1"/>
  <c r="AA4" i="4" a="1"/>
  <c r="AB4" i="4" a="1"/>
  <c r="CO58" i="4" a="1"/>
  <c r="CP58" i="4" a="1"/>
  <c r="CR58" i="4" a="1"/>
  <c r="CS58" i="4" a="1"/>
  <c r="BW4" i="4" l="1"/>
  <c r="Z1802" i="13"/>
  <c r="B1802" i="13" s="1" a="1"/>
  <c r="B1802" i="13" s="1"/>
  <c r="CS58" i="4"/>
  <c r="CR58" i="4"/>
  <c r="CP58" i="4"/>
  <c r="CO58" i="4"/>
  <c r="AB4" i="4"/>
  <c r="AA4" i="4"/>
  <c r="AO4" i="4"/>
  <c r="AN4" i="4"/>
  <c r="B4" i="1"/>
  <c r="AF4" i="4"/>
  <c r="AG4" i="4"/>
  <c r="AI4" i="4"/>
  <c r="AJ4" i="4"/>
  <c r="CC58" i="4"/>
  <c r="CE58" i="4"/>
  <c r="AC58" i="4"/>
  <c r="CB58" i="4"/>
  <c r="CN58" i="4"/>
  <c r="CF58" i="4"/>
  <c r="AK58" i="4"/>
  <c r="CL58" i="4"/>
  <c r="CM58" i="4"/>
  <c r="CJ58" i="4"/>
  <c r="CG58" i="4"/>
  <c r="BN58" i="4"/>
  <c r="CI58" i="4"/>
  <c r="BP58" i="4"/>
  <c r="AM58" i="4"/>
  <c r="CD58" i="4"/>
  <c r="AE58" i="4"/>
  <c r="CK58" i="4"/>
  <c r="T6" i="4"/>
  <c r="DC6" i="4"/>
  <c r="AV208" i="13"/>
  <c r="A15" i="13"/>
  <c r="H13" i="4"/>
  <c r="Z1414" i="13"/>
  <c r="Z1216" i="13"/>
  <c r="AV229" i="13"/>
  <c r="DC29" i="4"/>
  <c r="DC35" i="4"/>
  <c r="AV235" i="13"/>
  <c r="AV241" i="13"/>
  <c r="DC41" i="4"/>
  <c r="A45" i="13"/>
  <c r="H43" i="4"/>
  <c r="Z1438" i="13"/>
  <c r="Z1240" i="13"/>
  <c r="E51" i="13"/>
  <c r="E49" i="13"/>
  <c r="H50" i="4"/>
  <c r="A52" i="13"/>
  <c r="Z1445" i="13"/>
  <c r="Z1247" i="13"/>
  <c r="H56" i="4"/>
  <c r="A58" i="13"/>
  <c r="Z1451" i="13"/>
  <c r="Z1253" i="13"/>
  <c r="DC61" i="4"/>
  <c r="AV261" i="13"/>
  <c r="AV271" i="13"/>
  <c r="DC71" i="4"/>
  <c r="AV282" i="13"/>
  <c r="DC82" i="4"/>
  <c r="AV278" i="13"/>
  <c r="DC78" i="4"/>
  <c r="DC85" i="4"/>
  <c r="AV285" i="13"/>
  <c r="AV294" i="13"/>
  <c r="DC94" i="4"/>
  <c r="Z1244" i="13"/>
  <c r="Z1442" i="13"/>
  <c r="H47" i="4"/>
  <c r="A49" i="13"/>
  <c r="Z1201" i="13"/>
  <c r="Z1399" i="13"/>
  <c r="Z1408" i="13"/>
  <c r="Z1210" i="13"/>
  <c r="A21" i="13"/>
  <c r="H19" i="4"/>
  <c r="B105" i="13"/>
  <c r="A3" i="4"/>
  <c r="C3" i="1"/>
  <c r="V3" i="69"/>
  <c r="V3" i="72"/>
  <c r="B106" i="13"/>
  <c r="A4" i="4"/>
  <c r="AV209" i="13"/>
  <c r="DC7" i="4"/>
  <c r="T7" i="4"/>
  <c r="AV217" i="13"/>
  <c r="DC17" i="4"/>
  <c r="AV223" i="13"/>
  <c r="DC23" i="4"/>
  <c r="H26" i="4"/>
  <c r="A28" i="13"/>
  <c r="Z1223" i="13"/>
  <c r="Z1421" i="13"/>
  <c r="A34" i="13"/>
  <c r="H32" i="4"/>
  <c r="Z1229" i="13"/>
  <c r="Z1427" i="13"/>
  <c r="A40" i="13"/>
  <c r="H38" i="4"/>
  <c r="Z1433" i="13"/>
  <c r="Z1235" i="13"/>
  <c r="DC64" i="4"/>
  <c r="AV264" i="13"/>
  <c r="DC55" i="4"/>
  <c r="AV255" i="13"/>
  <c r="H64" i="4"/>
  <c r="A66" i="13"/>
  <c r="Z1261" i="13"/>
  <c r="Z1459" i="13"/>
  <c r="H73" i="4"/>
  <c r="A75" i="13"/>
  <c r="Z1468" i="13"/>
  <c r="Z1270" i="13"/>
  <c r="A77" i="13"/>
  <c r="H75" i="4"/>
  <c r="Z1272" i="13"/>
  <c r="Z1470" i="13"/>
  <c r="H79" i="4"/>
  <c r="A81" i="13"/>
  <c r="Z1474" i="13"/>
  <c r="Z1276" i="13"/>
  <c r="H90" i="4"/>
  <c r="A92" i="13"/>
  <c r="Z1287" i="13"/>
  <c r="Z1485" i="13"/>
  <c r="A1201" i="13"/>
  <c r="AX1102" i="13"/>
  <c r="AV230" i="13"/>
  <c r="DC30" i="4"/>
  <c r="DC36" i="4"/>
  <c r="AV236" i="13"/>
  <c r="DC42" i="4"/>
  <c r="AV242" i="13"/>
  <c r="A46" i="13"/>
  <c r="H44" i="4"/>
  <c r="Z1439" i="13"/>
  <c r="Z1241" i="13"/>
  <c r="E50" i="13"/>
  <c r="E52" i="13"/>
  <c r="H51" i="4"/>
  <c r="A53" i="13"/>
  <c r="Z1446" i="13"/>
  <c r="Z1248" i="13"/>
  <c r="A59" i="13"/>
  <c r="H57" i="4"/>
  <c r="Z1452" i="13"/>
  <c r="Z1254" i="13"/>
  <c r="AV265" i="13"/>
  <c r="DC65" i="4"/>
  <c r="DC69" i="4"/>
  <c r="AV269" i="13"/>
  <c r="AV291" i="13"/>
  <c r="DC91" i="4"/>
  <c r="AV276" i="13"/>
  <c r="DC76" i="4"/>
  <c r="AV286" i="13"/>
  <c r="DC86" i="4"/>
  <c r="DC95" i="4"/>
  <c r="AV295" i="13"/>
  <c r="Z1418" i="13"/>
  <c r="Z1220" i="13"/>
  <c r="Z1252" i="13"/>
  <c r="Z1450" i="13"/>
  <c r="E5" i="13"/>
  <c r="D102" i="13" s="1"/>
  <c r="BS3" i="4"/>
  <c r="A16" i="13"/>
  <c r="H14" i="4"/>
  <c r="H20" i="4"/>
  <c r="A22" i="13"/>
  <c r="Z1217" i="13"/>
  <c r="Z1415" i="13"/>
  <c r="DC10" i="4"/>
  <c r="DC12" i="4"/>
  <c r="AV212" i="13"/>
  <c r="AV218" i="13"/>
  <c r="DC18" i="4"/>
  <c r="A29" i="13"/>
  <c r="H27" i="4"/>
  <c r="Z1422" i="13"/>
  <c r="Z1224" i="13"/>
  <c r="H33" i="4"/>
  <c r="A35" i="13"/>
  <c r="Z1230" i="13"/>
  <c r="Z1428" i="13"/>
  <c r="H39" i="4"/>
  <c r="A41" i="13"/>
  <c r="Z1236" i="13"/>
  <c r="Z1434" i="13"/>
  <c r="DC49" i="4"/>
  <c r="AV249" i="13"/>
  <c r="DC56" i="4"/>
  <c r="AV256" i="13"/>
  <c r="Z1255" i="13"/>
  <c r="Z1453" i="13"/>
  <c r="A74" i="13"/>
  <c r="H72" i="4"/>
  <c r="Z1467" i="13"/>
  <c r="Z1269" i="13"/>
  <c r="H70" i="4"/>
  <c r="A72" i="13"/>
  <c r="Z1465" i="13"/>
  <c r="Z1267" i="13"/>
  <c r="A80" i="13"/>
  <c r="H78" i="4"/>
  <c r="Z1473" i="13"/>
  <c r="Z1275" i="13"/>
  <c r="H81" i="4"/>
  <c r="A83" i="13"/>
  <c r="Z1278" i="13"/>
  <c r="Z1476" i="13"/>
  <c r="H82" i="4"/>
  <c r="A84" i="13"/>
  <c r="Z1477" i="13"/>
  <c r="Z1279" i="13"/>
  <c r="AV288" i="13"/>
  <c r="DC88" i="4"/>
  <c r="Z1211" i="13"/>
  <c r="Z1409" i="13"/>
  <c r="Z205" i="13"/>
  <c r="I3" i="4"/>
  <c r="Z206" i="13"/>
  <c r="I4" i="4"/>
  <c r="H6" i="4"/>
  <c r="A8" i="13"/>
  <c r="Z1401" i="13"/>
  <c r="Z1203" i="13"/>
  <c r="A17" i="13"/>
  <c r="H15" i="4"/>
  <c r="Z1212" i="13"/>
  <c r="Z1410" i="13"/>
  <c r="H21" i="4"/>
  <c r="A23" i="13"/>
  <c r="Z1416" i="13"/>
  <c r="Z1218" i="13"/>
  <c r="DC25" i="4"/>
  <c r="AV225" i="13"/>
  <c r="AV231" i="13"/>
  <c r="DC31" i="4"/>
  <c r="AV238" i="13"/>
  <c r="DC38" i="4"/>
  <c r="A47" i="13"/>
  <c r="H45" i="4"/>
  <c r="Z1440" i="13"/>
  <c r="Z1242" i="13"/>
  <c r="A54" i="13"/>
  <c r="H52" i="4"/>
  <c r="Z1249" i="13"/>
  <c r="Z1447" i="13"/>
  <c r="DC63" i="4"/>
  <c r="AV263" i="13"/>
  <c r="DC68" i="4"/>
  <c r="AV268" i="13"/>
  <c r="DC87" i="4"/>
  <c r="AV287" i="13"/>
  <c r="AV293" i="13"/>
  <c r="DC93" i="4"/>
  <c r="AV289" i="13"/>
  <c r="DC89" i="4"/>
  <c r="DC21" i="4"/>
  <c r="AV221" i="13"/>
  <c r="DC13" i="4"/>
  <c r="AV213" i="13"/>
  <c r="DC19" i="4"/>
  <c r="AV219" i="13"/>
  <c r="A30" i="13"/>
  <c r="H28" i="4"/>
  <c r="Z1423" i="13"/>
  <c r="Z1225" i="13"/>
  <c r="H34" i="4"/>
  <c r="A36" i="13"/>
  <c r="Z1429" i="13"/>
  <c r="Z1231" i="13"/>
  <c r="A42" i="13"/>
  <c r="H40" i="4"/>
  <c r="Z1435" i="13"/>
  <c r="Z1237" i="13"/>
  <c r="AV243" i="13"/>
  <c r="DC43" i="4"/>
  <c r="DC51" i="4"/>
  <c r="AV251" i="13"/>
  <c r="AV237" i="13"/>
  <c r="DC37" i="4"/>
  <c r="H59" i="4"/>
  <c r="A61" i="13"/>
  <c r="Z1256" i="13"/>
  <c r="Z1454" i="13"/>
  <c r="A71" i="13"/>
  <c r="H69" i="4"/>
  <c r="Z1464" i="13"/>
  <c r="Z1266" i="13"/>
  <c r="H80" i="4"/>
  <c r="A82" i="13"/>
  <c r="Z1475" i="13"/>
  <c r="Z1277" i="13"/>
  <c r="H76" i="4"/>
  <c r="A78" i="13"/>
  <c r="Z1273" i="13"/>
  <c r="Z1471" i="13"/>
  <c r="A85" i="13"/>
  <c r="H83" i="4"/>
  <c r="Z1280" i="13"/>
  <c r="Z1478" i="13"/>
  <c r="H92" i="4"/>
  <c r="A94" i="13"/>
  <c r="Z1487" i="13"/>
  <c r="Z1289" i="13"/>
  <c r="AV248" i="13"/>
  <c r="DC48" i="4"/>
  <c r="A24" i="13"/>
  <c r="H22" i="4"/>
  <c r="Z1417" i="13"/>
  <c r="Z1219" i="13"/>
  <c r="AV226" i="13"/>
  <c r="DC26" i="4"/>
  <c r="DC32" i="4"/>
  <c r="AV232" i="13"/>
  <c r="AV210" i="13"/>
  <c r="DC8" i="4"/>
  <c r="T8" i="4"/>
  <c r="A64" i="13"/>
  <c r="H62" i="4"/>
  <c r="Z1457" i="13"/>
  <c r="Z1259" i="13"/>
  <c r="H53" i="4"/>
  <c r="A55" i="13"/>
  <c r="Z1448" i="13"/>
  <c r="Z1250" i="13"/>
  <c r="DC67" i="4"/>
  <c r="AV267" i="13"/>
  <c r="AV273" i="13"/>
  <c r="DC73" i="4"/>
  <c r="AV270" i="13"/>
  <c r="DC70" i="4"/>
  <c r="DC79" i="4"/>
  <c r="AV279" i="13"/>
  <c r="DC90" i="4"/>
  <c r="AV290" i="13"/>
  <c r="Z1200" i="13"/>
  <c r="Z1398" i="13"/>
  <c r="H5" i="4"/>
  <c r="A7" i="13"/>
  <c r="V9" i="72"/>
  <c r="C9" i="1"/>
  <c r="AZ10" i="4"/>
  <c r="Z9" i="72"/>
  <c r="Z10" i="69"/>
  <c r="I10" i="4"/>
  <c r="D7" i="5"/>
  <c r="D8" i="5" s="1"/>
  <c r="BS10" i="4"/>
  <c r="V9" i="69"/>
  <c r="M9" i="4"/>
  <c r="A9" i="4"/>
  <c r="I9" i="4"/>
  <c r="M10" i="4"/>
  <c r="V10" i="69"/>
  <c r="AZ9" i="4"/>
  <c r="V10" i="72"/>
  <c r="A10" i="4"/>
  <c r="K10" i="4"/>
  <c r="AS10" i="4" s="1"/>
  <c r="AV612" i="13" s="1"/>
  <c r="BS9" i="4"/>
  <c r="K9" i="4"/>
  <c r="C10" i="1"/>
  <c r="Z10" i="72"/>
  <c r="Z9" i="69"/>
  <c r="Z704" i="13"/>
  <c r="M3" i="4"/>
  <c r="D3" i="9" s="1"/>
  <c r="Z1402" i="13"/>
  <c r="Z1204" i="13"/>
  <c r="Z705" i="13"/>
  <c r="M4" i="4"/>
  <c r="H29" i="4"/>
  <c r="A31" i="13"/>
  <c r="Z1226" i="13"/>
  <c r="Z1424" i="13"/>
  <c r="A37" i="13"/>
  <c r="H35" i="4"/>
  <c r="Z1232" i="13"/>
  <c r="Z1430" i="13"/>
  <c r="H41" i="4"/>
  <c r="A43" i="13"/>
  <c r="Z1238" i="13"/>
  <c r="Z1436" i="13"/>
  <c r="AV244" i="13"/>
  <c r="DC44" i="4"/>
  <c r="AV252" i="13"/>
  <c r="DC52" i="4"/>
  <c r="AV258" i="13"/>
  <c r="DC58" i="4"/>
  <c r="A65" i="13"/>
  <c r="H63" i="4"/>
  <c r="Z1458" i="13"/>
  <c r="Z1260" i="13"/>
  <c r="H67" i="4"/>
  <c r="A69" i="13"/>
  <c r="Z1462" i="13"/>
  <c r="Z1264" i="13"/>
  <c r="A91" i="13"/>
  <c r="H89" i="4"/>
  <c r="Z1484" i="13"/>
  <c r="Z1286" i="13"/>
  <c r="H74" i="4"/>
  <c r="A76" i="13"/>
  <c r="Z1271" i="13"/>
  <c r="Z1469" i="13"/>
  <c r="H84" i="4"/>
  <c r="A86" i="13"/>
  <c r="Z1281" i="13"/>
  <c r="Z1479" i="13"/>
  <c r="A95" i="13"/>
  <c r="H93" i="4"/>
  <c r="Z1488" i="13"/>
  <c r="Z1290" i="13"/>
  <c r="DC24" i="4"/>
  <c r="AV224" i="13"/>
  <c r="AV257" i="13"/>
  <c r="DC57" i="4"/>
  <c r="E6" i="13"/>
  <c r="BS4" i="4"/>
  <c r="Z1400" i="13"/>
  <c r="Z1202" i="13"/>
  <c r="A9" i="13"/>
  <c r="H7" i="4"/>
  <c r="A18" i="13"/>
  <c r="H16" i="4"/>
  <c r="Z1213" i="13"/>
  <c r="Z1411" i="13"/>
  <c r="AV214" i="13"/>
  <c r="DC14" i="4"/>
  <c r="DC20" i="4"/>
  <c r="AV220" i="13"/>
  <c r="A13" i="13"/>
  <c r="H11" i="4"/>
  <c r="Z1406" i="13"/>
  <c r="Z1208" i="13"/>
  <c r="H17" i="4"/>
  <c r="A19" i="13"/>
  <c r="Z1214" i="13"/>
  <c r="Z1412" i="13"/>
  <c r="DC27" i="4"/>
  <c r="AV227" i="13"/>
  <c r="DC33" i="4"/>
  <c r="AV233" i="13"/>
  <c r="AV239" i="13"/>
  <c r="DC39" i="4"/>
  <c r="Z1243" i="13"/>
  <c r="Z1441" i="13"/>
  <c r="H48" i="4"/>
  <c r="A50" i="13"/>
  <c r="Z1245" i="13"/>
  <c r="Z1443" i="13"/>
  <c r="H54" i="4"/>
  <c r="A56" i="13"/>
  <c r="Z1449" i="13"/>
  <c r="Z1251" i="13"/>
  <c r="AV266" i="13"/>
  <c r="DC66" i="4"/>
  <c r="AV275" i="13"/>
  <c r="DC75" i="4"/>
  <c r="AV277" i="13"/>
  <c r="DC77" i="4"/>
  <c r="AV281" i="13"/>
  <c r="DC81" i="4"/>
  <c r="DC92" i="4"/>
  <c r="AV292" i="13"/>
  <c r="A206" i="13"/>
  <c r="AX106" i="13"/>
  <c r="A26" i="13"/>
  <c r="H24" i="4"/>
  <c r="H37" i="4"/>
  <c r="A39" i="13"/>
  <c r="Z1234" i="13"/>
  <c r="Z1432" i="13"/>
  <c r="A48" i="13"/>
  <c r="H46" i="4"/>
  <c r="DC45" i="4"/>
  <c r="AV245" i="13"/>
  <c r="DC53" i="4"/>
  <c r="AV253" i="13"/>
  <c r="AV259" i="13"/>
  <c r="DC59" i="4"/>
  <c r="H61" i="4"/>
  <c r="A63" i="13"/>
  <c r="Z1258" i="13"/>
  <c r="Z1456" i="13"/>
  <c r="A68" i="13"/>
  <c r="H66" i="4"/>
  <c r="Z1461" i="13"/>
  <c r="Z1263" i="13"/>
  <c r="A87" i="13"/>
  <c r="H85" i="4"/>
  <c r="Z1282" i="13"/>
  <c r="Z1480" i="13"/>
  <c r="A93" i="13"/>
  <c r="H91" i="4"/>
  <c r="Z1486" i="13"/>
  <c r="Z1288" i="13"/>
  <c r="H87" i="4"/>
  <c r="A89" i="13"/>
  <c r="Z1284" i="13"/>
  <c r="Z1482" i="13"/>
  <c r="AY115" i="72"/>
  <c r="AT115" i="69"/>
  <c r="AX705" i="13"/>
  <c r="AV207" i="13"/>
  <c r="T5" i="4"/>
  <c r="DC5" i="4"/>
  <c r="Z1419" i="13"/>
  <c r="Z1221" i="13"/>
  <c r="A32" i="13"/>
  <c r="H30" i="4"/>
  <c r="Z1227" i="13"/>
  <c r="Z1425" i="13"/>
  <c r="A14" i="13"/>
  <c r="H12" i="4"/>
  <c r="Z1209" i="13"/>
  <c r="Z1407" i="13"/>
  <c r="A20" i="13"/>
  <c r="H18" i="4"/>
  <c r="Z1215" i="13"/>
  <c r="Z1413" i="13"/>
  <c r="AV228" i="13"/>
  <c r="DC28" i="4"/>
  <c r="DC34" i="4"/>
  <c r="AV234" i="13"/>
  <c r="AV240" i="13"/>
  <c r="DC40" i="4"/>
  <c r="A44" i="13"/>
  <c r="H42" i="4"/>
  <c r="Z1239" i="13"/>
  <c r="Z1437" i="13"/>
  <c r="H49" i="4"/>
  <c r="A51" i="13"/>
  <c r="Z1246" i="13"/>
  <c r="Z1444" i="13"/>
  <c r="H36" i="4"/>
  <c r="A38" i="13"/>
  <c r="Z1233" i="13"/>
  <c r="Z1431" i="13"/>
  <c r="AV260" i="13"/>
  <c r="DC60" i="4"/>
  <c r="DC74" i="4"/>
  <c r="AV274" i="13"/>
  <c r="DC72" i="4"/>
  <c r="AV272" i="13"/>
  <c r="DC80" i="4"/>
  <c r="AV280" i="13"/>
  <c r="AV283" i="13"/>
  <c r="DC83" i="4"/>
  <c r="DC84" i="4"/>
  <c r="AV284" i="13"/>
  <c r="Z1283" i="13"/>
  <c r="Z1481" i="13"/>
  <c r="H86" i="4"/>
  <c r="A88" i="13"/>
  <c r="DC15" i="4"/>
  <c r="AV215" i="13"/>
  <c r="DC16" i="4"/>
  <c r="AV216" i="13"/>
  <c r="AV222" i="13"/>
  <c r="DC22" i="4"/>
  <c r="A27" i="13"/>
  <c r="H25" i="4"/>
  <c r="Z1222" i="13"/>
  <c r="Z1420" i="13"/>
  <c r="H31" i="4"/>
  <c r="A33" i="13"/>
  <c r="Z1228" i="13"/>
  <c r="Z1426" i="13"/>
  <c r="H8" i="4"/>
  <c r="A10" i="13"/>
  <c r="Z1403" i="13"/>
  <c r="Z1205" i="13"/>
  <c r="AV246" i="13"/>
  <c r="DC46" i="4"/>
  <c r="AV254" i="13"/>
  <c r="DC54" i="4"/>
  <c r="A67" i="13"/>
  <c r="H65" i="4"/>
  <c r="Z1262" i="13"/>
  <c r="Z1460" i="13"/>
  <c r="H71" i="4"/>
  <c r="A73" i="13"/>
  <c r="Z1466" i="13"/>
  <c r="Z1268" i="13"/>
  <c r="A70" i="13"/>
  <c r="H68" i="4"/>
  <c r="Z1265" i="13"/>
  <c r="Z1463" i="13"/>
  <c r="A79" i="13"/>
  <c r="H77" i="4"/>
  <c r="Z1472" i="13"/>
  <c r="Z1274" i="13"/>
  <c r="H88" i="4"/>
  <c r="A90" i="13"/>
  <c r="Z1483" i="13"/>
  <c r="Z1285" i="13"/>
  <c r="C4" i="1"/>
  <c r="BZ4" i="4" a="1"/>
  <c r="BZ4" i="4" s="1"/>
  <c r="BX4" i="4" s="1" a="1"/>
  <c r="BX4" i="4" s="1"/>
  <c r="BY4" i="4" a="1"/>
  <c r="BY4" i="4" s="1"/>
  <c r="AS4" i="4"/>
  <c r="AV606" i="13" s="1"/>
  <c r="BO4" i="4"/>
  <c r="G4" i="4"/>
  <c r="A160" i="13"/>
  <c r="A958" i="13"/>
  <c r="AX958" i="13" s="1"/>
  <c r="A1856" i="13"/>
  <c r="A859" i="13"/>
  <c r="AX859" i="13" s="1"/>
  <c r="AX60" i="13"/>
  <c r="AX560" i="13"/>
  <c r="A660" i="13"/>
  <c r="A759" i="13"/>
  <c r="AX759" i="13" s="1"/>
  <c r="A1057" i="13"/>
  <c r="A560" i="13"/>
  <c r="A1156" i="13"/>
  <c r="AX660" i="13"/>
  <c r="A460" i="13"/>
  <c r="AX460" i="13"/>
  <c r="AX1057" i="13"/>
  <c r="D58" i="1"/>
  <c r="BC58" i="4" a="1"/>
  <c r="BC58" i="4" s="1"/>
  <c r="C58" i="4"/>
  <c r="A60" i="9"/>
  <c r="BU58" i="4" a="1"/>
  <c r="BU58" i="4" s="1"/>
  <c r="D58" i="4"/>
  <c r="S90" i="22"/>
  <c r="BV58" i="4" a="1"/>
  <c r="BV58" i="4" s="1"/>
  <c r="A58" i="20"/>
  <c r="AZ4" i="4"/>
  <c r="AZ3" i="4"/>
  <c r="Z761" i="13"/>
  <c r="B162" i="13"/>
  <c r="Z662" i="13"/>
  <c r="E62" i="13"/>
  <c r="Z860" i="13"/>
  <c r="Z62" i="13"/>
  <c r="Z960" i="13"/>
  <c r="Z1059" i="13"/>
  <c r="Z262" i="13"/>
  <c r="Z1158" i="13"/>
  <c r="Z562" i="13"/>
  <c r="CQ47" i="4"/>
  <c r="CB47" i="4" a="1"/>
  <c r="CM47" i="4" a="1"/>
  <c r="CN47" i="4" a="1"/>
  <c r="CD47" i="4" a="1"/>
  <c r="BN47" i="4" a="1"/>
  <c r="CL47" i="4" a="1"/>
  <c r="CE47" i="4" a="1"/>
  <c r="CJ47" i="4" a="1"/>
  <c r="CI47" i="4" a="1"/>
  <c r="CH47" i="4"/>
  <c r="AM47" i="4" a="1"/>
  <c r="AK47" i="4" a="1"/>
  <c r="CK47" i="4" a="1"/>
  <c r="CG47" i="4" a="1"/>
  <c r="BP47" i="4" a="1"/>
  <c r="AC47" i="4" a="1"/>
  <c r="CT47" i="4"/>
  <c r="CC47" i="4" a="1"/>
  <c r="AE47" i="4" a="1"/>
  <c r="CF47" i="4" a="1"/>
  <c r="CE51" i="4" a="1"/>
  <c r="CF51" i="4" a="1"/>
  <c r="CL51" i="4" a="1"/>
  <c r="AE51" i="4" a="1"/>
  <c r="AC51" i="4" a="1"/>
  <c r="CG51" i="4" a="1"/>
  <c r="CD51" i="4" a="1"/>
  <c r="CC51" i="4" a="1"/>
  <c r="AK51" i="4" a="1"/>
  <c r="CB51" i="4" a="1"/>
  <c r="AM51" i="4" a="1"/>
  <c r="CJ51" i="4" a="1"/>
  <c r="CQ51" i="4"/>
  <c r="BN51" i="4" a="1"/>
  <c r="CM51" i="4" a="1"/>
  <c r="CH51" i="4"/>
  <c r="CI51" i="4" a="1"/>
  <c r="CK51" i="4" a="1"/>
  <c r="CN51" i="4" a="1"/>
  <c r="CT51" i="4"/>
  <c r="BP51" i="4" a="1"/>
  <c r="CK17" i="4" a="1"/>
  <c r="CH17" i="4"/>
  <c r="AE17" i="4" a="1"/>
  <c r="BP17" i="4" a="1"/>
  <c r="AM17" i="4" a="1"/>
  <c r="CD17" i="4" a="1"/>
  <c r="CN17" i="4" a="1"/>
  <c r="AC17" i="4" a="1"/>
  <c r="BN17" i="4" a="1"/>
  <c r="CJ17" i="4" a="1"/>
  <c r="CF17" i="4" a="1"/>
  <c r="AK17" i="4" a="1"/>
  <c r="CB17" i="4" a="1"/>
  <c r="CI17" i="4" a="1"/>
  <c r="CQ17" i="4"/>
  <c r="CM17" i="4" a="1"/>
  <c r="CL17" i="4" a="1"/>
  <c r="CT17" i="4"/>
  <c r="CG17" i="4" a="1"/>
  <c r="CE17" i="4" a="1"/>
  <c r="CC17" i="4" a="1"/>
  <c r="AE48" i="4" a="1"/>
  <c r="CL48" i="4" a="1"/>
  <c r="AC48" i="4" a="1"/>
  <c r="CD48" i="4" a="1"/>
  <c r="CN48" i="4" a="1"/>
  <c r="CB48" i="4" a="1"/>
  <c r="AK48" i="4" a="1"/>
  <c r="CH48" i="4"/>
  <c r="CG48" i="4" a="1"/>
  <c r="CE48" i="4" a="1"/>
  <c r="CJ48" i="4" a="1"/>
  <c r="CK48" i="4" a="1"/>
  <c r="BN48" i="4" a="1"/>
  <c r="CI48" i="4" a="1"/>
  <c r="CQ48" i="4"/>
  <c r="CM48" i="4" a="1"/>
  <c r="CF48" i="4" a="1"/>
  <c r="CT48" i="4"/>
  <c r="AM48" i="4" a="1"/>
  <c r="BP48" i="4" a="1"/>
  <c r="CC48" i="4" a="1"/>
  <c r="CK30" i="4" a="1"/>
  <c r="CC30" i="4" a="1"/>
  <c r="AC30" i="4" a="1"/>
  <c r="CN30" i="4" a="1"/>
  <c r="CD30" i="4" a="1"/>
  <c r="AK30" i="4" a="1"/>
  <c r="BN30" i="4" a="1"/>
  <c r="CQ30" i="4"/>
  <c r="CB30" i="4" a="1"/>
  <c r="CJ30" i="4" a="1"/>
  <c r="CL30" i="4" a="1"/>
  <c r="CG30" i="4" a="1"/>
  <c r="CH30" i="4"/>
  <c r="CE30" i="4" a="1"/>
  <c r="CI30" i="4" a="1"/>
  <c r="AE30" i="4" a="1"/>
  <c r="AM30" i="4" a="1"/>
  <c r="CF30" i="4" a="1"/>
  <c r="BP30" i="4" a="1"/>
  <c r="CT30" i="4"/>
  <c r="CM30" i="4" a="1"/>
  <c r="AC62" i="4" a="1"/>
  <c r="CH62" i="4"/>
  <c r="CK62" i="4" a="1"/>
  <c r="BN62" i="4" a="1"/>
  <c r="CE62" i="4" a="1"/>
  <c r="AK62" i="4" a="1"/>
  <c r="BP62" i="4" a="1"/>
  <c r="CQ62" i="4"/>
  <c r="CG62" i="4" a="1"/>
  <c r="CC62" i="4" a="1"/>
  <c r="CJ62" i="4" a="1"/>
  <c r="CB62" i="4" a="1"/>
  <c r="CD62" i="4" a="1"/>
  <c r="AM62" i="4" a="1"/>
  <c r="AE62" i="4" a="1"/>
  <c r="CN62" i="4" a="1"/>
  <c r="CF62" i="4" a="1"/>
  <c r="CI62" i="4" a="1"/>
  <c r="CT62" i="4"/>
  <c r="CL62" i="4" a="1"/>
  <c r="CM62" i="4" a="1"/>
  <c r="CN35" i="4" a="1"/>
  <c r="CE35" i="4" a="1"/>
  <c r="CQ35" i="4"/>
  <c r="CG35" i="4" a="1"/>
  <c r="AE35" i="4" a="1"/>
  <c r="CJ35" i="4" a="1"/>
  <c r="CT35" i="4"/>
  <c r="AK35" i="4" a="1"/>
  <c r="CB35" i="4" a="1"/>
  <c r="CD35" i="4" a="1"/>
  <c r="CK35" i="4" a="1"/>
  <c r="CL35" i="4" a="1"/>
  <c r="AC35" i="4" a="1"/>
  <c r="BP35" i="4" a="1"/>
  <c r="CI35" i="4" a="1"/>
  <c r="CM35" i="4" a="1"/>
  <c r="BN35" i="4" a="1"/>
  <c r="AM35" i="4" a="1"/>
  <c r="CC35" i="4" a="1"/>
  <c r="CF35" i="4" a="1"/>
  <c r="CH35" i="4"/>
  <c r="CL16" i="4" a="1"/>
  <c r="CD16" i="4" a="1"/>
  <c r="CH16" i="4"/>
  <c r="CJ16" i="4" a="1"/>
  <c r="CE16" i="4" a="1"/>
  <c r="BP16" i="4" a="1"/>
  <c r="CC16" i="4" a="1"/>
  <c r="CT16" i="4"/>
  <c r="AK16" i="4" a="1"/>
  <c r="CF16" i="4" a="1"/>
  <c r="CM16" i="4" a="1"/>
  <c r="AM16" i="4" a="1"/>
  <c r="CI16" i="4" a="1"/>
  <c r="CN16" i="4" a="1"/>
  <c r="CQ16" i="4"/>
  <c r="CK16" i="4" a="1"/>
  <c r="BN16" i="4" a="1"/>
  <c r="CG16" i="4" a="1"/>
  <c r="AC16" i="4" a="1"/>
  <c r="AE16" i="4" a="1"/>
  <c r="CB16" i="4" a="1"/>
  <c r="CD36" i="4" a="1"/>
  <c r="BN36" i="4" a="1"/>
  <c r="CB36" i="4" a="1"/>
  <c r="CN36" i="4" a="1"/>
  <c r="CJ36" i="4" a="1"/>
  <c r="BP36" i="4" a="1"/>
  <c r="CE36" i="4" a="1"/>
  <c r="AM36" i="4" a="1"/>
  <c r="CT36" i="4"/>
  <c r="CM36" i="4" a="1"/>
  <c r="AC36" i="4" a="1"/>
  <c r="CI36" i="4" a="1"/>
  <c r="CC36" i="4" a="1"/>
  <c r="AE36" i="4" a="1"/>
  <c r="CQ36" i="4"/>
  <c r="AK36" i="4" a="1"/>
  <c r="CG36" i="4" a="1"/>
  <c r="CL36" i="4" a="1"/>
  <c r="CF36" i="4" a="1"/>
  <c r="CK36" i="4" a="1"/>
  <c r="CH36" i="4"/>
  <c r="CJ50" i="4" a="1"/>
  <c r="BN50" i="4" a="1"/>
  <c r="CE50" i="4" a="1"/>
  <c r="CD50" i="4" a="1"/>
  <c r="CI50" i="4" a="1"/>
  <c r="CH50" i="4"/>
  <c r="CM50" i="4" a="1"/>
  <c r="AE50" i="4" a="1"/>
  <c r="CG50" i="4" a="1"/>
  <c r="CL50" i="4" a="1"/>
  <c r="AK50" i="4" a="1"/>
  <c r="BP50" i="4" a="1"/>
  <c r="CQ50" i="4"/>
  <c r="AC50" i="4" a="1"/>
  <c r="CN50" i="4" a="1"/>
  <c r="AM50" i="4" a="1"/>
  <c r="CF50" i="4" a="1"/>
  <c r="CC50" i="4" a="1"/>
  <c r="CK50" i="4" a="1"/>
  <c r="CB50" i="4" a="1"/>
  <c r="CT50" i="4"/>
  <c r="CD64" i="4" a="1"/>
  <c r="AM64" i="4" a="1"/>
  <c r="CH64" i="4"/>
  <c r="AK64" i="4" a="1"/>
  <c r="CQ64" i="4"/>
  <c r="BP64" i="4" a="1"/>
  <c r="CK64" i="4" a="1"/>
  <c r="CI64" i="4" a="1"/>
  <c r="CJ64" i="4" a="1"/>
  <c r="CG64" i="4" a="1"/>
  <c r="AE64" i="4" a="1"/>
  <c r="CB64" i="4" a="1"/>
  <c r="CT64" i="4"/>
  <c r="CN64" i="4" a="1"/>
  <c r="CM64" i="4" a="1"/>
  <c r="CE64" i="4" a="1"/>
  <c r="CL64" i="4" a="1"/>
  <c r="CC64" i="4" a="1"/>
  <c r="CF64" i="4" a="1"/>
  <c r="AC64" i="4" a="1"/>
  <c r="BN64" i="4" a="1"/>
  <c r="AK79" i="4" a="1"/>
  <c r="AM79" i="4" a="1"/>
  <c r="CG79" i="4" a="1"/>
  <c r="BN79" i="4" a="1"/>
  <c r="CI79" i="4" a="1"/>
  <c r="CN79" i="4" a="1"/>
  <c r="CH79" i="4"/>
  <c r="CD79" i="4" a="1"/>
  <c r="AC79" i="4" a="1"/>
  <c r="CE79" i="4" a="1"/>
  <c r="BP79" i="4" a="1"/>
  <c r="CQ79" i="4"/>
  <c r="CT79" i="4"/>
  <c r="CF79" i="4" a="1"/>
  <c r="CJ79" i="4" a="1"/>
  <c r="CM79" i="4" a="1"/>
  <c r="CK79" i="4" a="1"/>
  <c r="CL79" i="4" a="1"/>
  <c r="CB79" i="4" a="1"/>
  <c r="CC79" i="4" a="1"/>
  <c r="AE79" i="4" a="1"/>
  <c r="CD27" i="4" a="1"/>
  <c r="BN27" i="4" a="1"/>
  <c r="CH27" i="4"/>
  <c r="CF27" i="4" a="1"/>
  <c r="CC27" i="4" a="1"/>
  <c r="CT27" i="4"/>
  <c r="CM27" i="4" a="1"/>
  <c r="CN27" i="4" a="1"/>
  <c r="CQ27" i="4"/>
  <c r="CJ27" i="4" a="1"/>
  <c r="AE27" i="4" a="1"/>
  <c r="CK27" i="4" a="1"/>
  <c r="AM27" i="4" a="1"/>
  <c r="CB27" i="4" a="1"/>
  <c r="CL27" i="4" a="1"/>
  <c r="CG27" i="4" a="1"/>
  <c r="AK27" i="4" a="1"/>
  <c r="BP27" i="4" a="1"/>
  <c r="AC27" i="4" a="1"/>
  <c r="CE27" i="4" a="1"/>
  <c r="CI27" i="4" a="1"/>
  <c r="CD40" i="4" a="1"/>
  <c r="CL40" i="4" a="1"/>
  <c r="CT40" i="4"/>
  <c r="CC40" i="4" a="1"/>
  <c r="AE40" i="4" a="1"/>
  <c r="CE40" i="4" a="1"/>
  <c r="AK40" i="4" a="1"/>
  <c r="CQ40" i="4"/>
  <c r="CM40" i="4" a="1"/>
  <c r="BP40" i="4" a="1"/>
  <c r="CN40" i="4" a="1"/>
  <c r="CH40" i="4"/>
  <c r="CG40" i="4" a="1"/>
  <c r="BN40" i="4" a="1"/>
  <c r="CJ40" i="4" a="1"/>
  <c r="CK40" i="4" a="1"/>
  <c r="CI40" i="4" a="1"/>
  <c r="CB40" i="4" a="1"/>
  <c r="AC40" i="4" a="1"/>
  <c r="AM40" i="4" a="1"/>
  <c r="CF40" i="4" a="1"/>
  <c r="CB22" i="4" a="1"/>
  <c r="CM22" i="4" a="1"/>
  <c r="CF22" i="4" a="1"/>
  <c r="BN22" i="4" a="1"/>
  <c r="CH22" i="4"/>
  <c r="AM22" i="4" a="1"/>
  <c r="CJ22" i="4" a="1"/>
  <c r="CQ22" i="4"/>
  <c r="CC22" i="4" a="1"/>
  <c r="CT22" i="4"/>
  <c r="CG22" i="4" a="1"/>
  <c r="CD22" i="4" a="1"/>
  <c r="CN22" i="4" a="1"/>
  <c r="CK22" i="4" a="1"/>
  <c r="AK22" i="4" a="1"/>
  <c r="BP22" i="4" a="1"/>
  <c r="CE22" i="4" a="1"/>
  <c r="CL22" i="4" a="1"/>
  <c r="AC22" i="4" a="1"/>
  <c r="AE22" i="4" a="1"/>
  <c r="CI22" i="4" a="1"/>
  <c r="BN74" i="4" a="1"/>
  <c r="AK74" i="4" a="1"/>
  <c r="CD74" i="4" a="1"/>
  <c r="CC74" i="4" a="1"/>
  <c r="CJ74" i="4" a="1"/>
  <c r="AE74" i="4" a="1"/>
  <c r="CH74" i="4"/>
  <c r="CN74" i="4" a="1"/>
  <c r="CL74" i="4" a="1"/>
  <c r="CI74" i="4" a="1"/>
  <c r="AM74" i="4" a="1"/>
  <c r="CF74" i="4" a="1"/>
  <c r="CG74" i="4" a="1"/>
  <c r="CK74" i="4" a="1"/>
  <c r="CE74" i="4" a="1"/>
  <c r="CQ74" i="4"/>
  <c r="AC74" i="4" a="1"/>
  <c r="CM74" i="4" a="1"/>
  <c r="BP74" i="4" a="1"/>
  <c r="CB74" i="4" a="1"/>
  <c r="CT74" i="4"/>
  <c r="CH87" i="4"/>
  <c r="CC87" i="4" a="1"/>
  <c r="CJ87" i="4" a="1"/>
  <c r="CB87" i="4" a="1"/>
  <c r="CI87" i="4" a="1"/>
  <c r="CL87" i="4" a="1"/>
  <c r="CN87" i="4" a="1"/>
  <c r="CM87" i="4" a="1"/>
  <c r="CE87" i="4" a="1"/>
  <c r="BP87" i="4" a="1"/>
  <c r="AK87" i="4" a="1"/>
  <c r="AC87" i="4" a="1"/>
  <c r="AM87" i="4" a="1"/>
  <c r="BN87" i="4" a="1"/>
  <c r="CK87" i="4" a="1"/>
  <c r="CQ87" i="4"/>
  <c r="AE87" i="4" a="1"/>
  <c r="CF87" i="4" a="1"/>
  <c r="CD87" i="4" a="1"/>
  <c r="CT87" i="4"/>
  <c r="CG87" i="4" a="1"/>
  <c r="AA58" i="4" a="1"/>
  <c r="AB58" i="4" a="1"/>
  <c r="AO58" i="4" a="1"/>
  <c r="AN58" i="4" a="1"/>
  <c r="AM32" i="4" a="1"/>
  <c r="CG32" i="4" a="1"/>
  <c r="CB32" i="4" a="1"/>
  <c r="CT32" i="4"/>
  <c r="CI32" i="4" a="1"/>
  <c r="BP32" i="4" a="1"/>
  <c r="CN32" i="4" a="1"/>
  <c r="CM32" i="4" a="1"/>
  <c r="BN32" i="4" a="1"/>
  <c r="CH32" i="4"/>
  <c r="AE32" i="4" a="1"/>
  <c r="CL32" i="4" a="1"/>
  <c r="AK32" i="4" a="1"/>
  <c r="CQ32" i="4"/>
  <c r="CD32" i="4" a="1"/>
  <c r="CE32" i="4" a="1"/>
  <c r="AC32" i="4" a="1"/>
  <c r="CJ32" i="4" a="1"/>
  <c r="CC32" i="4" a="1"/>
  <c r="CK32" i="4" a="1"/>
  <c r="CF32" i="4" a="1"/>
  <c r="CH14" i="4"/>
  <c r="CT14" i="4"/>
  <c r="AC14" i="4" a="1"/>
  <c r="CF14" i="4" a="1"/>
  <c r="CJ14" i="4" a="1"/>
  <c r="CG14" i="4" a="1"/>
  <c r="CB14" i="4" a="1"/>
  <c r="CQ14" i="4"/>
  <c r="BN14" i="4" a="1"/>
  <c r="CD14" i="4" a="1"/>
  <c r="BP14" i="4" a="1"/>
  <c r="CI14" i="4" a="1"/>
  <c r="AM14" i="4" a="1"/>
  <c r="CM14" i="4" a="1"/>
  <c r="CK14" i="4" a="1"/>
  <c r="AK14" i="4" a="1"/>
  <c r="CN14" i="4" a="1"/>
  <c r="CC14" i="4" a="1"/>
  <c r="AE14" i="4" a="1"/>
  <c r="CE14" i="4" a="1"/>
  <c r="CL14" i="4" a="1"/>
  <c r="CB63" i="4" a="1"/>
  <c r="CN63" i="4" a="1"/>
  <c r="AC63" i="4" a="1"/>
  <c r="BP63" i="4" a="1"/>
  <c r="CQ63" i="4"/>
  <c r="CF63" i="4" a="1"/>
  <c r="CL63" i="4" a="1"/>
  <c r="CG63" i="4" a="1"/>
  <c r="AE63" i="4" a="1"/>
  <c r="CM63" i="4" a="1"/>
  <c r="AM63" i="4" a="1"/>
  <c r="CH63" i="4"/>
  <c r="CJ63" i="4" a="1"/>
  <c r="CI63" i="4" a="1"/>
  <c r="CC63" i="4" a="1"/>
  <c r="BN63" i="4" a="1"/>
  <c r="CD63" i="4" a="1"/>
  <c r="AK63" i="4" a="1"/>
  <c r="CK63" i="4" a="1"/>
  <c r="CT63" i="4"/>
  <c r="CE63" i="4" a="1"/>
  <c r="CF46" i="4" a="1"/>
  <c r="AC46" i="4" a="1"/>
  <c r="CD46" i="4" a="1"/>
  <c r="CK46" i="4" a="1"/>
  <c r="CJ46" i="4" a="1"/>
  <c r="AE46" i="4" a="1"/>
  <c r="CL46" i="4" a="1"/>
  <c r="CI46" i="4" a="1"/>
  <c r="CE46" i="4" a="1"/>
  <c r="CG46" i="4" a="1"/>
  <c r="CC46" i="4" a="1"/>
  <c r="CT46" i="4"/>
  <c r="CN46" i="4" a="1"/>
  <c r="CH46" i="4"/>
  <c r="CB46" i="4" a="1"/>
  <c r="CM46" i="4" a="1"/>
  <c r="BN46" i="4" a="1"/>
  <c r="BP46" i="4" a="1"/>
  <c r="CQ46" i="4"/>
  <c r="AK46" i="4" a="1"/>
  <c r="AM46" i="4" a="1"/>
  <c r="CF66" i="4" a="1"/>
  <c r="AC66" i="4" a="1"/>
  <c r="CE66" i="4" a="1"/>
  <c r="CD66" i="4" a="1"/>
  <c r="CM66" i="4" a="1"/>
  <c r="BP66" i="4" a="1"/>
  <c r="CT66" i="4"/>
  <c r="CC66" i="4" a="1"/>
  <c r="CI66" i="4" a="1"/>
  <c r="CQ66" i="4"/>
  <c r="CG66" i="4" a="1"/>
  <c r="CL66" i="4" a="1"/>
  <c r="AE66" i="4" a="1"/>
  <c r="CJ66" i="4" a="1"/>
  <c r="CK66" i="4" a="1"/>
  <c r="CN66" i="4" a="1"/>
  <c r="AK66" i="4" a="1"/>
  <c r="CB66" i="4" a="1"/>
  <c r="BN66" i="4" a="1"/>
  <c r="AM66" i="4" a="1"/>
  <c r="CH66" i="4"/>
  <c r="CB20" i="4" a="1"/>
  <c r="CQ20" i="4"/>
  <c r="CK20" i="4" a="1"/>
  <c r="CI20" i="4" a="1"/>
  <c r="CN20" i="4" a="1"/>
  <c r="AK20" i="4" a="1"/>
  <c r="CJ20" i="4" a="1"/>
  <c r="BN20" i="4" a="1"/>
  <c r="CL20" i="4" a="1"/>
  <c r="AE20" i="4" a="1"/>
  <c r="BP20" i="4" a="1"/>
  <c r="CD20" i="4" a="1"/>
  <c r="CT20" i="4"/>
  <c r="CC20" i="4" a="1"/>
  <c r="CE20" i="4" a="1"/>
  <c r="CF20" i="4" a="1"/>
  <c r="CG20" i="4" a="1"/>
  <c r="CH20" i="4"/>
  <c r="AC20" i="4" a="1"/>
  <c r="AM20" i="4" a="1"/>
  <c r="CM20" i="4" a="1"/>
  <c r="BP78" i="4" a="1"/>
  <c r="CE78" i="4" a="1"/>
  <c r="CQ78" i="4"/>
  <c r="CB78" i="4" a="1"/>
  <c r="AE78" i="4" a="1"/>
  <c r="AM78" i="4" a="1"/>
  <c r="CD78" i="4" a="1"/>
  <c r="CT78" i="4"/>
  <c r="CK78" i="4" a="1"/>
  <c r="CM78" i="4" a="1"/>
  <c r="CL78" i="4" a="1"/>
  <c r="AC78" i="4" a="1"/>
  <c r="CC78" i="4" a="1"/>
  <c r="CG78" i="4" a="1"/>
  <c r="BN78" i="4" a="1"/>
  <c r="CJ78" i="4" a="1"/>
  <c r="CH78" i="4"/>
  <c r="AK78" i="4" a="1"/>
  <c r="CN78" i="4" a="1"/>
  <c r="CI78" i="4" a="1"/>
  <c r="CF78" i="4" a="1"/>
  <c r="CC15" i="4" a="1"/>
  <c r="AK15" i="4" a="1"/>
  <c r="CQ15" i="4"/>
  <c r="CI15" i="4" a="1"/>
  <c r="AE15" i="4" a="1"/>
  <c r="CF15" i="4" a="1"/>
  <c r="CG15" i="4" a="1"/>
  <c r="BN15" i="4" a="1"/>
  <c r="CM15" i="4" a="1"/>
  <c r="CB15" i="4" a="1"/>
  <c r="BP15" i="4" a="1"/>
  <c r="CK15" i="4" a="1"/>
  <c r="CH15" i="4"/>
  <c r="CL15" i="4" a="1"/>
  <c r="AM15" i="4" a="1"/>
  <c r="CE15" i="4" a="1"/>
  <c r="CJ15" i="4" a="1"/>
  <c r="CN15" i="4" a="1"/>
  <c r="CT15" i="4"/>
  <c r="AC15" i="4" a="1"/>
  <c r="CD15" i="4" a="1"/>
  <c r="CM69" i="4" a="1"/>
  <c r="CE69" i="4" a="1"/>
  <c r="AC69" i="4" a="1"/>
  <c r="CD69" i="4" a="1"/>
  <c r="BP69" i="4" a="1"/>
  <c r="CB69" i="4" a="1"/>
  <c r="CF69" i="4" a="1"/>
  <c r="AK69" i="4" a="1"/>
  <c r="CG69" i="4" a="1"/>
  <c r="CI69" i="4" a="1"/>
  <c r="AM69" i="4" a="1"/>
  <c r="CH69" i="4"/>
  <c r="CC69" i="4" a="1"/>
  <c r="BN69" i="4" a="1"/>
  <c r="CL69" i="4" a="1"/>
  <c r="AE69" i="4" a="1"/>
  <c r="CK69" i="4" a="1"/>
  <c r="CQ69" i="4"/>
  <c r="CT69" i="4"/>
  <c r="CN69" i="4" a="1"/>
  <c r="CJ69" i="4" a="1"/>
  <c r="AK83" i="4" a="1"/>
  <c r="CK83" i="4" a="1"/>
  <c r="CM83" i="4" a="1"/>
  <c r="CL83" i="4" a="1"/>
  <c r="BP83" i="4" a="1"/>
  <c r="CF83" i="4" a="1"/>
  <c r="CI83" i="4" a="1"/>
  <c r="CJ83" i="4" a="1"/>
  <c r="CD83" i="4" a="1"/>
  <c r="CH83" i="4"/>
  <c r="AC83" i="4" a="1"/>
  <c r="CT83" i="4"/>
  <c r="BN83" i="4" a="1"/>
  <c r="CB83" i="4" a="1"/>
  <c r="AE83" i="4" a="1"/>
  <c r="CC83" i="4" a="1"/>
  <c r="AM83" i="4" a="1"/>
  <c r="CG83" i="4" a="1"/>
  <c r="CE83" i="4" a="1"/>
  <c r="CQ83" i="4"/>
  <c r="CN83" i="4" a="1"/>
  <c r="AM53" i="4" a="1"/>
  <c r="BN53" i="4" a="1"/>
  <c r="CB53" i="4" a="1"/>
  <c r="CD53" i="4" a="1"/>
  <c r="AC53" i="4" a="1"/>
  <c r="CC53" i="4" a="1"/>
  <c r="CN53" i="4" a="1"/>
  <c r="CK53" i="4" a="1"/>
  <c r="CJ53" i="4" a="1"/>
  <c r="AE53" i="4" a="1"/>
  <c r="CG53" i="4" a="1"/>
  <c r="CF53" i="4" a="1"/>
  <c r="CE53" i="4" a="1"/>
  <c r="AK53" i="4" a="1"/>
  <c r="CI53" i="4" a="1"/>
  <c r="BP53" i="4" a="1"/>
  <c r="CL53" i="4" a="1"/>
  <c r="CQ53" i="4"/>
  <c r="CT53" i="4"/>
  <c r="CH53" i="4"/>
  <c r="CM53" i="4" a="1"/>
  <c r="AC41" i="4" a="1"/>
  <c r="CM41" i="4" a="1"/>
  <c r="AE41" i="4" a="1"/>
  <c r="CT41" i="4"/>
  <c r="CH41" i="4"/>
  <c r="CB41" i="4" a="1"/>
  <c r="CL41" i="4" a="1"/>
  <c r="BN41" i="4" a="1"/>
  <c r="CD41" i="4" a="1"/>
  <c r="AK41" i="4" a="1"/>
  <c r="CF41" i="4" a="1"/>
  <c r="CN41" i="4" a="1"/>
  <c r="CQ41" i="4"/>
  <c r="CC41" i="4" a="1"/>
  <c r="CK41" i="4" a="1"/>
  <c r="CI41" i="4" a="1"/>
  <c r="BP41" i="4" a="1"/>
  <c r="CG41" i="4" a="1"/>
  <c r="CJ41" i="4" a="1"/>
  <c r="AM41" i="4" a="1"/>
  <c r="CE41" i="4" a="1"/>
  <c r="CL54" i="4" a="1"/>
  <c r="AM54" i="4" a="1"/>
  <c r="CQ54" i="4"/>
  <c r="CJ54" i="4" a="1"/>
  <c r="CD54" i="4" a="1"/>
  <c r="AC54" i="4" a="1"/>
  <c r="CI54" i="4" a="1"/>
  <c r="CE54" i="4" a="1"/>
  <c r="BN54" i="4" a="1"/>
  <c r="BP54" i="4" a="1"/>
  <c r="CN54" i="4" a="1"/>
  <c r="CM54" i="4" a="1"/>
  <c r="CG54" i="4" a="1"/>
  <c r="CK54" i="4" a="1"/>
  <c r="CH54" i="4"/>
  <c r="CT54" i="4"/>
  <c r="CF54" i="4" a="1"/>
  <c r="CC54" i="4" a="1"/>
  <c r="CB54" i="4" a="1"/>
  <c r="AK54" i="4" a="1"/>
  <c r="AE54" i="4" a="1"/>
  <c r="AC12" i="4" a="1"/>
  <c r="BN12" i="4" a="1"/>
  <c r="CQ12" i="4"/>
  <c r="CM12" i="4" a="1"/>
  <c r="CK12" i="4" a="1"/>
  <c r="CC12" i="4" a="1"/>
  <c r="CL12" i="4" a="1"/>
  <c r="CE12" i="4" a="1"/>
  <c r="CF12" i="4" a="1"/>
  <c r="CI12" i="4" a="1"/>
  <c r="CG12" i="4" a="1"/>
  <c r="AE12" i="4" a="1"/>
  <c r="CD12" i="4" a="1"/>
  <c r="CN12" i="4" a="1"/>
  <c r="BP12" i="4" a="1"/>
  <c r="CT12" i="4"/>
  <c r="AK12" i="4" a="1"/>
  <c r="CH12" i="4"/>
  <c r="AM12" i="4" a="1"/>
  <c r="CB12" i="4" a="1"/>
  <c r="CJ12" i="4" a="1"/>
  <c r="AM25" i="4" a="1"/>
  <c r="AC25" i="4" a="1"/>
  <c r="CF25" i="4" a="1"/>
  <c r="CM25" i="4" a="1"/>
  <c r="CB25" i="4" a="1"/>
  <c r="CT25" i="4"/>
  <c r="CE25" i="4" a="1"/>
  <c r="CK25" i="4" a="1"/>
  <c r="CG25" i="4" a="1"/>
  <c r="CC25" i="4" a="1"/>
  <c r="AK25" i="4" a="1"/>
  <c r="CJ25" i="4" a="1"/>
  <c r="CD25" i="4" a="1"/>
  <c r="CN25" i="4" a="1"/>
  <c r="CH25" i="4"/>
  <c r="AE25" i="4" a="1"/>
  <c r="CL25" i="4" a="1"/>
  <c r="BN25" i="4" a="1"/>
  <c r="CI25" i="4" a="1"/>
  <c r="CQ25" i="4"/>
  <c r="BP25" i="4" a="1"/>
  <c r="AE68" i="4" a="1"/>
  <c r="CQ68" i="4"/>
  <c r="BP68" i="4" a="1"/>
  <c r="CK68" i="4" a="1"/>
  <c r="CE68" i="4" a="1"/>
  <c r="AC68" i="4" a="1"/>
  <c r="CF68" i="4" a="1"/>
  <c r="CJ68" i="4" a="1"/>
  <c r="CD68" i="4" a="1"/>
  <c r="CH68" i="4"/>
  <c r="AK68" i="4" a="1"/>
  <c r="BN68" i="4" a="1"/>
  <c r="CC68" i="4" a="1"/>
  <c r="CN68" i="4" a="1"/>
  <c r="AM68" i="4" a="1"/>
  <c r="CI68" i="4" a="1"/>
  <c r="CL68" i="4" a="1"/>
  <c r="CB68" i="4" a="1"/>
  <c r="CG68" i="4" a="1"/>
  <c r="CM68" i="4" a="1"/>
  <c r="CT68" i="4"/>
  <c r="AF58" i="4" a="1"/>
  <c r="AG58" i="4" a="1"/>
  <c r="CG57" i="4" a="1"/>
  <c r="AE57" i="4" a="1"/>
  <c r="CB57" i="4" a="1"/>
  <c r="AK57" i="4" a="1"/>
  <c r="CD57" i="4" a="1"/>
  <c r="BP57" i="4" a="1"/>
  <c r="CM57" i="4" a="1"/>
  <c r="CQ57" i="4"/>
  <c r="AC57" i="4" a="1"/>
  <c r="CH57" i="4"/>
  <c r="CN57" i="4" a="1"/>
  <c r="CT57" i="4"/>
  <c r="CF57" i="4" a="1"/>
  <c r="CL57" i="4" a="1"/>
  <c r="CI57" i="4" a="1"/>
  <c r="CK57" i="4" a="1"/>
  <c r="CC57" i="4" a="1"/>
  <c r="CE57" i="4" a="1"/>
  <c r="CJ57" i="4" a="1"/>
  <c r="BN57" i="4" a="1"/>
  <c r="AM57" i="4" a="1"/>
  <c r="CB33" i="4" a="1"/>
  <c r="BN33" i="4" a="1"/>
  <c r="AM33" i="4" a="1"/>
  <c r="BP33" i="4" a="1"/>
  <c r="CK33" i="4" a="1"/>
  <c r="CQ33" i="4"/>
  <c r="AE33" i="4" a="1"/>
  <c r="CG33" i="4" a="1"/>
  <c r="CJ33" i="4" a="1"/>
  <c r="CI33" i="4" a="1"/>
  <c r="CF33" i="4" a="1"/>
  <c r="CT33" i="4"/>
  <c r="CM33" i="4" a="1"/>
  <c r="CN33" i="4" a="1"/>
  <c r="CE33" i="4" a="1"/>
  <c r="CL33" i="4" a="1"/>
  <c r="AK33" i="4" a="1"/>
  <c r="CH33" i="4"/>
  <c r="CD33" i="4" a="1"/>
  <c r="AC33" i="4" a="1"/>
  <c r="CC33" i="4" a="1"/>
  <c r="CG56" i="4" a="1"/>
  <c r="CI56" i="4" a="1"/>
  <c r="CH56" i="4"/>
  <c r="AE56" i="4" a="1"/>
  <c r="CE56" i="4" a="1"/>
  <c r="CD56" i="4" a="1"/>
  <c r="CN56" i="4" a="1"/>
  <c r="CT56" i="4"/>
  <c r="CB56" i="4" a="1"/>
  <c r="CQ56" i="4"/>
  <c r="CF56" i="4" a="1"/>
  <c r="CK56" i="4" a="1"/>
  <c r="AK56" i="4" a="1"/>
  <c r="CJ56" i="4" a="1"/>
  <c r="AC56" i="4" a="1"/>
  <c r="CC56" i="4" a="1"/>
  <c r="CL56" i="4" a="1"/>
  <c r="AM56" i="4" a="1"/>
  <c r="CM56" i="4" a="1"/>
  <c r="BP56" i="4" a="1"/>
  <c r="BN56" i="4" a="1"/>
  <c r="AE73" i="4" a="1"/>
  <c r="CQ73" i="4"/>
  <c r="CG73" i="4" a="1"/>
  <c r="CD73" i="4" a="1"/>
  <c r="CB73" i="4" a="1"/>
  <c r="CM73" i="4" a="1"/>
  <c r="CL73" i="4" a="1"/>
  <c r="CK73" i="4" a="1"/>
  <c r="CF73" i="4" a="1"/>
  <c r="CE73" i="4" a="1"/>
  <c r="CH73" i="4"/>
  <c r="BN73" i="4" a="1"/>
  <c r="AK73" i="4" a="1"/>
  <c r="CN73" i="4" a="1"/>
  <c r="CT73" i="4"/>
  <c r="AM73" i="4" a="1"/>
  <c r="AC73" i="4" a="1"/>
  <c r="BP73" i="4" a="1"/>
  <c r="CI73" i="4" a="1"/>
  <c r="CJ73" i="4" a="1"/>
  <c r="CC73" i="4" a="1"/>
  <c r="CK90" i="4" a="1"/>
  <c r="CD90" i="4" a="1"/>
  <c r="AE90" i="4" a="1"/>
  <c r="CQ90" i="4"/>
  <c r="CE90" i="4" a="1"/>
  <c r="CJ90" i="4" a="1"/>
  <c r="CI90" i="4" a="1"/>
  <c r="AC90" i="4" a="1"/>
  <c r="AK90" i="4" a="1"/>
  <c r="CL90" i="4" a="1"/>
  <c r="AM90" i="4" a="1"/>
  <c r="CM90" i="4" a="1"/>
  <c r="CG90" i="4" a="1"/>
  <c r="CH90" i="4"/>
  <c r="CB90" i="4" a="1"/>
  <c r="CC90" i="4" a="1"/>
  <c r="CF90" i="4" a="1"/>
  <c r="BN90" i="4" a="1"/>
  <c r="CN90" i="4" a="1"/>
  <c r="CT90" i="4"/>
  <c r="BP90" i="4" a="1"/>
  <c r="AE45" i="4" a="1"/>
  <c r="CL45" i="4" a="1"/>
  <c r="CT45" i="4"/>
  <c r="CI45" i="4" a="1"/>
  <c r="CE45" i="4" a="1"/>
  <c r="CC45" i="4" a="1"/>
  <c r="CF45" i="4" a="1"/>
  <c r="CG45" i="4" a="1"/>
  <c r="BP45" i="4" a="1"/>
  <c r="CM45" i="4" a="1"/>
  <c r="CJ45" i="4" a="1"/>
  <c r="AC45" i="4" a="1"/>
  <c r="AK45" i="4" a="1"/>
  <c r="CN45" i="4" a="1"/>
  <c r="BN45" i="4" a="1"/>
  <c r="AM45" i="4" a="1"/>
  <c r="CQ45" i="4"/>
  <c r="CK45" i="4" a="1"/>
  <c r="CH45" i="4"/>
  <c r="CD45" i="4" a="1"/>
  <c r="CB45" i="4" a="1"/>
  <c r="CN28" i="4" a="1"/>
  <c r="CQ28" i="4"/>
  <c r="CD28" i="4" a="1"/>
  <c r="CT28" i="4"/>
  <c r="CC28" i="4" a="1"/>
  <c r="CH28" i="4"/>
  <c r="AE28" i="4" a="1"/>
  <c r="CB28" i="4" a="1"/>
  <c r="AC28" i="4" a="1"/>
  <c r="BN28" i="4" a="1"/>
  <c r="CI28" i="4" a="1"/>
  <c r="CJ28" i="4" a="1"/>
  <c r="BP28" i="4" a="1"/>
  <c r="AM28" i="4" a="1"/>
  <c r="CK28" i="4" a="1"/>
  <c r="CF28" i="4" a="1"/>
  <c r="CL28" i="4" a="1"/>
  <c r="AK28" i="4" a="1"/>
  <c r="CM28" i="4" a="1"/>
  <c r="CE28" i="4" a="1"/>
  <c r="CG28" i="4" a="1"/>
  <c r="CB67" i="4" a="1"/>
  <c r="CH67" i="4"/>
  <c r="CM67" i="4" a="1"/>
  <c r="CK67" i="4" a="1"/>
  <c r="CD67" i="4" a="1"/>
  <c r="CF67" i="4" a="1"/>
  <c r="AK67" i="4" a="1"/>
  <c r="BN67" i="4" a="1"/>
  <c r="BP67" i="4" a="1"/>
  <c r="CT67" i="4"/>
  <c r="AM67" i="4" a="1"/>
  <c r="CG67" i="4" a="1"/>
  <c r="CN67" i="4" a="1"/>
  <c r="CL67" i="4" a="1"/>
  <c r="CQ67" i="4"/>
  <c r="CJ67" i="4" a="1"/>
  <c r="CE67" i="4" a="1"/>
  <c r="CI67" i="4" a="1"/>
  <c r="CC67" i="4" a="1"/>
  <c r="AC67" i="4" a="1"/>
  <c r="AE67" i="4" a="1"/>
  <c r="CT84" i="4"/>
  <c r="CH84" i="4"/>
  <c r="AE84" i="4" a="1"/>
  <c r="CF84" i="4" a="1"/>
  <c r="CB84" i="4" a="1"/>
  <c r="CK84" i="4" a="1"/>
  <c r="CN84" i="4" a="1"/>
  <c r="CM84" i="4" a="1"/>
  <c r="BN84" i="4" a="1"/>
  <c r="AK84" i="4" a="1"/>
  <c r="AM84" i="4" a="1"/>
  <c r="CQ84" i="4"/>
  <c r="CL84" i="4" a="1"/>
  <c r="CE84" i="4" a="1"/>
  <c r="BP84" i="4" a="1"/>
  <c r="CD84" i="4" a="1"/>
  <c r="CJ84" i="4" a="1"/>
  <c r="CI84" i="4" a="1"/>
  <c r="CC84" i="4" a="1"/>
  <c r="CG84" i="4" a="1"/>
  <c r="AC84" i="4" a="1"/>
  <c r="BN42" i="4" a="1"/>
  <c r="BP42" i="4" a="1"/>
  <c r="CK42" i="4" a="1"/>
  <c r="CD42" i="4" a="1"/>
  <c r="CM42" i="4" a="1"/>
  <c r="CT42" i="4"/>
  <c r="CF42" i="4" a="1"/>
  <c r="CG42" i="4" a="1"/>
  <c r="CE42" i="4" a="1"/>
  <c r="CB42" i="4" a="1"/>
  <c r="CQ42" i="4"/>
  <c r="CN42" i="4" a="1"/>
  <c r="CL42" i="4" a="1"/>
  <c r="CI42" i="4" a="1"/>
  <c r="CH42" i="4"/>
  <c r="AK42" i="4" a="1"/>
  <c r="CC42" i="4" a="1"/>
  <c r="AM42" i="4" a="1"/>
  <c r="CJ42" i="4" a="1"/>
  <c r="AE42" i="4" a="1"/>
  <c r="AC42" i="4" a="1"/>
  <c r="AJ58" i="4" a="1"/>
  <c r="AI58" i="4" a="1"/>
  <c r="CG19" i="4" a="1"/>
  <c r="CD19" i="4" a="1"/>
  <c r="BP19" i="4" a="1"/>
  <c r="CQ19" i="4"/>
  <c r="AK19" i="4" a="1"/>
  <c r="CE19" i="4" a="1"/>
  <c r="CH19" i="4"/>
  <c r="AM19" i="4" a="1"/>
  <c r="CK19" i="4" a="1"/>
  <c r="AE19" i="4" a="1"/>
  <c r="CT19" i="4"/>
  <c r="CM19" i="4" a="1"/>
  <c r="CC19" i="4" a="1"/>
  <c r="CB19" i="4" a="1"/>
  <c r="CL19" i="4" a="1"/>
  <c r="BN19" i="4" a="1"/>
  <c r="CN19" i="4" a="1"/>
  <c r="CF19" i="4" a="1"/>
  <c r="CJ19" i="4" a="1"/>
  <c r="CI19" i="4" a="1"/>
  <c r="AC19" i="4" a="1"/>
  <c r="CN38" i="4" a="1"/>
  <c r="CL38" i="4" a="1"/>
  <c r="CH38" i="4"/>
  <c r="BN38" i="4" a="1"/>
  <c r="AC38" i="4" a="1"/>
  <c r="AM38" i="4" a="1"/>
  <c r="CB38" i="4" a="1"/>
  <c r="CK38" i="4" a="1"/>
  <c r="CE38" i="4" a="1"/>
  <c r="CG38" i="4" a="1"/>
  <c r="CM38" i="4" a="1"/>
  <c r="AE38" i="4" a="1"/>
  <c r="CJ38" i="4" a="1"/>
  <c r="CI38" i="4" a="1"/>
  <c r="BP38" i="4" a="1"/>
  <c r="CD38" i="4" a="1"/>
  <c r="CQ38" i="4"/>
  <c r="CT38" i="4"/>
  <c r="CC38" i="4" a="1"/>
  <c r="CF38" i="4" a="1"/>
  <c r="AK38" i="4" a="1"/>
  <c r="CJ44" i="4" a="1"/>
  <c r="CB44" i="4" a="1"/>
  <c r="BN44" i="4" a="1"/>
  <c r="AE44" i="4" a="1"/>
  <c r="CN44" i="4" a="1"/>
  <c r="AM44" i="4" a="1"/>
  <c r="BP44" i="4" a="1"/>
  <c r="CE44" i="4" a="1"/>
  <c r="CQ44" i="4"/>
  <c r="CF44" i="4" a="1"/>
  <c r="CI44" i="4" a="1"/>
  <c r="AK44" i="4" a="1"/>
  <c r="CL44" i="4" a="1"/>
  <c r="CH44" i="4"/>
  <c r="AC44" i="4" a="1"/>
  <c r="CK44" i="4" a="1"/>
  <c r="CD44" i="4" a="1"/>
  <c r="CM44" i="4" a="1"/>
  <c r="CG44" i="4" a="1"/>
  <c r="CT44" i="4"/>
  <c r="CC44" i="4" a="1"/>
  <c r="CG81" i="4" a="1"/>
  <c r="CK81" i="4" a="1"/>
  <c r="CE81" i="4" a="1"/>
  <c r="AM81" i="4" a="1"/>
  <c r="AK81" i="4" a="1"/>
  <c r="CT81" i="4"/>
  <c r="CD81" i="4" a="1"/>
  <c r="CM81" i="4" a="1"/>
  <c r="CC81" i="4" a="1"/>
  <c r="CB81" i="4" a="1"/>
  <c r="CQ81" i="4"/>
  <c r="BN81" i="4" a="1"/>
  <c r="AC81" i="4" a="1"/>
  <c r="CJ81" i="4" a="1"/>
  <c r="CH81" i="4"/>
  <c r="AE81" i="4" a="1"/>
  <c r="CN81" i="4" a="1"/>
  <c r="BP81" i="4" a="1"/>
  <c r="CL81" i="4" a="1"/>
  <c r="CI81" i="4" a="1"/>
  <c r="CF81" i="4" a="1"/>
  <c r="CD21" i="4" a="1"/>
  <c r="CC21" i="4" a="1"/>
  <c r="CM21" i="4" a="1"/>
  <c r="BP21" i="4" a="1"/>
  <c r="CE21" i="4" a="1"/>
  <c r="AE21" i="4" a="1"/>
  <c r="CQ21" i="4"/>
  <c r="CL21" i="4" a="1"/>
  <c r="CF21" i="4" a="1"/>
  <c r="CH21" i="4"/>
  <c r="CI21" i="4" a="1"/>
  <c r="BN21" i="4" a="1"/>
  <c r="CG21" i="4" a="1"/>
  <c r="CJ21" i="4" a="1"/>
  <c r="CN21" i="4" a="1"/>
  <c r="CK21" i="4" a="1"/>
  <c r="AC21" i="4" a="1"/>
  <c r="AM21" i="4" a="1"/>
  <c r="CB21" i="4" a="1"/>
  <c r="CT21" i="4"/>
  <c r="AK21" i="4" a="1"/>
  <c r="AM80" i="4" a="1"/>
  <c r="AK80" i="4" a="1"/>
  <c r="BN80" i="4" a="1"/>
  <c r="CG80" i="4" a="1"/>
  <c r="CF80" i="4" a="1"/>
  <c r="CQ80" i="4"/>
  <c r="CL80" i="4" a="1"/>
  <c r="AC80" i="4" a="1"/>
  <c r="CH80" i="4"/>
  <c r="CM80" i="4" a="1"/>
  <c r="BP80" i="4" a="1"/>
  <c r="CD80" i="4" a="1"/>
  <c r="CT80" i="4"/>
  <c r="CK80" i="4" a="1"/>
  <c r="AE80" i="4" a="1"/>
  <c r="CI80" i="4" a="1"/>
  <c r="CJ80" i="4" a="1"/>
  <c r="CC80" i="4" a="1"/>
  <c r="CB80" i="4" a="1"/>
  <c r="CE80" i="4" a="1"/>
  <c r="CN80" i="4" a="1"/>
  <c r="AE92" i="4" a="1"/>
  <c r="CN92" i="4" a="1"/>
  <c r="CD92" i="4" a="1"/>
  <c r="CB92" i="4" a="1"/>
  <c r="BP92" i="4" a="1"/>
  <c r="CT92" i="4"/>
  <c r="AM92" i="4" a="1"/>
  <c r="AK92" i="4" a="1"/>
  <c r="CJ92" i="4" a="1"/>
  <c r="CE92" i="4" a="1"/>
  <c r="CF92" i="4" a="1"/>
  <c r="CQ92" i="4"/>
  <c r="CI92" i="4" a="1"/>
  <c r="CL92" i="4" a="1"/>
  <c r="CC92" i="4" a="1"/>
  <c r="BN92" i="4" a="1"/>
  <c r="CG92" i="4" a="1"/>
  <c r="CH92" i="4"/>
  <c r="AC92" i="4" a="1"/>
  <c r="CK92" i="4" a="1"/>
  <c r="CM92" i="4" a="1"/>
  <c r="CL85" i="4" a="1"/>
  <c r="CI85" i="4" a="1"/>
  <c r="CB85" i="4" a="1"/>
  <c r="CM85" i="4" a="1"/>
  <c r="CH85" i="4"/>
  <c r="AE85" i="4" a="1"/>
  <c r="CF85" i="4" a="1"/>
  <c r="CJ85" i="4" a="1"/>
  <c r="CN85" i="4" a="1"/>
  <c r="AM85" i="4" a="1"/>
  <c r="BP85" i="4" a="1"/>
  <c r="CG85" i="4" a="1"/>
  <c r="AK85" i="4" a="1"/>
  <c r="BN85" i="4" a="1"/>
  <c r="CE85" i="4" a="1"/>
  <c r="CQ85" i="4"/>
  <c r="AC85" i="4" a="1"/>
  <c r="CK85" i="4" a="1"/>
  <c r="CC85" i="4" a="1"/>
  <c r="CD85" i="4" a="1"/>
  <c r="CT85" i="4"/>
  <c r="AK86" i="4" a="1"/>
  <c r="AM86" i="4" a="1"/>
  <c r="CE86" i="4" a="1"/>
  <c r="BP86" i="4" a="1"/>
  <c r="CD86" i="4" a="1"/>
  <c r="CL86" i="4" a="1"/>
  <c r="AE86" i="4" a="1"/>
  <c r="CM86" i="4" a="1"/>
  <c r="CF86" i="4" a="1"/>
  <c r="CH86" i="4"/>
  <c r="BN86" i="4" a="1"/>
  <c r="CB86" i="4" a="1"/>
  <c r="CQ86" i="4"/>
  <c r="CJ86" i="4" a="1"/>
  <c r="CC86" i="4" a="1"/>
  <c r="AC86" i="4" a="1"/>
  <c r="CI86" i="4" a="1"/>
  <c r="CK86" i="4" a="1"/>
  <c r="CN86" i="4" a="1"/>
  <c r="CT86" i="4"/>
  <c r="CG86" i="4" a="1"/>
  <c r="CE31" i="4" a="1"/>
  <c r="CG31" i="4" a="1"/>
  <c r="CN31" i="4" a="1"/>
  <c r="CK31" i="4" a="1"/>
  <c r="CT31" i="4"/>
  <c r="BP31" i="4" a="1"/>
  <c r="CH31" i="4"/>
  <c r="BN31" i="4" a="1"/>
  <c r="CC31" i="4" a="1"/>
  <c r="AM31" i="4" a="1"/>
  <c r="CF31" i="4" a="1"/>
  <c r="AE31" i="4" a="1"/>
  <c r="CQ31" i="4"/>
  <c r="CL31" i="4" a="1"/>
  <c r="CI31" i="4" a="1"/>
  <c r="CB31" i="4" a="1"/>
  <c r="CJ31" i="4" a="1"/>
  <c r="CM31" i="4" a="1"/>
  <c r="AC31" i="4" a="1"/>
  <c r="CD31" i="4" a="1"/>
  <c r="AK31" i="4" a="1"/>
  <c r="CH49" i="4"/>
  <c r="CC49" i="4" a="1"/>
  <c r="AM49" i="4" a="1"/>
  <c r="AK49" i="4" a="1"/>
  <c r="CM49" i="4" a="1"/>
  <c r="BN49" i="4" a="1"/>
  <c r="AC49" i="4" a="1"/>
  <c r="CD49" i="4" a="1"/>
  <c r="CK49" i="4" a="1"/>
  <c r="CL49" i="4" a="1"/>
  <c r="CE49" i="4" a="1"/>
  <c r="CN49" i="4" a="1"/>
  <c r="CQ49" i="4"/>
  <c r="BP49" i="4" a="1"/>
  <c r="CF49" i="4" a="1"/>
  <c r="CJ49" i="4" a="1"/>
  <c r="CI49" i="4" a="1"/>
  <c r="CB49" i="4" a="1"/>
  <c r="AE49" i="4" a="1"/>
  <c r="CT49" i="4"/>
  <c r="CG49" i="4" a="1"/>
  <c r="AK72" i="4" a="1"/>
  <c r="CK72" i="4" a="1"/>
  <c r="CE72" i="4" a="1"/>
  <c r="CQ72" i="4"/>
  <c r="CC72" i="4" a="1"/>
  <c r="CL72" i="4" a="1"/>
  <c r="CH72" i="4"/>
  <c r="AC72" i="4" a="1"/>
  <c r="CI72" i="4" a="1"/>
  <c r="AE72" i="4" a="1"/>
  <c r="BP72" i="4" a="1"/>
  <c r="CD72" i="4" a="1"/>
  <c r="CM72" i="4" a="1"/>
  <c r="CF72" i="4" a="1"/>
  <c r="CJ72" i="4" a="1"/>
  <c r="BN72" i="4" a="1"/>
  <c r="CN72" i="4" a="1"/>
  <c r="CB72" i="4" a="1"/>
  <c r="CT72" i="4"/>
  <c r="CG72" i="4" a="1"/>
  <c r="AM72" i="4" a="1"/>
  <c r="CB5" i="4" a="1"/>
  <c r="AC5" i="4" a="1"/>
  <c r="CG5" i="4" a="1"/>
  <c r="CC5" i="4" a="1"/>
  <c r="AE5" i="4" a="1"/>
  <c r="AM5" i="4" a="1"/>
  <c r="CH5" i="4"/>
  <c r="CE5" i="4" a="1"/>
  <c r="BP5" i="4" a="1"/>
  <c r="BN5" i="4" a="1"/>
  <c r="CK5" i="4" a="1"/>
  <c r="CT5" i="4"/>
  <c r="CF5" i="4" a="1"/>
  <c r="CQ5" i="4"/>
  <c r="CD5" i="4" a="1"/>
  <c r="CL5" i="4" a="1"/>
  <c r="CN5" i="4" a="1"/>
  <c r="CM5" i="4" a="1"/>
  <c r="CI5" i="4" a="1"/>
  <c r="CJ5" i="4" a="1"/>
  <c r="AK5" i="4" a="1"/>
  <c r="BP29" i="4" a="1"/>
  <c r="AC29" i="4" a="1"/>
  <c r="CB29" i="4" a="1"/>
  <c r="AE29" i="4" a="1"/>
  <c r="CI29" i="4" a="1"/>
  <c r="BN29" i="4" a="1"/>
  <c r="CC29" i="4" a="1"/>
  <c r="AK29" i="4" a="1"/>
  <c r="CN29" i="4" a="1"/>
  <c r="CQ29" i="4"/>
  <c r="CE29" i="4" a="1"/>
  <c r="AM29" i="4" a="1"/>
  <c r="CH29" i="4"/>
  <c r="CJ29" i="4" a="1"/>
  <c r="CM29" i="4" a="1"/>
  <c r="CG29" i="4" a="1"/>
  <c r="CK29" i="4" a="1"/>
  <c r="CD29" i="4" a="1"/>
  <c r="CT29" i="4"/>
  <c r="CL29" i="4" a="1"/>
  <c r="CF29" i="4" a="1"/>
  <c r="AM18" i="4" a="1"/>
  <c r="CM18" i="4" a="1"/>
  <c r="CT18" i="4"/>
  <c r="CN18" i="4" a="1"/>
  <c r="CL18" i="4" a="1"/>
  <c r="CI18" i="4" a="1"/>
  <c r="CC18" i="4" a="1"/>
  <c r="CK18" i="4" a="1"/>
  <c r="CJ18" i="4" a="1"/>
  <c r="CH18" i="4"/>
  <c r="CQ18" i="4"/>
  <c r="CG18" i="4" a="1"/>
  <c r="CF18" i="4" a="1"/>
  <c r="CE18" i="4" a="1"/>
  <c r="AE18" i="4" a="1"/>
  <c r="CD18" i="4" a="1"/>
  <c r="AC18" i="4" a="1"/>
  <c r="BP18" i="4" a="1"/>
  <c r="CB18" i="4" a="1"/>
  <c r="AK18" i="4" a="1"/>
  <c r="BN18" i="4" a="1"/>
  <c r="CK65" i="4" a="1"/>
  <c r="CQ65" i="4"/>
  <c r="CB65" i="4" a="1"/>
  <c r="CL65" i="4" a="1"/>
  <c r="CH65" i="4"/>
  <c r="AC65" i="4" a="1"/>
  <c r="CI65" i="4" a="1"/>
  <c r="CD65" i="4" a="1"/>
  <c r="CN65" i="4" a="1"/>
  <c r="BN65" i="4" a="1"/>
  <c r="CC65" i="4" a="1"/>
  <c r="BP65" i="4" a="1"/>
  <c r="CE65" i="4" a="1"/>
  <c r="AM65" i="4" a="1"/>
  <c r="CM65" i="4" a="1"/>
  <c r="AE65" i="4" a="1"/>
  <c r="CG65" i="4" a="1"/>
  <c r="AK65" i="4" a="1"/>
  <c r="CF65" i="4" a="1"/>
  <c r="CJ65" i="4" a="1"/>
  <c r="CT65" i="4"/>
  <c r="CG77" i="4" a="1"/>
  <c r="AM77" i="4" a="1"/>
  <c r="CF77" i="4" a="1"/>
  <c r="AE77" i="4" a="1"/>
  <c r="CD77" i="4" a="1"/>
  <c r="CI77" i="4" a="1"/>
  <c r="CH77" i="4"/>
  <c r="AC77" i="4" a="1"/>
  <c r="CN77" i="4" a="1"/>
  <c r="CK77" i="4" a="1"/>
  <c r="BN77" i="4" a="1"/>
  <c r="CL77" i="4" a="1"/>
  <c r="CQ77" i="4"/>
  <c r="AK77" i="4" a="1"/>
  <c r="CM77" i="4" a="1"/>
  <c r="CB77" i="4" a="1"/>
  <c r="CJ77" i="4" a="1"/>
  <c r="BP77" i="4" a="1"/>
  <c r="CC77" i="4" a="1"/>
  <c r="CT77" i="4"/>
  <c r="CE77" i="4" a="1"/>
  <c r="CN43" i="4" a="1"/>
  <c r="AK43" i="4" a="1"/>
  <c r="AC43" i="4" a="1"/>
  <c r="CB43" i="4" a="1"/>
  <c r="BN43" i="4" a="1"/>
  <c r="AM43" i="4" a="1"/>
  <c r="CH43" i="4"/>
  <c r="CJ43" i="4" a="1"/>
  <c r="CD43" i="4" a="1"/>
  <c r="CK43" i="4" a="1"/>
  <c r="CQ43" i="4"/>
  <c r="CT43" i="4"/>
  <c r="CI43" i="4" a="1"/>
  <c r="AE43" i="4" a="1"/>
  <c r="CG43" i="4" a="1"/>
  <c r="CC43" i="4" a="1"/>
  <c r="CM43" i="4" a="1"/>
  <c r="CL43" i="4" a="1"/>
  <c r="CE43" i="4" a="1"/>
  <c r="CF43" i="4" a="1"/>
  <c r="BP43" i="4" a="1"/>
  <c r="CI39" i="4" a="1"/>
  <c r="CH39" i="4"/>
  <c r="CK39" i="4" a="1"/>
  <c r="CT39" i="4"/>
  <c r="CB39" i="4" a="1"/>
  <c r="CQ39" i="4"/>
  <c r="CG39" i="4" a="1"/>
  <c r="AK39" i="4" a="1"/>
  <c r="AE39" i="4" a="1"/>
  <c r="AM39" i="4" a="1"/>
  <c r="CJ39" i="4" a="1"/>
  <c r="CM39" i="4" a="1"/>
  <c r="AC39" i="4" a="1"/>
  <c r="BN39" i="4" a="1"/>
  <c r="CL39" i="4" a="1"/>
  <c r="CC39" i="4" a="1"/>
  <c r="CE39" i="4" a="1"/>
  <c r="BP39" i="4" a="1"/>
  <c r="CN39" i="4" a="1"/>
  <c r="CD39" i="4" a="1"/>
  <c r="CF39" i="4" a="1"/>
  <c r="CL34" i="4" a="1"/>
  <c r="CT34" i="4"/>
  <c r="CD34" i="4" a="1"/>
  <c r="BP34" i="4" a="1"/>
  <c r="AC34" i="4" a="1"/>
  <c r="CB34" i="4" a="1"/>
  <c r="CK34" i="4" a="1"/>
  <c r="AM34" i="4" a="1"/>
  <c r="CM34" i="4" a="1"/>
  <c r="AK34" i="4" a="1"/>
  <c r="CQ34" i="4"/>
  <c r="CE34" i="4" a="1"/>
  <c r="BN34" i="4" a="1"/>
  <c r="AE34" i="4" a="1"/>
  <c r="CJ34" i="4" a="1"/>
  <c r="CN34" i="4" a="1"/>
  <c r="CF34" i="4" a="1"/>
  <c r="CC34" i="4" a="1"/>
  <c r="CI34" i="4" a="1"/>
  <c r="CG34" i="4" a="1"/>
  <c r="CH34" i="4"/>
  <c r="CK11" i="4" a="1"/>
  <c r="CN11" i="4" a="1"/>
  <c r="CJ11" i="4" a="1"/>
  <c r="CF11" i="4" a="1"/>
  <c r="CE11" i="4" a="1"/>
  <c r="CC11" i="4" a="1"/>
  <c r="AK11" i="4" a="1"/>
  <c r="BN11" i="4" a="1"/>
  <c r="CG11" i="4" a="1"/>
  <c r="CB11" i="4" a="1"/>
  <c r="CD11" i="4" a="1"/>
  <c r="BP11" i="4" a="1"/>
  <c r="CI11" i="4" a="1"/>
  <c r="CM11" i="4" a="1"/>
  <c r="AM11" i="4" a="1"/>
  <c r="AE11" i="4" a="1"/>
  <c r="CQ11" i="4"/>
  <c r="CH11" i="4"/>
  <c r="AC11" i="4" a="1"/>
  <c r="CT11" i="4"/>
  <c r="CL11" i="4" a="1"/>
  <c r="CN24" i="4" a="1"/>
  <c r="BP24" i="4" a="1"/>
  <c r="AM24" i="4" a="1"/>
  <c r="AE24" i="4" a="1"/>
  <c r="CE24" i="4" a="1"/>
  <c r="CI24" i="4" a="1"/>
  <c r="CH24" i="4"/>
  <c r="AC24" i="4" a="1"/>
  <c r="CD24" i="4" a="1"/>
  <c r="CC24" i="4" a="1"/>
  <c r="CF24" i="4" a="1"/>
  <c r="CM24" i="4" a="1"/>
  <c r="CK24" i="4" a="1"/>
  <c r="CB24" i="4" a="1"/>
  <c r="CL24" i="4" a="1"/>
  <c r="CG24" i="4" a="1"/>
  <c r="CQ24" i="4"/>
  <c r="CJ24" i="4" a="1"/>
  <c r="AK24" i="4" a="1"/>
  <c r="CT24" i="4"/>
  <c r="BN24" i="4" a="1"/>
  <c r="CG26" i="4" a="1"/>
  <c r="AK26" i="4" a="1"/>
  <c r="BP26" i="4" a="1"/>
  <c r="CI26" i="4" a="1"/>
  <c r="CT26" i="4"/>
  <c r="CH26" i="4"/>
  <c r="AC26" i="4" a="1"/>
  <c r="CL26" i="4" a="1"/>
  <c r="CN26" i="4" a="1"/>
  <c r="CK26" i="4" a="1"/>
  <c r="CM26" i="4" a="1"/>
  <c r="CC26" i="4" a="1"/>
  <c r="CF26" i="4" a="1"/>
  <c r="CE26" i="4" a="1"/>
  <c r="AM26" i="4" a="1"/>
  <c r="AE26" i="4" a="1"/>
  <c r="CQ26" i="4"/>
  <c r="CJ26" i="4" a="1"/>
  <c r="CB26" i="4" a="1"/>
  <c r="BN26" i="4" a="1"/>
  <c r="CD26" i="4" a="1"/>
  <c r="CT52" i="4"/>
  <c r="CE52" i="4" a="1"/>
  <c r="CG52" i="4" a="1"/>
  <c r="CC52" i="4" a="1"/>
  <c r="CD52" i="4" a="1"/>
  <c r="CI52" i="4" a="1"/>
  <c r="AK52" i="4" a="1"/>
  <c r="AE52" i="4" a="1"/>
  <c r="CL52" i="4" a="1"/>
  <c r="CJ52" i="4" a="1"/>
  <c r="BP52" i="4" a="1"/>
  <c r="CF52" i="4" a="1"/>
  <c r="AM52" i="4" a="1"/>
  <c r="CK52" i="4" a="1"/>
  <c r="CQ52" i="4"/>
  <c r="CN52" i="4" a="1"/>
  <c r="CM52" i="4" a="1"/>
  <c r="CH52" i="4"/>
  <c r="AC52" i="4" a="1"/>
  <c r="CB52" i="4" a="1"/>
  <c r="BN52" i="4" a="1"/>
  <c r="CD37" i="4" a="1"/>
  <c r="AC37" i="4" a="1"/>
  <c r="CF37" i="4" a="1"/>
  <c r="CL37" i="4" a="1"/>
  <c r="AM37" i="4" a="1"/>
  <c r="CG37" i="4" a="1"/>
  <c r="BP37" i="4" a="1"/>
  <c r="CB37" i="4" a="1"/>
  <c r="CK37" i="4" a="1"/>
  <c r="CI37" i="4" a="1"/>
  <c r="CT37" i="4"/>
  <c r="CE37" i="4" a="1"/>
  <c r="CC37" i="4" a="1"/>
  <c r="CM37" i="4" a="1"/>
  <c r="CJ37" i="4" a="1"/>
  <c r="CN37" i="4" a="1"/>
  <c r="CQ37" i="4"/>
  <c r="BN37" i="4" a="1"/>
  <c r="CH37" i="4"/>
  <c r="AK37" i="4" a="1"/>
  <c r="AE37" i="4" a="1"/>
  <c r="CT61" i="4"/>
  <c r="CM61" i="4" a="1"/>
  <c r="CI61" i="4" a="1"/>
  <c r="CJ61" i="4" a="1"/>
  <c r="AK61" i="4" a="1"/>
  <c r="CQ61" i="4"/>
  <c r="AM61" i="4" a="1"/>
  <c r="CF61" i="4" a="1"/>
  <c r="CH61" i="4"/>
  <c r="CK61" i="4" a="1"/>
  <c r="CN61" i="4" a="1"/>
  <c r="CC61" i="4" a="1"/>
  <c r="BN61" i="4" a="1"/>
  <c r="CB61" i="4" a="1"/>
  <c r="AC61" i="4" a="1"/>
  <c r="CL61" i="4" a="1"/>
  <c r="CD61" i="4" a="1"/>
  <c r="CG61" i="4" a="1"/>
  <c r="BP61" i="4" a="1"/>
  <c r="AE61" i="4" a="1"/>
  <c r="CE61" i="4" a="1"/>
  <c r="B58" i="1" a="1"/>
  <c r="BN13" i="4" a="1"/>
  <c r="CJ13" i="4" a="1"/>
  <c r="AC13" i="4" a="1"/>
  <c r="CI13" i="4" a="1"/>
  <c r="CK13" i="4" a="1"/>
  <c r="CH13" i="4"/>
  <c r="BP13" i="4" a="1"/>
  <c r="CG13" i="4" a="1"/>
  <c r="CQ13" i="4"/>
  <c r="AK13" i="4" a="1"/>
  <c r="AE13" i="4" a="1"/>
  <c r="CM13" i="4" a="1"/>
  <c r="CB13" i="4" a="1"/>
  <c r="CE13" i="4" a="1"/>
  <c r="CC13" i="4" a="1"/>
  <c r="AM13" i="4" a="1"/>
  <c r="CT13" i="4"/>
  <c r="CD13" i="4" a="1"/>
  <c r="CN13" i="4" a="1"/>
  <c r="CL13" i="4" a="1"/>
  <c r="CF13" i="4" a="1"/>
  <c r="CB75" i="4" a="1"/>
  <c r="CG75" i="4" a="1"/>
  <c r="BP75" i="4" a="1"/>
  <c r="AC75" i="4" a="1"/>
  <c r="BN75" i="4" a="1"/>
  <c r="CH75" i="4"/>
  <c r="CL75" i="4" a="1"/>
  <c r="AM75" i="4" a="1"/>
  <c r="CD75" i="4" a="1"/>
  <c r="CE75" i="4" a="1"/>
  <c r="CQ75" i="4"/>
  <c r="CC75" i="4" a="1"/>
  <c r="CK75" i="4" a="1"/>
  <c r="CM75" i="4" a="1"/>
  <c r="CI75" i="4" a="1"/>
  <c r="CT75" i="4"/>
  <c r="AK75" i="4" a="1"/>
  <c r="AE75" i="4" a="1"/>
  <c r="CN75" i="4" a="1"/>
  <c r="CJ75" i="4" a="1"/>
  <c r="CF75" i="4" a="1"/>
  <c r="BP70" i="4" a="1"/>
  <c r="BN70" i="4" a="1"/>
  <c r="CD70" i="4" a="1"/>
  <c r="CG70" i="4" a="1"/>
  <c r="CF70" i="4" a="1"/>
  <c r="CJ70" i="4" a="1"/>
  <c r="CK70" i="4" a="1"/>
  <c r="AE70" i="4" a="1"/>
  <c r="CI70" i="4" a="1"/>
  <c r="CE70" i="4" a="1"/>
  <c r="CH70" i="4"/>
  <c r="CQ70" i="4"/>
  <c r="CT70" i="4"/>
  <c r="CL70" i="4" a="1"/>
  <c r="CC70" i="4" a="1"/>
  <c r="AM70" i="4" a="1"/>
  <c r="CB70" i="4" a="1"/>
  <c r="CM70" i="4" a="1"/>
  <c r="AK70" i="4" a="1"/>
  <c r="AC70" i="4" a="1"/>
  <c r="CN70" i="4" a="1"/>
  <c r="CB82" i="4" a="1"/>
  <c r="AK82" i="4" a="1"/>
  <c r="CH82" i="4"/>
  <c r="CL82" i="4" a="1"/>
  <c r="CK82" i="4" a="1"/>
  <c r="CT82" i="4"/>
  <c r="CE82" i="4" a="1"/>
  <c r="AM82" i="4" a="1"/>
  <c r="CF82" i="4" a="1"/>
  <c r="CC82" i="4" a="1"/>
  <c r="BN82" i="4" a="1"/>
  <c r="CJ82" i="4" a="1"/>
  <c r="BP82" i="4" a="1"/>
  <c r="CQ82" i="4"/>
  <c r="AC82" i="4" a="1"/>
  <c r="CD82" i="4" a="1"/>
  <c r="AE82" i="4" a="1"/>
  <c r="CG82" i="4" a="1"/>
  <c r="CI82" i="4" a="1"/>
  <c r="CM82" i="4" a="1"/>
  <c r="CN82" i="4" a="1"/>
  <c r="BP6" i="4" a="1"/>
  <c r="CI6" i="4" a="1"/>
  <c r="CK6" i="4" a="1"/>
  <c r="CB6" i="4" a="1"/>
  <c r="CT6" i="4"/>
  <c r="CQ6" i="4"/>
  <c r="AE6" i="4" a="1"/>
  <c r="CD6" i="4" a="1"/>
  <c r="AK6" i="4" a="1"/>
  <c r="CG6" i="4" a="1"/>
  <c r="CE6" i="4" a="1"/>
  <c r="AC6" i="4" a="1"/>
  <c r="BN6" i="4" a="1"/>
  <c r="CL6" i="4" a="1"/>
  <c r="CC6" i="4" a="1"/>
  <c r="CF6" i="4" a="1"/>
  <c r="CJ6" i="4" a="1"/>
  <c r="CH6" i="4"/>
  <c r="CN6" i="4" a="1"/>
  <c r="AM6" i="4" a="1"/>
  <c r="CM6" i="4" a="1"/>
  <c r="CD59" i="4" a="1"/>
  <c r="CK59" i="4" a="1"/>
  <c r="CL59" i="4" a="1"/>
  <c r="CT59" i="4"/>
  <c r="AE59" i="4" a="1"/>
  <c r="BN59" i="4" a="1"/>
  <c r="CI59" i="4" a="1"/>
  <c r="CQ59" i="4"/>
  <c r="CN59" i="4" a="1"/>
  <c r="CF59" i="4" a="1"/>
  <c r="CJ59" i="4" a="1"/>
  <c r="CH59" i="4"/>
  <c r="AM59" i="4" a="1"/>
  <c r="AC59" i="4" a="1"/>
  <c r="CB59" i="4" a="1"/>
  <c r="CC59" i="4" a="1"/>
  <c r="AK59" i="4" a="1"/>
  <c r="CG59" i="4" a="1"/>
  <c r="CE59" i="4" a="1"/>
  <c r="CM59" i="4" a="1"/>
  <c r="BP59" i="4" a="1"/>
  <c r="CE76" i="4" a="1"/>
  <c r="CI76" i="4" a="1"/>
  <c r="CN76" i="4" a="1"/>
  <c r="CL76" i="4" a="1"/>
  <c r="AM76" i="4" a="1"/>
  <c r="CK76" i="4" a="1"/>
  <c r="CC76" i="4" a="1"/>
  <c r="CQ76" i="4"/>
  <c r="AE76" i="4" a="1"/>
  <c r="BP76" i="4" a="1"/>
  <c r="CD76" i="4" a="1"/>
  <c r="CF76" i="4" a="1"/>
  <c r="BN76" i="4" a="1"/>
  <c r="CM76" i="4" a="1"/>
  <c r="CB76" i="4" a="1"/>
  <c r="AK76" i="4" a="1"/>
  <c r="CT76" i="4"/>
  <c r="CG76" i="4" a="1"/>
  <c r="CJ76" i="4" a="1"/>
  <c r="CH76" i="4"/>
  <c r="AC76" i="4" a="1"/>
  <c r="CM89" i="4" a="1"/>
  <c r="CK89" i="4" a="1"/>
  <c r="CC89" i="4" a="1"/>
  <c r="CL89" i="4" a="1"/>
  <c r="CB89" i="4" a="1"/>
  <c r="CD89" i="4" a="1"/>
  <c r="CE89" i="4" a="1"/>
  <c r="CT89" i="4"/>
  <c r="CJ89" i="4" a="1"/>
  <c r="CH89" i="4"/>
  <c r="BN89" i="4" a="1"/>
  <c r="CG89" i="4" a="1"/>
  <c r="CF89" i="4" a="1"/>
  <c r="AM89" i="4" a="1"/>
  <c r="CI89" i="4" a="1"/>
  <c r="CN89" i="4" a="1"/>
  <c r="CQ89" i="4"/>
  <c r="AC89" i="4" a="1"/>
  <c r="BP89" i="4" a="1"/>
  <c r="AE89" i="4" a="1"/>
  <c r="AK89" i="4" a="1"/>
  <c r="CH93" i="4"/>
  <c r="CG93" i="4" a="1"/>
  <c r="CT93" i="4"/>
  <c r="AE93" i="4" a="1"/>
  <c r="AM93" i="4" a="1"/>
  <c r="BN93" i="4" a="1"/>
  <c r="AK93" i="4" a="1"/>
  <c r="CE93" i="4" a="1"/>
  <c r="CB93" i="4" a="1"/>
  <c r="CQ93" i="4"/>
  <c r="CK93" i="4" a="1"/>
  <c r="CJ93" i="4" a="1"/>
  <c r="BP93" i="4" a="1"/>
  <c r="CI93" i="4" a="1"/>
  <c r="CN93" i="4" a="1"/>
  <c r="AC93" i="4" a="1"/>
  <c r="CD93" i="4" a="1"/>
  <c r="CF93" i="4" a="1"/>
  <c r="CM93" i="4" a="1"/>
  <c r="CL93" i="4" a="1"/>
  <c r="CC93" i="4" a="1"/>
  <c r="CQ7" i="4"/>
  <c r="CI7" i="4" a="1"/>
  <c r="CM7" i="4" a="1"/>
  <c r="CJ7" i="4" a="1"/>
  <c r="CK7" i="4" a="1"/>
  <c r="CB7" i="4" a="1"/>
  <c r="AC7" i="4" a="1"/>
  <c r="CF7" i="4" a="1"/>
  <c r="AM7" i="4" a="1"/>
  <c r="CL7" i="4" a="1"/>
  <c r="BN7" i="4" a="1"/>
  <c r="CC7" i="4" a="1"/>
  <c r="CG7" i="4" a="1"/>
  <c r="BP7" i="4" a="1"/>
  <c r="CD7" i="4" a="1"/>
  <c r="CH7" i="4"/>
  <c r="AK7" i="4" a="1"/>
  <c r="CE7" i="4" a="1"/>
  <c r="CT7" i="4"/>
  <c r="AE7" i="4" a="1"/>
  <c r="CN7" i="4" a="1"/>
  <c r="CC91" i="4" a="1"/>
  <c r="CG91" i="4" a="1"/>
  <c r="BN91" i="4" a="1"/>
  <c r="CK91" i="4" a="1"/>
  <c r="CD91" i="4" a="1"/>
  <c r="AK91" i="4" a="1"/>
  <c r="CJ91" i="4" a="1"/>
  <c r="CI91" i="4" a="1"/>
  <c r="CB91" i="4" a="1"/>
  <c r="CM91" i="4" a="1"/>
  <c r="BP91" i="4" a="1"/>
  <c r="AE91" i="4" a="1"/>
  <c r="AM91" i="4" a="1"/>
  <c r="CN91" i="4" a="1"/>
  <c r="CE91" i="4" a="1"/>
  <c r="CL91" i="4" a="1"/>
  <c r="CQ91" i="4"/>
  <c r="CH91" i="4"/>
  <c r="CT91" i="4"/>
  <c r="CF91" i="4" a="1"/>
  <c r="AC91" i="4" a="1"/>
  <c r="AE8" i="4" a="1"/>
  <c r="CC8" i="4" a="1"/>
  <c r="BP8" i="4" a="1"/>
  <c r="CK8" i="4" a="1"/>
  <c r="CT8" i="4"/>
  <c r="CI8" i="4" a="1"/>
  <c r="AC8" i="4" a="1"/>
  <c r="CH8" i="4"/>
  <c r="CE8" i="4" a="1"/>
  <c r="CL8" i="4" a="1"/>
  <c r="CM8" i="4" a="1"/>
  <c r="AM8" i="4" a="1"/>
  <c r="AK8" i="4" a="1"/>
  <c r="BN8" i="4" a="1"/>
  <c r="CF8" i="4" a="1"/>
  <c r="CJ8" i="4" a="1"/>
  <c r="CN8" i="4" a="1"/>
  <c r="CQ8" i="4"/>
  <c r="CG8" i="4" a="1"/>
  <c r="CB8" i="4" a="1"/>
  <c r="CD8" i="4" a="1"/>
  <c r="CK71" i="4" a="1"/>
  <c r="CE71" i="4" a="1"/>
  <c r="CH71" i="4"/>
  <c r="CN71" i="4" a="1"/>
  <c r="CM71" i="4" a="1"/>
  <c r="AE71" i="4" a="1"/>
  <c r="CG71" i="4" a="1"/>
  <c r="CC71" i="4" a="1"/>
  <c r="CQ71" i="4"/>
  <c r="CL71" i="4" a="1"/>
  <c r="AC71" i="4" a="1"/>
  <c r="AM71" i="4" a="1"/>
  <c r="BN71" i="4" a="1"/>
  <c r="CF71" i="4" a="1"/>
  <c r="BP71" i="4" a="1"/>
  <c r="CB71" i="4" a="1"/>
  <c r="CD71" i="4" a="1"/>
  <c r="CI71" i="4" a="1"/>
  <c r="AK71" i="4" a="1"/>
  <c r="CJ71" i="4" a="1"/>
  <c r="CT71" i="4"/>
  <c r="CK88" i="4" a="1"/>
  <c r="CD88" i="4" a="1"/>
  <c r="CI88" i="4" a="1"/>
  <c r="CJ88" i="4" a="1"/>
  <c r="CE88" i="4" a="1"/>
  <c r="CH88" i="4"/>
  <c r="BN88" i="4" a="1"/>
  <c r="AC88" i="4" a="1"/>
  <c r="CB88" i="4" a="1"/>
  <c r="BP88" i="4" a="1"/>
  <c r="CG88" i="4" a="1"/>
  <c r="AM88" i="4" a="1"/>
  <c r="CM88" i="4" a="1"/>
  <c r="CC88" i="4" a="1"/>
  <c r="CN88" i="4" a="1"/>
  <c r="CL88" i="4" a="1"/>
  <c r="AE88" i="4" a="1"/>
  <c r="AK88" i="4" a="1"/>
  <c r="CF88" i="4" a="1"/>
  <c r="CT88" i="4"/>
  <c r="CQ88" i="4"/>
  <c r="CP47" i="4" a="1"/>
  <c r="CO47" i="4" a="1"/>
  <c r="CR47" i="4" a="1"/>
  <c r="CS47" i="4" a="1"/>
  <c r="CO51" i="4" a="1"/>
  <c r="CP51" i="4" a="1"/>
  <c r="CS51" i="4" a="1"/>
  <c r="CR51" i="4" a="1"/>
  <c r="CO17" i="4" a="1"/>
  <c r="CP17" i="4" a="1"/>
  <c r="CR17" i="4" a="1"/>
  <c r="CS17" i="4" a="1"/>
  <c r="CO48" i="4" a="1"/>
  <c r="CP48" i="4" a="1"/>
  <c r="CS48" i="4" a="1"/>
  <c r="CR48" i="4" a="1"/>
  <c r="CP30" i="4" a="1"/>
  <c r="CO30" i="4" a="1"/>
  <c r="CS30" i="4" a="1"/>
  <c r="CR30" i="4" a="1"/>
  <c r="CO62" i="4" a="1"/>
  <c r="CP62" i="4" a="1"/>
  <c r="CS62" i="4" a="1"/>
  <c r="CR62" i="4" a="1"/>
  <c r="CP35" i="4" a="1"/>
  <c r="CO35" i="4" a="1"/>
  <c r="CS35" i="4" a="1"/>
  <c r="CR35" i="4" a="1"/>
  <c r="CS16" i="4" a="1"/>
  <c r="CR16" i="4" a="1"/>
  <c r="CP16" i="4" a="1"/>
  <c r="CO16" i="4" a="1"/>
  <c r="CR36" i="4" a="1"/>
  <c r="CS36" i="4" a="1"/>
  <c r="CO36" i="4" a="1"/>
  <c r="CP36" i="4" a="1"/>
  <c r="CO50" i="4" a="1"/>
  <c r="CP50" i="4" a="1"/>
  <c r="CS50" i="4" a="1"/>
  <c r="CR50" i="4" a="1"/>
  <c r="CO64" i="4" a="1"/>
  <c r="CP64" i="4" a="1"/>
  <c r="CS64" i="4" a="1"/>
  <c r="CR64" i="4" a="1"/>
  <c r="CP79" i="4" a="1"/>
  <c r="CO79" i="4" a="1"/>
  <c r="CR79" i="4" a="1"/>
  <c r="CS79" i="4" a="1"/>
  <c r="CS27" i="4" a="1"/>
  <c r="CR27" i="4" a="1"/>
  <c r="CP27" i="4" a="1"/>
  <c r="CO27" i="4" a="1"/>
  <c r="CR40" i="4" a="1"/>
  <c r="CS40" i="4" a="1"/>
  <c r="CP40" i="4" a="1"/>
  <c r="CO40" i="4" a="1"/>
  <c r="CO22" i="4" a="1"/>
  <c r="CP22" i="4" a="1"/>
  <c r="CS22" i="4" a="1"/>
  <c r="CR22" i="4" a="1"/>
  <c r="CP74" i="4" a="1"/>
  <c r="CO74" i="4" a="1"/>
  <c r="CS74" i="4" a="1"/>
  <c r="CR74" i="4" a="1"/>
  <c r="CP87" i="4" a="1"/>
  <c r="CO87" i="4" a="1"/>
  <c r="CS87" i="4" a="1"/>
  <c r="CR87" i="4" a="1"/>
  <c r="CS32" i="4" a="1"/>
  <c r="CR32" i="4" a="1"/>
  <c r="CO32" i="4" a="1"/>
  <c r="CP32" i="4" a="1"/>
  <c r="CS14" i="4" a="1"/>
  <c r="CR14" i="4" a="1"/>
  <c r="CO14" i="4" a="1"/>
  <c r="CP14" i="4" a="1"/>
  <c r="CP63" i="4" a="1"/>
  <c r="CO63" i="4" a="1"/>
  <c r="CS63" i="4" a="1"/>
  <c r="CR63" i="4" a="1"/>
  <c r="CR46" i="4" a="1"/>
  <c r="CS46" i="4" a="1"/>
  <c r="CP46" i="4" a="1"/>
  <c r="CO46" i="4" a="1"/>
  <c r="CR66" i="4" a="1"/>
  <c r="CS66" i="4" a="1"/>
  <c r="CO66" i="4" a="1"/>
  <c r="CP66" i="4" a="1"/>
  <c r="CP20" i="4" a="1"/>
  <c r="CO20" i="4" a="1"/>
  <c r="CS20" i="4" a="1"/>
  <c r="CR20" i="4" a="1"/>
  <c r="CP78" i="4" a="1"/>
  <c r="CO78" i="4" a="1"/>
  <c r="CS78" i="4" a="1"/>
  <c r="CR78" i="4" a="1"/>
  <c r="CO15" i="4" a="1"/>
  <c r="CP15" i="4" a="1"/>
  <c r="CR15" i="4" a="1"/>
  <c r="CS15" i="4" a="1"/>
  <c r="CP69" i="4" a="1"/>
  <c r="CO69" i="4" a="1"/>
  <c r="CS69" i="4" a="1"/>
  <c r="CR69" i="4" a="1"/>
  <c r="CS83" i="4" a="1"/>
  <c r="CR83" i="4" a="1"/>
  <c r="CP83" i="4" a="1"/>
  <c r="CO83" i="4" a="1"/>
  <c r="CP53" i="4" a="1"/>
  <c r="CO53" i="4" a="1"/>
  <c r="CS53" i="4" a="1"/>
  <c r="CR53" i="4" a="1"/>
  <c r="CS41" i="4" a="1"/>
  <c r="CR41" i="4" a="1"/>
  <c r="CP41" i="4" a="1"/>
  <c r="CO41" i="4" a="1"/>
  <c r="CO54" i="4" a="1"/>
  <c r="CP54" i="4" a="1"/>
  <c r="CR54" i="4" a="1"/>
  <c r="CS54" i="4" a="1"/>
  <c r="CP12" i="4" a="1"/>
  <c r="CO12" i="4" a="1"/>
  <c r="CR12" i="4" a="1"/>
  <c r="CS12" i="4" a="1"/>
  <c r="CS25" i="4" a="1"/>
  <c r="CR25" i="4" a="1"/>
  <c r="CO25" i="4" a="1"/>
  <c r="CP25" i="4" a="1"/>
  <c r="CP68" i="4" a="1"/>
  <c r="CO68" i="4" a="1"/>
  <c r="CR68" i="4" a="1"/>
  <c r="CS68" i="4" a="1"/>
  <c r="CP57" i="4" a="1"/>
  <c r="CO57" i="4" a="1"/>
  <c r="CR57" i="4" a="1"/>
  <c r="CS57" i="4" a="1"/>
  <c r="CP33" i="4" a="1"/>
  <c r="CO33" i="4" a="1"/>
  <c r="CS33" i="4" a="1"/>
  <c r="CR33" i="4" a="1"/>
  <c r="CR56" i="4" a="1"/>
  <c r="CS56" i="4" a="1"/>
  <c r="CP56" i="4" a="1"/>
  <c r="CO56" i="4" a="1"/>
  <c r="CO73" i="4" a="1"/>
  <c r="CP73" i="4" a="1"/>
  <c r="CR73" i="4" a="1"/>
  <c r="CS73" i="4" a="1"/>
  <c r="CO90" i="4" a="1"/>
  <c r="CP90" i="4" a="1"/>
  <c r="CS90" i="4" a="1"/>
  <c r="CR90" i="4" a="1"/>
  <c r="CS45" i="4" a="1"/>
  <c r="CR45" i="4" a="1"/>
  <c r="CP45" i="4" a="1"/>
  <c r="CO45" i="4" a="1"/>
  <c r="CP28" i="4" a="1"/>
  <c r="CO28" i="4" a="1"/>
  <c r="CR28" i="4" a="1"/>
  <c r="CS28" i="4" a="1"/>
  <c r="CS67" i="4" a="1"/>
  <c r="CR67" i="4" a="1"/>
  <c r="CP67" i="4" a="1"/>
  <c r="CO67" i="4" a="1"/>
  <c r="CR84" i="4" a="1"/>
  <c r="CS84" i="4" a="1"/>
  <c r="CO84" i="4" a="1"/>
  <c r="CP84" i="4" a="1"/>
  <c r="CR42" i="4" a="1"/>
  <c r="CS42" i="4" a="1"/>
  <c r="CP42" i="4" a="1"/>
  <c r="CO42" i="4" a="1"/>
  <c r="CP19" i="4" a="1"/>
  <c r="CO19" i="4" a="1"/>
  <c r="CR19" i="4" a="1"/>
  <c r="CS19" i="4" a="1"/>
  <c r="CO38" i="4" a="1"/>
  <c r="CP38" i="4" a="1"/>
  <c r="CS38" i="4" a="1"/>
  <c r="CR38" i="4" a="1"/>
  <c r="CO44" i="4" a="1"/>
  <c r="CP44" i="4" a="1"/>
  <c r="CR44" i="4" a="1"/>
  <c r="CS44" i="4" a="1"/>
  <c r="CR81" i="4" a="1"/>
  <c r="CS81" i="4" a="1"/>
  <c r="CO81" i="4" a="1"/>
  <c r="CP81" i="4" a="1"/>
  <c r="CO21" i="4" a="1"/>
  <c r="CP21" i="4" a="1"/>
  <c r="CS21" i="4" a="1"/>
  <c r="CR21" i="4" a="1"/>
  <c r="CO80" i="4" a="1"/>
  <c r="CP80" i="4" a="1"/>
  <c r="CS80" i="4" a="1"/>
  <c r="CR80" i="4" a="1"/>
  <c r="CR92" i="4" a="1"/>
  <c r="CS92" i="4" a="1"/>
  <c r="CO92" i="4" a="1"/>
  <c r="CP92" i="4" a="1"/>
  <c r="CP85" i="4" a="1"/>
  <c r="CO85" i="4" a="1"/>
  <c r="CR85" i="4" a="1"/>
  <c r="CS85" i="4" a="1"/>
  <c r="CO86" i="4" a="1"/>
  <c r="CP86" i="4" a="1"/>
  <c r="CR86" i="4" a="1"/>
  <c r="CS86" i="4" a="1"/>
  <c r="CS31" i="4" a="1"/>
  <c r="CR31" i="4" a="1"/>
  <c r="CP31" i="4" a="1"/>
  <c r="CO31" i="4" a="1"/>
  <c r="CP49" i="4" a="1"/>
  <c r="CO49" i="4" a="1"/>
  <c r="CS49" i="4" a="1"/>
  <c r="CR49" i="4" a="1"/>
  <c r="CO72" i="4" a="1"/>
  <c r="CP72" i="4" a="1"/>
  <c r="CS72" i="4" a="1"/>
  <c r="CR72" i="4" a="1"/>
  <c r="CR5" i="4" a="1"/>
  <c r="CS5" i="4" a="1"/>
  <c r="CP5" i="4" a="1"/>
  <c r="CO5" i="4" a="1"/>
  <c r="CP29" i="4" a="1"/>
  <c r="CO29" i="4" a="1"/>
  <c r="CS29" i="4" a="1"/>
  <c r="CR29" i="4" a="1"/>
  <c r="CS18" i="4" a="1"/>
  <c r="CR18" i="4" a="1"/>
  <c r="CP18" i="4" a="1"/>
  <c r="CO18" i="4" a="1"/>
  <c r="CP65" i="4" a="1"/>
  <c r="CO65" i="4" a="1"/>
  <c r="CS65" i="4" a="1"/>
  <c r="CR65" i="4" a="1"/>
  <c r="CO77" i="4" a="1"/>
  <c r="CP77" i="4" a="1"/>
  <c r="CS77" i="4" a="1"/>
  <c r="CR77" i="4" a="1"/>
  <c r="CO43" i="4" a="1"/>
  <c r="CP43" i="4" a="1"/>
  <c r="CS43" i="4" a="1"/>
  <c r="CR43" i="4" a="1"/>
  <c r="CS39" i="4" a="1"/>
  <c r="CR39" i="4" a="1"/>
  <c r="CP39" i="4" a="1"/>
  <c r="CO39" i="4" a="1"/>
  <c r="CR34" i="4" a="1"/>
  <c r="CS34" i="4" a="1"/>
  <c r="CP34" i="4" a="1"/>
  <c r="CO34" i="4" a="1"/>
  <c r="CP11" i="4" a="1"/>
  <c r="CO11" i="4" a="1"/>
  <c r="CR11" i="4" a="1"/>
  <c r="CS11" i="4" a="1"/>
  <c r="CO24" i="4" a="1"/>
  <c r="CP24" i="4" a="1"/>
  <c r="CS24" i="4" a="1"/>
  <c r="CR24" i="4" a="1"/>
  <c r="CS26" i="4" a="1"/>
  <c r="CR26" i="4" a="1"/>
  <c r="CO26" i="4" a="1"/>
  <c r="CP26" i="4" a="1"/>
  <c r="CS52" i="4" a="1"/>
  <c r="CR52" i="4" a="1"/>
  <c r="CP52" i="4" a="1"/>
  <c r="CO52" i="4" a="1"/>
  <c r="CS37" i="4" a="1"/>
  <c r="CR37" i="4" a="1"/>
  <c r="CP37" i="4" a="1"/>
  <c r="CO37" i="4" a="1"/>
  <c r="CR61" i="4" a="1"/>
  <c r="CS61" i="4" a="1"/>
  <c r="CO61" i="4" a="1"/>
  <c r="CP61" i="4" a="1"/>
  <c r="CO13" i="4" a="1"/>
  <c r="CP13" i="4" a="1"/>
  <c r="CS13" i="4" a="1"/>
  <c r="CR13" i="4" a="1"/>
  <c r="CP75" i="4" a="1"/>
  <c r="CO75" i="4" a="1"/>
  <c r="CS75" i="4" a="1"/>
  <c r="CR75" i="4" a="1"/>
  <c r="CP70" i="4" a="1"/>
  <c r="CO70" i="4" a="1"/>
  <c r="CS70" i="4" a="1"/>
  <c r="CR70" i="4" a="1"/>
  <c r="CR82" i="4" a="1"/>
  <c r="CS82" i="4" a="1"/>
  <c r="CO82" i="4" a="1"/>
  <c r="CP82" i="4" a="1"/>
  <c r="CR6" i="4" a="1"/>
  <c r="CS6" i="4" a="1"/>
  <c r="CP6" i="4" a="1"/>
  <c r="CO6" i="4" a="1"/>
  <c r="CS59" i="4" a="1"/>
  <c r="CR59" i="4" a="1"/>
  <c r="CO59" i="4" a="1"/>
  <c r="CP59" i="4" a="1"/>
  <c r="CP76" i="4" a="1"/>
  <c r="CO76" i="4" a="1"/>
  <c r="CS76" i="4" a="1"/>
  <c r="CR76" i="4" a="1"/>
  <c r="CR89" i="4" a="1"/>
  <c r="CS89" i="4" a="1"/>
  <c r="CO89" i="4" a="1"/>
  <c r="CP89" i="4" a="1"/>
  <c r="CR93" i="4" a="1"/>
  <c r="CS93" i="4" a="1"/>
  <c r="CP93" i="4" a="1"/>
  <c r="CO93" i="4" a="1"/>
  <c r="CO7" i="4" a="1"/>
  <c r="CP7" i="4" a="1"/>
  <c r="CS7" i="4" a="1"/>
  <c r="CR7" i="4" a="1"/>
  <c r="CP91" i="4" a="1"/>
  <c r="CO91" i="4" a="1"/>
  <c r="CS91" i="4" a="1"/>
  <c r="CR91" i="4" a="1"/>
  <c r="CS8" i="4" a="1"/>
  <c r="CR8" i="4" a="1"/>
  <c r="CO8" i="4" a="1"/>
  <c r="CP8" i="4" a="1"/>
  <c r="CO71" i="4" a="1"/>
  <c r="CP71" i="4" a="1"/>
  <c r="CR71" i="4" a="1"/>
  <c r="CS71" i="4" a="1"/>
  <c r="CS88" i="4" a="1"/>
  <c r="CR88" i="4" a="1"/>
  <c r="CP88" i="4" a="1"/>
  <c r="CO88" i="4" a="1"/>
  <c r="CO88" i="4" l="1"/>
  <c r="CP88" i="4"/>
  <c r="CR88" i="4"/>
  <c r="CS88" i="4"/>
  <c r="CS71" i="4"/>
  <c r="CR71" i="4"/>
  <c r="CP71" i="4"/>
  <c r="CO71" i="4"/>
  <c r="CP8" i="4"/>
  <c r="CO8" i="4"/>
  <c r="CR8" i="4"/>
  <c r="CS8" i="4"/>
  <c r="CR91" i="4"/>
  <c r="CS91" i="4"/>
  <c r="CO91" i="4"/>
  <c r="CP91" i="4"/>
  <c r="CR7" i="4"/>
  <c r="CS7" i="4"/>
  <c r="CP7" i="4"/>
  <c r="CO7" i="4"/>
  <c r="CO93" i="4"/>
  <c r="CP93" i="4"/>
  <c r="CS93" i="4"/>
  <c r="CR93" i="4"/>
  <c r="CP89" i="4"/>
  <c r="CO89" i="4"/>
  <c r="CS89" i="4"/>
  <c r="CR89" i="4"/>
  <c r="CR76" i="4"/>
  <c r="CS76" i="4"/>
  <c r="CO76" i="4"/>
  <c r="CP76" i="4"/>
  <c r="CP59" i="4"/>
  <c r="CO59" i="4"/>
  <c r="CR59" i="4"/>
  <c r="CS59" i="4"/>
  <c r="CO6" i="4"/>
  <c r="CP6" i="4"/>
  <c r="CS6" i="4"/>
  <c r="CR6" i="4"/>
  <c r="CP82" i="4"/>
  <c r="CO82" i="4"/>
  <c r="CS82" i="4"/>
  <c r="CR82" i="4"/>
  <c r="CR70" i="4"/>
  <c r="CS70" i="4"/>
  <c r="CO70" i="4"/>
  <c r="CP70" i="4"/>
  <c r="CR75" i="4"/>
  <c r="CS75" i="4"/>
  <c r="CO75" i="4"/>
  <c r="CP75" i="4"/>
  <c r="CR13" i="4"/>
  <c r="CS13" i="4"/>
  <c r="CP13" i="4"/>
  <c r="CO13" i="4"/>
  <c r="CP61" i="4"/>
  <c r="CO61" i="4"/>
  <c r="CS61" i="4"/>
  <c r="CR61" i="4"/>
  <c r="CO37" i="4"/>
  <c r="CP37" i="4"/>
  <c r="CR37" i="4"/>
  <c r="CS37" i="4"/>
  <c r="CO52" i="4"/>
  <c r="CP52" i="4"/>
  <c r="CR52" i="4"/>
  <c r="CS52" i="4"/>
  <c r="CP26" i="4"/>
  <c r="CO26" i="4"/>
  <c r="CR26" i="4"/>
  <c r="CS26" i="4"/>
  <c r="CR24" i="4"/>
  <c r="CS24" i="4"/>
  <c r="CP24" i="4"/>
  <c r="CO24" i="4"/>
  <c r="CS11" i="4"/>
  <c r="CR11" i="4"/>
  <c r="CO11" i="4"/>
  <c r="CP11" i="4"/>
  <c r="CO34" i="4"/>
  <c r="CP34" i="4"/>
  <c r="CS34" i="4"/>
  <c r="CR34" i="4"/>
  <c r="CO39" i="4"/>
  <c r="CP39" i="4"/>
  <c r="CR39" i="4"/>
  <c r="CS39" i="4"/>
  <c r="CR43" i="4"/>
  <c r="CS43" i="4"/>
  <c r="CP43" i="4"/>
  <c r="CO43" i="4"/>
  <c r="CR77" i="4"/>
  <c r="CS77" i="4"/>
  <c r="CP77" i="4"/>
  <c r="CO77" i="4"/>
  <c r="CR65" i="4"/>
  <c r="CS65" i="4"/>
  <c r="CO65" i="4"/>
  <c r="CP65" i="4"/>
  <c r="CO18" i="4"/>
  <c r="CP18" i="4"/>
  <c r="CR18" i="4"/>
  <c r="CS18" i="4"/>
  <c r="CR29" i="4"/>
  <c r="CS29" i="4"/>
  <c r="CO29" i="4"/>
  <c r="CP29" i="4"/>
  <c r="CO5" i="4"/>
  <c r="CP5" i="4"/>
  <c r="CS5" i="4"/>
  <c r="CR5" i="4"/>
  <c r="CR72" i="4"/>
  <c r="CS72" i="4"/>
  <c r="CP72" i="4"/>
  <c r="CO72" i="4"/>
  <c r="CR49" i="4"/>
  <c r="CS49" i="4"/>
  <c r="CO49" i="4"/>
  <c r="CP49" i="4"/>
  <c r="CO31" i="4"/>
  <c r="CP31" i="4"/>
  <c r="CR31" i="4"/>
  <c r="CS31" i="4"/>
  <c r="CS86" i="4"/>
  <c r="CR86" i="4"/>
  <c r="CP86" i="4"/>
  <c r="CO86" i="4"/>
  <c r="CS85" i="4"/>
  <c r="CR85" i="4"/>
  <c r="CO85" i="4"/>
  <c r="CP85" i="4"/>
  <c r="CP92" i="4"/>
  <c r="CO92" i="4"/>
  <c r="CS92" i="4"/>
  <c r="CR92" i="4"/>
  <c r="CR80" i="4"/>
  <c r="CS80" i="4"/>
  <c r="CP80" i="4"/>
  <c r="CO80" i="4"/>
  <c r="CR21" i="4"/>
  <c r="CS21" i="4"/>
  <c r="CP21" i="4"/>
  <c r="CO21" i="4"/>
  <c r="CP81" i="4"/>
  <c r="CO81" i="4"/>
  <c r="CS81" i="4"/>
  <c r="CR81" i="4"/>
  <c r="CS44" i="4"/>
  <c r="CR44" i="4"/>
  <c r="CP44" i="4"/>
  <c r="CO44" i="4"/>
  <c r="CR38" i="4"/>
  <c r="CS38" i="4"/>
  <c r="CP38" i="4"/>
  <c r="CO38" i="4"/>
  <c r="CS19" i="4"/>
  <c r="CR19" i="4"/>
  <c r="CO19" i="4"/>
  <c r="CP19" i="4"/>
  <c r="CO42" i="4"/>
  <c r="CP42" i="4"/>
  <c r="CS42" i="4"/>
  <c r="CR42" i="4"/>
  <c r="CP84" i="4"/>
  <c r="CO84" i="4"/>
  <c r="CS84" i="4"/>
  <c r="CR84" i="4"/>
  <c r="CO67" i="4"/>
  <c r="CP67" i="4"/>
  <c r="CR67" i="4"/>
  <c r="CS67" i="4"/>
  <c r="CS28" i="4"/>
  <c r="CR28" i="4"/>
  <c r="CO28" i="4"/>
  <c r="CP28" i="4"/>
  <c r="CO45" i="4"/>
  <c r="CP45" i="4"/>
  <c r="CR45" i="4"/>
  <c r="CS45" i="4"/>
  <c r="CR90" i="4"/>
  <c r="CS90" i="4"/>
  <c r="CP90" i="4"/>
  <c r="CO90" i="4"/>
  <c r="CS73" i="4"/>
  <c r="CR73" i="4"/>
  <c r="CP73" i="4"/>
  <c r="CO73" i="4"/>
  <c r="CO56" i="4"/>
  <c r="CP56" i="4"/>
  <c r="CS56" i="4"/>
  <c r="CR56" i="4"/>
  <c r="CR33" i="4"/>
  <c r="CS33" i="4"/>
  <c r="CO33" i="4"/>
  <c r="CP33" i="4"/>
  <c r="CS57" i="4"/>
  <c r="CR57" i="4"/>
  <c r="CO57" i="4"/>
  <c r="CP57" i="4"/>
  <c r="CS68" i="4"/>
  <c r="CR68" i="4"/>
  <c r="CO68" i="4"/>
  <c r="CP68" i="4"/>
  <c r="CP25" i="4"/>
  <c r="CO25" i="4"/>
  <c r="CR25" i="4"/>
  <c r="CS25" i="4"/>
  <c r="CS12" i="4"/>
  <c r="CR12" i="4"/>
  <c r="CO12" i="4"/>
  <c r="CP12" i="4"/>
  <c r="CS54" i="4"/>
  <c r="CR54" i="4"/>
  <c r="CP54" i="4"/>
  <c r="CO54" i="4"/>
  <c r="CO41" i="4"/>
  <c r="CP41" i="4"/>
  <c r="CR41" i="4"/>
  <c r="CS41" i="4"/>
  <c r="CR53" i="4"/>
  <c r="CS53" i="4"/>
  <c r="CO53" i="4"/>
  <c r="CP53" i="4"/>
  <c r="CO83" i="4"/>
  <c r="CP83" i="4"/>
  <c r="CR83" i="4"/>
  <c r="CS83" i="4"/>
  <c r="CR69" i="4"/>
  <c r="CS69" i="4"/>
  <c r="CO69" i="4"/>
  <c r="CP69" i="4"/>
  <c r="CS15" i="4"/>
  <c r="CR15" i="4"/>
  <c r="CP15" i="4"/>
  <c r="CO15" i="4"/>
  <c r="CR78" i="4"/>
  <c r="CS78" i="4"/>
  <c r="CO78" i="4"/>
  <c r="CP78" i="4"/>
  <c r="CR20" i="4"/>
  <c r="CS20" i="4"/>
  <c r="CO20" i="4"/>
  <c r="CP20" i="4"/>
  <c r="CP66" i="4"/>
  <c r="CO66" i="4"/>
  <c r="CS66" i="4"/>
  <c r="CR66" i="4"/>
  <c r="CO46" i="4"/>
  <c r="CP46" i="4"/>
  <c r="CS46" i="4"/>
  <c r="CR46" i="4"/>
  <c r="CR63" i="4"/>
  <c r="CS63" i="4"/>
  <c r="CO63" i="4"/>
  <c r="CP63" i="4"/>
  <c r="CP14" i="4"/>
  <c r="CO14" i="4"/>
  <c r="CR14" i="4"/>
  <c r="CS14" i="4"/>
  <c r="CP32" i="4"/>
  <c r="CO32" i="4"/>
  <c r="CR32" i="4"/>
  <c r="CS32" i="4"/>
  <c r="CR87" i="4"/>
  <c r="CS87" i="4"/>
  <c r="CO87" i="4"/>
  <c r="CP87" i="4"/>
  <c r="CR74" i="4"/>
  <c r="CS74" i="4"/>
  <c r="CO74" i="4"/>
  <c r="CP74" i="4"/>
  <c r="CR22" i="4"/>
  <c r="CS22" i="4"/>
  <c r="CP22" i="4"/>
  <c r="CO22" i="4"/>
  <c r="CO40" i="4"/>
  <c r="CP40" i="4"/>
  <c r="CS40" i="4"/>
  <c r="CR40" i="4"/>
  <c r="CO27" i="4"/>
  <c r="CP27" i="4"/>
  <c r="CR27" i="4"/>
  <c r="CS27" i="4"/>
  <c r="CS79" i="4"/>
  <c r="CR79" i="4"/>
  <c r="CO79" i="4"/>
  <c r="CP79" i="4"/>
  <c r="CR64" i="4"/>
  <c r="CS64" i="4"/>
  <c r="CP64" i="4"/>
  <c r="CO64" i="4"/>
  <c r="CR50" i="4"/>
  <c r="CS50" i="4"/>
  <c r="CP50" i="4"/>
  <c r="CO50" i="4"/>
  <c r="CP36" i="4"/>
  <c r="CO36" i="4"/>
  <c r="CS36" i="4"/>
  <c r="CR36" i="4"/>
  <c r="CO16" i="4"/>
  <c r="CP16" i="4"/>
  <c r="CR16" i="4"/>
  <c r="CS16" i="4"/>
  <c r="CR35" i="4"/>
  <c r="CS35" i="4"/>
  <c r="CO35" i="4"/>
  <c r="CP35" i="4"/>
  <c r="CR62" i="4"/>
  <c r="CS62" i="4"/>
  <c r="CP62" i="4"/>
  <c r="CO62" i="4"/>
  <c r="CR30" i="4"/>
  <c r="CS30" i="4"/>
  <c r="CO30" i="4"/>
  <c r="CP30" i="4"/>
  <c r="CR48" i="4"/>
  <c r="CS48" i="4"/>
  <c r="CP48" i="4"/>
  <c r="CO48" i="4"/>
  <c r="CS17" i="4"/>
  <c r="CR17" i="4"/>
  <c r="CP17" i="4"/>
  <c r="CO17" i="4"/>
  <c r="CR51" i="4"/>
  <c r="CS51" i="4"/>
  <c r="CP51" i="4"/>
  <c r="CO51" i="4"/>
  <c r="CS47" i="4"/>
  <c r="CR47" i="4"/>
  <c r="CO47" i="4"/>
  <c r="CP47" i="4"/>
  <c r="CF88" i="4"/>
  <c r="AK88" i="4"/>
  <c r="AE88" i="4"/>
  <c r="CL88" i="4"/>
  <c r="CN88" i="4"/>
  <c r="CC88" i="4"/>
  <c r="CM88" i="4"/>
  <c r="AM88" i="4"/>
  <c r="CG88" i="4"/>
  <c r="BP88" i="4"/>
  <c r="CB88" i="4"/>
  <c r="AC88" i="4"/>
  <c r="BN88" i="4"/>
  <c r="CE88" i="4"/>
  <c r="CJ88" i="4"/>
  <c r="CI88" i="4"/>
  <c r="CD88" i="4"/>
  <c r="CK88" i="4"/>
  <c r="CJ71" i="4"/>
  <c r="AK71" i="4"/>
  <c r="CI71" i="4"/>
  <c r="CD71" i="4"/>
  <c r="CB71" i="4"/>
  <c r="BP71" i="4"/>
  <c r="CF71" i="4"/>
  <c r="BN71" i="4"/>
  <c r="AM71" i="4"/>
  <c r="AC71" i="4"/>
  <c r="CL71" i="4"/>
  <c r="CC71" i="4"/>
  <c r="CG71" i="4"/>
  <c r="AE71" i="4"/>
  <c r="CM71" i="4"/>
  <c r="CN71" i="4"/>
  <c r="CE71" i="4"/>
  <c r="CK71" i="4"/>
  <c r="CD8" i="4"/>
  <c r="CB8" i="4"/>
  <c r="CG8" i="4"/>
  <c r="CN8" i="4"/>
  <c r="CJ8" i="4"/>
  <c r="CF8" i="4"/>
  <c r="BN8" i="4"/>
  <c r="AK8" i="4"/>
  <c r="AM8" i="4"/>
  <c r="CM8" i="4"/>
  <c r="CL8" i="4"/>
  <c r="CE8" i="4"/>
  <c r="AC8" i="4"/>
  <c r="CI8" i="4"/>
  <c r="CK8" i="4"/>
  <c r="BP8" i="4"/>
  <c r="CC8" i="4"/>
  <c r="AE8" i="4"/>
  <c r="AC91" i="4"/>
  <c r="CF91" i="4"/>
  <c r="CL91" i="4"/>
  <c r="CE91" i="4"/>
  <c r="CN91" i="4"/>
  <c r="AM91" i="4"/>
  <c r="AE91" i="4"/>
  <c r="BP91" i="4"/>
  <c r="CM91" i="4"/>
  <c r="CB91" i="4"/>
  <c r="CI91" i="4"/>
  <c r="CJ91" i="4"/>
  <c r="AK91" i="4"/>
  <c r="CD91" i="4"/>
  <c r="CK91" i="4"/>
  <c r="BN91" i="4"/>
  <c r="CG91" i="4"/>
  <c r="CC91" i="4"/>
  <c r="CN7" i="4"/>
  <c r="AE7" i="4"/>
  <c r="CE7" i="4"/>
  <c r="AK7" i="4"/>
  <c r="CD7" i="4"/>
  <c r="BP7" i="4"/>
  <c r="CG7" i="4"/>
  <c r="CC7" i="4"/>
  <c r="BN7" i="4"/>
  <c r="CL7" i="4"/>
  <c r="AM7" i="4"/>
  <c r="CF7" i="4"/>
  <c r="AC7" i="4"/>
  <c r="CB7" i="4"/>
  <c r="CK7" i="4"/>
  <c r="CJ7" i="4"/>
  <c r="CM7" i="4"/>
  <c r="CI7" i="4"/>
  <c r="CC93" i="4"/>
  <c r="CL93" i="4"/>
  <c r="CM93" i="4"/>
  <c r="CF93" i="4"/>
  <c r="CD93" i="4"/>
  <c r="AC93" i="4"/>
  <c r="CN93" i="4"/>
  <c r="CI93" i="4"/>
  <c r="BP93" i="4"/>
  <c r="CJ93" i="4"/>
  <c r="CK93" i="4"/>
  <c r="CB93" i="4"/>
  <c r="CE93" i="4"/>
  <c r="AK93" i="4"/>
  <c r="BN93" i="4"/>
  <c r="AM93" i="4"/>
  <c r="AE93" i="4"/>
  <c r="CG93" i="4"/>
  <c r="AK89" i="4"/>
  <c r="AE89" i="4"/>
  <c r="BP89" i="4"/>
  <c r="AC89" i="4"/>
  <c r="CN89" i="4"/>
  <c r="CI89" i="4"/>
  <c r="AM89" i="4"/>
  <c r="CF89" i="4"/>
  <c r="CG89" i="4"/>
  <c r="BN89" i="4"/>
  <c r="CJ89" i="4"/>
  <c r="CE89" i="4"/>
  <c r="CD89" i="4"/>
  <c r="CB89" i="4"/>
  <c r="CL89" i="4"/>
  <c r="CC89" i="4"/>
  <c r="CK89" i="4"/>
  <c r="CM89" i="4"/>
  <c r="AC76" i="4"/>
  <c r="CJ76" i="4"/>
  <c r="CG76" i="4"/>
  <c r="AK76" i="4"/>
  <c r="CB76" i="4"/>
  <c r="CM76" i="4"/>
  <c r="BN76" i="4"/>
  <c r="CF76" i="4"/>
  <c r="CD76" i="4"/>
  <c r="BP76" i="4"/>
  <c r="AE76" i="4"/>
  <c r="CC76" i="4"/>
  <c r="CK76" i="4"/>
  <c r="AM76" i="4"/>
  <c r="CL76" i="4"/>
  <c r="CN76" i="4"/>
  <c r="CI76" i="4"/>
  <c r="CE76" i="4"/>
  <c r="BP59" i="4"/>
  <c r="CM59" i="4"/>
  <c r="CE59" i="4"/>
  <c r="CG59" i="4"/>
  <c r="AK59" i="4"/>
  <c r="CC59" i="4"/>
  <c r="CB59" i="4"/>
  <c r="AC59" i="4"/>
  <c r="AM59" i="4"/>
  <c r="CJ59" i="4"/>
  <c r="CF59" i="4"/>
  <c r="CN59" i="4"/>
  <c r="CI59" i="4"/>
  <c r="BN59" i="4"/>
  <c r="AE59" i="4"/>
  <c r="CL59" i="4"/>
  <c r="CK59" i="4"/>
  <c r="CD59" i="4"/>
  <c r="CM6" i="4"/>
  <c r="AM6" i="4"/>
  <c r="CN6" i="4"/>
  <c r="CJ6" i="4"/>
  <c r="CF6" i="4"/>
  <c r="CC6" i="4"/>
  <c r="CL6" i="4"/>
  <c r="BN6" i="4"/>
  <c r="AC6" i="4"/>
  <c r="CE6" i="4"/>
  <c r="CG6" i="4"/>
  <c r="AK6" i="4"/>
  <c r="CD6" i="4"/>
  <c r="AE6" i="4"/>
  <c r="CB6" i="4"/>
  <c r="CK6" i="4"/>
  <c r="CI6" i="4"/>
  <c r="BP6" i="4"/>
  <c r="CN82" i="4"/>
  <c r="CM82" i="4"/>
  <c r="CI82" i="4"/>
  <c r="CG82" i="4"/>
  <c r="AE82" i="4"/>
  <c r="CD82" i="4"/>
  <c r="AC82" i="4"/>
  <c r="BP82" i="4"/>
  <c r="CJ82" i="4"/>
  <c r="BN82" i="4"/>
  <c r="CC82" i="4"/>
  <c r="CF82" i="4"/>
  <c r="AM82" i="4"/>
  <c r="CE82" i="4"/>
  <c r="CK82" i="4"/>
  <c r="CL82" i="4"/>
  <c r="AK82" i="4"/>
  <c r="CB82" i="4"/>
  <c r="CN70" i="4"/>
  <c r="AC70" i="4"/>
  <c r="AK70" i="4"/>
  <c r="CM70" i="4"/>
  <c r="CB70" i="4"/>
  <c r="AM70" i="4"/>
  <c r="CC70" i="4"/>
  <c r="CL70" i="4"/>
  <c r="CE70" i="4"/>
  <c r="CI70" i="4"/>
  <c r="AE70" i="4"/>
  <c r="CK70" i="4"/>
  <c r="CJ70" i="4"/>
  <c r="CF70" i="4"/>
  <c r="CG70" i="4"/>
  <c r="CD70" i="4"/>
  <c r="BN70" i="4"/>
  <c r="BP70" i="4"/>
  <c r="CF75" i="4"/>
  <c r="CJ75" i="4"/>
  <c r="CN75" i="4"/>
  <c r="AE75" i="4"/>
  <c r="AK75" i="4"/>
  <c r="CI75" i="4"/>
  <c r="CM75" i="4"/>
  <c r="CK75" i="4"/>
  <c r="CC75" i="4"/>
  <c r="CE75" i="4"/>
  <c r="CD75" i="4"/>
  <c r="AM75" i="4"/>
  <c r="CL75" i="4"/>
  <c r="BN75" i="4"/>
  <c r="AC75" i="4"/>
  <c r="BP75" i="4"/>
  <c r="CG75" i="4"/>
  <c r="CB75" i="4"/>
  <c r="CF13" i="4"/>
  <c r="CL13" i="4"/>
  <c r="CN13" i="4"/>
  <c r="CD13" i="4"/>
  <c r="AM13" i="4"/>
  <c r="CC13" i="4"/>
  <c r="CE13" i="4"/>
  <c r="CB13" i="4"/>
  <c r="CM13" i="4"/>
  <c r="AE13" i="4"/>
  <c r="AK13" i="4"/>
  <c r="CG13" i="4"/>
  <c r="BP13" i="4"/>
  <c r="CK13" i="4"/>
  <c r="CI13" i="4"/>
  <c r="AC13" i="4"/>
  <c r="CJ13" i="4"/>
  <c r="BN13" i="4"/>
  <c r="B58" i="1"/>
  <c r="CE61" i="4"/>
  <c r="AE61" i="4"/>
  <c r="BP61" i="4"/>
  <c r="CG61" i="4"/>
  <c r="CD61" i="4"/>
  <c r="CL61" i="4"/>
  <c r="AC61" i="4"/>
  <c r="CB61" i="4"/>
  <c r="BN61" i="4"/>
  <c r="CC61" i="4"/>
  <c r="CN61" i="4"/>
  <c r="CK61" i="4"/>
  <c r="CF61" i="4"/>
  <c r="AM61" i="4"/>
  <c r="AK61" i="4"/>
  <c r="CJ61" i="4"/>
  <c r="CI61" i="4"/>
  <c r="CM61" i="4"/>
  <c r="AE37" i="4"/>
  <c r="AK37" i="4"/>
  <c r="BN37" i="4"/>
  <c r="CN37" i="4"/>
  <c r="CJ37" i="4"/>
  <c r="CM37" i="4"/>
  <c r="CC37" i="4"/>
  <c r="CE37" i="4"/>
  <c r="CI37" i="4"/>
  <c r="CK37" i="4"/>
  <c r="CB37" i="4"/>
  <c r="BP37" i="4"/>
  <c r="CG37" i="4"/>
  <c r="AM37" i="4"/>
  <c r="CL37" i="4"/>
  <c r="CF37" i="4"/>
  <c r="AC37" i="4"/>
  <c r="CD37" i="4"/>
  <c r="BN52" i="4"/>
  <c r="CB52" i="4"/>
  <c r="AC52" i="4"/>
  <c r="CM52" i="4"/>
  <c r="CN52" i="4"/>
  <c r="CK52" i="4"/>
  <c r="AM52" i="4"/>
  <c r="CF52" i="4"/>
  <c r="BP52" i="4"/>
  <c r="CJ52" i="4"/>
  <c r="CL52" i="4"/>
  <c r="AE52" i="4"/>
  <c r="AK52" i="4"/>
  <c r="CI52" i="4"/>
  <c r="CD52" i="4"/>
  <c r="CC52" i="4"/>
  <c r="CG52" i="4"/>
  <c r="CE52" i="4"/>
  <c r="CD26" i="4"/>
  <c r="BN26" i="4"/>
  <c r="CB26" i="4"/>
  <c r="CJ26" i="4"/>
  <c r="AE26" i="4"/>
  <c r="AM26" i="4"/>
  <c r="CE26" i="4"/>
  <c r="CF26" i="4"/>
  <c r="CC26" i="4"/>
  <c r="CM26" i="4"/>
  <c r="CK26" i="4"/>
  <c r="CN26" i="4"/>
  <c r="CL26" i="4"/>
  <c r="AC26" i="4"/>
  <c r="CI26" i="4"/>
  <c r="BP26" i="4"/>
  <c r="AK26" i="4"/>
  <c r="CG26" i="4"/>
  <c r="BN24" i="4"/>
  <c r="AK24" i="4"/>
  <c r="CJ24" i="4"/>
  <c r="CG24" i="4"/>
  <c r="CL24" i="4"/>
  <c r="CB24" i="4"/>
  <c r="CK24" i="4"/>
  <c r="CM24" i="4"/>
  <c r="CF24" i="4"/>
  <c r="CC24" i="4"/>
  <c r="CD24" i="4"/>
  <c r="AC24" i="4"/>
  <c r="CI24" i="4"/>
  <c r="CE24" i="4"/>
  <c r="AE24" i="4"/>
  <c r="AM24" i="4"/>
  <c r="BP24" i="4"/>
  <c r="CN24" i="4"/>
  <c r="CL11" i="4"/>
  <c r="AC11" i="4"/>
  <c r="AE11" i="4"/>
  <c r="AM11" i="4"/>
  <c r="CM11" i="4"/>
  <c r="CI11" i="4"/>
  <c r="BP11" i="4"/>
  <c r="CD11" i="4"/>
  <c r="CB11" i="4"/>
  <c r="CG11" i="4"/>
  <c r="BN11" i="4"/>
  <c r="AK11" i="4"/>
  <c r="CC11" i="4"/>
  <c r="CE11" i="4"/>
  <c r="CF11" i="4"/>
  <c r="CJ11" i="4"/>
  <c r="CN11" i="4"/>
  <c r="CK11" i="4"/>
  <c r="CG34" i="4"/>
  <c r="CI34" i="4"/>
  <c r="CC34" i="4"/>
  <c r="CF34" i="4"/>
  <c r="CN34" i="4"/>
  <c r="CJ34" i="4"/>
  <c r="AE34" i="4"/>
  <c r="BN34" i="4"/>
  <c r="CE34" i="4"/>
  <c r="AK34" i="4"/>
  <c r="CM34" i="4"/>
  <c r="AM34" i="4"/>
  <c r="CK34" i="4"/>
  <c r="CB34" i="4"/>
  <c r="AC34" i="4"/>
  <c r="BP34" i="4"/>
  <c r="CD34" i="4"/>
  <c r="CL34" i="4"/>
  <c r="CF39" i="4"/>
  <c r="CD39" i="4"/>
  <c r="CN39" i="4"/>
  <c r="BP39" i="4"/>
  <c r="CE39" i="4"/>
  <c r="CC39" i="4"/>
  <c r="CL39" i="4"/>
  <c r="BN39" i="4"/>
  <c r="AC39" i="4"/>
  <c r="CM39" i="4"/>
  <c r="CJ39" i="4"/>
  <c r="AM39" i="4"/>
  <c r="AE39" i="4"/>
  <c r="AK39" i="4"/>
  <c r="CG39" i="4"/>
  <c r="CB39" i="4"/>
  <c r="CK39" i="4"/>
  <c r="CI39" i="4"/>
  <c r="BP43" i="4"/>
  <c r="CF43" i="4"/>
  <c r="CE43" i="4"/>
  <c r="CL43" i="4"/>
  <c r="CM43" i="4"/>
  <c r="CC43" i="4"/>
  <c r="CG43" i="4"/>
  <c r="AE43" i="4"/>
  <c r="CI43" i="4"/>
  <c r="CK43" i="4"/>
  <c r="CD43" i="4"/>
  <c r="CJ43" i="4"/>
  <c r="AM43" i="4"/>
  <c r="BN43" i="4"/>
  <c r="CB43" i="4"/>
  <c r="AC43" i="4"/>
  <c r="AK43" i="4"/>
  <c r="CN43" i="4"/>
  <c r="CE77" i="4"/>
  <c r="CC77" i="4"/>
  <c r="BP77" i="4"/>
  <c r="CJ77" i="4"/>
  <c r="CB77" i="4"/>
  <c r="CM77" i="4"/>
  <c r="AK77" i="4"/>
  <c r="CL77" i="4"/>
  <c r="BN77" i="4"/>
  <c r="CK77" i="4"/>
  <c r="CN77" i="4"/>
  <c r="AC77" i="4"/>
  <c r="CI77" i="4"/>
  <c r="CD77" i="4"/>
  <c r="AE77" i="4"/>
  <c r="CF77" i="4"/>
  <c r="AM77" i="4"/>
  <c r="CG77" i="4"/>
  <c r="CJ65" i="4"/>
  <c r="CF65" i="4"/>
  <c r="AK65" i="4"/>
  <c r="CG65" i="4"/>
  <c r="AE65" i="4"/>
  <c r="CM65" i="4"/>
  <c r="AM65" i="4"/>
  <c r="CE65" i="4"/>
  <c r="BP65" i="4"/>
  <c r="CC65" i="4"/>
  <c r="BN65" i="4"/>
  <c r="CN65" i="4"/>
  <c r="CD65" i="4"/>
  <c r="CI65" i="4"/>
  <c r="AC65" i="4"/>
  <c r="CL65" i="4"/>
  <c r="CB65" i="4"/>
  <c r="CK65" i="4"/>
  <c r="BN18" i="4"/>
  <c r="AK18" i="4"/>
  <c r="CB18" i="4"/>
  <c r="BP18" i="4"/>
  <c r="AC18" i="4"/>
  <c r="CD18" i="4"/>
  <c r="AE18" i="4"/>
  <c r="CE18" i="4"/>
  <c r="CF18" i="4"/>
  <c r="CG18" i="4"/>
  <c r="CJ18" i="4"/>
  <c r="CK18" i="4"/>
  <c r="CC18" i="4"/>
  <c r="CI18" i="4"/>
  <c r="CL18" i="4"/>
  <c r="CN18" i="4"/>
  <c r="CM18" i="4"/>
  <c r="AM18" i="4"/>
  <c r="CF29" i="4"/>
  <c r="CL29" i="4"/>
  <c r="CD29" i="4"/>
  <c r="CK29" i="4"/>
  <c r="CG29" i="4"/>
  <c r="CM29" i="4"/>
  <c r="CJ29" i="4"/>
  <c r="AM29" i="4"/>
  <c r="CE29" i="4"/>
  <c r="CN29" i="4"/>
  <c r="AK29" i="4"/>
  <c r="CC29" i="4"/>
  <c r="BN29" i="4"/>
  <c r="CI29" i="4"/>
  <c r="AE29" i="4"/>
  <c r="CB29" i="4"/>
  <c r="AC29" i="4"/>
  <c r="BP29" i="4"/>
  <c r="AK5" i="4"/>
  <c r="CJ5" i="4"/>
  <c r="CI5" i="4"/>
  <c r="CM5" i="4"/>
  <c r="CN5" i="4"/>
  <c r="CL5" i="4"/>
  <c r="CD5" i="4"/>
  <c r="CF5" i="4"/>
  <c r="CK5" i="4"/>
  <c r="BN5" i="4"/>
  <c r="BP5" i="4"/>
  <c r="CE5" i="4"/>
  <c r="AM5" i="4"/>
  <c r="AE5" i="4"/>
  <c r="CC5" i="4"/>
  <c r="CG5" i="4"/>
  <c r="AC5" i="4"/>
  <c r="CB5" i="4"/>
  <c r="AM72" i="4"/>
  <c r="CG72" i="4"/>
  <c r="CB72" i="4"/>
  <c r="CN72" i="4"/>
  <c r="BN72" i="4"/>
  <c r="CJ72" i="4"/>
  <c r="CF72" i="4"/>
  <c r="CM72" i="4"/>
  <c r="CD72" i="4"/>
  <c r="BP72" i="4"/>
  <c r="AE72" i="4"/>
  <c r="CI72" i="4"/>
  <c r="AC72" i="4"/>
  <c r="CL72" i="4"/>
  <c r="CC72" i="4"/>
  <c r="CE72" i="4"/>
  <c r="CK72" i="4"/>
  <c r="AK72" i="4"/>
  <c r="CG49" i="4"/>
  <c r="AE49" i="4"/>
  <c r="CB49" i="4"/>
  <c r="CI49" i="4"/>
  <c r="CJ49" i="4"/>
  <c r="CF49" i="4"/>
  <c r="BP49" i="4"/>
  <c r="CN49" i="4"/>
  <c r="CE49" i="4"/>
  <c r="CL49" i="4"/>
  <c r="CK49" i="4"/>
  <c r="CD49" i="4"/>
  <c r="AC49" i="4"/>
  <c r="BN49" i="4"/>
  <c r="CM49" i="4"/>
  <c r="AK49" i="4"/>
  <c r="AM49" i="4"/>
  <c r="CC49" i="4"/>
  <c r="AK31" i="4"/>
  <c r="CD31" i="4"/>
  <c r="AC31" i="4"/>
  <c r="CM31" i="4"/>
  <c r="CJ31" i="4"/>
  <c r="CB31" i="4"/>
  <c r="CI31" i="4"/>
  <c r="CL31" i="4"/>
  <c r="AE31" i="4"/>
  <c r="CF31" i="4"/>
  <c r="AM31" i="4"/>
  <c r="CC31" i="4"/>
  <c r="BN31" i="4"/>
  <c r="BP31" i="4"/>
  <c r="CK31" i="4"/>
  <c r="CN31" i="4"/>
  <c r="CG31" i="4"/>
  <c r="CE31" i="4"/>
  <c r="CG86" i="4"/>
  <c r="CN86" i="4"/>
  <c r="CK86" i="4"/>
  <c r="CI86" i="4"/>
  <c r="AC86" i="4"/>
  <c r="CC86" i="4"/>
  <c r="CJ86" i="4"/>
  <c r="CB86" i="4"/>
  <c r="BN86" i="4"/>
  <c r="CF86" i="4"/>
  <c r="CM86" i="4"/>
  <c r="AE86" i="4"/>
  <c r="CL86" i="4"/>
  <c r="CD86" i="4"/>
  <c r="BP86" i="4"/>
  <c r="CE86" i="4"/>
  <c r="AM86" i="4"/>
  <c r="AK86" i="4"/>
  <c r="CD85" i="4"/>
  <c r="CC85" i="4"/>
  <c r="CK85" i="4"/>
  <c r="AC85" i="4"/>
  <c r="CE85" i="4"/>
  <c r="BN85" i="4"/>
  <c r="AK85" i="4"/>
  <c r="CG85" i="4"/>
  <c r="BP85" i="4"/>
  <c r="AM85" i="4"/>
  <c r="CN85" i="4"/>
  <c r="CJ85" i="4"/>
  <c r="CF85" i="4"/>
  <c r="AE85" i="4"/>
  <c r="CM85" i="4"/>
  <c r="CB85" i="4"/>
  <c r="CI85" i="4"/>
  <c r="CL85" i="4"/>
  <c r="CM92" i="4"/>
  <c r="CK92" i="4"/>
  <c r="AC92" i="4"/>
  <c r="CG92" i="4"/>
  <c r="BN92" i="4"/>
  <c r="CC92" i="4"/>
  <c r="CL92" i="4"/>
  <c r="CI92" i="4"/>
  <c r="CF92" i="4"/>
  <c r="CE92" i="4"/>
  <c r="CJ92" i="4"/>
  <c r="AK92" i="4"/>
  <c r="AM92" i="4"/>
  <c r="BP92" i="4"/>
  <c r="CB92" i="4"/>
  <c r="CD92" i="4"/>
  <c r="CN92" i="4"/>
  <c r="AE92" i="4"/>
  <c r="CN80" i="4"/>
  <c r="CE80" i="4"/>
  <c r="CB80" i="4"/>
  <c r="CC80" i="4"/>
  <c r="CJ80" i="4"/>
  <c r="CI80" i="4"/>
  <c r="AE80" i="4"/>
  <c r="CK80" i="4"/>
  <c r="CD80" i="4"/>
  <c r="BP80" i="4"/>
  <c r="CM80" i="4"/>
  <c r="AC80" i="4"/>
  <c r="CL80" i="4"/>
  <c r="CF80" i="4"/>
  <c r="CG80" i="4"/>
  <c r="BN80" i="4"/>
  <c r="AK80" i="4"/>
  <c r="AM80" i="4"/>
  <c r="AK21" i="4"/>
  <c r="CB21" i="4"/>
  <c r="AM21" i="4"/>
  <c r="AC21" i="4"/>
  <c r="CK21" i="4"/>
  <c r="CN21" i="4"/>
  <c r="CJ21" i="4"/>
  <c r="CG21" i="4"/>
  <c r="BN21" i="4"/>
  <c r="CI21" i="4"/>
  <c r="CF21" i="4"/>
  <c r="CL21" i="4"/>
  <c r="AE21" i="4"/>
  <c r="CE21" i="4"/>
  <c r="BP21" i="4"/>
  <c r="CM21" i="4"/>
  <c r="CC21" i="4"/>
  <c r="CD21" i="4"/>
  <c r="CF81" i="4"/>
  <c r="CI81" i="4"/>
  <c r="CL81" i="4"/>
  <c r="BP81" i="4"/>
  <c r="CN81" i="4"/>
  <c r="AE81" i="4"/>
  <c r="CJ81" i="4"/>
  <c r="AC81" i="4"/>
  <c r="BN81" i="4"/>
  <c r="CB81" i="4"/>
  <c r="CC81" i="4"/>
  <c r="CM81" i="4"/>
  <c r="CD81" i="4"/>
  <c r="AK81" i="4"/>
  <c r="AM81" i="4"/>
  <c r="CE81" i="4"/>
  <c r="CK81" i="4"/>
  <c r="CG81" i="4"/>
  <c r="CC44" i="4"/>
  <c r="CG44" i="4"/>
  <c r="CM44" i="4"/>
  <c r="CD44" i="4"/>
  <c r="CK44" i="4"/>
  <c r="AC44" i="4"/>
  <c r="CL44" i="4"/>
  <c r="AK44" i="4"/>
  <c r="CI44" i="4"/>
  <c r="CF44" i="4"/>
  <c r="CE44" i="4"/>
  <c r="BP44" i="4"/>
  <c r="AM44" i="4"/>
  <c r="CN44" i="4"/>
  <c r="AE44" i="4"/>
  <c r="BN44" i="4"/>
  <c r="CB44" i="4"/>
  <c r="CJ44" i="4"/>
  <c r="AK38" i="4"/>
  <c r="CF38" i="4"/>
  <c r="CC38" i="4"/>
  <c r="CD38" i="4"/>
  <c r="BP38" i="4"/>
  <c r="CI38" i="4"/>
  <c r="CJ38" i="4"/>
  <c r="AE38" i="4"/>
  <c r="CM38" i="4"/>
  <c r="CG38" i="4"/>
  <c r="CE38" i="4"/>
  <c r="CK38" i="4"/>
  <c r="CB38" i="4"/>
  <c r="AM38" i="4"/>
  <c r="AC38" i="4"/>
  <c r="BN38" i="4"/>
  <c r="CL38" i="4"/>
  <c r="CN38" i="4"/>
  <c r="AC19" i="4"/>
  <c r="CI19" i="4"/>
  <c r="CJ19" i="4"/>
  <c r="CF19" i="4"/>
  <c r="CN19" i="4"/>
  <c r="BN19" i="4"/>
  <c r="CL19" i="4"/>
  <c r="CB19" i="4"/>
  <c r="CC19" i="4"/>
  <c r="CM19" i="4"/>
  <c r="AE19" i="4"/>
  <c r="CK19" i="4"/>
  <c r="AM19" i="4"/>
  <c r="CE19" i="4"/>
  <c r="AK19" i="4"/>
  <c r="BP19" i="4"/>
  <c r="CD19" i="4"/>
  <c r="CG19" i="4"/>
  <c r="AI58" i="4"/>
  <c r="AJ58" i="4"/>
  <c r="AC42" i="4"/>
  <c r="AE42" i="4"/>
  <c r="CJ42" i="4"/>
  <c r="AM42" i="4"/>
  <c r="CC42" i="4"/>
  <c r="AK42" i="4"/>
  <c r="CI42" i="4"/>
  <c r="CL42" i="4"/>
  <c r="CN42" i="4"/>
  <c r="CB42" i="4"/>
  <c r="CE42" i="4"/>
  <c r="CG42" i="4"/>
  <c r="CF42" i="4"/>
  <c r="CM42" i="4"/>
  <c r="CD42" i="4"/>
  <c r="CK42" i="4"/>
  <c r="BP42" i="4"/>
  <c r="BN42" i="4"/>
  <c r="AC84" i="4"/>
  <c r="CG84" i="4"/>
  <c r="CC84" i="4"/>
  <c r="CI84" i="4"/>
  <c r="CJ84" i="4"/>
  <c r="CD84" i="4"/>
  <c r="BP84" i="4"/>
  <c r="CE84" i="4"/>
  <c r="CL84" i="4"/>
  <c r="AM84" i="4"/>
  <c r="AK84" i="4"/>
  <c r="BN84" i="4"/>
  <c r="CM84" i="4"/>
  <c r="CN84" i="4"/>
  <c r="CK84" i="4"/>
  <c r="CB84" i="4"/>
  <c r="CF84" i="4"/>
  <c r="AE84" i="4"/>
  <c r="AE67" i="4"/>
  <c r="AC67" i="4"/>
  <c r="CC67" i="4"/>
  <c r="CI67" i="4"/>
  <c r="CE67" i="4"/>
  <c r="CJ67" i="4"/>
  <c r="CL67" i="4"/>
  <c r="CN67" i="4"/>
  <c r="CG67" i="4"/>
  <c r="AM67" i="4"/>
  <c r="BP67" i="4"/>
  <c r="BN67" i="4"/>
  <c r="AK67" i="4"/>
  <c r="CF67" i="4"/>
  <c r="CD67" i="4"/>
  <c r="CK67" i="4"/>
  <c r="CM67" i="4"/>
  <c r="CB67" i="4"/>
  <c r="CG28" i="4"/>
  <c r="CE28" i="4"/>
  <c r="CM28" i="4"/>
  <c r="AK28" i="4"/>
  <c r="CL28" i="4"/>
  <c r="CF28" i="4"/>
  <c r="CK28" i="4"/>
  <c r="AM28" i="4"/>
  <c r="BP28" i="4"/>
  <c r="CJ28" i="4"/>
  <c r="CI28" i="4"/>
  <c r="BN28" i="4"/>
  <c r="AC28" i="4"/>
  <c r="CB28" i="4"/>
  <c r="AE28" i="4"/>
  <c r="CC28" i="4"/>
  <c r="CD28" i="4"/>
  <c r="CN28" i="4"/>
  <c r="CB45" i="4"/>
  <c r="CD45" i="4"/>
  <c r="CK45" i="4"/>
  <c r="AM45" i="4"/>
  <c r="BN45" i="4"/>
  <c r="CN45" i="4"/>
  <c r="AK45" i="4"/>
  <c r="AC45" i="4"/>
  <c r="CJ45" i="4"/>
  <c r="CM45" i="4"/>
  <c r="BP45" i="4"/>
  <c r="CG45" i="4"/>
  <c r="CF45" i="4"/>
  <c r="CC45" i="4"/>
  <c r="CE45" i="4"/>
  <c r="CI45" i="4"/>
  <c r="CL45" i="4"/>
  <c r="AE45" i="4"/>
  <c r="BP90" i="4"/>
  <c r="CN90" i="4"/>
  <c r="BN90" i="4"/>
  <c r="CF90" i="4"/>
  <c r="CC90" i="4"/>
  <c r="CB90" i="4"/>
  <c r="CG90" i="4"/>
  <c r="CM90" i="4"/>
  <c r="AM90" i="4"/>
  <c r="CL90" i="4"/>
  <c r="AK90" i="4"/>
  <c r="AC90" i="4"/>
  <c r="CI90" i="4"/>
  <c r="CJ90" i="4"/>
  <c r="CE90" i="4"/>
  <c r="AE90" i="4"/>
  <c r="CD90" i="4"/>
  <c r="CK90" i="4"/>
  <c r="CC73" i="4"/>
  <c r="CJ73" i="4"/>
  <c r="CI73" i="4"/>
  <c r="BP73" i="4"/>
  <c r="AC73" i="4"/>
  <c r="AM73" i="4"/>
  <c r="CN73" i="4"/>
  <c r="AK73" i="4"/>
  <c r="BN73" i="4"/>
  <c r="CE73" i="4"/>
  <c r="CF73" i="4"/>
  <c r="CK73" i="4"/>
  <c r="CL73" i="4"/>
  <c r="CM73" i="4"/>
  <c r="CB73" i="4"/>
  <c r="CD73" i="4"/>
  <c r="CG73" i="4"/>
  <c r="AE73" i="4"/>
  <c r="BN56" i="4"/>
  <c r="BP56" i="4"/>
  <c r="CM56" i="4"/>
  <c r="AM56" i="4"/>
  <c r="CL56" i="4"/>
  <c r="CC56" i="4"/>
  <c r="AC56" i="4"/>
  <c r="CJ56" i="4"/>
  <c r="AK56" i="4"/>
  <c r="CK56" i="4"/>
  <c r="CF56" i="4"/>
  <c r="CB56" i="4"/>
  <c r="CN56" i="4"/>
  <c r="CD56" i="4"/>
  <c r="CE56" i="4"/>
  <c r="AE56" i="4"/>
  <c r="CI56" i="4"/>
  <c r="CG56" i="4"/>
  <c r="CC33" i="4"/>
  <c r="AC33" i="4"/>
  <c r="CD33" i="4"/>
  <c r="AK33" i="4"/>
  <c r="CL33" i="4"/>
  <c r="CE33" i="4"/>
  <c r="CN33" i="4"/>
  <c r="CM33" i="4"/>
  <c r="CF33" i="4"/>
  <c r="CI33" i="4"/>
  <c r="CJ33" i="4"/>
  <c r="CG33" i="4"/>
  <c r="AE33" i="4"/>
  <c r="CK33" i="4"/>
  <c r="BP33" i="4"/>
  <c r="AM33" i="4"/>
  <c r="BN33" i="4"/>
  <c r="CB33" i="4"/>
  <c r="AM57" i="4"/>
  <c r="BN57" i="4"/>
  <c r="CJ57" i="4"/>
  <c r="CE57" i="4"/>
  <c r="CC57" i="4"/>
  <c r="CK57" i="4"/>
  <c r="CI57" i="4"/>
  <c r="CL57" i="4"/>
  <c r="CF57" i="4"/>
  <c r="CN57" i="4"/>
  <c r="AC57" i="4"/>
  <c r="CM57" i="4"/>
  <c r="BP57" i="4"/>
  <c r="CD57" i="4"/>
  <c r="AK57" i="4"/>
  <c r="CB57" i="4"/>
  <c r="AE57" i="4"/>
  <c r="CG57" i="4"/>
  <c r="AG58" i="4"/>
  <c r="AF58" i="4"/>
  <c r="CM68" i="4"/>
  <c r="CG68" i="4"/>
  <c r="CB68" i="4"/>
  <c r="CL68" i="4"/>
  <c r="CI68" i="4"/>
  <c r="AM68" i="4"/>
  <c r="CN68" i="4"/>
  <c r="CC68" i="4"/>
  <c r="BN68" i="4"/>
  <c r="AK68" i="4"/>
  <c r="CD68" i="4"/>
  <c r="CJ68" i="4"/>
  <c r="CF68" i="4"/>
  <c r="AC68" i="4"/>
  <c r="CE68" i="4"/>
  <c r="CK68" i="4"/>
  <c r="BP68" i="4"/>
  <c r="AE68" i="4"/>
  <c r="BP25" i="4"/>
  <c r="CI25" i="4"/>
  <c r="BN25" i="4"/>
  <c r="CL25" i="4"/>
  <c r="AE25" i="4"/>
  <c r="CN25" i="4"/>
  <c r="CD25" i="4"/>
  <c r="CJ25" i="4"/>
  <c r="AK25" i="4"/>
  <c r="CC25" i="4"/>
  <c r="CG25" i="4"/>
  <c r="CK25" i="4"/>
  <c r="CE25" i="4"/>
  <c r="CB25" i="4"/>
  <c r="CM25" i="4"/>
  <c r="CF25" i="4"/>
  <c r="AC25" i="4"/>
  <c r="AM25" i="4"/>
  <c r="CJ12" i="4"/>
  <c r="CB12" i="4"/>
  <c r="AM12" i="4"/>
  <c r="AK12" i="4"/>
  <c r="BP12" i="4"/>
  <c r="CN12" i="4"/>
  <c r="CD12" i="4"/>
  <c r="AE12" i="4"/>
  <c r="CG12" i="4"/>
  <c r="CI12" i="4"/>
  <c r="CF12" i="4"/>
  <c r="CE12" i="4"/>
  <c r="CL12" i="4"/>
  <c r="CC12" i="4"/>
  <c r="CK12" i="4"/>
  <c r="CM12" i="4"/>
  <c r="BN12" i="4"/>
  <c r="AC12" i="4"/>
  <c r="AE54" i="4"/>
  <c r="AK54" i="4"/>
  <c r="CB54" i="4"/>
  <c r="CC54" i="4"/>
  <c r="CF54" i="4"/>
  <c r="CK54" i="4"/>
  <c r="CG54" i="4"/>
  <c r="CM54" i="4"/>
  <c r="CN54" i="4"/>
  <c r="BP54" i="4"/>
  <c r="BN54" i="4"/>
  <c r="CE54" i="4"/>
  <c r="CI54" i="4"/>
  <c r="AC54" i="4"/>
  <c r="CD54" i="4"/>
  <c r="CJ54" i="4"/>
  <c r="AM54" i="4"/>
  <c r="CL54" i="4"/>
  <c r="CE41" i="4"/>
  <c r="AM41" i="4"/>
  <c r="CJ41" i="4"/>
  <c r="CG41" i="4"/>
  <c r="BP41" i="4"/>
  <c r="CI41" i="4"/>
  <c r="CK41" i="4"/>
  <c r="CC41" i="4"/>
  <c r="CN41" i="4"/>
  <c r="CF41" i="4"/>
  <c r="AK41" i="4"/>
  <c r="CD41" i="4"/>
  <c r="BN41" i="4"/>
  <c r="CL41" i="4"/>
  <c r="CB41" i="4"/>
  <c r="AE41" i="4"/>
  <c r="CM41" i="4"/>
  <c r="AC41" i="4"/>
  <c r="CM53" i="4"/>
  <c r="CL53" i="4"/>
  <c r="BP53" i="4"/>
  <c r="CI53" i="4"/>
  <c r="AK53" i="4"/>
  <c r="CE53" i="4"/>
  <c r="CF53" i="4"/>
  <c r="CG53" i="4"/>
  <c r="AE53" i="4"/>
  <c r="CJ53" i="4"/>
  <c r="CK53" i="4"/>
  <c r="CN53" i="4"/>
  <c r="CC53" i="4"/>
  <c r="AC53" i="4"/>
  <c r="CD53" i="4"/>
  <c r="CB53" i="4"/>
  <c r="BN53" i="4"/>
  <c r="AM53" i="4"/>
  <c r="CN83" i="4"/>
  <c r="CE83" i="4"/>
  <c r="CG83" i="4"/>
  <c r="AM83" i="4"/>
  <c r="CC83" i="4"/>
  <c r="AE83" i="4"/>
  <c r="CB83" i="4"/>
  <c r="BN83" i="4"/>
  <c r="AC83" i="4"/>
  <c r="CD83" i="4"/>
  <c r="CJ83" i="4"/>
  <c r="CI83" i="4"/>
  <c r="CF83" i="4"/>
  <c r="BP83" i="4"/>
  <c r="CL83" i="4"/>
  <c r="CM83" i="4"/>
  <c r="CK83" i="4"/>
  <c r="AK83" i="4"/>
  <c r="CJ69" i="4"/>
  <c r="CN69" i="4"/>
  <c r="CK69" i="4"/>
  <c r="AE69" i="4"/>
  <c r="CL69" i="4"/>
  <c r="BN69" i="4"/>
  <c r="CC69" i="4"/>
  <c r="AM69" i="4"/>
  <c r="CI69" i="4"/>
  <c r="CG69" i="4"/>
  <c r="AK69" i="4"/>
  <c r="CF69" i="4"/>
  <c r="CB69" i="4"/>
  <c r="BP69" i="4"/>
  <c r="CD69" i="4"/>
  <c r="AC69" i="4"/>
  <c r="CE69" i="4"/>
  <c r="CM69" i="4"/>
  <c r="CD15" i="4"/>
  <c r="AC15" i="4"/>
  <c r="CN15" i="4"/>
  <c r="CJ15" i="4"/>
  <c r="CE15" i="4"/>
  <c r="AM15" i="4"/>
  <c r="CL15" i="4"/>
  <c r="CK15" i="4"/>
  <c r="BP15" i="4"/>
  <c r="CB15" i="4"/>
  <c r="CM15" i="4"/>
  <c r="BN15" i="4"/>
  <c r="CG15" i="4"/>
  <c r="CF15" i="4"/>
  <c r="AE15" i="4"/>
  <c r="CI15" i="4"/>
  <c r="AK15" i="4"/>
  <c r="CC15" i="4"/>
  <c r="CF78" i="4"/>
  <c r="CI78" i="4"/>
  <c r="CN78" i="4"/>
  <c r="AK78" i="4"/>
  <c r="CJ78" i="4"/>
  <c r="BN78" i="4"/>
  <c r="CG78" i="4"/>
  <c r="CC78" i="4"/>
  <c r="AC78" i="4"/>
  <c r="CL78" i="4"/>
  <c r="CM78" i="4"/>
  <c r="CK78" i="4"/>
  <c r="CD78" i="4"/>
  <c r="AM78" i="4"/>
  <c r="AE78" i="4"/>
  <c r="CB78" i="4"/>
  <c r="CE78" i="4"/>
  <c r="BP78" i="4"/>
  <c r="CM20" i="4"/>
  <c r="AM20" i="4"/>
  <c r="AC20" i="4"/>
  <c r="CG20" i="4"/>
  <c r="CF20" i="4"/>
  <c r="CE20" i="4"/>
  <c r="CC20" i="4"/>
  <c r="CD20" i="4"/>
  <c r="BP20" i="4"/>
  <c r="AE20" i="4"/>
  <c r="CL20" i="4"/>
  <c r="BN20" i="4"/>
  <c r="CJ20" i="4"/>
  <c r="AK20" i="4"/>
  <c r="CN20" i="4"/>
  <c r="CI20" i="4"/>
  <c r="CK20" i="4"/>
  <c r="CB20" i="4"/>
  <c r="AM66" i="4"/>
  <c r="BN66" i="4"/>
  <c r="CB66" i="4"/>
  <c r="AK66" i="4"/>
  <c r="CN66" i="4"/>
  <c r="CK66" i="4"/>
  <c r="CJ66" i="4"/>
  <c r="AE66" i="4"/>
  <c r="CL66" i="4"/>
  <c r="CG66" i="4"/>
  <c r="CI66" i="4"/>
  <c r="CC66" i="4"/>
  <c r="BP66" i="4"/>
  <c r="CM66" i="4"/>
  <c r="CD66" i="4"/>
  <c r="CE66" i="4"/>
  <c r="AC66" i="4"/>
  <c r="CF66" i="4"/>
  <c r="AM46" i="4"/>
  <c r="AK46" i="4"/>
  <c r="BP46" i="4"/>
  <c r="BN46" i="4"/>
  <c r="CM46" i="4"/>
  <c r="CB46" i="4"/>
  <c r="CN46" i="4"/>
  <c r="CC46" i="4"/>
  <c r="CG46" i="4"/>
  <c r="CE46" i="4"/>
  <c r="CI46" i="4"/>
  <c r="CL46" i="4"/>
  <c r="AE46" i="4"/>
  <c r="CJ46" i="4"/>
  <c r="CK46" i="4"/>
  <c r="CD46" i="4"/>
  <c r="AC46" i="4"/>
  <c r="CF46" i="4"/>
  <c r="CE63" i="4"/>
  <c r="CK63" i="4"/>
  <c r="AK63" i="4"/>
  <c r="CD63" i="4"/>
  <c r="BN63" i="4"/>
  <c r="CC63" i="4"/>
  <c r="CI63" i="4"/>
  <c r="CJ63" i="4"/>
  <c r="AM63" i="4"/>
  <c r="CM63" i="4"/>
  <c r="AE63" i="4"/>
  <c r="CG63" i="4"/>
  <c r="CL63" i="4"/>
  <c r="CF63" i="4"/>
  <c r="BP63" i="4"/>
  <c r="AC63" i="4"/>
  <c r="CN63" i="4"/>
  <c r="CB63" i="4"/>
  <c r="CL14" i="4"/>
  <c r="CE14" i="4"/>
  <c r="AE14" i="4"/>
  <c r="CC14" i="4"/>
  <c r="CN14" i="4"/>
  <c r="AK14" i="4"/>
  <c r="CK14" i="4"/>
  <c r="CM14" i="4"/>
  <c r="AM14" i="4"/>
  <c r="CI14" i="4"/>
  <c r="BP14" i="4"/>
  <c r="CD14" i="4"/>
  <c r="BN14" i="4"/>
  <c r="CB14" i="4"/>
  <c r="CG14" i="4"/>
  <c r="CJ14" i="4"/>
  <c r="CF14" i="4"/>
  <c r="AC14" i="4"/>
  <c r="CF32" i="4"/>
  <c r="CK32" i="4"/>
  <c r="CC32" i="4"/>
  <c r="CJ32" i="4"/>
  <c r="AC32" i="4"/>
  <c r="CE32" i="4"/>
  <c r="CD32" i="4"/>
  <c r="AK32" i="4"/>
  <c r="CL32" i="4"/>
  <c r="AE32" i="4"/>
  <c r="BN32" i="4"/>
  <c r="CM32" i="4"/>
  <c r="CN32" i="4"/>
  <c r="BP32" i="4"/>
  <c r="CI32" i="4"/>
  <c r="CB32" i="4"/>
  <c r="CG32" i="4"/>
  <c r="AM32" i="4"/>
  <c r="AN58" i="4"/>
  <c r="AO58" i="4"/>
  <c r="AB58" i="4"/>
  <c r="AA58" i="4"/>
  <c r="CG87" i="4"/>
  <c r="CD87" i="4"/>
  <c r="CF87" i="4"/>
  <c r="AE87" i="4"/>
  <c r="CK87" i="4"/>
  <c r="BN87" i="4"/>
  <c r="AM87" i="4"/>
  <c r="AC87" i="4"/>
  <c r="AK87" i="4"/>
  <c r="BP87" i="4"/>
  <c r="CE87" i="4"/>
  <c r="CM87" i="4"/>
  <c r="CN87" i="4"/>
  <c r="CL87" i="4"/>
  <c r="CI87" i="4"/>
  <c r="CB87" i="4"/>
  <c r="CJ87" i="4"/>
  <c r="CC87" i="4"/>
  <c r="CB74" i="4"/>
  <c r="BP74" i="4"/>
  <c r="CM74" i="4"/>
  <c r="AC74" i="4"/>
  <c r="CE74" i="4"/>
  <c r="CK74" i="4"/>
  <c r="CG74" i="4"/>
  <c r="CF74" i="4"/>
  <c r="AM74" i="4"/>
  <c r="CI74" i="4"/>
  <c r="CL74" i="4"/>
  <c r="CN74" i="4"/>
  <c r="AE74" i="4"/>
  <c r="CJ74" i="4"/>
  <c r="CC74" i="4"/>
  <c r="CD74" i="4"/>
  <c r="AK74" i="4"/>
  <c r="BN74" i="4"/>
  <c r="CI22" i="4"/>
  <c r="AE22" i="4"/>
  <c r="AC22" i="4"/>
  <c r="CL22" i="4"/>
  <c r="CE22" i="4"/>
  <c r="BP22" i="4"/>
  <c r="AK22" i="4"/>
  <c r="CK22" i="4"/>
  <c r="CN22" i="4"/>
  <c r="CD22" i="4"/>
  <c r="CG22" i="4"/>
  <c r="CC22" i="4"/>
  <c r="CJ22" i="4"/>
  <c r="AM22" i="4"/>
  <c r="BN22" i="4"/>
  <c r="CF22" i="4"/>
  <c r="CM22" i="4"/>
  <c r="CB22" i="4"/>
  <c r="CF40" i="4"/>
  <c r="AM40" i="4"/>
  <c r="AC40" i="4"/>
  <c r="CB40" i="4"/>
  <c r="CI40" i="4"/>
  <c r="CK40" i="4"/>
  <c r="CJ40" i="4"/>
  <c r="BN40" i="4"/>
  <c r="CG40" i="4"/>
  <c r="CN40" i="4"/>
  <c r="BP40" i="4"/>
  <c r="CM40" i="4"/>
  <c r="AK40" i="4"/>
  <c r="CE40" i="4"/>
  <c r="AE40" i="4"/>
  <c r="CC40" i="4"/>
  <c r="CL40" i="4"/>
  <c r="CD40" i="4"/>
  <c r="CI27" i="4"/>
  <c r="CE27" i="4"/>
  <c r="AC27" i="4"/>
  <c r="BP27" i="4"/>
  <c r="AK27" i="4"/>
  <c r="CG27" i="4"/>
  <c r="CL27" i="4"/>
  <c r="CB27" i="4"/>
  <c r="AM27" i="4"/>
  <c r="CK27" i="4"/>
  <c r="AE27" i="4"/>
  <c r="CJ27" i="4"/>
  <c r="CN27" i="4"/>
  <c r="CM27" i="4"/>
  <c r="CC27" i="4"/>
  <c r="CF27" i="4"/>
  <c r="BN27" i="4"/>
  <c r="CD27" i="4"/>
  <c r="AE79" i="4"/>
  <c r="CC79" i="4"/>
  <c r="CB79" i="4"/>
  <c r="CL79" i="4"/>
  <c r="CK79" i="4"/>
  <c r="CM79" i="4"/>
  <c r="CJ79" i="4"/>
  <c r="CF79" i="4"/>
  <c r="BP79" i="4"/>
  <c r="CE79" i="4"/>
  <c r="AC79" i="4"/>
  <c r="CD79" i="4"/>
  <c r="CN79" i="4"/>
  <c r="CI79" i="4"/>
  <c r="BN79" i="4"/>
  <c r="CG79" i="4"/>
  <c r="AM79" i="4"/>
  <c r="AK79" i="4"/>
  <c r="BN64" i="4"/>
  <c r="AC64" i="4"/>
  <c r="CF64" i="4"/>
  <c r="CC64" i="4"/>
  <c r="CL64" i="4"/>
  <c r="CE64" i="4"/>
  <c r="CM64" i="4"/>
  <c r="CN64" i="4"/>
  <c r="CB64" i="4"/>
  <c r="AE64" i="4"/>
  <c r="CG64" i="4"/>
  <c r="CJ64" i="4"/>
  <c r="CI64" i="4"/>
  <c r="CK64" i="4"/>
  <c r="BP64" i="4"/>
  <c r="AK64" i="4"/>
  <c r="AM64" i="4"/>
  <c r="CD64" i="4"/>
  <c r="CB50" i="4"/>
  <c r="CK50" i="4"/>
  <c r="CC50" i="4"/>
  <c r="CF50" i="4"/>
  <c r="AM50" i="4"/>
  <c r="CN50" i="4"/>
  <c r="AC50" i="4"/>
  <c r="BP50" i="4"/>
  <c r="AK50" i="4"/>
  <c r="CL50" i="4"/>
  <c r="CG50" i="4"/>
  <c r="AE50" i="4"/>
  <c r="CM50" i="4"/>
  <c r="CI50" i="4"/>
  <c r="CD50" i="4"/>
  <c r="CE50" i="4"/>
  <c r="BN50" i="4"/>
  <c r="CJ50" i="4"/>
  <c r="CK36" i="4"/>
  <c r="CF36" i="4"/>
  <c r="CL36" i="4"/>
  <c r="CG36" i="4"/>
  <c r="AK36" i="4"/>
  <c r="AE36" i="4"/>
  <c r="CC36" i="4"/>
  <c r="CI36" i="4"/>
  <c r="AC36" i="4"/>
  <c r="CM36" i="4"/>
  <c r="AM36" i="4"/>
  <c r="CE36" i="4"/>
  <c r="BP36" i="4"/>
  <c r="CJ36" i="4"/>
  <c r="CN36" i="4"/>
  <c r="CB36" i="4"/>
  <c r="BN36" i="4"/>
  <c r="CD36" i="4"/>
  <c r="CB16" i="4"/>
  <c r="AE16" i="4"/>
  <c r="AC16" i="4"/>
  <c r="CG16" i="4"/>
  <c r="BN16" i="4"/>
  <c r="CK16" i="4"/>
  <c r="CN16" i="4"/>
  <c r="CI16" i="4"/>
  <c r="AM16" i="4"/>
  <c r="CM16" i="4"/>
  <c r="CF16" i="4"/>
  <c r="AK16" i="4"/>
  <c r="CC16" i="4"/>
  <c r="BP16" i="4"/>
  <c r="CE16" i="4"/>
  <c r="CJ16" i="4"/>
  <c r="CD16" i="4"/>
  <c r="CL16" i="4"/>
  <c r="CF35" i="4"/>
  <c r="CC35" i="4"/>
  <c r="AM35" i="4"/>
  <c r="BN35" i="4"/>
  <c r="CM35" i="4"/>
  <c r="CI35" i="4"/>
  <c r="BP35" i="4"/>
  <c r="AC35" i="4"/>
  <c r="CL35" i="4"/>
  <c r="CK35" i="4"/>
  <c r="CD35" i="4"/>
  <c r="CB35" i="4"/>
  <c r="AK35" i="4"/>
  <c r="CJ35" i="4"/>
  <c r="AE35" i="4"/>
  <c r="CG35" i="4"/>
  <c r="CE35" i="4"/>
  <c r="CN35" i="4"/>
  <c r="CM62" i="4"/>
  <c r="CL62" i="4"/>
  <c r="CI62" i="4"/>
  <c r="CF62" i="4"/>
  <c r="CN62" i="4"/>
  <c r="AE62" i="4"/>
  <c r="AM62" i="4"/>
  <c r="CD62" i="4"/>
  <c r="CB62" i="4"/>
  <c r="CJ62" i="4"/>
  <c r="CC62" i="4"/>
  <c r="CG62" i="4"/>
  <c r="BP62" i="4"/>
  <c r="AK62" i="4"/>
  <c r="CE62" i="4"/>
  <c r="BN62" i="4"/>
  <c r="CK62" i="4"/>
  <c r="AC62" i="4"/>
  <c r="CM30" i="4"/>
  <c r="BP30" i="4"/>
  <c r="CF30" i="4"/>
  <c r="AM30" i="4"/>
  <c r="AE30" i="4"/>
  <c r="CI30" i="4"/>
  <c r="CE30" i="4"/>
  <c r="CG30" i="4"/>
  <c r="CL30" i="4"/>
  <c r="CJ30" i="4"/>
  <c r="CB30" i="4"/>
  <c r="BN30" i="4"/>
  <c r="AK30" i="4"/>
  <c r="CD30" i="4"/>
  <c r="CN30" i="4"/>
  <c r="AC30" i="4"/>
  <c r="CC30" i="4"/>
  <c r="CK30" i="4"/>
  <c r="CC48" i="4"/>
  <c r="BP48" i="4"/>
  <c r="AM48" i="4"/>
  <c r="CF48" i="4"/>
  <c r="CM48" i="4"/>
  <c r="CI48" i="4"/>
  <c r="BN48" i="4"/>
  <c r="CK48" i="4"/>
  <c r="CJ48" i="4"/>
  <c r="CE48" i="4"/>
  <c r="CG48" i="4"/>
  <c r="AK48" i="4"/>
  <c r="CB48" i="4"/>
  <c r="CN48" i="4"/>
  <c r="CD48" i="4"/>
  <c r="AC48" i="4"/>
  <c r="CL48" i="4"/>
  <c r="AE48" i="4"/>
  <c r="CC17" i="4"/>
  <c r="CE17" i="4"/>
  <c r="CG17" i="4"/>
  <c r="CL17" i="4"/>
  <c r="CM17" i="4"/>
  <c r="CI17" i="4"/>
  <c r="CB17" i="4"/>
  <c r="AK17" i="4"/>
  <c r="CF17" i="4"/>
  <c r="CJ17" i="4"/>
  <c r="BN17" i="4"/>
  <c r="AC17" i="4"/>
  <c r="CN17" i="4"/>
  <c r="CD17" i="4"/>
  <c r="AM17" i="4"/>
  <c r="BP17" i="4"/>
  <c r="AE17" i="4"/>
  <c r="CK17" i="4"/>
  <c r="BP51" i="4"/>
  <c r="CN51" i="4"/>
  <c r="CK51" i="4"/>
  <c r="CI51" i="4"/>
  <c r="CM51" i="4"/>
  <c r="BN51" i="4"/>
  <c r="CJ51" i="4"/>
  <c r="AM51" i="4"/>
  <c r="CB51" i="4"/>
  <c r="AK51" i="4"/>
  <c r="CC51" i="4"/>
  <c r="CD51" i="4"/>
  <c r="CG51" i="4"/>
  <c r="AC51" i="4"/>
  <c r="AE51" i="4"/>
  <c r="CL51" i="4"/>
  <c r="CF51" i="4"/>
  <c r="CE51" i="4"/>
  <c r="CF47" i="4"/>
  <c r="AE47" i="4"/>
  <c r="CC47" i="4"/>
  <c r="AC47" i="4"/>
  <c r="BP47" i="4"/>
  <c r="CG47" i="4"/>
  <c r="CK47" i="4"/>
  <c r="AK47" i="4"/>
  <c r="AM47" i="4"/>
  <c r="CI47" i="4"/>
  <c r="CJ47" i="4"/>
  <c r="CE47" i="4"/>
  <c r="CL47" i="4"/>
  <c r="BN47" i="4"/>
  <c r="CD47" i="4"/>
  <c r="CN47" i="4"/>
  <c r="CM47" i="4"/>
  <c r="CB47" i="4"/>
  <c r="Z1257" i="13"/>
  <c r="Z1455" i="13"/>
  <c r="A25" i="13"/>
  <c r="H23" i="4"/>
  <c r="A90" i="9"/>
  <c r="BU88" i="4" a="1"/>
  <c r="BU88" i="4" s="1"/>
  <c r="D88" i="4"/>
  <c r="BC88" i="4" a="1"/>
  <c r="BC88" i="4" s="1"/>
  <c r="BV88" i="4" a="1"/>
  <c r="BV88" i="4" s="1"/>
  <c r="C88" i="4"/>
  <c r="A88" i="20"/>
  <c r="D88" i="1"/>
  <c r="D71" i="4"/>
  <c r="BV71" i="4" a="1"/>
  <c r="BV71" i="4" s="1"/>
  <c r="D71" i="1"/>
  <c r="A71" i="20"/>
  <c r="BU71" i="4" a="1"/>
  <c r="BU71" i="4" s="1"/>
  <c r="BC71" i="4" a="1"/>
  <c r="BC71" i="4" s="1"/>
  <c r="A73" i="9"/>
  <c r="C71" i="4"/>
  <c r="AZ8" i="4"/>
  <c r="A10" i="9"/>
  <c r="H10" i="9" s="1"/>
  <c r="M8" i="4"/>
  <c r="BC8" i="4" a="1"/>
  <c r="BC8" i="4" s="1"/>
  <c r="A8" i="4"/>
  <c r="I8" i="4"/>
  <c r="BS8" i="4"/>
  <c r="BV8" i="4" a="1"/>
  <c r="BV8" i="4" s="1"/>
  <c r="BU8" i="4" a="1"/>
  <c r="BU8" i="4" s="1"/>
  <c r="C8" i="4"/>
  <c r="D8" i="4"/>
  <c r="K8" i="4"/>
  <c r="AS8" i="4" s="1"/>
  <c r="AV610" i="13" s="1"/>
  <c r="A8" i="20"/>
  <c r="D8" i="1"/>
  <c r="AX432" i="13"/>
  <c r="A1029" i="13"/>
  <c r="A731" i="13"/>
  <c r="AX731" i="13" s="1"/>
  <c r="A1828" i="13"/>
  <c r="A632" i="13"/>
  <c r="A432" i="13"/>
  <c r="AX1029" i="13"/>
  <c r="A831" i="13"/>
  <c r="AX831" i="13" s="1"/>
  <c r="A532" i="13"/>
  <c r="AX532" i="13"/>
  <c r="A930" i="13"/>
  <c r="AX930" i="13" s="1"/>
  <c r="A132" i="13"/>
  <c r="AX632" i="13"/>
  <c r="A1128" i="13"/>
  <c r="AX32" i="13"/>
  <c r="C91" i="4"/>
  <c r="BC91" i="4" a="1"/>
  <c r="BC91" i="4" s="1"/>
  <c r="A91" i="20"/>
  <c r="D91" i="1"/>
  <c r="D91" i="4"/>
  <c r="BU91" i="4" a="1"/>
  <c r="BU91" i="4" s="1"/>
  <c r="BV91" i="4" a="1"/>
  <c r="BV91" i="4" s="1"/>
  <c r="A93" i="9"/>
  <c r="AX463" i="13"/>
  <c r="A762" i="13"/>
  <c r="AX762" i="13" s="1"/>
  <c r="A663" i="13"/>
  <c r="A1060" i="13"/>
  <c r="A961" i="13"/>
  <c r="AX961" i="13" s="1"/>
  <c r="A1159" i="13"/>
  <c r="AX563" i="13"/>
  <c r="A463" i="13"/>
  <c r="AX663" i="13"/>
  <c r="A862" i="13"/>
  <c r="AX862" i="13" s="1"/>
  <c r="A1859" i="13"/>
  <c r="AX63" i="13"/>
  <c r="A563" i="13"/>
  <c r="A163" i="13"/>
  <c r="AX1060" i="13"/>
  <c r="AX1036" i="13"/>
  <c r="AX39" i="13"/>
  <c r="A738" i="13"/>
  <c r="AX738" i="13" s="1"/>
  <c r="AX639" i="13"/>
  <c r="A439" i="13"/>
  <c r="A937" i="13"/>
  <c r="AX937" i="13" s="1"/>
  <c r="A1135" i="13"/>
  <c r="AX539" i="13"/>
  <c r="A838" i="13"/>
  <c r="AX838" i="13" s="1"/>
  <c r="A1036" i="13"/>
  <c r="A139" i="13"/>
  <c r="A1835" i="13"/>
  <c r="A639" i="13"/>
  <c r="A539" i="13"/>
  <c r="AX439" i="13"/>
  <c r="BU7" i="4" a="1"/>
  <c r="BU7" i="4" s="1"/>
  <c r="D7" i="4"/>
  <c r="C7" i="4"/>
  <c r="K7" i="4"/>
  <c r="A7" i="20"/>
  <c r="A7" i="4"/>
  <c r="AZ7" i="4"/>
  <c r="M7" i="4"/>
  <c r="BV7" i="4" a="1"/>
  <c r="BV7" i="4" s="1"/>
  <c r="I7" i="4"/>
  <c r="BC7" i="4" a="1"/>
  <c r="BC7" i="4" s="1"/>
  <c r="A9" i="9"/>
  <c r="D7" i="1"/>
  <c r="BS7" i="4"/>
  <c r="C93" i="4"/>
  <c r="A95" i="9"/>
  <c r="BU93" i="4" a="1"/>
  <c r="BU93" i="4" s="1"/>
  <c r="BV93" i="4" a="1"/>
  <c r="BV93" i="4" s="1"/>
  <c r="D93" i="1"/>
  <c r="D93" i="4"/>
  <c r="A93" i="20"/>
  <c r="BC93" i="4" a="1"/>
  <c r="BC93" i="4" s="1"/>
  <c r="BU89" i="4" a="1"/>
  <c r="BU89" i="4" s="1"/>
  <c r="D89" i="4"/>
  <c r="BC89" i="4" a="1"/>
  <c r="BC89" i="4" s="1"/>
  <c r="C89" i="4"/>
  <c r="A91" i="9"/>
  <c r="A89" i="20"/>
  <c r="BV89" i="4" a="1"/>
  <c r="BV89" i="4" s="1"/>
  <c r="D89" i="1"/>
  <c r="B10" i="4"/>
  <c r="BA10" i="4" a="1"/>
  <c r="BA10" i="4" s="1"/>
  <c r="BB10" i="4" s="1"/>
  <c r="AV112" i="13" s="1"/>
  <c r="I12" i="27"/>
  <c r="D76" i="4"/>
  <c r="A76" i="20"/>
  <c r="BC76" i="4" a="1"/>
  <c r="BC76" i="4" s="1"/>
  <c r="BU76" i="4" a="1"/>
  <c r="BU76" i="4" s="1"/>
  <c r="BV76" i="4" a="1"/>
  <c r="BV76" i="4" s="1"/>
  <c r="C76" i="4"/>
  <c r="A78" i="9"/>
  <c r="D76" i="1"/>
  <c r="BC59" i="4" a="1"/>
  <c r="BC59" i="4" s="1"/>
  <c r="D59" i="4"/>
  <c r="BU59" i="4" a="1"/>
  <c r="BU59" i="4" s="1"/>
  <c r="S91" i="22"/>
  <c r="A59" i="20"/>
  <c r="A61" i="9"/>
  <c r="D59" i="1"/>
  <c r="C59" i="4"/>
  <c r="BV59" i="4" a="1"/>
  <c r="BV59" i="4" s="1"/>
  <c r="BV6" i="4" a="1"/>
  <c r="BV6" i="4" s="1"/>
  <c r="A6" i="4"/>
  <c r="K6" i="4"/>
  <c r="BC6" i="4" a="1"/>
  <c r="BC6" i="4" s="1"/>
  <c r="BU6" i="4" a="1"/>
  <c r="BU6" i="4" s="1"/>
  <c r="C6" i="4"/>
  <c r="D6" i="4"/>
  <c r="M6" i="4"/>
  <c r="AZ6" i="4"/>
  <c r="I6" i="4"/>
  <c r="BS6" i="4"/>
  <c r="D6" i="1"/>
  <c r="A8" i="9"/>
  <c r="A6" i="20"/>
  <c r="A82" i="20"/>
  <c r="D82" i="1"/>
  <c r="BC82" i="4" a="1"/>
  <c r="BC82" i="4" s="1"/>
  <c r="BV82" i="4" a="1"/>
  <c r="BV82" i="4" s="1"/>
  <c r="BU82" i="4" a="1"/>
  <c r="BU82" i="4" s="1"/>
  <c r="C82" i="4"/>
  <c r="D82" i="4"/>
  <c r="A84" i="9"/>
  <c r="BC70" i="4" a="1"/>
  <c r="BC70" i="4" s="1"/>
  <c r="D70" i="1"/>
  <c r="C70" i="4"/>
  <c r="BV70" i="4" a="1"/>
  <c r="BV70" i="4" s="1"/>
  <c r="D70" i="4"/>
  <c r="BU70" i="4" a="1"/>
  <c r="BU70" i="4" s="1"/>
  <c r="A72" i="9"/>
  <c r="A70" i="20"/>
  <c r="A75" i="20"/>
  <c r="A77" i="9"/>
  <c r="BC75" i="4" a="1"/>
  <c r="BC75" i="4" s="1"/>
  <c r="D75" i="1"/>
  <c r="D75" i="4"/>
  <c r="BV75" i="4" a="1"/>
  <c r="BV75" i="4" s="1"/>
  <c r="BU75" i="4" a="1"/>
  <c r="BU75" i="4" s="1"/>
  <c r="C75" i="4"/>
  <c r="A628" i="13"/>
  <c r="AX528" i="13"/>
  <c r="A926" i="13"/>
  <c r="AX926" i="13" s="1"/>
  <c r="AX428" i="13"/>
  <c r="A827" i="13"/>
  <c r="AX827" i="13" s="1"/>
  <c r="A1124" i="13"/>
  <c r="A128" i="13"/>
  <c r="A727" i="13"/>
  <c r="AX727" i="13" s="1"/>
  <c r="A428" i="13"/>
  <c r="A528" i="13"/>
  <c r="A1025" i="13"/>
  <c r="AX28" i="13"/>
  <c r="AX628" i="13"/>
  <c r="A1824" i="13"/>
  <c r="AX1025" i="13"/>
  <c r="BC13" i="4" a="1"/>
  <c r="BC13" i="4" s="1"/>
  <c r="M13" i="4"/>
  <c r="BU13" i="4" a="1"/>
  <c r="BU13" i="4" s="1"/>
  <c r="I13" i="4"/>
  <c r="A13" i="4"/>
  <c r="D13" i="4"/>
  <c r="AZ13" i="4"/>
  <c r="K13" i="4"/>
  <c r="BS13" i="4"/>
  <c r="C13" i="4"/>
  <c r="D13" i="1"/>
  <c r="A13" i="20"/>
  <c r="BV13" i="4" a="1"/>
  <c r="BV13" i="4" s="1"/>
  <c r="A15" i="9"/>
  <c r="AX51" i="13"/>
  <c r="A1147" i="13"/>
  <c r="AX451" i="13"/>
  <c r="A451" i="13"/>
  <c r="A750" i="13"/>
  <c r="AX750" i="13" s="1"/>
  <c r="A949" i="13"/>
  <c r="AX949" i="13" s="1"/>
  <c r="AX1048" i="13"/>
  <c r="A151" i="13"/>
  <c r="A850" i="13"/>
  <c r="AX850" i="13" s="1"/>
  <c r="AX651" i="13"/>
  <c r="A1847" i="13"/>
  <c r="A551" i="13"/>
  <c r="A1048" i="13"/>
  <c r="A651" i="13"/>
  <c r="AX551" i="13"/>
  <c r="A1090" i="13"/>
  <c r="A193" i="13"/>
  <c r="A792" i="13"/>
  <c r="AX792" i="13" s="1"/>
  <c r="AX593" i="13"/>
  <c r="A991" i="13"/>
  <c r="AX991" i="13" s="1"/>
  <c r="AX693" i="13"/>
  <c r="A693" i="13"/>
  <c r="AX93" i="13"/>
  <c r="AX493" i="13"/>
  <c r="AX1090" i="13"/>
  <c r="A1889" i="13"/>
  <c r="A593" i="13"/>
  <c r="A1189" i="13"/>
  <c r="A493" i="13"/>
  <c r="A892" i="13"/>
  <c r="AX892" i="13" s="1"/>
  <c r="S93" i="22"/>
  <c r="C61" i="4"/>
  <c r="D61" i="4"/>
  <c r="BU61" i="4" a="1"/>
  <c r="BU61" i="4" s="1"/>
  <c r="A61" i="20"/>
  <c r="D61" i="1"/>
  <c r="A63" i="9"/>
  <c r="BV61" i="4" a="1"/>
  <c r="BV61" i="4" s="1"/>
  <c r="BC61" i="4" a="1"/>
  <c r="BC61" i="4" s="1"/>
  <c r="K37" i="4"/>
  <c r="BC37" i="4" a="1"/>
  <c r="BC37" i="4" s="1"/>
  <c r="A37" i="20"/>
  <c r="M37" i="4"/>
  <c r="D37" i="4"/>
  <c r="BS37" i="4"/>
  <c r="BV37" i="4" a="1"/>
  <c r="BV37" i="4" s="1"/>
  <c r="I37" i="4"/>
  <c r="D37" i="1"/>
  <c r="BU37" i="4" a="1"/>
  <c r="BU37" i="4" s="1"/>
  <c r="C37" i="4"/>
  <c r="AZ37" i="4"/>
  <c r="A37" i="4"/>
  <c r="A39" i="9"/>
  <c r="A609" i="13"/>
  <c r="A409" i="13"/>
  <c r="A1006" i="13"/>
  <c r="AX509" i="13"/>
  <c r="A1805" i="13"/>
  <c r="Z1805" i="13" s="1"/>
  <c r="B1805" i="13" s="1" a="1"/>
  <c r="B1805" i="13" s="1"/>
  <c r="A1105" i="13"/>
  <c r="A708" i="13"/>
  <c r="AX708" i="13" s="1"/>
  <c r="AX9" i="13"/>
  <c r="A907" i="13"/>
  <c r="AX907" i="13" s="1"/>
  <c r="AX609" i="13"/>
  <c r="A808" i="13"/>
  <c r="AX808" i="13" s="1"/>
  <c r="AX1006" i="13"/>
  <c r="AX409" i="13"/>
  <c r="A509" i="13"/>
  <c r="A109" i="13"/>
  <c r="A1092" i="13"/>
  <c r="A695" i="13"/>
  <c r="AX1092" i="13"/>
  <c r="A794" i="13"/>
  <c r="AX794" i="13" s="1"/>
  <c r="A1891" i="13"/>
  <c r="AX695" i="13"/>
  <c r="AX95" i="13"/>
  <c r="A1191" i="13"/>
  <c r="A894" i="13"/>
  <c r="AX894" i="13" s="1"/>
  <c r="A595" i="13"/>
  <c r="A195" i="13"/>
  <c r="A993" i="13"/>
  <c r="AX993" i="13" s="1"/>
  <c r="A495" i="13"/>
  <c r="AX595" i="13"/>
  <c r="AX495" i="13"/>
  <c r="AX691" i="13"/>
  <c r="AX591" i="13"/>
  <c r="A491" i="13"/>
  <c r="A1187" i="13"/>
  <c r="A790" i="13"/>
  <c r="AX790" i="13" s="1"/>
  <c r="AX91" i="13"/>
  <c r="AX1088" i="13"/>
  <c r="A989" i="13"/>
  <c r="AX989" i="13" s="1"/>
  <c r="AX491" i="13"/>
  <c r="A191" i="13"/>
  <c r="A1887" i="13"/>
  <c r="A691" i="13"/>
  <c r="A890" i="13"/>
  <c r="AX890" i="13" s="1"/>
  <c r="A591" i="13"/>
  <c r="A1088" i="13"/>
  <c r="F18" i="5"/>
  <c r="F12" i="5"/>
  <c r="K15" i="27"/>
  <c r="AX436" i="13"/>
  <c r="A536" i="13"/>
  <c r="AX1033" i="13"/>
  <c r="A636" i="13"/>
  <c r="AX536" i="13"/>
  <c r="AX636" i="13"/>
  <c r="A835" i="13"/>
  <c r="AX835" i="13" s="1"/>
  <c r="A1132" i="13"/>
  <c r="A934" i="13"/>
  <c r="AX934" i="13" s="1"/>
  <c r="A436" i="13"/>
  <c r="A136" i="13"/>
  <c r="AX36" i="13"/>
  <c r="A1832" i="13"/>
  <c r="A735" i="13"/>
  <c r="AX735" i="13" s="1"/>
  <c r="A1033" i="13"/>
  <c r="D52" i="4"/>
  <c r="K52" i="4"/>
  <c r="A54" i="9"/>
  <c r="BV52" i="4" a="1"/>
  <c r="BV52" i="4" s="1"/>
  <c r="I52" i="4"/>
  <c r="D52" i="1"/>
  <c r="BC52" i="4" a="1"/>
  <c r="BC52" i="4" s="1"/>
  <c r="BS52" i="4"/>
  <c r="A52" i="20"/>
  <c r="A52" i="4"/>
  <c r="BU52" i="4" a="1"/>
  <c r="BU52" i="4" s="1"/>
  <c r="AZ52" i="4"/>
  <c r="M52" i="4"/>
  <c r="C52" i="4"/>
  <c r="H6" i="9"/>
  <c r="AX4" i="4"/>
  <c r="CY4" i="4"/>
  <c r="CZ4" i="4" s="1"/>
  <c r="CU4" i="4"/>
  <c r="CV4" i="4" s="1"/>
  <c r="DB4" i="4"/>
  <c r="E30" i="71"/>
  <c r="E28" i="71"/>
  <c r="E34" i="71"/>
  <c r="E31" i="71"/>
  <c r="E22" i="71"/>
  <c r="E21" i="71"/>
  <c r="E25" i="71"/>
  <c r="E33" i="71"/>
  <c r="E9" i="71"/>
  <c r="E13" i="71"/>
  <c r="E7" i="71"/>
  <c r="E16" i="71"/>
  <c r="E8" i="71"/>
  <c r="E23" i="71"/>
  <c r="E5" i="71"/>
  <c r="E20" i="71"/>
  <c r="E18" i="71"/>
  <c r="E14" i="71"/>
  <c r="E15" i="71"/>
  <c r="E26" i="71"/>
  <c r="E36" i="71"/>
  <c r="E32" i="71"/>
  <c r="E11" i="71"/>
  <c r="E24" i="71"/>
  <c r="E27" i="71"/>
  <c r="E4" i="71"/>
  <c r="E12" i="71"/>
  <c r="E6" i="71"/>
  <c r="F38" i="71"/>
  <c r="E29" i="71"/>
  <c r="E19" i="71"/>
  <c r="E35" i="71"/>
  <c r="E17" i="71"/>
  <c r="E10" i="71"/>
  <c r="A441" i="13"/>
  <c r="A1038" i="13"/>
  <c r="A1837" i="13"/>
  <c r="A740" i="13"/>
  <c r="AX740" i="13" s="1"/>
  <c r="A641" i="13"/>
  <c r="A939" i="13"/>
  <c r="AX939" i="13" s="1"/>
  <c r="AX641" i="13"/>
  <c r="AX441" i="13"/>
  <c r="AX41" i="13"/>
  <c r="A840" i="13"/>
  <c r="AX840" i="13" s="1"/>
  <c r="AX541" i="13"/>
  <c r="A541" i="13"/>
  <c r="A1137" i="13"/>
  <c r="AX1038" i="13"/>
  <c r="A141" i="13"/>
  <c r="A1300" i="13"/>
  <c r="AX1201" i="13"/>
  <c r="A577" i="13"/>
  <c r="AX577" i="13"/>
  <c r="A776" i="13"/>
  <c r="AX776" i="13" s="1"/>
  <c r="A677" i="13"/>
  <c r="A1173" i="13"/>
  <c r="A1873" i="13"/>
  <c r="A177" i="13"/>
  <c r="AX77" i="13"/>
  <c r="A477" i="13"/>
  <c r="A876" i="13"/>
  <c r="AX876" i="13" s="1"/>
  <c r="A1074" i="13"/>
  <c r="A975" i="13"/>
  <c r="AX975" i="13" s="1"/>
  <c r="AX677" i="13"/>
  <c r="AX1074" i="13"/>
  <c r="AX477" i="13"/>
  <c r="A28" i="9"/>
  <c r="BS26" i="4"/>
  <c r="BC26" i="4" a="1"/>
  <c r="BC26" i="4" s="1"/>
  <c r="A26" i="4"/>
  <c r="AZ26" i="4"/>
  <c r="A26" i="20"/>
  <c r="M26" i="4"/>
  <c r="D26" i="4"/>
  <c r="BU26" i="4" a="1"/>
  <c r="BU26" i="4" s="1"/>
  <c r="BV26" i="4" a="1"/>
  <c r="BV26" i="4" s="1"/>
  <c r="K26" i="4"/>
  <c r="C26" i="4"/>
  <c r="D26" i="1"/>
  <c r="I26" i="4"/>
  <c r="BS26" i="71" s="1"/>
  <c r="A515" i="13"/>
  <c r="A115" i="13"/>
  <c r="A415" i="13"/>
  <c r="A1111" i="13"/>
  <c r="A1012" i="13"/>
  <c r="A714" i="13"/>
  <c r="AX714" i="13" s="1"/>
  <c r="AX15" i="13"/>
  <c r="A615" i="13"/>
  <c r="AX615" i="13"/>
  <c r="A814" i="13"/>
  <c r="AX814" i="13" s="1"/>
  <c r="A1811" i="13"/>
  <c r="Z1811" i="13" s="1"/>
  <c r="B1811" i="13" s="1" a="1"/>
  <c r="B1811" i="13" s="1"/>
  <c r="A913" i="13"/>
  <c r="AX913" i="13" s="1"/>
  <c r="AX515" i="13"/>
  <c r="AX415" i="13"/>
  <c r="AX1012" i="13"/>
  <c r="K24" i="4"/>
  <c r="M24" i="4"/>
  <c r="BC24" i="4" a="1"/>
  <c r="BC24" i="4" s="1"/>
  <c r="BS24" i="4"/>
  <c r="BU24" i="4" a="1"/>
  <c r="BU24" i="4" s="1"/>
  <c r="A24" i="20"/>
  <c r="A24" i="4"/>
  <c r="J600" i="15" s="1"/>
  <c r="A26" i="9"/>
  <c r="D24" i="1"/>
  <c r="D24" i="4"/>
  <c r="BV24" i="4" a="1"/>
  <c r="BV24" i="4" s="1"/>
  <c r="C24" i="4"/>
  <c r="AZ24" i="4"/>
  <c r="I24" i="4"/>
  <c r="M11" i="4"/>
  <c r="I11" i="4"/>
  <c r="A11" i="4"/>
  <c r="C11" i="4"/>
  <c r="BV11" i="4" a="1"/>
  <c r="BV11" i="4" s="1"/>
  <c r="AZ11" i="4"/>
  <c r="A13" i="9"/>
  <c r="BS11" i="4"/>
  <c r="A11" i="20"/>
  <c r="BU11" i="4" a="1"/>
  <c r="BU11" i="4" s="1"/>
  <c r="BC11" i="4" a="1"/>
  <c r="BC11" i="4" s="1"/>
  <c r="D11" i="4"/>
  <c r="K11" i="4"/>
  <c r="D11" i="1"/>
  <c r="A730" i="13"/>
  <c r="AX730" i="13" s="1"/>
  <c r="A830" i="13"/>
  <c r="AX830" i="13" s="1"/>
  <c r="A929" i="13"/>
  <c r="AX929" i="13" s="1"/>
  <c r="A1127" i="13"/>
  <c r="AX531" i="13"/>
  <c r="A431" i="13"/>
  <c r="AX631" i="13"/>
  <c r="AX431" i="13"/>
  <c r="A631" i="13"/>
  <c r="AX1028" i="13"/>
  <c r="A1827" i="13"/>
  <c r="A131" i="13"/>
  <c r="A531" i="13"/>
  <c r="A1028" i="13"/>
  <c r="AX31" i="13"/>
  <c r="K6" i="27"/>
  <c r="DB9" i="4"/>
  <c r="AR9" i="69" s="1"/>
  <c r="AX9" i="4"/>
  <c r="CU9" i="4"/>
  <c r="CV9" i="4" s="1"/>
  <c r="K17" i="27"/>
  <c r="A407" i="13"/>
  <c r="AX507" i="13"/>
  <c r="A507" i="13"/>
  <c r="A107" i="13"/>
  <c r="A607" i="13"/>
  <c r="AX607" i="13"/>
  <c r="A1803" i="13"/>
  <c r="AX407" i="13"/>
  <c r="AX1004" i="13"/>
  <c r="A905" i="13"/>
  <c r="AX905" i="13" s="1"/>
  <c r="AX7" i="13"/>
  <c r="A1103" i="13"/>
  <c r="A1004" i="13"/>
  <c r="A806" i="13"/>
  <c r="AX806" i="13" s="1"/>
  <c r="A706" i="13"/>
  <c r="BV34" i="4" a="1"/>
  <c r="BV34" i="4" s="1"/>
  <c r="I34" i="4"/>
  <c r="CQ31" i="71" s="1"/>
  <c r="A34" i="4"/>
  <c r="J567" i="15" s="1"/>
  <c r="C34" i="4"/>
  <c r="A36" i="9"/>
  <c r="M34" i="4"/>
  <c r="D34" i="1"/>
  <c r="BC34" i="4" a="1"/>
  <c r="BC34" i="4" s="1"/>
  <c r="AZ34" i="4"/>
  <c r="BS34" i="4"/>
  <c r="A34" i="20"/>
  <c r="D34" i="4"/>
  <c r="BU34" i="4" a="1"/>
  <c r="BU34" i="4" s="1"/>
  <c r="K34" i="4"/>
  <c r="AS34" i="4" s="1"/>
  <c r="AV636" i="13" s="1"/>
  <c r="A454" i="13"/>
  <c r="A952" i="13"/>
  <c r="AX952" i="13" s="1"/>
  <c r="A753" i="13"/>
  <c r="AX753" i="13" s="1"/>
  <c r="AX654" i="13"/>
  <c r="A1051" i="13"/>
  <c r="A654" i="13"/>
  <c r="A1850" i="13"/>
  <c r="A154" i="13"/>
  <c r="AX454" i="13"/>
  <c r="AX1051" i="13"/>
  <c r="AX54" i="13"/>
  <c r="A554" i="13"/>
  <c r="AX554" i="13"/>
  <c r="A853" i="13"/>
  <c r="AX853" i="13" s="1"/>
  <c r="A1150" i="13"/>
  <c r="K39" i="4"/>
  <c r="AS39" i="4" s="1"/>
  <c r="AV641" i="13" s="1"/>
  <c r="D39" i="4"/>
  <c r="A41" i="9"/>
  <c r="M39" i="4"/>
  <c r="BU39" i="4" a="1"/>
  <c r="BU39" i="4" s="1"/>
  <c r="AZ39" i="4"/>
  <c r="BC39" i="4" a="1"/>
  <c r="BC39" i="4" s="1"/>
  <c r="A39" i="4"/>
  <c r="C39" i="4"/>
  <c r="A39" i="20"/>
  <c r="D39" i="1"/>
  <c r="I39" i="4"/>
  <c r="BS39" i="4"/>
  <c r="BV39" i="4" a="1"/>
  <c r="BV39" i="4" s="1"/>
  <c r="BA3" i="4" a="1"/>
  <c r="BA3" i="4" s="1"/>
  <c r="BB3" i="4" s="1"/>
  <c r="B3" i="4"/>
  <c r="J507" i="15"/>
  <c r="J603" i="15"/>
  <c r="J486" i="15"/>
  <c r="J638" i="15"/>
  <c r="J566" i="15"/>
  <c r="J578" i="15"/>
  <c r="A3" i="69"/>
  <c r="A3" i="72"/>
  <c r="AZ43" i="4"/>
  <c r="D43" i="4"/>
  <c r="M43" i="4"/>
  <c r="A43" i="20"/>
  <c r="K43" i="4"/>
  <c r="BU43" i="4" a="1"/>
  <c r="BU43" i="4" s="1"/>
  <c r="BS43" i="4"/>
  <c r="BV43" i="4" a="1"/>
  <c r="BV43" i="4" s="1"/>
  <c r="D43" i="1"/>
  <c r="I43" i="4"/>
  <c r="DR17" i="71" s="1"/>
  <c r="BC43" i="4" a="1"/>
  <c r="BC43" i="4" s="1"/>
  <c r="C43" i="4"/>
  <c r="A43" i="4"/>
  <c r="J586" i="15" s="1"/>
  <c r="A45" i="9"/>
  <c r="BV77" i="4" a="1"/>
  <c r="BV77" i="4" s="1"/>
  <c r="D77" i="1"/>
  <c r="BC77" i="4" a="1"/>
  <c r="BC77" i="4" s="1"/>
  <c r="A79" i="9"/>
  <c r="BU77" i="4" a="1"/>
  <c r="BU77" i="4" s="1"/>
  <c r="A77" i="20"/>
  <c r="C77" i="4"/>
  <c r="D77" i="4"/>
  <c r="C65" i="4"/>
  <c r="BU65" i="4" a="1"/>
  <c r="BU65" i="4" s="1"/>
  <c r="D65" i="4"/>
  <c r="A65" i="20"/>
  <c r="A67" i="9"/>
  <c r="D65" i="1"/>
  <c r="S97" i="22"/>
  <c r="BC65" i="4" a="1"/>
  <c r="BC65" i="4" s="1"/>
  <c r="BV65" i="4" a="1"/>
  <c r="BV65" i="4" s="1"/>
  <c r="AX433" i="13"/>
  <c r="A1129" i="13"/>
  <c r="AX533" i="13"/>
  <c r="A433" i="13"/>
  <c r="AX633" i="13"/>
  <c r="A931" i="13"/>
  <c r="AX931" i="13" s="1"/>
  <c r="AX1030" i="13"/>
  <c r="A533" i="13"/>
  <c r="A1030" i="13"/>
  <c r="A133" i="13"/>
  <c r="A832" i="13"/>
  <c r="AX832" i="13" s="1"/>
  <c r="A1829" i="13"/>
  <c r="AX33" i="13"/>
  <c r="A732" i="13"/>
  <c r="AX732" i="13" s="1"/>
  <c r="A633" i="13"/>
  <c r="A188" i="13"/>
  <c r="AX1085" i="13"/>
  <c r="AX488" i="13"/>
  <c r="A887" i="13"/>
  <c r="AX887" i="13" s="1"/>
  <c r="A488" i="13"/>
  <c r="AX88" i="13"/>
  <c r="A688" i="13"/>
  <c r="AX588" i="13"/>
  <c r="A1184" i="13"/>
  <c r="A1884" i="13"/>
  <c r="A1085" i="13"/>
  <c r="AX688" i="13"/>
  <c r="A588" i="13"/>
  <c r="A787" i="13"/>
  <c r="AX787" i="13" s="1"/>
  <c r="A986" i="13"/>
  <c r="AX986" i="13" s="1"/>
  <c r="A20" i="9"/>
  <c r="D18" i="1"/>
  <c r="A18" i="4"/>
  <c r="AZ18" i="4"/>
  <c r="D18" i="4"/>
  <c r="BS18" i="4"/>
  <c r="BC18" i="4" a="1"/>
  <c r="BC18" i="4" s="1"/>
  <c r="BV18" i="4" a="1"/>
  <c r="BV18" i="4" s="1"/>
  <c r="K18" i="4"/>
  <c r="M18" i="4"/>
  <c r="A18" i="20"/>
  <c r="C18" i="4"/>
  <c r="I18" i="4"/>
  <c r="AU32" i="71" s="1"/>
  <c r="BU18" i="4" a="1"/>
  <c r="BU18" i="4" s="1"/>
  <c r="AX426" i="13"/>
  <c r="A1822" i="13"/>
  <c r="Z1822" i="13" s="1"/>
  <c r="B1822" i="13" s="1" a="1"/>
  <c r="B1822" i="13" s="1"/>
  <c r="A924" i="13"/>
  <c r="AX924" i="13" s="1"/>
  <c r="AX26" i="13"/>
  <c r="A626" i="13"/>
  <c r="AX526" i="13"/>
  <c r="A126" i="13"/>
  <c r="A426" i="13"/>
  <c r="A526" i="13"/>
  <c r="A1122" i="13"/>
  <c r="AX1023" i="13"/>
  <c r="A725" i="13"/>
  <c r="AX725" i="13" s="1"/>
  <c r="AX626" i="13"/>
  <c r="A1023" i="13"/>
  <c r="A825" i="13"/>
  <c r="AX825" i="13" s="1"/>
  <c r="A413" i="13"/>
  <c r="A1109" i="13"/>
  <c r="AX513" i="13"/>
  <c r="AX613" i="13"/>
  <c r="A1809" i="13"/>
  <c r="Z1809" i="13" s="1"/>
  <c r="B1809" i="13" s="1" a="1"/>
  <c r="B1809" i="13" s="1"/>
  <c r="AX13" i="13"/>
  <c r="A911" i="13"/>
  <c r="AX911" i="13" s="1"/>
  <c r="AX1010" i="13"/>
  <c r="A812" i="13"/>
  <c r="AX812" i="13" s="1"/>
  <c r="A113" i="13"/>
  <c r="A513" i="13"/>
  <c r="A712" i="13"/>
  <c r="AX712" i="13" s="1"/>
  <c r="A613" i="13"/>
  <c r="AX413" i="13"/>
  <c r="A1010" i="13"/>
  <c r="K29" i="4"/>
  <c r="I29" i="4"/>
  <c r="CB12" i="71" s="1"/>
  <c r="A29" i="4"/>
  <c r="D29" i="1"/>
  <c r="BV29" i="4" a="1"/>
  <c r="BV29" i="4" s="1"/>
  <c r="M29" i="4"/>
  <c r="AZ29" i="4"/>
  <c r="A29" i="20"/>
  <c r="A31" i="9"/>
  <c r="C29" i="4"/>
  <c r="BC29" i="4" a="1"/>
  <c r="BC29" i="4" s="1"/>
  <c r="BU29" i="4" a="1"/>
  <c r="BU29" i="4" s="1"/>
  <c r="BS29" i="4"/>
  <c r="D29" i="4"/>
  <c r="A5" i="20"/>
  <c r="BU5" i="4" a="1"/>
  <c r="BU5" i="4" s="1"/>
  <c r="BC5" i="4" a="1"/>
  <c r="BC5" i="4" s="1"/>
  <c r="BV5" i="4" a="1"/>
  <c r="BV5" i="4" s="1"/>
  <c r="D5" i="1"/>
  <c r="D5" i="4"/>
  <c r="A5" i="4"/>
  <c r="J564" i="15" s="1"/>
  <c r="K5" i="4"/>
  <c r="AZ5" i="4"/>
  <c r="A7" i="9"/>
  <c r="C5" i="4"/>
  <c r="I5" i="4"/>
  <c r="I38" i="71" s="1"/>
  <c r="M5" i="4"/>
  <c r="BS5" i="4"/>
  <c r="T23" i="71"/>
  <c r="AT1296" i="13" a="1"/>
  <c r="AT1296" i="13" s="1"/>
  <c r="G59" i="14" a="1"/>
  <c r="G59" i="14" s="1"/>
  <c r="R38" i="71"/>
  <c r="T28" i="71"/>
  <c r="J56" i="23" a="1"/>
  <c r="J56" i="23" s="1"/>
  <c r="N58" i="23" a="1"/>
  <c r="N58" i="23" s="1"/>
  <c r="N36" i="23" s="1"/>
  <c r="W58" i="23" a="1"/>
  <c r="W58" i="23" s="1"/>
  <c r="W36" i="23" s="1"/>
  <c r="K24" i="71"/>
  <c r="L38" i="71"/>
  <c r="N6" i="71"/>
  <c r="AH1197" i="13" a="1"/>
  <c r="AH1197" i="13" s="1"/>
  <c r="AO1197" i="13" a="1"/>
  <c r="AO1197" i="13" s="1"/>
  <c r="N22" i="71"/>
  <c r="R56" i="14" a="1"/>
  <c r="R56" i="14" s="1"/>
  <c r="M59" i="23" a="1"/>
  <c r="M59" i="23" s="1"/>
  <c r="Q30" i="71"/>
  <c r="J577" i="15"/>
  <c r="X38" i="71"/>
  <c r="E429" i="15"/>
  <c r="H58" i="14" a="1"/>
  <c r="H58" i="14" s="1"/>
  <c r="V59" i="23" a="1"/>
  <c r="V59" i="23" s="1"/>
  <c r="K15" i="71"/>
  <c r="I59" i="23" a="1"/>
  <c r="I59" i="23" s="1"/>
  <c r="T21" i="71"/>
  <c r="AC1296" i="13" a="1"/>
  <c r="AC1296" i="13" s="1"/>
  <c r="AP1197" i="13" a="1"/>
  <c r="AP1197" i="13" s="1"/>
  <c r="N7" i="71"/>
  <c r="J57" i="23" a="1"/>
  <c r="J57" i="23" s="1"/>
  <c r="J35" i="23" s="1"/>
  <c r="X56" i="23" a="1"/>
  <c r="X56" i="23" s="1"/>
  <c r="K57" i="23" a="1"/>
  <c r="K57" i="23" s="1"/>
  <c r="K35" i="23" s="1"/>
  <c r="N24" i="71"/>
  <c r="P56" i="14" a="1"/>
  <c r="P56" i="14" s="1"/>
  <c r="Q12" i="71"/>
  <c r="W12" i="71"/>
  <c r="Z11" i="71"/>
  <c r="S57" i="14" a="1"/>
  <c r="S57" i="14" s="1"/>
  <c r="F59" i="14" a="1"/>
  <c r="F59" i="14" s="1"/>
  <c r="K17" i="71"/>
  <c r="K11" i="27" a="1"/>
  <c r="K11" i="27" s="1"/>
  <c r="DF8" i="71"/>
  <c r="T16" i="71"/>
  <c r="S14" i="27" a="1"/>
  <c r="S14" i="27" s="1"/>
  <c r="R59" i="14" a="1"/>
  <c r="R59" i="14" s="1"/>
  <c r="EV33" i="71"/>
  <c r="CQ34" i="71"/>
  <c r="EV26" i="71"/>
  <c r="J616" i="15"/>
  <c r="J632" i="15"/>
  <c r="T22" i="71"/>
  <c r="AU1197" i="13" a="1"/>
  <c r="AU1197" i="13" s="1"/>
  <c r="H57" i="23" a="1"/>
  <c r="H57" i="23" s="1"/>
  <c r="H35" i="23" s="1"/>
  <c r="O56" i="14" a="1"/>
  <c r="O56" i="14" s="1"/>
  <c r="K21" i="71"/>
  <c r="W13" i="71"/>
  <c r="N11" i="71"/>
  <c r="P57" i="23" a="1"/>
  <c r="P57" i="23" s="1"/>
  <c r="P35" i="23" s="1"/>
  <c r="O59" i="14" a="1"/>
  <c r="O59" i="14" s="1"/>
  <c r="Q31" i="71"/>
  <c r="T14" i="71"/>
  <c r="W19" i="22"/>
  <c r="Y19" i="22" s="1"/>
  <c r="K57" i="14" a="1"/>
  <c r="K57" i="14" s="1"/>
  <c r="Q19" i="71"/>
  <c r="T33" i="71"/>
  <c r="H17" i="71"/>
  <c r="AI1296" i="13" a="1"/>
  <c r="AI1296" i="13" s="1"/>
  <c r="P14" i="27" a="1"/>
  <c r="P14" i="27" s="1"/>
  <c r="T11" i="71"/>
  <c r="AK1197" i="13" a="1"/>
  <c r="AK1197" i="13" s="1"/>
  <c r="M56" i="14" a="1"/>
  <c r="M56" i="14" s="1"/>
  <c r="W9" i="71"/>
  <c r="F59" i="23" a="1"/>
  <c r="F59" i="23" s="1"/>
  <c r="CQ10" i="71"/>
  <c r="EV9" i="71"/>
  <c r="T7" i="71"/>
  <c r="Z34" i="71"/>
  <c r="H57" i="14" a="1"/>
  <c r="H57" i="14" s="1"/>
  <c r="J554" i="15"/>
  <c r="CZ4" i="71"/>
  <c r="W28" i="71"/>
  <c r="X56" i="14" a="1"/>
  <c r="X56" i="14" s="1"/>
  <c r="Q58" i="23" a="1"/>
  <c r="Q58" i="23" s="1"/>
  <c r="Q36" i="23" s="1"/>
  <c r="T36" i="71"/>
  <c r="E565" i="15"/>
  <c r="V57" i="23" a="1"/>
  <c r="V57" i="23" s="1"/>
  <c r="V35" i="23" s="1"/>
  <c r="K58" i="14" a="1"/>
  <c r="K58" i="14" s="1"/>
  <c r="DR29" i="71"/>
  <c r="CQ24" i="71"/>
  <c r="AU34" i="71"/>
  <c r="J664" i="15"/>
  <c r="AB1296" i="13" a="1"/>
  <c r="AB1296" i="13" s="1"/>
  <c r="S57" i="23" a="1"/>
  <c r="S57" i="23" s="1"/>
  <c r="S35" i="23" s="1"/>
  <c r="AF34" i="71"/>
  <c r="K11" i="71"/>
  <c r="K34" i="71"/>
  <c r="V56" i="14" a="1"/>
  <c r="V56" i="14" s="1"/>
  <c r="Z57" i="23" a="1"/>
  <c r="Z57" i="23" s="1"/>
  <c r="Z35" i="23" s="1"/>
  <c r="AF23" i="71"/>
  <c r="AF27" i="71"/>
  <c r="J619" i="15"/>
  <c r="Z16" i="71"/>
  <c r="Q16" i="27" a="1"/>
  <c r="Q16" i="27" s="1"/>
  <c r="L58" i="23" a="1"/>
  <c r="L58" i="23" s="1"/>
  <c r="L36" i="23" s="1"/>
  <c r="Z59" i="14" a="1"/>
  <c r="Z59" i="14" s="1"/>
  <c r="K23" i="71"/>
  <c r="AF21" i="71"/>
  <c r="BM20" i="71"/>
  <c r="BS11" i="71"/>
  <c r="DF11" i="71"/>
  <c r="EV14" i="71"/>
  <c r="CZ11" i="71"/>
  <c r="N18" i="71"/>
  <c r="L58" i="14" a="1"/>
  <c r="L58" i="14" s="1"/>
  <c r="S58" i="23" a="1"/>
  <c r="S58" i="23" s="1"/>
  <c r="S36" i="23" s="1"/>
  <c r="T27" i="71"/>
  <c r="AI1197" i="13" a="1"/>
  <c r="AI1197" i="13" s="1"/>
  <c r="J58" i="23" a="1"/>
  <c r="J58" i="23" s="1"/>
  <c r="J36" i="23" s="1"/>
  <c r="T24" i="71"/>
  <c r="U202" i="13" a="1"/>
  <c r="U202" i="13" s="1"/>
  <c r="Q35" i="71"/>
  <c r="J480" i="15"/>
  <c r="J563" i="15"/>
  <c r="Y57" i="14" a="1"/>
  <c r="Y57" i="14" s="1"/>
  <c r="J56" i="14" a="1"/>
  <c r="J56" i="14" s="1"/>
  <c r="AF14" i="71"/>
  <c r="T12" i="71"/>
  <c r="AU35" i="71"/>
  <c r="V202" i="13" a="1"/>
  <c r="V202" i="13" s="1"/>
  <c r="Q25" i="71"/>
  <c r="BM30" i="71"/>
  <c r="T18" i="71"/>
  <c r="O202" i="13" a="1"/>
  <c r="O202" i="13" s="1"/>
  <c r="AF24" i="71"/>
  <c r="BS17" i="71"/>
  <c r="Z12" i="71"/>
  <c r="S12" i="27" a="1"/>
  <c r="S12" i="27" s="1"/>
  <c r="N59" i="23" a="1"/>
  <c r="N59" i="23" s="1"/>
  <c r="AF4" i="71"/>
  <c r="AG38" i="71"/>
  <c r="W4" i="71"/>
  <c r="Z24" i="71"/>
  <c r="AJ1296" i="13" a="1"/>
  <c r="AJ1296" i="13" s="1"/>
  <c r="Y56" i="14" a="1"/>
  <c r="Y56" i="14" s="1"/>
  <c r="T15" i="71"/>
  <c r="Y57" i="23" a="1"/>
  <c r="Y57" i="23" s="1"/>
  <c r="Y35" i="23" s="1"/>
  <c r="Q202" i="13" a="1"/>
  <c r="Q202" i="13" s="1"/>
  <c r="K18" i="71"/>
  <c r="K9" i="71"/>
  <c r="DR23" i="71"/>
  <c r="T9" i="71"/>
  <c r="X58" i="14" a="1"/>
  <c r="X58" i="14" s="1"/>
  <c r="Z17" i="71"/>
  <c r="W21" i="71"/>
  <c r="N59" i="14" a="1"/>
  <c r="N59" i="14" s="1"/>
  <c r="K202" i="13" a="1"/>
  <c r="K202" i="13" s="1"/>
  <c r="H58" i="23" a="1"/>
  <c r="H58" i="23" s="1"/>
  <c r="H36" i="23" s="1"/>
  <c r="AU10" i="71"/>
  <c r="I58" i="23" a="1"/>
  <c r="I58" i="23" s="1"/>
  <c r="I36" i="23" s="1"/>
  <c r="W57" i="14" a="1"/>
  <c r="W57" i="14" s="1"/>
  <c r="DF6" i="71"/>
  <c r="CQ17" i="71"/>
  <c r="BM24" i="71"/>
  <c r="J614" i="15"/>
  <c r="CZ29" i="71"/>
  <c r="DF5" i="71"/>
  <c r="CZ16" i="71"/>
  <c r="BM27" i="71"/>
  <c r="CZ10" i="71"/>
  <c r="CQ11" i="71"/>
  <c r="CQ15" i="71"/>
  <c r="W23" i="71"/>
  <c r="R56" i="23" a="1"/>
  <c r="R56" i="23" s="1"/>
  <c r="U59" i="14" a="1"/>
  <c r="U59" i="14" s="1"/>
  <c r="BM29" i="71"/>
  <c r="J519" i="15"/>
  <c r="J542" i="15"/>
  <c r="F57" i="14" a="1"/>
  <c r="F57" i="14" s="1"/>
  <c r="AN1197" i="13" a="1"/>
  <c r="AN1197" i="13" s="1"/>
  <c r="U38" i="71"/>
  <c r="I58" i="14" a="1"/>
  <c r="I58" i="14" s="1"/>
  <c r="V56" i="23" a="1"/>
  <c r="V56" i="23" s="1"/>
  <c r="Q23" i="71"/>
  <c r="T29" i="71"/>
  <c r="Z202" i="13" a="1"/>
  <c r="Z202" i="13" s="1"/>
  <c r="R57" i="23" a="1"/>
  <c r="R57" i="23" s="1"/>
  <c r="R35" i="23" s="1"/>
  <c r="K25" i="71"/>
  <c r="J512" i="15"/>
  <c r="G59" i="23" a="1"/>
  <c r="G59" i="23" s="1"/>
  <c r="W6" i="71"/>
  <c r="I57" i="23" a="1"/>
  <c r="I57" i="23" s="1"/>
  <c r="I35" i="23" s="1"/>
  <c r="G202" i="13" a="1"/>
  <c r="G202" i="13" s="1"/>
  <c r="EV15" i="71"/>
  <c r="W15" i="71"/>
  <c r="N14" i="71"/>
  <c r="T57" i="14" a="1"/>
  <c r="T57" i="14" s="1"/>
  <c r="Q9" i="71"/>
  <c r="Z30" i="71"/>
  <c r="W7" i="71"/>
  <c r="AR1296" i="13" a="1"/>
  <c r="AR1296" i="13" s="1"/>
  <c r="Z18" i="71"/>
  <c r="O58" i="14" a="1"/>
  <c r="O58" i="14" s="1"/>
  <c r="Q13" i="71"/>
  <c r="W27" i="71"/>
  <c r="Z29" i="71"/>
  <c r="AR1197" i="13" a="1"/>
  <c r="AR1197" i="13" s="1"/>
  <c r="Q16" i="71"/>
  <c r="AF16" i="71"/>
  <c r="AF18" i="71"/>
  <c r="N36" i="71"/>
  <c r="W17" i="71"/>
  <c r="K56" i="23" a="1"/>
  <c r="K56" i="23" s="1"/>
  <c r="U58" i="14" a="1"/>
  <c r="U58" i="14" s="1"/>
  <c r="BM25" i="71"/>
  <c r="J623" i="15"/>
  <c r="Z15" i="71"/>
  <c r="L202" i="13" a="1"/>
  <c r="L202" i="13" s="1"/>
  <c r="Y59" i="14" a="1"/>
  <c r="Y59" i="14" s="1"/>
  <c r="BS32" i="71"/>
  <c r="CZ34" i="71"/>
  <c r="EV27" i="71"/>
  <c r="CQ8" i="71"/>
  <c r="BS13" i="71"/>
  <c r="BS7" i="71"/>
  <c r="Z26" i="71"/>
  <c r="S56" i="23" a="1"/>
  <c r="S56" i="23" s="1"/>
  <c r="M58" i="23" a="1"/>
  <c r="M58" i="23" s="1"/>
  <c r="M36" i="23" s="1"/>
  <c r="AA38" i="71"/>
  <c r="W30" i="71"/>
  <c r="L56" i="14" a="1"/>
  <c r="L56" i="14" s="1"/>
  <c r="CZ23" i="71"/>
  <c r="DF13" i="71"/>
  <c r="T31" i="71"/>
  <c r="V58" i="14" a="1"/>
  <c r="V58" i="14" s="1"/>
  <c r="K56" i="14" a="1"/>
  <c r="K56" i="14" s="1"/>
  <c r="N23" i="71"/>
  <c r="AU5" i="71"/>
  <c r="F58" i="14" a="1"/>
  <c r="F58" i="14" s="1"/>
  <c r="U56" i="23" a="1"/>
  <c r="U56" i="23" s="1"/>
  <c r="T26" i="71"/>
  <c r="Q14" i="27" a="1"/>
  <c r="Q14" i="27" s="1"/>
  <c r="M57" i="14" a="1"/>
  <c r="M57" i="14" s="1"/>
  <c r="AU24" i="71"/>
  <c r="H28" i="71"/>
  <c r="W57" i="23" a="1"/>
  <c r="W57" i="23" s="1"/>
  <c r="W35" i="23" s="1"/>
  <c r="P58" i="23" a="1"/>
  <c r="P58" i="23" s="1"/>
  <c r="P36" i="23" s="1"/>
  <c r="EV19" i="71"/>
  <c r="AU8" i="71"/>
  <c r="Z28" i="71"/>
  <c r="I56" i="14" a="1"/>
  <c r="I56" i="14" s="1"/>
  <c r="Q21" i="71"/>
  <c r="W19" i="71"/>
  <c r="T202" i="13" a="1"/>
  <c r="T202" i="13" s="1"/>
  <c r="AQ1296" i="13" a="1"/>
  <c r="AQ1296" i="13" s="1"/>
  <c r="AF20" i="71"/>
  <c r="AF29" i="71"/>
  <c r="N27" i="71"/>
  <c r="N33" i="71"/>
  <c r="L57" i="23" a="1"/>
  <c r="L57" i="23" s="1"/>
  <c r="L35" i="23" s="1"/>
  <c r="AF31" i="71"/>
  <c r="DF32" i="71"/>
  <c r="H24" i="71"/>
  <c r="G57" i="23" a="1"/>
  <c r="G57" i="23" s="1"/>
  <c r="G35" i="23" s="1"/>
  <c r="G56" i="14" a="1"/>
  <c r="G56" i="14" s="1"/>
  <c r="J596" i="15"/>
  <c r="AF26" i="71"/>
  <c r="DF28" i="71"/>
  <c r="DF24" i="71"/>
  <c r="W8" i="71"/>
  <c r="F56" i="14" a="1"/>
  <c r="F56" i="14" s="1"/>
  <c r="T14" i="27" a="1"/>
  <c r="T14" i="27" s="1"/>
  <c r="Q7" i="71"/>
  <c r="AF12" i="71"/>
  <c r="W10" i="71"/>
  <c r="S59" i="14" a="1"/>
  <c r="S59" i="14" s="1"/>
  <c r="J588" i="15"/>
  <c r="Q34" i="71"/>
  <c r="J662" i="15"/>
  <c r="EV20" i="71"/>
  <c r="BS28" i="71"/>
  <c r="CZ31" i="71"/>
  <c r="CQ13" i="71"/>
  <c r="DR36" i="71"/>
  <c r="BM32" i="71"/>
  <c r="CQ7" i="71"/>
  <c r="I59" i="14" a="1"/>
  <c r="I59" i="14" s="1"/>
  <c r="G56" i="23" a="1"/>
  <c r="G56" i="23" s="1"/>
  <c r="Z19" i="71"/>
  <c r="T35" i="71"/>
  <c r="T16" i="27" a="1"/>
  <c r="T16" i="27" s="1"/>
  <c r="Z35" i="71"/>
  <c r="Z5" i="71"/>
  <c r="Q58" i="14" a="1"/>
  <c r="Q58" i="14" s="1"/>
  <c r="J516" i="15"/>
  <c r="BS8" i="71"/>
  <c r="X57" i="14" a="1"/>
  <c r="X57" i="14" s="1"/>
  <c r="M59" i="14" a="1"/>
  <c r="M59" i="14" s="1"/>
  <c r="Y58" i="23" a="1"/>
  <c r="Y58" i="23" s="1"/>
  <c r="Y36" i="23" s="1"/>
  <c r="J615" i="15"/>
  <c r="Z21" i="71"/>
  <c r="Z6" i="71"/>
  <c r="R202" i="13" a="1"/>
  <c r="R202" i="13" s="1"/>
  <c r="Z25" i="71"/>
  <c r="E49" i="15"/>
  <c r="M202" i="13" a="1"/>
  <c r="M202" i="13" s="1"/>
  <c r="W56" i="23" a="1"/>
  <c r="W56" i="23" s="1"/>
  <c r="BS12" i="71"/>
  <c r="H8" i="71"/>
  <c r="T59" i="23" a="1"/>
  <c r="T59" i="23" s="1"/>
  <c r="Q5" i="71"/>
  <c r="J483" i="15"/>
  <c r="AF19" i="71"/>
  <c r="V59" i="14" a="1"/>
  <c r="V59" i="14" s="1"/>
  <c r="Q18" i="71"/>
  <c r="CZ26" i="71"/>
  <c r="Q59" i="14" a="1"/>
  <c r="Q59" i="14" s="1"/>
  <c r="Q6" i="71"/>
  <c r="K20" i="71"/>
  <c r="Z10" i="71"/>
  <c r="N28" i="71"/>
  <c r="S16" i="27" a="1"/>
  <c r="S16" i="27" s="1"/>
  <c r="P57" i="14" a="1"/>
  <c r="P57" i="14" s="1"/>
  <c r="K5" i="71"/>
  <c r="AF5" i="71"/>
  <c r="CQ25" i="71"/>
  <c r="EV12" i="71"/>
  <c r="BM31" i="71"/>
  <c r="EV24" i="71"/>
  <c r="DF15" i="71"/>
  <c r="EV25" i="71"/>
  <c r="CB24" i="71"/>
  <c r="DF18" i="71"/>
  <c r="DF27" i="71"/>
  <c r="CQ21" i="71"/>
  <c r="CQ16" i="71"/>
  <c r="CQ22" i="71"/>
  <c r="AU26" i="71"/>
  <c r="H9" i="71"/>
  <c r="V57" i="14" a="1"/>
  <c r="V57" i="14" s="1"/>
  <c r="J57" i="14" a="1"/>
  <c r="J57" i="14" s="1"/>
  <c r="W11" i="71"/>
  <c r="Z14" i="71"/>
  <c r="I56" i="23" a="1"/>
  <c r="I56" i="23" s="1"/>
  <c r="T56" i="23" a="1"/>
  <c r="T56" i="23" s="1"/>
  <c r="K16" i="71"/>
  <c r="J492" i="15"/>
  <c r="Z32" i="71"/>
  <c r="F201" i="13" a="1"/>
  <c r="F201" i="13" s="1"/>
  <c r="N13" i="71"/>
  <c r="O56" i="23" a="1"/>
  <c r="O56" i="23" s="1"/>
  <c r="Z31" i="71"/>
  <c r="H31" i="71"/>
  <c r="AJ1197" i="13" a="1"/>
  <c r="AJ1197" i="13" s="1"/>
  <c r="AF35" i="71"/>
  <c r="CZ36" i="71"/>
  <c r="J631" i="15"/>
  <c r="W22" i="71"/>
  <c r="N16" i="71"/>
  <c r="L57" i="14" a="1"/>
  <c r="L57" i="14" s="1"/>
  <c r="O57" i="23" a="1"/>
  <c r="O57" i="23" s="1"/>
  <c r="O35" i="23" s="1"/>
  <c r="K28" i="71"/>
  <c r="EV6" i="71"/>
  <c r="EV7" i="71"/>
  <c r="BM6" i="71"/>
  <c r="AU30" i="71"/>
  <c r="AU27" i="71"/>
  <c r="R12" i="27" a="1"/>
  <c r="R12" i="27" s="1"/>
  <c r="J556" i="15"/>
  <c r="U59" i="23" a="1"/>
  <c r="U59" i="23" s="1"/>
  <c r="Q26" i="71"/>
  <c r="V19" i="22"/>
  <c r="AU18" i="71"/>
  <c r="AO1296" i="13" a="1"/>
  <c r="AO1296" i="13" s="1"/>
  <c r="Q36" i="71"/>
  <c r="CZ7" i="71"/>
  <c r="N30" i="71"/>
  <c r="AT1197" i="13" a="1"/>
  <c r="AT1197" i="13" s="1"/>
  <c r="BM21" i="71"/>
  <c r="J663" i="15"/>
  <c r="R14" i="27" a="1"/>
  <c r="R14" i="27" s="1"/>
  <c r="X59" i="14" a="1"/>
  <c r="X59" i="14" s="1"/>
  <c r="W24" i="71"/>
  <c r="O57" i="14" a="1"/>
  <c r="O57" i="14" s="1"/>
  <c r="AF11" i="71"/>
  <c r="CQ28" i="71"/>
  <c r="BM18" i="71"/>
  <c r="BS36" i="71"/>
  <c r="EV5" i="71"/>
  <c r="CZ18" i="71"/>
  <c r="BS22" i="71"/>
  <c r="BS16" i="71"/>
  <c r="CB10" i="71"/>
  <c r="CB35" i="71"/>
  <c r="T13" i="71"/>
  <c r="N25" i="71"/>
  <c r="AL1197" i="13" a="1"/>
  <c r="AL1197" i="13" s="1"/>
  <c r="S202" i="13" a="1"/>
  <c r="S202" i="13" s="1"/>
  <c r="K22" i="71"/>
  <c r="Q27" i="71"/>
  <c r="AU16" i="71"/>
  <c r="Z8" i="71"/>
  <c r="AP1296" i="13" a="1"/>
  <c r="AP1296" i="13" s="1"/>
  <c r="J202" i="13" a="1"/>
  <c r="J202" i="13" s="1"/>
  <c r="K27" i="71"/>
  <c r="BS19" i="71"/>
  <c r="R59" i="23" a="1"/>
  <c r="R59" i="23" s="1"/>
  <c r="P58" i="14" a="1"/>
  <c r="P58" i="14" s="1"/>
  <c r="J498" i="15"/>
  <c r="AF6" i="71"/>
  <c r="AU25" i="71"/>
  <c r="T34" i="71"/>
  <c r="AU1296" i="13" a="1"/>
  <c r="AU1296" i="13" s="1"/>
  <c r="W56" i="14" a="1"/>
  <c r="W56" i="14" s="1"/>
  <c r="J509" i="15"/>
  <c r="BS5" i="71"/>
  <c r="W22" i="22"/>
  <c r="Y22" i="22" s="1"/>
  <c r="W14" i="71"/>
  <c r="R58" i="14" a="1"/>
  <c r="R58" i="14" s="1"/>
  <c r="T58" i="23" a="1"/>
  <c r="T58" i="23" s="1"/>
  <c r="T36" i="23" s="1"/>
  <c r="H16" i="71"/>
  <c r="W33" i="71"/>
  <c r="T59" i="14" a="1"/>
  <c r="T59" i="14" s="1"/>
  <c r="N57" i="23" a="1"/>
  <c r="N57" i="23" s="1"/>
  <c r="N35" i="23" s="1"/>
  <c r="BM10" i="71"/>
  <c r="AM1197" i="13" a="1"/>
  <c r="AM1197" i="13" s="1"/>
  <c r="AF8" i="71"/>
  <c r="N29" i="71"/>
  <c r="T8" i="71"/>
  <c r="U57" i="23" a="1"/>
  <c r="U57" i="23" s="1"/>
  <c r="U35" i="23" s="1"/>
  <c r="CB33" i="71"/>
  <c r="N32" i="71"/>
  <c r="F57" i="23" a="1"/>
  <c r="F57" i="23" s="1"/>
  <c r="Z56" i="14" a="1"/>
  <c r="Z56" i="14" s="1"/>
  <c r="K8" i="71"/>
  <c r="BM15" i="71"/>
  <c r="BM26" i="71"/>
  <c r="O38" i="71"/>
  <c r="N31" i="71"/>
  <c r="B51" i="23"/>
  <c r="F202" i="13" a="1"/>
  <c r="F202" i="13" s="1"/>
  <c r="I57" i="14" a="1"/>
  <c r="I57" i="14" s="1"/>
  <c r="AF13" i="71"/>
  <c r="CQ36" i="71"/>
  <c r="J576" i="15"/>
  <c r="AU23" i="71"/>
  <c r="G58" i="23" a="1"/>
  <c r="G58" i="23" s="1"/>
  <c r="G36" i="23" s="1"/>
  <c r="AG1296" i="13" a="1"/>
  <c r="AG1296" i="13" s="1"/>
  <c r="AF15" i="71"/>
  <c r="K36" i="71"/>
  <c r="EV23" i="71"/>
  <c r="Z27" i="71"/>
  <c r="T12" i="27" a="1"/>
  <c r="T12" i="27" s="1"/>
  <c r="AF1296" i="13" a="1"/>
  <c r="AF1296" i="13" s="1"/>
  <c r="K26" i="71"/>
  <c r="BM8" i="71"/>
  <c r="CB23" i="71"/>
  <c r="CQ27" i="71"/>
  <c r="CB36" i="71"/>
  <c r="DR15" i="71"/>
  <c r="CQ23" i="71"/>
  <c r="Z1807" i="13"/>
  <c r="B1807" i="13" s="1" a="1"/>
  <c r="B1807" i="13" s="1"/>
  <c r="H26" i="71"/>
  <c r="H59" i="14" a="1"/>
  <c r="H59" i="14" s="1"/>
  <c r="W202" i="13" a="1"/>
  <c r="W202" i="13" s="1"/>
  <c r="K14" i="71"/>
  <c r="K4" i="71"/>
  <c r="I202" i="13" a="1"/>
  <c r="I202" i="13" s="1"/>
  <c r="AK1296" i="13" a="1"/>
  <c r="AK1296" i="13" s="1"/>
  <c r="DF36" i="71"/>
  <c r="J575" i="15"/>
  <c r="W32" i="71"/>
  <c r="J58" i="14" a="1"/>
  <c r="J58" i="14" s="1"/>
  <c r="M57" i="23" a="1"/>
  <c r="M57" i="23" s="1"/>
  <c r="M35" i="23" s="1"/>
  <c r="Q17" i="71"/>
  <c r="Q20" i="71"/>
  <c r="S58" i="14" a="1"/>
  <c r="S58" i="14" s="1"/>
  <c r="AF1197" i="13" a="1"/>
  <c r="AF1197" i="13" s="1"/>
  <c r="AE1197" i="13" s="1" a="1"/>
  <c r="AE1197" i="13" s="1"/>
  <c r="AU13" i="71"/>
  <c r="X202" i="13" a="1"/>
  <c r="X202" i="13" s="1"/>
  <c r="P59" i="14" a="1"/>
  <c r="P59" i="14" s="1"/>
  <c r="DF9" i="71"/>
  <c r="W25" i="71"/>
  <c r="N4" i="71"/>
  <c r="K31" i="71"/>
  <c r="T25" i="71"/>
  <c r="U12" i="27" a="1"/>
  <c r="U12" i="27" s="1"/>
  <c r="AC1197" i="13" a="1"/>
  <c r="AC1197" i="13" s="1"/>
  <c r="K32" i="71"/>
  <c r="AG1197" i="13" a="1"/>
  <c r="AG1197" i="13" s="1"/>
  <c r="Q8" i="71"/>
  <c r="Q29" i="71"/>
  <c r="EV31" i="71"/>
  <c r="H13" i="71"/>
  <c r="R58" i="23" a="1"/>
  <c r="R58" i="23" s="1"/>
  <c r="R36" i="23" s="1"/>
  <c r="L56" i="23" a="1"/>
  <c r="L56" i="23" s="1"/>
  <c r="O59" i="23" a="1"/>
  <c r="O59" i="23" s="1"/>
  <c r="AF9" i="71"/>
  <c r="EV35" i="71"/>
  <c r="N5" i="71"/>
  <c r="X58" i="23" a="1"/>
  <c r="X58" i="23" s="1"/>
  <c r="X36" i="23" s="1"/>
  <c r="Z56" i="23" a="1"/>
  <c r="Z56" i="23" s="1"/>
  <c r="G58" i="14" a="1"/>
  <c r="G58" i="14" s="1"/>
  <c r="CB19" i="71"/>
  <c r="Z13" i="71"/>
  <c r="AU15" i="71"/>
  <c r="H56" i="14" a="1"/>
  <c r="H56" i="14" s="1"/>
  <c r="J504" i="15"/>
  <c r="AF17" i="71"/>
  <c r="AF36" i="71"/>
  <c r="W29" i="71"/>
  <c r="W58" i="14" a="1"/>
  <c r="W58" i="14" s="1"/>
  <c r="T57" i="23" a="1"/>
  <c r="T57" i="23" s="1"/>
  <c r="T35" i="23" s="1"/>
  <c r="AF32" i="71"/>
  <c r="CQ14" i="71"/>
  <c r="BM33" i="71"/>
  <c r="BM4" i="71"/>
  <c r="CQ12" i="71"/>
  <c r="CQ32" i="71"/>
  <c r="DR33" i="71"/>
  <c r="CZ32" i="71"/>
  <c r="CZ12" i="71"/>
  <c r="CZ20" i="71"/>
  <c r="J535" i="15"/>
  <c r="DF31" i="71"/>
  <c r="EV30" i="71"/>
  <c r="CZ27" i="71"/>
  <c r="CB5" i="71"/>
  <c r="CB22" i="71"/>
  <c r="CZ35" i="71"/>
  <c r="H11" i="9"/>
  <c r="V22" i="22"/>
  <c r="AD1197" i="13" a="1"/>
  <c r="AD1197" i="13" s="1"/>
  <c r="N56" i="23" a="1"/>
  <c r="N56" i="23" s="1"/>
  <c r="K19" i="71"/>
  <c r="T4" i="71"/>
  <c r="N56" i="14" a="1"/>
  <c r="N56" i="14" s="1"/>
  <c r="E450" i="15"/>
  <c r="P12" i="27" a="1"/>
  <c r="P12" i="27" s="1"/>
  <c r="K59" i="14" a="1"/>
  <c r="K59" i="14" s="1"/>
  <c r="P16" i="27" a="1"/>
  <c r="P16" i="27" s="1"/>
  <c r="W31" i="71"/>
  <c r="Q56" i="14" a="1"/>
  <c r="Q56" i="14" s="1"/>
  <c r="E371" i="15"/>
  <c r="S59" i="23" a="1"/>
  <c r="S59" i="23" s="1"/>
  <c r="H56" i="23" a="1"/>
  <c r="H56" i="23" s="1"/>
  <c r="J477" i="15"/>
  <c r="Z7" i="71"/>
  <c r="Q57" i="23" a="1"/>
  <c r="Q57" i="23" s="1"/>
  <c r="Q35" i="23" s="1"/>
  <c r="K12" i="27" a="1"/>
  <c r="K12" i="27" s="1"/>
  <c r="AF22" i="71"/>
  <c r="CB32" i="71"/>
  <c r="AU17" i="71"/>
  <c r="T10" i="71"/>
  <c r="J59" i="23" a="1"/>
  <c r="J59" i="23" s="1"/>
  <c r="U58" i="23" a="1"/>
  <c r="U58" i="23" s="1"/>
  <c r="U36" i="23" s="1"/>
  <c r="H6" i="71"/>
  <c r="AD1296" i="13" a="1"/>
  <c r="AD1296" i="13" s="1"/>
  <c r="Q10" i="71"/>
  <c r="T17" i="71"/>
  <c r="U56" i="14" a="1"/>
  <c r="U56" i="14" s="1"/>
  <c r="R16" i="27" a="1"/>
  <c r="R16" i="27" s="1"/>
  <c r="Y59" i="23" a="1"/>
  <c r="Y59" i="23" s="1"/>
  <c r="T6" i="71"/>
  <c r="N21" i="71"/>
  <c r="N58" i="14" a="1"/>
  <c r="N58" i="14" s="1"/>
  <c r="X59" i="23" a="1"/>
  <c r="X59" i="23" s="1"/>
  <c r="W35" i="71"/>
  <c r="Q59" i="23" a="1"/>
  <c r="Q59" i="23" s="1"/>
  <c r="Q24" i="71"/>
  <c r="AF28" i="71"/>
  <c r="K6" i="71"/>
  <c r="N17" i="71"/>
  <c r="N15" i="71"/>
  <c r="X57" i="23" a="1"/>
  <c r="X57" i="23" s="1"/>
  <c r="X35" i="23" s="1"/>
  <c r="U57" i="14" a="1"/>
  <c r="U57" i="14" s="1"/>
  <c r="K29" i="71"/>
  <c r="K10" i="71"/>
  <c r="BM12" i="71"/>
  <c r="BS23" i="71"/>
  <c r="BS34" i="71"/>
  <c r="J494" i="15"/>
  <c r="EV34" i="71"/>
  <c r="Z22" i="71"/>
  <c r="F58" i="23" a="1"/>
  <c r="F58" i="23" s="1"/>
  <c r="AU29" i="71"/>
  <c r="P59" i="23" a="1"/>
  <c r="P59" i="23" s="1"/>
  <c r="U14" i="27" a="1"/>
  <c r="U14" i="27" s="1"/>
  <c r="J640" i="15"/>
  <c r="W26" i="71"/>
  <c r="N20" i="71"/>
  <c r="H202" i="13" a="1"/>
  <c r="H202" i="13" s="1"/>
  <c r="Y56" i="23" a="1"/>
  <c r="Y56" i="23" s="1"/>
  <c r="AF30" i="71"/>
  <c r="K30" i="71"/>
  <c r="Q11" i="71"/>
  <c r="N34" i="71"/>
  <c r="O58" i="23" a="1"/>
  <c r="O58" i="23" s="1"/>
  <c r="O36" i="23" s="1"/>
  <c r="CB14" i="71"/>
  <c r="BS15" i="71"/>
  <c r="H34" i="71"/>
  <c r="N57" i="14" a="1"/>
  <c r="N57" i="14" s="1"/>
  <c r="P56" i="23" a="1"/>
  <c r="P56" i="23" s="1"/>
  <c r="K12" i="71"/>
  <c r="J565" i="15"/>
  <c r="AU11" i="71"/>
  <c r="AL1296" i="13" a="1"/>
  <c r="AL1296" i="13" s="1"/>
  <c r="Q32" i="71"/>
  <c r="W36" i="71"/>
  <c r="G57" i="14" a="1"/>
  <c r="G57" i="14" s="1"/>
  <c r="K58" i="23" a="1"/>
  <c r="K58" i="23" s="1"/>
  <c r="K36" i="23" s="1"/>
  <c r="M56" i="23" a="1"/>
  <c r="M56" i="23" s="1"/>
  <c r="W34" i="71"/>
  <c r="L59" i="23" a="1"/>
  <c r="L59" i="23" s="1"/>
  <c r="R57" i="14" a="1"/>
  <c r="R57" i="14" s="1"/>
  <c r="K33" i="71"/>
  <c r="AF10" i="71"/>
  <c r="BM22" i="71"/>
  <c r="AU20" i="71"/>
  <c r="N9" i="71"/>
  <c r="AE1296" i="13" a="1"/>
  <c r="AE1296" i="13" s="1"/>
  <c r="N202" i="13" a="1"/>
  <c r="N202" i="13" s="1"/>
  <c r="J621" i="15"/>
  <c r="E208" i="15"/>
  <c r="F56" i="23" a="1"/>
  <c r="F56" i="23" s="1"/>
  <c r="AB1197" i="13" a="1"/>
  <c r="AB1197" i="13" s="1"/>
  <c r="H27" i="71"/>
  <c r="H18" i="71"/>
  <c r="J59" i="14" a="1"/>
  <c r="J59" i="14" s="1"/>
  <c r="P202" i="13" a="1"/>
  <c r="P202" i="13" s="1"/>
  <c r="K7" i="71"/>
  <c r="DF22" i="71"/>
  <c r="AU31" i="71"/>
  <c r="T19" i="71"/>
  <c r="Y202" i="13" a="1"/>
  <c r="Y202" i="13" s="1"/>
  <c r="K13" i="71"/>
  <c r="J660" i="15"/>
  <c r="BS4" i="71"/>
  <c r="EW38" i="71"/>
  <c r="DR7" i="71"/>
  <c r="CB21" i="71"/>
  <c r="DF10" i="71"/>
  <c r="EV22" i="71"/>
  <c r="DF21" i="71"/>
  <c r="DR27" i="71"/>
  <c r="CZ8" i="71"/>
  <c r="Q28" i="71"/>
  <c r="EV36" i="71"/>
  <c r="H11" i="71"/>
  <c r="N8" i="71"/>
  <c r="W59" i="14" a="1"/>
  <c r="W59" i="14" s="1"/>
  <c r="Q57" i="14" a="1"/>
  <c r="Q57" i="14" s="1"/>
  <c r="Q14" i="71"/>
  <c r="W5" i="71"/>
  <c r="N26" i="71"/>
  <c r="AN1296" i="13" a="1"/>
  <c r="AN1296" i="13" s="1"/>
  <c r="Z59" i="23" a="1"/>
  <c r="Z59" i="23" s="1"/>
  <c r="Q33" i="71"/>
  <c r="J572" i="15"/>
  <c r="AS1197" i="13" a="1"/>
  <c r="AS1197" i="13" s="1"/>
  <c r="Q56" i="23" a="1"/>
  <c r="Q56" i="23" s="1"/>
  <c r="T32" i="71"/>
  <c r="N19" i="71"/>
  <c r="M58" i="14" a="1"/>
  <c r="M58" i="14" s="1"/>
  <c r="L59" i="14" a="1"/>
  <c r="L59" i="14" s="1"/>
  <c r="Z33" i="71"/>
  <c r="Z36" i="71"/>
  <c r="T56" i="14" a="1"/>
  <c r="T56" i="14" s="1"/>
  <c r="Z57" i="14" a="1"/>
  <c r="Z57" i="14" s="1"/>
  <c r="AF33" i="71"/>
  <c r="CQ30" i="71"/>
  <c r="W18" i="71"/>
  <c r="W20" i="71"/>
  <c r="W59" i="23" a="1"/>
  <c r="W59" i="23" s="1"/>
  <c r="CB27" i="71"/>
  <c r="Z9" i="71"/>
  <c r="AU6" i="71"/>
  <c r="AH1296" i="13" a="1"/>
  <c r="AH1296" i="13" s="1"/>
  <c r="H59" i="23" a="1"/>
  <c r="H59" i="23" s="1"/>
  <c r="K35" i="71"/>
  <c r="T5" i="71"/>
  <c r="T20" i="71"/>
  <c r="AQ1197" i="13" a="1"/>
  <c r="AQ1197" i="13" s="1"/>
  <c r="S56" i="14" a="1"/>
  <c r="S56" i="14" s="1"/>
  <c r="K59" i="23" a="1"/>
  <c r="K59" i="23" s="1"/>
  <c r="J536" i="15"/>
  <c r="J620" i="15"/>
  <c r="AV38" i="71"/>
  <c r="W16" i="71"/>
  <c r="AM1296" i="13" a="1"/>
  <c r="AM1296" i="13" s="1"/>
  <c r="V58" i="23" a="1"/>
  <c r="V58" i="23" s="1"/>
  <c r="V36" i="23" s="1"/>
  <c r="CZ33" i="71"/>
  <c r="T30" i="71"/>
  <c r="AU28" i="71"/>
  <c r="Q12" i="27" a="1"/>
  <c r="Q12" i="27" s="1"/>
  <c r="Q4" i="71"/>
  <c r="AF7" i="71"/>
  <c r="H30" i="71"/>
  <c r="N10" i="71"/>
  <c r="T58" i="14" a="1"/>
  <c r="T58" i="14" s="1"/>
  <c r="J655" i="15"/>
  <c r="N12" i="71"/>
  <c r="AU7" i="71"/>
  <c r="Y58" i="14" a="1"/>
  <c r="Y58" i="14" s="1"/>
  <c r="DR12" i="71"/>
  <c r="J584" i="15"/>
  <c r="DF33" i="71"/>
  <c r="CQ9" i="71"/>
  <c r="CQ5" i="71"/>
  <c r="DF12" i="71"/>
  <c r="BS14" i="71"/>
  <c r="DF16" i="71"/>
  <c r="J532" i="15"/>
  <c r="J495" i="15"/>
  <c r="CQ35" i="71"/>
  <c r="CQ20" i="71"/>
  <c r="CQ33" i="71"/>
  <c r="J539" i="15"/>
  <c r="DF4" i="71"/>
  <c r="DF29" i="71"/>
  <c r="EV4" i="71"/>
  <c r="CZ15" i="71"/>
  <c r="CZ22" i="71"/>
  <c r="DG38" i="71"/>
  <c r="CB34" i="71"/>
  <c r="EV13" i="71"/>
  <c r="J591" i="15"/>
  <c r="N35" i="71"/>
  <c r="CQ29" i="71"/>
  <c r="J562" i="15"/>
  <c r="Z20" i="71"/>
  <c r="CZ21" i="71"/>
  <c r="DF7" i="71"/>
  <c r="DR19" i="71"/>
  <c r="CQ19" i="71"/>
  <c r="J580" i="15"/>
  <c r="CZ13" i="71"/>
  <c r="CB13" i="71"/>
  <c r="CZ9" i="71"/>
  <c r="AB9" i="69" a="1"/>
  <c r="AB9" i="69" s="1"/>
  <c r="H12" i="9"/>
  <c r="BF9" i="72"/>
  <c r="AW10" i="72"/>
  <c r="Y10" i="72"/>
  <c r="A10" i="72"/>
  <c r="W10" i="69"/>
  <c r="CB7" i="71"/>
  <c r="CQ18" i="71"/>
  <c r="CQ4" i="71"/>
  <c r="BM19" i="71"/>
  <c r="EV10" i="71"/>
  <c r="BM5" i="71"/>
  <c r="BM9" i="71"/>
  <c r="BM23" i="71"/>
  <c r="AD9" i="72"/>
  <c r="Q9" i="72"/>
  <c r="P9" i="72"/>
  <c r="BF10" i="72"/>
  <c r="CZ19" i="71"/>
  <c r="CC38" i="71"/>
  <c r="J611" i="15"/>
  <c r="J626" i="15"/>
  <c r="BN38" i="71"/>
  <c r="J547" i="15"/>
  <c r="EV17" i="71"/>
  <c r="CQ6" i="71"/>
  <c r="BS35" i="71"/>
  <c r="BS27" i="71"/>
  <c r="Z1808" i="13"/>
  <c r="B1808" i="13" s="1" a="1"/>
  <c r="B1808" i="13" s="1"/>
  <c r="AC9" i="72"/>
  <c r="Y9" i="72"/>
  <c r="Z1508" i="13"/>
  <c r="P10" i="69"/>
  <c r="BB10" i="69"/>
  <c r="Q10" i="72"/>
  <c r="DR5" i="71"/>
  <c r="DA38" i="71"/>
  <c r="DF20" i="71"/>
  <c r="CB8" i="71"/>
  <c r="EV28" i="71"/>
  <c r="CB25" i="71"/>
  <c r="CR38" i="71"/>
  <c r="CB30" i="71"/>
  <c r="L10" i="72"/>
  <c r="AB10" i="69" a="1"/>
  <c r="AB10" i="69" s="1"/>
  <c r="A10" i="69"/>
  <c r="DR30" i="71"/>
  <c r="BS10" i="71"/>
  <c r="DF34" i="71"/>
  <c r="DR13" i="71"/>
  <c r="BM34" i="71"/>
  <c r="BM36" i="71"/>
  <c r="DR25" i="71"/>
  <c r="BS31" i="71"/>
  <c r="DR4" i="71"/>
  <c r="Q22" i="71"/>
  <c r="CZ17" i="71"/>
  <c r="BM11" i="71"/>
  <c r="H20" i="71"/>
  <c r="CZ24" i="71"/>
  <c r="BS25" i="71"/>
  <c r="AC9" i="69"/>
  <c r="AS9" i="69"/>
  <c r="N9" i="69" a="1"/>
  <c r="N9" i="69" s="1"/>
  <c r="W10" i="72"/>
  <c r="CB31" i="71"/>
  <c r="BM13" i="71"/>
  <c r="J558" i="15"/>
  <c r="EV32" i="71"/>
  <c r="DF26" i="71"/>
  <c r="CB18" i="71"/>
  <c r="DF14" i="71"/>
  <c r="DF35" i="71"/>
  <c r="N9" i="72" a="1"/>
  <c r="N9" i="72" s="1"/>
  <c r="AC10" i="69"/>
  <c r="BG10" i="72"/>
  <c r="AD10" i="72"/>
  <c r="DR6" i="71"/>
  <c r="DR14" i="71"/>
  <c r="EV29" i="71"/>
  <c r="DF23" i="71"/>
  <c r="J642" i="15"/>
  <c r="DF17" i="71"/>
  <c r="EV21" i="71"/>
  <c r="CB16" i="71"/>
  <c r="DR10" i="71"/>
  <c r="DR31" i="71"/>
  <c r="BM17" i="71"/>
  <c r="J609" i="15"/>
  <c r="BC9" i="69"/>
  <c r="AW9" i="72"/>
  <c r="J10" i="72"/>
  <c r="AS10" i="69"/>
  <c r="N10" i="69" a="1"/>
  <c r="N10" i="69" s="1"/>
  <c r="J613" i="15"/>
  <c r="DR26" i="71"/>
  <c r="J598" i="15"/>
  <c r="DF30" i="71"/>
  <c r="DR35" i="71"/>
  <c r="CB29" i="71"/>
  <c r="BM35" i="71"/>
  <c r="BS21" i="71"/>
  <c r="BS29" i="71"/>
  <c r="H35" i="71"/>
  <c r="CB15" i="71"/>
  <c r="CZ5" i="71"/>
  <c r="AU36" i="71"/>
  <c r="Q9" i="69"/>
  <c r="Y10" i="69"/>
  <c r="BC10" i="69"/>
  <c r="Z1509" i="13"/>
  <c r="DR16" i="71"/>
  <c r="EV8" i="71"/>
  <c r="BS6" i="71"/>
  <c r="BM28" i="71"/>
  <c r="DR21" i="71"/>
  <c r="DF25" i="71"/>
  <c r="BS30" i="71"/>
  <c r="EV18" i="71"/>
  <c r="CZ6" i="71"/>
  <c r="CZ30" i="71"/>
  <c r="BG9" i="72"/>
  <c r="W9" i="72"/>
  <c r="N10" i="72" a="1"/>
  <c r="N10" i="72" s="1"/>
  <c r="Q10" i="69"/>
  <c r="P10" i="72"/>
  <c r="AV1405" i="13"/>
  <c r="CZ14" i="71"/>
  <c r="DR20" i="71"/>
  <c r="BM16" i="71"/>
  <c r="CZ28" i="71"/>
  <c r="J649" i="15"/>
  <c r="J568" i="15"/>
  <c r="BB9" i="69"/>
  <c r="W9" i="69"/>
  <c r="L10" i="69"/>
  <c r="J517" i="15"/>
  <c r="CB9" i="71"/>
  <c r="CB28" i="71"/>
  <c r="DR22" i="71"/>
  <c r="Z23" i="71"/>
  <c r="BS33" i="71"/>
  <c r="CZ25" i="71"/>
  <c r="A9" i="69"/>
  <c r="Y9" i="69"/>
  <c r="P9" i="69"/>
  <c r="AC10" i="72"/>
  <c r="DR28" i="71"/>
  <c r="BS24" i="71"/>
  <c r="DF19" i="71"/>
  <c r="J627" i="15"/>
  <c r="H12" i="71"/>
  <c r="CB26" i="71"/>
  <c r="EV16" i="71"/>
  <c r="H25" i="71"/>
  <c r="DR24" i="71"/>
  <c r="BM7" i="71"/>
  <c r="BS9" i="71"/>
  <c r="EV11" i="71"/>
  <c r="CQ26" i="71"/>
  <c r="BM14" i="71"/>
  <c r="J573" i="15"/>
  <c r="A9" i="72"/>
  <c r="AB9" i="72" a="1"/>
  <c r="AB9" i="72" s="1"/>
  <c r="J10" i="69"/>
  <c r="AB10" i="72" a="1"/>
  <c r="AB10" i="72" s="1"/>
  <c r="AV1503" i="13"/>
  <c r="AV1602" i="13" s="1"/>
  <c r="AV1504" i="13"/>
  <c r="AV1603" i="13" s="1"/>
  <c r="A494" i="13"/>
  <c r="AX694" i="13"/>
  <c r="A594" i="13"/>
  <c r="A1190" i="13"/>
  <c r="AX94" i="13"/>
  <c r="A1890" i="13"/>
  <c r="AX594" i="13"/>
  <c r="AX1091" i="13"/>
  <c r="A992" i="13"/>
  <c r="AX992" i="13" s="1"/>
  <c r="A1091" i="13"/>
  <c r="A194" i="13"/>
  <c r="A793" i="13"/>
  <c r="AX793" i="13" s="1"/>
  <c r="A694" i="13"/>
  <c r="A893" i="13"/>
  <c r="AX893" i="13" s="1"/>
  <c r="AX494" i="13"/>
  <c r="AX582" i="13"/>
  <c r="A980" i="13"/>
  <c r="AX980" i="13" s="1"/>
  <c r="AX682" i="13"/>
  <c r="AX482" i="13"/>
  <c r="A482" i="13"/>
  <c r="A682" i="13"/>
  <c r="A182" i="13"/>
  <c r="A881" i="13"/>
  <c r="AX881" i="13" s="1"/>
  <c r="A1079" i="13"/>
  <c r="A1878" i="13"/>
  <c r="A1178" i="13"/>
  <c r="AX82" i="13"/>
  <c r="AX1079" i="13"/>
  <c r="A582" i="13"/>
  <c r="A781" i="13"/>
  <c r="AX781" i="13" s="1"/>
  <c r="A1119" i="13"/>
  <c r="A423" i="13"/>
  <c r="A623" i="13"/>
  <c r="A523" i="13"/>
  <c r="AX423" i="13"/>
  <c r="A1819" i="13"/>
  <c r="AX623" i="13"/>
  <c r="A822" i="13"/>
  <c r="AX822" i="13" s="1"/>
  <c r="A921" i="13"/>
  <c r="AX921" i="13" s="1"/>
  <c r="A123" i="13"/>
  <c r="AX523" i="13"/>
  <c r="AX1020" i="13"/>
  <c r="AX23" i="13"/>
  <c r="A722" i="13"/>
  <c r="AX722" i="13" s="1"/>
  <c r="A1020" i="13"/>
  <c r="AX3" i="4"/>
  <c r="DB3" i="4"/>
  <c r="CU3" i="4"/>
  <c r="CW3" i="4"/>
  <c r="CX3" i="4" s="1"/>
  <c r="DA3" i="4" a="1"/>
  <c r="DA3" i="4" s="1"/>
  <c r="B27" i="71"/>
  <c r="B6" i="71"/>
  <c r="B12" i="71"/>
  <c r="B28" i="71"/>
  <c r="B5" i="71"/>
  <c r="B31" i="71"/>
  <c r="B33" i="71"/>
  <c r="B8" i="71"/>
  <c r="B15" i="71"/>
  <c r="B26" i="71"/>
  <c r="B9" i="71"/>
  <c r="B20" i="71"/>
  <c r="C38" i="71"/>
  <c r="B17" i="71"/>
  <c r="B7" i="71"/>
  <c r="B34" i="71"/>
  <c r="B4" i="71"/>
  <c r="B18" i="71"/>
  <c r="H3" i="9"/>
  <c r="B11" i="71"/>
  <c r="B29" i="71"/>
  <c r="B30" i="71"/>
  <c r="B19" i="71"/>
  <c r="B21" i="71"/>
  <c r="B22" i="71"/>
  <c r="B32" i="71"/>
  <c r="B10" i="71"/>
  <c r="B24" i="71"/>
  <c r="B35" i="71"/>
  <c r="B25" i="71"/>
  <c r="B16" i="71"/>
  <c r="B23" i="71"/>
  <c r="B13" i="71"/>
  <c r="B36" i="71"/>
  <c r="B14" i="71"/>
  <c r="AS3" i="4"/>
  <c r="H5" i="9"/>
  <c r="AH3" i="4"/>
  <c r="AP3" i="4"/>
  <c r="U3" i="72" s="1" a="1"/>
  <c r="U3" i="72" s="1"/>
  <c r="AL3" i="4"/>
  <c r="Z3" i="4"/>
  <c r="F3" i="4"/>
  <c r="W3" i="72"/>
  <c r="W3" i="69"/>
  <c r="A1179" i="13"/>
  <c r="A683" i="13"/>
  <c r="A1080" i="13"/>
  <c r="A882" i="13"/>
  <c r="AX882" i="13" s="1"/>
  <c r="A782" i="13"/>
  <c r="AX782" i="13" s="1"/>
  <c r="A583" i="13"/>
  <c r="AX683" i="13"/>
  <c r="AX1080" i="13"/>
  <c r="A183" i="13"/>
  <c r="AX483" i="13"/>
  <c r="AX583" i="13"/>
  <c r="A1879" i="13"/>
  <c r="A981" i="13"/>
  <c r="AX981" i="13" s="1"/>
  <c r="A483" i="13"/>
  <c r="AX83" i="13"/>
  <c r="D72" i="4"/>
  <c r="A72" i="20"/>
  <c r="C72" i="4"/>
  <c r="BC72" i="4" a="1"/>
  <c r="BC72" i="4" s="1"/>
  <c r="D72" i="1"/>
  <c r="BV72" i="4" a="1"/>
  <c r="BV72" i="4" s="1"/>
  <c r="A74" i="9"/>
  <c r="BU72" i="4" a="1"/>
  <c r="BU72" i="4" s="1"/>
  <c r="A445" i="13"/>
  <c r="A1141" i="13"/>
  <c r="A145" i="13"/>
  <c r="AX445" i="13"/>
  <c r="A1042" i="13"/>
  <c r="A744" i="13"/>
  <c r="AX744" i="13" s="1"/>
  <c r="A943" i="13"/>
  <c r="AX943" i="13" s="1"/>
  <c r="A844" i="13"/>
  <c r="AX844" i="13" s="1"/>
  <c r="A545" i="13"/>
  <c r="AX545" i="13"/>
  <c r="AX645" i="13"/>
  <c r="AX45" i="13"/>
  <c r="A645" i="13"/>
  <c r="AX1042" i="13"/>
  <c r="A1841" i="13"/>
  <c r="Z1841" i="13" s="1"/>
  <c r="B1841" i="13" s="1" a="1"/>
  <c r="B1841" i="13" s="1"/>
  <c r="X4" i="72"/>
  <c r="X4" i="69"/>
  <c r="AZ49" i="4"/>
  <c r="D49" i="1"/>
  <c r="M49" i="4"/>
  <c r="A51" i="9"/>
  <c r="C49" i="4"/>
  <c r="A49" i="4"/>
  <c r="D49" i="4"/>
  <c r="BS49" i="4"/>
  <c r="K49" i="4"/>
  <c r="BU49" i="4" a="1"/>
  <c r="BU49" i="4" s="1"/>
  <c r="A49" i="20"/>
  <c r="BC49" i="4" a="1"/>
  <c r="BC49" i="4" s="1"/>
  <c r="I49" i="4"/>
  <c r="EM4" i="71" s="1"/>
  <c r="BV49" i="4" a="1"/>
  <c r="BV49" i="4" s="1"/>
  <c r="A260" i="13"/>
  <c r="AX160" i="13"/>
  <c r="A479" i="13"/>
  <c r="A1875" i="13"/>
  <c r="A1175" i="13"/>
  <c r="AX679" i="13"/>
  <c r="A778" i="13"/>
  <c r="AX778" i="13" s="1"/>
  <c r="AX479" i="13"/>
  <c r="A977" i="13"/>
  <c r="AX977" i="13" s="1"/>
  <c r="A179" i="13"/>
  <c r="AX1076" i="13"/>
  <c r="A579" i="13"/>
  <c r="A878" i="13"/>
  <c r="AX878" i="13" s="1"/>
  <c r="AX579" i="13"/>
  <c r="A1076" i="13"/>
  <c r="A679" i="13"/>
  <c r="AX79" i="13"/>
  <c r="A965" i="13"/>
  <c r="AX965" i="13" s="1"/>
  <c r="A167" i="13"/>
  <c r="AX667" i="13"/>
  <c r="AX467" i="13"/>
  <c r="A1163" i="13"/>
  <c r="A567" i="13"/>
  <c r="AX567" i="13"/>
  <c r="A1863" i="13"/>
  <c r="AX1064" i="13"/>
  <c r="A667" i="13"/>
  <c r="A1064" i="13"/>
  <c r="AX67" i="13"/>
  <c r="A766" i="13"/>
  <c r="AX766" i="13" s="1"/>
  <c r="A467" i="13"/>
  <c r="A866" i="13"/>
  <c r="AX866" i="13" s="1"/>
  <c r="I31" i="4"/>
  <c r="CH10" i="71" s="1"/>
  <c r="BC31" i="4" a="1"/>
  <c r="BC31" i="4" s="1"/>
  <c r="BU31" i="4" a="1"/>
  <c r="BU31" i="4" s="1"/>
  <c r="C31" i="4"/>
  <c r="AZ31" i="4"/>
  <c r="A31" i="20"/>
  <c r="D31" i="4"/>
  <c r="K31" i="4"/>
  <c r="BV31" i="4" a="1"/>
  <c r="BV31" i="4" s="1"/>
  <c r="A31" i="4"/>
  <c r="D31" i="1"/>
  <c r="BS31" i="4"/>
  <c r="M31" i="4"/>
  <c r="A33" i="9"/>
  <c r="BU86" i="4" a="1"/>
  <c r="BU86" i="4" s="1"/>
  <c r="BC86" i="4" a="1"/>
  <c r="BC86" i="4" s="1"/>
  <c r="D86" i="4"/>
  <c r="A86" i="20"/>
  <c r="D86" i="1"/>
  <c r="BV86" i="4" a="1"/>
  <c r="BV86" i="4" s="1"/>
  <c r="A88" i="9"/>
  <c r="C86" i="4"/>
  <c r="AX20" i="13"/>
  <c r="A120" i="13"/>
  <c r="A1017" i="13"/>
  <c r="AX520" i="13"/>
  <c r="A520" i="13"/>
  <c r="A918" i="13"/>
  <c r="AX918" i="13" s="1"/>
  <c r="A719" i="13"/>
  <c r="AX719" i="13" s="1"/>
  <c r="A819" i="13"/>
  <c r="AX819" i="13" s="1"/>
  <c r="A1116" i="13"/>
  <c r="AX1017" i="13"/>
  <c r="A420" i="13"/>
  <c r="A620" i="13"/>
  <c r="AX420" i="13"/>
  <c r="A1816" i="13"/>
  <c r="Z1816" i="13" s="1"/>
  <c r="B1816" i="13" s="1" a="1"/>
  <c r="B1816" i="13" s="1"/>
  <c r="AX620" i="13"/>
  <c r="D85" i="4"/>
  <c r="D85" i="1"/>
  <c r="C85" i="4"/>
  <c r="BU85" i="4" a="1"/>
  <c r="BU85" i="4" s="1"/>
  <c r="BC85" i="4" a="1"/>
  <c r="BC85" i="4" s="1"/>
  <c r="A85" i="20"/>
  <c r="BV85" i="4" a="1"/>
  <c r="BV85" i="4" s="1"/>
  <c r="A87" i="9"/>
  <c r="A486" i="13"/>
  <c r="A1182" i="13"/>
  <c r="AX1083" i="13"/>
  <c r="AX86" i="13"/>
  <c r="A785" i="13"/>
  <c r="AX785" i="13" s="1"/>
  <c r="AX486" i="13"/>
  <c r="A885" i="13"/>
  <c r="AX885" i="13" s="1"/>
  <c r="A686" i="13"/>
  <c r="A1882" i="13"/>
  <c r="A984" i="13"/>
  <c r="AX984" i="13" s="1"/>
  <c r="A1083" i="13"/>
  <c r="AX586" i="13"/>
  <c r="A586" i="13"/>
  <c r="AX686" i="13"/>
  <c r="A186" i="13"/>
  <c r="A868" i="13"/>
  <c r="AX868" i="13" s="1"/>
  <c r="A1165" i="13"/>
  <c r="A1066" i="13"/>
  <c r="A169" i="13"/>
  <c r="AX1066" i="13"/>
  <c r="AX469" i="13"/>
  <c r="AX69" i="13"/>
  <c r="A768" i="13"/>
  <c r="AX768" i="13" s="1"/>
  <c r="AX669" i="13"/>
  <c r="A469" i="13"/>
  <c r="A967" i="13"/>
  <c r="AX967" i="13" s="1"/>
  <c r="AX569" i="13"/>
  <c r="A669" i="13"/>
  <c r="A1865" i="13"/>
  <c r="A569" i="13"/>
  <c r="K5" i="27"/>
  <c r="BC92" i="4" a="1"/>
  <c r="BC92" i="4" s="1"/>
  <c r="D92" i="4"/>
  <c r="C92" i="4"/>
  <c r="A92" i="20"/>
  <c r="BU92" i="4" a="1"/>
  <c r="BU92" i="4" s="1"/>
  <c r="D92" i="1"/>
  <c r="BV92" i="4" a="1"/>
  <c r="BV92" i="4" s="1"/>
  <c r="A94" i="9"/>
  <c r="C80" i="4"/>
  <c r="BU80" i="4" a="1"/>
  <c r="BU80" i="4" s="1"/>
  <c r="BC80" i="4" a="1"/>
  <c r="BC80" i="4" s="1"/>
  <c r="A82" i="9"/>
  <c r="D80" i="4"/>
  <c r="D80" i="1"/>
  <c r="A80" i="20"/>
  <c r="BV80" i="4" a="1"/>
  <c r="BV80" i="4" s="1"/>
  <c r="C21" i="4"/>
  <c r="D21" i="4"/>
  <c r="M21" i="4"/>
  <c r="I21" i="4"/>
  <c r="BD18" i="71" s="1"/>
  <c r="A21" i="20"/>
  <c r="BU21" i="4" a="1"/>
  <c r="BU21" i="4" s="1"/>
  <c r="BV21" i="4" a="1"/>
  <c r="BV21" i="4" s="1"/>
  <c r="K21" i="4"/>
  <c r="A21" i="4"/>
  <c r="BC21" i="4" a="1"/>
  <c r="BC21" i="4" s="1"/>
  <c r="BS21" i="4"/>
  <c r="D21" i="1"/>
  <c r="AZ21" i="4"/>
  <c r="A23" i="9"/>
  <c r="BC81" i="4" a="1"/>
  <c r="BC81" i="4" s="1"/>
  <c r="D81" i="1"/>
  <c r="A83" i="9"/>
  <c r="BU81" i="4" a="1"/>
  <c r="BU81" i="4" s="1"/>
  <c r="A81" i="20"/>
  <c r="BV81" i="4" a="1"/>
  <c r="BV81" i="4" s="1"/>
  <c r="D81" i="4"/>
  <c r="C81" i="4"/>
  <c r="A474" i="13"/>
  <c r="A574" i="13"/>
  <c r="A1170" i="13"/>
  <c r="A873" i="13"/>
  <c r="AX873" i="13" s="1"/>
  <c r="A1071" i="13"/>
  <c r="A972" i="13"/>
  <c r="AX972" i="13" s="1"/>
  <c r="A674" i="13"/>
  <c r="A174" i="13"/>
  <c r="AX474" i="13"/>
  <c r="AX574" i="13"/>
  <c r="AX1071" i="13"/>
  <c r="A1870" i="13"/>
  <c r="AX74" i="13"/>
  <c r="AX674" i="13"/>
  <c r="A773" i="13"/>
  <c r="AX773" i="13" s="1"/>
  <c r="D44" i="1"/>
  <c r="C44" i="4"/>
  <c r="BU44" i="4" a="1"/>
  <c r="BU44" i="4" s="1"/>
  <c r="BS44" i="4"/>
  <c r="A44" i="20"/>
  <c r="I44" i="4"/>
  <c r="DV38" i="71" s="1"/>
  <c r="M44" i="4"/>
  <c r="AZ44" i="4"/>
  <c r="BC44" i="4" a="1"/>
  <c r="BC44" i="4" s="1"/>
  <c r="K44" i="4"/>
  <c r="BV44" i="4" a="1"/>
  <c r="BV44" i="4" s="1"/>
  <c r="A44" i="4"/>
  <c r="A46" i="9"/>
  <c r="D44" i="4"/>
  <c r="AX492" i="13"/>
  <c r="A891" i="13"/>
  <c r="AX891" i="13" s="1"/>
  <c r="A791" i="13"/>
  <c r="AX791" i="13" s="1"/>
  <c r="A1888" i="13"/>
  <c r="A1188" i="13"/>
  <c r="A492" i="13"/>
  <c r="A592" i="13"/>
  <c r="AX92" i="13"/>
  <c r="A192" i="13"/>
  <c r="AX1089" i="13"/>
  <c r="A1089" i="13"/>
  <c r="AX592" i="13"/>
  <c r="A692" i="13"/>
  <c r="AX692" i="13"/>
  <c r="A990" i="13"/>
  <c r="AX990" i="13" s="1"/>
  <c r="A1072" i="13"/>
  <c r="AX575" i="13"/>
  <c r="AX1072" i="13"/>
  <c r="AX75" i="13"/>
  <c r="A475" i="13"/>
  <c r="A675" i="13"/>
  <c r="A175" i="13"/>
  <c r="AX475" i="13"/>
  <c r="A774" i="13"/>
  <c r="AX774" i="13" s="1"/>
  <c r="A1171" i="13"/>
  <c r="A575" i="13"/>
  <c r="A874" i="13"/>
  <c r="AX874" i="13" s="1"/>
  <c r="A1871" i="13"/>
  <c r="A973" i="13"/>
  <c r="AX973" i="13" s="1"/>
  <c r="AX675" i="13"/>
  <c r="D38" i="4"/>
  <c r="AZ38" i="4"/>
  <c r="A38" i="4"/>
  <c r="C38" i="4"/>
  <c r="BU38" i="4" a="1"/>
  <c r="BU38" i="4" s="1"/>
  <c r="BV38" i="4" a="1"/>
  <c r="BV38" i="4" s="1"/>
  <c r="A38" i="20"/>
  <c r="A40" i="9"/>
  <c r="K38" i="4"/>
  <c r="I38" i="4"/>
  <c r="DC24" i="71" s="1"/>
  <c r="BC38" i="4" a="1"/>
  <c r="BC38" i="4" s="1"/>
  <c r="M38" i="4"/>
  <c r="D38" i="1"/>
  <c r="BS38" i="4"/>
  <c r="AZ19" i="4"/>
  <c r="A21" i="9"/>
  <c r="I19" i="4"/>
  <c r="BS19" i="4"/>
  <c r="A19" i="4"/>
  <c r="J651" i="15" s="1"/>
  <c r="K19" i="4"/>
  <c r="C19" i="4"/>
  <c r="D19" i="1"/>
  <c r="M19" i="4"/>
  <c r="BU19" i="4" a="1"/>
  <c r="BU19" i="4" s="1"/>
  <c r="D19" i="4"/>
  <c r="BC19" i="4" a="1"/>
  <c r="BC19" i="4" s="1"/>
  <c r="BV19" i="4" a="1"/>
  <c r="BV19" i="4" s="1"/>
  <c r="A19" i="20"/>
  <c r="A1055" i="13"/>
  <c r="A956" i="13"/>
  <c r="AX956" i="13" s="1"/>
  <c r="AX458" i="13"/>
  <c r="AX658" i="13"/>
  <c r="A757" i="13"/>
  <c r="AX757" i="13" s="1"/>
  <c r="A1154" i="13"/>
  <c r="A1854" i="13"/>
  <c r="A857" i="13"/>
  <c r="AX857" i="13" s="1"/>
  <c r="A458" i="13"/>
  <c r="AX58" i="13"/>
  <c r="A658" i="13"/>
  <c r="A158" i="13"/>
  <c r="AX1055" i="13"/>
  <c r="AX558" i="13"/>
  <c r="A558" i="13"/>
  <c r="C42" i="4"/>
  <c r="AZ42" i="4"/>
  <c r="D42" i="4"/>
  <c r="K42" i="4"/>
  <c r="A44" i="9"/>
  <c r="BV42" i="4" a="1"/>
  <c r="BV42" i="4" s="1"/>
  <c r="M42" i="4"/>
  <c r="BC42" i="4" a="1"/>
  <c r="BC42" i="4" s="1"/>
  <c r="A42" i="20"/>
  <c r="A42" i="4"/>
  <c r="BS42" i="4"/>
  <c r="D42" i="1"/>
  <c r="I42" i="4"/>
  <c r="DO35" i="71" s="1"/>
  <c r="BU42" i="4" a="1"/>
  <c r="BU42" i="4" s="1"/>
  <c r="AX87" i="13"/>
  <c r="A985" i="13"/>
  <c r="AX985" i="13" s="1"/>
  <c r="A1084" i="13"/>
  <c r="A187" i="13"/>
  <c r="A786" i="13"/>
  <c r="AX786" i="13" s="1"/>
  <c r="A487" i="13"/>
  <c r="A587" i="13"/>
  <c r="AX587" i="13"/>
  <c r="AX687" i="13"/>
  <c r="A886" i="13"/>
  <c r="AX886" i="13" s="1"/>
  <c r="AX1084" i="13"/>
  <c r="A1183" i="13"/>
  <c r="A687" i="13"/>
  <c r="A1883" i="13"/>
  <c r="AX487" i="13"/>
  <c r="A306" i="13"/>
  <c r="AX306" i="13" s="1"/>
  <c r="AX206" i="13"/>
  <c r="BC84" i="4" a="1"/>
  <c r="BC84" i="4" s="1"/>
  <c r="A84" i="20"/>
  <c r="A86" i="9"/>
  <c r="D84" i="4"/>
  <c r="BU84" i="4" a="1"/>
  <c r="BU84" i="4" s="1"/>
  <c r="BV84" i="4" a="1"/>
  <c r="BV84" i="4" s="1"/>
  <c r="C84" i="4"/>
  <c r="D84" i="1"/>
  <c r="D67" i="4"/>
  <c r="C67" i="4"/>
  <c r="BU67" i="4" a="1"/>
  <c r="BU67" i="4" s="1"/>
  <c r="BC67" i="4" a="1"/>
  <c r="BC67" i="4" s="1"/>
  <c r="D67" i="1"/>
  <c r="A67" i="20"/>
  <c r="BV67" i="4" a="1"/>
  <c r="BV67" i="4" s="1"/>
  <c r="A69" i="9"/>
  <c r="DC4" i="4"/>
  <c r="AV206" i="13"/>
  <c r="T4" i="4"/>
  <c r="BA9" i="4" a="1"/>
  <c r="BA9" i="4" s="1"/>
  <c r="BB9" i="4" s="1"/>
  <c r="AV111" i="13" s="1"/>
  <c r="B9" i="4"/>
  <c r="AX10" i="4"/>
  <c r="CW10" i="4"/>
  <c r="CX10" i="4" s="1"/>
  <c r="CU10" i="4"/>
  <c r="CV10" i="4" s="1"/>
  <c r="DB10" i="4"/>
  <c r="AR10" i="69" s="1"/>
  <c r="DA10" i="4" a="1"/>
  <c r="DA10" i="4" s="1"/>
  <c r="F10" i="4"/>
  <c r="AP10" i="4"/>
  <c r="U10" i="72" s="1" a="1"/>
  <c r="U10" i="72" s="1"/>
  <c r="AH10" i="4"/>
  <c r="AD10" i="4"/>
  <c r="AL10" i="4"/>
  <c r="Z10" i="4"/>
  <c r="S10" i="69" s="1"/>
  <c r="BU28" i="4" a="1"/>
  <c r="BU28" i="4" s="1"/>
  <c r="I28" i="4"/>
  <c r="A28" i="20"/>
  <c r="M28" i="4"/>
  <c r="BS28" i="4"/>
  <c r="D28" i="1"/>
  <c r="BC28" i="4" a="1"/>
  <c r="BC28" i="4" s="1"/>
  <c r="D28" i="4"/>
  <c r="K28" i="4"/>
  <c r="A30" i="9"/>
  <c r="BV28" i="4" a="1"/>
  <c r="BV28" i="4" s="1"/>
  <c r="C28" i="4"/>
  <c r="AZ28" i="4"/>
  <c r="A28" i="4"/>
  <c r="I45" i="4"/>
  <c r="DX24" i="71" s="1"/>
  <c r="D45" i="1"/>
  <c r="K45" i="4"/>
  <c r="M45" i="4"/>
  <c r="BV45" i="4" a="1"/>
  <c r="BV45" i="4" s="1"/>
  <c r="A45" i="20"/>
  <c r="BC45" i="4" a="1"/>
  <c r="BC45" i="4" s="1"/>
  <c r="AZ45" i="4"/>
  <c r="BU45" i="4" a="1"/>
  <c r="BU45" i="4" s="1"/>
  <c r="BS45" i="4"/>
  <c r="A45" i="4"/>
  <c r="A47" i="9"/>
  <c r="D45" i="4"/>
  <c r="C45" i="4"/>
  <c r="A1032" i="13"/>
  <c r="A635" i="13"/>
  <c r="AX635" i="13"/>
  <c r="AX435" i="13"/>
  <c r="A834" i="13"/>
  <c r="AX834" i="13" s="1"/>
  <c r="AX535" i="13"/>
  <c r="AX35" i="13"/>
  <c r="A1131" i="13"/>
  <c r="A933" i="13"/>
  <c r="AX933" i="13" s="1"/>
  <c r="A435" i="13"/>
  <c r="A1831" i="13"/>
  <c r="A734" i="13"/>
  <c r="AX734" i="13" s="1"/>
  <c r="A135" i="13"/>
  <c r="A535" i="13"/>
  <c r="AX1032" i="13"/>
  <c r="AX46" i="13"/>
  <c r="A446" i="13"/>
  <c r="A1842" i="13"/>
  <c r="A546" i="13"/>
  <c r="AX646" i="13"/>
  <c r="A646" i="13"/>
  <c r="AX546" i="13"/>
  <c r="AX1043" i="13"/>
  <c r="A1142" i="13"/>
  <c r="AX446" i="13"/>
  <c r="A845" i="13"/>
  <c r="AX845" i="13" s="1"/>
  <c r="A146" i="13"/>
  <c r="A944" i="13"/>
  <c r="AX944" i="13" s="1"/>
  <c r="A1043" i="13"/>
  <c r="A745" i="13"/>
  <c r="AX745" i="13" s="1"/>
  <c r="D90" i="4"/>
  <c r="BU90" i="4" a="1"/>
  <c r="BU90" i="4" s="1"/>
  <c r="BC90" i="4" a="1"/>
  <c r="BC90" i="4" s="1"/>
  <c r="BV90" i="4" a="1"/>
  <c r="BV90" i="4" s="1"/>
  <c r="D90" i="1"/>
  <c r="A90" i="20"/>
  <c r="C90" i="4"/>
  <c r="A92" i="9"/>
  <c r="A75" i="9"/>
  <c r="A73" i="20"/>
  <c r="C73" i="4"/>
  <c r="D73" i="4"/>
  <c r="BU73" i="4" a="1"/>
  <c r="BU73" i="4" s="1"/>
  <c r="BV73" i="4" a="1"/>
  <c r="BV73" i="4" s="1"/>
  <c r="D73" i="1"/>
  <c r="BC73" i="4" a="1"/>
  <c r="BC73" i="4" s="1"/>
  <c r="AX540" i="13"/>
  <c r="A1136" i="13"/>
  <c r="AX40" i="13"/>
  <c r="A839" i="13"/>
  <c r="AX839" i="13" s="1"/>
  <c r="AX640" i="13"/>
  <c r="A1836" i="13"/>
  <c r="A938" i="13"/>
  <c r="AX938" i="13" s="1"/>
  <c r="AX440" i="13"/>
  <c r="A640" i="13"/>
  <c r="A1037" i="13"/>
  <c r="A540" i="13"/>
  <c r="A440" i="13"/>
  <c r="A739" i="13"/>
  <c r="AX739" i="13" s="1"/>
  <c r="A140" i="13"/>
  <c r="AX1037" i="13"/>
  <c r="A919" i="13"/>
  <c r="AX919" i="13" s="1"/>
  <c r="A621" i="13"/>
  <c r="AX1018" i="13"/>
  <c r="AX21" i="13"/>
  <c r="A1018" i="13"/>
  <c r="A1117" i="13"/>
  <c r="A421" i="13"/>
  <c r="A1817" i="13"/>
  <c r="AX421" i="13"/>
  <c r="A720" i="13"/>
  <c r="AX720" i="13" s="1"/>
  <c r="AX621" i="13"/>
  <c r="A521" i="13"/>
  <c r="A820" i="13"/>
  <c r="AX820" i="13" s="1"/>
  <c r="A121" i="13"/>
  <c r="AX521" i="13"/>
  <c r="C56" i="4"/>
  <c r="BV56" i="4" a="1"/>
  <c r="BV56" i="4" s="1"/>
  <c r="D56" i="1"/>
  <c r="BU56" i="4" a="1"/>
  <c r="BU56" i="4" s="1"/>
  <c r="S88" i="22"/>
  <c r="A58" i="9"/>
  <c r="A56" i="20"/>
  <c r="D56" i="4"/>
  <c r="BC56" i="4" a="1"/>
  <c r="BC56" i="4" s="1"/>
  <c r="A643" i="13"/>
  <c r="A941" i="13"/>
  <c r="AX941" i="13" s="1"/>
  <c r="A143" i="13"/>
  <c r="AX643" i="13"/>
  <c r="AX43" i="13"/>
  <c r="A842" i="13"/>
  <c r="AX842" i="13" s="1"/>
  <c r="A443" i="13"/>
  <c r="A1040" i="13"/>
  <c r="A1139" i="13"/>
  <c r="A742" i="13"/>
  <c r="AX742" i="13" s="1"/>
  <c r="AX443" i="13"/>
  <c r="A1839" i="13"/>
  <c r="AX1040" i="13"/>
  <c r="A543" i="13"/>
  <c r="AX543" i="13"/>
  <c r="A854" i="13"/>
  <c r="AX854" i="13" s="1"/>
  <c r="A1851" i="13"/>
  <c r="AX455" i="13"/>
  <c r="AX1052" i="13"/>
  <c r="A655" i="13"/>
  <c r="A953" i="13"/>
  <c r="AX953" i="13" s="1"/>
  <c r="AX555" i="13"/>
  <c r="A555" i="13"/>
  <c r="A1151" i="13"/>
  <c r="A155" i="13"/>
  <c r="AX655" i="13"/>
  <c r="A1052" i="13"/>
  <c r="A754" i="13"/>
  <c r="AX754" i="13" s="1"/>
  <c r="A455" i="13"/>
  <c r="AX55" i="13"/>
  <c r="A430" i="13"/>
  <c r="A1126" i="13"/>
  <c r="AX1027" i="13"/>
  <c r="A1826" i="13"/>
  <c r="AX30" i="13"/>
  <c r="AX530" i="13"/>
  <c r="A530" i="13"/>
  <c r="AX630" i="13"/>
  <c r="A928" i="13"/>
  <c r="AX928" i="13" s="1"/>
  <c r="A630" i="13"/>
  <c r="A829" i="13"/>
  <c r="AX829" i="13" s="1"/>
  <c r="A130" i="13"/>
  <c r="AX430" i="13"/>
  <c r="A1027" i="13"/>
  <c r="A729" i="13"/>
  <c r="AX729" i="13" s="1"/>
  <c r="A647" i="13"/>
  <c r="AX447" i="13"/>
  <c r="AX47" i="13"/>
  <c r="AX1044" i="13"/>
  <c r="AX547" i="13"/>
  <c r="A447" i="13"/>
  <c r="A1044" i="13"/>
  <c r="A846" i="13"/>
  <c r="AX846" i="13" s="1"/>
  <c r="A746" i="13"/>
  <c r="AX746" i="13" s="1"/>
  <c r="A945" i="13"/>
  <c r="AX945" i="13" s="1"/>
  <c r="A547" i="13"/>
  <c r="A1143" i="13"/>
  <c r="A147" i="13"/>
  <c r="A1843" i="13"/>
  <c r="AX647" i="13"/>
  <c r="I33" i="4"/>
  <c r="CN5" i="71" s="1"/>
  <c r="M33" i="4"/>
  <c r="A33" i="20"/>
  <c r="A35" i="9"/>
  <c r="BC33" i="4" a="1"/>
  <c r="BC33" i="4" s="1"/>
  <c r="K33" i="4"/>
  <c r="D33" i="4"/>
  <c r="C33" i="4"/>
  <c r="D33" i="1"/>
  <c r="A33" i="4"/>
  <c r="J629" i="15" s="1"/>
  <c r="AZ33" i="4"/>
  <c r="BS33" i="4"/>
  <c r="BV33" i="4" a="1"/>
  <c r="BV33" i="4" s="1"/>
  <c r="BU33" i="4" a="1"/>
  <c r="BU33" i="4" s="1"/>
  <c r="A920" i="13"/>
  <c r="AX920" i="13" s="1"/>
  <c r="A1818" i="13"/>
  <c r="A1118" i="13"/>
  <c r="AX522" i="13"/>
  <c r="A422" i="13"/>
  <c r="A122" i="13"/>
  <c r="A522" i="13"/>
  <c r="A821" i="13"/>
  <c r="AX821" i="13" s="1"/>
  <c r="AX622" i="13"/>
  <c r="A1019" i="13"/>
  <c r="AX1019" i="13"/>
  <c r="AX22" i="13"/>
  <c r="A622" i="13"/>
  <c r="A721" i="13"/>
  <c r="AX721" i="13" s="1"/>
  <c r="AX422" i="13"/>
  <c r="BC57" i="4" a="1"/>
  <c r="BC57" i="4" s="1"/>
  <c r="D57" i="1"/>
  <c r="D57" i="4"/>
  <c r="A57" i="20"/>
  <c r="A59" i="9"/>
  <c r="C57" i="4"/>
  <c r="BU57" i="4" a="1"/>
  <c r="BU57" i="4" s="1"/>
  <c r="BV57" i="4" a="1"/>
  <c r="BV57" i="4" s="1"/>
  <c r="S89" i="22"/>
  <c r="BV68" i="4" a="1"/>
  <c r="BV68" i="4" s="1"/>
  <c r="C68" i="4"/>
  <c r="D68" i="4"/>
  <c r="BU68" i="4" a="1"/>
  <c r="BU68" i="4" s="1"/>
  <c r="A70" i="9"/>
  <c r="D68" i="1"/>
  <c r="BC68" i="4" a="1"/>
  <c r="BC68" i="4" s="1"/>
  <c r="A68" i="20"/>
  <c r="M25" i="4"/>
  <c r="C25" i="4"/>
  <c r="D25" i="4"/>
  <c r="A25" i="20"/>
  <c r="BC25" i="4" a="1"/>
  <c r="BC25" i="4" s="1"/>
  <c r="I25" i="4"/>
  <c r="BP29" i="71" s="1"/>
  <c r="AZ25" i="4"/>
  <c r="D25" i="1"/>
  <c r="BU25" i="4" a="1"/>
  <c r="BU25" i="4" s="1"/>
  <c r="A25" i="4"/>
  <c r="J590" i="15" s="1"/>
  <c r="BV25" i="4" a="1"/>
  <c r="BV25" i="4" s="1"/>
  <c r="K25" i="4"/>
  <c r="BS25" i="4"/>
  <c r="A27" i="9"/>
  <c r="BS12" i="4"/>
  <c r="M12" i="4"/>
  <c r="BU12" i="4" a="1"/>
  <c r="BU12" i="4" s="1"/>
  <c r="A14" i="9"/>
  <c r="BV12" i="4" a="1"/>
  <c r="BV12" i="4" s="1"/>
  <c r="D12" i="4"/>
  <c r="C12" i="4"/>
  <c r="BC12" i="4" a="1"/>
  <c r="BC12" i="4" s="1"/>
  <c r="I12" i="4"/>
  <c r="D12" i="1"/>
  <c r="K12" i="4"/>
  <c r="A12" i="4"/>
  <c r="AZ12" i="4"/>
  <c r="A12" i="20"/>
  <c r="A54" i="4"/>
  <c r="C54" i="4"/>
  <c r="I54" i="4"/>
  <c r="FB29" i="71" s="1"/>
  <c r="AZ54" i="4"/>
  <c r="M54" i="4"/>
  <c r="D54" i="4"/>
  <c r="K54" i="4"/>
  <c r="BV54" i="4" a="1"/>
  <c r="BV54" i="4" s="1"/>
  <c r="BU54" i="4" a="1"/>
  <c r="BU54" i="4" s="1"/>
  <c r="D54" i="1"/>
  <c r="A56" i="9"/>
  <c r="A54" i="20"/>
  <c r="BC54" i="4" a="1"/>
  <c r="BC54" i="4" s="1"/>
  <c r="BS54" i="4"/>
  <c r="C41" i="4"/>
  <c r="M41" i="4"/>
  <c r="BC41" i="4" a="1"/>
  <c r="BC41" i="4" s="1"/>
  <c r="BU41" i="4" a="1"/>
  <c r="BU41" i="4" s="1"/>
  <c r="A41" i="20"/>
  <c r="BV41" i="4" a="1"/>
  <c r="BV41" i="4" s="1"/>
  <c r="D41" i="4"/>
  <c r="BS41" i="4"/>
  <c r="A41" i="4"/>
  <c r="D41" i="1"/>
  <c r="K41" i="4"/>
  <c r="I41" i="4"/>
  <c r="DL34" i="71" s="1"/>
  <c r="AZ41" i="4"/>
  <c r="A43" i="9"/>
  <c r="BU53" i="4" a="1"/>
  <c r="BU53" i="4" s="1"/>
  <c r="A55" i="9"/>
  <c r="K53" i="4"/>
  <c r="D53" i="4"/>
  <c r="BS53" i="4"/>
  <c r="I53" i="4"/>
  <c r="EY4" i="71" s="1"/>
  <c r="A53" i="20"/>
  <c r="BV53" i="4" a="1"/>
  <c r="BV53" i="4" s="1"/>
  <c r="BC53" i="4" a="1"/>
  <c r="BC53" i="4" s="1"/>
  <c r="C53" i="4"/>
  <c r="AZ53" i="4"/>
  <c r="A53" i="4"/>
  <c r="D53" i="1"/>
  <c r="M53" i="4"/>
  <c r="D83" i="4"/>
  <c r="D83" i="1"/>
  <c r="C83" i="4"/>
  <c r="BC83" i="4" a="1"/>
  <c r="BC83" i="4" s="1"/>
  <c r="A85" i="9"/>
  <c r="A83" i="20"/>
  <c r="BV83" i="4" a="1"/>
  <c r="BV83" i="4" s="1"/>
  <c r="BU83" i="4" a="1"/>
  <c r="BU83" i="4" s="1"/>
  <c r="D69" i="1"/>
  <c r="C69" i="4"/>
  <c r="BU69" i="4" a="1"/>
  <c r="BU69" i="4" s="1"/>
  <c r="A71" i="9"/>
  <c r="D69" i="4"/>
  <c r="BC69" i="4" a="1"/>
  <c r="BC69" i="4" s="1"/>
  <c r="BV69" i="4" a="1"/>
  <c r="BV69" i="4" s="1"/>
  <c r="A69" i="20"/>
  <c r="C15" i="4"/>
  <c r="BC15" i="4" a="1"/>
  <c r="BC15" i="4" s="1"/>
  <c r="BV15" i="4" a="1"/>
  <c r="BV15" i="4" s="1"/>
  <c r="D15" i="1"/>
  <c r="A17" i="9"/>
  <c r="H17" i="9" s="1"/>
  <c r="M15" i="4"/>
  <c r="BS15" i="4"/>
  <c r="D15" i="4"/>
  <c r="AZ15" i="4"/>
  <c r="K15" i="4"/>
  <c r="A15" i="4"/>
  <c r="A15" i="20"/>
  <c r="BU15" i="4" a="1"/>
  <c r="BU15" i="4" s="1"/>
  <c r="I15" i="4"/>
  <c r="D78" i="1"/>
  <c r="BU78" i="4" a="1"/>
  <c r="BU78" i="4" s="1"/>
  <c r="C78" i="4"/>
  <c r="BV78" i="4" a="1"/>
  <c r="BV78" i="4" s="1"/>
  <c r="A78" i="20"/>
  <c r="D78" i="4"/>
  <c r="BC78" i="4" a="1"/>
  <c r="BC78" i="4" s="1"/>
  <c r="A80" i="9"/>
  <c r="BS20" i="4"/>
  <c r="M20" i="4"/>
  <c r="A20" i="20"/>
  <c r="A22" i="9"/>
  <c r="D20" i="1"/>
  <c r="K20" i="4"/>
  <c r="AZ20" i="4"/>
  <c r="BU20" i="4" a="1"/>
  <c r="BU20" i="4" s="1"/>
  <c r="A20" i="4"/>
  <c r="I20" i="4"/>
  <c r="BA20" i="71" s="1"/>
  <c r="BV20" i="4" a="1"/>
  <c r="BV20" i="4" s="1"/>
  <c r="D20" i="4"/>
  <c r="C20" i="4"/>
  <c r="BC20" i="4" a="1"/>
  <c r="BC20" i="4" s="1"/>
  <c r="A1855" i="13"/>
  <c r="AX1056" i="13"/>
  <c r="A159" i="13"/>
  <c r="AX559" i="13"/>
  <c r="A858" i="13"/>
  <c r="AX858" i="13" s="1"/>
  <c r="AX659" i="13"/>
  <c r="A559" i="13"/>
  <c r="A659" i="13"/>
  <c r="A1155" i="13"/>
  <c r="A758" i="13"/>
  <c r="AX758" i="13" s="1"/>
  <c r="A1056" i="13"/>
  <c r="A459" i="13"/>
  <c r="AX59" i="13"/>
  <c r="A957" i="13"/>
  <c r="AX957" i="13" s="1"/>
  <c r="AX459" i="13"/>
  <c r="Z107" i="13"/>
  <c r="A1866" i="13"/>
  <c r="A869" i="13"/>
  <c r="AX869" i="13" s="1"/>
  <c r="AX70" i="13"/>
  <c r="A470" i="13"/>
  <c r="A670" i="13"/>
  <c r="A1166" i="13"/>
  <c r="A570" i="13"/>
  <c r="AX1067" i="13"/>
  <c r="A1067" i="13"/>
  <c r="AX570" i="13"/>
  <c r="AX670" i="13"/>
  <c r="A769" i="13"/>
  <c r="AX769" i="13" s="1"/>
  <c r="A170" i="13"/>
  <c r="AX470" i="13"/>
  <c r="A968" i="13"/>
  <c r="AX968" i="13" s="1"/>
  <c r="AX427" i="13"/>
  <c r="A1024" i="13"/>
  <c r="AX527" i="13"/>
  <c r="A826" i="13"/>
  <c r="AX826" i="13" s="1"/>
  <c r="AX627" i="13"/>
  <c r="A925" i="13"/>
  <c r="AX925" i="13" s="1"/>
  <c r="A726" i="13"/>
  <c r="AX726" i="13" s="1"/>
  <c r="A1123" i="13"/>
  <c r="A627" i="13"/>
  <c r="AX1024" i="13"/>
  <c r="AX27" i="13"/>
  <c r="A427" i="13"/>
  <c r="A127" i="13"/>
  <c r="A527" i="13"/>
  <c r="A1823" i="13"/>
  <c r="AX614" i="13"/>
  <c r="A912" i="13"/>
  <c r="AX912" i="13" s="1"/>
  <c r="AX14" i="13"/>
  <c r="A1810" i="13"/>
  <c r="AX1011" i="13"/>
  <c r="AX514" i="13"/>
  <c r="A514" i="13"/>
  <c r="A114" i="13"/>
  <c r="AX414" i="13"/>
  <c r="A813" i="13"/>
  <c r="AX813" i="13" s="1"/>
  <c r="A614" i="13"/>
  <c r="A1011" i="13"/>
  <c r="A713" i="13"/>
  <c r="AX713" i="13" s="1"/>
  <c r="A1110" i="13"/>
  <c r="A414" i="13"/>
  <c r="A589" i="13"/>
  <c r="A788" i="13"/>
  <c r="AX788" i="13" s="1"/>
  <c r="AX489" i="13"/>
  <c r="AX689" i="13"/>
  <c r="A489" i="13"/>
  <c r="A987" i="13"/>
  <c r="AX987" i="13" s="1"/>
  <c r="A189" i="13"/>
  <c r="A888" i="13"/>
  <c r="AX888" i="13" s="1"/>
  <c r="AX89" i="13"/>
  <c r="A1185" i="13"/>
  <c r="A689" i="13"/>
  <c r="A1086" i="13"/>
  <c r="AX589" i="13"/>
  <c r="A1885" i="13"/>
  <c r="AX1086" i="13"/>
  <c r="C66" i="4"/>
  <c r="D66" i="1"/>
  <c r="D66" i="4"/>
  <c r="BU66" i="4" a="1"/>
  <c r="BU66" i="4" s="1"/>
  <c r="A66" i="20"/>
  <c r="A68" i="9"/>
  <c r="BC66" i="4" a="1"/>
  <c r="BC66" i="4" s="1"/>
  <c r="BV66" i="4" a="1"/>
  <c r="BV66" i="4" s="1"/>
  <c r="I46" i="4"/>
  <c r="EA14" i="71" s="1"/>
  <c r="A48" i="9"/>
  <c r="D46" i="4"/>
  <c r="AZ46" i="4"/>
  <c r="M46" i="4"/>
  <c r="D46" i="1"/>
  <c r="A46" i="20"/>
  <c r="C46" i="4"/>
  <c r="BC46" i="4" a="1"/>
  <c r="BC46" i="4" s="1"/>
  <c r="K46" i="4"/>
  <c r="BS46" i="4"/>
  <c r="A46" i="4"/>
  <c r="BU46" i="4" a="1"/>
  <c r="BU46" i="4" s="1"/>
  <c r="BV46" i="4" a="1"/>
  <c r="BV46" i="4" s="1"/>
  <c r="A1172" i="13"/>
  <c r="A676" i="13"/>
  <c r="A775" i="13"/>
  <c r="AX775" i="13" s="1"/>
  <c r="A974" i="13"/>
  <c r="AX974" i="13" s="1"/>
  <c r="A1872" i="13"/>
  <c r="A476" i="13"/>
  <c r="A875" i="13"/>
  <c r="AX875" i="13" s="1"/>
  <c r="AX1073" i="13"/>
  <c r="AX476" i="13"/>
  <c r="AX576" i="13"/>
  <c r="AX76" i="13"/>
  <c r="A1073" i="13"/>
  <c r="A576" i="13"/>
  <c r="AX676" i="13"/>
  <c r="A176" i="13"/>
  <c r="S95" i="22"/>
  <c r="A65" i="9"/>
  <c r="BU63" i="4" a="1"/>
  <c r="BU63" i="4" s="1"/>
  <c r="D63" i="4"/>
  <c r="BV63" i="4" a="1"/>
  <c r="BV63" i="4" s="1"/>
  <c r="A63" i="20"/>
  <c r="BC63" i="4" a="1"/>
  <c r="BC63" i="4" s="1"/>
  <c r="D63" i="1"/>
  <c r="C63" i="4"/>
  <c r="AS9" i="4"/>
  <c r="A983" i="13"/>
  <c r="AX983" i="13" s="1"/>
  <c r="A1881" i="13"/>
  <c r="A585" i="13"/>
  <c r="A485" i="13"/>
  <c r="A685" i="13"/>
  <c r="AX1082" i="13"/>
  <c r="AX485" i="13"/>
  <c r="A884" i="13"/>
  <c r="AX884" i="13" s="1"/>
  <c r="A1082" i="13"/>
  <c r="A1181" i="13"/>
  <c r="AX85" i="13"/>
  <c r="AX585" i="13"/>
  <c r="A784" i="13"/>
  <c r="AX784" i="13" s="1"/>
  <c r="AX685" i="13"/>
  <c r="A185" i="13"/>
  <c r="A1867" i="13"/>
  <c r="A471" i="13"/>
  <c r="AX71" i="13"/>
  <c r="A671" i="13"/>
  <c r="A870" i="13"/>
  <c r="AX870" i="13" s="1"/>
  <c r="AX671" i="13"/>
  <c r="A969" i="13"/>
  <c r="AX969" i="13" s="1"/>
  <c r="AX471" i="13"/>
  <c r="AX571" i="13"/>
  <c r="A770" i="13"/>
  <c r="AX770" i="13" s="1"/>
  <c r="A1068" i="13"/>
  <c r="AX1068" i="13"/>
  <c r="A571" i="13"/>
  <c r="A1167" i="13"/>
  <c r="A171" i="13"/>
  <c r="A1014" i="13"/>
  <c r="AX1014" i="13"/>
  <c r="AX417" i="13"/>
  <c r="A1813" i="13"/>
  <c r="AX17" i="13"/>
  <c r="AX517" i="13"/>
  <c r="AX617" i="13"/>
  <c r="A915" i="13"/>
  <c r="AX915" i="13" s="1"/>
  <c r="A716" i="13"/>
  <c r="AX716" i="13" s="1"/>
  <c r="A417" i="13"/>
  <c r="A816" i="13"/>
  <c r="AX816" i="13" s="1"/>
  <c r="A1113" i="13"/>
  <c r="A617" i="13"/>
  <c r="A117" i="13"/>
  <c r="A517" i="13"/>
  <c r="A1876" i="13"/>
  <c r="A480" i="13"/>
  <c r="A1176" i="13"/>
  <c r="AX80" i="13"/>
  <c r="A580" i="13"/>
  <c r="AX580" i="13"/>
  <c r="AX480" i="13"/>
  <c r="A978" i="13"/>
  <c r="AX978" i="13" s="1"/>
  <c r="AX680" i="13"/>
  <c r="A779" i="13"/>
  <c r="AX779" i="13" s="1"/>
  <c r="A879" i="13"/>
  <c r="AX879" i="13" s="1"/>
  <c r="A680" i="13"/>
  <c r="AX1077" i="13"/>
  <c r="A180" i="13"/>
  <c r="A1077" i="13"/>
  <c r="A14" i="4"/>
  <c r="I14" i="4"/>
  <c r="AI15" i="71" s="1"/>
  <c r="BV14" i="4" a="1"/>
  <c r="BV14" i="4" s="1"/>
  <c r="BS14" i="4"/>
  <c r="A14" i="20"/>
  <c r="BU14" i="4" a="1"/>
  <c r="BU14" i="4" s="1"/>
  <c r="D14" i="1"/>
  <c r="K14" i="4"/>
  <c r="C14" i="4"/>
  <c r="A16" i="9"/>
  <c r="AZ14" i="4"/>
  <c r="BC14" i="4" a="1"/>
  <c r="BC14" i="4" s="1"/>
  <c r="D14" i="4"/>
  <c r="M14" i="4"/>
  <c r="A481" i="13"/>
  <c r="A681" i="13"/>
  <c r="AX1078" i="13"/>
  <c r="A181" i="13"/>
  <c r="A581" i="13"/>
  <c r="A979" i="13"/>
  <c r="AX979" i="13" s="1"/>
  <c r="A1078" i="13"/>
  <c r="A1177" i="13"/>
  <c r="AX681" i="13"/>
  <c r="A780" i="13"/>
  <c r="AX780" i="13" s="1"/>
  <c r="AX81" i="13"/>
  <c r="AX481" i="13"/>
  <c r="AX581" i="13"/>
  <c r="A880" i="13"/>
  <c r="AX880" i="13" s="1"/>
  <c r="A1877" i="13"/>
  <c r="A765" i="13"/>
  <c r="AX765" i="13" s="1"/>
  <c r="AX66" i="13"/>
  <c r="A964" i="13"/>
  <c r="AX964" i="13" s="1"/>
  <c r="A1162" i="13"/>
  <c r="AX666" i="13"/>
  <c r="AX566" i="13"/>
  <c r="A1063" i="13"/>
  <c r="A566" i="13"/>
  <c r="A865" i="13"/>
  <c r="AX865" i="13" s="1"/>
  <c r="AX1063" i="13"/>
  <c r="A1862" i="13"/>
  <c r="AX466" i="13"/>
  <c r="A166" i="13"/>
  <c r="A666" i="13"/>
  <c r="A466" i="13"/>
  <c r="C32" i="4"/>
  <c r="BS32" i="4"/>
  <c r="A34" i="9"/>
  <c r="A32" i="20"/>
  <c r="I32" i="4"/>
  <c r="CK10" i="71" s="1"/>
  <c r="A32" i="4"/>
  <c r="J529" i="15" s="1"/>
  <c r="K32" i="4"/>
  <c r="D32" i="1"/>
  <c r="BC32" i="4" a="1"/>
  <c r="BC32" i="4" s="1"/>
  <c r="BU32" i="4" a="1"/>
  <c r="BU32" i="4" s="1"/>
  <c r="AZ32" i="4"/>
  <c r="BV32" i="4" a="1"/>
  <c r="BV32" i="4" s="1"/>
  <c r="D32" i="4"/>
  <c r="M32" i="4"/>
  <c r="AX452" i="13"/>
  <c r="AX552" i="13"/>
  <c r="A1848" i="13"/>
  <c r="A751" i="13"/>
  <c r="AX751" i="13" s="1"/>
  <c r="A652" i="13"/>
  <c r="A452" i="13"/>
  <c r="AX52" i="13"/>
  <c r="AX652" i="13"/>
  <c r="A1148" i="13"/>
  <c r="A1049" i="13"/>
  <c r="AX1049" i="13"/>
  <c r="A552" i="13"/>
  <c r="A851" i="13"/>
  <c r="AX851" i="13" s="1"/>
  <c r="A152" i="13"/>
  <c r="A950" i="13"/>
  <c r="AX950" i="13" s="1"/>
  <c r="AX1041" i="13"/>
  <c r="AX444" i="13"/>
  <c r="A743" i="13"/>
  <c r="AX743" i="13" s="1"/>
  <c r="A544" i="13"/>
  <c r="A843" i="13"/>
  <c r="AX843" i="13" s="1"/>
  <c r="AX544" i="13"/>
  <c r="A444" i="13"/>
  <c r="A1041" i="13"/>
  <c r="AX44" i="13"/>
  <c r="A1840" i="13"/>
  <c r="A942" i="13"/>
  <c r="AX942" i="13" s="1"/>
  <c r="A1140" i="13"/>
  <c r="AX644" i="13"/>
  <c r="A644" i="13"/>
  <c r="A144" i="13"/>
  <c r="A456" i="13"/>
  <c r="A556" i="13"/>
  <c r="A156" i="13"/>
  <c r="AX56" i="13"/>
  <c r="A1852" i="13"/>
  <c r="A1053" i="13"/>
  <c r="AX556" i="13"/>
  <c r="AX456" i="13"/>
  <c r="AX656" i="13"/>
  <c r="AX1053" i="13"/>
  <c r="A755" i="13"/>
  <c r="AX755" i="13" s="1"/>
  <c r="A1152" i="13"/>
  <c r="A855" i="13"/>
  <c r="AX855" i="13" s="1"/>
  <c r="A656" i="13"/>
  <c r="A954" i="13"/>
  <c r="AX954" i="13" s="1"/>
  <c r="BZ58" i="4" a="1"/>
  <c r="BZ58" i="4" s="1"/>
  <c r="BX58" i="4" s="1" a="1"/>
  <c r="BX58" i="4" s="1"/>
  <c r="BY58" i="4" a="1"/>
  <c r="BY58" i="4" s="1"/>
  <c r="Z1300" i="13"/>
  <c r="AV6" i="13"/>
  <c r="AY4" i="4"/>
  <c r="AW4" i="4"/>
  <c r="W14" i="22"/>
  <c r="Y14" i="22" s="1"/>
  <c r="V14" i="22"/>
  <c r="A438" i="13"/>
  <c r="A936" i="13"/>
  <c r="AX936" i="13" s="1"/>
  <c r="AX38" i="13"/>
  <c r="A1035" i="13"/>
  <c r="A737" i="13"/>
  <c r="AX737" i="13" s="1"/>
  <c r="AX638" i="13"/>
  <c r="A138" i="13"/>
  <c r="A1834" i="13"/>
  <c r="A1134" i="13"/>
  <c r="A538" i="13"/>
  <c r="AX438" i="13"/>
  <c r="AX1035" i="13"/>
  <c r="AX538" i="13"/>
  <c r="A837" i="13"/>
  <c r="AX837" i="13" s="1"/>
  <c r="A638" i="13"/>
  <c r="D87" i="1"/>
  <c r="BC87" i="4" a="1"/>
  <c r="BC87" i="4" s="1"/>
  <c r="BV87" i="4" a="1"/>
  <c r="BV87" i="4" s="1"/>
  <c r="C87" i="4"/>
  <c r="A87" i="20"/>
  <c r="D87" i="4"/>
  <c r="A89" i="9"/>
  <c r="BU87" i="4" a="1"/>
  <c r="BU87" i="4" s="1"/>
  <c r="A966" i="13"/>
  <c r="AX966" i="13" s="1"/>
  <c r="A867" i="13"/>
  <c r="AX867" i="13" s="1"/>
  <c r="A1864" i="13"/>
  <c r="A767" i="13"/>
  <c r="AX767" i="13" s="1"/>
  <c r="A668" i="13"/>
  <c r="AX1065" i="13"/>
  <c r="AX468" i="13"/>
  <c r="A1164" i="13"/>
  <c r="AX568" i="13"/>
  <c r="A468" i="13"/>
  <c r="A1065" i="13"/>
  <c r="A568" i="13"/>
  <c r="AX68" i="13"/>
  <c r="A168" i="13"/>
  <c r="AX668" i="13"/>
  <c r="AX48" i="13"/>
  <c r="A946" i="13"/>
  <c r="AX946" i="13" s="1"/>
  <c r="AX1045" i="13"/>
  <c r="A548" i="13"/>
  <c r="A747" i="13"/>
  <c r="AX747" i="13" s="1"/>
  <c r="AX548" i="13"/>
  <c r="A1844" i="13"/>
  <c r="A1144" i="13"/>
  <c r="A448" i="13"/>
  <c r="A847" i="13"/>
  <c r="AX847" i="13" s="1"/>
  <c r="A1045" i="13"/>
  <c r="A648" i="13"/>
  <c r="AX648" i="13"/>
  <c r="AX448" i="13"/>
  <c r="A148" i="13"/>
  <c r="A76" i="9"/>
  <c r="BU74" i="4" a="1"/>
  <c r="BU74" i="4" s="1"/>
  <c r="D74" i="1"/>
  <c r="A74" i="20"/>
  <c r="BV74" i="4" a="1"/>
  <c r="BV74" i="4" s="1"/>
  <c r="BC74" i="4" a="1"/>
  <c r="BC74" i="4" s="1"/>
  <c r="C74" i="4"/>
  <c r="D74" i="4"/>
  <c r="A1861" i="13"/>
  <c r="AX65" i="13"/>
  <c r="AX565" i="13"/>
  <c r="A565" i="13"/>
  <c r="A165" i="13"/>
  <c r="A963" i="13"/>
  <c r="AX963" i="13" s="1"/>
  <c r="A1161" i="13"/>
  <c r="AX1062" i="13"/>
  <c r="A1062" i="13"/>
  <c r="AX665" i="13"/>
  <c r="A665" i="13"/>
  <c r="AX465" i="13"/>
  <c r="A465" i="13"/>
  <c r="A764" i="13"/>
  <c r="AX764" i="13" s="1"/>
  <c r="A864" i="13"/>
  <c r="AX864" i="13" s="1"/>
  <c r="I1703" i="13"/>
  <c r="T3" i="4"/>
  <c r="AV205" i="13"/>
  <c r="DC3" i="4"/>
  <c r="AX1695" i="13"/>
  <c r="AX1696" i="13" s="1"/>
  <c r="B6" i="27"/>
  <c r="D22" i="1"/>
  <c r="A24" i="9"/>
  <c r="C22" i="4"/>
  <c r="AZ22" i="4"/>
  <c r="BS22" i="4"/>
  <c r="A22" i="4"/>
  <c r="A22" i="20"/>
  <c r="BV22" i="4" a="1"/>
  <c r="BV22" i="4" s="1"/>
  <c r="BU22" i="4" a="1"/>
  <c r="BU22" i="4" s="1"/>
  <c r="K22" i="4"/>
  <c r="D22" i="4"/>
  <c r="BC22" i="4" a="1"/>
  <c r="BC22" i="4" s="1"/>
  <c r="M22" i="4"/>
  <c r="I22" i="4"/>
  <c r="BG17" i="71" s="1"/>
  <c r="A40" i="4"/>
  <c r="I40" i="4"/>
  <c r="M40" i="4"/>
  <c r="BU40" i="4" a="1"/>
  <c r="BU40" i="4" s="1"/>
  <c r="C40" i="4"/>
  <c r="K40" i="4"/>
  <c r="BV40" i="4" a="1"/>
  <c r="BV40" i="4" s="1"/>
  <c r="D40" i="1"/>
  <c r="A40" i="20"/>
  <c r="AZ40" i="4"/>
  <c r="BS40" i="4"/>
  <c r="D40" i="4"/>
  <c r="A42" i="9"/>
  <c r="BC40" i="4" a="1"/>
  <c r="BC40" i="4" s="1"/>
  <c r="I27" i="4"/>
  <c r="BV16" i="71" s="1"/>
  <c r="AZ27" i="4"/>
  <c r="A29" i="9"/>
  <c r="BU27" i="4" a="1"/>
  <c r="BU27" i="4" s="1"/>
  <c r="A27" i="20"/>
  <c r="C27" i="4"/>
  <c r="BC27" i="4" a="1"/>
  <c r="BC27" i="4" s="1"/>
  <c r="D27" i="1"/>
  <c r="D27" i="4"/>
  <c r="A27" i="4"/>
  <c r="M27" i="4"/>
  <c r="BS27" i="4"/>
  <c r="BV27" i="4" a="1"/>
  <c r="BV27" i="4" s="1"/>
  <c r="K27" i="4"/>
  <c r="A1812" i="13"/>
  <c r="Z1812" i="13" s="1"/>
  <c r="B1812" i="13" s="1" a="1"/>
  <c r="B1812" i="13" s="1"/>
  <c r="A815" i="13"/>
  <c r="AX815" i="13" s="1"/>
  <c r="A914" i="13"/>
  <c r="AX914" i="13" s="1"/>
  <c r="A1013" i="13"/>
  <c r="A516" i="13"/>
  <c r="A715" i="13"/>
  <c r="AX715" i="13" s="1"/>
  <c r="AX1013" i="13"/>
  <c r="A616" i="13"/>
  <c r="AX616" i="13"/>
  <c r="AX516" i="13"/>
  <c r="A116" i="13"/>
  <c r="A416" i="13"/>
  <c r="AX16" i="13"/>
  <c r="A1112" i="13"/>
  <c r="AX416" i="13"/>
  <c r="BU79" i="4" a="1"/>
  <c r="BU79" i="4" s="1"/>
  <c r="BV79" i="4" a="1"/>
  <c r="BV79" i="4" s="1"/>
  <c r="D79" i="1"/>
  <c r="C79" i="4"/>
  <c r="D79" i="4"/>
  <c r="A81" i="9"/>
  <c r="A79" i="20"/>
  <c r="BC79" i="4" a="1"/>
  <c r="BC79" i="4" s="1"/>
  <c r="C64" i="4"/>
  <c r="S96" i="22"/>
  <c r="BU64" i="4" a="1"/>
  <c r="BU64" i="4" s="1"/>
  <c r="D64" i="4"/>
  <c r="BC64" i="4" a="1"/>
  <c r="BC64" i="4" s="1"/>
  <c r="A66" i="9"/>
  <c r="BV64" i="4" a="1"/>
  <c r="BV64" i="4" s="1"/>
  <c r="D64" i="1"/>
  <c r="A64" i="20"/>
  <c r="A1031" i="13"/>
  <c r="AX434" i="13"/>
  <c r="A1830" i="13"/>
  <c r="Z1830" i="13" s="1"/>
  <c r="B1830" i="13" s="1" a="1"/>
  <c r="B1830" i="13" s="1"/>
  <c r="A1130" i="13"/>
  <c r="AX534" i="13"/>
  <c r="A932" i="13"/>
  <c r="AX932" i="13" s="1"/>
  <c r="A534" i="13"/>
  <c r="A634" i="13"/>
  <c r="A733" i="13"/>
  <c r="AX733" i="13" s="1"/>
  <c r="AX1031" i="13"/>
  <c r="AX634" i="13"/>
  <c r="A434" i="13"/>
  <c r="A833" i="13"/>
  <c r="AX833" i="13" s="1"/>
  <c r="AX34" i="13"/>
  <c r="A134" i="13"/>
  <c r="BA4" i="4" a="1"/>
  <c r="BA4" i="4" s="1"/>
  <c r="BB4" i="4" s="1"/>
  <c r="AV106" i="13" s="1"/>
  <c r="B4" i="4"/>
  <c r="J510" i="15"/>
  <c r="C50" i="4"/>
  <c r="K50" i="4"/>
  <c r="AZ50" i="4"/>
  <c r="A50" i="4"/>
  <c r="J561" i="15" s="1"/>
  <c r="BU50" i="4" a="1"/>
  <c r="BU50" i="4" s="1"/>
  <c r="BC50" i="4" a="1"/>
  <c r="BC50" i="4" s="1"/>
  <c r="D50" i="4"/>
  <c r="BS50" i="4"/>
  <c r="A50" i="20"/>
  <c r="A52" i="9"/>
  <c r="I50" i="4"/>
  <c r="EP7" i="71" s="1"/>
  <c r="BV50" i="4" a="1"/>
  <c r="BV50" i="4" s="1"/>
  <c r="D50" i="1"/>
  <c r="M50" i="4"/>
  <c r="BW58" i="4"/>
  <c r="AX1156" i="13"/>
  <c r="A1255" i="13"/>
  <c r="A62" i="13"/>
  <c r="H60" i="4"/>
  <c r="DC62" i="4"/>
  <c r="AV262" i="13"/>
  <c r="I36" i="4"/>
  <c r="CW15" i="71" s="1"/>
  <c r="D36" i="1"/>
  <c r="AZ36" i="4"/>
  <c r="A36" i="4"/>
  <c r="D36" i="4"/>
  <c r="BC36" i="4" a="1"/>
  <c r="BC36" i="4" s="1"/>
  <c r="C36" i="4"/>
  <c r="M36" i="4"/>
  <c r="A38" i="9"/>
  <c r="A36" i="20"/>
  <c r="BS36" i="4"/>
  <c r="BV36" i="4" a="1"/>
  <c r="BV36" i="4" s="1"/>
  <c r="K36" i="4"/>
  <c r="AS36" i="4" s="1"/>
  <c r="AV638" i="13" s="1"/>
  <c r="BU36" i="4" a="1"/>
  <c r="BU36" i="4" s="1"/>
  <c r="A849" i="13"/>
  <c r="AX849" i="13" s="1"/>
  <c r="A550" i="13"/>
  <c r="A650" i="13"/>
  <c r="A1047" i="13"/>
  <c r="A1846" i="13"/>
  <c r="AX650" i="13"/>
  <c r="A150" i="13"/>
  <c r="AX50" i="13"/>
  <c r="A450" i="13"/>
  <c r="A1146" i="13"/>
  <c r="A749" i="13"/>
  <c r="AX749" i="13" s="1"/>
  <c r="AX1047" i="13"/>
  <c r="AX450" i="13"/>
  <c r="A948" i="13"/>
  <c r="AX948" i="13" s="1"/>
  <c r="AX550" i="13"/>
  <c r="AX519" i="13"/>
  <c r="A718" i="13"/>
  <c r="AX718" i="13" s="1"/>
  <c r="A1115" i="13"/>
  <c r="A119" i="13"/>
  <c r="A619" i="13"/>
  <c r="AX619" i="13"/>
  <c r="A519" i="13"/>
  <c r="A1016" i="13"/>
  <c r="A1815" i="13"/>
  <c r="A818" i="13"/>
  <c r="AX818" i="13" s="1"/>
  <c r="AX419" i="13"/>
  <c r="A419" i="13"/>
  <c r="AX19" i="13"/>
  <c r="AX1016" i="13"/>
  <c r="A917" i="13"/>
  <c r="AX917" i="13" s="1"/>
  <c r="BS16" i="4"/>
  <c r="A18" i="9"/>
  <c r="BU16" i="4" a="1"/>
  <c r="BU16" i="4" s="1"/>
  <c r="K16" i="4"/>
  <c r="BV16" i="4" a="1"/>
  <c r="BV16" i="4" s="1"/>
  <c r="D16" i="1"/>
  <c r="AZ16" i="4"/>
  <c r="D16" i="4"/>
  <c r="A16" i="20"/>
  <c r="A16" i="4"/>
  <c r="I16" i="4"/>
  <c r="AO6" i="71" s="1"/>
  <c r="M16" i="4"/>
  <c r="C16" i="4"/>
  <c r="BC16" i="4" a="1"/>
  <c r="BC16" i="4" s="1"/>
  <c r="I35" i="4"/>
  <c r="CT14" i="71" s="1"/>
  <c r="M35" i="4"/>
  <c r="BC35" i="4" a="1"/>
  <c r="BC35" i="4" s="1"/>
  <c r="A35" i="4"/>
  <c r="BS35" i="4"/>
  <c r="AZ35" i="4"/>
  <c r="A37" i="9"/>
  <c r="BV35" i="4" a="1"/>
  <c r="BV35" i="4" s="1"/>
  <c r="C35" i="4"/>
  <c r="A35" i="20"/>
  <c r="K35" i="4"/>
  <c r="D35" i="1"/>
  <c r="D35" i="4"/>
  <c r="BU35" i="4" a="1"/>
  <c r="BU35" i="4" s="1"/>
  <c r="D62" i="1"/>
  <c r="BV62" i="4" a="1"/>
  <c r="BV62" i="4" s="1"/>
  <c r="D62" i="4"/>
  <c r="BC62" i="4" a="1"/>
  <c r="BC62" i="4" s="1"/>
  <c r="C62" i="4"/>
  <c r="A62" i="20"/>
  <c r="BU62" i="4" a="1"/>
  <c r="BU62" i="4" s="1"/>
  <c r="S94" i="22"/>
  <c r="A64" i="9"/>
  <c r="AX424" i="13"/>
  <c r="A124" i="13"/>
  <c r="A424" i="13"/>
  <c r="A1820" i="13"/>
  <c r="AX524" i="13"/>
  <c r="AX1021" i="13"/>
  <c r="AX624" i="13"/>
  <c r="A1021" i="13"/>
  <c r="A723" i="13"/>
  <c r="AX723" i="13" s="1"/>
  <c r="A922" i="13"/>
  <c r="AX922" i="13" s="1"/>
  <c r="A1120" i="13"/>
  <c r="A624" i="13"/>
  <c r="AX24" i="13"/>
  <c r="A823" i="13"/>
  <c r="AX823" i="13" s="1"/>
  <c r="A524" i="13"/>
  <c r="A1039" i="13"/>
  <c r="AX442" i="13"/>
  <c r="AX642" i="13"/>
  <c r="A841" i="13"/>
  <c r="AX841" i="13" s="1"/>
  <c r="A542" i="13"/>
  <c r="AX1039" i="13"/>
  <c r="A741" i="13"/>
  <c r="AX741" i="13" s="1"/>
  <c r="A642" i="13"/>
  <c r="AX42" i="13"/>
  <c r="A442" i="13"/>
  <c r="AX542" i="13"/>
  <c r="A1138" i="13"/>
  <c r="A142" i="13"/>
  <c r="A1838" i="13"/>
  <c r="A940" i="13"/>
  <c r="AX940" i="13" s="1"/>
  <c r="A1825" i="13"/>
  <c r="A728" i="13"/>
  <c r="AX728" i="13" s="1"/>
  <c r="AX29" i="13"/>
  <c r="AX429" i="13"/>
  <c r="A129" i="13"/>
  <c r="AX1026" i="13"/>
  <c r="AX629" i="13"/>
  <c r="A1026" i="13"/>
  <c r="A828" i="13"/>
  <c r="AX828" i="13" s="1"/>
  <c r="A1125" i="13"/>
  <c r="A629" i="13"/>
  <c r="AX529" i="13"/>
  <c r="A927" i="13"/>
  <c r="AX927" i="13" s="1"/>
  <c r="A429" i="13"/>
  <c r="A529" i="13"/>
  <c r="A752" i="13"/>
  <c r="AX752" i="13" s="1"/>
  <c r="A153" i="13"/>
  <c r="AX53" i="13"/>
  <c r="AX453" i="13"/>
  <c r="A1849" i="13"/>
  <c r="A653" i="13"/>
  <c r="A1149" i="13"/>
  <c r="AX653" i="13"/>
  <c r="A1050" i="13"/>
  <c r="AX1050" i="13"/>
  <c r="AX553" i="13"/>
  <c r="A852" i="13"/>
  <c r="AX852" i="13" s="1"/>
  <c r="A951" i="13"/>
  <c r="AX951" i="13" s="1"/>
  <c r="A453" i="13"/>
  <c r="A553" i="13"/>
  <c r="AX1046" i="13"/>
  <c r="AX549" i="13"/>
  <c r="AX449" i="13"/>
  <c r="AX49" i="13"/>
  <c r="A748" i="13"/>
  <c r="AX748" i="13" s="1"/>
  <c r="A449" i="13"/>
  <c r="A149" i="13"/>
  <c r="A649" i="13"/>
  <c r="A1145" i="13"/>
  <c r="A549" i="13"/>
  <c r="A1845" i="13"/>
  <c r="A1046" i="13"/>
  <c r="A848" i="13"/>
  <c r="AX848" i="13" s="1"/>
  <c r="AX649" i="13"/>
  <c r="A947" i="13"/>
  <c r="AX947" i="13" s="1"/>
  <c r="A889" i="13"/>
  <c r="AX889" i="13" s="1"/>
  <c r="AX590" i="13"/>
  <c r="A1886" i="13"/>
  <c r="A590" i="13"/>
  <c r="A490" i="13"/>
  <c r="AX690" i="13"/>
  <c r="A1087" i="13"/>
  <c r="A190" i="13"/>
  <c r="A789" i="13"/>
  <c r="AX789" i="13" s="1"/>
  <c r="AX490" i="13"/>
  <c r="AX1087" i="13"/>
  <c r="AX90" i="13"/>
  <c r="A1186" i="13"/>
  <c r="A988" i="13"/>
  <c r="AX988" i="13" s="1"/>
  <c r="A690" i="13"/>
  <c r="A173" i="13"/>
  <c r="AX673" i="13"/>
  <c r="A1070" i="13"/>
  <c r="A772" i="13"/>
  <c r="AX772" i="13" s="1"/>
  <c r="AX473" i="13"/>
  <c r="AX573" i="13"/>
  <c r="A1169" i="13"/>
  <c r="A473" i="13"/>
  <c r="A872" i="13"/>
  <c r="AX872" i="13" s="1"/>
  <c r="AX73" i="13"/>
  <c r="A971" i="13"/>
  <c r="AX971" i="13" s="1"/>
  <c r="A673" i="13"/>
  <c r="AX1070" i="13"/>
  <c r="A1869" i="13"/>
  <c r="A573" i="13"/>
  <c r="AX10" i="13"/>
  <c r="A1106" i="13"/>
  <c r="A410" i="13"/>
  <c r="AX410" i="13"/>
  <c r="AX510" i="13"/>
  <c r="A709" i="13"/>
  <c r="AX709" i="13" s="1"/>
  <c r="A510" i="13"/>
  <c r="A610" i="13"/>
  <c r="A1007" i="13"/>
  <c r="A1806" i="13"/>
  <c r="Z1806" i="13" s="1"/>
  <c r="B1806" i="13" s="1" a="1"/>
  <c r="B1806" i="13" s="1"/>
  <c r="A110" i="13"/>
  <c r="AX1007" i="13"/>
  <c r="A809" i="13"/>
  <c r="AX809" i="13" s="1"/>
  <c r="AX610" i="13"/>
  <c r="A908" i="13"/>
  <c r="AX908" i="13" s="1"/>
  <c r="I30" i="4"/>
  <c r="CE9" i="71" s="1"/>
  <c r="BU30" i="4" a="1"/>
  <c r="BU30" i="4" s="1"/>
  <c r="A32" i="9"/>
  <c r="C30" i="4"/>
  <c r="M30" i="4"/>
  <c r="BV30" i="4" a="1"/>
  <c r="BV30" i="4" s="1"/>
  <c r="BC30" i="4" a="1"/>
  <c r="BC30" i="4" s="1"/>
  <c r="A30" i="4"/>
  <c r="K30" i="4"/>
  <c r="D30" i="1"/>
  <c r="BS30" i="4"/>
  <c r="D30" i="4"/>
  <c r="AZ30" i="4"/>
  <c r="A30" i="20"/>
  <c r="BV48" i="4" a="1"/>
  <c r="BV48" i="4" s="1"/>
  <c r="BU48" i="4" a="1"/>
  <c r="BU48" i="4" s="1"/>
  <c r="AZ48" i="4"/>
  <c r="I48" i="4"/>
  <c r="EG4" i="71" s="1"/>
  <c r="A48" i="4"/>
  <c r="M48" i="4"/>
  <c r="A48" i="20"/>
  <c r="D48" i="1"/>
  <c r="D48" i="4"/>
  <c r="BC48" i="4" a="1"/>
  <c r="BC48" i="4" s="1"/>
  <c r="A50" i="9"/>
  <c r="K48" i="4"/>
  <c r="C48" i="4"/>
  <c r="BS48" i="4"/>
  <c r="BV17" i="4" a="1"/>
  <c r="BV17" i="4" s="1"/>
  <c r="A19" i="9"/>
  <c r="M17" i="4"/>
  <c r="BS17" i="4"/>
  <c r="D17" i="4"/>
  <c r="D17" i="1"/>
  <c r="A17" i="20"/>
  <c r="I17" i="4"/>
  <c r="AZ17" i="4"/>
  <c r="A17" i="4"/>
  <c r="C17" i="4"/>
  <c r="BC17" i="4" a="1"/>
  <c r="BC17" i="4" s="1"/>
  <c r="BU17" i="4" a="1"/>
  <c r="BU17" i="4" s="1"/>
  <c r="K17" i="4"/>
  <c r="A518" i="13"/>
  <c r="A1015" i="13"/>
  <c r="A1814" i="13"/>
  <c r="A717" i="13"/>
  <c r="AX717" i="13" s="1"/>
  <c r="A916" i="13"/>
  <c r="AX916" i="13" s="1"/>
  <c r="AX418" i="13"/>
  <c r="AX518" i="13"/>
  <c r="A1114" i="13"/>
  <c r="A618" i="13"/>
  <c r="AX18" i="13"/>
  <c r="AX618" i="13"/>
  <c r="A418" i="13"/>
  <c r="A817" i="13"/>
  <c r="AX817" i="13" s="1"/>
  <c r="AX1015" i="13"/>
  <c r="A118" i="13"/>
  <c r="AX637" i="13"/>
  <c r="A935" i="13"/>
  <c r="AX935" i="13" s="1"/>
  <c r="A836" i="13"/>
  <c r="AX836" i="13" s="1"/>
  <c r="A437" i="13"/>
  <c r="AX537" i="13"/>
  <c r="A736" i="13"/>
  <c r="AX736" i="13" s="1"/>
  <c r="A1833" i="13"/>
  <c r="Z1833" i="13" s="1"/>
  <c r="B1833" i="13" s="1" a="1"/>
  <c r="B1833" i="13" s="1"/>
  <c r="A1133" i="13"/>
  <c r="A537" i="13"/>
  <c r="AX1034" i="13"/>
  <c r="A1034" i="13"/>
  <c r="AX437" i="13"/>
  <c r="A637" i="13"/>
  <c r="AX37" i="13"/>
  <c r="A137" i="13"/>
  <c r="AX464" i="13"/>
  <c r="AX1061" i="13"/>
  <c r="A1160" i="13"/>
  <c r="A863" i="13"/>
  <c r="AX863" i="13" s="1"/>
  <c r="A564" i="13"/>
  <c r="A1061" i="13"/>
  <c r="A962" i="13"/>
  <c r="AX962" i="13" s="1"/>
  <c r="AX664" i="13"/>
  <c r="A164" i="13"/>
  <c r="A664" i="13"/>
  <c r="AX564" i="13"/>
  <c r="AX64" i="13"/>
  <c r="A763" i="13"/>
  <c r="AX763" i="13" s="1"/>
  <c r="A464" i="13"/>
  <c r="A1860" i="13"/>
  <c r="A976" i="13"/>
  <c r="AX976" i="13" s="1"/>
  <c r="A678" i="13"/>
  <c r="A1874" i="13"/>
  <c r="AX678" i="13"/>
  <c r="AX1075" i="13"/>
  <c r="AX578" i="13"/>
  <c r="A1075" i="13"/>
  <c r="A578" i="13"/>
  <c r="AX78" i="13"/>
  <c r="A178" i="13"/>
  <c r="AX478" i="13"/>
  <c r="A777" i="13"/>
  <c r="AX777" i="13" s="1"/>
  <c r="A877" i="13"/>
  <c r="AX877" i="13" s="1"/>
  <c r="A1174" i="13"/>
  <c r="A478" i="13"/>
  <c r="A561" i="13"/>
  <c r="AX61" i="13"/>
  <c r="AX661" i="13"/>
  <c r="AX1058" i="13"/>
  <c r="A860" i="13"/>
  <c r="AX860" i="13" s="1"/>
  <c r="AX561" i="13"/>
  <c r="A760" i="13"/>
  <c r="AX760" i="13" s="1"/>
  <c r="A461" i="13"/>
  <c r="A959" i="13"/>
  <c r="AX959" i="13" s="1"/>
  <c r="A1058" i="13"/>
  <c r="A161" i="13"/>
  <c r="A1157" i="13"/>
  <c r="AX461" i="13"/>
  <c r="A661" i="13"/>
  <c r="A1857" i="13"/>
  <c r="A1104" i="13"/>
  <c r="AX508" i="13"/>
  <c r="AX8" i="13"/>
  <c r="AX408" i="13"/>
  <c r="A1005" i="13"/>
  <c r="A408" i="13"/>
  <c r="AX1005" i="13"/>
  <c r="A508" i="13"/>
  <c r="A108" i="13"/>
  <c r="A906" i="13"/>
  <c r="AX906" i="13" s="1"/>
  <c r="A807" i="13"/>
  <c r="AX807" i="13" s="1"/>
  <c r="A707" i="13"/>
  <c r="AX707" i="13" s="1"/>
  <c r="A1804" i="13"/>
  <c r="Z1804" i="13" s="1"/>
  <c r="B1804" i="13" s="1" a="1"/>
  <c r="B1804" i="13" s="1"/>
  <c r="AX608" i="13"/>
  <c r="A608" i="13"/>
  <c r="A584" i="13"/>
  <c r="AX1081" i="13"/>
  <c r="AX84" i="13"/>
  <c r="AX484" i="13"/>
  <c r="A184" i="13"/>
  <c r="A982" i="13"/>
  <c r="AX982" i="13" s="1"/>
  <c r="A1081" i="13"/>
  <c r="A484" i="13"/>
  <c r="A1880" i="13"/>
  <c r="AX684" i="13"/>
  <c r="AX584" i="13"/>
  <c r="A783" i="13"/>
  <c r="AX783" i="13" s="1"/>
  <c r="A883" i="13"/>
  <c r="AX883" i="13" s="1"/>
  <c r="A684" i="13"/>
  <c r="A1180" i="13"/>
  <c r="AX1069" i="13"/>
  <c r="AX72" i="13"/>
  <c r="A572" i="13"/>
  <c r="A1069" i="13"/>
  <c r="A1168" i="13"/>
  <c r="A472" i="13"/>
  <c r="A1868" i="13"/>
  <c r="AX572" i="13"/>
  <c r="A172" i="13"/>
  <c r="A672" i="13"/>
  <c r="AX472" i="13"/>
  <c r="A771" i="13"/>
  <c r="AX771" i="13" s="1"/>
  <c r="A970" i="13"/>
  <c r="AX970" i="13" s="1"/>
  <c r="AX672" i="13"/>
  <c r="A871" i="13"/>
  <c r="AX871" i="13" s="1"/>
  <c r="M51" i="4"/>
  <c r="A53" i="9"/>
  <c r="D51" i="4"/>
  <c r="AZ51" i="4"/>
  <c r="A51" i="4"/>
  <c r="J593" i="15" s="1"/>
  <c r="BU51" i="4" a="1"/>
  <c r="BU51" i="4" s="1"/>
  <c r="A51" i="20"/>
  <c r="I51" i="4"/>
  <c r="ES12" i="71" s="1"/>
  <c r="D51" i="1"/>
  <c r="BC51" i="4" a="1"/>
  <c r="BC51" i="4" s="1"/>
  <c r="K51" i="4"/>
  <c r="C51" i="4"/>
  <c r="BS51" i="4"/>
  <c r="BV51" i="4" a="1"/>
  <c r="BV51" i="4" s="1"/>
  <c r="AZ47" i="4"/>
  <c r="BS47" i="4"/>
  <c r="A49" i="9"/>
  <c r="BC47" i="4" a="1"/>
  <c r="BC47" i="4" s="1"/>
  <c r="C47" i="4"/>
  <c r="A47" i="4"/>
  <c r="D47" i="1"/>
  <c r="I47" i="4"/>
  <c r="ED34" i="71" s="1"/>
  <c r="BU47" i="4" a="1"/>
  <c r="BU47" i="4" s="1"/>
  <c r="BV47" i="4" a="1"/>
  <c r="BV47" i="4" s="1"/>
  <c r="D47" i="4"/>
  <c r="A47" i="20"/>
  <c r="K47" i="4"/>
  <c r="M47" i="4"/>
  <c r="G58" i="4"/>
  <c r="BO58" i="4"/>
  <c r="K3" i="27"/>
  <c r="M85" i="4"/>
  <c r="BJ3" i="4" a="1"/>
  <c r="BK3" i="4" a="1"/>
  <c r="BJ4" i="4" a="1"/>
  <c r="BK4" i="4" a="1"/>
  <c r="BJ10" i="4" a="1"/>
  <c r="BK10" i="4" a="1"/>
  <c r="BJ9" i="4" a="1"/>
  <c r="BK9" i="4" a="1"/>
  <c r="AG76" i="4" a="1"/>
  <c r="AF76" i="4" a="1"/>
  <c r="AI59" i="4" a="1"/>
  <c r="AJ59" i="4" a="1"/>
  <c r="AG82" i="4" a="1"/>
  <c r="AF82" i="4" a="1"/>
  <c r="AI82" i="4" a="1"/>
  <c r="AJ82" i="4" a="1"/>
  <c r="AF70" i="4" a="1"/>
  <c r="AG70" i="4" a="1"/>
  <c r="AI75" i="4" a="1"/>
  <c r="AJ75" i="4" a="1"/>
  <c r="AI13" i="4" a="1"/>
  <c r="AJ13" i="4" a="1"/>
  <c r="AN24" i="4" a="1"/>
  <c r="AO24" i="4" a="1"/>
  <c r="AB43" i="4" a="1"/>
  <c r="AA43" i="4" a="1"/>
  <c r="AA31" i="4" a="1"/>
  <c r="AB31" i="4" a="1"/>
  <c r="AO81" i="4" a="1"/>
  <c r="AN81" i="4" a="1"/>
  <c r="AA38" i="4" a="1"/>
  <c r="AB38" i="4" a="1"/>
  <c r="AB42" i="4" a="1"/>
  <c r="AA42" i="4" a="1"/>
  <c r="AF67" i="4" a="1"/>
  <c r="AG67" i="4" a="1"/>
  <c r="AI67" i="4" a="1"/>
  <c r="AJ67" i="4" a="1"/>
  <c r="AB56" i="4" a="1"/>
  <c r="AA56" i="4" a="1"/>
  <c r="AF33" i="4" a="1"/>
  <c r="AG33" i="4" a="1"/>
  <c r="AG25" i="4" a="1"/>
  <c r="AF25" i="4" a="1"/>
  <c r="AA25" i="4" a="1"/>
  <c r="AB25" i="4" a="1"/>
  <c r="AN54" i="4" a="1"/>
  <c r="AO54" i="4" a="1"/>
  <c r="AI41" i="4" a="1"/>
  <c r="AJ41" i="4" a="1"/>
  <c r="AI53" i="4" a="1"/>
  <c r="AJ53" i="4" a="1"/>
  <c r="AA66" i="4" a="1"/>
  <c r="AB66" i="4" a="1"/>
  <c r="AB32" i="4" a="1"/>
  <c r="AA32" i="4" a="1"/>
  <c r="AN87" i="4" a="1"/>
  <c r="AO87" i="4" a="1"/>
  <c r="AF74" i="4" a="1"/>
  <c r="AG74" i="4" a="1"/>
  <c r="AJ22" i="4" a="1"/>
  <c r="AI22" i="4" a="1"/>
  <c r="AI40" i="4" a="1"/>
  <c r="AJ40" i="4" a="1"/>
  <c r="AF79" i="4" a="1"/>
  <c r="AG79" i="4" a="1"/>
  <c r="B76" i="1" a="1"/>
  <c r="B75" i="1" a="1"/>
  <c r="B43" i="1" a="1"/>
  <c r="AG8" i="4" a="1"/>
  <c r="AF8" i="4" a="1"/>
  <c r="AJ6" i="4" a="1"/>
  <c r="AI6" i="4" a="1"/>
  <c r="AJ43" i="4" a="1"/>
  <c r="AI43" i="4" a="1"/>
  <c r="AG65" i="4" a="1"/>
  <c r="AF65" i="4" a="1"/>
  <c r="AB29" i="4" a="1"/>
  <c r="AA29" i="4" a="1"/>
  <c r="AB85" i="4" a="1"/>
  <c r="AA85" i="4" a="1"/>
  <c r="AG42" i="4" a="1"/>
  <c r="AF42" i="4" a="1"/>
  <c r="AB67" i="4" a="1"/>
  <c r="AA67" i="4" a="1"/>
  <c r="AO28" i="4" a="1"/>
  <c r="AN28" i="4" a="1"/>
  <c r="AB33" i="4" a="1"/>
  <c r="AA33" i="4" a="1"/>
  <c r="AN25" i="4" a="1"/>
  <c r="AO25" i="4" a="1"/>
  <c r="AN53" i="4" a="1"/>
  <c r="AO53" i="4" a="1"/>
  <c r="AN32" i="4" a="1"/>
  <c r="AO32" i="4" a="1"/>
  <c r="AA87" i="4" a="1"/>
  <c r="AB87" i="4" a="1"/>
  <c r="AO40" i="4" a="1"/>
  <c r="AN40" i="4" a="1"/>
  <c r="AG16" i="4" a="1"/>
  <c r="AF16" i="4" a="1"/>
  <c r="AB35" i="4" a="1"/>
  <c r="AA35" i="4" a="1"/>
  <c r="AJ62" i="4" a="1"/>
  <c r="AI62" i="4" a="1"/>
  <c r="AI17" i="4" a="1"/>
  <c r="AJ17" i="4" a="1"/>
  <c r="AB51" i="4" a="1"/>
  <c r="AA51" i="4" a="1"/>
  <c r="AI47" i="4" a="1"/>
  <c r="AJ47" i="4" a="1"/>
  <c r="B8" i="1" a="1"/>
  <c r="B24" i="1" a="1"/>
  <c r="AA91" i="4" a="1"/>
  <c r="AB91" i="4" a="1"/>
  <c r="AI91" i="4" a="1"/>
  <c r="AJ91" i="4" a="1"/>
  <c r="AN89" i="4" a="1"/>
  <c r="AO89" i="4" a="1"/>
  <c r="AA76" i="4" a="1"/>
  <c r="AB76" i="4" a="1"/>
  <c r="AA82" i="4" a="1"/>
  <c r="AB82" i="4" a="1"/>
  <c r="AI11" i="4" a="1"/>
  <c r="AJ11" i="4" a="1"/>
  <c r="AN39" i="4" a="1"/>
  <c r="AO39" i="4" a="1"/>
  <c r="AB77" i="4" a="1"/>
  <c r="AA77" i="4" a="1"/>
  <c r="AJ80" i="4" a="1"/>
  <c r="AI80" i="4" a="1"/>
  <c r="AG19" i="4" a="1"/>
  <c r="AF19" i="4" a="1"/>
  <c r="AN90" i="4" a="1"/>
  <c r="AO90" i="4" a="1"/>
  <c r="AI56" i="4" a="1"/>
  <c r="AJ56" i="4" a="1"/>
  <c r="AO46" i="4" a="1"/>
  <c r="AN46" i="4" a="1"/>
  <c r="AG46" i="4" a="1"/>
  <c r="AF46" i="4" a="1"/>
  <c r="AI87" i="4" a="1"/>
  <c r="AJ87" i="4" a="1"/>
  <c r="AB40" i="4" a="1"/>
  <c r="AA40" i="4" a="1"/>
  <c r="AG40" i="4" a="1"/>
  <c r="AF40" i="4" a="1"/>
  <c r="AN27" i="4" a="1"/>
  <c r="AO27" i="4" a="1"/>
  <c r="AA36" i="4" a="1"/>
  <c r="AB36" i="4" a="1"/>
  <c r="AA16" i="4" a="1"/>
  <c r="AB16" i="4" a="1"/>
  <c r="AN48" i="4" a="1"/>
  <c r="AO48" i="4" a="1"/>
  <c r="AF51" i="4" a="1"/>
  <c r="AG51" i="4" a="1"/>
  <c r="AO47" i="4" a="1"/>
  <c r="AN47" i="4" a="1"/>
  <c r="BI10" i="4" a="1"/>
  <c r="DF10" i="4" a="1"/>
  <c r="B59" i="1" a="1"/>
  <c r="B39" i="1" a="1"/>
  <c r="AO88" i="4" a="1"/>
  <c r="AN88" i="4" a="1"/>
  <c r="AI71" i="4" a="1"/>
  <c r="AJ71" i="4" a="1"/>
  <c r="AG71" i="4" a="1"/>
  <c r="AF71" i="4" a="1"/>
  <c r="AI8" i="4" a="1"/>
  <c r="AJ8" i="4" a="1"/>
  <c r="AI93" i="4" a="1"/>
  <c r="AJ93" i="4" a="1"/>
  <c r="AN76" i="4" a="1"/>
  <c r="AO76" i="4" a="1"/>
  <c r="AB59" i="4" a="1"/>
  <c r="AA59" i="4" a="1"/>
  <c r="AN6" i="4" a="1"/>
  <c r="AO6" i="4" a="1"/>
  <c r="AF6" i="4" a="1"/>
  <c r="AG6" i="4" a="1"/>
  <c r="AA70" i="4" a="1"/>
  <c r="AB70" i="4" a="1"/>
  <c r="AA61" i="4" a="1"/>
  <c r="AB61" i="4" a="1"/>
  <c r="AF37" i="4" a="1"/>
  <c r="AG37" i="4" a="1"/>
  <c r="AO52" i="4" a="1"/>
  <c r="AN52" i="4" a="1"/>
  <c r="AF34" i="4" a="1"/>
  <c r="AG34" i="4" a="1"/>
  <c r="AF39" i="4" a="1"/>
  <c r="AG39" i="4" a="1"/>
  <c r="AN65" i="4" a="1"/>
  <c r="AO65" i="4" a="1"/>
  <c r="AJ5" i="4" a="1"/>
  <c r="AI5" i="4" a="1"/>
  <c r="AI72" i="4" a="1"/>
  <c r="AJ72" i="4" a="1"/>
  <c r="AF86" i="4" a="1"/>
  <c r="AG86" i="4" a="1"/>
  <c r="AJ92" i="4" a="1"/>
  <c r="AI92" i="4" a="1"/>
  <c r="AO80" i="4" a="1"/>
  <c r="AN80" i="4" a="1"/>
  <c r="AG81" i="4" a="1"/>
  <c r="AF81" i="4" a="1"/>
  <c r="AO42" i="4" a="1"/>
  <c r="AN42" i="4" a="1"/>
  <c r="AN84" i="4" a="1"/>
  <c r="AO84" i="4" a="1"/>
  <c r="AO45" i="4" a="1"/>
  <c r="AN45" i="4" a="1"/>
  <c r="AJ33" i="4" a="1"/>
  <c r="AI33" i="4" a="1"/>
  <c r="AO33" i="4" a="1"/>
  <c r="AN33" i="4" a="1"/>
  <c r="AA68" i="4" a="1"/>
  <c r="AB68" i="4" a="1"/>
  <c r="AO41" i="4" a="1"/>
  <c r="AN41" i="4" a="1"/>
  <c r="AN69" i="4" a="1"/>
  <c r="AO69" i="4" a="1"/>
  <c r="AA15" i="4" a="1"/>
  <c r="AB15" i="4" a="1"/>
  <c r="AO20" i="4" a="1"/>
  <c r="AN20" i="4" a="1"/>
  <c r="AJ20" i="4" a="1"/>
  <c r="AI20" i="4" a="1"/>
  <c r="AF66" i="4" a="1"/>
  <c r="AG66" i="4" a="1"/>
  <c r="AI46" i="4" a="1"/>
  <c r="AJ46" i="4" a="1"/>
  <c r="AJ32" i="4" a="1"/>
  <c r="AI32" i="4" a="1"/>
  <c r="AA74" i="4" a="1"/>
  <c r="AB74" i="4" a="1"/>
  <c r="AF64" i="4" a="1"/>
  <c r="AG64" i="4" a="1"/>
  <c r="AA48" i="4" a="1"/>
  <c r="AB48" i="4" a="1"/>
  <c r="B88" i="1" a="1"/>
  <c r="B7" i="1" a="1"/>
  <c r="AO8" i="4" a="1"/>
  <c r="AN8" i="4" a="1"/>
  <c r="AN59" i="4" a="1"/>
  <c r="AO59" i="4" a="1"/>
  <c r="AJ70" i="4" a="1"/>
  <c r="AI70" i="4" a="1"/>
  <c r="AJ37" i="4" a="1"/>
  <c r="AI37" i="4" a="1"/>
  <c r="AO37" i="4" a="1"/>
  <c r="AN37" i="4" a="1"/>
  <c r="AA26" i="4" a="1"/>
  <c r="AB26" i="4" a="1"/>
  <c r="AB11" i="4" a="1"/>
  <c r="AA11" i="4" a="1"/>
  <c r="AJ39" i="4" a="1"/>
  <c r="AI39" i="4" a="1"/>
  <c r="AG43" i="4" a="1"/>
  <c r="AF43" i="4" a="1"/>
  <c r="AJ18" i="4" a="1"/>
  <c r="AI18" i="4" a="1"/>
  <c r="AO29" i="4" a="1"/>
  <c r="AN29" i="4" a="1"/>
  <c r="AO5" i="4" a="1"/>
  <c r="AN5" i="4" a="1"/>
  <c r="AA49" i="4" a="1"/>
  <c r="AB49" i="4" a="1"/>
  <c r="AJ85" i="4" a="1"/>
  <c r="AI85" i="4" a="1"/>
  <c r="AN92" i="4" a="1"/>
  <c r="AO92" i="4" a="1"/>
  <c r="AG80" i="4" a="1"/>
  <c r="AF80" i="4" a="1"/>
  <c r="AJ21" i="4" a="1"/>
  <c r="AI21" i="4" a="1"/>
  <c r="AG21" i="4" a="1"/>
  <c r="AF21" i="4" a="1"/>
  <c r="AO44" i="4" a="1"/>
  <c r="AN44" i="4" a="1"/>
  <c r="AB19" i="4" a="1"/>
  <c r="AA19" i="4" a="1"/>
  <c r="AN19" i="4" a="1"/>
  <c r="AO19" i="4" a="1"/>
  <c r="AI84" i="4" a="1"/>
  <c r="AJ84" i="4" a="1"/>
  <c r="AJ90" i="4" a="1"/>
  <c r="AI90" i="4" a="1"/>
  <c r="AB73" i="4" a="1"/>
  <c r="AA73" i="4" a="1"/>
  <c r="AA57" i="4" a="1"/>
  <c r="AB57" i="4" a="1"/>
  <c r="AJ25" i="4" a="1"/>
  <c r="AI25" i="4" a="1"/>
  <c r="AO12" i="4" a="1"/>
  <c r="AN12" i="4" a="1"/>
  <c r="AF53" i="4" a="1"/>
  <c r="AG53" i="4" a="1"/>
  <c r="AG15" i="4" a="1"/>
  <c r="AF15" i="4" a="1"/>
  <c r="AB78" i="4" a="1"/>
  <c r="AA78" i="4" a="1"/>
  <c r="AA20" i="4" a="1"/>
  <c r="AB20" i="4" a="1"/>
  <c r="AO63" i="4" a="1"/>
  <c r="AN63" i="4" a="1"/>
  <c r="AG14" i="4" a="1"/>
  <c r="AF14" i="4" a="1"/>
  <c r="AI74" i="4" a="1"/>
  <c r="AJ74" i="4" a="1"/>
  <c r="AF27" i="4" a="1"/>
  <c r="AG27" i="4" a="1"/>
  <c r="AN79" i="4" a="1"/>
  <c r="AO79" i="4" a="1"/>
  <c r="AO50" i="4" a="1"/>
  <c r="AN50" i="4" a="1"/>
  <c r="AN36" i="4" a="1"/>
  <c r="AO36" i="4" a="1"/>
  <c r="CK23" i="4" a="1"/>
  <c r="CH23" i="4"/>
  <c r="CI23" i="4" a="1"/>
  <c r="CL23" i="4" a="1"/>
  <c r="CD23" i="4" a="1"/>
  <c r="AC23" i="4" a="1"/>
  <c r="CN23" i="4" a="1"/>
  <c r="CE23" i="4" a="1"/>
  <c r="CT23" i="4"/>
  <c r="CJ23" i="4" a="1"/>
  <c r="CF23" i="4" a="1"/>
  <c r="AE23" i="4" a="1"/>
  <c r="AM23" i="4" a="1"/>
  <c r="CB23" i="4" a="1"/>
  <c r="CQ23" i="4"/>
  <c r="BN23" i="4" a="1"/>
  <c r="AK23" i="4" a="1"/>
  <c r="BP23" i="4" a="1"/>
  <c r="CM23" i="4" a="1"/>
  <c r="CG23" i="4" a="1"/>
  <c r="CC23" i="4" a="1"/>
  <c r="B89" i="1" a="1"/>
  <c r="B82" i="1" a="1"/>
  <c r="B34" i="1" a="1"/>
  <c r="AO93" i="4" a="1"/>
  <c r="AN93" i="4" a="1"/>
  <c r="AI76" i="4" a="1"/>
  <c r="AJ76" i="4" a="1"/>
  <c r="AB13" i="4" a="1"/>
  <c r="AA13" i="4" a="1"/>
  <c r="AF11" i="4" a="1"/>
  <c r="AG11" i="4" a="1"/>
  <c r="AF77" i="4" a="1"/>
  <c r="AG77" i="4" a="1"/>
  <c r="AG5" i="4" a="1"/>
  <c r="AF5" i="4" a="1"/>
  <c r="AG49" i="4" a="1"/>
  <c r="AF49" i="4" a="1"/>
  <c r="AA81" i="4" a="1"/>
  <c r="AB81" i="4" a="1"/>
  <c r="AF38" i="4" a="1"/>
  <c r="AG38" i="4" a="1"/>
  <c r="AJ42" i="4" a="1"/>
  <c r="AI42" i="4" a="1"/>
  <c r="AG45" i="4" a="1"/>
  <c r="AF45" i="4" a="1"/>
  <c r="AA90" i="4" a="1"/>
  <c r="AB90" i="4" a="1"/>
  <c r="AO73" i="4" a="1"/>
  <c r="AN73" i="4" a="1"/>
  <c r="AF73" i="4" a="1"/>
  <c r="AG73" i="4" a="1"/>
  <c r="AI12" i="4" a="1"/>
  <c r="AJ12" i="4" a="1"/>
  <c r="AG41" i="4" a="1"/>
  <c r="AF41" i="4" a="1"/>
  <c r="AO83" i="4" a="1"/>
  <c r="AN83" i="4" a="1"/>
  <c r="AF32" i="4" a="1"/>
  <c r="AG32" i="4" a="1"/>
  <c r="AI79" i="4" a="1"/>
  <c r="AJ79" i="4" a="1"/>
  <c r="AF62" i="4" a="1"/>
  <c r="AG62" i="4" a="1"/>
  <c r="AA62" i="4" a="1"/>
  <c r="AB62" i="4" a="1"/>
  <c r="AG48" i="4" a="1"/>
  <c r="AF48" i="4" a="1"/>
  <c r="AB17" i="4" a="1"/>
  <c r="AA17" i="4" a="1"/>
  <c r="B13" i="1" a="1"/>
  <c r="B37" i="1" a="1"/>
  <c r="B65" i="1" a="1"/>
  <c r="B5" i="1" a="1"/>
  <c r="AN7" i="4" a="1"/>
  <c r="AO7" i="4" a="1"/>
  <c r="AG93" i="4" a="1"/>
  <c r="AF93" i="4" a="1"/>
  <c r="AN13" i="4" a="1"/>
  <c r="AO13" i="4" a="1"/>
  <c r="AN11" i="4" a="1"/>
  <c r="AO11" i="4" a="1"/>
  <c r="AJ34" i="4" a="1"/>
  <c r="AI34" i="4" a="1"/>
  <c r="AG31" i="4" a="1"/>
  <c r="AF31" i="4" a="1"/>
  <c r="AA92" i="4" a="1"/>
  <c r="AB92" i="4" a="1"/>
  <c r="AO21" i="4" a="1"/>
  <c r="AN21" i="4" a="1"/>
  <c r="AF44" i="4" a="1"/>
  <c r="AG44" i="4" a="1"/>
  <c r="AI19" i="4" a="1"/>
  <c r="AJ19" i="4" a="1"/>
  <c r="AB84" i="4" a="1"/>
  <c r="AA84" i="4" a="1"/>
  <c r="AA28" i="4" a="1"/>
  <c r="AB28" i="4" a="1"/>
  <c r="AJ45" i="4" a="1"/>
  <c r="AI45" i="4" a="1"/>
  <c r="AO57" i="4" a="1"/>
  <c r="AN57" i="4" a="1"/>
  <c r="AJ69" i="4" a="1"/>
  <c r="AI69" i="4" a="1"/>
  <c r="AI15" i="4" a="1"/>
  <c r="AJ15" i="4" a="1"/>
  <c r="AA46" i="4" a="1"/>
  <c r="AB46" i="4" a="1"/>
  <c r="AF63" i="4" a="1"/>
  <c r="AG63" i="4" a="1"/>
  <c r="AB50" i="4" a="1"/>
  <c r="AA50" i="4" a="1"/>
  <c r="AJ35" i="4" a="1"/>
  <c r="AI35" i="4" a="1"/>
  <c r="AN62" i="4" a="1"/>
  <c r="AO62" i="4" a="1"/>
  <c r="AJ30" i="4" a="1"/>
  <c r="AI30" i="4" a="1"/>
  <c r="AA88" i="4" a="1"/>
  <c r="AB88" i="4" a="1"/>
  <c r="AO91" i="4" a="1"/>
  <c r="AN91" i="4" a="1"/>
  <c r="AB93" i="4" a="1"/>
  <c r="AA93" i="4" a="1"/>
  <c r="AN70" i="4" a="1"/>
  <c r="AO70" i="4" a="1"/>
  <c r="AO75" i="4" a="1"/>
  <c r="AN75" i="4" a="1"/>
  <c r="AB37" i="4" a="1"/>
  <c r="AA37" i="4" a="1"/>
  <c r="AF26" i="4" a="1"/>
  <c r="AG26" i="4" a="1"/>
  <c r="AI26" i="4" a="1"/>
  <c r="AJ26" i="4" a="1"/>
  <c r="AN77" i="4" a="1"/>
  <c r="AO77" i="4" a="1"/>
  <c r="AA18" i="4" a="1"/>
  <c r="AB18" i="4" a="1"/>
  <c r="AJ29" i="4" a="1"/>
  <c r="AI29" i="4" a="1"/>
  <c r="AI49" i="4" a="1"/>
  <c r="AJ49" i="4" a="1"/>
  <c r="AN85" i="4" a="1"/>
  <c r="AO85" i="4" a="1"/>
  <c r="AA21" i="4" a="1"/>
  <c r="AB21" i="4" a="1"/>
  <c r="AA45" i="4" a="1"/>
  <c r="AB45" i="4" a="1"/>
  <c r="AJ73" i="4" a="1"/>
  <c r="AI73" i="4" a="1"/>
  <c r="AO68" i="4" a="1"/>
  <c r="AN68" i="4" a="1"/>
  <c r="AF68" i="4" a="1"/>
  <c r="AG68" i="4" a="1"/>
  <c r="AA12" i="4" a="1"/>
  <c r="AB12" i="4" a="1"/>
  <c r="AA41" i="4" a="1"/>
  <c r="AB41" i="4" a="1"/>
  <c r="AF83" i="4" a="1"/>
  <c r="AG83" i="4" a="1"/>
  <c r="AI83" i="4" a="1"/>
  <c r="AJ83" i="4" a="1"/>
  <c r="AO15" i="4" a="1"/>
  <c r="AN15" i="4" a="1"/>
  <c r="AI14" i="4" a="1"/>
  <c r="AJ14" i="4" a="1"/>
  <c r="AA14" i="4" a="1"/>
  <c r="AB14" i="4" a="1"/>
  <c r="AF22" i="4" a="1"/>
  <c r="AG22" i="4" a="1"/>
  <c r="AO22" i="4" a="1"/>
  <c r="AN22" i="4" a="1"/>
  <c r="AA64" i="4" a="1"/>
  <c r="AB64" i="4" a="1"/>
  <c r="AN51" i="4" a="1"/>
  <c r="AO51" i="4" a="1"/>
  <c r="AG47" i="4" a="1"/>
  <c r="AF47" i="4" a="1"/>
  <c r="B70" i="1" a="1"/>
  <c r="DF3" i="4" a="1"/>
  <c r="BI3" i="4" a="1"/>
  <c r="AB8" i="4" a="1"/>
  <c r="AA8" i="4" a="1"/>
  <c r="AG91" i="4" a="1"/>
  <c r="AF91" i="4" a="1"/>
  <c r="AA7" i="4" a="1"/>
  <c r="AB7" i="4" a="1"/>
  <c r="AI89" i="4" a="1"/>
  <c r="AJ89" i="4" a="1"/>
  <c r="AN82" i="4" a="1"/>
  <c r="AO82" i="4" a="1"/>
  <c r="AG52" i="4" a="1"/>
  <c r="AF52" i="4" a="1"/>
  <c r="AN26" i="4" a="1"/>
  <c r="AO26" i="4" a="1"/>
  <c r="AA24" i="4" a="1"/>
  <c r="AB24" i="4" a="1"/>
  <c r="AN34" i="4" a="1"/>
  <c r="AO34" i="4" a="1"/>
  <c r="AN18" i="4" a="1"/>
  <c r="AO18" i="4" a="1"/>
  <c r="AA5" i="4" a="1"/>
  <c r="AB5" i="4" a="1"/>
  <c r="AG72" i="4" a="1"/>
  <c r="AF72" i="4" a="1"/>
  <c r="AO49" i="4" a="1"/>
  <c r="AN49" i="4" a="1"/>
  <c r="AN31" i="4" a="1"/>
  <c r="AO31" i="4" a="1"/>
  <c r="AA86" i="4" a="1"/>
  <c r="AB86" i="4" a="1"/>
  <c r="AN86" i="4" a="1"/>
  <c r="AO86" i="4" a="1"/>
  <c r="AG28" i="4" a="1"/>
  <c r="AF28" i="4" a="1"/>
  <c r="AJ57" i="4" a="1"/>
  <c r="AI57" i="4" a="1"/>
  <c r="AG54" i="4" a="1"/>
  <c r="AF54" i="4" a="1"/>
  <c r="AO66" i="4" a="1"/>
  <c r="AN66" i="4" a="1"/>
  <c r="AO74" i="4" a="1"/>
  <c r="AN74" i="4" a="1"/>
  <c r="AB22" i="4" a="1"/>
  <c r="AA22" i="4" a="1"/>
  <c r="AA27" i="4" a="1"/>
  <c r="AB27" i="4" a="1"/>
  <c r="AJ50" i="4" a="1"/>
  <c r="AI50" i="4" a="1"/>
  <c r="AO16" i="4" a="1"/>
  <c r="AN16" i="4" a="1"/>
  <c r="AO35" i="4" a="1"/>
  <c r="AN35" i="4" a="1"/>
  <c r="AG35" i="4" a="1"/>
  <c r="AF35" i="4" a="1"/>
  <c r="AO17" i="4" a="1"/>
  <c r="AN17" i="4" a="1"/>
  <c r="AJ88" i="4" a="1"/>
  <c r="AI88" i="4" a="1"/>
  <c r="AF7" i="4" a="1"/>
  <c r="AG7" i="4" a="1"/>
  <c r="AF89" i="4" a="1"/>
  <c r="AG89" i="4" a="1"/>
  <c r="AI52" i="4" a="1"/>
  <c r="AJ52" i="4" a="1"/>
  <c r="AN43" i="4" a="1"/>
  <c r="AO43" i="4" a="1"/>
  <c r="AJ77" i="4" a="1"/>
  <c r="AI77" i="4" a="1"/>
  <c r="AF18" i="4" a="1"/>
  <c r="AG18" i="4" a="1"/>
  <c r="AJ86" i="4" a="1"/>
  <c r="AI86" i="4" a="1"/>
  <c r="AF92" i="4" a="1"/>
  <c r="AG92" i="4" a="1"/>
  <c r="AA80" i="4" a="1"/>
  <c r="AB80" i="4" a="1"/>
  <c r="AA44" i="4" a="1"/>
  <c r="AB44" i="4" a="1"/>
  <c r="AN67" i="4" a="1"/>
  <c r="AO67" i="4" a="1"/>
  <c r="AI28" i="4" a="1"/>
  <c r="AJ28" i="4" a="1"/>
  <c r="AG90" i="4" a="1"/>
  <c r="AF90" i="4" a="1"/>
  <c r="AO56" i="4" a="1"/>
  <c r="AN56" i="4" a="1"/>
  <c r="AF56" i="4" a="1"/>
  <c r="AG56" i="4" a="1"/>
  <c r="AF12" i="4" a="1"/>
  <c r="AG12" i="4" a="1"/>
  <c r="AJ54" i="4" a="1"/>
  <c r="AI54" i="4" a="1"/>
  <c r="AB54" i="4" a="1"/>
  <c r="AA54" i="4" a="1"/>
  <c r="AB53" i="4" a="1"/>
  <c r="AA53" i="4" a="1"/>
  <c r="AO78" i="4" a="1"/>
  <c r="AN78" i="4" a="1"/>
  <c r="AF87" i="4" a="1"/>
  <c r="AG87" i="4" a="1"/>
  <c r="AI64" i="4" a="1"/>
  <c r="AJ64" i="4" a="1"/>
  <c r="AO30" i="4" a="1"/>
  <c r="AN30" i="4" a="1"/>
  <c r="AA30" i="4" a="1"/>
  <c r="AB30" i="4" a="1"/>
  <c r="AI51" i="4" a="1"/>
  <c r="AJ51" i="4" a="1"/>
  <c r="AB47" i="4" a="1"/>
  <c r="AA47" i="4" a="1"/>
  <c r="B91" i="1" a="1"/>
  <c r="B11" i="1" a="1"/>
  <c r="AG88" i="4" a="1"/>
  <c r="AF88" i="4" a="1"/>
  <c r="AO71" i="4" a="1"/>
  <c r="AN71" i="4" a="1"/>
  <c r="AF59" i="4" a="1"/>
  <c r="AG59" i="4" a="1"/>
  <c r="AA6" i="4" a="1"/>
  <c r="AB6" i="4" a="1"/>
  <c r="AA75" i="4" a="1"/>
  <c r="AB75" i="4" a="1"/>
  <c r="AG61" i="4" a="1"/>
  <c r="AF61" i="4" a="1"/>
  <c r="AN61" i="4" a="1"/>
  <c r="AO61" i="4" a="1"/>
  <c r="AJ24" i="4" a="1"/>
  <c r="AI24" i="4" a="1"/>
  <c r="AO72" i="4" a="1"/>
  <c r="AN72" i="4" a="1"/>
  <c r="AA72" i="4" a="1"/>
  <c r="AB72" i="4" a="1"/>
  <c r="AJ31" i="4" a="1"/>
  <c r="AI31" i="4" a="1"/>
  <c r="AI38" i="4" a="1"/>
  <c r="AJ38" i="4" a="1"/>
  <c r="AG57" i="4" a="1"/>
  <c r="AF57" i="4" a="1"/>
  <c r="AB83" i="4" a="1"/>
  <c r="AA83" i="4" a="1"/>
  <c r="AF78" i="4" a="1"/>
  <c r="AG78" i="4" a="1"/>
  <c r="AJ63" i="4" a="1"/>
  <c r="AI63" i="4" a="1"/>
  <c r="AO14" i="4" a="1"/>
  <c r="AN14" i="4" a="1"/>
  <c r="AI27" i="4" a="1"/>
  <c r="AJ27" i="4" a="1"/>
  <c r="AB79" i="4" a="1"/>
  <c r="AA79" i="4" a="1"/>
  <c r="AN64" i="4" a="1"/>
  <c r="AO64" i="4" a="1"/>
  <c r="AI36" i="4" a="1"/>
  <c r="AJ36" i="4" a="1"/>
  <c r="AF30" i="4" a="1"/>
  <c r="AG30" i="4" a="1"/>
  <c r="AG17" i="4" a="1"/>
  <c r="AF17" i="4" a="1"/>
  <c r="B93" i="1" a="1"/>
  <c r="B61" i="1" a="1"/>
  <c r="B52" i="1" a="1"/>
  <c r="B26" i="1" a="1"/>
  <c r="B77" i="1" a="1"/>
  <c r="B29" i="1" a="1"/>
  <c r="AA71" i="4" a="1"/>
  <c r="AB71" i="4" a="1"/>
  <c r="AI7" i="4" a="1"/>
  <c r="AJ7" i="4" a="1"/>
  <c r="AA89" i="4" a="1"/>
  <c r="AB89" i="4" a="1"/>
  <c r="AF75" i="4" a="1"/>
  <c r="AG75" i="4" a="1"/>
  <c r="AF13" i="4" a="1"/>
  <c r="AG13" i="4" a="1"/>
  <c r="AI61" i="4" a="1"/>
  <c r="AJ61" i="4" a="1"/>
  <c r="AA52" i="4" a="1"/>
  <c r="AB52" i="4" a="1"/>
  <c r="AG24" i="4" a="1"/>
  <c r="AF24" i="4" a="1"/>
  <c r="AA34" i="4" a="1"/>
  <c r="AB34" i="4" a="1"/>
  <c r="AB39" i="4" a="1"/>
  <c r="AA39" i="4" a="1"/>
  <c r="AI65" i="4" a="1"/>
  <c r="AJ65" i="4" a="1"/>
  <c r="AB65" i="4" a="1"/>
  <c r="AA65" i="4" a="1"/>
  <c r="AF29" i="4" a="1"/>
  <c r="AG29" i="4" a="1"/>
  <c r="AG85" i="4" a="1"/>
  <c r="AF85" i="4" a="1"/>
  <c r="AJ81" i="4" a="1"/>
  <c r="AI81" i="4" a="1"/>
  <c r="AI44" i="4" a="1"/>
  <c r="AJ44" i="4" a="1"/>
  <c r="AN38" i="4" a="1"/>
  <c r="AO38" i="4" a="1"/>
  <c r="AG84" i="4" a="1"/>
  <c r="AF84" i="4" a="1"/>
  <c r="AJ68" i="4" a="1"/>
  <c r="AI68" i="4" a="1"/>
  <c r="AG69" i="4" a="1"/>
  <c r="AF69" i="4" a="1"/>
  <c r="AA69" i="4" a="1"/>
  <c r="AB69" i="4" a="1"/>
  <c r="AJ78" i="4" a="1"/>
  <c r="AI78" i="4" a="1"/>
  <c r="AG20" i="4" a="1"/>
  <c r="AF20" i="4" a="1"/>
  <c r="AJ66" i="4" a="1"/>
  <c r="AI66" i="4" a="1"/>
  <c r="AA63" i="4" a="1"/>
  <c r="AB63" i="4" a="1"/>
  <c r="AF50" i="4" a="1"/>
  <c r="AG50" i="4" a="1"/>
  <c r="AF36" i="4" a="1"/>
  <c r="AG36" i="4" a="1"/>
  <c r="AJ16" i="4" a="1"/>
  <c r="AI16" i="4" a="1"/>
  <c r="AI48" i="4" a="1"/>
  <c r="AJ48" i="4" a="1"/>
  <c r="B71" i="1" a="1"/>
  <c r="B6" i="1" a="1"/>
  <c r="B18" i="1" a="1"/>
  <c r="B84" i="1" a="1"/>
  <c r="B67" i="1" a="1"/>
  <c r="B56" i="1" a="1"/>
  <c r="B54" i="1" a="1"/>
  <c r="B14" i="1" a="1"/>
  <c r="B62" i="1" a="1"/>
  <c r="B53" i="1" a="1"/>
  <c r="B15" i="1" a="1"/>
  <c r="B78" i="1" a="1"/>
  <c r="B44" i="1" a="1"/>
  <c r="B45" i="1" a="1"/>
  <c r="B90" i="1" a="1"/>
  <c r="B66" i="1" a="1"/>
  <c r="B47" i="1" a="1"/>
  <c r="B28" i="1" a="1"/>
  <c r="B33" i="1" a="1"/>
  <c r="B57" i="1" a="1"/>
  <c r="B41" i="1" a="1"/>
  <c r="CL60" i="4" a="1"/>
  <c r="AM60" i="4" a="1"/>
  <c r="CG60" i="4" a="1"/>
  <c r="CH60" i="4"/>
  <c r="CN60" i="4" a="1"/>
  <c r="AC60" i="4" a="1"/>
  <c r="CQ60" i="4"/>
  <c r="BP60" i="4" a="1"/>
  <c r="CM60" i="4" a="1"/>
  <c r="CD60" i="4" a="1"/>
  <c r="CI60" i="4" a="1"/>
  <c r="CJ60" i="4" a="1"/>
  <c r="AK60" i="4" a="1"/>
  <c r="BN60" i="4" a="1"/>
  <c r="CE60" i="4" a="1"/>
  <c r="CT60" i="4"/>
  <c r="AE60" i="4" a="1"/>
  <c r="CK60" i="4" a="1"/>
  <c r="CC60" i="4" a="1"/>
  <c r="CF60" i="4" a="1"/>
  <c r="CB60" i="4" a="1"/>
  <c r="B86" i="1" a="1"/>
  <c r="B21" i="1" a="1"/>
  <c r="B25" i="1" a="1"/>
  <c r="B72" i="1" a="1"/>
  <c r="B92" i="1" a="1"/>
  <c r="B83" i="1" a="1"/>
  <c r="B63" i="1" a="1"/>
  <c r="B40" i="1" a="1"/>
  <c r="B64" i="1" a="1"/>
  <c r="B35" i="1" a="1"/>
  <c r="BI9" i="4" a="1"/>
  <c r="DF9" i="4" a="1"/>
  <c r="B74" i="1" a="1"/>
  <c r="BI4" i="4" a="1"/>
  <c r="DF4" i="4" a="1"/>
  <c r="B31" i="1" a="1"/>
  <c r="B85" i="1" a="1"/>
  <c r="B73" i="1" a="1"/>
  <c r="B69" i="1" a="1"/>
  <c r="B87" i="1" a="1"/>
  <c r="B22" i="1" a="1"/>
  <c r="B80" i="1" a="1"/>
  <c r="B42" i="1" a="1"/>
  <c r="B20" i="1" a="1"/>
  <c r="B27" i="1" a="1"/>
  <c r="B50" i="1" a="1"/>
  <c r="B17" i="1" a="1"/>
  <c r="B81" i="1" a="1"/>
  <c r="B19" i="1" a="1"/>
  <c r="B12" i="1" a="1"/>
  <c r="B46" i="1" a="1"/>
  <c r="B79" i="1" a="1"/>
  <c r="B36" i="1" a="1"/>
  <c r="B30" i="1" a="1"/>
  <c r="B51" i="1" a="1"/>
  <c r="B16" i="1" a="1"/>
  <c r="B48" i="1" a="1"/>
  <c r="B49" i="1" a="1"/>
  <c r="B32" i="1" a="1"/>
  <c r="B38" i="1" a="1"/>
  <c r="B68" i="1" a="1"/>
  <c r="CR23" i="4" a="1"/>
  <c r="CS23" i="4" a="1"/>
  <c r="CP23" i="4" a="1"/>
  <c r="CO23" i="4" a="1"/>
  <c r="CP60" i="4" a="1"/>
  <c r="CO60" i="4" a="1"/>
  <c r="CS60" i="4" a="1"/>
  <c r="CR60" i="4" a="1"/>
  <c r="CB17" i="71" l="1"/>
  <c r="DR34" i="71"/>
  <c r="H32" i="9"/>
  <c r="DR9" i="71"/>
  <c r="H43" i="9"/>
  <c r="DR18" i="71"/>
  <c r="AS30" i="4"/>
  <c r="AV632" i="13" s="1"/>
  <c r="AS41" i="4"/>
  <c r="AV643" i="13" s="1"/>
  <c r="AS49" i="4"/>
  <c r="AV651" i="13" s="1"/>
  <c r="DR8" i="71"/>
  <c r="DR32" i="71"/>
  <c r="DR11" i="71"/>
  <c r="DS38" i="71"/>
  <c r="CB4" i="71"/>
  <c r="AU9" i="71"/>
  <c r="AS45" i="4"/>
  <c r="AV647" i="13" s="1"/>
  <c r="Z1852" i="13"/>
  <c r="B1852" i="13" s="1" a="1"/>
  <c r="B1852" i="13" s="1"/>
  <c r="Z1838" i="13"/>
  <c r="B1838" i="13" s="1" a="1"/>
  <c r="B1838" i="13" s="1"/>
  <c r="H29" i="9"/>
  <c r="AS44" i="4"/>
  <c r="AV646" i="13" s="1"/>
  <c r="BS20" i="71"/>
  <c r="AU22" i="71"/>
  <c r="H9" i="27"/>
  <c r="H8" i="27"/>
  <c r="BS94" i="4"/>
  <c r="BS18" i="71"/>
  <c r="H4" i="71"/>
  <c r="AU4" i="71"/>
  <c r="AU14" i="71"/>
  <c r="N37" i="71"/>
  <c r="AU33" i="71"/>
  <c r="BT38" i="71"/>
  <c r="AU12" i="71"/>
  <c r="AU19" i="71"/>
  <c r="AU21" i="71"/>
  <c r="BK9" i="4"/>
  <c r="BJ9" i="4"/>
  <c r="BK10" i="4"/>
  <c r="BJ10" i="4"/>
  <c r="BK4" i="4"/>
  <c r="BJ4" i="4"/>
  <c r="BK3" i="4"/>
  <c r="BL3" i="4" s="1"/>
  <c r="BJ3" i="4"/>
  <c r="AS53" i="4"/>
  <c r="AV655" i="13" s="1"/>
  <c r="AS48" i="4"/>
  <c r="AV650" i="13" s="1"/>
  <c r="H55" i="9"/>
  <c r="H54" i="9"/>
  <c r="AS52" i="4"/>
  <c r="AV654" i="13" s="1"/>
  <c r="H38" i="9"/>
  <c r="Z1851" i="13"/>
  <c r="B1851" i="13" s="1" a="1"/>
  <c r="B1851" i="13" s="1"/>
  <c r="EM17" i="71"/>
  <c r="AS7" i="4"/>
  <c r="AV609" i="13" s="1"/>
  <c r="Z1844" i="13"/>
  <c r="B1844" i="13" s="1" a="1"/>
  <c r="B1844" i="13" s="1"/>
  <c r="Z1840" i="13"/>
  <c r="B1840" i="13" s="1" a="1"/>
  <c r="B1840" i="13" s="1"/>
  <c r="H46" i="9"/>
  <c r="AL4" i="4"/>
  <c r="I4" i="69" s="1"/>
  <c r="Z1813" i="13"/>
  <c r="B1813" i="13" s="1" a="1"/>
  <c r="B1813" i="13" s="1"/>
  <c r="C19" i="27"/>
  <c r="AV312" i="13"/>
  <c r="AV412" i="13" s="1"/>
  <c r="AL10" i="72"/>
  <c r="AL9" i="72"/>
  <c r="B44" i="14"/>
  <c r="B45" i="23"/>
  <c r="F48" i="14"/>
  <c r="P48" i="14" s="1"/>
  <c r="Z48" i="14" s="1"/>
  <c r="B49" i="14"/>
  <c r="B47" i="23"/>
  <c r="B46" i="23"/>
  <c r="BW69" i="4"/>
  <c r="F47" i="23"/>
  <c r="P47" i="23" s="1"/>
  <c r="Z47" i="23" s="1"/>
  <c r="BW57" i="4"/>
  <c r="F46" i="14"/>
  <c r="P46" i="14" s="1"/>
  <c r="Z46" i="14" s="1"/>
  <c r="BW24" i="4"/>
  <c r="F46" i="23"/>
  <c r="P46" i="23" s="1"/>
  <c r="Z46" i="23" s="1"/>
  <c r="F44" i="14"/>
  <c r="P44" i="14" s="1"/>
  <c r="Z44" i="14" s="1"/>
  <c r="BW47" i="4"/>
  <c r="BW49" i="4"/>
  <c r="BW43" i="4"/>
  <c r="BW46" i="4"/>
  <c r="BW54" i="4"/>
  <c r="BW71" i="4"/>
  <c r="BW65" i="4"/>
  <c r="F45" i="23"/>
  <c r="P45" i="23" s="1"/>
  <c r="Z45" i="23" s="1"/>
  <c r="BW35" i="4"/>
  <c r="BW61" i="4"/>
  <c r="F47" i="14"/>
  <c r="P47" i="14" s="1"/>
  <c r="Z47" i="14" s="1"/>
  <c r="BW79" i="4"/>
  <c r="BW90" i="4"/>
  <c r="BW38" i="4"/>
  <c r="BW34" i="4"/>
  <c r="BW51" i="4"/>
  <c r="BW21" i="4"/>
  <c r="BW26" i="4"/>
  <c r="BW13" i="4"/>
  <c r="BW86" i="4"/>
  <c r="BW11" i="4"/>
  <c r="BW67" i="4"/>
  <c r="BH10" i="69"/>
  <c r="BW48" i="4"/>
  <c r="BW66" i="4"/>
  <c r="BW18" i="4"/>
  <c r="BW37" i="4"/>
  <c r="BW7" i="4"/>
  <c r="BW76" i="4"/>
  <c r="F44" i="23"/>
  <c r="BW91" i="4"/>
  <c r="BW62" i="4"/>
  <c r="BW42" i="4"/>
  <c r="BW8" i="4"/>
  <c r="F45" i="14"/>
  <c r="P45" i="14" s="1"/>
  <c r="Z45" i="14" s="1"/>
  <c r="BW87" i="4"/>
  <c r="BW14" i="4"/>
  <c r="AF10" i="72" a="1"/>
  <c r="AF10" i="72" s="1"/>
  <c r="AJ10" i="72" s="1" a="1"/>
  <c r="AJ10" i="72" s="1"/>
  <c r="BW33" i="4"/>
  <c r="BW68" i="4"/>
  <c r="B48" i="14"/>
  <c r="AS17" i="4"/>
  <c r="AV619" i="13" s="1"/>
  <c r="H19" i="9"/>
  <c r="H33" i="71"/>
  <c r="CB20" i="71"/>
  <c r="H41" i="9"/>
  <c r="AS50" i="4"/>
  <c r="AV652" i="13" s="1"/>
  <c r="Z94" i="69"/>
  <c r="H33" i="9"/>
  <c r="H32" i="71"/>
  <c r="H22" i="71"/>
  <c r="BW22" i="4"/>
  <c r="AH4" i="4"/>
  <c r="AV1300" i="13" s="1"/>
  <c r="M58" i="4"/>
  <c r="AS22" i="4"/>
  <c r="AV624" i="13" s="1"/>
  <c r="Z1848" i="13"/>
  <c r="B1848" i="13" s="1" a="1"/>
  <c r="B1848" i="13" s="1"/>
  <c r="Z1818" i="13"/>
  <c r="B1818" i="13" s="1" a="1"/>
  <c r="B1818" i="13" s="1"/>
  <c r="Z1819" i="13"/>
  <c r="B1819" i="13" s="1" a="1"/>
  <c r="B1819" i="13" s="1"/>
  <c r="H21" i="71"/>
  <c r="CB11" i="71"/>
  <c r="H28" i="9"/>
  <c r="BW73" i="4"/>
  <c r="H49" i="9"/>
  <c r="V95" i="69"/>
  <c r="H50" i="9"/>
  <c r="H52" i="9"/>
  <c r="Z1810" i="13"/>
  <c r="B1810" i="13" s="1" a="1"/>
  <c r="B1810" i="13" s="1"/>
  <c r="H22" i="9"/>
  <c r="H29" i="71"/>
  <c r="H23" i="71"/>
  <c r="CB6" i="71"/>
  <c r="AS29" i="4"/>
  <c r="AV631" i="13" s="1"/>
  <c r="BW27" i="4"/>
  <c r="BW20" i="4"/>
  <c r="H16" i="9"/>
  <c r="H56" i="9"/>
  <c r="H19" i="71"/>
  <c r="H7" i="9"/>
  <c r="I62" i="4"/>
  <c r="BS79" i="4"/>
  <c r="AS27" i="4"/>
  <c r="AV629" i="13" s="1"/>
  <c r="AS31" i="4"/>
  <c r="AV633" i="13" s="1"/>
  <c r="H10" i="71"/>
  <c r="BL9" i="72"/>
  <c r="H7" i="71"/>
  <c r="H36" i="71"/>
  <c r="AS5" i="4"/>
  <c r="AV607" i="13" s="1"/>
  <c r="H39" i="9"/>
  <c r="Z1814" i="13"/>
  <c r="B1814" i="13" s="1" a="1"/>
  <c r="B1814" i="13" s="1"/>
  <c r="A64" i="4"/>
  <c r="Z1826" i="13"/>
  <c r="B1826" i="13" s="1" a="1"/>
  <c r="B1826" i="13" s="1"/>
  <c r="Z1831" i="13"/>
  <c r="B1831" i="13" s="1" a="1"/>
  <c r="B1831" i="13" s="1"/>
  <c r="EM34" i="71"/>
  <c r="AF9" i="72" a="1"/>
  <c r="AF9" i="72" s="1"/>
  <c r="AJ9" i="72" s="1" a="1"/>
  <c r="AJ9" i="72" s="1"/>
  <c r="H14" i="71"/>
  <c r="H5" i="71"/>
  <c r="AS37" i="4"/>
  <c r="AV639" i="13" s="1"/>
  <c r="H44" i="9"/>
  <c r="H9" i="9"/>
  <c r="AS51" i="4"/>
  <c r="AV653" i="13" s="1"/>
  <c r="Z1846" i="13"/>
  <c r="B1846" i="13" s="1" a="1"/>
  <c r="B1846" i="13" s="1"/>
  <c r="BS74" i="4"/>
  <c r="Z1817" i="13"/>
  <c r="B1817" i="13" s="1" a="1"/>
  <c r="B1817" i="13" s="1"/>
  <c r="AS42" i="4"/>
  <c r="AV644" i="13" s="1"/>
  <c r="H15" i="71"/>
  <c r="Z1850" i="13"/>
  <c r="B1850" i="13" s="1" a="1"/>
  <c r="B1850" i="13" s="1"/>
  <c r="M10" i="69"/>
  <c r="BW6" i="4"/>
  <c r="BW64" i="4"/>
  <c r="BW80" i="4"/>
  <c r="BW70" i="4"/>
  <c r="B49" i="23"/>
  <c r="B48" i="23"/>
  <c r="T10" i="72"/>
  <c r="F49" i="14"/>
  <c r="P49" i="14" s="1"/>
  <c r="Z49" i="14" s="1"/>
  <c r="AE9" i="69" a="1"/>
  <c r="AE9" i="69" s="1"/>
  <c r="T10" i="69"/>
  <c r="BS10" i="69" s="1"/>
  <c r="AV9" i="72"/>
  <c r="M10" i="72"/>
  <c r="CR60" i="4"/>
  <c r="CS60" i="4"/>
  <c r="CO60" i="4"/>
  <c r="CP60" i="4"/>
  <c r="CO23" i="4"/>
  <c r="CP23" i="4"/>
  <c r="CS23" i="4"/>
  <c r="CR23" i="4"/>
  <c r="B68" i="1"/>
  <c r="B38" i="1"/>
  <c r="B32" i="1"/>
  <c r="B49" i="1"/>
  <c r="B48" i="1"/>
  <c r="B16" i="1"/>
  <c r="B51" i="1"/>
  <c r="B30" i="1"/>
  <c r="B36" i="1"/>
  <c r="B79" i="1"/>
  <c r="B46" i="1"/>
  <c r="B12" i="1"/>
  <c r="B19" i="1"/>
  <c r="B81" i="1"/>
  <c r="B17" i="1"/>
  <c r="B50" i="1"/>
  <c r="B27" i="1"/>
  <c r="B20" i="1"/>
  <c r="B42" i="1"/>
  <c r="B80" i="1"/>
  <c r="B22" i="1"/>
  <c r="B87" i="1"/>
  <c r="B69" i="1"/>
  <c r="B73" i="1"/>
  <c r="B85" i="1"/>
  <c r="B31" i="1"/>
  <c r="DF4" i="4"/>
  <c r="BI4" i="4"/>
  <c r="B74" i="1"/>
  <c r="DF9" i="4"/>
  <c r="BI9" i="4"/>
  <c r="B35" i="1"/>
  <c r="B64" i="1"/>
  <c r="B40" i="1"/>
  <c r="B63" i="1"/>
  <c r="B83" i="1"/>
  <c r="B92" i="1"/>
  <c r="B72" i="1"/>
  <c r="B25" i="1"/>
  <c r="B21" i="1"/>
  <c r="B86" i="1"/>
  <c r="CB60" i="4"/>
  <c r="CF60" i="4"/>
  <c r="CC60" i="4"/>
  <c r="CK60" i="4"/>
  <c r="AE60" i="4"/>
  <c r="CE60" i="4"/>
  <c r="BN60" i="4"/>
  <c r="AK60" i="4"/>
  <c r="CJ60" i="4"/>
  <c r="CI60" i="4"/>
  <c r="CD60" i="4"/>
  <c r="CM60" i="4"/>
  <c r="BP60" i="4"/>
  <c r="AC60" i="4"/>
  <c r="CN60" i="4"/>
  <c r="CG60" i="4"/>
  <c r="AM60" i="4"/>
  <c r="CL60" i="4"/>
  <c r="B41" i="1"/>
  <c r="B57" i="1"/>
  <c r="B33" i="1"/>
  <c r="B28" i="1"/>
  <c r="B47" i="1"/>
  <c r="B66" i="1"/>
  <c r="B90" i="1"/>
  <c r="B45" i="1"/>
  <c r="B44" i="1"/>
  <c r="B78" i="1"/>
  <c r="B15" i="1"/>
  <c r="B53" i="1"/>
  <c r="B62" i="1"/>
  <c r="B14" i="1"/>
  <c r="B54" i="1"/>
  <c r="B56" i="1"/>
  <c r="B67" i="1"/>
  <c r="B84" i="1"/>
  <c r="B18" i="1"/>
  <c r="B6" i="1"/>
  <c r="B71" i="1"/>
  <c r="AJ48" i="4"/>
  <c r="AI48" i="4"/>
  <c r="AI16" i="4"/>
  <c r="AJ16" i="4"/>
  <c r="AG36" i="4"/>
  <c r="AF36" i="4"/>
  <c r="AG50" i="4"/>
  <c r="AF50" i="4"/>
  <c r="AB63" i="4"/>
  <c r="AA63" i="4"/>
  <c r="AI66" i="4"/>
  <c r="AJ66" i="4"/>
  <c r="AF20" i="4"/>
  <c r="AG20" i="4"/>
  <c r="AI78" i="4"/>
  <c r="AJ78" i="4"/>
  <c r="AB69" i="4"/>
  <c r="AA69" i="4"/>
  <c r="AF69" i="4"/>
  <c r="AG69" i="4"/>
  <c r="AI68" i="4"/>
  <c r="AJ68" i="4"/>
  <c r="AF84" i="4"/>
  <c r="AG84" i="4"/>
  <c r="AO38" i="4"/>
  <c r="AN38" i="4"/>
  <c r="AJ44" i="4"/>
  <c r="AI44" i="4"/>
  <c r="AI81" i="4"/>
  <c r="AJ81" i="4"/>
  <c r="AF85" i="4"/>
  <c r="AG85" i="4"/>
  <c r="AG29" i="4"/>
  <c r="AF29" i="4"/>
  <c r="AA65" i="4"/>
  <c r="AB65" i="4"/>
  <c r="AJ65" i="4"/>
  <c r="AI65" i="4"/>
  <c r="AA39" i="4"/>
  <c r="DB39" i="4" s="1"/>
  <c r="AB39" i="4"/>
  <c r="AB34" i="4"/>
  <c r="AA34" i="4"/>
  <c r="DB34" i="4" s="1"/>
  <c r="AF24" i="4"/>
  <c r="AG24" i="4"/>
  <c r="AB52" i="4"/>
  <c r="AA52" i="4"/>
  <c r="DB52" i="4" s="1"/>
  <c r="AJ61" i="4"/>
  <c r="AI61" i="4"/>
  <c r="AG13" i="4"/>
  <c r="AF13" i="4"/>
  <c r="AG75" i="4"/>
  <c r="AF75" i="4"/>
  <c r="AB89" i="4"/>
  <c r="AA89" i="4"/>
  <c r="AJ7" i="4"/>
  <c r="AI7" i="4"/>
  <c r="AB71" i="4"/>
  <c r="AA71" i="4"/>
  <c r="B29" i="1"/>
  <c r="B77" i="1"/>
  <c r="B26" i="1"/>
  <c r="B52" i="1"/>
  <c r="B61" i="1"/>
  <c r="B93" i="1"/>
  <c r="AF17" i="4"/>
  <c r="AG17" i="4"/>
  <c r="AG30" i="4"/>
  <c r="AF30" i="4"/>
  <c r="AJ36" i="4"/>
  <c r="AI36" i="4"/>
  <c r="AO64" i="4"/>
  <c r="AN64" i="4"/>
  <c r="AA79" i="4"/>
  <c r="AB79" i="4"/>
  <c r="AJ27" i="4"/>
  <c r="AI27" i="4"/>
  <c r="AN14" i="4"/>
  <c r="AO14" i="4"/>
  <c r="AI63" i="4"/>
  <c r="AJ63" i="4"/>
  <c r="AG78" i="4"/>
  <c r="AF78" i="4"/>
  <c r="AA83" i="4"/>
  <c r="AB83" i="4"/>
  <c r="AF57" i="4"/>
  <c r="AG57" i="4"/>
  <c r="AJ38" i="4"/>
  <c r="AI38" i="4"/>
  <c r="AI31" i="4"/>
  <c r="AJ31" i="4"/>
  <c r="AB72" i="4"/>
  <c r="AA72" i="4"/>
  <c r="AN72" i="4"/>
  <c r="AO72" i="4"/>
  <c r="AI24" i="4"/>
  <c r="AJ24" i="4"/>
  <c r="AO61" i="4"/>
  <c r="AN61" i="4"/>
  <c r="AF61" i="4"/>
  <c r="AG61" i="4"/>
  <c r="AB75" i="4"/>
  <c r="AA75" i="4"/>
  <c r="AB6" i="4"/>
  <c r="AA6" i="4"/>
  <c r="DB6" i="4" s="1"/>
  <c r="AG59" i="4"/>
  <c r="AF59" i="4"/>
  <c r="AN71" i="4"/>
  <c r="AO71" i="4"/>
  <c r="AF88" i="4"/>
  <c r="AG88" i="4"/>
  <c r="B11" i="1"/>
  <c r="B91" i="1"/>
  <c r="AA47" i="4"/>
  <c r="DB47" i="4" s="1"/>
  <c r="AB47" i="4"/>
  <c r="AJ51" i="4"/>
  <c r="AI51" i="4"/>
  <c r="AB30" i="4"/>
  <c r="AA30" i="4"/>
  <c r="DB30" i="4" s="1"/>
  <c r="AN30" i="4"/>
  <c r="AO30" i="4"/>
  <c r="AJ64" i="4"/>
  <c r="AI64" i="4"/>
  <c r="AG87" i="4"/>
  <c r="AF87" i="4"/>
  <c r="AN78" i="4"/>
  <c r="AO78" i="4"/>
  <c r="AA53" i="4"/>
  <c r="DB53" i="4" s="1"/>
  <c r="AB53" i="4"/>
  <c r="AA54" i="4"/>
  <c r="DB54" i="4" s="1"/>
  <c r="AB54" i="4"/>
  <c r="AI54" i="4"/>
  <c r="AJ54" i="4"/>
  <c r="AG12" i="4"/>
  <c r="AF12" i="4"/>
  <c r="AG56" i="4"/>
  <c r="AF56" i="4"/>
  <c r="AN56" i="4"/>
  <c r="AO56" i="4"/>
  <c r="AF90" i="4"/>
  <c r="AG90" i="4"/>
  <c r="AJ28" i="4"/>
  <c r="AI28" i="4"/>
  <c r="AO67" i="4"/>
  <c r="AN67" i="4"/>
  <c r="AB44" i="4"/>
  <c r="AA44" i="4"/>
  <c r="DB44" i="4" s="1"/>
  <c r="AB80" i="4"/>
  <c r="AA80" i="4"/>
  <c r="AG92" i="4"/>
  <c r="AF92" i="4"/>
  <c r="AI86" i="4"/>
  <c r="AJ86" i="4"/>
  <c r="AG18" i="4"/>
  <c r="AF18" i="4"/>
  <c r="AI77" i="4"/>
  <c r="AJ77" i="4"/>
  <c r="AO43" i="4"/>
  <c r="AN43" i="4"/>
  <c r="AJ52" i="4"/>
  <c r="AI52" i="4"/>
  <c r="AG89" i="4"/>
  <c r="AF89" i="4"/>
  <c r="AG7" i="4"/>
  <c r="AF7" i="4"/>
  <c r="AI88" i="4"/>
  <c r="AJ88" i="4"/>
  <c r="AN17" i="4"/>
  <c r="AO17" i="4"/>
  <c r="AF35" i="4"/>
  <c r="AG35" i="4"/>
  <c r="AN35" i="4"/>
  <c r="AO35" i="4"/>
  <c r="AN16" i="4"/>
  <c r="AO16" i="4"/>
  <c r="AI50" i="4"/>
  <c r="AJ50" i="4"/>
  <c r="AB27" i="4"/>
  <c r="AA27" i="4"/>
  <c r="DB27" i="4" s="1"/>
  <c r="AA22" i="4"/>
  <c r="DB22" i="4" s="1"/>
  <c r="AB22" i="4"/>
  <c r="AN74" i="4"/>
  <c r="AO74" i="4"/>
  <c r="AN66" i="4"/>
  <c r="AO66" i="4"/>
  <c r="AF54" i="4"/>
  <c r="AG54" i="4"/>
  <c r="AI57" i="4"/>
  <c r="AJ57" i="4"/>
  <c r="AF28" i="4"/>
  <c r="AG28" i="4"/>
  <c r="AO86" i="4"/>
  <c r="AN86" i="4"/>
  <c r="AB86" i="4"/>
  <c r="AA86" i="4"/>
  <c r="AO31" i="4"/>
  <c r="AN31" i="4"/>
  <c r="AN49" i="4"/>
  <c r="AO49" i="4"/>
  <c r="AF72" i="4"/>
  <c r="AG72" i="4"/>
  <c r="AB5" i="4"/>
  <c r="AA5" i="4"/>
  <c r="DB5" i="4" s="1"/>
  <c r="AO18" i="4"/>
  <c r="AN18" i="4"/>
  <c r="AO34" i="4"/>
  <c r="AN34" i="4"/>
  <c r="AB24" i="4"/>
  <c r="AA24" i="4"/>
  <c r="DB24" i="4" s="1"/>
  <c r="AO26" i="4"/>
  <c r="AN26" i="4"/>
  <c r="AF52" i="4"/>
  <c r="AG52" i="4"/>
  <c r="AO82" i="4"/>
  <c r="AN82" i="4"/>
  <c r="AJ89" i="4"/>
  <c r="AI89" i="4"/>
  <c r="AB7" i="4"/>
  <c r="AA7" i="4"/>
  <c r="DB7" i="4" s="1"/>
  <c r="AF91" i="4"/>
  <c r="AG91" i="4"/>
  <c r="AA8" i="4"/>
  <c r="DB8" i="4" s="1"/>
  <c r="AB8" i="4"/>
  <c r="BI3" i="4"/>
  <c r="DF3" i="4"/>
  <c r="B70" i="1"/>
  <c r="AF47" i="4"/>
  <c r="AG47" i="4"/>
  <c r="AO51" i="4"/>
  <c r="AN51" i="4"/>
  <c r="AB64" i="4"/>
  <c r="AA64" i="4"/>
  <c r="AN22" i="4"/>
  <c r="AO22" i="4"/>
  <c r="AG22" i="4"/>
  <c r="AF22" i="4"/>
  <c r="AB14" i="4"/>
  <c r="AA14" i="4"/>
  <c r="DB14" i="4" s="1"/>
  <c r="AJ14" i="4"/>
  <c r="AI14" i="4"/>
  <c r="AN15" i="4"/>
  <c r="AO15" i="4"/>
  <c r="AJ83" i="4"/>
  <c r="AI83" i="4"/>
  <c r="AG83" i="4"/>
  <c r="AF83" i="4"/>
  <c r="AB41" i="4"/>
  <c r="AA41" i="4"/>
  <c r="DB41" i="4" s="1"/>
  <c r="AB12" i="4"/>
  <c r="AA12" i="4"/>
  <c r="DB12" i="4" s="1"/>
  <c r="AG68" i="4"/>
  <c r="AF68" i="4"/>
  <c r="AN68" i="4"/>
  <c r="AO68" i="4"/>
  <c r="AI73" i="4"/>
  <c r="AJ73" i="4"/>
  <c r="AB45" i="4"/>
  <c r="AA45" i="4"/>
  <c r="DB45" i="4" s="1"/>
  <c r="AB21" i="4"/>
  <c r="AA21" i="4"/>
  <c r="DB21" i="4" s="1"/>
  <c r="AO85" i="4"/>
  <c r="AN85" i="4"/>
  <c r="AJ49" i="4"/>
  <c r="AI49" i="4"/>
  <c r="AI29" i="4"/>
  <c r="AJ29" i="4"/>
  <c r="AB18" i="4"/>
  <c r="AA18" i="4"/>
  <c r="DB18" i="4" s="1"/>
  <c r="AO77" i="4"/>
  <c r="AN77" i="4"/>
  <c r="AJ26" i="4"/>
  <c r="AI26" i="4"/>
  <c r="AG26" i="4"/>
  <c r="AF26" i="4"/>
  <c r="AA37" i="4"/>
  <c r="DB37" i="4" s="1"/>
  <c r="AB37" i="4"/>
  <c r="AN75" i="4"/>
  <c r="AO75" i="4"/>
  <c r="AO70" i="4"/>
  <c r="AN70" i="4"/>
  <c r="AA93" i="4"/>
  <c r="AB93" i="4"/>
  <c r="AN91" i="4"/>
  <c r="AO91" i="4"/>
  <c r="AB88" i="4"/>
  <c r="AA88" i="4"/>
  <c r="AI30" i="4"/>
  <c r="AJ30" i="4"/>
  <c r="AO62" i="4"/>
  <c r="AN62" i="4"/>
  <c r="AI35" i="4"/>
  <c r="AJ35" i="4"/>
  <c r="AA50" i="4"/>
  <c r="DB50" i="4" s="1"/>
  <c r="AB50" i="4"/>
  <c r="AG63" i="4"/>
  <c r="AF63" i="4"/>
  <c r="AB46" i="4"/>
  <c r="AA46" i="4"/>
  <c r="DB46" i="4" s="1"/>
  <c r="AJ15" i="4"/>
  <c r="AI15" i="4"/>
  <c r="AI69" i="4"/>
  <c r="AJ69" i="4"/>
  <c r="AN57" i="4"/>
  <c r="AO57" i="4"/>
  <c r="AI45" i="4"/>
  <c r="AJ45" i="4"/>
  <c r="AB28" i="4"/>
  <c r="AA28" i="4"/>
  <c r="DB28" i="4" s="1"/>
  <c r="AA84" i="4"/>
  <c r="AB84" i="4"/>
  <c r="AJ19" i="4"/>
  <c r="AI19" i="4"/>
  <c r="AG44" i="4"/>
  <c r="AF44" i="4"/>
  <c r="AN21" i="4"/>
  <c r="AO21" i="4"/>
  <c r="AB92" i="4"/>
  <c r="AA92" i="4"/>
  <c r="AF31" i="4"/>
  <c r="AG31" i="4"/>
  <c r="AI34" i="4"/>
  <c r="AJ34" i="4"/>
  <c r="AO11" i="4"/>
  <c r="AN11" i="4"/>
  <c r="AO13" i="4"/>
  <c r="AN13" i="4"/>
  <c r="AF93" i="4"/>
  <c r="AG93" i="4"/>
  <c r="AO7" i="4"/>
  <c r="AN7" i="4"/>
  <c r="B5" i="1"/>
  <c r="B65" i="1"/>
  <c r="B37" i="1"/>
  <c r="B13" i="1"/>
  <c r="AA17" i="4"/>
  <c r="DB17" i="4" s="1"/>
  <c r="AB17" i="4"/>
  <c r="AF48" i="4"/>
  <c r="AG48" i="4"/>
  <c r="AB62" i="4"/>
  <c r="AA62" i="4"/>
  <c r="AG62" i="4"/>
  <c r="AF62" i="4"/>
  <c r="AJ79" i="4"/>
  <c r="AI79" i="4"/>
  <c r="AG32" i="4"/>
  <c r="AF32" i="4"/>
  <c r="AN83" i="4"/>
  <c r="AO83" i="4"/>
  <c r="AF41" i="4"/>
  <c r="AG41" i="4"/>
  <c r="AJ12" i="4"/>
  <c r="AI12" i="4"/>
  <c r="AG73" i="4"/>
  <c r="AF73" i="4"/>
  <c r="AN73" i="4"/>
  <c r="AO73" i="4"/>
  <c r="AB90" i="4"/>
  <c r="AA90" i="4"/>
  <c r="AF45" i="4"/>
  <c r="AG45" i="4"/>
  <c r="AI42" i="4"/>
  <c r="AJ42" i="4"/>
  <c r="AG38" i="4"/>
  <c r="AF38" i="4"/>
  <c r="AB81" i="4"/>
  <c r="AA81" i="4"/>
  <c r="AF49" i="4"/>
  <c r="AG49" i="4"/>
  <c r="AF5" i="4"/>
  <c r="AG5" i="4"/>
  <c r="AG77" i="4"/>
  <c r="AF77" i="4"/>
  <c r="AG11" i="4"/>
  <c r="AF11" i="4"/>
  <c r="AA13" i="4"/>
  <c r="DB13" i="4" s="1"/>
  <c r="AB13" i="4"/>
  <c r="AJ76" i="4"/>
  <c r="AI76" i="4"/>
  <c r="AN93" i="4"/>
  <c r="AO93" i="4"/>
  <c r="B34" i="1"/>
  <c r="B82" i="1"/>
  <c r="B89" i="1"/>
  <c r="CC23" i="4"/>
  <c r="CG23" i="4"/>
  <c r="F48" i="23" s="1"/>
  <c r="P48" i="23" s="1"/>
  <c r="Z48" i="23" s="1"/>
  <c r="CM23" i="4"/>
  <c r="BP23" i="4"/>
  <c r="AK23" i="4"/>
  <c r="BN23" i="4"/>
  <c r="CB23" i="4"/>
  <c r="AM23" i="4"/>
  <c r="AE23" i="4"/>
  <c r="CF23" i="4"/>
  <c r="CJ23" i="4"/>
  <c r="CE23" i="4"/>
  <c r="CN23" i="4"/>
  <c r="F49" i="23" s="1"/>
  <c r="P49" i="23" s="1"/>
  <c r="Z49" i="23" s="1"/>
  <c r="AC23" i="4"/>
  <c r="CD23" i="4"/>
  <c r="B46" i="14" s="1"/>
  <c r="CL23" i="4"/>
  <c r="CI23" i="4"/>
  <c r="CK23" i="4"/>
  <c r="B47" i="14" s="1"/>
  <c r="AO36" i="4"/>
  <c r="AN36" i="4"/>
  <c r="AN50" i="4"/>
  <c r="AO50" i="4"/>
  <c r="AO79" i="4"/>
  <c r="AN79" i="4"/>
  <c r="AG27" i="4"/>
  <c r="AF27" i="4"/>
  <c r="AJ74" i="4"/>
  <c r="AI74" i="4"/>
  <c r="AF14" i="4"/>
  <c r="AG14" i="4"/>
  <c r="AN63" i="4"/>
  <c r="AO63" i="4"/>
  <c r="AB20" i="4"/>
  <c r="AA20" i="4"/>
  <c r="DB20" i="4" s="1"/>
  <c r="AA78" i="4"/>
  <c r="AB78" i="4"/>
  <c r="AF15" i="4"/>
  <c r="AG15" i="4"/>
  <c r="AG53" i="4"/>
  <c r="AF53" i="4"/>
  <c r="AN12" i="4"/>
  <c r="AO12" i="4"/>
  <c r="AI25" i="4"/>
  <c r="AJ25" i="4"/>
  <c r="AB57" i="4"/>
  <c r="AA57" i="4"/>
  <c r="AA73" i="4"/>
  <c r="AB73" i="4"/>
  <c r="AI90" i="4"/>
  <c r="AJ90" i="4"/>
  <c r="AJ84" i="4"/>
  <c r="AI84" i="4"/>
  <c r="AO19" i="4"/>
  <c r="AN19" i="4"/>
  <c r="AA19" i="4"/>
  <c r="DB19" i="4" s="1"/>
  <c r="AB19" i="4"/>
  <c r="AN44" i="4"/>
  <c r="AO44" i="4"/>
  <c r="AF21" i="4"/>
  <c r="AG21" i="4"/>
  <c r="AI21" i="4"/>
  <c r="AJ21" i="4"/>
  <c r="AF80" i="4"/>
  <c r="AG80" i="4"/>
  <c r="AO92" i="4"/>
  <c r="AN92" i="4"/>
  <c r="AI85" i="4"/>
  <c r="AJ85" i="4"/>
  <c r="AB49" i="4"/>
  <c r="AA49" i="4"/>
  <c r="DB49" i="4" s="1"/>
  <c r="AN5" i="4"/>
  <c r="AO5" i="4"/>
  <c r="AN29" i="4"/>
  <c r="AO29" i="4"/>
  <c r="AI18" i="4"/>
  <c r="AJ18" i="4"/>
  <c r="AF43" i="4"/>
  <c r="AG43" i="4"/>
  <c r="AI39" i="4"/>
  <c r="AJ39" i="4"/>
  <c r="AA11" i="4"/>
  <c r="DB11" i="4" s="1"/>
  <c r="AB11" i="4"/>
  <c r="AB26" i="4"/>
  <c r="AA26" i="4"/>
  <c r="DB26" i="4" s="1"/>
  <c r="AN37" i="4"/>
  <c r="AO37" i="4"/>
  <c r="AI37" i="4"/>
  <c r="AJ37" i="4"/>
  <c r="AI70" i="4"/>
  <c r="AJ70" i="4"/>
  <c r="AO59" i="4"/>
  <c r="AN59" i="4"/>
  <c r="AN8" i="4"/>
  <c r="AO8" i="4"/>
  <c r="B7" i="1"/>
  <c r="B88" i="1"/>
  <c r="AB48" i="4"/>
  <c r="AA48" i="4"/>
  <c r="DB48" i="4" s="1"/>
  <c r="AG64" i="4"/>
  <c r="AF64" i="4"/>
  <c r="AB74" i="4"/>
  <c r="AA74" i="4"/>
  <c r="AI32" i="4"/>
  <c r="AJ32" i="4"/>
  <c r="AJ46" i="4"/>
  <c r="AI46" i="4"/>
  <c r="AG66" i="4"/>
  <c r="AF66" i="4"/>
  <c r="AI20" i="4"/>
  <c r="AJ20" i="4"/>
  <c r="AN20" i="4"/>
  <c r="AO20" i="4"/>
  <c r="AB15" i="4"/>
  <c r="AA15" i="4"/>
  <c r="DB15" i="4" s="1"/>
  <c r="AO69" i="4"/>
  <c r="AN69" i="4"/>
  <c r="AN41" i="4"/>
  <c r="AO41" i="4"/>
  <c r="AB68" i="4"/>
  <c r="AA68" i="4"/>
  <c r="AN33" i="4"/>
  <c r="AO33" i="4"/>
  <c r="AI33" i="4"/>
  <c r="AJ33" i="4"/>
  <c r="AN45" i="4"/>
  <c r="AO45" i="4"/>
  <c r="AO84" i="4"/>
  <c r="AN84" i="4"/>
  <c r="AN42" i="4"/>
  <c r="AO42" i="4"/>
  <c r="AF81" i="4"/>
  <c r="AG81" i="4"/>
  <c r="AN80" i="4"/>
  <c r="AO80" i="4"/>
  <c r="AI92" i="4"/>
  <c r="AJ92" i="4"/>
  <c r="AG86" i="4"/>
  <c r="AF86" i="4"/>
  <c r="AJ72" i="4"/>
  <c r="AI72" i="4"/>
  <c r="AI5" i="4"/>
  <c r="AJ5" i="4"/>
  <c r="AO65" i="4"/>
  <c r="AN65" i="4"/>
  <c r="AG39" i="4"/>
  <c r="AF39" i="4"/>
  <c r="AG34" i="4"/>
  <c r="AF34" i="4"/>
  <c r="AN52" i="4"/>
  <c r="AO52" i="4"/>
  <c r="AG37" i="4"/>
  <c r="AF37" i="4"/>
  <c r="AB61" i="4"/>
  <c r="AA61" i="4"/>
  <c r="AB70" i="4"/>
  <c r="AA70" i="4"/>
  <c r="AG6" i="4"/>
  <c r="AF6" i="4"/>
  <c r="AO6" i="4"/>
  <c r="AN6" i="4"/>
  <c r="AA59" i="4"/>
  <c r="AB59" i="4"/>
  <c r="AO76" i="4"/>
  <c r="AN76" i="4"/>
  <c r="AJ93" i="4"/>
  <c r="AI93" i="4"/>
  <c r="AJ8" i="4"/>
  <c r="AI8" i="4"/>
  <c r="AF71" i="4"/>
  <c r="AG71" i="4"/>
  <c r="AJ71" i="4"/>
  <c r="AI71" i="4"/>
  <c r="AN88" i="4"/>
  <c r="AO88" i="4"/>
  <c r="B39" i="1"/>
  <c r="B59" i="1"/>
  <c r="DF10" i="4"/>
  <c r="BL10" i="4"/>
  <c r="BI10" i="4"/>
  <c r="AN47" i="4"/>
  <c r="AO47" i="4"/>
  <c r="AG51" i="4"/>
  <c r="AF51" i="4"/>
  <c r="AO48" i="4"/>
  <c r="AN48" i="4"/>
  <c r="AB16" i="4"/>
  <c r="AA16" i="4"/>
  <c r="DB16" i="4" s="1"/>
  <c r="AB36" i="4"/>
  <c r="AA36" i="4"/>
  <c r="DB36" i="4" s="1"/>
  <c r="AO27" i="4"/>
  <c r="AN27" i="4"/>
  <c r="AF40" i="4"/>
  <c r="AG40" i="4"/>
  <c r="AA40" i="4"/>
  <c r="DB40" i="4" s="1"/>
  <c r="AB40" i="4"/>
  <c r="AJ87" i="4"/>
  <c r="AI87" i="4"/>
  <c r="AF46" i="4"/>
  <c r="AG46" i="4"/>
  <c r="AN46" i="4"/>
  <c r="AO46" i="4"/>
  <c r="AJ56" i="4"/>
  <c r="AI56" i="4"/>
  <c r="AO90" i="4"/>
  <c r="AN90" i="4"/>
  <c r="AF19" i="4"/>
  <c r="AG19" i="4"/>
  <c r="AI80" i="4"/>
  <c r="AJ80" i="4"/>
  <c r="AA77" i="4"/>
  <c r="AB77" i="4"/>
  <c r="AO39" i="4"/>
  <c r="AN39" i="4"/>
  <c r="AJ11" i="4"/>
  <c r="AI11" i="4"/>
  <c r="AB82" i="4"/>
  <c r="AA82" i="4"/>
  <c r="AB76" i="4"/>
  <c r="AA76" i="4"/>
  <c r="AO89" i="4"/>
  <c r="AN89" i="4"/>
  <c r="AJ91" i="4"/>
  <c r="AI91" i="4"/>
  <c r="AB91" i="4"/>
  <c r="AA91" i="4"/>
  <c r="B24" i="1"/>
  <c r="B8" i="1"/>
  <c r="AJ47" i="4"/>
  <c r="AI47" i="4"/>
  <c r="AA51" i="4"/>
  <c r="DB51" i="4" s="1"/>
  <c r="AB51" i="4"/>
  <c r="AJ17" i="4"/>
  <c r="AI17" i="4"/>
  <c r="AI62" i="4"/>
  <c r="AJ62" i="4"/>
  <c r="AA35" i="4"/>
  <c r="DB35" i="4" s="1"/>
  <c r="AB35" i="4"/>
  <c r="AF16" i="4"/>
  <c r="AG16" i="4"/>
  <c r="AN40" i="4"/>
  <c r="AO40" i="4"/>
  <c r="AB87" i="4"/>
  <c r="AA87" i="4"/>
  <c r="AO32" i="4"/>
  <c r="AN32" i="4"/>
  <c r="AO53" i="4"/>
  <c r="AN53" i="4"/>
  <c r="AO25" i="4"/>
  <c r="AN25" i="4"/>
  <c r="AA33" i="4"/>
  <c r="DB33" i="4" s="1"/>
  <c r="AB33" i="4"/>
  <c r="AN28" i="4"/>
  <c r="AO28" i="4"/>
  <c r="AA67" i="4"/>
  <c r="AB67" i="4"/>
  <c r="AF42" i="4"/>
  <c r="AG42" i="4"/>
  <c r="AA85" i="4"/>
  <c r="AB85" i="4"/>
  <c r="AA29" i="4"/>
  <c r="DB29" i="4" s="1"/>
  <c r="AB29" i="4"/>
  <c r="AF65" i="4"/>
  <c r="AG65" i="4"/>
  <c r="AI43" i="4"/>
  <c r="AJ43" i="4"/>
  <c r="AI6" i="4"/>
  <c r="AJ6" i="4"/>
  <c r="AF8" i="4"/>
  <c r="AG8" i="4"/>
  <c r="B43" i="1"/>
  <c r="B75" i="1"/>
  <c r="B76" i="1"/>
  <c r="AG79" i="4"/>
  <c r="AF79" i="4"/>
  <c r="AJ40" i="4"/>
  <c r="AI40" i="4"/>
  <c r="AI22" i="4"/>
  <c r="AJ22" i="4"/>
  <c r="AG74" i="4"/>
  <c r="AF74" i="4"/>
  <c r="AO87" i="4"/>
  <c r="AN87" i="4"/>
  <c r="AA32" i="4"/>
  <c r="DB32" i="4" s="1"/>
  <c r="AB32" i="4"/>
  <c r="AB66" i="4"/>
  <c r="AA66" i="4"/>
  <c r="AJ53" i="4"/>
  <c r="AI53" i="4"/>
  <c r="AJ41" i="4"/>
  <c r="AI41" i="4"/>
  <c r="AO54" i="4"/>
  <c r="AN54" i="4"/>
  <c r="AB25" i="4"/>
  <c r="AA25" i="4"/>
  <c r="DB25" i="4" s="1"/>
  <c r="AF25" i="4"/>
  <c r="AG25" i="4"/>
  <c r="AG33" i="4"/>
  <c r="AF33" i="4"/>
  <c r="AA56" i="4"/>
  <c r="AB56" i="4"/>
  <c r="AJ67" i="4"/>
  <c r="AI67" i="4"/>
  <c r="AG67" i="4"/>
  <c r="AF67" i="4"/>
  <c r="AA42" i="4"/>
  <c r="DB42" i="4" s="1"/>
  <c r="AB42" i="4"/>
  <c r="AB38" i="4"/>
  <c r="AA38" i="4"/>
  <c r="DB38" i="4" s="1"/>
  <c r="AN81" i="4"/>
  <c r="AO81" i="4"/>
  <c r="AB31" i="4"/>
  <c r="AA31" i="4"/>
  <c r="DB31" i="4" s="1"/>
  <c r="AA43" i="4"/>
  <c r="DB43" i="4" s="1"/>
  <c r="AB43" i="4"/>
  <c r="AO24" i="4"/>
  <c r="AN24" i="4"/>
  <c r="AJ13" i="4"/>
  <c r="AI13" i="4"/>
  <c r="AJ75" i="4"/>
  <c r="AI75" i="4"/>
  <c r="AG70" i="4"/>
  <c r="AF70" i="4"/>
  <c r="AJ82" i="4"/>
  <c r="AI82" i="4"/>
  <c r="AF82" i="4"/>
  <c r="AG82" i="4"/>
  <c r="AJ59" i="4"/>
  <c r="AI59" i="4"/>
  <c r="AF76" i="4"/>
  <c r="AG76" i="4"/>
  <c r="I4" i="72"/>
  <c r="Z1354" i="13"/>
  <c r="AY58" i="4"/>
  <c r="AW58" i="4"/>
  <c r="AV60" i="13"/>
  <c r="AX40" i="4"/>
  <c r="CU40" i="4"/>
  <c r="CV40" i="4" s="1"/>
  <c r="DI35" i="71"/>
  <c r="DI31" i="71"/>
  <c r="DI16" i="71"/>
  <c r="DI33" i="71"/>
  <c r="DI4" i="71"/>
  <c r="DI13" i="71"/>
  <c r="DI8" i="71"/>
  <c r="DI34" i="71"/>
  <c r="DI9" i="71"/>
  <c r="DJ38" i="71"/>
  <c r="DI15" i="71"/>
  <c r="DI22" i="71"/>
  <c r="DI11" i="71"/>
  <c r="DI23" i="71"/>
  <c r="DI12" i="71"/>
  <c r="DI10" i="71"/>
  <c r="DI26" i="71"/>
  <c r="DI19" i="71"/>
  <c r="DI29" i="71"/>
  <c r="DI27" i="71"/>
  <c r="DI28" i="71"/>
  <c r="DI5" i="71"/>
  <c r="DI36" i="71"/>
  <c r="DI14" i="71"/>
  <c r="DI18" i="71"/>
  <c r="DI21" i="71"/>
  <c r="A265" i="13"/>
  <c r="AX165" i="13"/>
  <c r="AX168" i="13"/>
  <c r="A268" i="13"/>
  <c r="Z1834" i="13"/>
  <c r="B1834" i="13" s="1" a="1"/>
  <c r="B1834" i="13" s="1"/>
  <c r="AX1152" i="13"/>
  <c r="A1251" i="13"/>
  <c r="A244" i="13"/>
  <c r="AX144" i="13"/>
  <c r="BZ14" i="4" a="1"/>
  <c r="BZ14" i="4" s="1"/>
  <c r="BX14" i="4" s="1" a="1"/>
  <c r="BX14" i="4" s="1"/>
  <c r="BY14" i="4" a="1"/>
  <c r="BY14" i="4" s="1"/>
  <c r="AX1113" i="13"/>
  <c r="A1212" i="13"/>
  <c r="AX171" i="13"/>
  <c r="A271" i="13"/>
  <c r="I63" i="4"/>
  <c r="AZ66" i="4"/>
  <c r="AX1123" i="13"/>
  <c r="A1222" i="13"/>
  <c r="BY20" i="4" a="1"/>
  <c r="BY20" i="4" s="1"/>
  <c r="BZ20" i="4" a="1"/>
  <c r="BZ20" i="4" s="1"/>
  <c r="BX20" i="4" s="1" a="1"/>
  <c r="BX20" i="4" s="1"/>
  <c r="K78" i="4"/>
  <c r="AX15" i="4"/>
  <c r="CU15" i="4"/>
  <c r="CV15" i="4" s="1"/>
  <c r="AL34" i="71"/>
  <c r="AL27" i="71"/>
  <c r="AL32" i="71"/>
  <c r="AL13" i="71"/>
  <c r="AL10" i="71"/>
  <c r="AL7" i="71"/>
  <c r="AL24" i="71"/>
  <c r="AL22" i="71"/>
  <c r="AL16" i="71"/>
  <c r="AL9" i="71"/>
  <c r="AL14" i="71"/>
  <c r="AL28" i="71"/>
  <c r="AL35" i="71"/>
  <c r="AL25" i="71"/>
  <c r="AL18" i="71"/>
  <c r="AL30" i="71"/>
  <c r="AL17" i="71"/>
  <c r="AL4" i="71"/>
  <c r="AL23" i="71"/>
  <c r="AL5" i="71"/>
  <c r="AL31" i="71"/>
  <c r="AL12" i="71"/>
  <c r="AM38" i="71"/>
  <c r="AL26" i="71"/>
  <c r="AL33" i="71"/>
  <c r="AL19" i="71"/>
  <c r="AL15" i="71"/>
  <c r="AL21" i="71"/>
  <c r="AL8" i="71"/>
  <c r="AL11" i="71"/>
  <c r="AL36" i="71"/>
  <c r="AL29" i="71"/>
  <c r="AL20" i="71"/>
  <c r="BY83" i="4" a="1"/>
  <c r="BY83" i="4" s="1"/>
  <c r="BZ83" i="4" a="1"/>
  <c r="BZ83" i="4" s="1"/>
  <c r="BX83" i="4" s="1" a="1"/>
  <c r="BX83" i="4" s="1"/>
  <c r="I95" i="4"/>
  <c r="BZ54" i="4" a="1"/>
  <c r="BZ54" i="4" s="1"/>
  <c r="BX54" i="4" s="1" a="1"/>
  <c r="BX54" i="4" s="1"/>
  <c r="BY54" i="4" a="1"/>
  <c r="BY54" i="4" s="1"/>
  <c r="BA12" i="4" a="1"/>
  <c r="BA12" i="4" s="1"/>
  <c r="BB12" i="4" s="1"/>
  <c r="AV114" i="13" s="1"/>
  <c r="B12" i="4"/>
  <c r="C68" i="1"/>
  <c r="A56" i="4"/>
  <c r="A73" i="4"/>
  <c r="K90" i="4"/>
  <c r="BZ90" i="4" a="1"/>
  <c r="BZ90" i="4" s="1"/>
  <c r="BX90" i="4" s="1" a="1"/>
  <c r="BX90" i="4" s="1"/>
  <c r="BY90" i="4" a="1"/>
  <c r="BY90" i="4" s="1"/>
  <c r="AX1131" i="13"/>
  <c r="A1230" i="13"/>
  <c r="B45" i="4"/>
  <c r="BA45" i="4" a="1"/>
  <c r="BA45" i="4" s="1"/>
  <c r="BB45" i="4" s="1"/>
  <c r="AV147" i="13" s="1"/>
  <c r="J582" i="15"/>
  <c r="B28" i="4"/>
  <c r="BA28" i="4" a="1"/>
  <c r="BA28" i="4" s="1"/>
  <c r="BB28" i="4" s="1"/>
  <c r="AV130" i="13" s="1"/>
  <c r="CU28" i="4"/>
  <c r="CV28" i="4" s="1"/>
  <c r="AX28" i="4"/>
  <c r="BY29" i="71"/>
  <c r="BY13" i="71"/>
  <c r="BY6" i="71"/>
  <c r="BY16" i="71"/>
  <c r="BY18" i="71"/>
  <c r="BY7" i="71"/>
  <c r="BY27" i="71"/>
  <c r="BY12" i="71"/>
  <c r="BY35" i="71"/>
  <c r="BY36" i="71"/>
  <c r="BY11" i="71"/>
  <c r="BY22" i="71"/>
  <c r="BY9" i="71"/>
  <c r="BY34" i="71"/>
  <c r="BY24" i="71"/>
  <c r="BY23" i="71"/>
  <c r="BY26" i="71"/>
  <c r="BY21" i="71"/>
  <c r="BY33" i="71"/>
  <c r="BY28" i="71"/>
  <c r="BY8" i="71"/>
  <c r="BY17" i="71"/>
  <c r="BY15" i="71"/>
  <c r="A1282" i="13"/>
  <c r="AX1183" i="13"/>
  <c r="BZ19" i="4" a="1"/>
  <c r="BZ19" i="4" s="1"/>
  <c r="BX19" i="4" s="1" a="1"/>
  <c r="BX19" i="4" s="1"/>
  <c r="BY19" i="4" a="1"/>
  <c r="BY19" i="4" s="1"/>
  <c r="C38" i="1"/>
  <c r="BZ81" i="4" a="1"/>
  <c r="BZ81" i="4" s="1"/>
  <c r="BX81" i="4" s="1" a="1"/>
  <c r="BX81" i="4" s="1"/>
  <c r="BY81" i="4" a="1"/>
  <c r="BY81" i="4" s="1"/>
  <c r="A80" i="4"/>
  <c r="I92" i="4"/>
  <c r="A95" i="4"/>
  <c r="A1215" i="13"/>
  <c r="AX1116" i="13"/>
  <c r="A86" i="4"/>
  <c r="BY31" i="4" a="1"/>
  <c r="BY31" i="4" s="1"/>
  <c r="BZ31" i="4" a="1"/>
  <c r="BZ31" i="4" s="1"/>
  <c r="BX31" i="4" s="1" a="1"/>
  <c r="BX31" i="4" s="1"/>
  <c r="AZ72" i="4"/>
  <c r="EG27" i="71"/>
  <c r="J641" i="15"/>
  <c r="EG26" i="71"/>
  <c r="CK8" i="71"/>
  <c r="BV29" i="71"/>
  <c r="FB28" i="71"/>
  <c r="DL10" i="71"/>
  <c r="BV10" i="69"/>
  <c r="EP23" i="71"/>
  <c r="BV7" i="71"/>
  <c r="BY14" i="71"/>
  <c r="CN13" i="71"/>
  <c r="DC22" i="71"/>
  <c r="EM9" i="71"/>
  <c r="EP26" i="71"/>
  <c r="BY48" i="4" a="1"/>
  <c r="BY48" i="4" s="1"/>
  <c r="BZ48" i="4" a="1"/>
  <c r="BZ48" i="4" s="1"/>
  <c r="BX48" i="4" s="1" a="1"/>
  <c r="BX48" i="4" s="1"/>
  <c r="A234" i="13"/>
  <c r="AX134" i="13"/>
  <c r="A218" i="13"/>
  <c r="AX118" i="13"/>
  <c r="AX1106" i="13"/>
  <c r="A1205" i="13"/>
  <c r="A290" i="13"/>
  <c r="AX190" i="13"/>
  <c r="A1248" i="13"/>
  <c r="AX1149" i="13"/>
  <c r="A1224" i="13"/>
  <c r="AX1125" i="13"/>
  <c r="AX142" i="13"/>
  <c r="A242" i="13"/>
  <c r="Z1820" i="13"/>
  <c r="B1820" i="13" s="1" a="1"/>
  <c r="B1820" i="13" s="1"/>
  <c r="BA27" i="4" a="1"/>
  <c r="BA27" i="4" s="1"/>
  <c r="BB27" i="4" s="1"/>
  <c r="AV129" i="13" s="1"/>
  <c r="B27" i="4"/>
  <c r="J652" i="15"/>
  <c r="J601" i="15"/>
  <c r="J635" i="15"/>
  <c r="J617" i="15"/>
  <c r="H42" i="9"/>
  <c r="B40" i="4"/>
  <c r="BA40" i="4" a="1"/>
  <c r="BA40" i="4" s="1"/>
  <c r="BB40" i="4" s="1"/>
  <c r="AV142" i="13" s="1"/>
  <c r="J530" i="15"/>
  <c r="J607" i="15"/>
  <c r="J639" i="15"/>
  <c r="AX138" i="13"/>
  <c r="A238" i="13"/>
  <c r="C32" i="1"/>
  <c r="AX1167" i="13"/>
  <c r="A1266" i="13"/>
  <c r="M63" i="4"/>
  <c r="I66" i="4"/>
  <c r="Z4" i="4"/>
  <c r="AV1201" i="13" s="1"/>
  <c r="I78" i="4"/>
  <c r="BZ15" i="4" a="1"/>
  <c r="BZ15" i="4" s="1"/>
  <c r="BX15" i="4" s="1" a="1"/>
  <c r="BX15" i="4" s="1"/>
  <c r="BY15" i="4" a="1"/>
  <c r="BY15" i="4" s="1"/>
  <c r="C96" i="1"/>
  <c r="AS12" i="4"/>
  <c r="AV614" i="13" s="1"/>
  <c r="H27" i="9"/>
  <c r="M57" i="4"/>
  <c r="H35" i="9"/>
  <c r="I56" i="4"/>
  <c r="AZ73" i="4"/>
  <c r="M90" i="4"/>
  <c r="BZ28" i="4" a="1"/>
  <c r="BZ28" i="4" s="1"/>
  <c r="BX28" i="4" s="1" a="1"/>
  <c r="BX28" i="4" s="1"/>
  <c r="BY28" i="4" a="1"/>
  <c r="BY28" i="4" s="1"/>
  <c r="BZ67" i="4" a="1"/>
  <c r="BZ67" i="4" s="1"/>
  <c r="BX67" i="4" s="1" a="1"/>
  <c r="BX67" i="4" s="1"/>
  <c r="BY67" i="4" a="1"/>
  <c r="BY67" i="4" s="1"/>
  <c r="BZ42" i="4" a="1"/>
  <c r="BZ42" i="4" s="1"/>
  <c r="BX42" i="4" s="1" a="1"/>
  <c r="BX42" i="4" s="1"/>
  <c r="BY42" i="4" a="1"/>
  <c r="BY42" i="4" s="1"/>
  <c r="AX1154" i="13"/>
  <c r="A1253" i="13"/>
  <c r="BZ21" i="4" a="1"/>
  <c r="BZ21" i="4" s="1"/>
  <c r="BX21" i="4" s="1" a="1"/>
  <c r="BX21" i="4" s="1"/>
  <c r="BY21" i="4" a="1"/>
  <c r="BY21" i="4" s="1"/>
  <c r="M92" i="4"/>
  <c r="AI57" i="27"/>
  <c r="AJ92" i="27"/>
  <c r="AE47" i="27"/>
  <c r="AI77" i="27"/>
  <c r="AF51" i="27"/>
  <c r="AI66" i="27"/>
  <c r="AE60" i="27"/>
  <c r="AE85" i="27"/>
  <c r="AI91" i="27"/>
  <c r="AE68" i="27"/>
  <c r="AI53" i="27"/>
  <c r="AI81" i="27"/>
  <c r="AI83" i="27"/>
  <c r="AF47" i="27"/>
  <c r="AF93" i="27"/>
  <c r="AI51" i="27"/>
  <c r="AE55" i="27"/>
  <c r="AF44" i="27"/>
  <c r="AF60" i="27"/>
  <c r="AI61" i="27"/>
  <c r="AJ74" i="27"/>
  <c r="AF61" i="27"/>
  <c r="AF99" i="27"/>
  <c r="AE65" i="27"/>
  <c r="AJ62" i="27"/>
  <c r="AJ71" i="27"/>
  <c r="AF94" i="27"/>
  <c r="AI80" i="27"/>
  <c r="AF45" i="27"/>
  <c r="AE98" i="27"/>
  <c r="AI52" i="27"/>
  <c r="AF78" i="27"/>
  <c r="AE89" i="27"/>
  <c r="AE50" i="27"/>
  <c r="AF66" i="27"/>
  <c r="AI50" i="27"/>
  <c r="AF62" i="27"/>
  <c r="AI68" i="27"/>
  <c r="AJ77" i="27"/>
  <c r="AF98" i="27"/>
  <c r="AI49" i="27"/>
  <c r="AF85" i="27"/>
  <c r="AF59" i="27"/>
  <c r="AI56" i="27"/>
  <c r="AF76" i="27"/>
  <c r="AJ68" i="27"/>
  <c r="AF73" i="27"/>
  <c r="AI47" i="27"/>
  <c r="AJ98" i="27"/>
  <c r="AI48" i="27"/>
  <c r="AJ73" i="27"/>
  <c r="AF75" i="27"/>
  <c r="AF48" i="27"/>
  <c r="AE66" i="27"/>
  <c r="AE80" i="27"/>
  <c r="AI70" i="27"/>
  <c r="AJ60" i="27"/>
  <c r="AE76" i="27"/>
  <c r="AI76" i="27"/>
  <c r="AE45" i="27"/>
  <c r="AE82" i="27"/>
  <c r="AE63" i="27"/>
  <c r="AJ48" i="27"/>
  <c r="AJ76" i="27"/>
  <c r="AJ46" i="27"/>
  <c r="AI86" i="27"/>
  <c r="AI55" i="27"/>
  <c r="AJ69" i="27"/>
  <c r="AF56" i="27"/>
  <c r="AI94" i="27"/>
  <c r="AJ72" i="27"/>
  <c r="AJ85" i="27"/>
  <c r="AF88" i="27"/>
  <c r="AJ53" i="27"/>
  <c r="AE56" i="27"/>
  <c r="AE97" i="27"/>
  <c r="AJ97" i="27"/>
  <c r="AJ89" i="27"/>
  <c r="AE88" i="27"/>
  <c r="AF63" i="27"/>
  <c r="AE73" i="27"/>
  <c r="AJ57" i="27"/>
  <c r="AJ80" i="27"/>
  <c r="AF84" i="27"/>
  <c r="AI78" i="27"/>
  <c r="AF46" i="27"/>
  <c r="AE95" i="27"/>
  <c r="AF49" i="27"/>
  <c r="AE78" i="27"/>
  <c r="AI92" i="27"/>
  <c r="AI67" i="27"/>
  <c r="AI87" i="27"/>
  <c r="AE46" i="27"/>
  <c r="AF80" i="27"/>
  <c r="AF54" i="27"/>
  <c r="AF92" i="27"/>
  <c r="AE99" i="27"/>
  <c r="AJ45" i="27"/>
  <c r="AI97" i="27"/>
  <c r="AI89" i="27"/>
  <c r="AJ91" i="27"/>
  <c r="AJ87" i="27"/>
  <c r="AJ50" i="27"/>
  <c r="AE57" i="27"/>
  <c r="AF97" i="27"/>
  <c r="AI58" i="27"/>
  <c r="AJ81" i="27"/>
  <c r="AF91" i="27"/>
  <c r="AJ56" i="27"/>
  <c r="AJ88" i="27"/>
  <c r="AJ84" i="27"/>
  <c r="AE44" i="27"/>
  <c r="AJ75" i="27"/>
  <c r="AI96" i="27"/>
  <c r="AF90" i="27"/>
  <c r="AE58" i="27"/>
  <c r="AI98" i="27"/>
  <c r="AI74" i="27"/>
  <c r="AI72" i="27"/>
  <c r="AE86" i="27"/>
  <c r="D16" i="27"/>
  <c r="AE87" i="27"/>
  <c r="AE43" i="27"/>
  <c r="AI93" i="27"/>
  <c r="AE70" i="27"/>
  <c r="Q20" i="27"/>
  <c r="AF95" i="27"/>
  <c r="AJ96" i="27"/>
  <c r="AE64" i="27"/>
  <c r="AF50" i="27"/>
  <c r="AI99" i="27"/>
  <c r="AI63" i="27"/>
  <c r="AI59" i="27"/>
  <c r="AE72" i="27"/>
  <c r="AI65" i="27"/>
  <c r="AF77" i="27"/>
  <c r="AF69" i="27"/>
  <c r="AE79" i="27"/>
  <c r="AE51" i="27"/>
  <c r="AE52" i="27"/>
  <c r="AJ51" i="27"/>
  <c r="AE74" i="27"/>
  <c r="AF52" i="27"/>
  <c r="AE94" i="27"/>
  <c r="AC19" i="27"/>
  <c r="AE49" i="27"/>
  <c r="AJ95" i="27"/>
  <c r="AE62" i="27"/>
  <c r="AF65" i="27"/>
  <c r="AJ55" i="27"/>
  <c r="AI75" i="27"/>
  <c r="AE54" i="27"/>
  <c r="AJ63" i="27"/>
  <c r="AJ78" i="27"/>
  <c r="AE81" i="27"/>
  <c r="AJ58" i="27"/>
  <c r="AE48" i="27"/>
  <c r="B19" i="27" a="1"/>
  <c r="B19" i="27" s="1"/>
  <c r="AJ94" i="27"/>
  <c r="AF82" i="27"/>
  <c r="AI79" i="27"/>
  <c r="AF70" i="27"/>
  <c r="AF83" i="27"/>
  <c r="AF67" i="27"/>
  <c r="AI90" i="27"/>
  <c r="AF74" i="27"/>
  <c r="AI95" i="27"/>
  <c r="AI88" i="27"/>
  <c r="AE69" i="27"/>
  <c r="AJ93" i="27"/>
  <c r="AF86" i="27"/>
  <c r="AJ54" i="27"/>
  <c r="AJ79" i="27"/>
  <c r="AF55" i="27"/>
  <c r="AF68" i="27"/>
  <c r="AE77" i="27"/>
  <c r="AJ61" i="27"/>
  <c r="AF72" i="27"/>
  <c r="AJ67" i="27"/>
  <c r="AI54" i="27"/>
  <c r="AE91" i="27"/>
  <c r="AI84" i="27"/>
  <c r="AI62" i="27"/>
  <c r="AE96" i="27"/>
  <c r="AE71" i="27"/>
  <c r="AF53" i="27"/>
  <c r="AF81" i="27"/>
  <c r="AJ86" i="27"/>
  <c r="AF87" i="27"/>
  <c r="AI60" i="27"/>
  <c r="AJ59" i="27"/>
  <c r="AF89" i="27"/>
  <c r="AJ83" i="27"/>
  <c r="AJ82" i="27"/>
  <c r="AE92" i="27"/>
  <c r="AE61" i="27"/>
  <c r="AF79" i="27"/>
  <c r="AE93" i="27"/>
  <c r="AJ90" i="27"/>
  <c r="AF71" i="27"/>
  <c r="AE83" i="27"/>
  <c r="AI73" i="27"/>
  <c r="AI69" i="27"/>
  <c r="AE53" i="27"/>
  <c r="AE59" i="27"/>
  <c r="AF58" i="27"/>
  <c r="AJ70" i="27"/>
  <c r="AE67" i="27"/>
  <c r="AJ66" i="27"/>
  <c r="AI45" i="27"/>
  <c r="AI46" i="27"/>
  <c r="AJ64" i="27"/>
  <c r="AJ52" i="27"/>
  <c r="AF64" i="27"/>
  <c r="AJ49" i="27"/>
  <c r="AI82" i="27"/>
  <c r="AJ47" i="27"/>
  <c r="AE75" i="27"/>
  <c r="AF96" i="27"/>
  <c r="AF43" i="27"/>
  <c r="AF57" i="27"/>
  <c r="AJ65" i="27"/>
  <c r="AI71" i="27"/>
  <c r="AI85" i="27"/>
  <c r="AJ99" i="27"/>
  <c r="AE84" i="27"/>
  <c r="AI64" i="27"/>
  <c r="AE90" i="27"/>
  <c r="K86" i="4"/>
  <c r="AX1163" i="13"/>
  <c r="A1262" i="13"/>
  <c r="AX179" i="13"/>
  <c r="A279" i="13"/>
  <c r="C49" i="1"/>
  <c r="K72" i="4"/>
  <c r="AX1179" i="13"/>
  <c r="A1278" i="13"/>
  <c r="AV605" i="13"/>
  <c r="J3" i="72"/>
  <c r="J3" i="69"/>
  <c r="AX123" i="13"/>
  <c r="A223" i="13"/>
  <c r="AX1190" i="13"/>
  <c r="A1289" i="13"/>
  <c r="EA9" i="71"/>
  <c r="ES4" i="71"/>
  <c r="CW9" i="71"/>
  <c r="EA27" i="71"/>
  <c r="AE10" i="69" a="1"/>
  <c r="AE10" i="69" s="1"/>
  <c r="DX9" i="71"/>
  <c r="BD35" i="71"/>
  <c r="DI32" i="71"/>
  <c r="ES28" i="71"/>
  <c r="DX19" i="71"/>
  <c r="CK13" i="71"/>
  <c r="DI7" i="71"/>
  <c r="BY32" i="71"/>
  <c r="FB9" i="71"/>
  <c r="BD7" i="71"/>
  <c r="BA33" i="71"/>
  <c r="EP8" i="71"/>
  <c r="EP17" i="71"/>
  <c r="BA18" i="71"/>
  <c r="CU62" i="4"/>
  <c r="CV62" i="4" s="1"/>
  <c r="C48" i="1"/>
  <c r="C16" i="1"/>
  <c r="Z1815" i="13"/>
  <c r="B1815" i="13" s="1" a="1"/>
  <c r="B1815" i="13" s="1"/>
  <c r="I64" i="4"/>
  <c r="C51" i="1"/>
  <c r="A1279" i="13"/>
  <c r="AX1180" i="13"/>
  <c r="A1259" i="13"/>
  <c r="AX1160" i="13"/>
  <c r="C30" i="1"/>
  <c r="A1237" i="13"/>
  <c r="AX1138" i="13"/>
  <c r="BY62" i="4" a="1"/>
  <c r="BY62" i="4" s="1"/>
  <c r="BZ62" i="4" a="1"/>
  <c r="BZ62" i="4" s="1"/>
  <c r="BX62" i="4" s="1" a="1"/>
  <c r="BX62" i="4" s="1"/>
  <c r="BY35" i="4" a="1"/>
  <c r="BY35" i="4" s="1"/>
  <c r="BZ35" i="4" a="1"/>
  <c r="BZ35" i="4" s="1"/>
  <c r="BX35" i="4" s="1" a="1"/>
  <c r="BX35" i="4" s="1"/>
  <c r="BZ36" i="4" a="1"/>
  <c r="BZ36" i="4" s="1"/>
  <c r="BX36" i="4" s="1" a="1"/>
  <c r="BX36" i="4" s="1"/>
  <c r="BY36" i="4" a="1"/>
  <c r="BY36" i="4" s="1"/>
  <c r="C36" i="1"/>
  <c r="K64" i="4"/>
  <c r="C79" i="1"/>
  <c r="F4" i="4"/>
  <c r="BL4" i="4" s="1"/>
  <c r="AS32" i="4"/>
  <c r="AV634" i="13" s="1"/>
  <c r="BS63" i="4"/>
  <c r="A276" i="13"/>
  <c r="AX176" i="13"/>
  <c r="C46" i="1"/>
  <c r="K66" i="4"/>
  <c r="A259" i="13"/>
  <c r="AX159" i="13"/>
  <c r="AS20" i="4"/>
  <c r="AV622" i="13" s="1"/>
  <c r="M78" i="4"/>
  <c r="BY69" i="4" a="1"/>
  <c r="BY69" i="4" s="1"/>
  <c r="BZ69" i="4" a="1"/>
  <c r="BZ69" i="4" s="1"/>
  <c r="BX69" i="4" s="1" a="1"/>
  <c r="BX69" i="4" s="1"/>
  <c r="V94" i="72"/>
  <c r="BZ41" i="4" a="1"/>
  <c r="BZ41" i="4" s="1"/>
  <c r="BX41" i="4" s="1" a="1"/>
  <c r="BX41" i="4" s="1"/>
  <c r="BY41" i="4" a="1"/>
  <c r="BY41" i="4" s="1"/>
  <c r="AS54" i="4"/>
  <c r="AV656" i="13" s="1"/>
  <c r="C12" i="1"/>
  <c r="BY68" i="4" a="1"/>
  <c r="BY68" i="4" s="1"/>
  <c r="BZ68" i="4" a="1"/>
  <c r="BZ68" i="4" s="1"/>
  <c r="BX68" i="4" s="1" a="1"/>
  <c r="BX68" i="4" s="1"/>
  <c r="Z96" i="72"/>
  <c r="M56" i="4"/>
  <c r="Z1836" i="13"/>
  <c r="B1836" i="13" s="1" a="1"/>
  <c r="B1836" i="13" s="1"/>
  <c r="I73" i="4"/>
  <c r="A90" i="4"/>
  <c r="Z1842" i="13"/>
  <c r="B1842" i="13" s="1" a="1"/>
  <c r="B1842" i="13" s="1"/>
  <c r="BZ45" i="4" a="1"/>
  <c r="BZ45" i="4" s="1"/>
  <c r="BX45" i="4" s="1" a="1"/>
  <c r="BX45" i="4" s="1"/>
  <c r="BY45" i="4" a="1"/>
  <c r="BY45" i="4" s="1"/>
  <c r="E28" i="4"/>
  <c r="AV1207" i="13"/>
  <c r="B10" i="69"/>
  <c r="BS67" i="4"/>
  <c r="BZ84" i="4" a="1"/>
  <c r="BZ84" i="4" s="1"/>
  <c r="BX84" i="4" s="1" a="1"/>
  <c r="BX84" i="4" s="1"/>
  <c r="BY84" i="4" a="1"/>
  <c r="BY84" i="4" s="1"/>
  <c r="AX42" i="4"/>
  <c r="CU42" i="4"/>
  <c r="CV42" i="4" s="1"/>
  <c r="DO9" i="71"/>
  <c r="DO5" i="71"/>
  <c r="DO25" i="71"/>
  <c r="DO17" i="71"/>
  <c r="DO32" i="71"/>
  <c r="DO30" i="71"/>
  <c r="DO12" i="71"/>
  <c r="DO19" i="71"/>
  <c r="DO11" i="71"/>
  <c r="B50" i="14"/>
  <c r="DO6" i="71"/>
  <c r="DO15" i="71"/>
  <c r="DO34" i="71"/>
  <c r="F50" i="14"/>
  <c r="P50" i="14" s="1"/>
  <c r="Z50" i="14" s="1"/>
  <c r="DO14" i="71"/>
  <c r="DO21" i="71"/>
  <c r="F50" i="23"/>
  <c r="P50" i="23" s="1"/>
  <c r="Z50" i="23" s="1"/>
  <c r="DO28" i="71"/>
  <c r="DO36" i="71"/>
  <c r="DO29" i="71"/>
  <c r="B50" i="23"/>
  <c r="DO4" i="71"/>
  <c r="DO26" i="71"/>
  <c r="DO7" i="71"/>
  <c r="DO16" i="71"/>
  <c r="DP38" i="71"/>
  <c r="DO31" i="71"/>
  <c r="DO24" i="71"/>
  <c r="C19" i="1"/>
  <c r="A1287" i="13"/>
  <c r="AX1188" i="13"/>
  <c r="A81" i="4"/>
  <c r="C81" i="1"/>
  <c r="A92" i="4"/>
  <c r="C95" i="1"/>
  <c r="A269" i="13"/>
  <c r="AX169" i="13"/>
  <c r="BZ85" i="4" a="1"/>
  <c r="BZ85" i="4" s="1"/>
  <c r="BX85" i="4" s="1" a="1"/>
  <c r="BX85" i="4" s="1"/>
  <c r="BY85" i="4" a="1"/>
  <c r="BY85" i="4" s="1"/>
  <c r="BS86" i="4"/>
  <c r="AX31" i="4"/>
  <c r="CU31" i="4"/>
  <c r="CV31" i="4" s="1"/>
  <c r="CH32" i="71"/>
  <c r="CH12" i="71"/>
  <c r="CH27" i="71"/>
  <c r="CH15" i="71"/>
  <c r="CH20" i="71"/>
  <c r="CH14" i="71"/>
  <c r="CH4" i="71"/>
  <c r="CH33" i="71"/>
  <c r="CH31" i="71"/>
  <c r="CH18" i="71"/>
  <c r="CH13" i="71"/>
  <c r="CH16" i="71"/>
  <c r="CH7" i="71"/>
  <c r="CI38" i="71"/>
  <c r="CH5" i="71"/>
  <c r="CH29" i="71"/>
  <c r="CH34" i="71"/>
  <c r="CH28" i="71"/>
  <c r="CH11" i="71"/>
  <c r="CH8" i="71"/>
  <c r="CH25" i="71"/>
  <c r="CH19" i="71"/>
  <c r="CU49" i="4"/>
  <c r="CV49" i="4" s="1"/>
  <c r="AX49" i="4"/>
  <c r="EM8" i="71"/>
  <c r="EM27" i="71"/>
  <c r="EM28" i="71"/>
  <c r="EM10" i="71"/>
  <c r="EM7" i="71"/>
  <c r="EM6" i="71"/>
  <c r="EM33" i="71"/>
  <c r="EM21" i="71"/>
  <c r="EM24" i="71"/>
  <c r="EM30" i="71"/>
  <c r="EM23" i="71"/>
  <c r="EM11" i="71"/>
  <c r="EM35" i="71"/>
  <c r="EM26" i="71"/>
  <c r="EM13" i="71"/>
  <c r="EM15" i="71"/>
  <c r="EM32" i="71"/>
  <c r="EM18" i="71"/>
  <c r="EM5" i="71"/>
  <c r="EM19" i="71"/>
  <c r="EM14" i="71"/>
  <c r="EM36" i="71"/>
  <c r="EM16" i="71"/>
  <c r="BS72" i="4"/>
  <c r="BD3" i="69"/>
  <c r="BG3" i="69"/>
  <c r="R3" i="69"/>
  <c r="L3" i="69"/>
  <c r="AY3" i="69" a="1"/>
  <c r="AY3" i="69" s="1"/>
  <c r="BQ3" i="69" a="1"/>
  <c r="BQ3" i="69" s="1"/>
  <c r="BH3" i="69"/>
  <c r="BP3" i="69"/>
  <c r="BO3" i="69" s="1"/>
  <c r="BR3" i="69" s="1"/>
  <c r="BV3" i="69"/>
  <c r="AE3" i="69" a="1"/>
  <c r="AE3" i="69" s="1"/>
  <c r="AV1398" i="13"/>
  <c r="BE3" i="69"/>
  <c r="E3" i="69"/>
  <c r="EP9" i="71"/>
  <c r="CH30" i="71"/>
  <c r="BD36" i="71"/>
  <c r="T9" i="72"/>
  <c r="BQ9" i="72" s="1" a="1"/>
  <c r="BQ9" i="72" s="1"/>
  <c r="BY20" i="71"/>
  <c r="CH23" i="71"/>
  <c r="FB15" i="71"/>
  <c r="BG25" i="71"/>
  <c r="BA8" i="71"/>
  <c r="DI24" i="71"/>
  <c r="BV9" i="69"/>
  <c r="FB12" i="71"/>
  <c r="DX20" i="71"/>
  <c r="CT15" i="71"/>
  <c r="BA34" i="71"/>
  <c r="S10" i="72"/>
  <c r="BE10" i="69"/>
  <c r="ES17" i="71"/>
  <c r="A1203" i="13"/>
  <c r="AX1104" i="13"/>
  <c r="AX1174" i="13"/>
  <c r="A1273" i="13"/>
  <c r="C17" i="1"/>
  <c r="BA36" i="4" a="1"/>
  <c r="BA36" i="4" s="1"/>
  <c r="BB36" i="4" s="1"/>
  <c r="AV138" i="13" s="1"/>
  <c r="B36" i="4"/>
  <c r="J496" i="15"/>
  <c r="J657" i="15"/>
  <c r="J606" i="15"/>
  <c r="BA50" i="4" a="1"/>
  <c r="BA50" i="4" s="1"/>
  <c r="BB50" i="4" s="1"/>
  <c r="AV152" i="13" s="1"/>
  <c r="B50" i="4"/>
  <c r="J659" i="15"/>
  <c r="J589" i="15"/>
  <c r="J622" i="15"/>
  <c r="J478" i="15"/>
  <c r="J647" i="15"/>
  <c r="J594" i="15"/>
  <c r="J538" i="15"/>
  <c r="J630" i="15"/>
  <c r="J520" i="15"/>
  <c r="AS47" i="4"/>
  <c r="AV649" i="13" s="1"/>
  <c r="Z1849" i="13"/>
  <c r="B1849" i="13" s="1" a="1"/>
  <c r="B1849" i="13" s="1"/>
  <c r="A224" i="13"/>
  <c r="AX124" i="13"/>
  <c r="AX35" i="4"/>
  <c r="CU35" i="4"/>
  <c r="CV35" i="4" s="1"/>
  <c r="CT33" i="71"/>
  <c r="CT31" i="71"/>
  <c r="CT34" i="71"/>
  <c r="CT28" i="71"/>
  <c r="CT17" i="71"/>
  <c r="CT22" i="71"/>
  <c r="CT12" i="71"/>
  <c r="CT23" i="71"/>
  <c r="CT6" i="71"/>
  <c r="CT30" i="71"/>
  <c r="CT4" i="71"/>
  <c r="CT32" i="71"/>
  <c r="CT11" i="71"/>
  <c r="CU38" i="71"/>
  <c r="CT36" i="71"/>
  <c r="CT7" i="71"/>
  <c r="CT13" i="71"/>
  <c r="CT26" i="71"/>
  <c r="CT16" i="71"/>
  <c r="AS16" i="4"/>
  <c r="AV618" i="13" s="1"/>
  <c r="AX1146" i="13"/>
  <c r="A1245" i="13"/>
  <c r="CU36" i="4"/>
  <c r="CV36" i="4" s="1"/>
  <c r="AX36" i="4"/>
  <c r="CW12" i="71"/>
  <c r="CW20" i="71"/>
  <c r="CW23" i="71"/>
  <c r="CW24" i="71"/>
  <c r="CW10" i="71"/>
  <c r="CW35" i="71"/>
  <c r="CW33" i="71"/>
  <c r="CW27" i="71"/>
  <c r="CW6" i="71"/>
  <c r="CW26" i="71"/>
  <c r="CW13" i="71"/>
  <c r="CW32" i="71"/>
  <c r="CW4" i="71"/>
  <c r="CW21" i="71"/>
  <c r="CW36" i="71"/>
  <c r="CW11" i="71"/>
  <c r="CW34" i="71"/>
  <c r="CW14" i="71"/>
  <c r="CW7" i="71"/>
  <c r="CW29" i="71"/>
  <c r="CW22" i="71"/>
  <c r="CW16" i="71"/>
  <c r="CW28" i="71"/>
  <c r="C50" i="1"/>
  <c r="BS64" i="4"/>
  <c r="K79" i="4"/>
  <c r="C27" i="1"/>
  <c r="BG15" i="71"/>
  <c r="CU22" i="4"/>
  <c r="CV22" i="4" s="1"/>
  <c r="AX22" i="4"/>
  <c r="BG31" i="71"/>
  <c r="BG7" i="71"/>
  <c r="BG29" i="71"/>
  <c r="BG12" i="71"/>
  <c r="BG30" i="71"/>
  <c r="BG22" i="71"/>
  <c r="BG33" i="71"/>
  <c r="BG27" i="71"/>
  <c r="BG13" i="71"/>
  <c r="BG4" i="71"/>
  <c r="BG14" i="71"/>
  <c r="BG34" i="71"/>
  <c r="BG28" i="71"/>
  <c r="BG10" i="71"/>
  <c r="BG6" i="71"/>
  <c r="BG5" i="71"/>
  <c r="BG32" i="71"/>
  <c r="BG18" i="71"/>
  <c r="BG36" i="71"/>
  <c r="BG8" i="71"/>
  <c r="BG24" i="71"/>
  <c r="BG21" i="71"/>
  <c r="BG26" i="71"/>
  <c r="BG19" i="71"/>
  <c r="BG23" i="71"/>
  <c r="BG11" i="71"/>
  <c r="H24" i="9"/>
  <c r="AX1144" i="13"/>
  <c r="A1243" i="13"/>
  <c r="A87" i="4"/>
  <c r="AX1140" i="13"/>
  <c r="A1239" i="13"/>
  <c r="B32" i="4"/>
  <c r="BA32" i="4" a="1"/>
  <c r="BA32" i="4" s="1"/>
  <c r="BB32" i="4" s="1"/>
  <c r="AV134" i="13" s="1"/>
  <c r="J581" i="15"/>
  <c r="J633" i="15"/>
  <c r="J484" i="15"/>
  <c r="J515" i="15"/>
  <c r="J524" i="15"/>
  <c r="AX185" i="13"/>
  <c r="A285" i="13"/>
  <c r="A63" i="4"/>
  <c r="A1209" i="13"/>
  <c r="AX1110" i="13"/>
  <c r="C20" i="1"/>
  <c r="B15" i="4"/>
  <c r="BA15" i="4" a="1"/>
  <c r="BA15" i="4" s="1"/>
  <c r="BB15" i="4" s="1"/>
  <c r="AV117" i="13" s="1"/>
  <c r="J522" i="15"/>
  <c r="AZ69" i="4"/>
  <c r="AC36" i="71"/>
  <c r="CU12" i="4"/>
  <c r="CV12" i="4" s="1"/>
  <c r="AX12" i="4"/>
  <c r="CW12" i="4"/>
  <c r="CX12" i="4" s="1"/>
  <c r="AC14" i="71"/>
  <c r="AC22" i="71"/>
  <c r="AC19" i="71"/>
  <c r="AC8" i="71"/>
  <c r="AC15" i="71"/>
  <c r="AC12" i="71"/>
  <c r="AC23" i="71"/>
  <c r="AC35" i="71"/>
  <c r="AC24" i="71"/>
  <c r="AC17" i="71"/>
  <c r="AC10" i="71"/>
  <c r="AC33" i="71"/>
  <c r="AC9" i="71"/>
  <c r="AC6" i="71"/>
  <c r="AC20" i="71"/>
  <c r="AC16" i="71"/>
  <c r="AC25" i="71"/>
  <c r="AC30" i="71"/>
  <c r="AC13" i="71"/>
  <c r="AC18" i="71"/>
  <c r="AC31" i="71"/>
  <c r="AC32" i="71"/>
  <c r="AC26" i="71"/>
  <c r="AC28" i="71"/>
  <c r="AD38" i="71"/>
  <c r="AC4" i="71"/>
  <c r="AC21" i="71"/>
  <c r="AC11" i="71"/>
  <c r="AC7" i="71"/>
  <c r="AC29" i="71"/>
  <c r="AC34" i="71"/>
  <c r="AS25" i="4"/>
  <c r="AV627" i="13" s="1"/>
  <c r="BZ57" i="4" a="1"/>
  <c r="BZ57" i="4" s="1"/>
  <c r="BX57" i="4" s="1" a="1"/>
  <c r="BX57" i="4" s="1"/>
  <c r="BY57" i="4" a="1"/>
  <c r="BY57" i="4" s="1"/>
  <c r="BZ33" i="4" a="1"/>
  <c r="BZ33" i="4" s="1"/>
  <c r="BX33" i="4" s="1" a="1"/>
  <c r="BX33" i="4" s="1"/>
  <c r="BY33" i="4" a="1"/>
  <c r="BY33" i="4" s="1"/>
  <c r="I96" i="4"/>
  <c r="K56" i="4"/>
  <c r="AX121" i="13"/>
  <c r="A221" i="13"/>
  <c r="BS90" i="4"/>
  <c r="I10" i="69"/>
  <c r="I10" i="72"/>
  <c r="K67" i="4"/>
  <c r="C42" i="1"/>
  <c r="AX38" i="4"/>
  <c r="CU38" i="4"/>
  <c r="CV38" i="4" s="1"/>
  <c r="DC15" i="71"/>
  <c r="DC9" i="71"/>
  <c r="DC35" i="71"/>
  <c r="DC27" i="71"/>
  <c r="DC10" i="71"/>
  <c r="DC17" i="71"/>
  <c r="DC20" i="71"/>
  <c r="DC12" i="71"/>
  <c r="DC16" i="71"/>
  <c r="DD38" i="71"/>
  <c r="DC23" i="71"/>
  <c r="DC29" i="71"/>
  <c r="DC11" i="71"/>
  <c r="DC25" i="71"/>
  <c r="DC7" i="71"/>
  <c r="DC34" i="71"/>
  <c r="DC19" i="71"/>
  <c r="DC4" i="71"/>
  <c r="DC33" i="71"/>
  <c r="DC21" i="71"/>
  <c r="DC28" i="71"/>
  <c r="DC5" i="71"/>
  <c r="DC14" i="71"/>
  <c r="I81" i="4"/>
  <c r="BD24" i="71"/>
  <c r="AX21" i="4"/>
  <c r="CU21" i="4"/>
  <c r="CV21" i="4" s="1"/>
  <c r="BD17" i="71"/>
  <c r="BD10" i="71"/>
  <c r="BD12" i="71"/>
  <c r="BD29" i="71"/>
  <c r="BD27" i="71"/>
  <c r="BD20" i="71"/>
  <c r="BD23" i="71"/>
  <c r="BD6" i="71"/>
  <c r="BD28" i="71"/>
  <c r="BD21" i="71"/>
  <c r="BD19" i="71"/>
  <c r="BD33" i="71"/>
  <c r="BD32" i="71"/>
  <c r="BD8" i="71"/>
  <c r="BD22" i="71"/>
  <c r="BD26" i="71"/>
  <c r="BD15" i="71"/>
  <c r="BD34" i="71"/>
  <c r="BD14" i="71"/>
  <c r="BD11" i="71"/>
  <c r="BD31" i="71"/>
  <c r="C80" i="1"/>
  <c r="AZ92" i="4"/>
  <c r="AZ86" i="4"/>
  <c r="AR4" i="69"/>
  <c r="V4" i="69"/>
  <c r="Y4" i="69"/>
  <c r="AB4" i="69" a="1"/>
  <c r="AB4" i="69" s="1"/>
  <c r="BU4" i="69"/>
  <c r="BC4" i="69"/>
  <c r="AS4" i="69"/>
  <c r="Z4" i="69"/>
  <c r="A4" i="69"/>
  <c r="L4" i="69"/>
  <c r="AC4" i="69"/>
  <c r="BB4" i="69"/>
  <c r="K4" i="69" a="1"/>
  <c r="K4" i="69" s="1"/>
  <c r="M4" i="69"/>
  <c r="W4" i="69"/>
  <c r="BQ4" i="69" s="1" a="1"/>
  <c r="BQ4" i="69" s="1"/>
  <c r="P4" i="69"/>
  <c r="N4" i="69" a="1"/>
  <c r="N4" i="69" s="1"/>
  <c r="Q4" i="69"/>
  <c r="J4" i="69"/>
  <c r="T4" i="69"/>
  <c r="AA4" i="69"/>
  <c r="BY72" i="4" a="1"/>
  <c r="BY72" i="4" s="1"/>
  <c r="BZ72" i="4" a="1"/>
  <c r="BZ72" i="4" s="1"/>
  <c r="BX72" i="4" s="1" a="1"/>
  <c r="BX72" i="4" s="1"/>
  <c r="AR3" i="72"/>
  <c r="R3" i="72"/>
  <c r="BK3" i="72"/>
  <c r="BH3" i="72"/>
  <c r="BU3" i="72" a="1"/>
  <c r="BU3" i="72" s="1"/>
  <c r="BL3" i="72"/>
  <c r="L3" i="72"/>
  <c r="BT3" i="72"/>
  <c r="BS3" i="72" s="1"/>
  <c r="BV3" i="72" s="1"/>
  <c r="BZ3" i="72"/>
  <c r="BI3" i="72"/>
  <c r="BC3" i="72" a="1"/>
  <c r="BC3" i="72" s="1"/>
  <c r="AQ3" i="72"/>
  <c r="AF3" i="72" a="1"/>
  <c r="AF3" i="72" s="1"/>
  <c r="AJ3" i="72" s="1" a="1"/>
  <c r="AJ3" i="72" s="1"/>
  <c r="E3" i="72"/>
  <c r="AX1178" i="13"/>
  <c r="A1277" i="13"/>
  <c r="T9" i="69"/>
  <c r="BS9" i="69" s="1"/>
  <c r="AO17" i="71"/>
  <c r="EP25" i="71"/>
  <c r="DL6" i="71"/>
  <c r="BV6" i="71"/>
  <c r="EA19" i="71"/>
  <c r="EY35" i="71"/>
  <c r="DL33" i="71"/>
  <c r="EY24" i="71"/>
  <c r="CK30" i="71"/>
  <c r="EY9" i="71"/>
  <c r="EM31" i="71"/>
  <c r="DC32" i="71"/>
  <c r="DO18" i="71"/>
  <c r="DL9" i="71"/>
  <c r="EM29" i="71"/>
  <c r="ED10" i="71"/>
  <c r="FB20" i="71"/>
  <c r="CT27" i="71"/>
  <c r="EP29" i="71"/>
  <c r="CW31" i="71"/>
  <c r="DI25" i="71"/>
  <c r="DC26" i="71"/>
  <c r="BG35" i="71"/>
  <c r="CE14" i="71"/>
  <c r="AY10" i="69" a="1"/>
  <c r="AY10" i="69" s="1"/>
  <c r="EP22" i="71"/>
  <c r="AX184" i="13"/>
  <c r="A284" i="13"/>
  <c r="A261" i="13"/>
  <c r="AX161" i="13"/>
  <c r="AZ64" i="4"/>
  <c r="C22" i="1"/>
  <c r="I87" i="4"/>
  <c r="C87" i="1"/>
  <c r="A252" i="13"/>
  <c r="AX152" i="13"/>
  <c r="CU32" i="4"/>
  <c r="CV32" i="4" s="1"/>
  <c r="AX32" i="4"/>
  <c r="CK14" i="71"/>
  <c r="CK11" i="71"/>
  <c r="CK4" i="71"/>
  <c r="CK36" i="71"/>
  <c r="CK34" i="71"/>
  <c r="CK19" i="71"/>
  <c r="CK24" i="71"/>
  <c r="CK7" i="71"/>
  <c r="CK29" i="71"/>
  <c r="CK25" i="71"/>
  <c r="CK26" i="71"/>
  <c r="CK20" i="71"/>
  <c r="CK35" i="71"/>
  <c r="CK32" i="71"/>
  <c r="CK33" i="71"/>
  <c r="CK15" i="71"/>
  <c r="CL38" i="71"/>
  <c r="CK16" i="71"/>
  <c r="CK27" i="71"/>
  <c r="CK31" i="71"/>
  <c r="CK28" i="71"/>
  <c r="CK12" i="71"/>
  <c r="CK5" i="71"/>
  <c r="CK18" i="71"/>
  <c r="CK22" i="71"/>
  <c r="AX14" i="4"/>
  <c r="CU14" i="4"/>
  <c r="CV14" i="4" s="1"/>
  <c r="AI32" i="71"/>
  <c r="AI8" i="71"/>
  <c r="AI4" i="71"/>
  <c r="AI12" i="71"/>
  <c r="AI31" i="71"/>
  <c r="AI21" i="71"/>
  <c r="AI35" i="71"/>
  <c r="AI14" i="71"/>
  <c r="AJ38" i="71"/>
  <c r="AI7" i="71"/>
  <c r="AI9" i="71"/>
  <c r="AI18" i="71"/>
  <c r="AI20" i="71"/>
  <c r="AI6" i="71"/>
  <c r="AI17" i="71"/>
  <c r="AI27" i="71"/>
  <c r="AI28" i="71"/>
  <c r="AI13" i="71"/>
  <c r="AI26" i="71"/>
  <c r="AI23" i="71"/>
  <c r="AI19" i="71"/>
  <c r="AI22" i="71"/>
  <c r="AI34" i="71"/>
  <c r="AI24" i="71"/>
  <c r="AI16" i="71"/>
  <c r="AI36" i="71"/>
  <c r="AI10" i="71"/>
  <c r="AI30" i="71"/>
  <c r="AI5" i="71"/>
  <c r="AI33" i="71"/>
  <c r="AI25" i="71"/>
  <c r="AZ63" i="4"/>
  <c r="AX1172" i="13"/>
  <c r="A1271" i="13"/>
  <c r="A1284" i="13"/>
  <c r="AX1185" i="13"/>
  <c r="AS15" i="4"/>
  <c r="AV617" i="13" s="1"/>
  <c r="M69" i="4"/>
  <c r="C69" i="1"/>
  <c r="AZ68" i="4"/>
  <c r="AX33" i="4"/>
  <c r="CU33" i="4"/>
  <c r="CV33" i="4" s="1"/>
  <c r="CN19" i="71"/>
  <c r="CN34" i="71"/>
  <c r="CN33" i="71"/>
  <c r="CN11" i="71"/>
  <c r="CN35" i="71"/>
  <c r="CN30" i="71"/>
  <c r="CN18" i="71"/>
  <c r="CN36" i="71"/>
  <c r="CN31" i="71"/>
  <c r="CN9" i="71"/>
  <c r="CN14" i="71"/>
  <c r="CN7" i="71"/>
  <c r="CN17" i="71"/>
  <c r="CN28" i="71"/>
  <c r="CN20" i="71"/>
  <c r="CN27" i="71"/>
  <c r="CO38" i="71"/>
  <c r="CN10" i="71"/>
  <c r="CN12" i="71"/>
  <c r="CN21" i="71"/>
  <c r="CN26" i="71"/>
  <c r="CN24" i="71"/>
  <c r="CN32" i="71"/>
  <c r="CN6" i="71"/>
  <c r="A255" i="13"/>
  <c r="AX155" i="13"/>
  <c r="BS95" i="4"/>
  <c r="BS56" i="4"/>
  <c r="C73" i="1"/>
  <c r="AZ90" i="4"/>
  <c r="H30" i="9"/>
  <c r="F10" i="72"/>
  <c r="F10" i="69"/>
  <c r="A67" i="4"/>
  <c r="AS19" i="4"/>
  <c r="AV621" i="13" s="1"/>
  <c r="AS38" i="4"/>
  <c r="AV640" i="13" s="1"/>
  <c r="AX44" i="4"/>
  <c r="CU44" i="4"/>
  <c r="CV44" i="4" s="1"/>
  <c r="DU19" i="71"/>
  <c r="DU16" i="71"/>
  <c r="DU14" i="71"/>
  <c r="DU7" i="71"/>
  <c r="DU8" i="71"/>
  <c r="DU29" i="71"/>
  <c r="DU13" i="71"/>
  <c r="DU15" i="71"/>
  <c r="DU30" i="71"/>
  <c r="DU20" i="71"/>
  <c r="DU31" i="71"/>
  <c r="DU26" i="71"/>
  <c r="DU27" i="71"/>
  <c r="DU33" i="71"/>
  <c r="DU36" i="71"/>
  <c r="DU12" i="71"/>
  <c r="DU18" i="71"/>
  <c r="DU23" i="71"/>
  <c r="DU11" i="71"/>
  <c r="DU35" i="71"/>
  <c r="DU25" i="71"/>
  <c r="DU9" i="71"/>
  <c r="DU28" i="71"/>
  <c r="DU24" i="71"/>
  <c r="AZ81" i="4"/>
  <c r="AX1165" i="13"/>
  <c r="A1264" i="13"/>
  <c r="AZ85" i="4"/>
  <c r="C85" i="1"/>
  <c r="C31" i="1"/>
  <c r="AX167" i="13"/>
  <c r="A267" i="13"/>
  <c r="N4" i="72" a="1"/>
  <c r="N4" i="72" s="1"/>
  <c r="T4" i="72"/>
  <c r="BG4" i="72"/>
  <c r="AV4" i="72"/>
  <c r="J4" i="72"/>
  <c r="A4" i="72"/>
  <c r="BY4" i="72"/>
  <c r="P4" i="72"/>
  <c r="AB4" i="72" a="1"/>
  <c r="AB4" i="72" s="1"/>
  <c r="AC4" i="72"/>
  <c r="Y4" i="72"/>
  <c r="L4" i="72"/>
  <c r="AW4" i="72"/>
  <c r="Q4" i="72"/>
  <c r="M4" i="72"/>
  <c r="AD4" i="72"/>
  <c r="BF4" i="72"/>
  <c r="K4" i="72" a="1"/>
  <c r="K4" i="72" s="1"/>
  <c r="AA4" i="72"/>
  <c r="V4" i="72"/>
  <c r="Z4" i="72"/>
  <c r="W4" i="72"/>
  <c r="DV3" i="4"/>
  <c r="AV505" i="13"/>
  <c r="EA20" i="71"/>
  <c r="BP14" i="71"/>
  <c r="ED16" i="71"/>
  <c r="CE17" i="71"/>
  <c r="DU32" i="71"/>
  <c r="EA21" i="71"/>
  <c r="BE38" i="71"/>
  <c r="DO10" i="71"/>
  <c r="DC6" i="71"/>
  <c r="BY30" i="71"/>
  <c r="BH38" i="71"/>
  <c r="CT24" i="71"/>
  <c r="BY5" i="71"/>
  <c r="AC27" i="71"/>
  <c r="BP25" i="71"/>
  <c r="EP24" i="71"/>
  <c r="DO13" i="71"/>
  <c r="AO9" i="71"/>
  <c r="EP4" i="71"/>
  <c r="AO29" i="71"/>
  <c r="AY9" i="69" a="1"/>
  <c r="AY9" i="69" s="1"/>
  <c r="CE26" i="71"/>
  <c r="BY47" i="4" a="1"/>
  <c r="BY47" i="4" s="1"/>
  <c r="BZ47" i="4" a="1"/>
  <c r="BZ47" i="4" s="1"/>
  <c r="BX47" i="4" s="1" a="1"/>
  <c r="BX47" i="4" s="1"/>
  <c r="AX1115" i="13"/>
  <c r="A1214" i="13"/>
  <c r="BA35" i="4" a="1"/>
  <c r="BA35" i="4" s="1"/>
  <c r="BB35" i="4" s="1"/>
  <c r="AV137" i="13" s="1"/>
  <c r="B35" i="4"/>
  <c r="J654" i="15"/>
  <c r="B64" i="4"/>
  <c r="BA64" i="4" a="1"/>
  <c r="BA64" i="4" s="1"/>
  <c r="AX1133" i="13"/>
  <c r="A1232" i="13"/>
  <c r="BA48" i="4" a="1"/>
  <c r="BA48" i="4" s="1"/>
  <c r="BB48" i="4" s="1"/>
  <c r="AV150" i="13" s="1"/>
  <c r="B48" i="4"/>
  <c r="BA30" i="4" a="1"/>
  <c r="BA30" i="4" s="1"/>
  <c r="BB30" i="4" s="1"/>
  <c r="AV132" i="13" s="1"/>
  <c r="B30" i="4"/>
  <c r="A210" i="13"/>
  <c r="AX110" i="13"/>
  <c r="BZ16" i="4" a="1"/>
  <c r="BZ16" i="4" s="1"/>
  <c r="BX16" i="4" s="1" a="1"/>
  <c r="BX16" i="4" s="1"/>
  <c r="BY16" i="4" a="1"/>
  <c r="BY16" i="4" s="1"/>
  <c r="BZ79" i="4" a="1"/>
  <c r="BZ79" i="4" s="1"/>
  <c r="BX79" i="4" s="1" a="1"/>
  <c r="BX79" i="4" s="1"/>
  <c r="BY79" i="4" a="1"/>
  <c r="BY79" i="4" s="1"/>
  <c r="BZ51" i="4" a="1"/>
  <c r="BZ51" i="4" s="1"/>
  <c r="BX51" i="4" s="1" a="1"/>
  <c r="BX51" i="4" s="1"/>
  <c r="BY51" i="4" a="1"/>
  <c r="BY51" i="4" s="1"/>
  <c r="A272" i="13"/>
  <c r="AX172" i="13"/>
  <c r="K96" i="4"/>
  <c r="BY17" i="4" a="1"/>
  <c r="BY17" i="4" s="1"/>
  <c r="BZ17" i="4" a="1"/>
  <c r="BZ17" i="4" s="1"/>
  <c r="BX17" i="4" s="1" a="1"/>
  <c r="BX17" i="4" s="1"/>
  <c r="AX48" i="4"/>
  <c r="CU48" i="4"/>
  <c r="CV48" i="4" s="1"/>
  <c r="EG17" i="71"/>
  <c r="EG6" i="71"/>
  <c r="EG8" i="71"/>
  <c r="EG18" i="71"/>
  <c r="EG12" i="71"/>
  <c r="EG35" i="71"/>
  <c r="EG10" i="71"/>
  <c r="EG16" i="71"/>
  <c r="EG32" i="71"/>
  <c r="EG19" i="71"/>
  <c r="EG7" i="71"/>
  <c r="EG14" i="71"/>
  <c r="EG33" i="71"/>
  <c r="EG11" i="71"/>
  <c r="EG24" i="71"/>
  <c r="EG25" i="71"/>
  <c r="EG22" i="71"/>
  <c r="EG5" i="71"/>
  <c r="EG36" i="71"/>
  <c r="EG20" i="71"/>
  <c r="EG23" i="71"/>
  <c r="EG9" i="71"/>
  <c r="EG29" i="71"/>
  <c r="EG28" i="71"/>
  <c r="EG31" i="71"/>
  <c r="A273" i="13"/>
  <c r="AX173" i="13"/>
  <c r="AS35" i="4"/>
  <c r="AV637" i="13" s="1"/>
  <c r="H18" i="9"/>
  <c r="CU50" i="4"/>
  <c r="CV50" i="4" s="1"/>
  <c r="AX50" i="4"/>
  <c r="EP19" i="71"/>
  <c r="EP10" i="71"/>
  <c r="EP27" i="71"/>
  <c r="EP16" i="71"/>
  <c r="EQ38" i="71"/>
  <c r="EP12" i="71"/>
  <c r="EP21" i="71"/>
  <c r="EP5" i="71"/>
  <c r="EP28" i="71"/>
  <c r="EP6" i="71"/>
  <c r="EP36" i="71"/>
  <c r="EP20" i="71"/>
  <c r="EP33" i="71"/>
  <c r="EP13" i="71"/>
  <c r="EP18" i="71"/>
  <c r="EP15" i="71"/>
  <c r="EP31" i="71"/>
  <c r="EP30" i="71"/>
  <c r="EP32" i="71"/>
  <c r="E175" i="15"/>
  <c r="E405" i="15"/>
  <c r="E510" i="15"/>
  <c r="E368" i="15"/>
  <c r="F368" i="15" s="1" a="1"/>
  <c r="F368" i="15" s="1"/>
  <c r="E359" i="15"/>
  <c r="DE4" i="4"/>
  <c r="E4" i="4"/>
  <c r="BT4" i="4" s="1"/>
  <c r="CW4" i="4"/>
  <c r="CX4" i="4" s="1"/>
  <c r="DA4" i="4" a="1"/>
  <c r="DA4" i="4" s="1"/>
  <c r="AD4" i="4"/>
  <c r="I79" i="4"/>
  <c r="DE27" i="4"/>
  <c r="E27" i="4"/>
  <c r="V96" i="69"/>
  <c r="C74" i="1"/>
  <c r="M87" i="4"/>
  <c r="B14" i="4"/>
  <c r="BA14" i="4" a="1"/>
  <c r="BA14" i="4" s="1"/>
  <c r="BB14" i="4" s="1"/>
  <c r="AV116" i="13" s="1"/>
  <c r="J526" i="15"/>
  <c r="J585" i="15"/>
  <c r="Z1823" i="13"/>
  <c r="B1823" i="13" s="1" a="1"/>
  <c r="B1823" i="13" s="1"/>
  <c r="A1265" i="13"/>
  <c r="AX1166" i="13"/>
  <c r="K69" i="4"/>
  <c r="AX53" i="4"/>
  <c r="CU53" i="4"/>
  <c r="CV53" i="4" s="1"/>
  <c r="EY8" i="71"/>
  <c r="EY27" i="71"/>
  <c r="EY23" i="71"/>
  <c r="EY20" i="71"/>
  <c r="EY31" i="71"/>
  <c r="EY6" i="71"/>
  <c r="EY32" i="71"/>
  <c r="EY29" i="71"/>
  <c r="EY13" i="71"/>
  <c r="EY16" i="71"/>
  <c r="EY12" i="71"/>
  <c r="EY22" i="71"/>
  <c r="EY30" i="71"/>
  <c r="EY25" i="71"/>
  <c r="EY15" i="71"/>
  <c r="EY11" i="71"/>
  <c r="EY33" i="71"/>
  <c r="EY14" i="71"/>
  <c r="EY36" i="71"/>
  <c r="EY34" i="71"/>
  <c r="EY26" i="71"/>
  <c r="EY21" i="71"/>
  <c r="EY10" i="71"/>
  <c r="EY17" i="71"/>
  <c r="DE12" i="4"/>
  <c r="E12" i="4"/>
  <c r="BD12" i="4" s="1"/>
  <c r="BA25" i="4" a="1"/>
  <c r="BA25" i="4" s="1"/>
  <c r="BB25" i="4" s="1"/>
  <c r="AV127" i="13" s="1"/>
  <c r="B25" i="4"/>
  <c r="J583" i="15"/>
  <c r="J574" i="15"/>
  <c r="I68" i="4"/>
  <c r="A1250" i="13"/>
  <c r="AX1151" i="13"/>
  <c r="A243" i="13"/>
  <c r="AX143" i="13"/>
  <c r="I90" i="4"/>
  <c r="A246" i="13"/>
  <c r="AX146" i="13"/>
  <c r="AS28" i="4"/>
  <c r="AV630" i="13" s="1"/>
  <c r="AV1306" i="13"/>
  <c r="G10" i="69"/>
  <c r="G10" i="72"/>
  <c r="CW9" i="4"/>
  <c r="CX9" i="4" s="1"/>
  <c r="DE9" i="4"/>
  <c r="E9" i="4"/>
  <c r="BT9" i="4" s="1"/>
  <c r="F9" i="4"/>
  <c r="BL9" i="4" s="1"/>
  <c r="E50" i="15"/>
  <c r="E329" i="15"/>
  <c r="AP9" i="4"/>
  <c r="U9" i="72" s="1" a="1"/>
  <c r="U9" i="72" s="1"/>
  <c r="E663" i="15"/>
  <c r="AD9" i="4"/>
  <c r="E179" i="15"/>
  <c r="E154" i="15"/>
  <c r="Z9" i="4"/>
  <c r="DA9" i="4" a="1"/>
  <c r="DA9" i="4" s="1"/>
  <c r="AL9" i="4"/>
  <c r="E178" i="15"/>
  <c r="E338" i="15"/>
  <c r="E563" i="15"/>
  <c r="E353" i="15"/>
  <c r="E664" i="15"/>
  <c r="E575" i="15"/>
  <c r="AH9" i="4"/>
  <c r="AZ67" i="4"/>
  <c r="A84" i="4"/>
  <c r="BA42" i="4" a="1"/>
  <c r="BA42" i="4" s="1"/>
  <c r="BB42" i="4" s="1"/>
  <c r="AV144" i="13" s="1"/>
  <c r="B42" i="4"/>
  <c r="J537" i="15"/>
  <c r="J571" i="15"/>
  <c r="BA19" i="4" a="1"/>
  <c r="BA19" i="4" s="1"/>
  <c r="BB19" i="4" s="1"/>
  <c r="AV121" i="13" s="1"/>
  <c r="B19" i="4"/>
  <c r="J569" i="15"/>
  <c r="J653" i="15"/>
  <c r="J634" i="15"/>
  <c r="J656" i="15"/>
  <c r="H40" i="9"/>
  <c r="A274" i="13"/>
  <c r="AX174" i="13"/>
  <c r="M81" i="4"/>
  <c r="H23" i="9"/>
  <c r="B31" i="4"/>
  <c r="BA31" i="4" a="1"/>
  <c r="BA31" i="4" s="1"/>
  <c r="BB31" i="4" s="1"/>
  <c r="AV133" i="13" s="1"/>
  <c r="J533" i="15"/>
  <c r="J551" i="15"/>
  <c r="J579" i="15"/>
  <c r="J528" i="15"/>
  <c r="BY49" i="4" a="1"/>
  <c r="BY49" i="4" s="1"/>
  <c r="BZ49" i="4" a="1"/>
  <c r="BZ49" i="4" s="1"/>
  <c r="BX49" i="4" s="1" a="1"/>
  <c r="BX49" i="4" s="1"/>
  <c r="A245" i="13"/>
  <c r="AX145" i="13"/>
  <c r="AX183" i="13"/>
  <c r="A283" i="13"/>
  <c r="AV1200" i="13"/>
  <c r="S3" i="72"/>
  <c r="S3" i="69"/>
  <c r="B3" i="72"/>
  <c r="B3" i="69"/>
  <c r="CV3" i="4"/>
  <c r="BP8" i="71"/>
  <c r="BP31" i="71"/>
  <c r="BA30" i="71"/>
  <c r="EY19" i="71"/>
  <c r="AO10" i="71"/>
  <c r="AQ10" i="72"/>
  <c r="DI6" i="71"/>
  <c r="CT5" i="71"/>
  <c r="DU22" i="71"/>
  <c r="J644" i="15"/>
  <c r="BA35" i="71"/>
  <c r="CE8" i="71"/>
  <c r="L9" i="69"/>
  <c r="BD9" i="69"/>
  <c r="BG9" i="69"/>
  <c r="R9" i="69"/>
  <c r="BQ9" i="69" a="1"/>
  <c r="BQ9" i="69" s="1"/>
  <c r="BP9" i="69"/>
  <c r="BO9" i="69" s="1"/>
  <c r="BR9" i="69" s="1"/>
  <c r="E9" i="69"/>
  <c r="DC18" i="71"/>
  <c r="ED22" i="71"/>
  <c r="DC8" i="71"/>
  <c r="AO32" i="71"/>
  <c r="CW5" i="71"/>
  <c r="EP11" i="71"/>
  <c r="BV9" i="71"/>
  <c r="Z1609" i="13"/>
  <c r="S17" i="4"/>
  <c r="T17" i="4"/>
  <c r="ED14" i="71"/>
  <c r="EY5" i="71"/>
  <c r="CN16" i="71"/>
  <c r="CH22" i="71"/>
  <c r="DO22" i="71"/>
  <c r="CN25" i="71"/>
  <c r="J534" i="15"/>
  <c r="AX51" i="4"/>
  <c r="CU51" i="4"/>
  <c r="CV51" i="4" s="1"/>
  <c r="ES5" i="71"/>
  <c r="ES6" i="71"/>
  <c r="ES11" i="71"/>
  <c r="ES10" i="71"/>
  <c r="ES27" i="71"/>
  <c r="ES18" i="71"/>
  <c r="ES34" i="71"/>
  <c r="ES8" i="71"/>
  <c r="ES30" i="71"/>
  <c r="ES13" i="71"/>
  <c r="ES32" i="71"/>
  <c r="ES9" i="71"/>
  <c r="ES23" i="71"/>
  <c r="ES16" i="71"/>
  <c r="ES25" i="71"/>
  <c r="ES21" i="71"/>
  <c r="ES26" i="71"/>
  <c r="ES20" i="71"/>
  <c r="ES14" i="71"/>
  <c r="ES7" i="71"/>
  <c r="ET38" i="71"/>
  <c r="ES15" i="71"/>
  <c r="ES36" i="71"/>
  <c r="ES33" i="71"/>
  <c r="ES24" i="71"/>
  <c r="ES35" i="71"/>
  <c r="ES29" i="71"/>
  <c r="ES31" i="71"/>
  <c r="H55" i="4"/>
  <c r="A57" i="13"/>
  <c r="AZ58" i="4"/>
  <c r="I58" i="4"/>
  <c r="M94" i="4"/>
  <c r="Z96" i="69"/>
  <c r="A82" i="4"/>
  <c r="BS65" i="4"/>
  <c r="M96" i="4"/>
  <c r="A88" i="4"/>
  <c r="I94" i="4"/>
  <c r="M76" i="4"/>
  <c r="BS82" i="4"/>
  <c r="M65" i="4"/>
  <c r="AZ88" i="4"/>
  <c r="I91" i="4"/>
  <c r="I93" i="4"/>
  <c r="AZ76" i="4"/>
  <c r="I82" i="4"/>
  <c r="BS70" i="4"/>
  <c r="M61" i="4"/>
  <c r="A65" i="4"/>
  <c r="K91" i="4"/>
  <c r="BS93" i="4"/>
  <c r="A76" i="4"/>
  <c r="K82" i="4"/>
  <c r="A70" i="4"/>
  <c r="BS61" i="4"/>
  <c r="C94" i="1"/>
  <c r="BS88" i="4"/>
  <c r="AZ91" i="4"/>
  <c r="M93" i="4"/>
  <c r="BS76" i="4"/>
  <c r="M82" i="4"/>
  <c r="M70" i="4"/>
  <c r="K61" i="4"/>
  <c r="A58" i="4"/>
  <c r="K88" i="4"/>
  <c r="A71" i="4"/>
  <c r="A91" i="4"/>
  <c r="A93" i="4"/>
  <c r="K89" i="4"/>
  <c r="K76" i="4"/>
  <c r="M59" i="4"/>
  <c r="AZ70" i="4"/>
  <c r="AZ75" i="4"/>
  <c r="I61" i="4"/>
  <c r="AZ77" i="4"/>
  <c r="M88" i="4"/>
  <c r="M71" i="4"/>
  <c r="BS91" i="4"/>
  <c r="K93" i="4"/>
  <c r="M89" i="4"/>
  <c r="I76" i="4"/>
  <c r="K59" i="4"/>
  <c r="I70" i="4"/>
  <c r="K75" i="4"/>
  <c r="AZ61" i="4"/>
  <c r="A77" i="4"/>
  <c r="I88" i="4"/>
  <c r="AZ71" i="4"/>
  <c r="M91" i="4"/>
  <c r="AZ93" i="4"/>
  <c r="AZ89" i="4"/>
  <c r="A59" i="4"/>
  <c r="K70" i="4"/>
  <c r="BS75" i="4"/>
  <c r="A61" i="4"/>
  <c r="BS77" i="4"/>
  <c r="K71" i="4"/>
  <c r="I89" i="4"/>
  <c r="BS59" i="4"/>
  <c r="M75" i="4"/>
  <c r="K58" i="4"/>
  <c r="K77" i="4"/>
  <c r="I71" i="4"/>
  <c r="A89" i="4"/>
  <c r="I59" i="4"/>
  <c r="A75" i="4"/>
  <c r="V95" i="72"/>
  <c r="I77" i="4"/>
  <c r="AZ65" i="4"/>
  <c r="BS71" i="4"/>
  <c r="BS89" i="4"/>
  <c r="AZ59" i="4"/>
  <c r="I75" i="4"/>
  <c r="C58" i="1"/>
  <c r="A94" i="4"/>
  <c r="M77" i="4"/>
  <c r="K65" i="4"/>
  <c r="AZ94" i="4"/>
  <c r="AZ82" i="4"/>
  <c r="I65" i="4"/>
  <c r="K94" i="4"/>
  <c r="A278" i="13"/>
  <c r="AX178" i="13"/>
  <c r="C35" i="1"/>
  <c r="A79" i="4"/>
  <c r="BA51" i="4" a="1"/>
  <c r="BA51" i="4" s="1"/>
  <c r="BB51" i="4" s="1"/>
  <c r="AV153" i="13" s="1"/>
  <c r="B51" i="4"/>
  <c r="J525" i="15"/>
  <c r="M95" i="4"/>
  <c r="Z1845" i="13"/>
  <c r="B1845" i="13" s="1" a="1"/>
  <c r="B1845" i="13" s="1"/>
  <c r="AX153" i="13"/>
  <c r="A253" i="13"/>
  <c r="A229" i="13"/>
  <c r="AX129" i="13"/>
  <c r="A1219" i="13"/>
  <c r="AX1120" i="13"/>
  <c r="BS62" i="4"/>
  <c r="AX119" i="13"/>
  <c r="A219" i="13"/>
  <c r="A250" i="13"/>
  <c r="AX150" i="13"/>
  <c r="A1229" i="13"/>
  <c r="AX1130" i="13"/>
  <c r="C64" i="1"/>
  <c r="M79" i="4"/>
  <c r="AX1112" i="13"/>
  <c r="A1211" i="13"/>
  <c r="C40" i="1"/>
  <c r="V94" i="69"/>
  <c r="A74" i="4"/>
  <c r="BY74" i="4" a="1"/>
  <c r="BY74" i="4" s="1"/>
  <c r="BZ74" i="4" a="1"/>
  <c r="BZ74" i="4" s="1"/>
  <c r="BX74" i="4" s="1" a="1"/>
  <c r="BX74" i="4" s="1"/>
  <c r="A1263" i="13"/>
  <c r="AX1164" i="13"/>
  <c r="K87" i="4"/>
  <c r="AS87" i="4" s="1"/>
  <c r="AV689" i="13" s="1"/>
  <c r="H34" i="9"/>
  <c r="AX1176" i="13"/>
  <c r="A1275" i="13"/>
  <c r="Z95" i="72"/>
  <c r="C63" i="1"/>
  <c r="H48" i="9"/>
  <c r="I69" i="4"/>
  <c r="AZ83" i="4"/>
  <c r="C83" i="1"/>
  <c r="CU41" i="4"/>
  <c r="CV41" i="4" s="1"/>
  <c r="AX41" i="4"/>
  <c r="DL18" i="71"/>
  <c r="DL30" i="71"/>
  <c r="DL21" i="71"/>
  <c r="DL22" i="71"/>
  <c r="DL25" i="71"/>
  <c r="DL12" i="71"/>
  <c r="DL5" i="71"/>
  <c r="DL7" i="71"/>
  <c r="DL19" i="71"/>
  <c r="DL4" i="71"/>
  <c r="DL8" i="71"/>
  <c r="DL32" i="71"/>
  <c r="DL23" i="71"/>
  <c r="DL20" i="71"/>
  <c r="DM38" i="71"/>
  <c r="DL29" i="71"/>
  <c r="DL28" i="71"/>
  <c r="DL31" i="71"/>
  <c r="DL24" i="71"/>
  <c r="DL35" i="71"/>
  <c r="DL26" i="71"/>
  <c r="DL11" i="71"/>
  <c r="DL13" i="71"/>
  <c r="DL36" i="71"/>
  <c r="DL17" i="71"/>
  <c r="DL15" i="71"/>
  <c r="CU54" i="4"/>
  <c r="CV54" i="4" s="1"/>
  <c r="AX54" i="4"/>
  <c r="FB10" i="71"/>
  <c r="FB17" i="71"/>
  <c r="FB32" i="71"/>
  <c r="FB4" i="71"/>
  <c r="FB6" i="71"/>
  <c r="FB36" i="71"/>
  <c r="FB19" i="71"/>
  <c r="FB13" i="71"/>
  <c r="FB27" i="71"/>
  <c r="FC38" i="71"/>
  <c r="FB22" i="71"/>
  <c r="FB14" i="71"/>
  <c r="FB5" i="71"/>
  <c r="FB35" i="71"/>
  <c r="FB23" i="71"/>
  <c r="FB8" i="71"/>
  <c r="FB16" i="71"/>
  <c r="FB24" i="71"/>
  <c r="FB18" i="71"/>
  <c r="FB21" i="71"/>
  <c r="FB26" i="71"/>
  <c r="BY25" i="4" a="1"/>
  <c r="BY25" i="4" s="1"/>
  <c r="BZ25" i="4" a="1"/>
  <c r="BZ25" i="4" s="1"/>
  <c r="BX25" i="4" s="1" a="1"/>
  <c r="BX25" i="4" s="1"/>
  <c r="BS68" i="4"/>
  <c r="Z1843" i="13"/>
  <c r="B1843" i="13" s="1" a="1"/>
  <c r="B1843" i="13" s="1"/>
  <c r="A240" i="13"/>
  <c r="AX140" i="13"/>
  <c r="A1235" i="13"/>
  <c r="AX1136" i="13"/>
  <c r="BY73" i="4" a="1"/>
  <c r="BY73" i="4" s="1"/>
  <c r="BZ73" i="4" a="1"/>
  <c r="BZ73" i="4" s="1"/>
  <c r="BX73" i="4" s="1" a="1"/>
  <c r="BX73" i="4" s="1"/>
  <c r="M67" i="4"/>
  <c r="AZ84" i="4"/>
  <c r="A1270" i="13"/>
  <c r="AX1171" i="13"/>
  <c r="K81" i="4"/>
  <c r="C92" i="1"/>
  <c r="AX186" i="13"/>
  <c r="A286" i="13"/>
  <c r="I85" i="4"/>
  <c r="AX1175" i="13"/>
  <c r="A1274" i="13"/>
  <c r="A1240" i="13"/>
  <c r="AX1141" i="13"/>
  <c r="C72" i="1"/>
  <c r="I3" i="69"/>
  <c r="I3" i="72"/>
  <c r="AV3" i="72"/>
  <c r="AR3" i="69"/>
  <c r="AX194" i="13"/>
  <c r="A294" i="13"/>
  <c r="FB25" i="71"/>
  <c r="CT20" i="71"/>
  <c r="CH35" i="71"/>
  <c r="CX38" i="71"/>
  <c r="CE12" i="71"/>
  <c r="DC31" i="71"/>
  <c r="CE11" i="71"/>
  <c r="CK17" i="71"/>
  <c r="CW25" i="71"/>
  <c r="BG9" i="71"/>
  <c r="BK9" i="72"/>
  <c r="R9" i="72"/>
  <c r="BH9" i="72"/>
  <c r="AR9" i="72"/>
  <c r="AT9" i="72" a="1"/>
  <c r="AT9" i="72" s="1"/>
  <c r="BU9" i="72" a="1"/>
  <c r="BU9" i="72" s="1"/>
  <c r="BT9" i="72"/>
  <c r="BS9" i="72" s="1"/>
  <c r="BV9" i="72" s="1"/>
  <c r="E9" i="72"/>
  <c r="L9" i="72"/>
  <c r="BC9" i="72" a="1"/>
  <c r="BC9" i="72" s="1"/>
  <c r="CK9" i="71"/>
  <c r="DX25" i="71"/>
  <c r="CW19" i="71"/>
  <c r="CH36" i="71"/>
  <c r="CT35" i="71"/>
  <c r="DU34" i="71"/>
  <c r="CN22" i="71"/>
  <c r="CN8" i="71"/>
  <c r="CT18" i="71"/>
  <c r="BD9" i="71"/>
  <c r="BS87" i="4"/>
  <c r="AX1177" i="13"/>
  <c r="A1276" i="13"/>
  <c r="AX180" i="13"/>
  <c r="A280" i="13"/>
  <c r="K95" i="4"/>
  <c r="AS95" i="4" s="1"/>
  <c r="AV697" i="13" s="1"/>
  <c r="BZ46" i="4" a="1"/>
  <c r="BZ46" i="4" s="1"/>
  <c r="BX46" i="4" s="1" a="1"/>
  <c r="BX46" i="4" s="1"/>
  <c r="BY46" i="4" a="1"/>
  <c r="BY46" i="4" s="1"/>
  <c r="CU46" i="4"/>
  <c r="CV46" i="4" s="1"/>
  <c r="AX46" i="4"/>
  <c r="EA26" i="71"/>
  <c r="EA5" i="71"/>
  <c r="EA17" i="71"/>
  <c r="EA23" i="71"/>
  <c r="EA11" i="71"/>
  <c r="EA15" i="71"/>
  <c r="EB38" i="71"/>
  <c r="EA36" i="71"/>
  <c r="EA16" i="71"/>
  <c r="EA28" i="71"/>
  <c r="EA29" i="71"/>
  <c r="EA12" i="71"/>
  <c r="EA30" i="71"/>
  <c r="EA32" i="71"/>
  <c r="EA24" i="71"/>
  <c r="EA10" i="71"/>
  <c r="EA8" i="71"/>
  <c r="EA34" i="71"/>
  <c r="EA22" i="71"/>
  <c r="EA33" i="71"/>
  <c r="EA4" i="71"/>
  <c r="EA18" i="71"/>
  <c r="EA13" i="71"/>
  <c r="EA35" i="71"/>
  <c r="BZ66" i="4" a="1"/>
  <c r="BZ66" i="4" s="1"/>
  <c r="BX66" i="4" s="1" a="1"/>
  <c r="BX66" i="4" s="1"/>
  <c r="BY66" i="4" a="1"/>
  <c r="BY66" i="4" s="1"/>
  <c r="AX189" i="13"/>
  <c r="A289" i="13"/>
  <c r="AX127" i="13"/>
  <c r="A227" i="13"/>
  <c r="A69" i="4"/>
  <c r="M83" i="4"/>
  <c r="C25" i="1"/>
  <c r="M68" i="4"/>
  <c r="B33" i="4"/>
  <c r="DE33" i="4" s="1"/>
  <c r="BA33" i="4" a="1"/>
  <c r="BA33" i="4" s="1"/>
  <c r="BB33" i="4" s="1"/>
  <c r="AV135" i="13" s="1"/>
  <c r="J602" i="15"/>
  <c r="J605" i="15"/>
  <c r="J628" i="15"/>
  <c r="J624" i="15"/>
  <c r="J645" i="15"/>
  <c r="J618" i="15"/>
  <c r="J513" i="15"/>
  <c r="J489" i="15"/>
  <c r="AX147" i="13"/>
  <c r="A247" i="13"/>
  <c r="AX135" i="13"/>
  <c r="A235" i="13"/>
  <c r="AZ95" i="4"/>
  <c r="I67" i="4"/>
  <c r="H69" i="9" s="1"/>
  <c r="M84" i="4"/>
  <c r="A258" i="13"/>
  <c r="AX158" i="13"/>
  <c r="AX19" i="4"/>
  <c r="CU19" i="4"/>
  <c r="CV19" i="4" s="1"/>
  <c r="AX11" i="71"/>
  <c r="AX14" i="71"/>
  <c r="AX17" i="71"/>
  <c r="AX22" i="71"/>
  <c r="AX13" i="71"/>
  <c r="AX32" i="71"/>
  <c r="AX25" i="71"/>
  <c r="AX26" i="71"/>
  <c r="AX29" i="71"/>
  <c r="AX28" i="71"/>
  <c r="AX16" i="71"/>
  <c r="AX6" i="71"/>
  <c r="AX5" i="71"/>
  <c r="AX33" i="71"/>
  <c r="AX24" i="71"/>
  <c r="AX30" i="71"/>
  <c r="AX31" i="71"/>
  <c r="AX10" i="71"/>
  <c r="AX21" i="71"/>
  <c r="AX9" i="71"/>
  <c r="AX18" i="71"/>
  <c r="AX15" i="71"/>
  <c r="AX35" i="71"/>
  <c r="AX23" i="71"/>
  <c r="AX12" i="71"/>
  <c r="AY38" i="71"/>
  <c r="AX36" i="71"/>
  <c r="AX27" i="71"/>
  <c r="AX20" i="71"/>
  <c r="BY44" i="4" a="1"/>
  <c r="BY44" i="4" s="1"/>
  <c r="BZ44" i="4" a="1"/>
  <c r="BZ44" i="4" s="1"/>
  <c r="BX44" i="4" s="1" a="1"/>
  <c r="BX44" i="4" s="1"/>
  <c r="BS81" i="4"/>
  <c r="C21" i="1"/>
  <c r="M80" i="4"/>
  <c r="BY80" i="4" a="1"/>
  <c r="BY80" i="4" s="1"/>
  <c r="BZ80" i="4" a="1"/>
  <c r="BZ80" i="4" s="1"/>
  <c r="BX80" i="4" s="1" a="1"/>
  <c r="BX80" i="4" s="1"/>
  <c r="BY92" i="4" a="1"/>
  <c r="BY92" i="4" s="1"/>
  <c r="BZ92" i="4" a="1"/>
  <c r="BZ92" i="4" s="1"/>
  <c r="BX92" i="4" s="1" a="1"/>
  <c r="BX92" i="4" s="1"/>
  <c r="A1281" i="13"/>
  <c r="AX1182" i="13"/>
  <c r="K85" i="4"/>
  <c r="A220" i="13"/>
  <c r="AX120" i="13"/>
  <c r="C86" i="1"/>
  <c r="Z1875" i="13"/>
  <c r="B1875" i="13" s="1" a="1"/>
  <c r="B1875" i="13" s="1"/>
  <c r="AV305" i="13"/>
  <c r="U3" i="69" a="1"/>
  <c r="U3" i="69" s="1"/>
  <c r="A282" i="13"/>
  <c r="AX182" i="13"/>
  <c r="U10" i="69" a="1"/>
  <c r="U10" i="69" s="1"/>
  <c r="CW18" i="71"/>
  <c r="EA25" i="71"/>
  <c r="M9" i="69"/>
  <c r="FB30" i="71"/>
  <c r="FB33" i="71"/>
  <c r="J497" i="15"/>
  <c r="BE9" i="69"/>
  <c r="EG21" i="71"/>
  <c r="EA31" i="71"/>
  <c r="BD25" i="71"/>
  <c r="BG16" i="71"/>
  <c r="EA6" i="71"/>
  <c r="EG30" i="71"/>
  <c r="DO23" i="71"/>
  <c r="BD5" i="71"/>
  <c r="ED8" i="71"/>
  <c r="BG20" i="71"/>
  <c r="EM20" i="71"/>
  <c r="DL27" i="71"/>
  <c r="AX8" i="71"/>
  <c r="DX8" i="71"/>
  <c r="EM25" i="71"/>
  <c r="CT9" i="71"/>
  <c r="CH9" i="71"/>
  <c r="FB34" i="71"/>
  <c r="CN29" i="71"/>
  <c r="C60" i="4"/>
  <c r="K60" i="4"/>
  <c r="I60" i="4"/>
  <c r="BU60" i="4" a="1"/>
  <c r="BU60" i="4" s="1"/>
  <c r="BC60" i="4" a="1"/>
  <c r="BC60" i="4" s="1"/>
  <c r="A62" i="9"/>
  <c r="M60" i="4"/>
  <c r="A60" i="20"/>
  <c r="A60" i="4"/>
  <c r="S92" i="22"/>
  <c r="BV60" i="4" a="1"/>
  <c r="BV60" i="4" s="1"/>
  <c r="D60" i="4"/>
  <c r="D60" i="1"/>
  <c r="BS60" i="4"/>
  <c r="AZ60" i="4"/>
  <c r="AZ79" i="4"/>
  <c r="AS40" i="4"/>
  <c r="AV642" i="13" s="1"/>
  <c r="BY22" i="4" a="1"/>
  <c r="BY22" i="4" s="1"/>
  <c r="BZ22" i="4" a="1"/>
  <c r="BZ22" i="4" s="1"/>
  <c r="BX22" i="4" s="1" a="1"/>
  <c r="BX22" i="4" s="1"/>
  <c r="I74" i="4"/>
  <c r="AX148" i="13"/>
  <c r="A248" i="13"/>
  <c r="BY87" i="4" a="1"/>
  <c r="BY87" i="4" s="1"/>
  <c r="BZ87" i="4" a="1"/>
  <c r="BZ87" i="4" s="1"/>
  <c r="BX87" i="4" s="1" a="1"/>
  <c r="BX87" i="4" s="1"/>
  <c r="DE32" i="4"/>
  <c r="E32" i="4"/>
  <c r="BD32" i="4" s="1"/>
  <c r="A1261" i="13"/>
  <c r="AX1162" i="13"/>
  <c r="Z1876" i="13"/>
  <c r="B1876" i="13" s="1" a="1"/>
  <c r="B1876" i="13" s="1"/>
  <c r="A1280" i="13"/>
  <c r="AX1181" i="13"/>
  <c r="Z94" i="72"/>
  <c r="B46" i="4"/>
  <c r="BA46" i="4" a="1"/>
  <c r="BA46" i="4" s="1"/>
  <c r="BB46" i="4" s="1"/>
  <c r="AV148" i="13" s="1"/>
  <c r="J499" i="15"/>
  <c r="J612" i="15"/>
  <c r="J646" i="15"/>
  <c r="J597" i="15"/>
  <c r="A1254" i="13"/>
  <c r="AX1155" i="13"/>
  <c r="I83" i="4"/>
  <c r="C41" i="1"/>
  <c r="B54" i="4"/>
  <c r="BA54" i="4" a="1"/>
  <c r="BA54" i="4" s="1"/>
  <c r="BB54" i="4" s="1"/>
  <c r="AV156" i="13" s="1"/>
  <c r="J570" i="15"/>
  <c r="H14" i="9"/>
  <c r="K68" i="4"/>
  <c r="AS68" i="4" s="1"/>
  <c r="AV670" i="13" s="1"/>
  <c r="AZ57" i="4"/>
  <c r="C57" i="1"/>
  <c r="AX122" i="13"/>
  <c r="A222" i="13"/>
  <c r="C33" i="1"/>
  <c r="A1242" i="13"/>
  <c r="AX1143" i="13"/>
  <c r="Z1839" i="13"/>
  <c r="B1839" i="13" s="1" a="1"/>
  <c r="B1839" i="13" s="1"/>
  <c r="H58" i="9"/>
  <c r="A1241" i="13"/>
  <c r="AX1142" i="13"/>
  <c r="C28" i="1"/>
  <c r="BS96" i="4"/>
  <c r="BS84" i="4"/>
  <c r="AX187" i="13"/>
  <c r="A287" i="13"/>
  <c r="H21" i="9"/>
  <c r="BY38" i="4" a="1"/>
  <c r="BY38" i="4" s="1"/>
  <c r="BZ38" i="4" a="1"/>
  <c r="BZ38" i="4" s="1"/>
  <c r="BX38" i="4" s="1" a="1"/>
  <c r="BX38" i="4" s="1"/>
  <c r="BS80" i="4"/>
  <c r="A85" i="4"/>
  <c r="AV1299" i="13"/>
  <c r="G3" i="72"/>
  <c r="G3" i="69"/>
  <c r="B37" i="71"/>
  <c r="AV10" i="72"/>
  <c r="CN23" i="71"/>
  <c r="EP35" i="71"/>
  <c r="CT19" i="71"/>
  <c r="DL14" i="71"/>
  <c r="AX34" i="71"/>
  <c r="BA14" i="71"/>
  <c r="DU4" i="71"/>
  <c r="CE32" i="71"/>
  <c r="AH9" i="72" a="1"/>
  <c r="AH9" i="72" s="1"/>
  <c r="BD9" i="72" a="1"/>
  <c r="BD9" i="72" s="1"/>
  <c r="BE9" i="72" a="1"/>
  <c r="BE9" i="72" s="1"/>
  <c r="AU9" i="72" a="1"/>
  <c r="AU9" i="72" s="1"/>
  <c r="AY9" i="72" a="1"/>
  <c r="AY9" i="72" s="1"/>
  <c r="AX7" i="71"/>
  <c r="J636" i="15"/>
  <c r="CH17" i="71"/>
  <c r="EA7" i="71"/>
  <c r="BH9" i="69"/>
  <c r="BD30" i="71"/>
  <c r="CH6" i="71"/>
  <c r="EY18" i="71"/>
  <c r="CE22" i="71"/>
  <c r="AO21" i="71"/>
  <c r="CE30" i="71"/>
  <c r="BA36" i="71"/>
  <c r="EY28" i="71"/>
  <c r="BV21" i="71"/>
  <c r="A1213" i="13"/>
  <c r="AX1114" i="13"/>
  <c r="Z1857" i="13"/>
  <c r="B1857" i="13" s="1" a="1"/>
  <c r="B1857" i="13" s="1"/>
  <c r="AX164" i="13"/>
  <c r="A264" i="13"/>
  <c r="DE48" i="4"/>
  <c r="E48" i="4"/>
  <c r="C47" i="1"/>
  <c r="H53" i="9"/>
  <c r="AX1168" i="13"/>
  <c r="A1267" i="13"/>
  <c r="A237" i="13"/>
  <c r="AX137" i="13"/>
  <c r="M74" i="4"/>
  <c r="A256" i="13"/>
  <c r="AX156" i="13"/>
  <c r="AX1148" i="13"/>
  <c r="A1247" i="13"/>
  <c r="DE14" i="4"/>
  <c r="E14" i="4"/>
  <c r="BD14" i="4" s="1"/>
  <c r="AV611" i="13"/>
  <c r="J9" i="72"/>
  <c r="A66" i="4"/>
  <c r="C66" i="1"/>
  <c r="AX114" i="13"/>
  <c r="A214" i="13"/>
  <c r="A78" i="4"/>
  <c r="BZ78" i="4" a="1"/>
  <c r="BZ78" i="4" s="1"/>
  <c r="BX78" i="4" s="1" a="1"/>
  <c r="BX78" i="4" s="1"/>
  <c r="BY78" i="4" a="1"/>
  <c r="BY78" i="4" s="1"/>
  <c r="BS69" i="4"/>
  <c r="BS83" i="4"/>
  <c r="BA41" i="4" a="1"/>
  <c r="BA41" i="4" s="1"/>
  <c r="BB41" i="4" s="1"/>
  <c r="AV143" i="13" s="1"/>
  <c r="B41" i="4"/>
  <c r="BY12" i="4" a="1"/>
  <c r="BY12" i="4" s="1"/>
  <c r="BZ12" i="4" a="1"/>
  <c r="BZ12" i="4" s="1"/>
  <c r="BX12" i="4" s="1" a="1"/>
  <c r="BX12" i="4" s="1"/>
  <c r="AX25" i="4"/>
  <c r="CU25" i="4"/>
  <c r="CV25" i="4" s="1"/>
  <c r="CW25" i="4"/>
  <c r="CX25" i="4" s="1"/>
  <c r="BP33" i="71"/>
  <c r="BP4" i="71"/>
  <c r="BP23" i="71"/>
  <c r="BP35" i="71"/>
  <c r="BP16" i="71"/>
  <c r="BP5" i="71"/>
  <c r="BP20" i="71"/>
  <c r="BP34" i="71"/>
  <c r="BP13" i="71"/>
  <c r="BP11" i="71"/>
  <c r="BP36" i="71"/>
  <c r="BP28" i="71"/>
  <c r="BP24" i="71"/>
  <c r="BP10" i="71"/>
  <c r="BP32" i="71"/>
  <c r="BP15" i="71"/>
  <c r="BP6" i="71"/>
  <c r="BP27" i="71"/>
  <c r="BQ38" i="71"/>
  <c r="BP12" i="71"/>
  <c r="BP9" i="71"/>
  <c r="BP26" i="71"/>
  <c r="BP22" i="71"/>
  <c r="BP19" i="71"/>
  <c r="BP17" i="71"/>
  <c r="A68" i="4"/>
  <c r="BS57" i="4"/>
  <c r="E33" i="4"/>
  <c r="A1225" i="13"/>
  <c r="AX1126" i="13"/>
  <c r="M73" i="4"/>
  <c r="C90" i="1"/>
  <c r="E45" i="4"/>
  <c r="BD45" i="4" s="1"/>
  <c r="DE45" i="4"/>
  <c r="C45" i="1"/>
  <c r="AV512" i="13"/>
  <c r="DV10" i="4"/>
  <c r="Z95" i="69"/>
  <c r="I84" i="4"/>
  <c r="AX175" i="13"/>
  <c r="A275" i="13"/>
  <c r="C44" i="1"/>
  <c r="K80" i="4"/>
  <c r="DD4" i="4" a="1"/>
  <c r="DD4" i="4" s="1"/>
  <c r="BS85" i="4"/>
  <c r="B49" i="4"/>
  <c r="BA49" i="4" a="1"/>
  <c r="BA49" i="4" s="1"/>
  <c r="BB49" i="4" s="1"/>
  <c r="AV151" i="13" s="1"/>
  <c r="J625" i="15"/>
  <c r="I72" i="4"/>
  <c r="ES19" i="71"/>
  <c r="BP7" i="71"/>
  <c r="EP14" i="71"/>
  <c r="ES22" i="71"/>
  <c r="J9" i="69"/>
  <c r="DO27" i="71"/>
  <c r="CN15" i="71"/>
  <c r="DU17" i="71"/>
  <c r="DC30" i="71"/>
  <c r="ED28" i="71"/>
  <c r="DO20" i="71"/>
  <c r="CE36" i="71"/>
  <c r="AI11" i="71"/>
  <c r="BA22" i="71"/>
  <c r="AX19" i="71"/>
  <c r="DC36" i="71"/>
  <c r="CK21" i="71"/>
  <c r="FB11" i="71"/>
  <c r="BP18" i="71"/>
  <c r="DU21" i="71"/>
  <c r="B10" i="72"/>
  <c r="CT8" i="71"/>
  <c r="M9" i="72"/>
  <c r="J544" i="15"/>
  <c r="BY31" i="71"/>
  <c r="J648" i="15"/>
  <c r="BY27" i="4" a="1"/>
  <c r="BY27" i="4" s="1"/>
  <c r="BZ27" i="4" a="1"/>
  <c r="BZ27" i="4" s="1"/>
  <c r="BX27" i="4" s="1" a="1"/>
  <c r="BX27" i="4" s="1"/>
  <c r="B17" i="4"/>
  <c r="CW17" i="4" s="1"/>
  <c r="CX17" i="4" s="1"/>
  <c r="BA17" i="4" a="1"/>
  <c r="BA17" i="4" s="1"/>
  <c r="BB17" i="4" s="1"/>
  <c r="AV119" i="13" s="1"/>
  <c r="J485" i="15"/>
  <c r="A96" i="4"/>
  <c r="BA16" i="4" a="1"/>
  <c r="BA16" i="4" s="1"/>
  <c r="BB16" i="4" s="1"/>
  <c r="AV118" i="13" s="1"/>
  <c r="B16" i="4"/>
  <c r="J553" i="15"/>
  <c r="AX116" i="13"/>
  <c r="A216" i="13"/>
  <c r="B47" i="4"/>
  <c r="BA47" i="4" a="1"/>
  <c r="BA47" i="4" s="1"/>
  <c r="BB47" i="4" s="1"/>
  <c r="AV149" i="13" s="1"/>
  <c r="AR11" i="71"/>
  <c r="AX17" i="4"/>
  <c r="CU17" i="4"/>
  <c r="CV17" i="4" s="1"/>
  <c r="AR7" i="71"/>
  <c r="AR22" i="71"/>
  <c r="AR28" i="71"/>
  <c r="AR36" i="71"/>
  <c r="AR35" i="71"/>
  <c r="AR19" i="71"/>
  <c r="AR16" i="71"/>
  <c r="AR29" i="71"/>
  <c r="AR26" i="71"/>
  <c r="AR23" i="71"/>
  <c r="AR10" i="71"/>
  <c r="AR4" i="71"/>
  <c r="AR27" i="71"/>
  <c r="AR5" i="71"/>
  <c r="AR13" i="71"/>
  <c r="AR30" i="71"/>
  <c r="AR24" i="71"/>
  <c r="AR20" i="71"/>
  <c r="AR6" i="71"/>
  <c r="AR12" i="71"/>
  <c r="AR8" i="71"/>
  <c r="AR15" i="71"/>
  <c r="AR9" i="71"/>
  <c r="AR32" i="71"/>
  <c r="AR33" i="71"/>
  <c r="AS38" i="71"/>
  <c r="AR14" i="71"/>
  <c r="AR18" i="71"/>
  <c r="AR31" i="71"/>
  <c r="AR21" i="71"/>
  <c r="AR34" i="71"/>
  <c r="AR25" i="71"/>
  <c r="AR17" i="71"/>
  <c r="BZ30" i="4" a="1"/>
  <c r="BZ30" i="4" s="1"/>
  <c r="BX30" i="4" s="1" a="1"/>
  <c r="BX30" i="4" s="1"/>
  <c r="BY30" i="4" a="1"/>
  <c r="BY30" i="4" s="1"/>
  <c r="AX149" i="13"/>
  <c r="A249" i="13"/>
  <c r="Z1825" i="13"/>
  <c r="B1825" i="13" s="1" a="1"/>
  <c r="B1825" i="13" s="1"/>
  <c r="M62" i="4"/>
  <c r="V96" i="72"/>
  <c r="A1354" i="13"/>
  <c r="AX1255" i="13"/>
  <c r="AX27" i="4"/>
  <c r="CU27" i="4"/>
  <c r="CV27" i="4" s="1"/>
  <c r="BV14" i="71"/>
  <c r="BV36" i="71"/>
  <c r="BV26" i="71"/>
  <c r="BV4" i="71"/>
  <c r="BV28" i="71"/>
  <c r="BV13" i="71"/>
  <c r="BV15" i="71"/>
  <c r="BV32" i="71"/>
  <c r="BV34" i="71"/>
  <c r="BV18" i="71"/>
  <c r="BV33" i="71"/>
  <c r="BV27" i="71"/>
  <c r="BV24" i="71"/>
  <c r="BV23" i="71"/>
  <c r="BV8" i="71"/>
  <c r="BW38" i="71"/>
  <c r="BV25" i="71"/>
  <c r="BV20" i="71"/>
  <c r="BV5" i="71"/>
  <c r="BV11" i="71"/>
  <c r="BV17" i="71"/>
  <c r="BV10" i="71"/>
  <c r="BV30" i="71"/>
  <c r="BV12" i="71"/>
  <c r="BY40" i="4" a="1"/>
  <c r="BY40" i="4" s="1"/>
  <c r="BZ40" i="4" a="1"/>
  <c r="BZ40" i="4" s="1"/>
  <c r="BX40" i="4" s="1" a="1"/>
  <c r="BX40" i="4" s="1"/>
  <c r="AX1161" i="13"/>
  <c r="A1260" i="13"/>
  <c r="AZ74" i="4"/>
  <c r="AZ87" i="4"/>
  <c r="AS14" i="4"/>
  <c r="AV616" i="13" s="1"/>
  <c r="AX117" i="13"/>
  <c r="A217" i="13"/>
  <c r="AS46" i="4"/>
  <c r="AV648" i="13" s="1"/>
  <c r="M66" i="4"/>
  <c r="AX170" i="13"/>
  <c r="A270" i="13"/>
  <c r="Z1866" i="13"/>
  <c r="B1866" i="13" s="1" a="1"/>
  <c r="B1866" i="13" s="1"/>
  <c r="BA9" i="71"/>
  <c r="CU20" i="4"/>
  <c r="CV20" i="4" s="1"/>
  <c r="AX20" i="4"/>
  <c r="BA15" i="71"/>
  <c r="BA28" i="71"/>
  <c r="BA11" i="71"/>
  <c r="BA23" i="71"/>
  <c r="BA17" i="71"/>
  <c r="BA10" i="71"/>
  <c r="BA12" i="71"/>
  <c r="BA24" i="71"/>
  <c r="BA5" i="71"/>
  <c r="BA6" i="71"/>
  <c r="BB38" i="71"/>
  <c r="BA25" i="71"/>
  <c r="BA26" i="71"/>
  <c r="BA31" i="71"/>
  <c r="BA19" i="71"/>
  <c r="BA7" i="71"/>
  <c r="BA16" i="71"/>
  <c r="BA29" i="71"/>
  <c r="BA27" i="71"/>
  <c r="BA13" i="71"/>
  <c r="BA21" i="71"/>
  <c r="BS78" i="4"/>
  <c r="C78" i="1"/>
  <c r="C15" i="1"/>
  <c r="A83" i="4"/>
  <c r="C53" i="1"/>
  <c r="BY53" i="4" a="1"/>
  <c r="BY53" i="4" s="1"/>
  <c r="BZ53" i="4" a="1"/>
  <c r="BZ53" i="4" s="1"/>
  <c r="BX53" i="4" s="1" a="1"/>
  <c r="BX53" i="4" s="1"/>
  <c r="A57" i="4"/>
  <c r="I57" i="4"/>
  <c r="BZ56" i="4" a="1"/>
  <c r="BZ56" i="4" s="1"/>
  <c r="BX56" i="4" s="1" a="1"/>
  <c r="BX56" i="4" s="1"/>
  <c r="BY56" i="4" a="1"/>
  <c r="BY56" i="4" s="1"/>
  <c r="K73" i="4"/>
  <c r="AS73" i="4" s="1"/>
  <c r="AV675" i="13" s="1"/>
  <c r="H75" i="9"/>
  <c r="CU45" i="4"/>
  <c r="CV45" i="4" s="1"/>
  <c r="AX45" i="4"/>
  <c r="DX26" i="71"/>
  <c r="DX28" i="71"/>
  <c r="DX10" i="71"/>
  <c r="DX29" i="71"/>
  <c r="DX6" i="71"/>
  <c r="DX22" i="71"/>
  <c r="DX12" i="71"/>
  <c r="DX11" i="71"/>
  <c r="DX4" i="71"/>
  <c r="DX7" i="71"/>
  <c r="DY38" i="71"/>
  <c r="DX33" i="71"/>
  <c r="DX15" i="71"/>
  <c r="DX36" i="71"/>
  <c r="DX16" i="71"/>
  <c r="DX32" i="71"/>
  <c r="DX14" i="71"/>
  <c r="DX34" i="71"/>
  <c r="DX35" i="71"/>
  <c r="DX31" i="71"/>
  <c r="DX17" i="71"/>
  <c r="DX21" i="71"/>
  <c r="DX27" i="71"/>
  <c r="DX5" i="71"/>
  <c r="DX30" i="71"/>
  <c r="DX23" i="71"/>
  <c r="DX13" i="71"/>
  <c r="DX18" i="71"/>
  <c r="K84" i="4"/>
  <c r="AS84" i="4" s="1"/>
  <c r="AV686" i="13" s="1"/>
  <c r="Z1883" i="13"/>
  <c r="B1883" i="13" s="1" a="1"/>
  <c r="B1883" i="13" s="1"/>
  <c r="B38" i="4"/>
  <c r="BA38" i="4" a="1"/>
  <c r="BA38" i="4" s="1"/>
  <c r="BB38" i="4" s="1"/>
  <c r="AV140" i="13" s="1"/>
  <c r="J658" i="15"/>
  <c r="J549" i="15"/>
  <c r="J559" i="15"/>
  <c r="A292" i="13"/>
  <c r="AX192" i="13"/>
  <c r="B44" i="4"/>
  <c r="BA44" i="4" a="1"/>
  <c r="BA44" i="4" s="1"/>
  <c r="BB44" i="4" s="1"/>
  <c r="AV146" i="13" s="1"/>
  <c r="AX1170" i="13"/>
  <c r="A1269" i="13"/>
  <c r="B21" i="4"/>
  <c r="BA21" i="4" a="1"/>
  <c r="BA21" i="4" s="1"/>
  <c r="BB21" i="4" s="1"/>
  <c r="AV123" i="13" s="1"/>
  <c r="J643" i="15"/>
  <c r="J476" i="15"/>
  <c r="J488" i="15"/>
  <c r="J491" i="15"/>
  <c r="J540" i="15"/>
  <c r="AZ80" i="4"/>
  <c r="K92" i="4"/>
  <c r="AS92" i="4" s="1"/>
  <c r="AV694" i="13" s="1"/>
  <c r="H87" i="9"/>
  <c r="M86" i="4"/>
  <c r="Z1863" i="13"/>
  <c r="B1863" i="13" s="1" a="1"/>
  <c r="B1863" i="13" s="1"/>
  <c r="A360" i="13"/>
  <c r="AX360" i="13" s="1"/>
  <c r="AX260" i="13"/>
  <c r="A72" i="4"/>
  <c r="AX1119" i="13"/>
  <c r="A1218" i="13"/>
  <c r="ED27" i="71"/>
  <c r="N573" i="15" a="1"/>
  <c r="N573" i="15" s="1"/>
  <c r="EH38" i="71"/>
  <c r="DI17" i="71"/>
  <c r="AC5" i="71"/>
  <c r="BP30" i="71"/>
  <c r="AL6" i="71"/>
  <c r="CT25" i="71"/>
  <c r="BD4" i="71"/>
  <c r="EG15" i="71"/>
  <c r="DI30" i="71"/>
  <c r="BD16" i="71"/>
  <c r="AX4" i="71"/>
  <c r="EY7" i="71"/>
  <c r="DC13" i="71"/>
  <c r="BY4" i="71"/>
  <c r="AG10" i="72"/>
  <c r="BC10" i="72" a="1"/>
  <c r="BC10" i="72" s="1"/>
  <c r="EN38" i="71"/>
  <c r="BV19" i="71"/>
  <c r="CK23" i="71"/>
  <c r="ED25" i="71"/>
  <c r="CH21" i="71"/>
  <c r="BV31" i="71"/>
  <c r="EG34" i="71"/>
  <c r="BA4" i="71"/>
  <c r="BY19" i="71"/>
  <c r="BV22" i="71"/>
  <c r="BZ38" i="71"/>
  <c r="BV35" i="71"/>
  <c r="EZ38" i="71"/>
  <c r="CU47" i="4"/>
  <c r="CV47" i="4" s="1"/>
  <c r="AX47" i="4"/>
  <c r="ED20" i="71"/>
  <c r="ED11" i="71"/>
  <c r="ED26" i="71"/>
  <c r="ED32" i="71"/>
  <c r="ED5" i="71"/>
  <c r="ED6" i="71"/>
  <c r="ED24" i="71"/>
  <c r="ED29" i="71"/>
  <c r="ED19" i="71"/>
  <c r="ED36" i="71"/>
  <c r="ED35" i="71"/>
  <c r="ED9" i="71"/>
  <c r="ED7" i="71"/>
  <c r="ED13" i="71"/>
  <c r="ED31" i="71"/>
  <c r="ED23" i="71"/>
  <c r="ED21" i="71"/>
  <c r="ED15" i="71"/>
  <c r="ED4" i="71"/>
  <c r="ED30" i="71"/>
  <c r="ED12" i="71"/>
  <c r="ED18" i="71"/>
  <c r="EE38" i="71"/>
  <c r="ED33" i="71"/>
  <c r="E30" i="4"/>
  <c r="BD30" i="4" s="1"/>
  <c r="DE30" i="4"/>
  <c r="AX1186" i="13"/>
  <c r="A1285" i="13"/>
  <c r="A1244" i="13"/>
  <c r="AX1145" i="13"/>
  <c r="A62" i="4"/>
  <c r="C62" i="1"/>
  <c r="AO15" i="71"/>
  <c r="AX16" i="4"/>
  <c r="CU16" i="4"/>
  <c r="CV16" i="4" s="1"/>
  <c r="AO12" i="71"/>
  <c r="AO7" i="71"/>
  <c r="AO25" i="71"/>
  <c r="AO11" i="71"/>
  <c r="AO31" i="71"/>
  <c r="AO18" i="71"/>
  <c r="AO8" i="71"/>
  <c r="AO34" i="71"/>
  <c r="AO33" i="71"/>
  <c r="AO36" i="71"/>
  <c r="AO26" i="71"/>
  <c r="AO22" i="71"/>
  <c r="AP38" i="71"/>
  <c r="AO20" i="71"/>
  <c r="AO19" i="71"/>
  <c r="AO27" i="71"/>
  <c r="AO5" i="71"/>
  <c r="AO24" i="71"/>
  <c r="AO13" i="71"/>
  <c r="AO35" i="71"/>
  <c r="AO14" i="71"/>
  <c r="AO23" i="71"/>
  <c r="AO4" i="71"/>
  <c r="AO16" i="71"/>
  <c r="AO30" i="71"/>
  <c r="AO28" i="71"/>
  <c r="AZ62" i="4"/>
  <c r="H37" i="9"/>
  <c r="E36" i="4"/>
  <c r="BD36" i="4" s="1"/>
  <c r="DE36" i="4"/>
  <c r="A861" i="13"/>
  <c r="AX861" i="13" s="1"/>
  <c r="A162" i="13"/>
  <c r="A1858" i="13"/>
  <c r="Z1858" i="13" s="1"/>
  <c r="B1858" i="13" s="1" a="1"/>
  <c r="B1858" i="13" s="1"/>
  <c r="A1059" i="13"/>
  <c r="AX62" i="13"/>
  <c r="AX662" i="13"/>
  <c r="AX462" i="13"/>
  <c r="A960" i="13"/>
  <c r="AX960" i="13" s="1"/>
  <c r="AX1059" i="13"/>
  <c r="A462" i="13"/>
  <c r="A562" i="13"/>
  <c r="A761" i="13"/>
  <c r="AX761" i="13" s="1"/>
  <c r="A662" i="13"/>
  <c r="A1158" i="13"/>
  <c r="AX562" i="13"/>
  <c r="E40" i="4"/>
  <c r="BD40" i="4" s="1"/>
  <c r="DE40" i="4"/>
  <c r="H89" i="9"/>
  <c r="E47" i="4"/>
  <c r="BD47" i="4" s="1"/>
  <c r="E51" i="4"/>
  <c r="DE51" i="4"/>
  <c r="A208" i="13"/>
  <c r="AX108" i="13"/>
  <c r="A1256" i="13"/>
  <c r="AX1157" i="13"/>
  <c r="Z1874" i="13"/>
  <c r="B1874" i="13" s="1" a="1"/>
  <c r="B1874" i="13" s="1"/>
  <c r="CU30" i="4"/>
  <c r="CV30" i="4" s="1"/>
  <c r="CW30" i="4"/>
  <c r="CX30" i="4" s="1"/>
  <c r="AX30" i="4"/>
  <c r="CE20" i="71"/>
  <c r="CE23" i="71"/>
  <c r="CE21" i="71"/>
  <c r="CE16" i="71"/>
  <c r="CE18" i="71"/>
  <c r="CE31" i="71"/>
  <c r="CE13" i="71"/>
  <c r="CE34" i="71"/>
  <c r="CE27" i="71"/>
  <c r="CE24" i="71"/>
  <c r="CE28" i="71"/>
  <c r="CE35" i="71"/>
  <c r="CE10" i="71"/>
  <c r="CE25" i="71"/>
  <c r="CF38" i="71"/>
  <c r="CE33" i="71"/>
  <c r="CE19" i="71"/>
  <c r="CE5" i="71"/>
  <c r="CE7" i="71"/>
  <c r="CE29" i="71"/>
  <c r="CE4" i="71"/>
  <c r="CE6" i="71"/>
  <c r="CE15" i="71"/>
  <c r="A1268" i="13"/>
  <c r="AX1169" i="13"/>
  <c r="K62" i="4"/>
  <c r="AZ96" i="4"/>
  <c r="BZ50" i="4" a="1"/>
  <c r="BZ50" i="4" s="1"/>
  <c r="BX50" i="4" s="1" a="1"/>
  <c r="BX50" i="4" s="1"/>
  <c r="BY50" i="4" a="1"/>
  <c r="BY50" i="4" s="1"/>
  <c r="M64" i="4"/>
  <c r="BZ64" i="4" a="1"/>
  <c r="BZ64" i="4" s="1"/>
  <c r="BX64" i="4" s="1" a="1"/>
  <c r="BX64" i="4" s="1"/>
  <c r="BY64" i="4" a="1"/>
  <c r="BY64" i="4" s="1"/>
  <c r="H81" i="9"/>
  <c r="B22" i="4"/>
  <c r="BA22" i="4" a="1"/>
  <c r="BA22" i="4" s="1"/>
  <c r="BB22" i="4" s="1"/>
  <c r="AV124" i="13" s="1"/>
  <c r="K74" i="4"/>
  <c r="AS74" i="4" s="1"/>
  <c r="AV676" i="13" s="1"/>
  <c r="Z1864" i="13"/>
  <c r="B1864" i="13" s="1" a="1"/>
  <c r="B1864" i="13" s="1"/>
  <c r="A1233" i="13"/>
  <c r="AX1134" i="13"/>
  <c r="AP4" i="4"/>
  <c r="AV306" i="13" s="1"/>
  <c r="AV406" i="13" s="1"/>
  <c r="BZ32" i="4" a="1"/>
  <c r="BZ32" i="4" s="1"/>
  <c r="BX32" i="4" s="1" a="1"/>
  <c r="BX32" i="4" s="1"/>
  <c r="BY32" i="4" a="1"/>
  <c r="BY32" i="4" s="1"/>
  <c r="A266" i="13"/>
  <c r="AX166" i="13"/>
  <c r="AX181" i="13"/>
  <c r="A281" i="13"/>
  <c r="C14" i="1"/>
  <c r="K63" i="4"/>
  <c r="AS63" i="4" s="1"/>
  <c r="AV665" i="13" s="1"/>
  <c r="BZ63" i="4" a="1"/>
  <c r="BZ63" i="4" s="1"/>
  <c r="BX63" i="4" s="1" a="1"/>
  <c r="BX63" i="4" s="1"/>
  <c r="BY63" i="4" a="1"/>
  <c r="BY63" i="4" s="1"/>
  <c r="BS66" i="4"/>
  <c r="BA20" i="4" a="1"/>
  <c r="BA20" i="4" s="1"/>
  <c r="BB20" i="4" s="1"/>
  <c r="AV122" i="13" s="1"/>
  <c r="B20" i="4"/>
  <c r="AZ78" i="4"/>
  <c r="K83" i="4"/>
  <c r="AS83" i="4" s="1"/>
  <c r="AV685" i="13" s="1"/>
  <c r="B53" i="4"/>
  <c r="BA53" i="4" a="1"/>
  <c r="BA53" i="4" s="1"/>
  <c r="BB53" i="4" s="1"/>
  <c r="AV155" i="13" s="1"/>
  <c r="J527" i="15"/>
  <c r="C54" i="1"/>
  <c r="K57" i="4"/>
  <c r="AS57" i="4" s="1"/>
  <c r="AV659" i="13" s="1"/>
  <c r="AX1118" i="13"/>
  <c r="A1217" i="13"/>
  <c r="AS33" i="4"/>
  <c r="AV635" i="13" s="1"/>
  <c r="AX130" i="13"/>
  <c r="A230" i="13"/>
  <c r="A1238" i="13"/>
  <c r="AX1139" i="13"/>
  <c r="AZ56" i="4"/>
  <c r="C56" i="1"/>
  <c r="AX1117" i="13"/>
  <c r="A1216" i="13"/>
  <c r="BS73" i="4"/>
  <c r="H47" i="9"/>
  <c r="C67" i="1"/>
  <c r="C84" i="1"/>
  <c r="AS21" i="4"/>
  <c r="AV623" i="13" s="1"/>
  <c r="I80" i="4"/>
  <c r="BS92" i="4"/>
  <c r="I86" i="4"/>
  <c r="BY86" i="4" a="1"/>
  <c r="BY86" i="4" s="1"/>
  <c r="BZ86" i="4" a="1"/>
  <c r="BZ86" i="4" s="1"/>
  <c r="BX86" i="4" s="1" a="1"/>
  <c r="BX86" i="4" s="1"/>
  <c r="E31" i="4"/>
  <c r="BD31" i="4" s="1"/>
  <c r="DE31" i="4"/>
  <c r="BS58" i="4"/>
  <c r="H51" i="9"/>
  <c r="M72" i="4"/>
  <c r="Z1890" i="13"/>
  <c r="B1890" i="13" s="1" a="1"/>
  <c r="B1890" i="13" s="1"/>
  <c r="EM22" i="71"/>
  <c r="CK6" i="71"/>
  <c r="ED17" i="71"/>
  <c r="BP21" i="71"/>
  <c r="DU5" i="71"/>
  <c r="J545" i="15"/>
  <c r="EG13" i="71"/>
  <c r="DU6" i="71"/>
  <c r="EM12" i="71"/>
  <c r="CW30" i="71"/>
  <c r="CH24" i="71"/>
  <c r="DU10" i="71"/>
  <c r="CT29" i="71"/>
  <c r="DO33" i="71"/>
  <c r="FB7" i="71"/>
  <c r="CT21" i="71"/>
  <c r="BY10" i="71"/>
  <c r="FB31" i="71"/>
  <c r="CT10" i="71"/>
  <c r="CW8" i="71"/>
  <c r="CW17" i="71"/>
  <c r="CH26" i="71"/>
  <c r="DO8" i="71"/>
  <c r="BD13" i="71"/>
  <c r="DI20" i="71"/>
  <c r="BY25" i="71"/>
  <c r="AI29" i="71"/>
  <c r="BA32" i="71"/>
  <c r="BH10" i="72"/>
  <c r="AR10" i="72"/>
  <c r="R10" i="72"/>
  <c r="BK10" i="72"/>
  <c r="AZ10" i="72" s="1" a="1"/>
  <c r="AZ10" i="72" s="1"/>
  <c r="BQ10" i="72" a="1"/>
  <c r="BQ10" i="72" s="1"/>
  <c r="BX10" i="72"/>
  <c r="BT10" i="72"/>
  <c r="BS10" i="72" s="1"/>
  <c r="BV10" i="72" s="1"/>
  <c r="BU10" i="72" a="1"/>
  <c r="BU10" i="72" s="1"/>
  <c r="E10" i="72"/>
  <c r="BL10" i="72"/>
  <c r="CN4" i="71"/>
  <c r="EP34" i="71"/>
  <c r="DL16" i="71"/>
  <c r="R10" i="69"/>
  <c r="BG10" i="69"/>
  <c r="BD10" i="69"/>
  <c r="BM10" i="69" a="1"/>
  <c r="BM10" i="69" s="1"/>
  <c r="BT10" i="69"/>
  <c r="BQ10" i="69" a="1"/>
  <c r="BQ10" i="69" s="1"/>
  <c r="BP10" i="69"/>
  <c r="BO10" i="69" s="1"/>
  <c r="BR10" i="69" s="1"/>
  <c r="E10" i="69"/>
  <c r="N615" i="15" a="1"/>
  <c r="N615" i="15" s="1"/>
  <c r="D58" i="14"/>
  <c r="K623" i="15" a="1"/>
  <c r="K623" i="15" s="1"/>
  <c r="M623" i="15" a="1"/>
  <c r="M623" i="15" s="1"/>
  <c r="Z38" i="14"/>
  <c r="BZ18" i="4" a="1"/>
  <c r="BZ18" i="4" s="1"/>
  <c r="BX18" i="4" s="1" a="1"/>
  <c r="BX18" i="4" s="1"/>
  <c r="BY18" i="4" a="1"/>
  <c r="BY18" i="4" s="1"/>
  <c r="C18" i="1"/>
  <c r="B39" i="4"/>
  <c r="BA39" i="4" a="1"/>
  <c r="BA39" i="4" s="1"/>
  <c r="BB39" i="4" s="1"/>
  <c r="AV141" i="13" s="1"/>
  <c r="AX34" i="4"/>
  <c r="CU34" i="4"/>
  <c r="CV34" i="4" s="1"/>
  <c r="BA24" i="4" a="1"/>
  <c r="BA24" i="4" s="1"/>
  <c r="BB24" i="4" s="1"/>
  <c r="AV126" i="13" s="1"/>
  <c r="B24" i="4"/>
  <c r="E24" i="4" s="1"/>
  <c r="AX26" i="4"/>
  <c r="CU26" i="4"/>
  <c r="CV26" i="4" s="1"/>
  <c r="A1272" i="13"/>
  <c r="AX1173" i="13"/>
  <c r="H63" i="9"/>
  <c r="B13" i="4"/>
  <c r="BA13" i="4" a="1"/>
  <c r="BA13" i="4" s="1"/>
  <c r="BB13" i="4" s="1"/>
  <c r="AV115" i="13" s="1"/>
  <c r="BZ70" i="4" a="1"/>
  <c r="BZ70" i="4" s="1"/>
  <c r="BX70" i="4" s="1" a="1"/>
  <c r="BX70" i="4" s="1"/>
  <c r="BY70" i="4" a="1"/>
  <c r="BY70" i="4" s="1"/>
  <c r="C6" i="1"/>
  <c r="H78" i="9"/>
  <c r="Z1835" i="13"/>
  <c r="B1835" i="13" s="1" a="1"/>
  <c r="B1835" i="13" s="1"/>
  <c r="BY91" i="4" a="1"/>
  <c r="BY91" i="4" s="1"/>
  <c r="BZ91" i="4" a="1"/>
  <c r="BZ91" i="4" s="1"/>
  <c r="BX91" i="4" s="1" a="1"/>
  <c r="BX91" i="4" s="1"/>
  <c r="C71" i="1"/>
  <c r="BO87" i="4"/>
  <c r="G87" i="4"/>
  <c r="G67" i="4"/>
  <c r="BO67" i="4"/>
  <c r="BO77" i="4"/>
  <c r="G77" i="4"/>
  <c r="BZ9" i="72"/>
  <c r="AX9" i="72" a="1"/>
  <c r="AX9" i="72" s="1"/>
  <c r="B54" i="23"/>
  <c r="C29" i="1"/>
  <c r="AX1122" i="13"/>
  <c r="A1221" i="13"/>
  <c r="AX18" i="4"/>
  <c r="CU18" i="4"/>
  <c r="CV18" i="4" s="1"/>
  <c r="H20" i="9"/>
  <c r="C77" i="1"/>
  <c r="BY34" i="4" a="1"/>
  <c r="BY34" i="4" s="1"/>
  <c r="BZ34" i="4" a="1"/>
  <c r="BZ34" i="4" s="1"/>
  <c r="BX34" i="4" s="1" a="1"/>
  <c r="BX34" i="4" s="1"/>
  <c r="A207" i="13"/>
  <c r="AX107" i="13"/>
  <c r="A231" i="13"/>
  <c r="AX131" i="13"/>
  <c r="B11" i="4"/>
  <c r="E11" i="4" s="1"/>
  <c r="BD11" i="4" s="1"/>
  <c r="BA11" i="4" a="1"/>
  <c r="BA11" i="4" s="1"/>
  <c r="BB11" i="4" s="1"/>
  <c r="AV113" i="13" s="1"/>
  <c r="C26" i="1"/>
  <c r="C52" i="1"/>
  <c r="A1290" i="13"/>
  <c r="AX1191" i="13"/>
  <c r="C61" i="1"/>
  <c r="CU13" i="4"/>
  <c r="CV13" i="4" s="1"/>
  <c r="AX13" i="4"/>
  <c r="H77" i="9"/>
  <c r="H84" i="9"/>
  <c r="BY59" i="4" a="1"/>
  <c r="BY59" i="4" s="1"/>
  <c r="BZ59" i="4" a="1"/>
  <c r="BZ59" i="4" s="1"/>
  <c r="BX59" i="4" s="1" a="1"/>
  <c r="BX59" i="4" s="1"/>
  <c r="C93" i="1"/>
  <c r="AX139" i="13"/>
  <c r="A239" i="13"/>
  <c r="AX163" i="13"/>
  <c r="A263" i="13"/>
  <c r="BO36" i="4"/>
  <c r="G36" i="4"/>
  <c r="BO27" i="4"/>
  <c r="G27" i="4"/>
  <c r="DA27" i="4" s="1" a="1"/>
  <c r="DA27" i="4" s="1"/>
  <c r="G25" i="4"/>
  <c r="DA25" i="4" s="1" a="1"/>
  <c r="DA25" i="4" s="1"/>
  <c r="BO25" i="4"/>
  <c r="BO68" i="4"/>
  <c r="G68" i="4"/>
  <c r="G31" i="4"/>
  <c r="DA31" i="4" s="1" a="1"/>
  <c r="DA31" i="4" s="1"/>
  <c r="BO31" i="4"/>
  <c r="BO43" i="4"/>
  <c r="G43" i="4"/>
  <c r="G39" i="4"/>
  <c r="CY39" i="4" s="1"/>
  <c r="CZ39" i="4" s="1"/>
  <c r="BO39" i="4"/>
  <c r="BW59" i="4"/>
  <c r="C56" i="23"/>
  <c r="D56" i="23"/>
  <c r="B56" i="23"/>
  <c r="C54" i="23"/>
  <c r="BA29" i="4" a="1"/>
  <c r="BA29" i="4" s="1"/>
  <c r="BB29" i="4" s="1"/>
  <c r="AV131" i="13" s="1"/>
  <c r="B29" i="4"/>
  <c r="E29" i="4" s="1"/>
  <c r="BZ43" i="4" a="1"/>
  <c r="BZ43" i="4" s="1"/>
  <c r="BX43" i="4" s="1" a="1"/>
  <c r="BX43" i="4" s="1"/>
  <c r="BY43" i="4" a="1"/>
  <c r="BY43" i="4" s="1"/>
  <c r="AX706" i="13"/>
  <c r="Z1827" i="13"/>
  <c r="B1827" i="13" s="1" a="1"/>
  <c r="B1827" i="13" s="1"/>
  <c r="C11" i="1"/>
  <c r="Z4" i="71"/>
  <c r="AX11" i="4"/>
  <c r="CU11" i="4"/>
  <c r="CV11" i="4" s="1"/>
  <c r="BZ24" i="4" a="1"/>
  <c r="BZ24" i="4" s="1"/>
  <c r="BX24" i="4" s="1" a="1"/>
  <c r="BX24" i="4" s="1"/>
  <c r="BY24" i="4" a="1"/>
  <c r="BY24" i="4" s="1"/>
  <c r="CU52" i="4"/>
  <c r="CV52" i="4" s="1"/>
  <c r="AX52" i="4"/>
  <c r="AX1132" i="13"/>
  <c r="A1231" i="13"/>
  <c r="AX1187" i="13"/>
  <c r="A1286" i="13"/>
  <c r="B37" i="4"/>
  <c r="BA37" i="4" a="1"/>
  <c r="BA37" i="4" s="1"/>
  <c r="BB37" i="4" s="1"/>
  <c r="AV139" i="13" s="1"/>
  <c r="Z1847" i="13"/>
  <c r="B1847" i="13" s="1" a="1"/>
  <c r="B1847" i="13" s="1"/>
  <c r="BZ13" i="4" a="1"/>
  <c r="BZ13" i="4" s="1"/>
  <c r="BX13" i="4" s="1" a="1"/>
  <c r="BX13" i="4" s="1"/>
  <c r="BY13" i="4" a="1"/>
  <c r="BY13" i="4" s="1"/>
  <c r="AX6" i="4"/>
  <c r="CU6" i="4"/>
  <c r="CV6" i="4" s="1"/>
  <c r="BZ89" i="4" a="1"/>
  <c r="BZ89" i="4" s="1"/>
  <c r="BX89" i="4" s="1" a="1"/>
  <c r="BX89" i="4" s="1"/>
  <c r="BY89" i="4" a="1"/>
  <c r="BY89" i="4" s="1"/>
  <c r="C91" i="1"/>
  <c r="G35" i="4"/>
  <c r="CY35" i="4" s="1"/>
  <c r="CZ35" i="4" s="1"/>
  <c r="BO35" i="4"/>
  <c r="G66" i="4"/>
  <c r="BO66" i="4"/>
  <c r="G83" i="4"/>
  <c r="BO83" i="4"/>
  <c r="BO19" i="4"/>
  <c r="G19" i="4"/>
  <c r="BO29" i="4"/>
  <c r="G29" i="4"/>
  <c r="DA29" i="4" s="1" a="1"/>
  <c r="DA29" i="4" s="1"/>
  <c r="G24" i="4"/>
  <c r="BO24" i="4"/>
  <c r="BO52" i="4"/>
  <c r="G52" i="4"/>
  <c r="G75" i="4"/>
  <c r="BO75" i="4"/>
  <c r="BW82" i="4"/>
  <c r="BO6" i="4"/>
  <c r="G6" i="4"/>
  <c r="BO59" i="4"/>
  <c r="G59" i="4"/>
  <c r="BO71" i="4"/>
  <c r="G71" i="4"/>
  <c r="BW88" i="4"/>
  <c r="CU29" i="4"/>
  <c r="CV29" i="4" s="1"/>
  <c r="AX29" i="4"/>
  <c r="AS43" i="4"/>
  <c r="AV645" i="13" s="1"/>
  <c r="BY39" i="4" a="1"/>
  <c r="BY39" i="4" s="1"/>
  <c r="BZ39" i="4" a="1"/>
  <c r="BZ39" i="4" s="1"/>
  <c r="BX39" i="4" s="1" a="1"/>
  <c r="BX39" i="4" s="1"/>
  <c r="AX154" i="13"/>
  <c r="A254" i="13"/>
  <c r="AS11" i="4"/>
  <c r="AV613" i="13" s="1"/>
  <c r="AS26" i="4"/>
  <c r="AV628" i="13" s="1"/>
  <c r="BY61" i="4" a="1"/>
  <c r="BY61" i="4" s="1"/>
  <c r="BZ61" i="4" a="1"/>
  <c r="BZ61" i="4" s="1"/>
  <c r="BX61" i="4" s="1" a="1"/>
  <c r="BX61" i="4" s="1"/>
  <c r="H15" i="9"/>
  <c r="BY76" i="4" a="1"/>
  <c r="BY76" i="4" s="1"/>
  <c r="BZ76" i="4" a="1"/>
  <c r="BZ76" i="4" s="1"/>
  <c r="BX76" i="4" s="1" a="1"/>
  <c r="BX76" i="4" s="1"/>
  <c r="BY93" i="4" a="1"/>
  <c r="BY93" i="4" s="1"/>
  <c r="BZ93" i="4" a="1"/>
  <c r="BZ93" i="4" s="1"/>
  <c r="BX93" i="4" s="1" a="1"/>
  <c r="BX93" i="4" s="1"/>
  <c r="B7" i="4"/>
  <c r="BA7" i="4" a="1"/>
  <c r="BA7" i="4" s="1"/>
  <c r="BB7" i="4" s="1"/>
  <c r="AV109" i="13" s="1"/>
  <c r="BY8" i="4" a="1"/>
  <c r="BY8" i="4" s="1"/>
  <c r="BZ8" i="4" a="1"/>
  <c r="BZ8" i="4" s="1"/>
  <c r="BX8" i="4" s="1" a="1"/>
  <c r="BX8" i="4" s="1"/>
  <c r="G22" i="4"/>
  <c r="BO22" i="4"/>
  <c r="BW63" i="4"/>
  <c r="BW25" i="4"/>
  <c r="BW56" i="4"/>
  <c r="G73" i="4"/>
  <c r="BO73" i="4"/>
  <c r="BO90" i="4"/>
  <c r="G90" i="4"/>
  <c r="G92" i="4"/>
  <c r="BO92" i="4"/>
  <c r="X58" i="72"/>
  <c r="X58" i="69"/>
  <c r="BO76" i="4"/>
  <c r="G76" i="4"/>
  <c r="BO88" i="4"/>
  <c r="G88" i="4"/>
  <c r="BZ10" i="72"/>
  <c r="AX10" i="72" a="1"/>
  <c r="AX10" i="72" s="1"/>
  <c r="BI10" i="72"/>
  <c r="BJ10" i="72"/>
  <c r="F208" i="15" a="1"/>
  <c r="F208" i="15" s="1"/>
  <c r="AG1" i="23"/>
  <c r="B51" i="14"/>
  <c r="F51" i="23"/>
  <c r="D57" i="23"/>
  <c r="B57" i="23"/>
  <c r="F35" i="23"/>
  <c r="B35" i="23" s="1"/>
  <c r="D57" i="14"/>
  <c r="C57" i="14"/>
  <c r="B57" i="14"/>
  <c r="B5" i="4"/>
  <c r="BA5" i="4" a="1"/>
  <c r="BA5" i="4" s="1"/>
  <c r="BB5" i="4" s="1"/>
  <c r="AV107" i="13" s="1"/>
  <c r="A226" i="13"/>
  <c r="AX126" i="13"/>
  <c r="AX188" i="13"/>
  <c r="A288" i="13"/>
  <c r="AD3" i="4"/>
  <c r="E344" i="15"/>
  <c r="E486" i="15"/>
  <c r="E375" i="15"/>
  <c r="E268" i="15"/>
  <c r="E358" i="15"/>
  <c r="F358" i="15" s="1" a="1"/>
  <c r="F358" i="15" s="1"/>
  <c r="E638" i="15"/>
  <c r="E136" i="15"/>
  <c r="E507" i="15"/>
  <c r="E307" i="15"/>
  <c r="E76" i="15"/>
  <c r="E603" i="15"/>
  <c r="E71" i="15"/>
  <c r="E185" i="15"/>
  <c r="E578" i="15"/>
  <c r="E363" i="15"/>
  <c r="E566" i="15"/>
  <c r="E3" i="4"/>
  <c r="BH3" i="4" s="1"/>
  <c r="DE3" i="4"/>
  <c r="Z1891" i="13"/>
  <c r="B1891" i="13" s="1" a="1"/>
  <c r="B1891" i="13" s="1"/>
  <c r="C70" i="1"/>
  <c r="BZ82" i="4" a="1"/>
  <c r="BZ82" i="4" s="1"/>
  <c r="BX82" i="4" s="1" a="1"/>
  <c r="BX82" i="4" s="1"/>
  <c r="BY82" i="4" a="1"/>
  <c r="BY82" i="4" s="1"/>
  <c r="H95" i="9"/>
  <c r="Z1859" i="13"/>
  <c r="B1859" i="13" s="1" a="1"/>
  <c r="B1859" i="13" s="1"/>
  <c r="BZ88" i="4" a="1"/>
  <c r="BZ88" i="4" s="1"/>
  <c r="BX88" i="4" s="1" a="1"/>
  <c r="BX88" i="4" s="1"/>
  <c r="BY88" i="4" a="1"/>
  <c r="BY88" i="4" s="1"/>
  <c r="BO47" i="4"/>
  <c r="G47" i="4"/>
  <c r="BW17" i="4"/>
  <c r="G40" i="4"/>
  <c r="CW40" i="4" s="1"/>
  <c r="CX40" i="4" s="1"/>
  <c r="BO40" i="4"/>
  <c r="G57" i="4"/>
  <c r="BO57" i="4"/>
  <c r="BW28" i="4"/>
  <c r="G44" i="4"/>
  <c r="DA44" i="4" s="1" a="1"/>
  <c r="DA44" i="4" s="1"/>
  <c r="BO44" i="4"/>
  <c r="BO65" i="4"/>
  <c r="G65" i="4"/>
  <c r="W97" i="22" s="1"/>
  <c r="Y97" i="22" s="1"/>
  <c r="BW39" i="4"/>
  <c r="BO13" i="4"/>
  <c r="G13" i="4"/>
  <c r="BW89" i="4"/>
  <c r="AQ9" i="72"/>
  <c r="BW10" i="72"/>
  <c r="BI9" i="72"/>
  <c r="D58" i="23"/>
  <c r="E58" i="23" s="1"/>
  <c r="F36" i="23"/>
  <c r="BY29" i="4" a="1"/>
  <c r="BY29" i="4" s="1"/>
  <c r="BZ29" i="4" a="1"/>
  <c r="BZ29" i="4" s="1"/>
  <c r="BX29" i="4" s="1" a="1"/>
  <c r="BX29" i="4" s="1"/>
  <c r="AS18" i="4"/>
  <c r="AV620" i="13" s="1"/>
  <c r="AV105" i="13"/>
  <c r="E3" i="9"/>
  <c r="DD3" i="4" a="1"/>
  <c r="DD3" i="4" s="1"/>
  <c r="T3" i="72"/>
  <c r="T3" i="69"/>
  <c r="BT3" i="69" s="1"/>
  <c r="M3" i="72"/>
  <c r="M3" i="69"/>
  <c r="A1202" i="13"/>
  <c r="AX1103" i="13"/>
  <c r="AX24" i="4"/>
  <c r="CU24" i="4"/>
  <c r="CV24" i="4" s="1"/>
  <c r="BZ26" i="4" a="1"/>
  <c r="BZ26" i="4" s="1"/>
  <c r="BX26" i="4" s="1" a="1"/>
  <c r="BX26" i="4" s="1"/>
  <c r="BY26" i="4" a="1"/>
  <c r="BY26" i="4" s="1"/>
  <c r="BY37" i="4" a="1"/>
  <c r="BY37" i="4" s="1"/>
  <c r="BZ37" i="4" a="1"/>
  <c r="BZ37" i="4" s="1"/>
  <c r="BX37" i="4" s="1" a="1"/>
  <c r="BX37" i="4" s="1"/>
  <c r="AX151" i="13"/>
  <c r="A251" i="13"/>
  <c r="A228" i="13"/>
  <c r="AX128" i="13"/>
  <c r="AX1135" i="13"/>
  <c r="A1234" i="13"/>
  <c r="Z1828" i="13"/>
  <c r="B1828" i="13" s="1" a="1"/>
  <c r="B1828" i="13" s="1"/>
  <c r="H90" i="9"/>
  <c r="G48" i="4"/>
  <c r="CY48" i="4" s="1"/>
  <c r="CZ48" i="4" s="1"/>
  <c r="BO48" i="4"/>
  <c r="BO64" i="4"/>
  <c r="G64" i="4"/>
  <c r="BO32" i="4"/>
  <c r="G32" i="4"/>
  <c r="BW15" i="4"/>
  <c r="G54" i="4"/>
  <c r="DA54" i="4" s="1" a="1"/>
  <c r="DA54" i="4" s="1"/>
  <c r="BO54" i="4"/>
  <c r="BO12" i="4"/>
  <c r="G12" i="4"/>
  <c r="CY12" i="4" s="1"/>
  <c r="CZ12" i="4" s="1"/>
  <c r="G56" i="4"/>
  <c r="BO56" i="4"/>
  <c r="BO81" i="4"/>
  <c r="G81" i="4"/>
  <c r="BO70" i="4"/>
  <c r="G70" i="4"/>
  <c r="C35" i="23"/>
  <c r="AF25" i="71"/>
  <c r="C5" i="1"/>
  <c r="A1208" i="13"/>
  <c r="AX1109" i="13"/>
  <c r="AX1129" i="13"/>
  <c r="A1228" i="13"/>
  <c r="C65" i="1"/>
  <c r="H45" i="9"/>
  <c r="BZ11" i="4" a="1"/>
  <c r="BZ11" i="4" s="1"/>
  <c r="BX11" i="4" s="1" a="1"/>
  <c r="BX11" i="4" s="1"/>
  <c r="BY11" i="4" a="1"/>
  <c r="BY11" i="4" s="1"/>
  <c r="AS24" i="4"/>
  <c r="AV626" i="13" s="1"/>
  <c r="AX1300" i="13"/>
  <c r="A1399" i="13"/>
  <c r="E37" i="71"/>
  <c r="A1204" i="13"/>
  <c r="AX1105" i="13"/>
  <c r="C37" i="1"/>
  <c r="C13" i="1"/>
  <c r="AX1124" i="13"/>
  <c r="A1223" i="13"/>
  <c r="Q15" i="71"/>
  <c r="Q37" i="71" s="1"/>
  <c r="AX8" i="4"/>
  <c r="CU8" i="4"/>
  <c r="CV8" i="4" s="1"/>
  <c r="BO51" i="4"/>
  <c r="G51" i="4"/>
  <c r="DA51" i="4" s="1" a="1"/>
  <c r="DA51" i="4" s="1"/>
  <c r="G30" i="4"/>
  <c r="CY30" i="4" s="1"/>
  <c r="CZ30" i="4" s="1"/>
  <c r="BO30" i="4"/>
  <c r="BW36" i="4"/>
  <c r="BO74" i="4"/>
  <c r="G74" i="4"/>
  <c r="G46" i="4"/>
  <c r="BO46" i="4"/>
  <c r="BO28" i="4"/>
  <c r="G28" i="4"/>
  <c r="G84" i="4"/>
  <c r="BO84" i="4"/>
  <c r="G42" i="4"/>
  <c r="DA42" i="4" s="1" a="1"/>
  <c r="DA42" i="4" s="1"/>
  <c r="BO42" i="4"/>
  <c r="BW19" i="4"/>
  <c r="G49" i="4"/>
  <c r="CW49" i="4" s="1"/>
  <c r="CX49" i="4" s="1"/>
  <c r="BO49" i="4"/>
  <c r="BW29" i="4"/>
  <c r="G37" i="4"/>
  <c r="BO37" i="4"/>
  <c r="BO61" i="4"/>
  <c r="G61" i="4"/>
  <c r="BW75" i="4"/>
  <c r="BO82" i="4"/>
  <c r="G82" i="4"/>
  <c r="BO89" i="4"/>
  <c r="G89" i="4"/>
  <c r="G91" i="4"/>
  <c r="BO91" i="4"/>
  <c r="Z1884" i="13"/>
  <c r="B1884" i="13" s="1" a="1"/>
  <c r="B1884" i="13" s="1"/>
  <c r="H67" i="9"/>
  <c r="BA43" i="4" a="1"/>
  <c r="BA43" i="4" s="1"/>
  <c r="BB43" i="4" s="1"/>
  <c r="AV145" i="13" s="1"/>
  <c r="B43" i="4"/>
  <c r="CW43" i="4" s="1"/>
  <c r="CX43" i="4" s="1"/>
  <c r="C34" i="1"/>
  <c r="A1210" i="13"/>
  <c r="AX1111" i="13"/>
  <c r="A241" i="13"/>
  <c r="AX141" i="13"/>
  <c r="Z1837" i="13"/>
  <c r="B1837" i="13" s="1" a="1"/>
  <c r="B1837" i="13" s="1"/>
  <c r="Z1887" i="13"/>
  <c r="B1887" i="13" s="1" a="1"/>
  <c r="B1887" i="13" s="1"/>
  <c r="AX37" i="4"/>
  <c r="CU37" i="4"/>
  <c r="CV37" i="4" s="1"/>
  <c r="C82" i="1"/>
  <c r="BZ6" i="4" a="1"/>
  <c r="BZ6" i="4" s="1"/>
  <c r="BX6" i="4" s="1" a="1"/>
  <c r="BX6" i="4" s="1"/>
  <c r="BY6" i="4" a="1"/>
  <c r="BY6" i="4" s="1"/>
  <c r="C89" i="1"/>
  <c r="AX1128" i="13"/>
  <c r="A1227" i="13"/>
  <c r="B8" i="4"/>
  <c r="BA8" i="4" a="1"/>
  <c r="BA8" i="4" s="1"/>
  <c r="BB8" i="4" s="1"/>
  <c r="AV110" i="13" s="1"/>
  <c r="AS1296" i="13" a="1"/>
  <c r="AS1296" i="13" s="1"/>
  <c r="A23" i="20"/>
  <c r="C23" i="4"/>
  <c r="D23" i="1"/>
  <c r="M23" i="4"/>
  <c r="BU23" i="4" a="1"/>
  <c r="BU23" i="4" s="1"/>
  <c r="K23" i="4"/>
  <c r="BC23" i="4" a="1"/>
  <c r="BC23" i="4" s="1"/>
  <c r="BV23" i="4" a="1"/>
  <c r="BV23" i="4" s="1"/>
  <c r="AZ23" i="4"/>
  <c r="BS23" i="4"/>
  <c r="I23" i="4"/>
  <c r="A23" i="4"/>
  <c r="A25" i="9"/>
  <c r="D23" i="4"/>
  <c r="G17" i="4"/>
  <c r="BO17" i="4"/>
  <c r="G16" i="4"/>
  <c r="DA16" i="4" s="1" a="1"/>
  <c r="DA16" i="4" s="1"/>
  <c r="BO16" i="4"/>
  <c r="G50" i="4"/>
  <c r="CY50" i="4" s="1"/>
  <c r="CZ50" i="4" s="1"/>
  <c r="BO50" i="4"/>
  <c r="BW74" i="4"/>
  <c r="BO33" i="4"/>
  <c r="G33" i="4"/>
  <c r="DA33" i="4" s="1" a="1"/>
  <c r="DA33" i="4" s="1"/>
  <c r="G45" i="4"/>
  <c r="DA45" i="4" s="1" a="1"/>
  <c r="DA45" i="4" s="1"/>
  <c r="BO45" i="4"/>
  <c r="BO34" i="4"/>
  <c r="G34" i="4"/>
  <c r="G26" i="4"/>
  <c r="BO26" i="4"/>
  <c r="G93" i="4"/>
  <c r="BO93" i="4"/>
  <c r="BO7" i="4"/>
  <c r="G7" i="4"/>
  <c r="CY7" i="4" s="1"/>
  <c r="CZ7" i="4" s="1"/>
  <c r="AG9" i="72"/>
  <c r="H31" i="9"/>
  <c r="AX1184" i="13"/>
  <c r="A1283" i="13"/>
  <c r="Z1829" i="13"/>
  <c r="B1829" i="13" s="1" a="1"/>
  <c r="B1829" i="13" s="1"/>
  <c r="CU39" i="4"/>
  <c r="CV39" i="4" s="1"/>
  <c r="AX39" i="4"/>
  <c r="AX1150" i="13"/>
  <c r="A1249" i="13"/>
  <c r="BZ52" i="4" a="1"/>
  <c r="BZ52" i="4" s="1"/>
  <c r="BX52" i="4" s="1" a="1"/>
  <c r="BX52" i="4" s="1"/>
  <c r="BY52" i="4" a="1"/>
  <c r="BY52" i="4" s="1"/>
  <c r="AX191" i="13"/>
  <c r="A291" i="13"/>
  <c r="A293" i="13"/>
  <c r="AX193" i="13"/>
  <c r="BZ75" i="4" a="1"/>
  <c r="BZ75" i="4" s="1"/>
  <c r="BX75" i="4" s="1" a="1"/>
  <c r="BX75" i="4" s="1"/>
  <c r="BY75" i="4" a="1"/>
  <c r="BY75" i="4" s="1"/>
  <c r="C7" i="1"/>
  <c r="BZ7" i="4" a="1"/>
  <c r="BZ7" i="4" s="1"/>
  <c r="BX7" i="4" s="1" a="1"/>
  <c r="BX7" i="4" s="1"/>
  <c r="BY7" i="4" a="1"/>
  <c r="BY7" i="4" s="1"/>
  <c r="H73" i="9"/>
  <c r="C88" i="1"/>
  <c r="AX25" i="13"/>
  <c r="A1022" i="13"/>
  <c r="A625" i="13"/>
  <c r="A724" i="13"/>
  <c r="AX724" i="13" s="1"/>
  <c r="A824" i="13"/>
  <c r="AX824" i="13" s="1"/>
  <c r="A1821" i="13"/>
  <c r="A425" i="13"/>
  <c r="AX525" i="13"/>
  <c r="A125" i="13"/>
  <c r="A923" i="13"/>
  <c r="AX923" i="13" s="1"/>
  <c r="AX425" i="13"/>
  <c r="A525" i="13"/>
  <c r="AX1022" i="13"/>
  <c r="AX625" i="13"/>
  <c r="A1121" i="13"/>
  <c r="BO62" i="4"/>
  <c r="G62" i="4"/>
  <c r="BW50" i="4"/>
  <c r="BW83" i="4"/>
  <c r="G85" i="4"/>
  <c r="BO85" i="4"/>
  <c r="BW31" i="4"/>
  <c r="BW5" i="4"/>
  <c r="G18" i="4"/>
  <c r="BO18" i="4"/>
  <c r="BW77" i="4"/>
  <c r="S16" i="4"/>
  <c r="Z1608" i="13"/>
  <c r="T16" i="4"/>
  <c r="K37" i="71"/>
  <c r="H37" i="71"/>
  <c r="BZ5" i="4" a="1"/>
  <c r="BZ5" i="4" s="1"/>
  <c r="BX5" i="4" s="1" a="1"/>
  <c r="BX5" i="4" s="1"/>
  <c r="BY5" i="4" a="1"/>
  <c r="BY5" i="4" s="1"/>
  <c r="C39" i="1"/>
  <c r="H36" i="9"/>
  <c r="A2" i="27"/>
  <c r="A3" i="27"/>
  <c r="K10" i="27"/>
  <c r="I47" i="27" s="1"/>
  <c r="A1226" i="13"/>
  <c r="AX1127" i="13"/>
  <c r="H13" i="9"/>
  <c r="AX115" i="13"/>
  <c r="A215" i="13"/>
  <c r="A1236" i="13"/>
  <c r="AX1137" i="13"/>
  <c r="BA52" i="4" a="1"/>
  <c r="BA52" i="4" s="1"/>
  <c r="BB52" i="4" s="1"/>
  <c r="AV154" i="13" s="1"/>
  <c r="B52" i="4"/>
  <c r="Z1832" i="13"/>
  <c r="B1832" i="13" s="1" a="1"/>
  <c r="B1832" i="13" s="1"/>
  <c r="A209" i="13"/>
  <c r="AX109" i="13"/>
  <c r="AX1189" i="13"/>
  <c r="A1288" i="13"/>
  <c r="AS13" i="4"/>
  <c r="AV615" i="13" s="1"/>
  <c r="AS6" i="4"/>
  <c r="AV608" i="13" s="1"/>
  <c r="C59" i="1"/>
  <c r="E10" i="4"/>
  <c r="DE10" i="4"/>
  <c r="A1258" i="13"/>
  <c r="AX1159" i="13"/>
  <c r="AX132" i="13"/>
  <c r="A232" i="13"/>
  <c r="BW16" i="4"/>
  <c r="G79" i="4"/>
  <c r="BO79" i="4"/>
  <c r="BO14" i="4"/>
  <c r="G14" i="4"/>
  <c r="BO41" i="4"/>
  <c r="G41" i="4"/>
  <c r="DA41" i="4" s="1" a="1"/>
  <c r="DA41" i="4" s="1"/>
  <c r="BW41" i="4"/>
  <c r="BW45" i="4"/>
  <c r="BW44" i="4"/>
  <c r="BW85" i="4"/>
  <c r="BO72" i="4"/>
  <c r="G72" i="4"/>
  <c r="BW52" i="4"/>
  <c r="BW93" i="4"/>
  <c r="G8" i="4"/>
  <c r="BO8" i="4"/>
  <c r="P44" i="23"/>
  <c r="Z44" i="23" s="1"/>
  <c r="A213" i="13"/>
  <c r="AX113" i="13"/>
  <c r="AX133" i="13"/>
  <c r="A233" i="13"/>
  <c r="BZ65" i="4" a="1"/>
  <c r="BZ65" i="4" s="1"/>
  <c r="BX65" i="4" s="1" a="1"/>
  <c r="BX65" i="4" s="1"/>
  <c r="BY65" i="4" a="1"/>
  <c r="BY65" i="4" s="1"/>
  <c r="BY77" i="4" a="1"/>
  <c r="BY77" i="4" s="1"/>
  <c r="BZ77" i="4" a="1"/>
  <c r="BZ77" i="4" s="1"/>
  <c r="BX77" i="4" s="1" a="1"/>
  <c r="BX77" i="4" s="1"/>
  <c r="CU43" i="4"/>
  <c r="CV43" i="4" s="1"/>
  <c r="AX43" i="4"/>
  <c r="Z1803" i="13"/>
  <c r="B1803" i="13" s="1" a="1"/>
  <c r="B1803" i="13" s="1"/>
  <c r="C24" i="1"/>
  <c r="B26" i="4"/>
  <c r="BA26" i="4" a="1"/>
  <c r="BA26" i="4" s="1"/>
  <c r="BB26" i="4" s="1"/>
  <c r="AV128" i="13" s="1"/>
  <c r="AX177" i="13"/>
  <c r="A277" i="13"/>
  <c r="A295" i="13"/>
  <c r="AX195" i="13"/>
  <c r="Z1824" i="13"/>
  <c r="B1824" i="13" s="1" a="1"/>
  <c r="B1824" i="13" s="1"/>
  <c r="BA6" i="4" a="1"/>
  <c r="BA6" i="4" s="1"/>
  <c r="BB6" i="4" s="1"/>
  <c r="AV108" i="13" s="1"/>
  <c r="B6" i="4"/>
  <c r="H61" i="9"/>
  <c r="H91" i="9"/>
  <c r="H93" i="9"/>
  <c r="C8" i="1"/>
  <c r="BY71" i="4" a="1"/>
  <c r="BY71" i="4" s="1"/>
  <c r="BZ71" i="4" a="1"/>
  <c r="BZ71" i="4" s="1"/>
  <c r="BX71" i="4" s="1" a="1"/>
  <c r="BX71" i="4" s="1"/>
  <c r="BW40" i="4"/>
  <c r="BW32" i="4"/>
  <c r="G20" i="4"/>
  <c r="BO20" i="4"/>
  <c r="BO78" i="4"/>
  <c r="G78" i="4"/>
  <c r="BO15" i="4"/>
  <c r="G15" i="4"/>
  <c r="CW15" i="4" s="1"/>
  <c r="CX15" i="4" s="1"/>
  <c r="BO69" i="4"/>
  <c r="G69" i="4"/>
  <c r="BW53" i="4"/>
  <c r="BW12" i="4"/>
  <c r="BW84" i="4"/>
  <c r="BO38" i="4"/>
  <c r="G38" i="4"/>
  <c r="DA38" i="4" s="1" a="1"/>
  <c r="DA38" i="4" s="1"/>
  <c r="BW81" i="4"/>
  <c r="G80" i="4"/>
  <c r="BO80" i="4"/>
  <c r="BW92" i="4"/>
  <c r="BW72" i="4"/>
  <c r="G5" i="4"/>
  <c r="CY5" i="4" s="1"/>
  <c r="CZ5" i="4" s="1"/>
  <c r="BO5" i="4"/>
  <c r="G11" i="4"/>
  <c r="BO11" i="4"/>
  <c r="C56" i="14"/>
  <c r="F38" i="14"/>
  <c r="P38" i="14" s="1"/>
  <c r="B56" i="14"/>
  <c r="D56" i="14"/>
  <c r="AX5" i="4"/>
  <c r="CU5" i="4"/>
  <c r="CV5" i="4" s="1"/>
  <c r="B18" i="4"/>
  <c r="BA18" i="4" a="1"/>
  <c r="BA18" i="4" s="1"/>
  <c r="BB18" i="4" s="1"/>
  <c r="AV120" i="13" s="1"/>
  <c r="H79" i="9"/>
  <c r="C43" i="1"/>
  <c r="E39" i="4"/>
  <c r="BD39" i="4" s="1"/>
  <c r="DE39" i="4"/>
  <c r="BA34" i="4" a="1"/>
  <c r="BA34" i="4" s="1"/>
  <c r="BB34" i="4" s="1"/>
  <c r="AV136" i="13" s="1"/>
  <c r="B34" i="4"/>
  <c r="DE34" i="4" s="1"/>
  <c r="H26" i="9"/>
  <c r="Z1873" i="13"/>
  <c r="B1873" i="13" s="1" a="1"/>
  <c r="B1873" i="13" s="1"/>
  <c r="A236" i="13"/>
  <c r="AX136" i="13"/>
  <c r="Z1889" i="13"/>
  <c r="B1889" i="13" s="1" a="1"/>
  <c r="B1889" i="13" s="1"/>
  <c r="AX1147" i="13"/>
  <c r="A1246" i="13"/>
  <c r="C75" i="1"/>
  <c r="H72" i="9"/>
  <c r="H8" i="9"/>
  <c r="C76" i="1"/>
  <c r="AX7" i="4"/>
  <c r="CU7" i="4"/>
  <c r="CV7" i="4" s="1"/>
  <c r="BW30" i="4"/>
  <c r="G63" i="4"/>
  <c r="BO63" i="4"/>
  <c r="BW78" i="4"/>
  <c r="BO53" i="4"/>
  <c r="G53" i="4"/>
  <c r="DA53" i="4" s="1" a="1"/>
  <c r="DA53" i="4" s="1"/>
  <c r="G21" i="4"/>
  <c r="BO21" i="4"/>
  <c r="G86" i="4"/>
  <c r="BO86" i="4"/>
  <c r="BJ40" i="4" a="1"/>
  <c r="BK40" i="4" a="1"/>
  <c r="BJ48" i="4" a="1"/>
  <c r="BK48" i="4" a="1"/>
  <c r="BJ14" i="4" a="1"/>
  <c r="BK14" i="4" a="1"/>
  <c r="BJ47" i="4" a="1"/>
  <c r="BK47" i="4" a="1"/>
  <c r="BJ21" i="4" a="1"/>
  <c r="BK21" i="4" a="1"/>
  <c r="BJ25" i="4" a="1"/>
  <c r="BK25" i="4" a="1"/>
  <c r="BJ38" i="4" a="1"/>
  <c r="BK38" i="4" a="1"/>
  <c r="BJ29" i="4" a="1"/>
  <c r="BK29" i="4" a="1"/>
  <c r="BJ12" i="4" a="1"/>
  <c r="BK12" i="4" a="1"/>
  <c r="BJ28" i="4" a="1"/>
  <c r="BK28" i="4" a="1"/>
  <c r="BJ32" i="4" a="1"/>
  <c r="BK32" i="4" a="1"/>
  <c r="BJ30" i="4" a="1"/>
  <c r="BK30" i="4" a="1"/>
  <c r="BJ41" i="4" a="1"/>
  <c r="BK41" i="4" a="1"/>
  <c r="BJ8" i="4" a="1"/>
  <c r="BK8" i="4" a="1"/>
  <c r="BJ13" i="4" a="1"/>
  <c r="BK13" i="4" a="1"/>
  <c r="BJ18" i="4" a="1"/>
  <c r="BK18" i="4" a="1"/>
  <c r="BJ11" i="4" a="1"/>
  <c r="BK11" i="4" a="1"/>
  <c r="BJ36" i="4" a="1"/>
  <c r="BK36" i="4" a="1"/>
  <c r="BJ15" i="4" a="1"/>
  <c r="BK15" i="4" a="1"/>
  <c r="BJ17" i="4" a="1"/>
  <c r="BK17" i="4" a="1"/>
  <c r="BJ39" i="4" a="1"/>
  <c r="BK39" i="4" a="1"/>
  <c r="BJ34" i="4" a="1"/>
  <c r="BK34" i="4" a="1"/>
  <c r="BJ42" i="4" a="1"/>
  <c r="BK42" i="4" a="1"/>
  <c r="BJ6" i="4" a="1"/>
  <c r="BK6" i="4" a="1"/>
  <c r="BJ35" i="4" a="1"/>
  <c r="BK35" i="4" a="1"/>
  <c r="BJ27" i="4" a="1"/>
  <c r="BK27" i="4" a="1"/>
  <c r="BJ31" i="4" a="1"/>
  <c r="BK31" i="4" a="1"/>
  <c r="BJ54" i="4" a="1"/>
  <c r="BK54" i="4" a="1"/>
  <c r="BJ20" i="4" a="1"/>
  <c r="BK20" i="4" a="1"/>
  <c r="BJ37" i="4" a="1"/>
  <c r="BK37" i="4" a="1"/>
  <c r="BJ64" i="4" a="1"/>
  <c r="BK64" i="4" a="1"/>
  <c r="BJ49" i="4" a="1"/>
  <c r="BK49" i="4" a="1"/>
  <c r="BJ5" i="4" a="1"/>
  <c r="BK5" i="4" a="1"/>
  <c r="BJ26" i="4" a="1"/>
  <c r="BK26" i="4" a="1"/>
  <c r="BJ50" i="4" a="1"/>
  <c r="BK50" i="4" a="1"/>
  <c r="BJ19" i="4" a="1"/>
  <c r="BK19" i="4" a="1"/>
  <c r="BJ46" i="4" a="1"/>
  <c r="BK46" i="4" a="1"/>
  <c r="BJ16" i="4" a="1"/>
  <c r="BK16" i="4" a="1"/>
  <c r="BJ44" i="4" a="1"/>
  <c r="BK44" i="4" a="1"/>
  <c r="BJ7" i="4" a="1"/>
  <c r="BK7" i="4" a="1"/>
  <c r="BJ43" i="4" a="1"/>
  <c r="BK43" i="4" a="1"/>
  <c r="BJ22" i="4" a="1"/>
  <c r="BK22" i="4" a="1"/>
  <c r="BJ51" i="4" a="1"/>
  <c r="BK51" i="4" a="1"/>
  <c r="BJ53" i="4" a="1"/>
  <c r="BK53" i="4" a="1"/>
  <c r="BJ24" i="4" a="1"/>
  <c r="BK24" i="4" a="1"/>
  <c r="BJ33" i="4" a="1"/>
  <c r="BK33" i="4" a="1"/>
  <c r="BJ52" i="4" a="1"/>
  <c r="BK52" i="4" a="1"/>
  <c r="BJ45" i="4" a="1"/>
  <c r="BK45" i="4" a="1"/>
  <c r="AJ60" i="4" a="1"/>
  <c r="AI60" i="4" a="1"/>
  <c r="AI23" i="4" a="1"/>
  <c r="AJ23" i="4" a="1"/>
  <c r="B60" i="1" a="1"/>
  <c r="BI54" i="4" a="1"/>
  <c r="DF54" i="4" a="1"/>
  <c r="BI17" i="4" a="1"/>
  <c r="DF17" i="4" a="1"/>
  <c r="DF43" i="4" a="1"/>
  <c r="BI43" i="4" a="1"/>
  <c r="DF52" i="4" a="1"/>
  <c r="BI52" i="4" a="1"/>
  <c r="BI12" i="4" a="1"/>
  <c r="DF12" i="4" a="1"/>
  <c r="DF33" i="4" a="1"/>
  <c r="BI33" i="4" a="1"/>
  <c r="BI18" i="4" a="1"/>
  <c r="DF18" i="4" a="1"/>
  <c r="DF28" i="4" a="1"/>
  <c r="BI28" i="4" a="1"/>
  <c r="BI14" i="4" a="1"/>
  <c r="DF14" i="4" a="1"/>
  <c r="CC55" i="4" a="1"/>
  <c r="CK55" i="4" a="1"/>
  <c r="AM55" i="4" a="1"/>
  <c r="CE55" i="4" a="1"/>
  <c r="CL55" i="4" a="1"/>
  <c r="CT55" i="4"/>
  <c r="CQ55" i="4"/>
  <c r="AE55" i="4" a="1"/>
  <c r="CF55" i="4" a="1"/>
  <c r="CG55" i="4" a="1"/>
  <c r="BP55" i="4" a="1"/>
  <c r="CH55" i="4"/>
  <c r="BN55" i="4" a="1"/>
  <c r="CI55" i="4" a="1"/>
  <c r="AK55" i="4" a="1"/>
  <c r="CJ55" i="4" a="1"/>
  <c r="CM55" i="4" a="1"/>
  <c r="CB55" i="4" a="1"/>
  <c r="CD55" i="4" a="1"/>
  <c r="CN55" i="4" a="1"/>
  <c r="AC55" i="4" a="1"/>
  <c r="BI49" i="4" a="1"/>
  <c r="DF49" i="4" a="1"/>
  <c r="DF7" i="4" a="1"/>
  <c r="BI7" i="4" a="1"/>
  <c r="AO23" i="4" a="1"/>
  <c r="AN23" i="4" a="1"/>
  <c r="BI48" i="4" a="1"/>
  <c r="DF48" i="4" a="1"/>
  <c r="DF19" i="4" a="1"/>
  <c r="BI19" i="4" a="1"/>
  <c r="DF31" i="4" a="1"/>
  <c r="BI31" i="4" a="1"/>
  <c r="DF21" i="4" a="1"/>
  <c r="BI21" i="4" a="1"/>
  <c r="AG23" i="4" a="1"/>
  <c r="AF23" i="4" a="1"/>
  <c r="DF40" i="4" a="1"/>
  <c r="BI40" i="4" a="1"/>
  <c r="DF36" i="4" a="1"/>
  <c r="BI36" i="4" a="1"/>
  <c r="DF32" i="4" a="1"/>
  <c r="BI32" i="4" a="1"/>
  <c r="BI38" i="4" a="1"/>
  <c r="DF38" i="4" a="1"/>
  <c r="BI30" i="4" a="1"/>
  <c r="DF30" i="4" a="1"/>
  <c r="BI51" i="4" a="1"/>
  <c r="DF51" i="4" a="1"/>
  <c r="BI16" i="4" a="1"/>
  <c r="DF16" i="4" a="1"/>
  <c r="BI20" i="4" a="1"/>
  <c r="DF20" i="4" a="1"/>
  <c r="BI39" i="4" a="1"/>
  <c r="DF39" i="4" a="1"/>
  <c r="BI24" i="4" a="1"/>
  <c r="DF24" i="4" a="1"/>
  <c r="BI34" i="4" a="1"/>
  <c r="DF34" i="4" a="1"/>
  <c r="AB60" i="4" a="1"/>
  <c r="AA60" i="4" a="1"/>
  <c r="BI15" i="4" a="1"/>
  <c r="DF15" i="4" a="1"/>
  <c r="BI25" i="4" a="1"/>
  <c r="DF25" i="4" a="1"/>
  <c r="BI22" i="4" a="1"/>
  <c r="DF22" i="4" a="1"/>
  <c r="BI8" i="4" a="1"/>
  <c r="DF8" i="4" a="1"/>
  <c r="DF6" i="4" a="1"/>
  <c r="BI6" i="4" a="1"/>
  <c r="BI5" i="4" a="1"/>
  <c r="DF5" i="4" a="1"/>
  <c r="BI35" i="4" a="1"/>
  <c r="DF35" i="4" a="1"/>
  <c r="DF53" i="4" a="1"/>
  <c r="BI53" i="4" a="1"/>
  <c r="DF11" i="4" a="1"/>
  <c r="BI11" i="4" a="1"/>
  <c r="BI37" i="4" a="1"/>
  <c r="DF37" i="4" a="1"/>
  <c r="AG60" i="4" a="1"/>
  <c r="AF60" i="4" a="1"/>
  <c r="AO60" i="4" a="1"/>
  <c r="AN60" i="4" a="1"/>
  <c r="DF50" i="4" a="1"/>
  <c r="BI50" i="4" a="1"/>
  <c r="DF47" i="4" a="1"/>
  <c r="BI47" i="4" a="1"/>
  <c r="DF29" i="4" a="1"/>
  <c r="BI29" i="4" a="1"/>
  <c r="B23" i="1" a="1"/>
  <c r="AA23" i="4" a="1"/>
  <c r="AB23" i="4" a="1"/>
  <c r="DF27" i="4" a="1"/>
  <c r="BI27" i="4" a="1"/>
  <c r="BI64" i="4" a="1"/>
  <c r="DF64" i="4" a="1"/>
  <c r="DF41" i="4" a="1"/>
  <c r="BI41" i="4" a="1"/>
  <c r="DF26" i="4" a="1"/>
  <c r="BI26" i="4" a="1"/>
  <c r="BI13" i="4" a="1"/>
  <c r="DF13" i="4" a="1"/>
  <c r="BI45" i="4" a="1"/>
  <c r="DF45" i="4" a="1"/>
  <c r="DF42" i="4" a="1"/>
  <c r="BI42" i="4" a="1"/>
  <c r="DF46" i="4" a="1"/>
  <c r="BI46" i="4" a="1"/>
  <c r="DF44" i="4" a="1"/>
  <c r="BI44" i="4" a="1"/>
  <c r="CR55" i="4" a="1"/>
  <c r="CS55" i="4" a="1"/>
  <c r="CO55" i="4" a="1"/>
  <c r="CP55" i="4" a="1"/>
  <c r="AG9" i="69" l="1" a="1"/>
  <c r="AG9" i="69" s="1"/>
  <c r="DA8" i="4" a="1"/>
  <c r="DA8" i="4" s="1"/>
  <c r="AS65" i="4"/>
  <c r="AV667" i="13" s="1"/>
  <c r="N623" i="15" a="1"/>
  <c r="N623" i="15" s="1"/>
  <c r="Z1821" i="13"/>
  <c r="B1821" i="13" s="1" a="1"/>
  <c r="B1821" i="13" s="1"/>
  <c r="AS94" i="4"/>
  <c r="AV696" i="13" s="1"/>
  <c r="H10" i="27"/>
  <c r="DE24" i="4"/>
  <c r="DB62" i="4"/>
  <c r="DA34" i="4" a="1"/>
  <c r="DA34" i="4" s="1"/>
  <c r="AS58" i="4"/>
  <c r="AV660" i="13" s="1"/>
  <c r="G50" i="27"/>
  <c r="G46" i="27"/>
  <c r="G42" i="27"/>
  <c r="G45" i="27"/>
  <c r="H49" i="27"/>
  <c r="G48" i="27"/>
  <c r="G44" i="27"/>
  <c r="G40" i="27"/>
  <c r="H44" i="27"/>
  <c r="G47" i="27"/>
  <c r="H47" i="27"/>
  <c r="H43" i="27"/>
  <c r="H50" i="27"/>
  <c r="H46" i="27"/>
  <c r="H42" i="27"/>
  <c r="G49" i="27"/>
  <c r="G41" i="27"/>
  <c r="H45" i="27"/>
  <c r="H41" i="27"/>
  <c r="H48" i="27"/>
  <c r="H40" i="27"/>
  <c r="G43" i="27"/>
  <c r="G39" i="27"/>
  <c r="H39" i="27"/>
  <c r="I50" i="27"/>
  <c r="I41" i="27"/>
  <c r="I46" i="27"/>
  <c r="I39" i="27"/>
  <c r="I43" i="27"/>
  <c r="I40" i="27"/>
  <c r="I44" i="27"/>
  <c r="I48" i="27"/>
  <c r="I45" i="27"/>
  <c r="I49" i="27"/>
  <c r="I42" i="27"/>
  <c r="BK45" i="4"/>
  <c r="BJ45" i="4"/>
  <c r="BK52" i="4"/>
  <c r="BJ52" i="4"/>
  <c r="BK33" i="4"/>
  <c r="BJ33" i="4"/>
  <c r="BK24" i="4"/>
  <c r="BJ24" i="4"/>
  <c r="BK53" i="4"/>
  <c r="BJ53" i="4"/>
  <c r="BK51" i="4"/>
  <c r="BJ51" i="4"/>
  <c r="BK22" i="4"/>
  <c r="BJ22" i="4"/>
  <c r="BK43" i="4"/>
  <c r="BJ43" i="4"/>
  <c r="BK7" i="4"/>
  <c r="BJ7" i="4"/>
  <c r="BK44" i="4"/>
  <c r="BJ44" i="4"/>
  <c r="BK16" i="4"/>
  <c r="BJ16" i="4"/>
  <c r="BK46" i="4"/>
  <c r="BJ46" i="4"/>
  <c r="BK19" i="4"/>
  <c r="L19" i="4" s="1"/>
  <c r="BJ19" i="4"/>
  <c r="BK50" i="4"/>
  <c r="BJ50" i="4"/>
  <c r="BK26" i="4"/>
  <c r="BJ26" i="4"/>
  <c r="BK5" i="4"/>
  <c r="BJ5" i="4"/>
  <c r="BK49" i="4"/>
  <c r="BJ49" i="4"/>
  <c r="BK64" i="4"/>
  <c r="L64" i="4" s="1"/>
  <c r="CA64" i="4" s="1"/>
  <c r="BJ64" i="4"/>
  <c r="BK37" i="4"/>
  <c r="BJ37" i="4"/>
  <c r="BK20" i="4"/>
  <c r="L20" i="4" s="1"/>
  <c r="CA20" i="4" s="1"/>
  <c r="BJ20" i="4"/>
  <c r="BK54" i="4"/>
  <c r="BJ54" i="4"/>
  <c r="BK31" i="4"/>
  <c r="BJ31" i="4"/>
  <c r="BK27" i="4"/>
  <c r="BJ27" i="4"/>
  <c r="BK35" i="4"/>
  <c r="BJ35" i="4"/>
  <c r="BK6" i="4"/>
  <c r="L6" i="4" s="1"/>
  <c r="CA6" i="4" s="1"/>
  <c r="BJ6" i="4"/>
  <c r="BK42" i="4"/>
  <c r="BJ42" i="4"/>
  <c r="BK34" i="4"/>
  <c r="BJ34" i="4"/>
  <c r="BK39" i="4"/>
  <c r="BJ39" i="4"/>
  <c r="BK17" i="4"/>
  <c r="BJ17" i="4"/>
  <c r="BK15" i="4"/>
  <c r="BJ15" i="4"/>
  <c r="BK36" i="4"/>
  <c r="L36" i="4" s="1"/>
  <c r="CA36" i="4" s="1"/>
  <c r="BJ36" i="4"/>
  <c r="BK11" i="4"/>
  <c r="BJ11" i="4"/>
  <c r="BK18" i="4"/>
  <c r="BJ18" i="4"/>
  <c r="BK13" i="4"/>
  <c r="BJ13" i="4"/>
  <c r="BK8" i="4"/>
  <c r="BJ8" i="4"/>
  <c r="BK41" i="4"/>
  <c r="BJ41" i="4"/>
  <c r="BK30" i="4"/>
  <c r="BJ30" i="4"/>
  <c r="BK32" i="4"/>
  <c r="BJ32" i="4"/>
  <c r="BK28" i="4"/>
  <c r="BJ28" i="4"/>
  <c r="BK12" i="4"/>
  <c r="BJ12" i="4"/>
  <c r="BK29" i="4"/>
  <c r="BJ29" i="4"/>
  <c r="BK38" i="4"/>
  <c r="BJ38" i="4"/>
  <c r="BK25" i="4"/>
  <c r="BJ25" i="4"/>
  <c r="BK21" i="4"/>
  <c r="BJ21" i="4"/>
  <c r="BK47" i="4"/>
  <c r="L47" i="4" s="1"/>
  <c r="BJ47" i="4"/>
  <c r="BK14" i="4"/>
  <c r="BJ14" i="4"/>
  <c r="BK48" i="4"/>
  <c r="BJ48" i="4"/>
  <c r="BK40" i="4"/>
  <c r="BJ40" i="4"/>
  <c r="DA11" i="4" a="1"/>
  <c r="DA11" i="4" s="1"/>
  <c r="DE52" i="4"/>
  <c r="DA6" i="4" a="1"/>
  <c r="DA6" i="4" s="1"/>
  <c r="E43" i="4"/>
  <c r="E7" i="4"/>
  <c r="DE16" i="4"/>
  <c r="E19" i="4"/>
  <c r="BB64" i="4"/>
  <c r="AV166" i="13" s="1"/>
  <c r="E50" i="4"/>
  <c r="BD50" i="4" s="1"/>
  <c r="E5" i="4"/>
  <c r="DE49" i="4"/>
  <c r="DE17" i="4"/>
  <c r="AS88" i="4"/>
  <c r="AV690" i="13" s="1"/>
  <c r="AS82" i="4"/>
  <c r="AV684" i="13" s="1"/>
  <c r="E37" i="4"/>
  <c r="BD37" i="4" s="1"/>
  <c r="CW20" i="4"/>
  <c r="CX20" i="4" s="1"/>
  <c r="CW54" i="4"/>
  <c r="CX54" i="4" s="1"/>
  <c r="FZ19" i="71"/>
  <c r="CW31" i="4"/>
  <c r="CX31" i="4" s="1"/>
  <c r="CW5" i="4"/>
  <c r="CX5" i="4" s="1"/>
  <c r="DE29" i="4"/>
  <c r="CW37" i="4"/>
  <c r="CX37" i="4" s="1"/>
  <c r="DA43" i="4" a="1"/>
  <c r="DA43" i="4" s="1"/>
  <c r="E17" i="4"/>
  <c r="CW11" i="4"/>
  <c r="CX11" i="4" s="1"/>
  <c r="CW18" i="4"/>
  <c r="CX18" i="4" s="1"/>
  <c r="DE8" i="4"/>
  <c r="CW24" i="4"/>
  <c r="CX24" i="4" s="1"/>
  <c r="DA24" i="4" a="1"/>
  <c r="DA24" i="4" s="1"/>
  <c r="E49" i="4"/>
  <c r="BD49" i="4" s="1"/>
  <c r="E41" i="4"/>
  <c r="H66" i="9"/>
  <c r="DE28" i="4"/>
  <c r="I32" i="27"/>
  <c r="F19" i="27" a="1"/>
  <c r="F19" i="27" s="1"/>
  <c r="CW38" i="4"/>
  <c r="CX38" i="4" s="1"/>
  <c r="AS96" i="4"/>
  <c r="AV698" i="13" s="1"/>
  <c r="BR10" i="72" a="1"/>
  <c r="BR10" i="72" s="1"/>
  <c r="AN9" i="72" a="1"/>
  <c r="AN9" i="72" s="1"/>
  <c r="BR9" i="72" a="1"/>
  <c r="BR9" i="72" s="1"/>
  <c r="G38" i="27"/>
  <c r="G34" i="27"/>
  <c r="H32" i="27"/>
  <c r="H38" i="27"/>
  <c r="H34" i="27"/>
  <c r="G37" i="27"/>
  <c r="H37" i="27"/>
  <c r="G33" i="27"/>
  <c r="H33" i="27"/>
  <c r="G32" i="27"/>
  <c r="H36" i="27"/>
  <c r="G36" i="27"/>
  <c r="G35" i="27"/>
  <c r="H35" i="27"/>
  <c r="I36" i="27"/>
  <c r="I35" i="27"/>
  <c r="I33" i="27"/>
  <c r="I37" i="27"/>
  <c r="I34" i="27"/>
  <c r="I38" i="27"/>
  <c r="I28" i="27"/>
  <c r="U4" i="72" a="1"/>
  <c r="U4" i="72" s="1"/>
  <c r="AE37" i="27"/>
  <c r="G29" i="27"/>
  <c r="G30" i="27"/>
  <c r="G26" i="27"/>
  <c r="H30" i="27"/>
  <c r="H26" i="27"/>
  <c r="H29" i="27"/>
  <c r="G28" i="27"/>
  <c r="H28" i="27"/>
  <c r="G27" i="27"/>
  <c r="G31" i="27"/>
  <c r="H31" i="27"/>
  <c r="H27" i="27"/>
  <c r="I26" i="27"/>
  <c r="I30" i="27"/>
  <c r="I29" i="27"/>
  <c r="I27" i="27"/>
  <c r="I31" i="27"/>
  <c r="AP3" i="72" a="1"/>
  <c r="AP3" i="72" s="1"/>
  <c r="AO3" i="72" a="1"/>
  <c r="AO3" i="72" s="1"/>
  <c r="AP10" i="72" a="1"/>
  <c r="AP10" i="72" s="1"/>
  <c r="AO10" i="72" a="1"/>
  <c r="AO10" i="72" s="1"/>
  <c r="AP9" i="72" a="1"/>
  <c r="AP9" i="72" s="1"/>
  <c r="AO9" i="72" a="1"/>
  <c r="AO9" i="72" s="1"/>
  <c r="AT10" i="72" a="1"/>
  <c r="AT10" i="72" s="1"/>
  <c r="AW9" i="69" a="1"/>
  <c r="AW9" i="69" s="1"/>
  <c r="AL4" i="72"/>
  <c r="AM3" i="72" a="1"/>
  <c r="AM3" i="72" s="1"/>
  <c r="G4" i="72"/>
  <c r="AK9" i="72" a="1"/>
  <c r="AK9" i="72" s="1"/>
  <c r="AI9" i="72" a="1"/>
  <c r="AI9" i="72" s="1"/>
  <c r="AK3" i="72" a="1"/>
  <c r="AK3" i="72" s="1"/>
  <c r="AI3" i="72" a="1"/>
  <c r="AI3" i="72" s="1"/>
  <c r="AK10" i="72" a="1"/>
  <c r="AK10" i="72" s="1"/>
  <c r="AI10" i="72" a="1"/>
  <c r="AI10" i="72" s="1"/>
  <c r="BB9" i="72" a="1"/>
  <c r="BB9" i="72" s="1"/>
  <c r="AX3" i="72" a="1"/>
  <c r="AX3" i="72" s="1"/>
  <c r="BB10" i="72" a="1"/>
  <c r="BB10" i="72" s="1"/>
  <c r="AZ9" i="72" a="1"/>
  <c r="AZ9" i="72" s="1"/>
  <c r="F38" i="23"/>
  <c r="AF3" i="69" a="1"/>
  <c r="AF3" i="69" s="1"/>
  <c r="AH3" i="69" a="1"/>
  <c r="AH3" i="69" s="1"/>
  <c r="AF10" i="69" a="1"/>
  <c r="AF10" i="69" s="1"/>
  <c r="AH10" i="69" a="1"/>
  <c r="AH10" i="69" s="1"/>
  <c r="AF9" i="69" a="1"/>
  <c r="AF9" i="69" s="1"/>
  <c r="AH9" i="69" a="1"/>
  <c r="AH9" i="69" s="1"/>
  <c r="AI3" i="69" a="1"/>
  <c r="AI3" i="69" s="1"/>
  <c r="AI10" i="69" a="1"/>
  <c r="AI10" i="69" s="1"/>
  <c r="AI9" i="69" a="1"/>
  <c r="AI9" i="69" s="1"/>
  <c r="AK3" i="69" a="1"/>
  <c r="AK3" i="69" s="1"/>
  <c r="AK10" i="69" a="1"/>
  <c r="AK10" i="69" s="1"/>
  <c r="AP9" i="69" a="1"/>
  <c r="AP9" i="69" s="1"/>
  <c r="AK9" i="69" a="1"/>
  <c r="AK9" i="69" s="1"/>
  <c r="AY10" i="72" a="1"/>
  <c r="AY10" i="72" s="1"/>
  <c r="BN9" i="69" a="1"/>
  <c r="BN9" i="69" s="1"/>
  <c r="AN10" i="72" a="1"/>
  <c r="AN10" i="72" s="1"/>
  <c r="G4" i="69"/>
  <c r="BE10" i="72" a="1"/>
  <c r="BE10" i="72" s="1"/>
  <c r="AH10" i="72" a="1"/>
  <c r="AH10" i="72" s="1"/>
  <c r="AS10" i="72" a="1"/>
  <c r="AS10" i="72" s="1"/>
  <c r="AU10" i="72" a="1"/>
  <c r="AU10" i="72" s="1"/>
  <c r="AT9" i="69" a="1"/>
  <c r="AT9" i="69" s="1"/>
  <c r="BD10" i="72" a="1"/>
  <c r="BD10" i="72" s="1"/>
  <c r="AS9" i="72" a="1"/>
  <c r="AS9" i="72" s="1"/>
  <c r="BN10" i="69" a="1"/>
  <c r="BN10" i="69" s="1"/>
  <c r="AZ9" i="69" a="1"/>
  <c r="AZ9" i="69" s="1"/>
  <c r="BN3" i="69" a="1"/>
  <c r="BN3" i="69" s="1"/>
  <c r="AP10" i="69" a="1"/>
  <c r="AP10" i="69" s="1"/>
  <c r="BB3" i="72" a="1"/>
  <c r="BB3" i="72" s="1"/>
  <c r="BF10" i="69"/>
  <c r="AX9" i="69" a="1"/>
  <c r="AX9" i="69" s="1"/>
  <c r="AO9" i="69" a="1"/>
  <c r="AO9" i="69" s="1"/>
  <c r="BA9" i="69" a="1"/>
  <c r="BA9" i="69" s="1"/>
  <c r="BX9" i="72"/>
  <c r="AX3" i="69" a="1"/>
  <c r="AX3" i="69" s="1"/>
  <c r="AU9" i="69" a="1"/>
  <c r="AU9" i="69" s="1"/>
  <c r="AQ9" i="69" a="1"/>
  <c r="AQ9" i="69" s="1"/>
  <c r="AY4" i="69" a="1"/>
  <c r="AY4" i="69" s="1"/>
  <c r="S4" i="72"/>
  <c r="BT24" i="4"/>
  <c r="BA9" i="72" a="1"/>
  <c r="BA9" i="72" s="1"/>
  <c r="BF9" i="69"/>
  <c r="CY43" i="4"/>
  <c r="CZ43" i="4" s="1"/>
  <c r="CW29" i="4"/>
  <c r="CX29" i="4" s="1"/>
  <c r="S4" i="69"/>
  <c r="BT29" i="4"/>
  <c r="AV10" i="69" a="1"/>
  <c r="AV10" i="69" s="1"/>
  <c r="B4" i="69"/>
  <c r="BT7" i="4"/>
  <c r="B4" i="72"/>
  <c r="U701" i="13"/>
  <c r="AS70" i="4"/>
  <c r="AV672" i="13" s="1"/>
  <c r="R701" i="13"/>
  <c r="F701" i="13"/>
  <c r="DE50" i="4"/>
  <c r="CW16" i="4"/>
  <c r="CX16" i="4" s="1"/>
  <c r="AS66" i="4"/>
  <c r="AV668" i="13" s="1"/>
  <c r="AT3" i="72" a="1"/>
  <c r="AT3" i="72" s="1"/>
  <c r="Z1880" i="13"/>
  <c r="B1880" i="13" s="1" a="1"/>
  <c r="B1880" i="13" s="1"/>
  <c r="AS91" i="4"/>
  <c r="AV693" i="13" s="1"/>
  <c r="H92" i="9"/>
  <c r="AS71" i="4"/>
  <c r="AV673" i="13" s="1"/>
  <c r="V701" i="13"/>
  <c r="CW7" i="4"/>
  <c r="CX7" i="4" s="1"/>
  <c r="K701" i="13"/>
  <c r="E38" i="4"/>
  <c r="BT9" i="69"/>
  <c r="AH40" i="4"/>
  <c r="AV1336" i="13" s="1"/>
  <c r="H701" i="13"/>
  <c r="L620" i="15" a="1"/>
  <c r="L620" i="15" s="1"/>
  <c r="AS59" i="4"/>
  <c r="AV661" i="13" s="1"/>
  <c r="AS76" i="4"/>
  <c r="AV678" i="13" s="1"/>
  <c r="BM9" i="69" a="1"/>
  <c r="BM9" i="69" s="1"/>
  <c r="BT51" i="4"/>
  <c r="AE4" i="69" a="1"/>
  <c r="AE4" i="69" s="1"/>
  <c r="BT5" i="4"/>
  <c r="AM10" i="72" a="1"/>
  <c r="AM10" i="72" s="1"/>
  <c r="BP4" i="69"/>
  <c r="BO4" i="69" s="1"/>
  <c r="BR4" i="69" s="1"/>
  <c r="BW23" i="4"/>
  <c r="AP3" i="69" a="1"/>
  <c r="AP3" i="69" s="1"/>
  <c r="E4" i="69"/>
  <c r="DA37" i="4" a="1"/>
  <c r="DA37" i="4" s="1"/>
  <c r="BT39" i="4"/>
  <c r="AM9" i="72" a="1"/>
  <c r="AM9" i="72" s="1"/>
  <c r="BT41" i="4"/>
  <c r="CP55" i="4"/>
  <c r="CO55" i="4"/>
  <c r="CS55" i="4"/>
  <c r="CR55" i="4"/>
  <c r="BI44" i="4"/>
  <c r="DF44" i="4"/>
  <c r="BI46" i="4"/>
  <c r="DF46" i="4"/>
  <c r="BI42" i="4"/>
  <c r="DF42" i="4"/>
  <c r="DF45" i="4"/>
  <c r="BI45" i="4"/>
  <c r="BF45" i="4" s="1"/>
  <c r="DF13" i="4"/>
  <c r="L13" i="4"/>
  <c r="BI13" i="4"/>
  <c r="BI26" i="4"/>
  <c r="DF26" i="4"/>
  <c r="BI41" i="4"/>
  <c r="BF41" i="4" s="1"/>
  <c r="DF41" i="4"/>
  <c r="DF64" i="4"/>
  <c r="BI64" i="4"/>
  <c r="BI27" i="4"/>
  <c r="BF27" i="4" s="1"/>
  <c r="DF27" i="4"/>
  <c r="AB23" i="4"/>
  <c r="AA23" i="4"/>
  <c r="DB23" i="4" s="1"/>
  <c r="B23" i="1"/>
  <c r="BI29" i="4"/>
  <c r="BF29" i="4" s="1"/>
  <c r="L29" i="4"/>
  <c r="CA29" i="4" s="1"/>
  <c r="DF29" i="4"/>
  <c r="BI47" i="4"/>
  <c r="BF47" i="4" s="1"/>
  <c r="DF47" i="4"/>
  <c r="BI50" i="4"/>
  <c r="BF50" i="4" s="1"/>
  <c r="DF50" i="4"/>
  <c r="AN60" i="4"/>
  <c r="AO60" i="4"/>
  <c r="AF60" i="4"/>
  <c r="AG60" i="4"/>
  <c r="L37" i="4"/>
  <c r="CA37" i="4" s="1"/>
  <c r="DF37" i="4"/>
  <c r="BI37" i="4"/>
  <c r="BF37" i="4" s="1"/>
  <c r="BI11" i="4"/>
  <c r="BF11" i="4" s="1"/>
  <c r="DF11" i="4"/>
  <c r="BI53" i="4"/>
  <c r="DF53" i="4"/>
  <c r="DF35" i="4"/>
  <c r="BI35" i="4"/>
  <c r="DF5" i="4"/>
  <c r="BI5" i="4"/>
  <c r="BF5" i="4" s="1"/>
  <c r="BI6" i="4"/>
  <c r="DF6" i="4"/>
  <c r="DF8" i="4"/>
  <c r="BI8" i="4"/>
  <c r="DF22" i="4"/>
  <c r="BI22" i="4"/>
  <c r="DF25" i="4"/>
  <c r="BI25" i="4"/>
  <c r="DF15" i="4"/>
  <c r="BI15" i="4"/>
  <c r="AA60" i="4"/>
  <c r="DB60" i="4" s="1"/>
  <c r="AB60" i="4"/>
  <c r="DF34" i="4"/>
  <c r="BI34" i="4"/>
  <c r="DF24" i="4"/>
  <c r="BI24" i="4"/>
  <c r="BF24" i="4" s="1"/>
  <c r="DF39" i="4"/>
  <c r="BI39" i="4"/>
  <c r="BF39" i="4" s="1"/>
  <c r="DF20" i="4"/>
  <c r="BI20" i="4"/>
  <c r="DF16" i="4"/>
  <c r="BI16" i="4"/>
  <c r="DF51" i="4"/>
  <c r="BI51" i="4"/>
  <c r="BF51" i="4" s="1"/>
  <c r="DF30" i="4"/>
  <c r="BI30" i="4"/>
  <c r="BF30" i="4" s="1"/>
  <c r="DF38" i="4"/>
  <c r="BI38" i="4"/>
  <c r="BI32" i="4"/>
  <c r="BF32" i="4" s="1"/>
  <c r="DF32" i="4"/>
  <c r="BI36" i="4"/>
  <c r="BF36" i="4" s="1"/>
  <c r="DF36" i="4"/>
  <c r="BI40" i="4"/>
  <c r="BF40" i="4" s="1"/>
  <c r="DF40" i="4"/>
  <c r="AF23" i="4"/>
  <c r="AG23" i="4"/>
  <c r="BI21" i="4"/>
  <c r="DF21" i="4"/>
  <c r="BI31" i="4"/>
  <c r="BF31" i="4" s="1"/>
  <c r="DF31" i="4"/>
  <c r="BI19" i="4"/>
  <c r="BF19" i="4" s="1"/>
  <c r="DF19" i="4"/>
  <c r="DF48" i="4"/>
  <c r="BI48" i="4"/>
  <c r="BF48" i="4" s="1"/>
  <c r="AN23" i="4"/>
  <c r="AO23" i="4"/>
  <c r="BI7" i="4"/>
  <c r="BF7" i="4" s="1"/>
  <c r="DF7" i="4"/>
  <c r="L49" i="4"/>
  <c r="CA49" i="4" s="1"/>
  <c r="DF49" i="4"/>
  <c r="BI49" i="4"/>
  <c r="BF49" i="4" s="1"/>
  <c r="AC55" i="4"/>
  <c r="CN55" i="4"/>
  <c r="CD55" i="4"/>
  <c r="CB55" i="4"/>
  <c r="CM55" i="4"/>
  <c r="CJ55" i="4"/>
  <c r="AK55" i="4"/>
  <c r="CI55" i="4"/>
  <c r="BN55" i="4"/>
  <c r="BP55" i="4"/>
  <c r="BP97" i="4" s="1"/>
  <c r="CG55" i="4"/>
  <c r="CF55" i="4"/>
  <c r="AE55" i="4"/>
  <c r="CT97" i="4"/>
  <c r="CL55" i="4"/>
  <c r="CE55" i="4"/>
  <c r="AM55" i="4"/>
  <c r="CK55" i="4"/>
  <c r="CC55" i="4"/>
  <c r="DF14" i="4"/>
  <c r="BI14" i="4"/>
  <c r="BF14" i="4" s="1"/>
  <c r="L14" i="4"/>
  <c r="BI28" i="4"/>
  <c r="BF28" i="4" s="1"/>
  <c r="DF28" i="4"/>
  <c r="DF18" i="4"/>
  <c r="BI18" i="4"/>
  <c r="BI33" i="4"/>
  <c r="BF33" i="4" s="1"/>
  <c r="DF33" i="4"/>
  <c r="DF12" i="4"/>
  <c r="BI12" i="4"/>
  <c r="BF12" i="4" s="1"/>
  <c r="BI52" i="4"/>
  <c r="DF52" i="4"/>
  <c r="BI43" i="4"/>
  <c r="BF43" i="4" s="1"/>
  <c r="DF43" i="4"/>
  <c r="DF17" i="4"/>
  <c r="BI17" i="4"/>
  <c r="BF17" i="4" s="1"/>
  <c r="DF54" i="4"/>
  <c r="BI54" i="4"/>
  <c r="B60" i="1"/>
  <c r="AJ23" i="4"/>
  <c r="AI23" i="4"/>
  <c r="AI60" i="4"/>
  <c r="AJ60" i="4"/>
  <c r="BD43" i="4"/>
  <c r="BT43" i="4"/>
  <c r="BT37" i="4"/>
  <c r="BD17" i="4"/>
  <c r="BT17" i="4"/>
  <c r="BD19" i="4"/>
  <c r="BT19" i="4"/>
  <c r="F20" i="4"/>
  <c r="AW20" i="4"/>
  <c r="AV22" i="13"/>
  <c r="Z1316" i="13"/>
  <c r="AY20" i="4"/>
  <c r="AP20" i="4"/>
  <c r="AV322" i="13" s="1"/>
  <c r="AV422" i="13" s="1"/>
  <c r="W29" i="22"/>
  <c r="Y29" i="22" s="1"/>
  <c r="V29" i="22"/>
  <c r="F3" i="72"/>
  <c r="F3" i="69"/>
  <c r="A333" i="13"/>
  <c r="AX333" i="13" s="1"/>
  <c r="AX233" i="13"/>
  <c r="BH10" i="4"/>
  <c r="BT10" i="4"/>
  <c r="BD10" i="4"/>
  <c r="X10" i="4" s="1"/>
  <c r="A1335" i="13"/>
  <c r="AX1236" i="13"/>
  <c r="BA23" i="4" a="1"/>
  <c r="BA23" i="4" s="1"/>
  <c r="BB23" i="4" s="1"/>
  <c r="AV125" i="13" s="1"/>
  <c r="B23" i="4"/>
  <c r="W56" i="22"/>
  <c r="Y56" i="22" s="1"/>
  <c r="F37" i="4"/>
  <c r="AY37" i="4"/>
  <c r="AV39" i="13"/>
  <c r="AW37" i="4"/>
  <c r="Z1333" i="13"/>
  <c r="AP37" i="4"/>
  <c r="AV339" i="13" s="1"/>
  <c r="AV439" i="13" s="1"/>
  <c r="V56" i="22"/>
  <c r="DA46" i="4" a="1"/>
  <c r="DA46" i="4" s="1"/>
  <c r="AY46" i="4"/>
  <c r="F46" i="4"/>
  <c r="Z1342" i="13"/>
  <c r="AV48" i="13"/>
  <c r="AW46" i="4"/>
  <c r="AP46" i="4"/>
  <c r="AV348" i="13" s="1"/>
  <c r="AV448" i="13" s="1"/>
  <c r="V64" i="22"/>
  <c r="W64" i="22"/>
  <c r="Y64" i="22" s="1"/>
  <c r="AX1204" i="13"/>
  <c r="A1303" i="13"/>
  <c r="AX1234" i="13"/>
  <c r="A1333" i="13"/>
  <c r="DA13" i="4" a="1"/>
  <c r="DA13" i="4" s="1"/>
  <c r="AW13" i="4"/>
  <c r="Z1309" i="13"/>
  <c r="AV15" i="13"/>
  <c r="F13" i="4"/>
  <c r="AY13" i="4"/>
  <c r="AP13" i="4"/>
  <c r="AV315" i="13" s="1"/>
  <c r="AV415" i="13" s="1"/>
  <c r="V24" i="22"/>
  <c r="W24" i="22"/>
  <c r="Y24" i="22" s="1"/>
  <c r="AW73" i="4"/>
  <c r="AY73" i="4"/>
  <c r="Z1369" i="13"/>
  <c r="AV75" i="13"/>
  <c r="Z1367" i="13"/>
  <c r="AV73" i="13"/>
  <c r="AY71" i="4"/>
  <c r="AW71" i="4"/>
  <c r="V39" i="22"/>
  <c r="AV26" i="13"/>
  <c r="Z1320" i="13"/>
  <c r="F24" i="4"/>
  <c r="AY24" i="4"/>
  <c r="AW24" i="4"/>
  <c r="AP24" i="4"/>
  <c r="AV326" i="13" s="1"/>
  <c r="AV426" i="13" s="1"/>
  <c r="W39" i="22"/>
  <c r="Y39" i="22" s="1"/>
  <c r="E8" i="4"/>
  <c r="BT8" i="4" s="1"/>
  <c r="Y701" i="13"/>
  <c r="DE18" i="4"/>
  <c r="F27" i="4"/>
  <c r="AW27" i="4"/>
  <c r="Z1323" i="13"/>
  <c r="AY27" i="4"/>
  <c r="AV29" i="13"/>
  <c r="AP27" i="4"/>
  <c r="AV329" i="13" s="1"/>
  <c r="AV429" i="13" s="1"/>
  <c r="W42" i="22"/>
  <c r="Y42" i="22" s="1"/>
  <c r="V42" i="22"/>
  <c r="CY34" i="4"/>
  <c r="CZ34" i="4" s="1"/>
  <c r="BD5" i="4"/>
  <c r="A1315" i="13"/>
  <c r="AX1216" i="13"/>
  <c r="A308" i="13"/>
  <c r="AX308" i="13" s="1"/>
  <c r="AX208" i="13"/>
  <c r="AX1158" i="13"/>
  <c r="A1257" i="13"/>
  <c r="A262" i="13"/>
  <c r="AX162" i="13"/>
  <c r="CW44" i="4"/>
  <c r="CX44" i="4" s="1"/>
  <c r="E99" i="15"/>
  <c r="CU57" i="4"/>
  <c r="CV57" i="4" s="1"/>
  <c r="AX57" i="4"/>
  <c r="CY57" i="4"/>
  <c r="CZ57" i="4" s="1"/>
  <c r="BM10" i="4"/>
  <c r="BE10" i="4" s="1" a="1"/>
  <c r="BE10" i="4" s="1"/>
  <c r="BM10" i="72"/>
  <c r="BI10" i="69"/>
  <c r="BT33" i="4"/>
  <c r="AX1267" i="13"/>
  <c r="A1366" i="13"/>
  <c r="A1312" i="13"/>
  <c r="AX1213" i="13"/>
  <c r="E418" i="15"/>
  <c r="E437" i="15"/>
  <c r="E394" i="15"/>
  <c r="E45" i="15"/>
  <c r="E276" i="15"/>
  <c r="E410" i="15"/>
  <c r="E597" i="15"/>
  <c r="E646" i="15"/>
  <c r="E499" i="15"/>
  <c r="E612" i="15"/>
  <c r="E220" i="15"/>
  <c r="E207" i="15"/>
  <c r="E260" i="15"/>
  <c r="AX248" i="13"/>
  <c r="A348" i="13"/>
  <c r="AX348" i="13" s="1"/>
  <c r="AX1276" i="13"/>
  <c r="A1375" i="13"/>
  <c r="AX1240" i="13"/>
  <c r="A1339" i="13"/>
  <c r="AX1270" i="13"/>
  <c r="A1369" i="13"/>
  <c r="CY54" i="4"/>
  <c r="CZ54" i="4" s="1"/>
  <c r="AX1263" i="13"/>
  <c r="A1362" i="13"/>
  <c r="AX253" i="13"/>
  <c r="A353" i="13"/>
  <c r="AX353" i="13" s="1"/>
  <c r="BA65" i="4" a="1"/>
  <c r="BA65" i="4" s="1"/>
  <c r="BB65" i="4" s="1"/>
  <c r="AV167" i="13" s="1"/>
  <c r="B65" i="4"/>
  <c r="B88" i="4"/>
  <c r="AP88" i="4" s="1"/>
  <c r="AV390" i="13" s="1"/>
  <c r="AV490" i="13" s="1"/>
  <c r="BA88" i="4" a="1"/>
  <c r="BA88" i="4" s="1"/>
  <c r="BB88" i="4" s="1"/>
  <c r="AV190" i="13" s="1"/>
  <c r="A345" i="13"/>
  <c r="AX345" i="13" s="1"/>
  <c r="AX245" i="13"/>
  <c r="E571" i="15"/>
  <c r="E423" i="15"/>
  <c r="E231" i="15"/>
  <c r="E508" i="15"/>
  <c r="E374" i="15"/>
  <c r="E321" i="15"/>
  <c r="E409" i="15"/>
  <c r="E172" i="15"/>
  <c r="E373" i="15"/>
  <c r="E442" i="15"/>
  <c r="E286" i="15"/>
  <c r="E354" i="15"/>
  <c r="E293" i="15"/>
  <c r="E313" i="15"/>
  <c r="E537" i="15"/>
  <c r="E237" i="15"/>
  <c r="I9" i="72"/>
  <c r="I9" i="69"/>
  <c r="AX1250" i="13"/>
  <c r="A1349" i="13"/>
  <c r="A1364" i="13"/>
  <c r="AX1265" i="13"/>
  <c r="I368" i="15" a="1"/>
  <c r="I368" i="15" s="1"/>
  <c r="CW50" i="4"/>
  <c r="CX50" i="4" s="1"/>
  <c r="DA48" i="4" a="1"/>
  <c r="DA48" i="4" s="1"/>
  <c r="AY505" i="13"/>
  <c r="AR3" i="4"/>
  <c r="AQ3" i="4"/>
  <c r="BT4" i="72"/>
  <c r="BS4" i="72" s="1"/>
  <c r="BV4" i="72" s="1"/>
  <c r="BK4" i="72"/>
  <c r="AR4" i="72"/>
  <c r="R4" i="72"/>
  <c r="BX4" i="72"/>
  <c r="BH4" i="72"/>
  <c r="BQ4" i="72" a="1"/>
  <c r="BQ4" i="72" s="1"/>
  <c r="H94" i="9"/>
  <c r="Z1855" i="13"/>
  <c r="B1855" i="13" s="1" a="1"/>
  <c r="B1855" i="13" s="1"/>
  <c r="Z1871" i="13"/>
  <c r="B1871" i="13" s="1" a="1"/>
  <c r="B1871" i="13" s="1"/>
  <c r="AX221" i="13"/>
  <c r="A321" i="13"/>
  <c r="AX321" i="13" s="1"/>
  <c r="AS79" i="4"/>
  <c r="AV681" i="13" s="1"/>
  <c r="K613" i="15" a="1"/>
  <c r="K613" i="15" s="1"/>
  <c r="BJ9" i="72"/>
  <c r="BW9" i="72"/>
  <c r="A359" i="13"/>
  <c r="AX359" i="13" s="1"/>
  <c r="AX259" i="13"/>
  <c r="AX1278" i="13"/>
  <c r="A1377" i="13"/>
  <c r="AE26" i="27"/>
  <c r="AE35" i="27"/>
  <c r="AI33" i="27"/>
  <c r="E18" i="27"/>
  <c r="I11" i="27" s="1"/>
  <c r="AE24" i="27"/>
  <c r="AE33" i="27"/>
  <c r="AI28" i="27"/>
  <c r="AF29" i="27"/>
  <c r="AF26" i="27"/>
  <c r="GL20" i="71"/>
  <c r="CU66" i="4"/>
  <c r="CV66" i="4" s="1"/>
  <c r="AX66" i="4"/>
  <c r="DB66" i="4"/>
  <c r="A334" i="13"/>
  <c r="AX334" i="13" s="1"/>
  <c r="AX234" i="13"/>
  <c r="AX1282" i="13"/>
  <c r="A1381" i="13"/>
  <c r="E120" i="15"/>
  <c r="E83" i="15"/>
  <c r="E119" i="15"/>
  <c r="E177" i="15"/>
  <c r="E582" i="15"/>
  <c r="Z1885" i="13"/>
  <c r="B1885" i="13" s="1" a="1"/>
  <c r="B1885" i="13" s="1"/>
  <c r="Z43" i="4"/>
  <c r="AV1240" i="13" s="1"/>
  <c r="AH22" i="4"/>
  <c r="AV1318" i="13" s="1"/>
  <c r="AD19" i="4"/>
  <c r="F19" i="69" s="1"/>
  <c r="AL20" i="4"/>
  <c r="I20" i="69" s="1"/>
  <c r="AH12" i="4"/>
  <c r="AV1308" i="13" s="1"/>
  <c r="AL21" i="4"/>
  <c r="I21" i="69" s="1"/>
  <c r="Z18" i="4"/>
  <c r="AV1215" i="13" s="1"/>
  <c r="Z64" i="4"/>
  <c r="AV1261" i="13" s="1"/>
  <c r="AL31" i="4"/>
  <c r="I31" i="69" s="1"/>
  <c r="X91" i="72"/>
  <c r="X91" i="69"/>
  <c r="X93" i="72"/>
  <c r="X93" i="69"/>
  <c r="Z39" i="4"/>
  <c r="AV1236" i="13" s="1"/>
  <c r="AH16" i="4"/>
  <c r="AV1312" i="13" s="1"/>
  <c r="X62" i="69"/>
  <c r="X62" i="72"/>
  <c r="X41" i="69"/>
  <c r="X41" i="72"/>
  <c r="BO60" i="4"/>
  <c r="G60" i="4"/>
  <c r="X83" i="72"/>
  <c r="X83" i="69"/>
  <c r="X50" i="69"/>
  <c r="X50" i="72"/>
  <c r="X49" i="69"/>
  <c r="X49" i="72"/>
  <c r="AY85" i="4"/>
  <c r="AW85" i="4"/>
  <c r="AV87" i="13"/>
  <c r="Z1381" i="13"/>
  <c r="AW17" i="4"/>
  <c r="F17" i="4"/>
  <c r="BL17" i="4" s="1"/>
  <c r="AV19" i="13"/>
  <c r="Z1313" i="13"/>
  <c r="AY17" i="4"/>
  <c r="AP17" i="4"/>
  <c r="AV319" i="13" s="1"/>
  <c r="AV419" i="13" s="1"/>
  <c r="W68" i="22"/>
  <c r="Y68" i="22" s="1"/>
  <c r="V68" i="22"/>
  <c r="AW92" i="4"/>
  <c r="AY92" i="4"/>
  <c r="Z1388" i="13"/>
  <c r="AV94" i="13"/>
  <c r="Z1364" i="13"/>
  <c r="AY68" i="4"/>
  <c r="AW68" i="4"/>
  <c r="AV70" i="13"/>
  <c r="A1320" i="13"/>
  <c r="AX1221" i="13"/>
  <c r="E640" i="15"/>
  <c r="E274" i="15"/>
  <c r="E315" i="15"/>
  <c r="E65" i="15"/>
  <c r="E323" i="15"/>
  <c r="E483" i="15"/>
  <c r="E388" i="15"/>
  <c r="DA5" i="4" a="1"/>
  <c r="DA5" i="4" s="1"/>
  <c r="AW5" i="4"/>
  <c r="AY5" i="4"/>
  <c r="Z1301" i="13"/>
  <c r="F5" i="4"/>
  <c r="BL5" i="4" s="1"/>
  <c r="AV7" i="13"/>
  <c r="W15" i="22"/>
  <c r="Y15" i="22" s="1"/>
  <c r="AP5" i="4"/>
  <c r="AV307" i="13" s="1"/>
  <c r="AV407" i="13" s="1"/>
  <c r="V15" i="22"/>
  <c r="AV71" i="13"/>
  <c r="AW69" i="4"/>
  <c r="Z1365" i="13"/>
  <c r="AY69" i="4"/>
  <c r="E562" i="15"/>
  <c r="E95" i="15"/>
  <c r="E266" i="15"/>
  <c r="E109" i="15"/>
  <c r="E200" i="15"/>
  <c r="E397" i="15"/>
  <c r="E632" i="15"/>
  <c r="E284" i="15"/>
  <c r="E401" i="15"/>
  <c r="E242" i="15"/>
  <c r="E642" i="15"/>
  <c r="E554" i="15"/>
  <c r="E398" i="15"/>
  <c r="E627" i="15"/>
  <c r="E404" i="15"/>
  <c r="E194" i="15"/>
  <c r="E336" i="15"/>
  <c r="E145" i="15"/>
  <c r="E215" i="15"/>
  <c r="E332" i="15"/>
  <c r="E389" i="15"/>
  <c r="E211" i="15"/>
  <c r="E616" i="15"/>
  <c r="M615" i="15" s="1" a="1"/>
  <c r="M615" i="15" s="1"/>
  <c r="E620" i="15"/>
  <c r="E660" i="15"/>
  <c r="E613" i="15"/>
  <c r="M613" i="15" s="1" a="1"/>
  <c r="M613" i="15" s="1"/>
  <c r="E251" i="15"/>
  <c r="E230" i="15"/>
  <c r="E649" i="15"/>
  <c r="E539" i="15"/>
  <c r="E309" i="15"/>
  <c r="E182" i="15"/>
  <c r="E362" i="15"/>
  <c r="E141" i="15"/>
  <c r="E196" i="15"/>
  <c r="E631" i="15"/>
  <c r="E609" i="15"/>
  <c r="E408" i="15"/>
  <c r="A313" i="13"/>
  <c r="AX313" i="13" s="1"/>
  <c r="AX213" i="13"/>
  <c r="DA14" i="4" a="1"/>
  <c r="DA14" i="4" s="1"/>
  <c r="Z1310" i="13"/>
  <c r="AV16" i="13"/>
  <c r="AW14" i="4"/>
  <c r="F14" i="4"/>
  <c r="BL14" i="4" s="1"/>
  <c r="AY14" i="4"/>
  <c r="AP14" i="4"/>
  <c r="AV316" i="13" s="1"/>
  <c r="AV416" i="13" s="1"/>
  <c r="W23" i="22"/>
  <c r="Y23" i="22" s="1"/>
  <c r="V23" i="22"/>
  <c r="A315" i="13"/>
  <c r="AX315" i="13" s="1"/>
  <c r="AX215" i="13"/>
  <c r="AV64" i="13"/>
  <c r="AW62" i="4"/>
  <c r="Z1358" i="13"/>
  <c r="AY62" i="4"/>
  <c r="Z1303" i="13"/>
  <c r="AY7" i="4"/>
  <c r="AV9" i="13"/>
  <c r="AW7" i="4"/>
  <c r="F7" i="4"/>
  <c r="BL7" i="4" s="1"/>
  <c r="AP7" i="4"/>
  <c r="AV309" i="13" s="1"/>
  <c r="AV409" i="13" s="1"/>
  <c r="W28" i="22"/>
  <c r="Y28" i="22" s="1"/>
  <c r="V28" i="22"/>
  <c r="BJ36" i="71"/>
  <c r="CU23" i="4"/>
  <c r="CV23" i="4" s="1"/>
  <c r="AX23" i="4"/>
  <c r="BJ26" i="71"/>
  <c r="BJ29" i="71"/>
  <c r="BJ18" i="71"/>
  <c r="BJ4" i="71"/>
  <c r="BJ25" i="71"/>
  <c r="BJ32" i="71"/>
  <c r="BJ10" i="71"/>
  <c r="BJ11" i="71"/>
  <c r="BJ12" i="71"/>
  <c r="BJ21" i="71"/>
  <c r="BJ8" i="71"/>
  <c r="BJ31" i="71"/>
  <c r="BJ30" i="71"/>
  <c r="BJ33" i="71"/>
  <c r="BJ6" i="71"/>
  <c r="BJ15" i="71"/>
  <c r="BJ35" i="71"/>
  <c r="BJ22" i="71"/>
  <c r="BJ5" i="71"/>
  <c r="BJ23" i="71"/>
  <c r="BJ27" i="71"/>
  <c r="BJ16" i="71"/>
  <c r="BJ28" i="71"/>
  <c r="BJ7" i="71"/>
  <c r="BJ34" i="71"/>
  <c r="BJ14" i="71"/>
  <c r="BJ13" i="71"/>
  <c r="BJ24" i="71"/>
  <c r="BJ9" i="71"/>
  <c r="BJ19" i="71"/>
  <c r="BJ17" i="71"/>
  <c r="BJ20" i="71"/>
  <c r="BK38" i="71"/>
  <c r="AY74" i="4"/>
  <c r="AW74" i="4"/>
  <c r="AV76" i="13"/>
  <c r="Z1370" i="13"/>
  <c r="AV34" i="13"/>
  <c r="F32" i="4"/>
  <c r="AY32" i="4"/>
  <c r="AW32" i="4"/>
  <c r="Z1328" i="13"/>
  <c r="AP32" i="4"/>
  <c r="AV334" i="13" s="1"/>
  <c r="AV434" i="13" s="1"/>
  <c r="V50" i="22"/>
  <c r="W50" i="22"/>
  <c r="Y50" i="22" s="1"/>
  <c r="W69" i="22"/>
  <c r="Y69" i="22" s="1"/>
  <c r="F47" i="4"/>
  <c r="BL47" i="4" s="1"/>
  <c r="AY47" i="4"/>
  <c r="AW47" i="4"/>
  <c r="Z1343" i="13"/>
  <c r="AV49" i="13"/>
  <c r="AP47" i="4"/>
  <c r="AV349" i="13" s="1"/>
  <c r="AV449" i="13" s="1"/>
  <c r="V69" i="22"/>
  <c r="AW88" i="4"/>
  <c r="F88" i="4"/>
  <c r="AV90" i="13"/>
  <c r="Z1384" i="13"/>
  <c r="AY88" i="4"/>
  <c r="AX254" i="13"/>
  <c r="A354" i="13"/>
  <c r="AX354" i="13" s="1"/>
  <c r="V43" i="22"/>
  <c r="AW29" i="4"/>
  <c r="AY29" i="4"/>
  <c r="F29" i="4"/>
  <c r="BL29" i="4" s="1"/>
  <c r="Z1325" i="13"/>
  <c r="AV31" i="13"/>
  <c r="AP29" i="4"/>
  <c r="AV331" i="13" s="1"/>
  <c r="AV431" i="13" s="1"/>
  <c r="W43" i="22"/>
  <c r="Y43" i="22" s="1"/>
  <c r="Q701" i="13"/>
  <c r="CW34" i="4"/>
  <c r="CX34" i="4" s="1"/>
  <c r="BT31" i="4"/>
  <c r="A381" i="13"/>
  <c r="AX381" i="13" s="1"/>
  <c r="AX281" i="13"/>
  <c r="Z1860" i="13"/>
  <c r="B1860" i="13" s="1" a="1"/>
  <c r="B1860" i="13" s="1"/>
  <c r="AS62" i="4"/>
  <c r="AV664" i="13" s="1"/>
  <c r="BD51" i="4"/>
  <c r="DA47" i="4" a="1"/>
  <c r="DA47" i="4" s="1"/>
  <c r="AX1218" i="13"/>
  <c r="A1317" i="13"/>
  <c r="B57" i="4"/>
  <c r="AD57" i="4" s="1"/>
  <c r="F57" i="69" s="1"/>
  <c r="BA57" i="4" a="1"/>
  <c r="BA57" i="4" s="1"/>
  <c r="BB57" i="4" s="1"/>
  <c r="AV159" i="13" s="1"/>
  <c r="AX1354" i="13"/>
  <c r="A1453" i="13"/>
  <c r="E122" i="15"/>
  <c r="E63" i="15"/>
  <c r="E98" i="15"/>
  <c r="E285" i="15"/>
  <c r="E188" i="15"/>
  <c r="E312" i="15"/>
  <c r="E350" i="15"/>
  <c r="E320" i="15"/>
  <c r="E331" i="15"/>
  <c r="A1341" i="13"/>
  <c r="AX1242" i="13"/>
  <c r="IK30" i="71"/>
  <c r="DB83" i="4"/>
  <c r="CY83" i="4"/>
  <c r="CZ83" i="4" s="1"/>
  <c r="CU83" i="4"/>
  <c r="CV83" i="4" s="1"/>
  <c r="AX83" i="4"/>
  <c r="AX220" i="13"/>
  <c r="A320" i="13"/>
  <c r="AX320" i="13" s="1"/>
  <c r="AX294" i="13"/>
  <c r="A394" i="13"/>
  <c r="AX394" i="13" s="1"/>
  <c r="AX1274" i="13"/>
  <c r="A1373" i="13"/>
  <c r="AX250" i="13"/>
  <c r="A350" i="13"/>
  <c r="AX350" i="13" s="1"/>
  <c r="DA65" i="4" a="1"/>
  <c r="DA65" i="4" s="1"/>
  <c r="CU65" i="4"/>
  <c r="CV65" i="4" s="1"/>
  <c r="DB65" i="4"/>
  <c r="CW65" i="4"/>
  <c r="CX65" i="4" s="1"/>
  <c r="AX65" i="4"/>
  <c r="CY65" i="4"/>
  <c r="CZ65" i="4" s="1"/>
  <c r="HS6" i="71"/>
  <c r="CU77" i="4"/>
  <c r="CV77" i="4" s="1"/>
  <c r="AX77" i="4"/>
  <c r="DB77" i="4"/>
  <c r="AS75" i="4"/>
  <c r="AV677" i="13" s="1"/>
  <c r="H59" i="9"/>
  <c r="BT27" i="4"/>
  <c r="DA50" i="4" a="1"/>
  <c r="DA50" i="4" s="1"/>
  <c r="CW64" i="4"/>
  <c r="CX64" i="4" s="1"/>
  <c r="BM3" i="4"/>
  <c r="BM3" i="72"/>
  <c r="BI3" i="69"/>
  <c r="A367" i="13"/>
  <c r="AX367" i="13" s="1"/>
  <c r="AX267" i="13"/>
  <c r="A361" i="13"/>
  <c r="AX361" i="13" s="1"/>
  <c r="AX261" i="13"/>
  <c r="BE4" i="69"/>
  <c r="BF4" i="69"/>
  <c r="N613" i="15" a="1"/>
  <c r="N613" i="15" s="1"/>
  <c r="J481" i="15"/>
  <c r="B92" i="4"/>
  <c r="BA92" i="4" a="1"/>
  <c r="BA92" i="4" s="1"/>
  <c r="BB92" i="4" s="1"/>
  <c r="AV194" i="13" s="1"/>
  <c r="AS64" i="4"/>
  <c r="AV666" i="13" s="1"/>
  <c r="AX1259" i="13"/>
  <c r="A1358" i="13"/>
  <c r="AE27" i="27"/>
  <c r="AE38" i="27"/>
  <c r="AI39" i="27"/>
  <c r="AF25" i="27"/>
  <c r="AI44" i="27"/>
  <c r="AE23" i="27"/>
  <c r="AI24" i="27"/>
  <c r="AI40" i="27"/>
  <c r="AJ27" i="27"/>
  <c r="W95" i="22"/>
  <c r="Y95" i="22" s="1"/>
  <c r="E617" i="15"/>
  <c r="E601" i="15"/>
  <c r="E472" i="15"/>
  <c r="E52" i="15"/>
  <c r="E346" i="15"/>
  <c r="E635" i="15"/>
  <c r="E372" i="15"/>
  <c r="E652" i="15"/>
  <c r="E86" i="15"/>
  <c r="AX1215" i="13"/>
  <c r="A1314" i="13"/>
  <c r="A1329" i="13"/>
  <c r="AX1230" i="13"/>
  <c r="Z1877" i="13"/>
  <c r="B1877" i="13" s="1" a="1"/>
  <c r="B1877" i="13" s="1"/>
  <c r="AH41" i="4"/>
  <c r="AV1337" i="13" s="1"/>
  <c r="AH43" i="4"/>
  <c r="AV1339" i="13" s="1"/>
  <c r="AD6" i="4"/>
  <c r="F6" i="69" s="1"/>
  <c r="AD39" i="4"/>
  <c r="F39" i="69" s="1"/>
  <c r="AH20" i="4"/>
  <c r="AV1316" i="13" s="1"/>
  <c r="AH21" i="4"/>
  <c r="AV1317" i="13" s="1"/>
  <c r="AD27" i="4"/>
  <c r="F27" i="69" s="1"/>
  <c r="B45" i="14"/>
  <c r="AD11" i="4"/>
  <c r="F11" i="72" s="1"/>
  <c r="AH42" i="4"/>
  <c r="T2" i="14"/>
  <c r="AL13" i="4"/>
  <c r="I13" i="69" s="1"/>
  <c r="AD44" i="4"/>
  <c r="F44" i="69" s="1"/>
  <c r="AH29" i="4"/>
  <c r="AV1325" i="13" s="1"/>
  <c r="AL51" i="4"/>
  <c r="I51" i="69" s="1"/>
  <c r="Z24" i="4"/>
  <c r="AV1221" i="13" s="1"/>
  <c r="AL35" i="4"/>
  <c r="I35" i="69" s="1"/>
  <c r="AH52" i="4"/>
  <c r="AV1348" i="13" s="1"/>
  <c r="X11" i="72"/>
  <c r="X11" i="69"/>
  <c r="AH38" i="4"/>
  <c r="AV1334" i="13" s="1"/>
  <c r="AH27" i="4"/>
  <c r="AV1323" i="13" s="1"/>
  <c r="X61" i="72"/>
  <c r="X61" i="69"/>
  <c r="AH44" i="4"/>
  <c r="AV1340" i="13" s="1"/>
  <c r="X53" i="72"/>
  <c r="X53" i="69"/>
  <c r="BW60" i="4"/>
  <c r="X63" i="69"/>
  <c r="X63" i="72"/>
  <c r="BG4" i="4"/>
  <c r="AV1102" i="13" s="1"/>
  <c r="L4" i="4"/>
  <c r="X17" i="72"/>
  <c r="X17" i="69"/>
  <c r="X32" i="72"/>
  <c r="X32" i="69"/>
  <c r="C23" i="1"/>
  <c r="W93" i="22"/>
  <c r="Y93" i="22" s="1"/>
  <c r="AW61" i="4"/>
  <c r="AV63" i="13"/>
  <c r="AY61" i="4"/>
  <c r="Z1357" i="13"/>
  <c r="CY28" i="4"/>
  <c r="CZ28" i="4" s="1"/>
  <c r="Z1324" i="13"/>
  <c r="AY28" i="4"/>
  <c r="AW28" i="4"/>
  <c r="F28" i="4"/>
  <c r="BL28" i="4" s="1"/>
  <c r="AV30" i="13"/>
  <c r="AP28" i="4"/>
  <c r="AV330" i="13" s="1"/>
  <c r="AV430" i="13" s="1"/>
  <c r="Z1304" i="13"/>
  <c r="AW8" i="4"/>
  <c r="F8" i="4"/>
  <c r="BL8" i="4" s="1"/>
  <c r="AV10" i="13"/>
  <c r="AY8" i="4"/>
  <c r="AP8" i="4"/>
  <c r="AV310" i="13" s="1"/>
  <c r="AV410" i="13" s="1"/>
  <c r="W18" i="22"/>
  <c r="Y18" i="22" s="1"/>
  <c r="V18" i="22"/>
  <c r="BD29" i="4"/>
  <c r="BD7" i="4"/>
  <c r="AX1399" i="13"/>
  <c r="Z1503" i="13"/>
  <c r="AV1399" i="13"/>
  <c r="A1498" i="13"/>
  <c r="AX1208" i="13"/>
  <c r="A1307" i="13"/>
  <c r="AW70" i="4"/>
  <c r="Z1366" i="13"/>
  <c r="AY70" i="4"/>
  <c r="AV72" i="13"/>
  <c r="A1301" i="13"/>
  <c r="AX1202" i="13"/>
  <c r="A326" i="13"/>
  <c r="AX326" i="13" s="1"/>
  <c r="AX226" i="13"/>
  <c r="W91" i="22"/>
  <c r="Y91" i="22" s="1"/>
  <c r="AY59" i="4"/>
  <c r="AW59" i="4"/>
  <c r="Z1355" i="13"/>
  <c r="AV61" i="13"/>
  <c r="E26" i="4"/>
  <c r="T701" i="13"/>
  <c r="E53" i="15"/>
  <c r="E568" i="15"/>
  <c r="E216" i="15"/>
  <c r="E495" i="15"/>
  <c r="CW36" i="4"/>
  <c r="CX36" i="4" s="1"/>
  <c r="F36" i="4"/>
  <c r="BL36" i="4" s="1"/>
  <c r="AW36" i="4"/>
  <c r="Z1332" i="13"/>
  <c r="AV38" i="13"/>
  <c r="AY36" i="4"/>
  <c r="AP36" i="4"/>
  <c r="AV338" i="13" s="1"/>
  <c r="AV438" i="13" s="1"/>
  <c r="V52" i="22"/>
  <c r="W52" i="22"/>
  <c r="Y52" i="22" s="1"/>
  <c r="AV79" i="13"/>
  <c r="Z1373" i="13"/>
  <c r="AW77" i="4"/>
  <c r="AY77" i="4"/>
  <c r="DA26" i="4" a="1"/>
  <c r="DA26" i="4" s="1"/>
  <c r="CY47" i="4"/>
  <c r="CZ47" i="4" s="1"/>
  <c r="A392" i="13"/>
  <c r="AX392" i="13" s="1"/>
  <c r="AX292" i="13"/>
  <c r="A370" i="13"/>
  <c r="AX370" i="13" s="1"/>
  <c r="AX270" i="13"/>
  <c r="AX1260" i="13"/>
  <c r="A1359" i="13"/>
  <c r="CW47" i="4"/>
  <c r="CX47" i="4" s="1"/>
  <c r="E193" i="15"/>
  <c r="E416" i="15"/>
  <c r="E100" i="15"/>
  <c r="AR12" i="4"/>
  <c r="AQ12" i="4"/>
  <c r="AY512" i="13"/>
  <c r="AQ10" i="4"/>
  <c r="AR10" i="4"/>
  <c r="AX74" i="4"/>
  <c r="DB74" i="4"/>
  <c r="CU74" i="4"/>
  <c r="CV74" i="4" s="1"/>
  <c r="CY74" i="4"/>
  <c r="CZ74" i="4" s="1"/>
  <c r="AS85" i="4"/>
  <c r="AV687" i="13" s="1"/>
  <c r="A358" i="13"/>
  <c r="AX358" i="13" s="1"/>
  <c r="AX258" i="13"/>
  <c r="E54" i="4"/>
  <c r="BT54" i="4" s="1"/>
  <c r="AX219" i="13"/>
  <c r="A319" i="13"/>
  <c r="AX319" i="13" s="1"/>
  <c r="BA61" i="4" a="1"/>
  <c r="BA61" i="4" s="1"/>
  <c r="BB61" i="4" s="1"/>
  <c r="AV163" i="13" s="1"/>
  <c r="B61" i="4"/>
  <c r="GX10" i="71"/>
  <c r="CY70" i="4"/>
  <c r="CZ70" i="4" s="1"/>
  <c r="AX70" i="4"/>
  <c r="CU70" i="4"/>
  <c r="CV70" i="4" s="1"/>
  <c r="DB70" i="4"/>
  <c r="A374" i="13"/>
  <c r="AX374" i="13" s="1"/>
  <c r="AX274" i="13"/>
  <c r="B84" i="4"/>
  <c r="BA84" i="4" a="1"/>
  <c r="BA84" i="4" s="1"/>
  <c r="BB84" i="4" s="1"/>
  <c r="AV186" i="13" s="1"/>
  <c r="AV1206" i="13"/>
  <c r="S9" i="72"/>
  <c r="S9" i="69"/>
  <c r="B9" i="72"/>
  <c r="B9" i="69"/>
  <c r="H70" i="9"/>
  <c r="CU68" i="4"/>
  <c r="CV68" i="4" s="1"/>
  <c r="AX68" i="4"/>
  <c r="H68" i="9"/>
  <c r="BD27" i="4"/>
  <c r="AQ4" i="72"/>
  <c r="AX1284" i="13"/>
  <c r="A1383" i="13"/>
  <c r="A384" i="13"/>
  <c r="AX384" i="13" s="1"/>
  <c r="AX284" i="13"/>
  <c r="Z1854" i="13"/>
  <c r="B1854" i="13" s="1" a="1"/>
  <c r="B1854" i="13" s="1"/>
  <c r="AS56" i="4"/>
  <c r="AV658" i="13" s="1"/>
  <c r="A324" i="13"/>
  <c r="AX324" i="13" s="1"/>
  <c r="AX224" i="13"/>
  <c r="E630" i="15"/>
  <c r="E648" i="15"/>
  <c r="E622" i="15"/>
  <c r="N620" i="15" s="1" a="1"/>
  <c r="N620" i="15" s="1"/>
  <c r="E589" i="15"/>
  <c r="E213" i="15"/>
  <c r="E647" i="15"/>
  <c r="F646" i="15" s="1" a="1"/>
  <c r="F646" i="15" s="1"/>
  <c r="E351" i="15"/>
  <c r="E561" i="15"/>
  <c r="E256" i="15"/>
  <c r="E641" i="15"/>
  <c r="E439" i="15"/>
  <c r="E425" i="15"/>
  <c r="E497" i="15"/>
  <c r="E594" i="15"/>
  <c r="E520" i="15"/>
  <c r="E434" i="15"/>
  <c r="E261" i="15"/>
  <c r="E229" i="15"/>
  <c r="E659" i="15"/>
  <c r="M659" i="15" s="1" a="1"/>
  <c r="M659" i="15" s="1"/>
  <c r="E304" i="15"/>
  <c r="E478" i="15"/>
  <c r="E257" i="15"/>
  <c r="E277" i="15"/>
  <c r="E538" i="15"/>
  <c r="E291" i="15"/>
  <c r="AX1203" i="13"/>
  <c r="A1302" i="13"/>
  <c r="BA10" i="72" a="1"/>
  <c r="BA10" i="72" s="1"/>
  <c r="AS72" i="4"/>
  <c r="AV674" i="13" s="1"/>
  <c r="AJ23" i="27"/>
  <c r="AE25" i="27"/>
  <c r="AI32" i="27"/>
  <c r="AJ22" i="27"/>
  <c r="I23" i="27"/>
  <c r="AJ36" i="27"/>
  <c r="AI36" i="27"/>
  <c r="AI35" i="27"/>
  <c r="AX1224" i="13"/>
  <c r="A1323" i="13"/>
  <c r="Z1882" i="13"/>
  <c r="B1882" i="13" s="1" a="1"/>
  <c r="B1882" i="13" s="1"/>
  <c r="W95" i="72"/>
  <c r="DB95" i="4"/>
  <c r="CU95" i="4"/>
  <c r="CV95" i="4" s="1"/>
  <c r="AX95" i="4"/>
  <c r="DE46" i="4"/>
  <c r="AL28" i="4"/>
  <c r="I28" i="69" s="1"/>
  <c r="AL40" i="4"/>
  <c r="I40" i="69" s="1"/>
  <c r="AH47" i="4"/>
  <c r="AV1343" i="13" s="1"/>
  <c r="AD40" i="4"/>
  <c r="F40" i="69" s="1"/>
  <c r="AL47" i="4"/>
  <c r="I47" i="69" s="1"/>
  <c r="AL33" i="4"/>
  <c r="I33" i="72" s="1"/>
  <c r="Z48" i="4"/>
  <c r="AV1245" i="13" s="1"/>
  <c r="AL37" i="4"/>
  <c r="I37" i="69" s="1"/>
  <c r="AL29" i="4"/>
  <c r="I29" i="69" s="1"/>
  <c r="AD15" i="4"/>
  <c r="F15" i="69" s="1"/>
  <c r="AD41" i="4"/>
  <c r="F41" i="69" s="1"/>
  <c r="AD48" i="4"/>
  <c r="F48" i="69" s="1"/>
  <c r="AL15" i="4"/>
  <c r="I15" i="69" s="1"/>
  <c r="AL34" i="4"/>
  <c r="I34" i="69" s="1"/>
  <c r="AL43" i="4"/>
  <c r="I43" i="69" s="1"/>
  <c r="AD12" i="4"/>
  <c r="F12" i="69" s="1"/>
  <c r="X52" i="72"/>
  <c r="X52" i="69"/>
  <c r="AD13" i="4"/>
  <c r="F13" i="72" s="1"/>
  <c r="AL38" i="4"/>
  <c r="I38" i="69" s="1"/>
  <c r="X15" i="72"/>
  <c r="X15" i="69"/>
  <c r="X40" i="69"/>
  <c r="X40" i="72"/>
  <c r="X31" i="72"/>
  <c r="X31" i="69"/>
  <c r="X81" i="69"/>
  <c r="X81" i="72"/>
  <c r="X38" i="72"/>
  <c r="X38" i="69"/>
  <c r="AX277" i="13"/>
  <c r="A377" i="13"/>
  <c r="AX377" i="13" s="1"/>
  <c r="DA21" i="4" a="1"/>
  <c r="DA21" i="4" s="1"/>
  <c r="Z1317" i="13"/>
  <c r="AY21" i="4"/>
  <c r="AW21" i="4"/>
  <c r="AV23" i="13"/>
  <c r="F21" i="4"/>
  <c r="BL21" i="4" s="1"/>
  <c r="AP21" i="4"/>
  <c r="AV323" i="13" s="1"/>
  <c r="AV423" i="13" s="1"/>
  <c r="H11" i="7" a="1"/>
  <c r="H11" i="7" s="1"/>
  <c r="W30" i="22"/>
  <c r="Y30" i="22" s="1"/>
  <c r="V30" i="22"/>
  <c r="AX241" i="13"/>
  <c r="A341" i="13"/>
  <c r="AX341" i="13" s="1"/>
  <c r="AV93" i="13"/>
  <c r="AY91" i="4"/>
  <c r="Z1387" i="13"/>
  <c r="AW91" i="4"/>
  <c r="V72" i="22"/>
  <c r="AY49" i="4"/>
  <c r="AV51" i="13"/>
  <c r="AW49" i="4"/>
  <c r="F49" i="4"/>
  <c r="BL49" i="4" s="1"/>
  <c r="Z1345" i="13"/>
  <c r="AP49" i="4"/>
  <c r="AV351" i="13" s="1"/>
  <c r="AV451" i="13" s="1"/>
  <c r="W72" i="22"/>
  <c r="Y72" i="22" s="1"/>
  <c r="W96" i="22"/>
  <c r="Y96" i="22" s="1"/>
  <c r="AY64" i="4"/>
  <c r="AW64" i="4"/>
  <c r="Z1360" i="13"/>
  <c r="F64" i="4"/>
  <c r="BL64" i="4" s="1"/>
  <c r="AV66" i="13"/>
  <c r="AP64" i="4"/>
  <c r="AV366" i="13" s="1"/>
  <c r="AV466" i="13" s="1"/>
  <c r="E52" i="4"/>
  <c r="BT52" i="4" s="1"/>
  <c r="AY65" i="4"/>
  <c r="Z1361" i="13"/>
  <c r="AW65" i="4"/>
  <c r="AV67" i="13"/>
  <c r="F65" i="4"/>
  <c r="AP65" i="4"/>
  <c r="AV367" i="13" s="1"/>
  <c r="AV467" i="13" s="1"/>
  <c r="BD3" i="4"/>
  <c r="BT3" i="4"/>
  <c r="I358" i="15" a="1"/>
  <c r="I358" i="15" s="1"/>
  <c r="Z1372" i="13"/>
  <c r="AV78" i="13"/>
  <c r="AY76" i="4"/>
  <c r="AW76" i="4"/>
  <c r="AV21" i="13"/>
  <c r="F19" i="4"/>
  <c r="BL19" i="4" s="1"/>
  <c r="AW19" i="4"/>
  <c r="Z1315" i="13"/>
  <c r="AY19" i="4"/>
  <c r="AP19" i="4"/>
  <c r="AV321" i="13" s="1"/>
  <c r="AV421" i="13" s="1"/>
  <c r="V27" i="22"/>
  <c r="W27" i="22"/>
  <c r="Y27" i="22" s="1"/>
  <c r="E517" i="15"/>
  <c r="E158" i="15"/>
  <c r="E584" i="15"/>
  <c r="E118" i="15"/>
  <c r="DE26" i="4"/>
  <c r="DA39" i="4" a="1"/>
  <c r="DA39" i="4" s="1"/>
  <c r="AW39" i="4"/>
  <c r="AV41" i="13"/>
  <c r="Z1335" i="13"/>
  <c r="F39" i="4"/>
  <c r="BL39" i="4" s="1"/>
  <c r="AY39" i="4"/>
  <c r="AP39" i="4"/>
  <c r="AV341" i="13" s="1"/>
  <c r="AV441" i="13" s="1"/>
  <c r="W55" i="22"/>
  <c r="Y55" i="22" s="1"/>
  <c r="V55" i="22"/>
  <c r="E576" i="15"/>
  <c r="E129" i="15"/>
  <c r="CW26" i="4"/>
  <c r="CX26" i="4" s="1"/>
  <c r="E527" i="15"/>
  <c r="AX1268" i="13"/>
  <c r="A1367" i="13"/>
  <c r="BA72" i="4" a="1"/>
  <c r="BA72" i="4" s="1"/>
  <c r="BB72" i="4" s="1"/>
  <c r="AV174" i="13" s="1"/>
  <c r="B72" i="4"/>
  <c r="AX216" i="13"/>
  <c r="A316" i="13"/>
  <c r="AX316" i="13" s="1"/>
  <c r="Z1878" i="13"/>
  <c r="B1878" i="13" s="1" a="1"/>
  <c r="B1878" i="13" s="1"/>
  <c r="AS80" i="4"/>
  <c r="AV682" i="13" s="1"/>
  <c r="BA68" i="4" a="1"/>
  <c r="BA68" i="4" s="1"/>
  <c r="BB68" i="4" s="1"/>
  <c r="AV170" i="13" s="1"/>
  <c r="B68" i="4"/>
  <c r="BT14" i="4"/>
  <c r="AX222" i="13"/>
  <c r="A322" i="13"/>
  <c r="AX322" i="13" s="1"/>
  <c r="A1379" i="13"/>
  <c r="AX1280" i="13"/>
  <c r="B60" i="4"/>
  <c r="BA60" i="4" a="1"/>
  <c r="BA60" i="4" s="1"/>
  <c r="BB60" i="4" s="1"/>
  <c r="AV162" i="13" s="1"/>
  <c r="H76" i="9"/>
  <c r="CY85" i="4"/>
  <c r="CZ85" i="4" s="1"/>
  <c r="DB85" i="4"/>
  <c r="AX85" i="4"/>
  <c r="CU85" i="4"/>
  <c r="CV85" i="4" s="1"/>
  <c r="H71" i="9"/>
  <c r="AX69" i="4"/>
  <c r="CY69" i="4"/>
  <c r="CZ69" i="4" s="1"/>
  <c r="CU69" i="4"/>
  <c r="CV69" i="4" s="1"/>
  <c r="DB69" i="4"/>
  <c r="BA74" i="4" a="1"/>
  <c r="BA74" i="4" s="1"/>
  <c r="BB74" i="4" s="1"/>
  <c r="AV176" i="13" s="1"/>
  <c r="B74" i="4"/>
  <c r="Z1886" i="13"/>
  <c r="B1886" i="13" s="1" a="1"/>
  <c r="B1886" i="13" s="1"/>
  <c r="J637" i="15"/>
  <c r="BA75" i="4" a="1"/>
  <c r="BA75" i="4" s="1"/>
  <c r="BB75" i="4" s="1"/>
  <c r="AV177" i="13" s="1"/>
  <c r="B75" i="4"/>
  <c r="IH5" i="71"/>
  <c r="DB82" i="4"/>
  <c r="CU82" i="4"/>
  <c r="CV82" i="4" s="1"/>
  <c r="AX82" i="4"/>
  <c r="BA82" i="4" a="1"/>
  <c r="BA82" i="4" s="1"/>
  <c r="BB82" i="4" s="1"/>
  <c r="AV184" i="13" s="1"/>
  <c r="B82" i="4"/>
  <c r="N574" i="15" a="1"/>
  <c r="N574" i="15" s="1"/>
  <c r="CW53" i="4"/>
  <c r="CX53" i="4" s="1"/>
  <c r="Z1869" i="13"/>
  <c r="B1869" i="13" s="1" a="1"/>
  <c r="B1869" i="13" s="1"/>
  <c r="E140" i="15"/>
  <c r="E206" i="15"/>
  <c r="E245" i="15"/>
  <c r="E219" i="15"/>
  <c r="E461" i="15"/>
  <c r="E364" i="15"/>
  <c r="E55" i="15"/>
  <c r="E259" i="15"/>
  <c r="E248" i="15"/>
  <c r="E443" i="15"/>
  <c r="E654" i="15"/>
  <c r="E295" i="15"/>
  <c r="E135" i="15"/>
  <c r="E116" i="15"/>
  <c r="E258" i="15"/>
  <c r="E468" i="15"/>
  <c r="E4" i="72"/>
  <c r="CY44" i="4"/>
  <c r="CZ44" i="4" s="1"/>
  <c r="A1370" i="13"/>
  <c r="AX1271" i="13"/>
  <c r="AX252" i="13"/>
  <c r="A352" i="13"/>
  <c r="AX352" i="13" s="1"/>
  <c r="CU96" i="4"/>
  <c r="CV96" i="4" s="1"/>
  <c r="AX96" i="4"/>
  <c r="DB96" i="4"/>
  <c r="AR96" i="69" s="1"/>
  <c r="Z1868" i="13"/>
  <c r="B1868" i="13" s="1" a="1"/>
  <c r="B1868" i="13" s="1"/>
  <c r="BA81" i="4" a="1"/>
  <c r="BA81" i="4" s="1"/>
  <c r="BB81" i="4" s="1"/>
  <c r="AV183" i="13" s="1"/>
  <c r="B81" i="4"/>
  <c r="AD81" i="4" s="1"/>
  <c r="F81" i="72" s="1"/>
  <c r="BD28" i="4"/>
  <c r="BT28" i="4"/>
  <c r="A1378" i="13"/>
  <c r="AX1279" i="13"/>
  <c r="AJ44" i="27"/>
  <c r="AE40" i="27"/>
  <c r="AF32" i="27"/>
  <c r="AE41" i="27"/>
  <c r="AJ24" i="27"/>
  <c r="AJ43" i="27"/>
  <c r="AE30" i="27"/>
  <c r="AE29" i="27"/>
  <c r="A16" i="27" a="1"/>
  <c r="A16" i="27" s="1"/>
  <c r="DE53" i="4"/>
  <c r="AX1266" i="13"/>
  <c r="A1365" i="13"/>
  <c r="B95" i="4"/>
  <c r="BA95" i="4" a="1"/>
  <c r="BA95" i="4" s="1"/>
  <c r="BB95" i="4" s="1"/>
  <c r="AV197" i="13" s="1"/>
  <c r="E46" i="4"/>
  <c r="A344" i="13"/>
  <c r="AX344" i="13" s="1"/>
  <c r="AX244" i="13"/>
  <c r="Z31" i="4"/>
  <c r="AV1228" i="13" s="1"/>
  <c r="AH53" i="4"/>
  <c r="AV1349" i="13" s="1"/>
  <c r="Z33" i="4"/>
  <c r="AV1230" i="13" s="1"/>
  <c r="X8" i="72"/>
  <c r="X8" i="69"/>
  <c r="AL27" i="4"/>
  <c r="I27" i="72" s="1"/>
  <c r="BF10" i="4"/>
  <c r="AL65" i="4"/>
  <c r="I65" i="72" s="1"/>
  <c r="DB68" i="4"/>
  <c r="X88" i="72"/>
  <c r="X88" i="69"/>
  <c r="Z17" i="4"/>
  <c r="AV1214" i="13" s="1"/>
  <c r="AL11" i="4"/>
  <c r="I11" i="72" s="1"/>
  <c r="AH30" i="4"/>
  <c r="AV1326" i="13" s="1"/>
  <c r="Z37" i="4"/>
  <c r="AV1234" i="13" s="1"/>
  <c r="Z7" i="4"/>
  <c r="AV1204" i="13" s="1"/>
  <c r="AD35" i="4"/>
  <c r="F35" i="72" s="1"/>
  <c r="Z44" i="4"/>
  <c r="AV1241" i="13" s="1"/>
  <c r="AH64" i="4"/>
  <c r="AV1360" i="13" s="1"/>
  <c r="AD88" i="4"/>
  <c r="F88" i="72" s="1"/>
  <c r="X26" i="69"/>
  <c r="X26" i="72"/>
  <c r="AH65" i="4"/>
  <c r="AV1361" i="13" s="1"/>
  <c r="AD20" i="4"/>
  <c r="F20" i="69" s="1"/>
  <c r="AH48" i="4"/>
  <c r="AV1344" i="13" s="1"/>
  <c r="X78" i="72"/>
  <c r="X78" i="69"/>
  <c r="X64" i="69"/>
  <c r="X64" i="72"/>
  <c r="X85" i="72"/>
  <c r="X85" i="69"/>
  <c r="X19" i="72"/>
  <c r="X19" i="69"/>
  <c r="X68" i="69"/>
  <c r="X68" i="72"/>
  <c r="AX236" i="13"/>
  <c r="A336" i="13"/>
  <c r="AX336" i="13" s="1"/>
  <c r="A1387" i="13"/>
  <c r="AX1288" i="13"/>
  <c r="CY18" i="4"/>
  <c r="CZ18" i="4" s="1"/>
  <c r="Z1314" i="13"/>
  <c r="AY18" i="4"/>
  <c r="F18" i="4"/>
  <c r="BL18" i="4" s="1"/>
  <c r="AW18" i="4"/>
  <c r="L18" i="4"/>
  <c r="CA18" i="4" s="1"/>
  <c r="AV20" i="13"/>
  <c r="AP18" i="4"/>
  <c r="AV320" i="13" s="1"/>
  <c r="AV420" i="13" s="1"/>
  <c r="V26" i="22"/>
  <c r="W26" i="22"/>
  <c r="Y26" i="22" s="1"/>
  <c r="Z1389" i="13"/>
  <c r="AV95" i="13"/>
  <c r="AW93" i="4"/>
  <c r="AY93" i="4"/>
  <c r="W73" i="22"/>
  <c r="Y73" i="22" s="1"/>
  <c r="F50" i="4"/>
  <c r="BL50" i="4" s="1"/>
  <c r="L50" i="4"/>
  <c r="AV52" i="13"/>
  <c r="AY50" i="4"/>
  <c r="AW50" i="4"/>
  <c r="Z1346" i="13"/>
  <c r="AP50" i="4"/>
  <c r="AV352" i="13" s="1"/>
  <c r="AV452" i="13" s="1"/>
  <c r="V73" i="22"/>
  <c r="E13" i="4"/>
  <c r="BT13" i="4" s="1"/>
  <c r="AY89" i="4"/>
  <c r="AV91" i="13"/>
  <c r="AW89" i="4"/>
  <c r="Z1385" i="13"/>
  <c r="Z1377" i="13"/>
  <c r="AY81" i="4"/>
  <c r="AW81" i="4"/>
  <c r="AV83" i="13"/>
  <c r="DE5" i="4"/>
  <c r="E104" i="15"/>
  <c r="E573" i="15"/>
  <c r="E149" i="15"/>
  <c r="E235" i="15"/>
  <c r="E572" i="15"/>
  <c r="M571" i="15" s="1" a="1"/>
  <c r="M571" i="15" s="1"/>
  <c r="E564" i="15"/>
  <c r="E232" i="15"/>
  <c r="E369" i="15"/>
  <c r="P51" i="23"/>
  <c r="F51" i="14"/>
  <c r="AW6" i="4"/>
  <c r="AV8" i="13"/>
  <c r="AY6" i="4"/>
  <c r="Z1302" i="13"/>
  <c r="F6" i="4"/>
  <c r="BL6" i="4" s="1"/>
  <c r="AP6" i="4"/>
  <c r="AV308" i="13" s="1"/>
  <c r="AV408" i="13" s="1"/>
  <c r="W16" i="22"/>
  <c r="Y16" i="22" s="1"/>
  <c r="V16" i="22"/>
  <c r="A1385" i="13"/>
  <c r="AX1286" i="13"/>
  <c r="J701" i="13"/>
  <c r="N701" i="13"/>
  <c r="AY43" i="4"/>
  <c r="AW43" i="4"/>
  <c r="Z1339" i="13"/>
  <c r="AV45" i="13"/>
  <c r="F43" i="4"/>
  <c r="BL43" i="4" s="1"/>
  <c r="AP43" i="4"/>
  <c r="AV345" i="13" s="1"/>
  <c r="AV445" i="13" s="1"/>
  <c r="V61" i="22"/>
  <c r="W61" i="22"/>
  <c r="Y61" i="22" s="1"/>
  <c r="AX263" i="13"/>
  <c r="A363" i="13"/>
  <c r="AX363" i="13" s="1"/>
  <c r="DA18" i="4" a="1"/>
  <c r="DA18" i="4" s="1"/>
  <c r="IT13" i="71"/>
  <c r="CU86" i="4"/>
  <c r="CV86" i="4" s="1"/>
  <c r="AX86" i="4"/>
  <c r="DB86" i="4"/>
  <c r="AX266" i="13"/>
  <c r="A366" i="13"/>
  <c r="AX366" i="13" s="1"/>
  <c r="BT36" i="4"/>
  <c r="B62" i="4"/>
  <c r="BA62" i="4" a="1"/>
  <c r="BA62" i="4" s="1"/>
  <c r="BB62" i="4" s="1"/>
  <c r="AV164" i="13" s="1"/>
  <c r="CW45" i="4"/>
  <c r="CX45" i="4" s="1"/>
  <c r="BD48" i="4"/>
  <c r="BT48" i="4"/>
  <c r="AX1281" i="13"/>
  <c r="A1380" i="13"/>
  <c r="GO9" i="71"/>
  <c r="AX67" i="4"/>
  <c r="DB67" i="4"/>
  <c r="CU67" i="4"/>
  <c r="CV67" i="4" s="1"/>
  <c r="BA69" i="4" a="1"/>
  <c r="BA69" i="4" s="1"/>
  <c r="BB69" i="4" s="1"/>
  <c r="AV171" i="13" s="1"/>
  <c r="B69" i="4"/>
  <c r="CW46" i="4"/>
  <c r="CX46" i="4" s="1"/>
  <c r="AX286" i="13"/>
  <c r="A386" i="13"/>
  <c r="AX386" i="13" s="1"/>
  <c r="CU59" i="4"/>
  <c r="CV59" i="4" s="1"/>
  <c r="DB59" i="4"/>
  <c r="AX59" i="4"/>
  <c r="HP18" i="71"/>
  <c r="CU76" i="4"/>
  <c r="CV76" i="4" s="1"/>
  <c r="DB76" i="4"/>
  <c r="AX76" i="4"/>
  <c r="AS89" i="4"/>
  <c r="AV691" i="13" s="1"/>
  <c r="CW51" i="4"/>
  <c r="CX51" i="4" s="1"/>
  <c r="AV1305" i="13"/>
  <c r="G9" i="72"/>
  <c r="G9" i="69"/>
  <c r="HY24" i="71"/>
  <c r="CU79" i="4"/>
  <c r="CV79" i="4" s="1"/>
  <c r="DB79" i="4"/>
  <c r="AX79" i="4"/>
  <c r="CY79" i="4"/>
  <c r="CZ79" i="4" s="1"/>
  <c r="H74" i="9"/>
  <c r="AG4" i="72"/>
  <c r="CW14" i="4"/>
  <c r="CX14" i="4" s="1"/>
  <c r="BT50" i="4"/>
  <c r="CW42" i="4"/>
  <c r="CX42" i="4" s="1"/>
  <c r="A376" i="13"/>
  <c r="AX376" i="13" s="1"/>
  <c r="AX276" i="13"/>
  <c r="AX62" i="4"/>
  <c r="AX1289" i="13"/>
  <c r="A1388" i="13"/>
  <c r="A379" i="13"/>
  <c r="AX379" i="13" s="1"/>
  <c r="AX279" i="13"/>
  <c r="AF24" i="27"/>
  <c r="AF33" i="27"/>
  <c r="AE31" i="27"/>
  <c r="AE39" i="27"/>
  <c r="I21" i="27"/>
  <c r="AJ28" i="27"/>
  <c r="H83" i="9"/>
  <c r="AX1248" i="13"/>
  <c r="A1347" i="13"/>
  <c r="JL16" i="71"/>
  <c r="CU92" i="4"/>
  <c r="CV92" i="4" s="1"/>
  <c r="AX92" i="4"/>
  <c r="DB92" i="4"/>
  <c r="CW92" i="4"/>
  <c r="CX92" i="4" s="1"/>
  <c r="DA92" i="4" a="1"/>
  <c r="DA92" i="4" s="1"/>
  <c r="CW28" i="4"/>
  <c r="CX28" i="4" s="1"/>
  <c r="Z1872" i="13"/>
  <c r="B1872" i="13" s="1" a="1"/>
  <c r="B1872" i="13" s="1"/>
  <c r="A1350" i="13"/>
  <c r="AX1251" i="13"/>
  <c r="AV9" i="69" a="1"/>
  <c r="AV9" i="69" s="1"/>
  <c r="AD33" i="4"/>
  <c r="F33" i="69" s="1"/>
  <c r="AD65" i="4"/>
  <c r="F65" i="72" s="1"/>
  <c r="AD16" i="4"/>
  <c r="F16" i="72" s="1"/>
  <c r="X24" i="72"/>
  <c r="X24" i="69"/>
  <c r="AH11" i="4"/>
  <c r="AV1307" i="13" s="1"/>
  <c r="BG10" i="4"/>
  <c r="AV1108" i="13" s="1"/>
  <c r="BR10" i="4"/>
  <c r="AE10" i="72" s="1"/>
  <c r="L10" i="4"/>
  <c r="AH8" i="4"/>
  <c r="AV1304" i="13" s="1"/>
  <c r="X7" i="72"/>
  <c r="X7" i="69"/>
  <c r="Z26" i="4"/>
  <c r="AV1223" i="13" s="1"/>
  <c r="AL5" i="4"/>
  <c r="I5" i="72" s="1"/>
  <c r="AD21" i="4"/>
  <c r="F21" i="69" s="1"/>
  <c r="X89" i="72"/>
  <c r="X89" i="69"/>
  <c r="AD45" i="4"/>
  <c r="F45" i="72" s="1"/>
  <c r="AH19" i="4"/>
  <c r="AV1315" i="13" s="1"/>
  <c r="AH15" i="4"/>
  <c r="AV1311" i="13" s="1"/>
  <c r="AH49" i="4"/>
  <c r="AV1345" i="13" s="1"/>
  <c r="AH14" i="4"/>
  <c r="AV1310" i="13" s="1"/>
  <c r="AD47" i="4"/>
  <c r="F47" i="72" s="1"/>
  <c r="AL18" i="4"/>
  <c r="I18" i="69" s="1"/>
  <c r="Z22" i="4"/>
  <c r="AV1219" i="13" s="1"/>
  <c r="AH54" i="4"/>
  <c r="AV1350" i="13" s="1"/>
  <c r="AH24" i="4"/>
  <c r="AV1320" i="13" s="1"/>
  <c r="AL64" i="4"/>
  <c r="I64" i="69" s="1"/>
  <c r="X77" i="69"/>
  <c r="X77" i="72"/>
  <c r="Z65" i="4"/>
  <c r="AV1262" i="13" s="1"/>
  <c r="X71" i="69"/>
  <c r="X71" i="72"/>
  <c r="X44" i="72"/>
  <c r="X44" i="69"/>
  <c r="X35" i="72"/>
  <c r="X35" i="69"/>
  <c r="X73" i="72"/>
  <c r="X73" i="69"/>
  <c r="X12" i="69"/>
  <c r="X12" i="72"/>
  <c r="DA15" i="4" a="1"/>
  <c r="DA15" i="4" s="1"/>
  <c r="F15" i="4"/>
  <c r="BL15" i="4" s="1"/>
  <c r="Z1311" i="13"/>
  <c r="AY15" i="4"/>
  <c r="AV17" i="13"/>
  <c r="AW15" i="4"/>
  <c r="AP15" i="4"/>
  <c r="AV317" i="13" s="1"/>
  <c r="AV417" i="13" s="1"/>
  <c r="W25" i="22"/>
  <c r="Y25" i="22" s="1"/>
  <c r="V25" i="22"/>
  <c r="AV55" i="13"/>
  <c r="AY53" i="4"/>
  <c r="AW53" i="4"/>
  <c r="Z1349" i="13"/>
  <c r="F53" i="4"/>
  <c r="BL53" i="4" s="1"/>
  <c r="L53" i="4"/>
  <c r="AP53" i="4"/>
  <c r="AV355" i="13" s="1"/>
  <c r="AV455" i="13" s="1"/>
  <c r="W36" i="22"/>
  <c r="Y36" i="22" s="1"/>
  <c r="V36" i="22"/>
  <c r="AY80" i="4"/>
  <c r="AV82" i="13"/>
  <c r="Z1376" i="13"/>
  <c r="AW80" i="4"/>
  <c r="AW78" i="4"/>
  <c r="AY78" i="4"/>
  <c r="Z1374" i="13"/>
  <c r="AV80" i="13"/>
  <c r="E249" i="15"/>
  <c r="E376" i="15"/>
  <c r="F375" i="15" s="1" a="1"/>
  <c r="F375" i="15" s="1"/>
  <c r="E532" i="15"/>
  <c r="E308" i="15"/>
  <c r="E267" i="15"/>
  <c r="F267" i="15" s="1" a="1"/>
  <c r="F267" i="15" s="1"/>
  <c r="E150" i="15"/>
  <c r="E137" i="15"/>
  <c r="E166" i="15"/>
  <c r="E107" i="15"/>
  <c r="E128" i="15"/>
  <c r="E436" i="15"/>
  <c r="E85" i="15"/>
  <c r="E105" i="15"/>
  <c r="E356" i="15"/>
  <c r="E183" i="15"/>
  <c r="AW72" i="4"/>
  <c r="AV74" i="13"/>
  <c r="AY72" i="4"/>
  <c r="Z1368" i="13"/>
  <c r="AY79" i="4"/>
  <c r="AV81" i="13"/>
  <c r="AW79" i="4"/>
  <c r="Z1375" i="13"/>
  <c r="AX1226" i="13"/>
  <c r="A1325" i="13"/>
  <c r="A393" i="13"/>
  <c r="AX393" i="13" s="1"/>
  <c r="AX293" i="13"/>
  <c r="CW8" i="4"/>
  <c r="CX8" i="4" s="1"/>
  <c r="E121" i="15"/>
  <c r="E504" i="15"/>
  <c r="E542" i="15"/>
  <c r="E516" i="15"/>
  <c r="E577" i="15"/>
  <c r="K571" i="15" s="1" a="1"/>
  <c r="K571" i="15" s="1"/>
  <c r="E621" i="15"/>
  <c r="K620" i="15" s="1" a="1"/>
  <c r="K620" i="15" s="1"/>
  <c r="E512" i="15"/>
  <c r="E377" i="15"/>
  <c r="E596" i="15"/>
  <c r="E148" i="15"/>
  <c r="E421" i="15"/>
  <c r="E588" i="15"/>
  <c r="E452" i="15"/>
  <c r="E480" i="15"/>
  <c r="E413" i="15"/>
  <c r="E210" i="15"/>
  <c r="E519" i="15"/>
  <c r="E451" i="15"/>
  <c r="E167" i="15"/>
  <c r="E615" i="15"/>
  <c r="E662" i="15"/>
  <c r="E241" i="15"/>
  <c r="E477" i="15"/>
  <c r="E509" i="15"/>
  <c r="E44" i="15"/>
  <c r="E655" i="15"/>
  <c r="E269" i="15"/>
  <c r="E536" i="15"/>
  <c r="E438" i="15"/>
  <c r="E498" i="15"/>
  <c r="E181" i="15"/>
  <c r="E414" i="15"/>
  <c r="E492" i="15"/>
  <c r="E228" i="15"/>
  <c r="DE13" i="4"/>
  <c r="AX1210" i="13"/>
  <c r="A1309" i="13"/>
  <c r="DA30" i="4" a="1"/>
  <c r="DA30" i="4" s="1"/>
  <c r="AV32" i="13"/>
  <c r="AW30" i="4"/>
  <c r="F30" i="4"/>
  <c r="BL30" i="4" s="1"/>
  <c r="L30" i="4"/>
  <c r="AY30" i="4"/>
  <c r="Z1326" i="13"/>
  <c r="AP30" i="4"/>
  <c r="AV332" i="13" s="1"/>
  <c r="AV432" i="13" s="1"/>
  <c r="V47" i="22"/>
  <c r="W47" i="22"/>
  <c r="Y47" i="22" s="1"/>
  <c r="DE6" i="4"/>
  <c r="BS3" i="69"/>
  <c r="BF3" i="69"/>
  <c r="Q58" i="69"/>
  <c r="AS58" i="69"/>
  <c r="AC58" i="69"/>
  <c r="L58" i="69"/>
  <c r="AA58" i="69"/>
  <c r="Z58" i="69"/>
  <c r="W58" i="69"/>
  <c r="BQ58" i="69" s="1" a="1"/>
  <c r="BQ58" i="69" s="1"/>
  <c r="P58" i="69"/>
  <c r="N58" i="69" a="1"/>
  <c r="N58" i="69" s="1"/>
  <c r="J58" i="69"/>
  <c r="BB58" i="69"/>
  <c r="V58" i="69"/>
  <c r="Y58" i="69"/>
  <c r="AB58" i="69" a="1"/>
  <c r="AB58" i="69" s="1"/>
  <c r="A58" i="69"/>
  <c r="BU58" i="69"/>
  <c r="BC58" i="69"/>
  <c r="F22" i="4"/>
  <c r="BL22" i="4" s="1"/>
  <c r="AY22" i="4"/>
  <c r="Z1318" i="13"/>
  <c r="AV24" i="13"/>
  <c r="AW22" i="4"/>
  <c r="AP22" i="4"/>
  <c r="AV324" i="13" s="1"/>
  <c r="AV424" i="13" s="1"/>
  <c r="V34" i="22"/>
  <c r="W34" i="22"/>
  <c r="Y34" i="22" s="1"/>
  <c r="A1337" i="13"/>
  <c r="AX1238" i="13"/>
  <c r="E108" i="15"/>
  <c r="E66" i="15"/>
  <c r="BT47" i="4"/>
  <c r="BT49" i="4"/>
  <c r="J518" i="15"/>
  <c r="BA83" i="4" a="1"/>
  <c r="BA83" i="4" s="1"/>
  <c r="BB83" i="4" s="1"/>
  <c r="AV185" i="13" s="1"/>
  <c r="B83" i="4"/>
  <c r="A349" i="13"/>
  <c r="AX349" i="13" s="1"/>
  <c r="AX249" i="13"/>
  <c r="A375" i="13"/>
  <c r="AX375" i="13" s="1"/>
  <c r="AX275" i="13"/>
  <c r="AX1247" i="13"/>
  <c r="A1346" i="13"/>
  <c r="A382" i="13"/>
  <c r="AX382" i="13" s="1"/>
  <c r="AX282" i="13"/>
  <c r="J650" i="15"/>
  <c r="M648" i="15" s="1" a="1"/>
  <c r="M648" i="15" s="1"/>
  <c r="BA89" i="4" a="1"/>
  <c r="BA89" i="4" s="1"/>
  <c r="BB89" i="4" s="1"/>
  <c r="AV191" i="13" s="1"/>
  <c r="B89" i="4"/>
  <c r="AH89" i="4" s="1"/>
  <c r="AV1385" i="13" s="1"/>
  <c r="BA59" i="4" a="1"/>
  <c r="BA59" i="4" s="1"/>
  <c r="BB59" i="4" s="1"/>
  <c r="AV161" i="13" s="1"/>
  <c r="B59" i="4"/>
  <c r="BA93" i="4" a="1"/>
  <c r="BA93" i="4" s="1"/>
  <c r="BB93" i="4" s="1"/>
  <c r="AV195" i="13" s="1"/>
  <c r="B93" i="4"/>
  <c r="CW93" i="4" s="1"/>
  <c r="CX93" i="4" s="1"/>
  <c r="JO14" i="71"/>
  <c r="CU93" i="4"/>
  <c r="CV93" i="4" s="1"/>
  <c r="DB93" i="4"/>
  <c r="AX93" i="4"/>
  <c r="N634" i="15" a="1"/>
  <c r="N634" i="15" s="1"/>
  <c r="F9" i="69"/>
  <c r="F9" i="72"/>
  <c r="DE25" i="4"/>
  <c r="E324" i="15"/>
  <c r="E448" i="15"/>
  <c r="E574" i="15"/>
  <c r="E316" i="15"/>
  <c r="E305" i="15"/>
  <c r="E590" i="15"/>
  <c r="E48" i="15"/>
  <c r="E345" i="15"/>
  <c r="E583" i="15"/>
  <c r="F4" i="69"/>
  <c r="F4" i="72"/>
  <c r="A310" i="13"/>
  <c r="AX310" i="13" s="1"/>
  <c r="AX210" i="13"/>
  <c r="A1313" i="13"/>
  <c r="AX1214" i="13"/>
  <c r="AF4" i="72" a="1"/>
  <c r="AF4" i="72" s="1"/>
  <c r="AJ4" i="72" s="1" a="1"/>
  <c r="AJ4" i="72" s="1"/>
  <c r="BI4" i="72"/>
  <c r="BJ4" i="72"/>
  <c r="AX87" i="4"/>
  <c r="CU87" i="4"/>
  <c r="CV87" i="4" s="1"/>
  <c r="CY87" i="4"/>
  <c r="CZ87" i="4" s="1"/>
  <c r="DB87" i="4"/>
  <c r="BH4" i="69"/>
  <c r="AT4" i="69" a="1"/>
  <c r="AT4" i="69" s="1"/>
  <c r="BV4" i="69"/>
  <c r="CY21" i="4"/>
  <c r="CZ21" i="4" s="1"/>
  <c r="DE19" i="4"/>
  <c r="DE15" i="4"/>
  <c r="E522" i="15"/>
  <c r="E117" i="15"/>
  <c r="E325" i="15"/>
  <c r="E317" i="15"/>
  <c r="E124" i="15"/>
  <c r="DA22" i="4" a="1"/>
  <c r="DA22" i="4" s="1"/>
  <c r="BM3" i="69" a="1"/>
  <c r="BM3" i="69" s="1"/>
  <c r="A1386" i="13"/>
  <c r="AX1287" i="13"/>
  <c r="GF25" i="71"/>
  <c r="AX64" i="4"/>
  <c r="DB64" i="4"/>
  <c r="CU64" i="4"/>
  <c r="CV64" i="4" s="1"/>
  <c r="CY64" i="4"/>
  <c r="CZ64" i="4" s="1"/>
  <c r="DA64" i="4" a="1"/>
  <c r="DA64" i="4" s="1"/>
  <c r="G16" i="27" a="1"/>
  <c r="G16" i="27" s="1"/>
  <c r="AJ33" i="27"/>
  <c r="AJ32" i="27"/>
  <c r="AE32" i="27"/>
  <c r="AE22" i="27"/>
  <c r="AJ29" i="27"/>
  <c r="AJ41" i="27"/>
  <c r="AJ42" i="27"/>
  <c r="Z20" i="27"/>
  <c r="U20" i="27" a="1"/>
  <c r="Z1870" i="13"/>
  <c r="B1870" i="13" s="1" a="1"/>
  <c r="B1870" i="13" s="1"/>
  <c r="E53" i="4"/>
  <c r="BT53" i="4" s="1"/>
  <c r="Z1862" i="13"/>
  <c r="B1862" i="13" s="1" a="1"/>
  <c r="B1862" i="13" s="1"/>
  <c r="B80" i="4"/>
  <c r="BA80" i="4" a="1"/>
  <c r="BA80" i="4" s="1"/>
  <c r="BB80" i="4" s="1"/>
  <c r="AV182" i="13" s="1"/>
  <c r="DA28" i="4" a="1"/>
  <c r="DA28" i="4" s="1"/>
  <c r="AS90" i="4"/>
  <c r="AV692" i="13" s="1"/>
  <c r="H65" i="9"/>
  <c r="Z29" i="4"/>
  <c r="AV1226" i="13" s="1"/>
  <c r="AL25" i="4"/>
  <c r="I25" i="69" s="1"/>
  <c r="Z35" i="4"/>
  <c r="AV1232" i="13" s="1"/>
  <c r="AL39" i="4"/>
  <c r="I39" i="72" s="1"/>
  <c r="AH5" i="4"/>
  <c r="Z11" i="4"/>
  <c r="AV1208" i="13" s="1"/>
  <c r="DB57" i="4"/>
  <c r="X82" i="69"/>
  <c r="X82" i="72"/>
  <c r="AD32" i="4"/>
  <c r="F32" i="72" s="1"/>
  <c r="X13" i="72"/>
  <c r="X13" i="69"/>
  <c r="AH34" i="4"/>
  <c r="AV1330" i="13" s="1"/>
  <c r="Z84" i="4"/>
  <c r="AV1281" i="13" s="1"/>
  <c r="AD26" i="4"/>
  <c r="F26" i="69" s="1"/>
  <c r="X70" i="69"/>
  <c r="X70" i="72"/>
  <c r="AL17" i="4"/>
  <c r="I17" i="69" s="1"/>
  <c r="AL30" i="4"/>
  <c r="I30" i="69" s="1"/>
  <c r="X29" i="72"/>
  <c r="X29" i="69"/>
  <c r="AH61" i="4"/>
  <c r="AV1357" i="13" s="1"/>
  <c r="AD84" i="4"/>
  <c r="F84" i="72" s="1"/>
  <c r="X6" i="72"/>
  <c r="X6" i="69"/>
  <c r="X45" i="72"/>
  <c r="X45" i="69"/>
  <c r="BG9" i="4"/>
  <c r="AV1107" i="13" s="1"/>
  <c r="L9" i="4"/>
  <c r="X69" i="69"/>
  <c r="X69" i="72"/>
  <c r="X46" i="69"/>
  <c r="X46" i="72"/>
  <c r="AX1121" i="13"/>
  <c r="A1220" i="13"/>
  <c r="O701" i="13"/>
  <c r="S701" i="13"/>
  <c r="AX231" i="13"/>
  <c r="A331" i="13"/>
  <c r="AX331" i="13" s="1"/>
  <c r="E360" i="15"/>
  <c r="E611" i="15"/>
  <c r="E352" i="15"/>
  <c r="E614" i="15"/>
  <c r="L613" i="15" s="1" a="1"/>
  <c r="L613" i="15" s="1"/>
  <c r="E619" i="15"/>
  <c r="E547" i="15"/>
  <c r="E282" i="15"/>
  <c r="E567" i="15"/>
  <c r="E591" i="15"/>
  <c r="E417" i="15"/>
  <c r="E202" i="15"/>
  <c r="E598" i="15"/>
  <c r="E34" i="4"/>
  <c r="H15" i="27"/>
  <c r="I15" i="27" s="1"/>
  <c r="F15" i="27" a="1"/>
  <c r="F15" i="27" s="1"/>
  <c r="H23" i="27"/>
  <c r="H21" i="27"/>
  <c r="G23" i="27"/>
  <c r="H22" i="27"/>
  <c r="H25" i="27"/>
  <c r="G22" i="27"/>
  <c r="H24" i="27"/>
  <c r="F16" i="27" a="1"/>
  <c r="F16" i="27" s="1"/>
  <c r="G24" i="27"/>
  <c r="G25" i="27"/>
  <c r="G21" i="27"/>
  <c r="AX291" i="13"/>
  <c r="A391" i="13"/>
  <c r="AX391" i="13" s="1"/>
  <c r="V41" i="22"/>
  <c r="AV28" i="13"/>
  <c r="L26" i="4"/>
  <c r="Z1322" i="13"/>
  <c r="F26" i="4"/>
  <c r="BL26" i="4" s="1"/>
  <c r="AW26" i="4"/>
  <c r="AY26" i="4"/>
  <c r="AP26" i="4"/>
  <c r="AV328" i="13" s="1"/>
  <c r="AV428" i="13" s="1"/>
  <c r="W41" i="22"/>
  <c r="Y41" i="22" s="1"/>
  <c r="CY16" i="4"/>
  <c r="CZ16" i="4" s="1"/>
  <c r="F16" i="4"/>
  <c r="BL16" i="4" s="1"/>
  <c r="AV18" i="13"/>
  <c r="L16" i="4"/>
  <c r="Z1312" i="13"/>
  <c r="AY16" i="4"/>
  <c r="AW16" i="4"/>
  <c r="AP16" i="4"/>
  <c r="AV318" i="13" s="1"/>
  <c r="AV418" i="13" s="1"/>
  <c r="W13" i="22"/>
  <c r="Y13" i="22" s="1"/>
  <c r="V13" i="22"/>
  <c r="AS23" i="4"/>
  <c r="AV625" i="13" s="1"/>
  <c r="AX1227" i="13"/>
  <c r="A1326" i="13"/>
  <c r="BD24" i="4"/>
  <c r="Z1378" i="13"/>
  <c r="AV84" i="13"/>
  <c r="AY82" i="4"/>
  <c r="F82" i="4"/>
  <c r="AW82" i="4"/>
  <c r="AP82" i="4"/>
  <c r="AV384" i="13" s="1"/>
  <c r="AV484" i="13" s="1"/>
  <c r="CY42" i="4"/>
  <c r="CZ42" i="4" s="1"/>
  <c r="AW42" i="4"/>
  <c r="AY42" i="4"/>
  <c r="AV44" i="13"/>
  <c r="F42" i="4"/>
  <c r="BL42" i="4" s="1"/>
  <c r="Z1338" i="13"/>
  <c r="AP42" i="4"/>
  <c r="AV344" i="13" s="1"/>
  <c r="AV444" i="13" s="1"/>
  <c r="O1" i="14"/>
  <c r="S2" i="14"/>
  <c r="V60" i="22"/>
  <c r="W60" i="22"/>
  <c r="Y60" i="22" s="1"/>
  <c r="W1" i="14"/>
  <c r="Z1347" i="13"/>
  <c r="AV53" i="13"/>
  <c r="AW51" i="4"/>
  <c r="AY51" i="4"/>
  <c r="F51" i="4"/>
  <c r="BL51" i="4" s="1"/>
  <c r="AP51" i="4"/>
  <c r="AV353" i="13" s="1"/>
  <c r="AV453" i="13" s="1"/>
  <c r="W71" i="22"/>
  <c r="Y71" i="22" s="1"/>
  <c r="V71" i="22"/>
  <c r="E6" i="4"/>
  <c r="BT6" i="4" s="1"/>
  <c r="F48" i="4"/>
  <c r="BL48" i="4" s="1"/>
  <c r="Z1344" i="13"/>
  <c r="AY48" i="4"/>
  <c r="AW48" i="4"/>
  <c r="AV50" i="13"/>
  <c r="AP48" i="4"/>
  <c r="AV350" i="13" s="1"/>
  <c r="AV450" i="13" s="1"/>
  <c r="V70" i="22"/>
  <c r="W70" i="22"/>
  <c r="Y70" i="22" s="1"/>
  <c r="AX228" i="13"/>
  <c r="A328" i="13"/>
  <c r="AX328" i="13" s="1"/>
  <c r="BQ3" i="72" a="1"/>
  <c r="BQ3" i="72" s="1"/>
  <c r="BW3" i="72"/>
  <c r="BJ3" i="72"/>
  <c r="V63" i="22"/>
  <c r="AW44" i="4"/>
  <c r="AV46" i="13"/>
  <c r="Z1340" i="13"/>
  <c r="L44" i="4"/>
  <c r="AY44" i="4"/>
  <c r="F44" i="4"/>
  <c r="BL44" i="4" s="1"/>
  <c r="AP44" i="4"/>
  <c r="AV346" i="13" s="1"/>
  <c r="AV446" i="13" s="1"/>
  <c r="W63" i="22"/>
  <c r="Y63" i="22" s="1"/>
  <c r="A58" i="72"/>
  <c r="N58" i="72" a="1"/>
  <c r="N58" i="72" s="1"/>
  <c r="W58" i="72"/>
  <c r="BU58" i="72" s="1" a="1"/>
  <c r="BU58" i="72" s="1"/>
  <c r="Z58" i="72"/>
  <c r="BF58" i="72"/>
  <c r="AW58" i="72"/>
  <c r="BY58" i="72"/>
  <c r="P58" i="72"/>
  <c r="AB58" i="72" a="1"/>
  <c r="AB58" i="72" s="1"/>
  <c r="AC58" i="72"/>
  <c r="L58" i="72"/>
  <c r="Q58" i="72"/>
  <c r="V58" i="72"/>
  <c r="AA58" i="72"/>
  <c r="AD58" i="72"/>
  <c r="BG58" i="72"/>
  <c r="Y58" i="72"/>
  <c r="J58" i="72"/>
  <c r="AW83" i="4"/>
  <c r="AV85" i="13"/>
  <c r="Z1379" i="13"/>
  <c r="AY83" i="4"/>
  <c r="A1330" i="13"/>
  <c r="AX1231" i="13"/>
  <c r="Z701" i="13"/>
  <c r="P701" i="13"/>
  <c r="A339" i="13"/>
  <c r="AX339" i="13" s="1"/>
  <c r="AX239" i="13"/>
  <c r="CW13" i="4"/>
  <c r="CX13" i="4" s="1"/>
  <c r="DD18" i="4" a="1"/>
  <c r="DD18" i="4" s="1"/>
  <c r="DD8" i="4" a="1"/>
  <c r="DD8" i="4" s="1"/>
  <c r="DD6" i="4" a="1"/>
  <c r="DD6" i="4" s="1"/>
  <c r="DD5" i="4" a="1"/>
  <c r="DD5" i="4" s="1"/>
  <c r="DD7" i="4" a="1"/>
  <c r="DD7" i="4" s="1"/>
  <c r="DD13" i="4" a="1"/>
  <c r="DD13" i="4" s="1"/>
  <c r="DD11" i="4" a="1"/>
  <c r="DD11" i="4" s="1"/>
  <c r="DD15" i="4" a="1"/>
  <c r="DD15" i="4" s="1"/>
  <c r="DD12" i="4" a="1"/>
  <c r="DD12" i="4" s="1"/>
  <c r="DD19" i="4" a="1"/>
  <c r="DD19" i="4" s="1"/>
  <c r="DD20" i="4" a="1"/>
  <c r="DD20" i="4" s="1"/>
  <c r="DD16" i="4" a="1"/>
  <c r="DD16" i="4" s="1"/>
  <c r="DD21" i="4" a="1"/>
  <c r="DD21" i="4" s="1"/>
  <c r="DD14" i="4" a="1"/>
  <c r="DD14" i="4" s="1"/>
  <c r="DD17" i="4" a="1"/>
  <c r="DD17" i="4" s="1"/>
  <c r="DD22" i="4" a="1"/>
  <c r="DD22" i="4" s="1"/>
  <c r="DD9" i="4" a="1"/>
  <c r="DD9" i="4" s="1"/>
  <c r="DD10" i="4" a="1"/>
  <c r="DD10" i="4" s="1"/>
  <c r="Z1363" i="13"/>
  <c r="AW67" i="4"/>
  <c r="AV69" i="13"/>
  <c r="AY67" i="4"/>
  <c r="E459" i="15"/>
  <c r="E535" i="15"/>
  <c r="E187" i="15"/>
  <c r="E396" i="15"/>
  <c r="F396" i="15" s="1" a="1"/>
  <c r="F396" i="15" s="1"/>
  <c r="E600" i="15"/>
  <c r="E494" i="15"/>
  <c r="E239" i="15"/>
  <c r="E464" i="15"/>
  <c r="E70" i="15"/>
  <c r="E209" i="15"/>
  <c r="E84" i="15"/>
  <c r="E558" i="15"/>
  <c r="E471" i="15"/>
  <c r="E54" i="15"/>
  <c r="E623" i="15"/>
  <c r="CW39" i="4"/>
  <c r="CX39" i="4" s="1"/>
  <c r="IB33" i="71"/>
  <c r="AX80" i="4"/>
  <c r="DB80" i="4"/>
  <c r="CU80" i="4"/>
  <c r="CV80" i="4" s="1"/>
  <c r="AX230" i="13"/>
  <c r="A330" i="13"/>
  <c r="AX330" i="13" s="1"/>
  <c r="E419" i="15"/>
  <c r="DE47" i="4"/>
  <c r="A1343" i="13"/>
  <c r="AX1244" i="13"/>
  <c r="E186" i="15"/>
  <c r="E301" i="15"/>
  <c r="E553" i="15"/>
  <c r="E93" i="15"/>
  <c r="E545" i="15"/>
  <c r="HD19" i="71"/>
  <c r="CW72" i="4"/>
  <c r="CX72" i="4" s="1"/>
  <c r="CU72" i="4"/>
  <c r="CV72" i="4" s="1"/>
  <c r="DA72" i="4" a="1"/>
  <c r="DA72" i="4" s="1"/>
  <c r="AX72" i="4"/>
  <c r="BT45" i="4"/>
  <c r="CY25" i="4"/>
  <c r="CZ25" i="4" s="1"/>
  <c r="A364" i="13"/>
  <c r="AX364" i="13" s="1"/>
  <c r="AX264" i="13"/>
  <c r="E44" i="4"/>
  <c r="BT44" i="4" s="1"/>
  <c r="AX1241" i="13"/>
  <c r="A1340" i="13"/>
  <c r="A1353" i="13"/>
  <c r="AX1254" i="13"/>
  <c r="A1360" i="13"/>
  <c r="AX1261" i="13"/>
  <c r="H62" i="9"/>
  <c r="AX235" i="13"/>
  <c r="A335" i="13"/>
  <c r="AX335" i="13" s="1"/>
  <c r="K628" i="15" a="1"/>
  <c r="K628" i="15" s="1"/>
  <c r="M628" i="15" a="1"/>
  <c r="M628" i="15" s="1"/>
  <c r="N628" i="15" a="1"/>
  <c r="N628" i="15" s="1"/>
  <c r="E20" i="4"/>
  <c r="BT20" i="4" s="1"/>
  <c r="A1310" i="13"/>
  <c r="AX1211" i="13"/>
  <c r="E16" i="4"/>
  <c r="BT16" i="4" s="1"/>
  <c r="E467" i="15"/>
  <c r="E460" i="15"/>
  <c r="E525" i="15"/>
  <c r="E334" i="15"/>
  <c r="E593" i="15"/>
  <c r="BA94" i="4" a="1"/>
  <c r="BA94" i="4" s="1"/>
  <c r="BB94" i="4" s="1"/>
  <c r="AV196" i="13" s="1"/>
  <c r="B94" i="4"/>
  <c r="DB71" i="4"/>
  <c r="CU71" i="4"/>
  <c r="CV71" i="4" s="1"/>
  <c r="AX71" i="4"/>
  <c r="DA71" i="4" a="1"/>
  <c r="DA71" i="4" s="1"/>
  <c r="AS93" i="4"/>
  <c r="AV695" i="13" s="1"/>
  <c r="BA91" i="4" a="1"/>
  <c r="BA91" i="4" s="1"/>
  <c r="BB91" i="4" s="1"/>
  <c r="AV193" i="13" s="1"/>
  <c r="B91" i="4"/>
  <c r="CW91" i="4" s="1"/>
  <c r="CX91" i="4" s="1"/>
  <c r="DB91" i="4"/>
  <c r="AX91" i="4"/>
  <c r="CY91" i="4"/>
  <c r="CZ91" i="4" s="1"/>
  <c r="CU91" i="4"/>
  <c r="CV91" i="4" s="1"/>
  <c r="DB58" i="4"/>
  <c r="AR58" i="69" s="1"/>
  <c r="CU58" i="4"/>
  <c r="CV58" i="4" s="1"/>
  <c r="AX58" i="4"/>
  <c r="BD9" i="4"/>
  <c r="X9" i="4" s="1"/>
  <c r="F663" i="15" a="1"/>
  <c r="F663" i="15" s="1"/>
  <c r="E67" i="15"/>
  <c r="BU4" i="72" a="1"/>
  <c r="BU4" i="72" s="1"/>
  <c r="Z1881" i="13"/>
  <c r="B1881" i="13" s="1" a="1"/>
  <c r="B1881" i="13" s="1"/>
  <c r="Z1861" i="13"/>
  <c r="B1861" i="13" s="1" a="1"/>
  <c r="B1861" i="13" s="1"/>
  <c r="H80" i="9"/>
  <c r="CY22" i="4"/>
  <c r="CZ22" i="4" s="1"/>
  <c r="Z1867" i="13"/>
  <c r="B1867" i="13" s="1" a="1"/>
  <c r="B1867" i="13" s="1"/>
  <c r="AX223" i="13"/>
  <c r="A323" i="13"/>
  <c r="AX323" i="13" s="1"/>
  <c r="AX1262" i="13"/>
  <c r="A1361" i="13"/>
  <c r="AI42" i="27"/>
  <c r="AE28" i="27"/>
  <c r="AI30" i="27"/>
  <c r="AI27" i="27"/>
  <c r="AJ35" i="27"/>
  <c r="A15" i="27" a="1"/>
  <c r="A15" i="27" s="1"/>
  <c r="AI34" i="27"/>
  <c r="AJ26" i="27"/>
  <c r="AX1253" i="13"/>
  <c r="A1352" i="13"/>
  <c r="AX290" i="13"/>
  <c r="A390" i="13"/>
  <c r="AX390" i="13" s="1"/>
  <c r="M641" i="15" a="1"/>
  <c r="M641" i="15" s="1"/>
  <c r="B73" i="4"/>
  <c r="AL73" i="4" s="1"/>
  <c r="I73" i="69" s="1"/>
  <c r="BA73" i="4" a="1"/>
  <c r="BA73" i="4" s="1"/>
  <c r="BB73" i="4" s="1"/>
  <c r="AV175" i="13" s="1"/>
  <c r="GC20" i="71"/>
  <c r="CU63" i="4"/>
  <c r="CV63" i="4" s="1"/>
  <c r="AX63" i="4"/>
  <c r="DB63" i="4"/>
  <c r="AN9" i="69" a="1"/>
  <c r="AN9" i="69" s="1"/>
  <c r="Z32" i="4"/>
  <c r="AV1229" i="13" s="1"/>
  <c r="X76" i="72"/>
  <c r="X76" i="69"/>
  <c r="AL46" i="4"/>
  <c r="I46" i="69" s="1"/>
  <c r="Z36" i="4"/>
  <c r="AV1233" i="13" s="1"/>
  <c r="AH93" i="4"/>
  <c r="AV1389" i="13" s="1"/>
  <c r="AL42" i="4"/>
  <c r="I42" i="72" s="1"/>
  <c r="AL41" i="4"/>
  <c r="I41" i="72" s="1"/>
  <c r="AH46" i="4"/>
  <c r="AV1342" i="13" s="1"/>
  <c r="AL8" i="4"/>
  <c r="I8" i="69" s="1"/>
  <c r="Z49" i="4"/>
  <c r="AV1246" i="13" s="1"/>
  <c r="AL44" i="4"/>
  <c r="I44" i="69" s="1"/>
  <c r="Z57" i="4"/>
  <c r="AV1254" i="13" s="1"/>
  <c r="Z20" i="4"/>
  <c r="AV1217" i="13" s="1"/>
  <c r="AL50" i="4"/>
  <c r="I50" i="69" s="1"/>
  <c r="X34" i="72"/>
  <c r="X34" i="69"/>
  <c r="AD5" i="4"/>
  <c r="F5" i="72" s="1"/>
  <c r="X37" i="69"/>
  <c r="X37" i="72"/>
  <c r="Z46" i="4"/>
  <c r="AV1243" i="13" s="1"/>
  <c r="Z88" i="4"/>
  <c r="AV1285" i="13" s="1"/>
  <c r="Z12" i="4"/>
  <c r="AV1209" i="13" s="1"/>
  <c r="Z14" i="4"/>
  <c r="AV1211" i="13" s="1"/>
  <c r="AL82" i="4"/>
  <c r="I82" i="69" s="1"/>
  <c r="AH88" i="4"/>
  <c r="AV1384" i="13" s="1"/>
  <c r="AD18" i="4"/>
  <c r="F18" i="72" s="1"/>
  <c r="Z54" i="4"/>
  <c r="AV1251" i="13" s="1"/>
  <c r="AD59" i="4"/>
  <c r="F59" i="72" s="1"/>
  <c r="AD29" i="4"/>
  <c r="F29" i="72" s="1"/>
  <c r="AH68" i="4"/>
  <c r="AV1364" i="13" s="1"/>
  <c r="X18" i="72"/>
  <c r="X18" i="69"/>
  <c r="X90" i="69"/>
  <c r="X90" i="72"/>
  <c r="BF9" i="4"/>
  <c r="X87" i="72"/>
  <c r="X87" i="69"/>
  <c r="X79" i="72"/>
  <c r="X79" i="69"/>
  <c r="CY38" i="4"/>
  <c r="CZ38" i="4" s="1"/>
  <c r="Z1334" i="13"/>
  <c r="AW38" i="4"/>
  <c r="AY38" i="4"/>
  <c r="F38" i="4"/>
  <c r="BL38" i="4" s="1"/>
  <c r="L38" i="4"/>
  <c r="AV40" i="13"/>
  <c r="AP38" i="4"/>
  <c r="AV340" i="13" s="1"/>
  <c r="AV440" i="13" s="1"/>
  <c r="W54" i="22"/>
  <c r="Y54" i="22" s="1"/>
  <c r="V54" i="22"/>
  <c r="AX232" i="13"/>
  <c r="A332" i="13"/>
  <c r="AX332" i="13" s="1"/>
  <c r="AX209" i="13"/>
  <c r="A309" i="13"/>
  <c r="AX309" i="13" s="1"/>
  <c r="V48" i="22"/>
  <c r="L34" i="4"/>
  <c r="AY34" i="4"/>
  <c r="F34" i="4"/>
  <c r="BL34" i="4" s="1"/>
  <c r="Z1330" i="13"/>
  <c r="AV36" i="13"/>
  <c r="AW34" i="4"/>
  <c r="AP34" i="4"/>
  <c r="AV336" i="13" s="1"/>
  <c r="AV436" i="13" s="1"/>
  <c r="W48" i="22"/>
  <c r="Y48" i="22" s="1"/>
  <c r="BZ23" i="4" a="1"/>
  <c r="BZ23" i="4" s="1"/>
  <c r="BX23" i="4" s="1" a="1"/>
  <c r="BX23" i="4" s="1"/>
  <c r="BY23" i="4" a="1"/>
  <c r="BY23" i="4" s="1"/>
  <c r="A1322" i="13"/>
  <c r="AX1223" i="13"/>
  <c r="W88" i="22"/>
  <c r="AW56" i="4"/>
  <c r="Z1352" i="13"/>
  <c r="AY56" i="4"/>
  <c r="AV58" i="13"/>
  <c r="A351" i="13"/>
  <c r="AX351" i="13" s="1"/>
  <c r="AX251" i="13"/>
  <c r="CW6" i="4"/>
  <c r="CX6" i="4" s="1"/>
  <c r="G701" i="13"/>
  <c r="X701" i="13"/>
  <c r="W45" i="22"/>
  <c r="Y45" i="22" s="1"/>
  <c r="F31" i="4"/>
  <c r="BL31" i="4" s="1"/>
  <c r="Z1327" i="13"/>
  <c r="AW31" i="4"/>
  <c r="AY31" i="4"/>
  <c r="AV33" i="13"/>
  <c r="AP31" i="4"/>
  <c r="AV333" i="13" s="1"/>
  <c r="AV433" i="13" s="1"/>
  <c r="V45" i="22"/>
  <c r="A307" i="13"/>
  <c r="AX307" i="13" s="1"/>
  <c r="AX207" i="13"/>
  <c r="Z1383" i="13"/>
  <c r="AY87" i="4"/>
  <c r="AW87" i="4"/>
  <c r="AV89" i="13"/>
  <c r="A1384" i="13"/>
  <c r="AX1285" i="13"/>
  <c r="E549" i="15"/>
  <c r="E203" i="15"/>
  <c r="E658" i="15"/>
  <c r="E406" i="15"/>
  <c r="E382" i="15"/>
  <c r="E559" i="15"/>
  <c r="DA20" i="4" a="1"/>
  <c r="DA20" i="4" s="1"/>
  <c r="DA17" i="4" a="1"/>
  <c r="DA17" i="4" s="1"/>
  <c r="N625" i="15" a="1"/>
  <c r="N625" i="15" s="1"/>
  <c r="K625" i="15" a="1"/>
  <c r="K625" i="15" s="1"/>
  <c r="M625" i="15" a="1"/>
  <c r="M625" i="15" s="1"/>
  <c r="BD38" i="4"/>
  <c r="B78" i="4"/>
  <c r="BA78" i="4" a="1"/>
  <c r="BA78" i="4" s="1"/>
  <c r="BB78" i="4" s="1"/>
  <c r="AV180" i="13" s="1"/>
  <c r="DE44" i="4"/>
  <c r="DE20" i="4"/>
  <c r="A1334" i="13"/>
  <c r="AX1235" i="13"/>
  <c r="AX1275" i="13"/>
  <c r="A1374" i="13"/>
  <c r="AS77" i="4"/>
  <c r="AV679" i="13" s="1"/>
  <c r="BA71" i="4" a="1"/>
  <c r="BA71" i="4" s="1"/>
  <c r="BB71" i="4" s="1"/>
  <c r="AV173" i="13" s="1"/>
  <c r="B71" i="4"/>
  <c r="CW71" i="4" s="1"/>
  <c r="CX71" i="4" s="1"/>
  <c r="B70" i="4"/>
  <c r="BA70" i="4" a="1"/>
  <c r="BA70" i="4" s="1"/>
  <c r="BB70" i="4" s="1"/>
  <c r="AV172" i="13" s="1"/>
  <c r="AV311" i="13"/>
  <c r="AV411" i="13" s="1"/>
  <c r="U9" i="69" a="1"/>
  <c r="U9" i="69" s="1"/>
  <c r="A346" i="13"/>
  <c r="AX346" i="13" s="1"/>
  <c r="AX246" i="13"/>
  <c r="BL4" i="72"/>
  <c r="A355" i="13"/>
  <c r="AX355" i="13" s="1"/>
  <c r="AX255" i="13"/>
  <c r="AX1277" i="13"/>
  <c r="A1376" i="13"/>
  <c r="E466" i="15"/>
  <c r="E458" i="15"/>
  <c r="E319" i="15"/>
  <c r="E311" i="15"/>
  <c r="E484" i="15"/>
  <c r="E515" i="15"/>
  <c r="E455" i="15"/>
  <c r="E544" i="15"/>
  <c r="E138" i="15"/>
  <c r="E168" i="15"/>
  <c r="E524" i="15"/>
  <c r="E96" i="15"/>
  <c r="E46" i="15"/>
  <c r="E633" i="15"/>
  <c r="E165" i="15"/>
  <c r="E333" i="15"/>
  <c r="E424" i="15"/>
  <c r="E217" i="15"/>
  <c r="E529" i="15"/>
  <c r="E581" i="15"/>
  <c r="CW22" i="4"/>
  <c r="CX22" i="4" s="1"/>
  <c r="DA36" i="4" a="1"/>
  <c r="DA36" i="4" s="1"/>
  <c r="E243" i="15"/>
  <c r="E496" i="15"/>
  <c r="E454" i="15"/>
  <c r="E337" i="15"/>
  <c r="E395" i="15"/>
  <c r="E657" i="15"/>
  <c r="E127" i="15"/>
  <c r="E157" i="15"/>
  <c r="E606" i="15"/>
  <c r="E534" i="15"/>
  <c r="E449" i="15"/>
  <c r="E297" i="15"/>
  <c r="AT3" i="69" a="1"/>
  <c r="AT3" i="69" s="1"/>
  <c r="AU3" i="69" a="1"/>
  <c r="AU3" i="69" s="1"/>
  <c r="AW3" i="69" a="1"/>
  <c r="AW3" i="69" s="1"/>
  <c r="BA3" i="69" a="1"/>
  <c r="BA3" i="69" s="1"/>
  <c r="AO3" i="69" a="1"/>
  <c r="AO3" i="69" s="1"/>
  <c r="AV3" i="69" a="1"/>
  <c r="AV3" i="69" s="1"/>
  <c r="AZ3" i="69" a="1"/>
  <c r="AZ3" i="69" s="1"/>
  <c r="AN3" i="69" a="1"/>
  <c r="AN3" i="69" s="1"/>
  <c r="AG3" i="69" a="1"/>
  <c r="AG3" i="69" s="1"/>
  <c r="AQ3" i="69" a="1"/>
  <c r="AQ3" i="69" s="1"/>
  <c r="DE42" i="4"/>
  <c r="BA90" i="4" a="1"/>
  <c r="BA90" i="4" s="1"/>
  <c r="BB90" i="4" s="1"/>
  <c r="AV192" i="13" s="1"/>
  <c r="B90" i="4"/>
  <c r="CW90" i="4" s="1"/>
  <c r="CX90" i="4" s="1"/>
  <c r="AF27" i="27"/>
  <c r="AF41" i="27"/>
  <c r="B16" i="27" a="1"/>
  <c r="B16" i="27" s="1"/>
  <c r="AJ37" i="27"/>
  <c r="AF38" i="27"/>
  <c r="AI25" i="27"/>
  <c r="AJ38" i="27"/>
  <c r="AI38" i="27"/>
  <c r="FH27" i="71"/>
  <c r="CY56" i="4"/>
  <c r="CZ56" i="4" s="1"/>
  <c r="CU56" i="4"/>
  <c r="CV56" i="4" s="1"/>
  <c r="AX56" i="4"/>
  <c r="DB56" i="4"/>
  <c r="E15" i="4"/>
  <c r="BT15" i="4" s="1"/>
  <c r="A338" i="13"/>
  <c r="AX338" i="13" s="1"/>
  <c r="AX238" i="13"/>
  <c r="E644" i="15"/>
  <c r="E441" i="15"/>
  <c r="F441" i="15" s="1" a="1"/>
  <c r="F441" i="15" s="1"/>
  <c r="E465" i="15"/>
  <c r="E457" i="15"/>
  <c r="E139" i="15"/>
  <c r="E347" i="15"/>
  <c r="E123" i="15"/>
  <c r="E456" i="15"/>
  <c r="E530" i="15"/>
  <c r="E607" i="15"/>
  <c r="E444" i="15"/>
  <c r="E383" i="15"/>
  <c r="E639" i="15"/>
  <c r="E473" i="15"/>
  <c r="DE64" i="4"/>
  <c r="AX1205" i="13"/>
  <c r="A1304" i="13"/>
  <c r="BA56" i="4" a="1"/>
  <c r="BA56" i="4" s="1"/>
  <c r="BB56" i="4" s="1"/>
  <c r="AV158" i="13" s="1"/>
  <c r="B56" i="4"/>
  <c r="AS78" i="4"/>
  <c r="AV680" i="13" s="1"/>
  <c r="A371" i="13"/>
  <c r="AX371" i="13" s="1"/>
  <c r="AX271" i="13"/>
  <c r="AX268" i="13"/>
  <c r="A368" i="13"/>
  <c r="AX368" i="13" s="1"/>
  <c r="AH75" i="4"/>
  <c r="AV1371" i="13" s="1"/>
  <c r="Z38" i="4"/>
  <c r="AV1235" i="13" s="1"/>
  <c r="AD25" i="4"/>
  <c r="F25" i="69" s="1"/>
  <c r="X75" i="72"/>
  <c r="X75" i="69"/>
  <c r="AL53" i="4"/>
  <c r="I53" i="72" s="1"/>
  <c r="AH62" i="4"/>
  <c r="AV1358" i="13" s="1"/>
  <c r="X59" i="72"/>
  <c r="X59" i="69"/>
  <c r="AD37" i="4"/>
  <c r="F37" i="69" s="1"/>
  <c r="AL84" i="4"/>
  <c r="I84" i="69" s="1"/>
  <c r="AL69" i="4"/>
  <c r="I69" i="72" s="1"/>
  <c r="AH32" i="4"/>
  <c r="AV1328" i="13" s="1"/>
  <c r="AH39" i="4"/>
  <c r="AV1335" i="13" s="1"/>
  <c r="Z19" i="4"/>
  <c r="AV1216" i="13" s="1"/>
  <c r="AH25" i="4"/>
  <c r="AV1321" i="13" s="1"/>
  <c r="AL36" i="4"/>
  <c r="I36" i="72" s="1"/>
  <c r="X65" i="72"/>
  <c r="X65" i="69"/>
  <c r="AD22" i="4"/>
  <c r="F22" i="72" s="1"/>
  <c r="Z5" i="4"/>
  <c r="AD28" i="4"/>
  <c r="F28" i="72" s="1"/>
  <c r="Z27" i="4"/>
  <c r="AV1224" i="13" s="1"/>
  <c r="AH28" i="4"/>
  <c r="AV1324" i="13" s="1"/>
  <c r="Z30" i="4"/>
  <c r="AV1227" i="13" s="1"/>
  <c r="AL72" i="4"/>
  <c r="I72" i="69" s="1"/>
  <c r="AH36" i="4"/>
  <c r="AV1332" i="13" s="1"/>
  <c r="Z52" i="4"/>
  <c r="AV1249" i="13" s="1"/>
  <c r="X84" i="69"/>
  <c r="X84" i="72"/>
  <c r="X66" i="72"/>
  <c r="X66" i="69"/>
  <c r="X86" i="69"/>
  <c r="X86" i="72"/>
  <c r="X22" i="69"/>
  <c r="X22" i="72"/>
  <c r="X36" i="69"/>
  <c r="X36" i="72"/>
  <c r="AV68" i="13"/>
  <c r="AY66" i="4"/>
  <c r="Z1362" i="13"/>
  <c r="AW66" i="4"/>
  <c r="E250" i="15"/>
  <c r="E488" i="15"/>
  <c r="E335" i="15"/>
  <c r="E491" i="15"/>
  <c r="E174" i="15"/>
  <c r="E476" i="15"/>
  <c r="E407" i="15"/>
  <c r="E299" i="15"/>
  <c r="E290" i="15"/>
  <c r="E440" i="15"/>
  <c r="E247" i="15"/>
  <c r="F247" i="15" s="1" a="1"/>
  <c r="F247" i="15" s="1"/>
  <c r="E540" i="15"/>
  <c r="E103" i="15"/>
  <c r="E643" i="15"/>
  <c r="K641" i="15" s="1" a="1"/>
  <c r="K641" i="15" s="1"/>
  <c r="E223" i="15"/>
  <c r="CY20" i="4"/>
  <c r="CZ20" i="4" s="1"/>
  <c r="CY17" i="4"/>
  <c r="CZ17" i="4" s="1"/>
  <c r="BA96" i="4" a="1"/>
  <c r="BA96" i="4" s="1"/>
  <c r="BB96" i="4" s="1"/>
  <c r="AV198" i="13" s="1"/>
  <c r="B96" i="4"/>
  <c r="BT38" i="4"/>
  <c r="A314" i="13"/>
  <c r="AX314" i="13" s="1"/>
  <c r="AX214" i="13"/>
  <c r="A356" i="13"/>
  <c r="AX356" i="13" s="1"/>
  <c r="AX256" i="13"/>
  <c r="M646" i="15" a="1"/>
  <c r="M646" i="15" s="1"/>
  <c r="L646" i="15" a="1"/>
  <c r="L646" i="15" s="1"/>
  <c r="N646" i="15" a="1"/>
  <c r="N646" i="15" s="1"/>
  <c r="K646" i="15" a="1"/>
  <c r="K646" i="15" s="1"/>
  <c r="BT32" i="4"/>
  <c r="BZ60" i="4" a="1"/>
  <c r="BZ60" i="4" s="1"/>
  <c r="BX60" i="4" s="1" a="1"/>
  <c r="BX60" i="4" s="1"/>
  <c r="BY60" i="4" a="1"/>
  <c r="BY60" i="4" s="1"/>
  <c r="CY19" i="4"/>
  <c r="CZ19" i="4" s="1"/>
  <c r="A327" i="13"/>
  <c r="AX327" i="13" s="1"/>
  <c r="AX227" i="13"/>
  <c r="E21" i="4"/>
  <c r="BT21" i="4" s="1"/>
  <c r="J514" i="15"/>
  <c r="BA79" i="4" a="1"/>
  <c r="BA79" i="4" s="1"/>
  <c r="BB79" i="4" s="1"/>
  <c r="AV181" i="13" s="1"/>
  <c r="B79" i="4"/>
  <c r="E462" i="15" s="1"/>
  <c r="HM18" i="71"/>
  <c r="AX75" i="4"/>
  <c r="CU75" i="4"/>
  <c r="CV75" i="4" s="1"/>
  <c r="DB75" i="4"/>
  <c r="CW75" i="4"/>
  <c r="CX75" i="4" s="1"/>
  <c r="DA75" i="4" a="1"/>
  <c r="DA75" i="4" s="1"/>
  <c r="A1153" i="13"/>
  <c r="AX57" i="13"/>
  <c r="AX1054" i="13"/>
  <c r="A557" i="13"/>
  <c r="A955" i="13"/>
  <c r="AX955" i="13" s="1"/>
  <c r="A1054" i="13"/>
  <c r="K13" i="27" s="1" a="1"/>
  <c r="K13" i="27" s="1"/>
  <c r="AX657" i="13"/>
  <c r="AX457" i="13"/>
  <c r="A756" i="13"/>
  <c r="AX756" i="13" s="1"/>
  <c r="AX557" i="13"/>
  <c r="A457" i="13"/>
  <c r="A1853" i="13"/>
  <c r="A657" i="13"/>
  <c r="A157" i="13"/>
  <c r="A856" i="13"/>
  <c r="AX856" i="13" s="1"/>
  <c r="E275" i="15"/>
  <c r="E391" i="15"/>
  <c r="E528" i="15"/>
  <c r="E551" i="15"/>
  <c r="E579" i="15"/>
  <c r="F578" i="15" s="1" a="1"/>
  <c r="F578" i="15" s="1"/>
  <c r="E184" i="15"/>
  <c r="E246" i="15"/>
  <c r="E201" i="15"/>
  <c r="E533" i="15"/>
  <c r="E385" i="15"/>
  <c r="E420" i="15"/>
  <c r="E656" i="15"/>
  <c r="E634" i="15"/>
  <c r="E653" i="15"/>
  <c r="E651" i="15"/>
  <c r="E569" i="15"/>
  <c r="DB90" i="4"/>
  <c r="CU90" i="4"/>
  <c r="CV90" i="4" s="1"/>
  <c r="AX90" i="4"/>
  <c r="BT12" i="4"/>
  <c r="AX273" i="13"/>
  <c r="A373" i="13"/>
  <c r="AX373" i="13" s="1"/>
  <c r="A372" i="13"/>
  <c r="AX372" i="13" s="1"/>
  <c r="AX272" i="13"/>
  <c r="E218" i="15"/>
  <c r="CW21" i="4"/>
  <c r="CX21" i="4" s="1"/>
  <c r="AS67" i="4"/>
  <c r="AV669" i="13" s="1"/>
  <c r="A1338" i="13"/>
  <c r="AX1239" i="13"/>
  <c r="E42" i="4"/>
  <c r="HG4" i="71"/>
  <c r="DB73" i="4"/>
  <c r="CY73" i="4"/>
  <c r="CZ73" i="4" s="1"/>
  <c r="CU73" i="4"/>
  <c r="CV73" i="4" s="1"/>
  <c r="AX73" i="4"/>
  <c r="DV4" i="4"/>
  <c r="AV506" i="13"/>
  <c r="BH4" i="4"/>
  <c r="AS86" i="4"/>
  <c r="AV688" i="13" s="1"/>
  <c r="AJ31" i="27"/>
  <c r="I22" i="27"/>
  <c r="AJ40" i="27"/>
  <c r="AI43" i="27"/>
  <c r="AI23" i="27"/>
  <c r="AF39" i="27"/>
  <c r="AJ25" i="27"/>
  <c r="G15" i="27" a="1"/>
  <c r="G15" i="27" s="1"/>
  <c r="E64" i="4"/>
  <c r="BT64" i="4" s="1"/>
  <c r="Z42" i="4"/>
  <c r="U2" i="14"/>
  <c r="X43" i="69"/>
  <c r="X43" i="72"/>
  <c r="AH91" i="4"/>
  <c r="AV1387" i="13" s="1"/>
  <c r="AD46" i="4"/>
  <c r="F46" i="69" s="1"/>
  <c r="Z16" i="4"/>
  <c r="AV1213" i="13" s="1"/>
  <c r="X39" i="69"/>
  <c r="X39" i="72"/>
  <c r="AH72" i="4"/>
  <c r="AV1368" i="13" s="1"/>
  <c r="AL93" i="4"/>
  <c r="I93" i="69" s="1"/>
  <c r="AD49" i="4"/>
  <c r="F49" i="72" s="1"/>
  <c r="X5" i="72"/>
  <c r="X5" i="69"/>
  <c r="AD31" i="4"/>
  <c r="F31" i="69" s="1"/>
  <c r="Z28" i="4"/>
  <c r="AV1225" i="13" s="1"/>
  <c r="AL91" i="4"/>
  <c r="I91" i="69" s="1"/>
  <c r="AH26" i="4"/>
  <c r="AV1322" i="13" s="1"/>
  <c r="Z21" i="4"/>
  <c r="Z41" i="4"/>
  <c r="AV1238" i="13" s="1"/>
  <c r="BR3" i="4"/>
  <c r="AD3" i="69" s="1"/>
  <c r="X3" i="4"/>
  <c r="BG3" i="4"/>
  <c r="L3" i="4"/>
  <c r="AH57" i="4"/>
  <c r="AV1353" i="13" s="1"/>
  <c r="AH50" i="4"/>
  <c r="AV1346" i="13" s="1"/>
  <c r="AD7" i="4"/>
  <c r="F7" i="69" s="1"/>
  <c r="Z53" i="4"/>
  <c r="AV1250" i="13" s="1"/>
  <c r="DB72" i="4"/>
  <c r="AD30" i="4"/>
  <c r="F30" i="72" s="1"/>
  <c r="AD50" i="4"/>
  <c r="F50" i="69" s="1"/>
  <c r="X67" i="69"/>
  <c r="X67" i="72"/>
  <c r="X47" i="69"/>
  <c r="X47" i="72"/>
  <c r="X21" i="72"/>
  <c r="X21" i="69"/>
  <c r="X80" i="69"/>
  <c r="X80" i="72"/>
  <c r="X30" i="69"/>
  <c r="X30" i="72"/>
  <c r="W89" i="22"/>
  <c r="Y89" i="22" s="1"/>
  <c r="AW57" i="4"/>
  <c r="AY57" i="4"/>
  <c r="Z1353" i="13"/>
  <c r="AV59" i="13"/>
  <c r="F57" i="4"/>
  <c r="AP57" i="4"/>
  <c r="AV359" i="13" s="1"/>
  <c r="AV459" i="13" s="1"/>
  <c r="AY90" i="4"/>
  <c r="AV92" i="13"/>
  <c r="AW90" i="4"/>
  <c r="Z1386" i="13"/>
  <c r="DE7" i="4"/>
  <c r="E112" i="15"/>
  <c r="E91" i="15"/>
  <c r="E142" i="15"/>
  <c r="E195" i="15"/>
  <c r="E147" i="15"/>
  <c r="E226" i="15"/>
  <c r="AW52" i="4"/>
  <c r="F52" i="4"/>
  <c r="BL52" i="4" s="1"/>
  <c r="AY52" i="4"/>
  <c r="AV54" i="13"/>
  <c r="Z1348" i="13"/>
  <c r="AP52" i="4"/>
  <c r="AV354" i="13" s="1"/>
  <c r="AV454" i="13" s="1"/>
  <c r="W74" i="22"/>
  <c r="Y74" i="22" s="1"/>
  <c r="V74" i="22"/>
  <c r="BT11" i="4"/>
  <c r="AX1217" i="13"/>
  <c r="A1316" i="13"/>
  <c r="A1332" i="13"/>
  <c r="AX1233" i="13"/>
  <c r="A1368" i="13"/>
  <c r="AX1269" i="13"/>
  <c r="AX217" i="13"/>
  <c r="A317" i="13"/>
  <c r="AX317" i="13" s="1"/>
  <c r="CW27" i="4"/>
  <c r="CX27" i="4" s="1"/>
  <c r="E625" i="15"/>
  <c r="E125" i="15"/>
  <c r="DE38" i="4"/>
  <c r="B85" i="4"/>
  <c r="AH85" i="4" s="1"/>
  <c r="AV1381" i="13" s="1"/>
  <c r="BA85" i="4" a="1"/>
  <c r="BA85" i="4" s="1"/>
  <c r="BB85" i="4" s="1"/>
  <c r="AV187" i="13" s="1"/>
  <c r="FT30" i="71"/>
  <c r="CU60" i="4"/>
  <c r="CV60" i="4" s="1"/>
  <c r="AX60" i="4"/>
  <c r="CW60" i="4"/>
  <c r="CX60" i="4" s="1"/>
  <c r="CY60" i="4"/>
  <c r="CZ60" i="4" s="1"/>
  <c r="DA60" i="4" a="1"/>
  <c r="DA60" i="4" s="1"/>
  <c r="AV405" i="13"/>
  <c r="DA19" i="4" a="1"/>
  <c r="DA19" i="4" s="1"/>
  <c r="DE21" i="4"/>
  <c r="A340" i="13"/>
  <c r="AX340" i="13" s="1"/>
  <c r="AX240" i="13"/>
  <c r="CW41" i="4"/>
  <c r="CX41" i="4" s="1"/>
  <c r="AX1219" i="13"/>
  <c r="A1318" i="13"/>
  <c r="BA58" i="4" a="1"/>
  <c r="BA58" i="4" s="1"/>
  <c r="BB58" i="4" s="1"/>
  <c r="AV160" i="13" s="1"/>
  <c r="B58" i="4"/>
  <c r="BA76" i="4" a="1"/>
  <c r="BA76" i="4" s="1"/>
  <c r="BB76" i="4" s="1"/>
  <c r="AV178" i="13" s="1"/>
  <c r="B76" i="4"/>
  <c r="AS96" i="69"/>
  <c r="C55" i="4"/>
  <c r="BS55" i="4"/>
  <c r="A57" i="9"/>
  <c r="A55" i="4"/>
  <c r="BS194" i="4" s="1"/>
  <c r="S87" i="22"/>
  <c r="M55" i="4"/>
  <c r="K55" i="4"/>
  <c r="A55" i="20"/>
  <c r="BV55" i="4" a="1"/>
  <c r="BV55" i="4" s="1"/>
  <c r="I55" i="4"/>
  <c r="FE12" i="71" s="1"/>
  <c r="BU55" i="4" a="1"/>
  <c r="BU55" i="4" s="1"/>
  <c r="W98" i="22"/>
  <c r="Y98" i="22" s="1"/>
  <c r="AZ55" i="4"/>
  <c r="D55" i="4"/>
  <c r="BC55" i="4" a="1"/>
  <c r="BC55" i="4" s="1"/>
  <c r="BC97" i="4" s="1"/>
  <c r="D55" i="1"/>
  <c r="Q3" i="1" s="1" a="1"/>
  <c r="Q3" i="1" s="1"/>
  <c r="Q101" i="1" s="1"/>
  <c r="J954" i="15"/>
  <c r="N46" i="9"/>
  <c r="L46" i="9" s="1"/>
  <c r="GR29" i="71"/>
  <c r="HY7" i="71"/>
  <c r="J801" i="15"/>
  <c r="N94" i="9"/>
  <c r="L94" i="9" s="1"/>
  <c r="IE29" i="71"/>
  <c r="J853" i="15"/>
  <c r="J772" i="15"/>
  <c r="IH6" i="71"/>
  <c r="J996" i="15"/>
  <c r="FK29" i="71"/>
  <c r="HP32" i="71"/>
  <c r="GF26" i="71"/>
  <c r="FK9" i="71"/>
  <c r="I15" i="15" a="1"/>
  <c r="I15" i="15" s="1"/>
  <c r="JR28" i="71"/>
  <c r="N73" i="9"/>
  <c r="L73" i="9" s="1"/>
  <c r="E996" i="15"/>
  <c r="E523" i="15"/>
  <c r="IT4" i="71"/>
  <c r="J790" i="15"/>
  <c r="J686" i="15"/>
  <c r="F13" i="15"/>
  <c r="M36" i="9"/>
  <c r="JO36" i="71"/>
  <c r="J560" i="15"/>
  <c r="GO36" i="71"/>
  <c r="GL23" i="71"/>
  <c r="H23" i="7" a="1"/>
  <c r="H23" i="7" s="1"/>
  <c r="IE19" i="71"/>
  <c r="E734" i="15"/>
  <c r="M22" i="9"/>
  <c r="E939" i="15"/>
  <c r="IQ20" i="71"/>
  <c r="GU10" i="71"/>
  <c r="J479" i="15"/>
  <c r="FZ21" i="71"/>
  <c r="FQ31" i="71"/>
  <c r="JX19" i="71"/>
  <c r="J955" i="15"/>
  <c r="HP30" i="71"/>
  <c r="FK28" i="71"/>
  <c r="J974" i="15"/>
  <c r="J717" i="15"/>
  <c r="JI14" i="71"/>
  <c r="J501" i="15"/>
  <c r="JL17" i="71"/>
  <c r="N53" i="9"/>
  <c r="L53" i="9" s="1"/>
  <c r="E670" i="15"/>
  <c r="K66" i="9"/>
  <c r="GC23" i="71"/>
  <c r="GM38" i="71"/>
  <c r="GX22" i="71"/>
  <c r="K13" i="9"/>
  <c r="HG24" i="71"/>
  <c r="JO23" i="71"/>
  <c r="HP8" i="71"/>
  <c r="GR23" i="71"/>
  <c r="JI34" i="71"/>
  <c r="J844" i="15"/>
  <c r="JR31" i="71"/>
  <c r="E863" i="15"/>
  <c r="J555" i="15"/>
  <c r="HS11" i="71"/>
  <c r="J679" i="15"/>
  <c r="J792" i="15"/>
  <c r="E288" i="15"/>
  <c r="JC4" i="71"/>
  <c r="HM27" i="71"/>
  <c r="N95" i="9"/>
  <c r="L95" i="9" s="1"/>
  <c r="FN4" i="71"/>
  <c r="HJ26" i="71"/>
  <c r="FT34" i="71"/>
  <c r="FZ29" i="71"/>
  <c r="FQ21" i="71"/>
  <c r="HV29" i="71"/>
  <c r="I9" i="15" a="1"/>
  <c r="I9" i="15" s="1"/>
  <c r="GX13" i="71"/>
  <c r="H20" i="7" a="1"/>
  <c r="H20" i="7" s="1"/>
  <c r="J916" i="15"/>
  <c r="J511" i="15"/>
  <c r="JL26" i="71"/>
  <c r="N40" i="9"/>
  <c r="L40" i="9" s="1"/>
  <c r="IZ29" i="71"/>
  <c r="IW9" i="71"/>
  <c r="IQ11" i="71"/>
  <c r="M78" i="9"/>
  <c r="E699" i="15"/>
  <c r="E864" i="15"/>
  <c r="GO30" i="71"/>
  <c r="HV22" i="71"/>
  <c r="JL27" i="71"/>
  <c r="HA26" i="71"/>
  <c r="IH19" i="71"/>
  <c r="IK17" i="71"/>
  <c r="J981" i="15"/>
  <c r="M18" i="9"/>
  <c r="J760" i="15"/>
  <c r="HG29" i="71"/>
  <c r="IW22" i="71"/>
  <c r="J661" i="15"/>
  <c r="N654" i="15" s="1" a="1"/>
  <c r="N654" i="15" s="1"/>
  <c r="E945" i="15"/>
  <c r="HP20" i="71"/>
  <c r="HV31" i="71"/>
  <c r="K50" i="9"/>
  <c r="M97" i="9"/>
  <c r="E905" i="15"/>
  <c r="GI6" i="71"/>
  <c r="H15" i="7" a="1"/>
  <c r="H15" i="7" s="1"/>
  <c r="E79" i="15"/>
  <c r="KB38" i="71"/>
  <c r="GC5" i="71"/>
  <c r="IE28" i="71"/>
  <c r="HD15" i="71"/>
  <c r="E826" i="15"/>
  <c r="JR30" i="71"/>
  <c r="A95" i="69"/>
  <c r="E94" i="15"/>
  <c r="JU26" i="71"/>
  <c r="JC13" i="71"/>
  <c r="IT35" i="71"/>
  <c r="J843" i="15"/>
  <c r="E991" i="15"/>
  <c r="E392" i="15"/>
  <c r="IB28" i="71"/>
  <c r="AC94" i="72"/>
  <c r="BG95" i="72"/>
  <c r="N65" i="9"/>
  <c r="L65" i="9" s="1"/>
  <c r="M15" i="9"/>
  <c r="HS30" i="71"/>
  <c r="E932" i="15"/>
  <c r="Z1498" i="13"/>
  <c r="Q94" i="72"/>
  <c r="FQ25" i="71"/>
  <c r="E880" i="15"/>
  <c r="M20" i="9"/>
  <c r="J827" i="15"/>
  <c r="GG38" i="71"/>
  <c r="IN24" i="71"/>
  <c r="FH8" i="71"/>
  <c r="GL19" i="71"/>
  <c r="FW9" i="71"/>
  <c r="AV1489" i="13"/>
  <c r="A96" i="72"/>
  <c r="HY13" i="71"/>
  <c r="HG16" i="71"/>
  <c r="IB21" i="71"/>
  <c r="FW4" i="71"/>
  <c r="HV27" i="71"/>
  <c r="BF94" i="72"/>
  <c r="IZ4" i="71"/>
  <c r="V53" i="22"/>
  <c r="J757" i="15"/>
  <c r="IQ36" i="71"/>
  <c r="JL29" i="71"/>
  <c r="N12" i="9"/>
  <c r="L12" i="9" s="1"/>
  <c r="N8" i="9"/>
  <c r="L8" i="9" s="1"/>
  <c r="L94" i="69"/>
  <c r="Z1893" i="13"/>
  <c r="B1893" i="13" s="1" a="1"/>
  <c r="B1893" i="13" s="1"/>
  <c r="JO7" i="71"/>
  <c r="J906" i="15"/>
  <c r="HA23" i="71"/>
  <c r="E694" i="15"/>
  <c r="IQ22" i="71"/>
  <c r="IZ8" i="71"/>
  <c r="J899" i="15"/>
  <c r="FZ28" i="71"/>
  <c r="E834" i="15"/>
  <c r="J852" i="15"/>
  <c r="J722" i="15"/>
  <c r="N26" i="9"/>
  <c r="L26" i="9" s="1"/>
  <c r="HA14" i="71"/>
  <c r="GL28" i="71"/>
  <c r="J863" i="15"/>
  <c r="IW4" i="71"/>
  <c r="E838" i="15"/>
  <c r="J678" i="15"/>
  <c r="FH4" i="71"/>
  <c r="E980" i="15"/>
  <c r="IE26" i="71"/>
  <c r="J710" i="15"/>
  <c r="E726" i="15"/>
  <c r="GF4" i="71"/>
  <c r="EJ31" i="71"/>
  <c r="FN8" i="71"/>
  <c r="JU35" i="71"/>
  <c r="IH10" i="71"/>
  <c r="FH7" i="71"/>
  <c r="J824" i="15"/>
  <c r="IW30" i="71"/>
  <c r="I7" i="15" a="1"/>
  <c r="I7" i="15" s="1"/>
  <c r="FT5" i="71"/>
  <c r="FX38" i="71"/>
  <c r="J875" i="15"/>
  <c r="E918" i="15"/>
  <c r="J930" i="15"/>
  <c r="HV26" i="71"/>
  <c r="E700" i="15"/>
  <c r="JL24" i="71"/>
  <c r="E847" i="15"/>
  <c r="J721" i="15"/>
  <c r="GO20" i="71"/>
  <c r="E845" i="15"/>
  <c r="E990" i="15"/>
  <c r="JI28" i="71"/>
  <c r="J901" i="15"/>
  <c r="E963" i="15"/>
  <c r="HP12" i="71"/>
  <c r="IK8" i="71"/>
  <c r="GU28" i="71"/>
  <c r="FH15" i="71"/>
  <c r="FZ16" i="71"/>
  <c r="E789" i="15"/>
  <c r="J883" i="15"/>
  <c r="GX36" i="71"/>
  <c r="JX9" i="71"/>
  <c r="IN4" i="71"/>
  <c r="FQ20" i="71"/>
  <c r="GO31" i="71"/>
  <c r="GL24" i="71"/>
  <c r="HV30" i="71"/>
  <c r="GO27" i="71"/>
  <c r="GL29" i="71"/>
  <c r="E58" i="15"/>
  <c r="Z1892" i="13"/>
  <c r="B1892" i="13" s="1" a="1"/>
  <c r="B1892" i="13" s="1"/>
  <c r="HB38" i="71"/>
  <c r="J868" i="15"/>
  <c r="J846" i="15"/>
  <c r="IN22" i="71"/>
  <c r="E949" i="15"/>
  <c r="E799" i="15"/>
  <c r="HA13" i="71"/>
  <c r="E878" i="15"/>
  <c r="N49" i="9"/>
  <c r="L49" i="9" s="1"/>
  <c r="HS14" i="71"/>
  <c r="HD24" i="71"/>
  <c r="HM21" i="71"/>
  <c r="GF33" i="71"/>
  <c r="E224" i="15"/>
  <c r="JU19" i="71"/>
  <c r="W53" i="22"/>
  <c r="Y53" i="22" s="1"/>
  <c r="J894" i="15"/>
  <c r="M73" i="9"/>
  <c r="JL19" i="71"/>
  <c r="GJ38" i="71"/>
  <c r="IE17" i="71"/>
  <c r="E997" i="15"/>
  <c r="IZ28" i="71"/>
  <c r="M14" i="9"/>
  <c r="M92" i="9"/>
  <c r="E765" i="15"/>
  <c r="JI6" i="71"/>
  <c r="HA36" i="71"/>
  <c r="JI33" i="71"/>
  <c r="FK22" i="71"/>
  <c r="HD26" i="71"/>
  <c r="GL8" i="71"/>
  <c r="E684" i="15"/>
  <c r="IH26" i="71"/>
  <c r="N21" i="9"/>
  <c r="L21" i="9" s="1"/>
  <c r="E891" i="15"/>
  <c r="FH10" i="71"/>
  <c r="IE31" i="71"/>
  <c r="E994" i="15"/>
  <c r="HS16" i="71"/>
  <c r="J759" i="15"/>
  <c r="I3" i="15" a="1"/>
  <c r="I3" i="15" s="1"/>
  <c r="E479" i="15"/>
  <c r="GF27" i="71"/>
  <c r="E808" i="15"/>
  <c r="IB24" i="71"/>
  <c r="IT24" i="71"/>
  <c r="E292" i="15"/>
  <c r="IT28" i="71"/>
  <c r="N34" i="9"/>
  <c r="L34" i="9" s="1"/>
  <c r="FZ20" i="71"/>
  <c r="J689" i="15"/>
  <c r="JC6" i="71"/>
  <c r="HY17" i="71"/>
  <c r="F11" i="15"/>
  <c r="EJ35" i="71"/>
  <c r="FW23" i="71"/>
  <c r="JC28" i="71"/>
  <c r="FE9" i="71"/>
  <c r="AC95" i="72"/>
  <c r="IK24" i="71"/>
  <c r="HG6" i="71"/>
  <c r="J867" i="15"/>
  <c r="E204" i="15"/>
  <c r="JO15" i="71"/>
  <c r="E192" i="15"/>
  <c r="K22" i="9"/>
  <c r="HG11" i="71"/>
  <c r="HS5" i="71"/>
  <c r="IH24" i="71"/>
  <c r="FE26" i="71"/>
  <c r="N94" i="72" a="1"/>
  <c r="N94" i="72" s="1"/>
  <c r="GX11" i="71"/>
  <c r="FH29" i="71"/>
  <c r="FK30" i="71"/>
  <c r="E898" i="15"/>
  <c r="E862" i="15"/>
  <c r="FZ23" i="71"/>
  <c r="K81" i="9"/>
  <c r="GU26" i="71"/>
  <c r="E69" i="15"/>
  <c r="P96" i="69"/>
  <c r="E790" i="15"/>
  <c r="F4" i="15"/>
  <c r="J923" i="15"/>
  <c r="IB20" i="71"/>
  <c r="HD29" i="71"/>
  <c r="IW13" i="71"/>
  <c r="GY38" i="71"/>
  <c r="E62" i="15"/>
  <c r="JF6" i="71"/>
  <c r="JI22" i="71"/>
  <c r="JX22" i="71"/>
  <c r="N31" i="9"/>
  <c r="L31" i="9" s="1"/>
  <c r="N81" i="9"/>
  <c r="L81" i="9" s="1"/>
  <c r="GI8" i="71"/>
  <c r="IQ31" i="71"/>
  <c r="K61" i="9"/>
  <c r="J487" i="15"/>
  <c r="IW25" i="71"/>
  <c r="GC26" i="71"/>
  <c r="K54" i="9"/>
  <c r="IZ25" i="71"/>
  <c r="E844" i="15"/>
  <c r="AS94" i="69"/>
  <c r="JX21" i="71"/>
  <c r="J819" i="15"/>
  <c r="E725" i="15"/>
  <c r="HV15" i="71"/>
  <c r="GI19" i="71"/>
  <c r="HD18" i="71"/>
  <c r="EJ24" i="71"/>
  <c r="JL10" i="71"/>
  <c r="IZ9" i="71"/>
  <c r="FN23" i="71"/>
  <c r="GI7" i="71"/>
  <c r="JR16" i="71"/>
  <c r="E967" i="15"/>
  <c r="JX29" i="71"/>
  <c r="I6" i="15" a="1"/>
  <c r="I6" i="15" s="1"/>
  <c r="J749" i="15"/>
  <c r="J982" i="15"/>
  <c r="GR16" i="71"/>
  <c r="E938" i="15"/>
  <c r="K79" i="9"/>
  <c r="FK13" i="71"/>
  <c r="GL11" i="71"/>
  <c r="J788" i="15"/>
  <c r="E924" i="15"/>
  <c r="IN5" i="71"/>
  <c r="IT6" i="71"/>
  <c r="N30" i="9"/>
  <c r="L30" i="9" s="1"/>
  <c r="GR17" i="71"/>
  <c r="FW18" i="71"/>
  <c r="J990" i="15"/>
  <c r="E865" i="15"/>
  <c r="GL10" i="71"/>
  <c r="E729" i="15"/>
  <c r="JU28" i="71"/>
  <c r="E711" i="15"/>
  <c r="FH26" i="71"/>
  <c r="J769" i="15"/>
  <c r="E904" i="15"/>
  <c r="E675" i="15"/>
  <c r="E903" i="15"/>
  <c r="J709" i="15"/>
  <c r="GU36" i="71"/>
  <c r="HY31" i="71"/>
  <c r="JC23" i="71"/>
  <c r="HM24" i="71"/>
  <c r="J864" i="15"/>
  <c r="GI16" i="71"/>
  <c r="JI30" i="71"/>
  <c r="J961" i="15"/>
  <c r="HV33" i="71"/>
  <c r="N96" i="9"/>
  <c r="L96" i="9" s="1"/>
  <c r="GF13" i="71"/>
  <c r="N41" i="9"/>
  <c r="L41" i="9" s="1"/>
  <c r="J700" i="15"/>
  <c r="GX16" i="71"/>
  <c r="M60" i="9"/>
  <c r="IK16" i="71"/>
  <c r="N59" i="9"/>
  <c r="L59" i="9" s="1"/>
  <c r="J948" i="15"/>
  <c r="GU9" i="71"/>
  <c r="FH9" i="71"/>
  <c r="J945" i="15"/>
  <c r="E899" i="15"/>
  <c r="EJ34" i="71"/>
  <c r="HG19" i="71"/>
  <c r="HV23" i="71"/>
  <c r="IB15" i="71"/>
  <c r="HS26" i="71"/>
  <c r="E773" i="15"/>
  <c r="W77" i="22"/>
  <c r="Y77" i="22" s="1"/>
  <c r="EJ33" i="71"/>
  <c r="JU15" i="71"/>
  <c r="N98" i="9"/>
  <c r="L98" i="9" s="1"/>
  <c r="E870" i="15"/>
  <c r="HG35" i="71"/>
  <c r="J932" i="15"/>
  <c r="GR30" i="71"/>
  <c r="E390" i="15"/>
  <c r="HP4" i="71"/>
  <c r="E796" i="15"/>
  <c r="J807" i="15"/>
  <c r="FK33" i="71"/>
  <c r="FZ17" i="71"/>
  <c r="J921" i="15"/>
  <c r="HM33" i="71"/>
  <c r="JX36" i="71"/>
  <c r="E923" i="15"/>
  <c r="E687" i="15"/>
  <c r="E667" i="15"/>
  <c r="HS25" i="71"/>
  <c r="J937" i="15"/>
  <c r="E737" i="15"/>
  <c r="FZ12" i="71"/>
  <c r="J935" i="15"/>
  <c r="IQ21" i="71"/>
  <c r="J909" i="15"/>
  <c r="IQ26" i="71"/>
  <c r="J966" i="15"/>
  <c r="FQ32" i="71"/>
  <c r="J839" i="15"/>
  <c r="EJ15" i="71"/>
  <c r="E669" i="15"/>
  <c r="FN15" i="71"/>
  <c r="E88" i="15"/>
  <c r="E960" i="15"/>
  <c r="IT14" i="71"/>
  <c r="IT8" i="71"/>
  <c r="EJ13" i="71"/>
  <c r="GU23" i="71"/>
  <c r="IB10" i="71"/>
  <c r="HA16" i="71"/>
  <c r="E839" i="15"/>
  <c r="GO15" i="71"/>
  <c r="M33" i="9"/>
  <c r="GI21" i="71"/>
  <c r="JI5" i="71"/>
  <c r="JX10" i="71"/>
  <c r="J681" i="15"/>
  <c r="GO21" i="71"/>
  <c r="J791" i="15"/>
  <c r="J543" i="15"/>
  <c r="J975" i="15"/>
  <c r="GL26" i="71"/>
  <c r="M34" i="9"/>
  <c r="K71" i="9"/>
  <c r="JI25" i="71"/>
  <c r="JX7" i="71"/>
  <c r="K18" i="9"/>
  <c r="E180" i="15"/>
  <c r="F179" i="15" s="1" a="1"/>
  <c r="F179" i="15" s="1"/>
  <c r="GX29" i="71"/>
  <c r="FZ26" i="71"/>
  <c r="E909" i="15"/>
  <c r="J850" i="15"/>
  <c r="E851" i="15"/>
  <c r="HD21" i="71"/>
  <c r="JC14" i="71"/>
  <c r="HJ5" i="71"/>
  <c r="J674" i="15"/>
  <c r="IE22" i="71"/>
  <c r="E433" i="15"/>
  <c r="IN23" i="71"/>
  <c r="HM9" i="71"/>
  <c r="W95" i="69"/>
  <c r="HJ31" i="71"/>
  <c r="IW21" i="71"/>
  <c r="FW27" i="71"/>
  <c r="N80" i="9"/>
  <c r="L80" i="9" s="1"/>
  <c r="IQ27" i="71"/>
  <c r="M95" i="9"/>
  <c r="JO18" i="71"/>
  <c r="E889" i="15"/>
  <c r="FQ30" i="71"/>
  <c r="K80" i="9"/>
  <c r="J987" i="15"/>
  <c r="E955" i="15"/>
  <c r="FH14" i="71"/>
  <c r="IW23" i="71"/>
  <c r="AC96" i="72"/>
  <c r="HM25" i="71"/>
  <c r="FH32" i="71"/>
  <c r="E860" i="15"/>
  <c r="E595" i="15"/>
  <c r="N33" i="9"/>
  <c r="L33" i="9" s="1"/>
  <c r="IT23" i="71"/>
  <c r="J816" i="15"/>
  <c r="IW24" i="71"/>
  <c r="FN33" i="71"/>
  <c r="J968" i="15"/>
  <c r="E972" i="15"/>
  <c r="FW19" i="71"/>
  <c r="IT30" i="71"/>
  <c r="GF34" i="71"/>
  <c r="J973" i="15"/>
  <c r="IZ20" i="71"/>
  <c r="J669" i="15"/>
  <c r="HP25" i="71"/>
  <c r="E958" i="15"/>
  <c r="EJ17" i="71"/>
  <c r="J969" i="15"/>
  <c r="E922" i="15"/>
  <c r="JX5" i="71"/>
  <c r="E717" i="15"/>
  <c r="E802" i="15"/>
  <c r="E753" i="15"/>
  <c r="HS10" i="71"/>
  <c r="FT19" i="71"/>
  <c r="E940" i="15"/>
  <c r="IW11" i="71"/>
  <c r="E928" i="15"/>
  <c r="N29" i="9"/>
  <c r="L29" i="9" s="1"/>
  <c r="FR38" i="71"/>
  <c r="JX32" i="71"/>
  <c r="J986" i="15"/>
  <c r="HY33" i="71"/>
  <c r="J845" i="15"/>
  <c r="K27" i="9"/>
  <c r="J708" i="15"/>
  <c r="E794" i="15"/>
  <c r="J977" i="15"/>
  <c r="W33" i="22"/>
  <c r="Y33" i="22" s="1"/>
  <c r="J687" i="15"/>
  <c r="GC28" i="71"/>
  <c r="FK16" i="71"/>
  <c r="M9" i="9"/>
  <c r="J970" i="15"/>
  <c r="JR35" i="71"/>
  <c r="IT11" i="71"/>
  <c r="JC36" i="71"/>
  <c r="JS38" i="71"/>
  <c r="K73" i="9"/>
  <c r="J692" i="15"/>
  <c r="E722" i="15"/>
  <c r="IN11" i="71"/>
  <c r="K41" i="9"/>
  <c r="K94" i="9"/>
  <c r="GL34" i="71"/>
  <c r="GF23" i="71"/>
  <c r="M23" i="9"/>
  <c r="E343" i="15"/>
  <c r="GR28" i="71"/>
  <c r="E846" i="15"/>
  <c r="FQ6" i="71"/>
  <c r="E887" i="15"/>
  <c r="FQ26" i="71"/>
  <c r="E791" i="15"/>
  <c r="JI18" i="71"/>
  <c r="J695" i="15"/>
  <c r="IN18" i="71"/>
  <c r="FK25" i="71"/>
  <c r="GF32" i="71"/>
  <c r="F15" i="15"/>
  <c r="K35" i="9"/>
  <c r="HJ11" i="71"/>
  <c r="HJ25" i="71"/>
  <c r="HJ23" i="71"/>
  <c r="HP35" i="71"/>
  <c r="IN26" i="71"/>
  <c r="HP24" i="71"/>
  <c r="IB23" i="71"/>
  <c r="E171" i="15"/>
  <c r="E812" i="15"/>
  <c r="FQ11" i="71"/>
  <c r="J727" i="15"/>
  <c r="J707" i="15"/>
  <c r="IZ33" i="71"/>
  <c r="FN16" i="71"/>
  <c r="J503" i="15"/>
  <c r="HM17" i="71"/>
  <c r="I13" i="15" a="1"/>
  <c r="I13" i="15" s="1"/>
  <c r="N10" i="9"/>
  <c r="L10" i="9" s="1"/>
  <c r="HD35" i="71"/>
  <c r="HP33" i="71"/>
  <c r="K97" i="9"/>
  <c r="IE13" i="71"/>
  <c r="J891" i="15"/>
  <c r="JX24" i="71"/>
  <c r="JU33" i="71"/>
  <c r="E820" i="15"/>
  <c r="JR19" i="71"/>
  <c r="GI36" i="71"/>
  <c r="E280" i="15"/>
  <c r="HA19" i="71"/>
  <c r="JC32" i="71"/>
  <c r="HM29" i="71"/>
  <c r="K10" i="9"/>
  <c r="J796" i="15"/>
  <c r="GO32" i="71"/>
  <c r="GR36" i="71"/>
  <c r="GC13" i="71"/>
  <c r="JR17" i="71"/>
  <c r="HG36" i="71"/>
  <c r="J910" i="15"/>
  <c r="M56" i="9"/>
  <c r="M10" i="9"/>
  <c r="E475" i="15"/>
  <c r="IQ32" i="71"/>
  <c r="K72" i="9"/>
  <c r="JC27" i="71"/>
  <c r="E690" i="15"/>
  <c r="J683" i="15"/>
  <c r="K64" i="9"/>
  <c r="E742" i="15"/>
  <c r="F10" i="15"/>
  <c r="J825" i="15"/>
  <c r="JX31" i="71"/>
  <c r="HJ19" i="71"/>
  <c r="IH25" i="71"/>
  <c r="IE33" i="71"/>
  <c r="IE8" i="71"/>
  <c r="IN16" i="71"/>
  <c r="GC10" i="71"/>
  <c r="GI25" i="71"/>
  <c r="E236" i="15"/>
  <c r="F235" i="15" s="1" a="1"/>
  <c r="F235" i="15" s="1"/>
  <c r="W58" i="22"/>
  <c r="Y58" i="22" s="1"/>
  <c r="E857" i="15"/>
  <c r="N85" i="9"/>
  <c r="L85" i="9" s="1"/>
  <c r="E766" i="15"/>
  <c r="JI9" i="71"/>
  <c r="JC19" i="71"/>
  <c r="Q96" i="72"/>
  <c r="FZ8" i="71"/>
  <c r="V31" i="22"/>
  <c r="M50" i="9"/>
  <c r="E817" i="15"/>
  <c r="J742" i="15"/>
  <c r="HJ10" i="71"/>
  <c r="E68" i="15"/>
  <c r="AB95" i="69" a="1"/>
  <c r="AB95" i="69" s="1"/>
  <c r="K53" i="9"/>
  <c r="HP6" i="71"/>
  <c r="JU34" i="71"/>
  <c r="J665" i="15"/>
  <c r="JX34" i="71"/>
  <c r="W65" i="22"/>
  <c r="Y65" i="22" s="1"/>
  <c r="HW38" i="71"/>
  <c r="GL17" i="71"/>
  <c r="JM38" i="71"/>
  <c r="FT32" i="71"/>
  <c r="J820" i="15"/>
  <c r="N20" i="9"/>
  <c r="L20" i="9" s="1"/>
  <c r="J992" i="15"/>
  <c r="J718" i="15"/>
  <c r="FK15" i="71"/>
  <c r="E707" i="15"/>
  <c r="FH21" i="71"/>
  <c r="FE4" i="71"/>
  <c r="AD94" i="72"/>
  <c r="J705" i="15"/>
  <c r="N88" i="9"/>
  <c r="L88" i="9" s="1"/>
  <c r="E680" i="15"/>
  <c r="IQ18" i="71"/>
  <c r="E505" i="15"/>
  <c r="E264" i="15"/>
  <c r="FU38" i="71"/>
  <c r="IN19" i="71"/>
  <c r="GO24" i="71"/>
  <c r="M38" i="9"/>
  <c r="HG20" i="71"/>
  <c r="J920" i="15"/>
  <c r="J915" i="15"/>
  <c r="HY9" i="71"/>
  <c r="EJ30" i="71"/>
  <c r="HG30" i="71"/>
  <c r="IH17" i="71"/>
  <c r="EJ12" i="71"/>
  <c r="EJ4" i="71"/>
  <c r="EJ6" i="71"/>
  <c r="E704" i="15"/>
  <c r="J933" i="15"/>
  <c r="JF29" i="71"/>
  <c r="IK10" i="71"/>
  <c r="HT38" i="71"/>
  <c r="E983" i="15"/>
  <c r="HA27" i="71"/>
  <c r="E548" i="15"/>
  <c r="F3" i="15"/>
  <c r="F16" i="15"/>
  <c r="GF21" i="71"/>
  <c r="J814" i="15"/>
  <c r="E871" i="15"/>
  <c r="W76" i="22"/>
  <c r="Y76" i="22" s="1"/>
  <c r="GP38" i="71"/>
  <c r="E767" i="15"/>
  <c r="FT13" i="71"/>
  <c r="HJ12" i="71"/>
  <c r="FQ10" i="71"/>
  <c r="HP36" i="71"/>
  <c r="GI13" i="71"/>
  <c r="J834" i="15"/>
  <c r="E842" i="15"/>
  <c r="JF36" i="71"/>
  <c r="F5" i="15"/>
  <c r="E914" i="15"/>
  <c r="JI21" i="71"/>
  <c r="FK24" i="71"/>
  <c r="GO23" i="71"/>
  <c r="J917" i="15"/>
  <c r="GF14" i="71"/>
  <c r="FT22" i="71"/>
  <c r="FQ17" i="71"/>
  <c r="K48" i="9"/>
  <c r="M26" i="9"/>
  <c r="E759" i="15"/>
  <c r="FW22" i="71"/>
  <c r="E966" i="15"/>
  <c r="FN32" i="71"/>
  <c r="J841" i="15"/>
  <c r="H19" i="7" a="1"/>
  <c r="H19" i="7" s="1"/>
  <c r="M63" i="9"/>
  <c r="E975" i="15"/>
  <c r="FE29" i="71"/>
  <c r="GI23" i="71"/>
  <c r="J836" i="15"/>
  <c r="JI36" i="71"/>
  <c r="J888" i="15"/>
  <c r="IK34" i="71"/>
  <c r="N47" i="9"/>
  <c r="L47" i="9" s="1"/>
  <c r="K90" i="9"/>
  <c r="FQ28" i="71"/>
  <c r="JO26" i="71"/>
  <c r="IE7" i="71"/>
  <c r="JI26" i="71"/>
  <c r="E810" i="15"/>
  <c r="FN30" i="71"/>
  <c r="JO27" i="71"/>
  <c r="J701" i="15"/>
  <c r="HP11" i="71"/>
  <c r="J714" i="15"/>
  <c r="IW7" i="71"/>
  <c r="JO25" i="71"/>
  <c r="HY12" i="71"/>
  <c r="GL6" i="71"/>
  <c r="J858" i="15"/>
  <c r="E676" i="15"/>
  <c r="HP7" i="71"/>
  <c r="E856" i="15"/>
  <c r="HJ20" i="71"/>
  <c r="I10" i="15" a="1"/>
  <c r="I10" i="15" s="1"/>
  <c r="E279" i="15"/>
  <c r="GC4" i="71"/>
  <c r="HG18" i="71"/>
  <c r="HP28" i="71"/>
  <c r="E764" i="15"/>
  <c r="J957" i="15"/>
  <c r="HG5" i="71"/>
  <c r="IE11" i="71"/>
  <c r="IN25" i="71"/>
  <c r="GR9" i="71"/>
  <c r="JR13" i="71"/>
  <c r="E926" i="15"/>
  <c r="E761" i="15"/>
  <c r="E610" i="15"/>
  <c r="HV12" i="71"/>
  <c r="E719" i="15"/>
  <c r="E953" i="15"/>
  <c r="J956" i="15"/>
  <c r="GC32" i="71"/>
  <c r="W11" i="22"/>
  <c r="Y11" i="22" s="1"/>
  <c r="N7" i="9"/>
  <c r="L7" i="9" s="1"/>
  <c r="W10" i="22"/>
  <c r="Y10" i="22" s="1"/>
  <c r="E858" i="15"/>
  <c r="E800" i="15"/>
  <c r="JO6" i="71"/>
  <c r="E971" i="15"/>
  <c r="HS15" i="71"/>
  <c r="JC8" i="71"/>
  <c r="N79" i="9"/>
  <c r="L79" i="9" s="1"/>
  <c r="J960" i="15"/>
  <c r="J693" i="15"/>
  <c r="HD14" i="71"/>
  <c r="IZ17" i="71"/>
  <c r="J848" i="15"/>
  <c r="EJ19" i="71"/>
  <c r="K63" i="9"/>
  <c r="HD6" i="71"/>
  <c r="J929" i="15"/>
  <c r="JF19" i="71"/>
  <c r="E746" i="15"/>
  <c r="FN13" i="71"/>
  <c r="M31" i="9"/>
  <c r="IZ15" i="71"/>
  <c r="AB94" i="69" a="1"/>
  <c r="AB94" i="69" s="1"/>
  <c r="M11" i="9"/>
  <c r="EJ36" i="71"/>
  <c r="N24" i="9"/>
  <c r="L24" i="9" s="1"/>
  <c r="J723" i="15"/>
  <c r="E874" i="15"/>
  <c r="E902" i="15"/>
  <c r="N22" i="9"/>
  <c r="L22" i="9" s="1"/>
  <c r="GX20" i="71"/>
  <c r="IN15" i="71"/>
  <c r="HJ8" i="71"/>
  <c r="E754" i="15"/>
  <c r="IK32" i="71"/>
  <c r="M59" i="9"/>
  <c r="JC31" i="71"/>
  <c r="E929" i="15"/>
  <c r="GL9" i="71"/>
  <c r="I11" i="15" a="1"/>
  <c r="I11" i="15" s="1"/>
  <c r="GI18" i="71"/>
  <c r="H12" i="7" a="1"/>
  <c r="H12" i="7" s="1"/>
  <c r="E665" i="15"/>
  <c r="W62" i="22"/>
  <c r="Y62" i="22" s="1"/>
  <c r="HJ32" i="71"/>
  <c r="J493" i="15"/>
  <c r="IW19" i="71"/>
  <c r="HE38" i="71"/>
  <c r="J828" i="15"/>
  <c r="J913" i="15"/>
  <c r="JO22" i="71"/>
  <c r="GC15" i="71"/>
  <c r="JC33" i="71"/>
  <c r="FT14" i="71"/>
  <c r="HM7" i="71"/>
  <c r="V33" i="22"/>
  <c r="GI9" i="71"/>
  <c r="GF36" i="71"/>
  <c r="JF20" i="71"/>
  <c r="J857" i="15"/>
  <c r="JR8" i="71"/>
  <c r="IH7" i="71"/>
  <c r="E827" i="15"/>
  <c r="E850" i="15"/>
  <c r="JR5" i="71"/>
  <c r="GF11" i="71"/>
  <c r="HA11" i="71"/>
  <c r="M68" i="9"/>
  <c r="E678" i="15"/>
  <c r="HG22" i="71"/>
  <c r="IK12" i="71"/>
  <c r="IE20" i="71"/>
  <c r="K92" i="9"/>
  <c r="J978" i="15"/>
  <c r="JF30" i="71"/>
  <c r="HJ33" i="71"/>
  <c r="GX14" i="71"/>
  <c r="K75" i="9"/>
  <c r="GX12" i="71"/>
  <c r="K68" i="9"/>
  <c r="GR8" i="71"/>
  <c r="J876" i="15"/>
  <c r="E672" i="15"/>
  <c r="JX30" i="71"/>
  <c r="JR20" i="71"/>
  <c r="FK36" i="71"/>
  <c r="N15" i="9"/>
  <c r="L15" i="9" s="1"/>
  <c r="IN9" i="71"/>
  <c r="JO35" i="71"/>
  <c r="J942" i="15"/>
  <c r="W9" i="22"/>
  <c r="Y9" i="22" s="1"/>
  <c r="HM4" i="71"/>
  <c r="HS31" i="71"/>
  <c r="N11" i="9"/>
  <c r="L11" i="9" s="1"/>
  <c r="FK32" i="71"/>
  <c r="N64" i="9"/>
  <c r="L64" i="9" s="1"/>
  <c r="N6" i="9"/>
  <c r="L6" i="9" s="1"/>
  <c r="M43" i="9"/>
  <c r="HV5" i="71"/>
  <c r="JF23" i="71"/>
  <c r="IE6" i="71"/>
  <c r="JJ38" i="71"/>
  <c r="K78" i="9"/>
  <c r="JF32" i="71"/>
  <c r="GX28" i="71"/>
  <c r="HP9" i="71"/>
  <c r="E728" i="15"/>
  <c r="J690" i="15"/>
  <c r="E950" i="15"/>
  <c r="GO18" i="71"/>
  <c r="FK8" i="71"/>
  <c r="HS33" i="71"/>
  <c r="J599" i="15"/>
  <c r="GU29" i="71"/>
  <c r="IQ5" i="71"/>
  <c r="E720" i="15"/>
  <c r="HS29" i="71"/>
  <c r="HA12" i="71"/>
  <c r="E836" i="15"/>
  <c r="JU29" i="71"/>
  <c r="E959" i="15"/>
  <c r="M72" i="9"/>
  <c r="IO38" i="71"/>
  <c r="V51" i="22"/>
  <c r="E752" i="15"/>
  <c r="HA29" i="71"/>
  <c r="GR32" i="71"/>
  <c r="E882" i="15"/>
  <c r="IE5" i="71"/>
  <c r="J797" i="15"/>
  <c r="E998" i="15"/>
  <c r="IB4" i="71"/>
  <c r="K16" i="9"/>
  <c r="GO26" i="71"/>
  <c r="FH13" i="71"/>
  <c r="GI29" i="71"/>
  <c r="J856" i="15"/>
  <c r="GI30" i="71"/>
  <c r="IB19" i="71"/>
  <c r="E811" i="15"/>
  <c r="E732" i="15"/>
  <c r="GU20" i="71"/>
  <c r="IT27" i="71"/>
  <c r="J773" i="15"/>
  <c r="HM20" i="71"/>
  <c r="J842" i="15"/>
  <c r="FW12" i="71"/>
  <c r="HP27" i="71"/>
  <c r="JX27" i="71"/>
  <c r="GI11" i="71"/>
  <c r="GX7" i="71"/>
  <c r="HV11" i="71"/>
  <c r="J726" i="15"/>
  <c r="HS12" i="71"/>
  <c r="HA6" i="71"/>
  <c r="K5" i="9"/>
  <c r="J946" i="15"/>
  <c r="J784" i="15"/>
  <c r="FH30" i="71"/>
  <c r="HV6" i="71"/>
  <c r="FW15" i="71"/>
  <c r="Z1501" i="13"/>
  <c r="K44" i="9"/>
  <c r="FZ11" i="71"/>
  <c r="E518" i="15"/>
  <c r="A96" i="69"/>
  <c r="E896" i="15"/>
  <c r="FK12" i="71"/>
  <c r="J939" i="15"/>
  <c r="J720" i="15"/>
  <c r="EJ5" i="71"/>
  <c r="E696" i="15"/>
  <c r="N39" i="9"/>
  <c r="L39" i="9" s="1"/>
  <c r="V62" i="22"/>
  <c r="IB36" i="71"/>
  <c r="GU16" i="71"/>
  <c r="E724" i="15"/>
  <c r="V67" i="22"/>
  <c r="GX26" i="71"/>
  <c r="HY19" i="71"/>
  <c r="GL13" i="71"/>
  <c r="JI11" i="71"/>
  <c r="M93" i="9"/>
  <c r="FK19" i="71"/>
  <c r="N35" i="9"/>
  <c r="L35" i="9" s="1"/>
  <c r="FZ13" i="71"/>
  <c r="J971" i="15"/>
  <c r="HS8" i="71"/>
  <c r="K12" i="9"/>
  <c r="GR12" i="71"/>
  <c r="E816" i="15"/>
  <c r="IE18" i="71"/>
  <c r="J885" i="15"/>
  <c r="N60" i="9"/>
  <c r="L60" i="9" s="1"/>
  <c r="HV36" i="71"/>
  <c r="E255" i="15"/>
  <c r="FZ4" i="71"/>
  <c r="IT19" i="71"/>
  <c r="N70" i="9"/>
  <c r="L70" i="9" s="1"/>
  <c r="IQ4" i="71"/>
  <c r="J731" i="15"/>
  <c r="JU21" i="71"/>
  <c r="E892" i="15"/>
  <c r="FT36" i="71"/>
  <c r="JL18" i="71"/>
  <c r="J991" i="15"/>
  <c r="J737" i="15"/>
  <c r="J928" i="15"/>
  <c r="GF20" i="71"/>
  <c r="J800" i="15"/>
  <c r="GL7" i="71"/>
  <c r="J761" i="15"/>
  <c r="HM32" i="71"/>
  <c r="GI10" i="71"/>
  <c r="IL38" i="71"/>
  <c r="JO29" i="71"/>
  <c r="HP10" i="71"/>
  <c r="J810" i="15"/>
  <c r="E740" i="15"/>
  <c r="J680" i="15"/>
  <c r="EJ22" i="71"/>
  <c r="E952" i="15"/>
  <c r="HS13" i="71"/>
  <c r="JU11" i="71"/>
  <c r="K8" i="9"/>
  <c r="E686" i="15"/>
  <c r="HA21" i="71"/>
  <c r="HP21" i="71"/>
  <c r="E809" i="15"/>
  <c r="M81" i="9"/>
  <c r="J730" i="15"/>
  <c r="J673" i="15"/>
  <c r="J762" i="15"/>
  <c r="J734" i="15"/>
  <c r="JU5" i="71"/>
  <c r="J893" i="15"/>
  <c r="J741" i="15"/>
  <c r="J696" i="15"/>
  <c r="FT4" i="71"/>
  <c r="J872" i="15"/>
  <c r="GR22" i="71"/>
  <c r="E431" i="15"/>
  <c r="HY20" i="71"/>
  <c r="HM15" i="71"/>
  <c r="GO33" i="71"/>
  <c r="E784" i="15"/>
  <c r="FW17" i="71"/>
  <c r="M57" i="9"/>
  <c r="J677" i="15"/>
  <c r="IE21" i="71"/>
  <c r="FW26" i="71"/>
  <c r="E723" i="15"/>
  <c r="E170" i="15"/>
  <c r="FN18" i="71"/>
  <c r="E668" i="15"/>
  <c r="H667" i="15" s="1" a="1"/>
  <c r="H667" i="15" s="1"/>
  <c r="E801" i="15"/>
  <c r="N17" i="9"/>
  <c r="L17" i="9" s="1"/>
  <c r="FZ25" i="71"/>
  <c r="K19" i="9"/>
  <c r="E859" i="15"/>
  <c r="FN34" i="71"/>
  <c r="JR36" i="71"/>
  <c r="N69" i="9"/>
  <c r="L69" i="9" s="1"/>
  <c r="E792" i="15"/>
  <c r="N54" i="9"/>
  <c r="L54" i="9" s="1"/>
  <c r="IN29" i="71"/>
  <c r="J947" i="15"/>
  <c r="J881" i="15"/>
  <c r="M47" i="9"/>
  <c r="EJ8" i="71"/>
  <c r="GR14" i="71"/>
  <c r="GO5" i="71"/>
  <c r="E985" i="15"/>
  <c r="IN8" i="71"/>
  <c r="J804" i="15"/>
  <c r="E921" i="15"/>
  <c r="IZ35" i="71"/>
  <c r="JU24" i="71"/>
  <c r="E824" i="15"/>
  <c r="JR11" i="71"/>
  <c r="J880" i="15"/>
  <c r="FW13" i="71"/>
  <c r="JU18" i="71"/>
  <c r="E883" i="15"/>
  <c r="GX21" i="71"/>
  <c r="GL5" i="71"/>
  <c r="J860" i="15"/>
  <c r="H16" i="7" a="1"/>
  <c r="H16" i="7" s="1"/>
  <c r="JO21" i="71"/>
  <c r="IW33" i="71"/>
  <c r="HP22" i="71"/>
  <c r="M13" i="9"/>
  <c r="JX4" i="71"/>
  <c r="E970" i="15"/>
  <c r="JI32" i="71"/>
  <c r="J667" i="15"/>
  <c r="E314" i="15"/>
  <c r="JU8" i="71"/>
  <c r="J851" i="15"/>
  <c r="J751" i="15"/>
  <c r="J698" i="15"/>
  <c r="M7" i="9"/>
  <c r="FQ27" i="71"/>
  <c r="IZ26" i="71"/>
  <c r="JU20" i="71"/>
  <c r="K82" i="9"/>
  <c r="IK21" i="71"/>
  <c r="J886" i="15"/>
  <c r="K95" i="9"/>
  <c r="E814" i="15"/>
  <c r="HG17" i="71"/>
  <c r="HD17" i="71"/>
  <c r="GI33" i="71"/>
  <c r="HY10" i="71"/>
  <c r="M44" i="9"/>
  <c r="E927" i="15"/>
  <c r="J699" i="15"/>
  <c r="IE23" i="71"/>
  <c r="K65" i="9"/>
  <c r="GO25" i="71"/>
  <c r="E866" i="15"/>
  <c r="FT21" i="71"/>
  <c r="GC30" i="71"/>
  <c r="E688" i="15"/>
  <c r="E993" i="15"/>
  <c r="JO17" i="71"/>
  <c r="E283" i="15"/>
  <c r="J666" i="15"/>
  <c r="HG21" i="71"/>
  <c r="FT15" i="71"/>
  <c r="GF19" i="71"/>
  <c r="HY4" i="71"/>
  <c r="E160" i="15"/>
  <c r="V35" i="22"/>
  <c r="GR24" i="71"/>
  <c r="GR34" i="71"/>
  <c r="JC5" i="71"/>
  <c r="JU7" i="71"/>
  <c r="IB35" i="71"/>
  <c r="N51" i="9"/>
  <c r="L51" i="9" s="1"/>
  <c r="E111" i="15"/>
  <c r="A95" i="72"/>
  <c r="BL95" i="72" s="1"/>
  <c r="E805" i="15"/>
  <c r="E289" i="15"/>
  <c r="W12" i="22"/>
  <c r="Y12" i="22" s="1"/>
  <c r="FN28" i="71"/>
  <c r="V44" i="22"/>
  <c r="JU31" i="71"/>
  <c r="GI24" i="71"/>
  <c r="N92" i="9"/>
  <c r="L92" i="9" s="1"/>
  <c r="E750" i="15"/>
  <c r="K11" i="9"/>
  <c r="J785" i="15"/>
  <c r="J835" i="15"/>
  <c r="IQ23" i="71"/>
  <c r="GI17" i="71"/>
  <c r="JL22" i="71"/>
  <c r="FQ19" i="71"/>
  <c r="GF30" i="71"/>
  <c r="E906" i="15"/>
  <c r="N28" i="9"/>
  <c r="L28" i="9" s="1"/>
  <c r="GR10" i="71"/>
  <c r="FW33" i="71"/>
  <c r="J979" i="15"/>
  <c r="E702" i="15"/>
  <c r="K76" i="9"/>
  <c r="E931" i="15"/>
  <c r="JL23" i="71"/>
  <c r="HM36" i="71"/>
  <c r="E977" i="15"/>
  <c r="IK4" i="71"/>
  <c r="JF34" i="71"/>
  <c r="JI20" i="71"/>
  <c r="E797" i="15"/>
  <c r="HA18" i="71"/>
  <c r="E705" i="15"/>
  <c r="EJ28" i="71"/>
  <c r="HD16" i="71"/>
  <c r="J743" i="15"/>
  <c r="HG15" i="71"/>
  <c r="W35" i="22"/>
  <c r="Y35" i="22" s="1"/>
  <c r="N87" i="9"/>
  <c r="L87" i="9" s="1"/>
  <c r="K38" i="9"/>
  <c r="FN27" i="71"/>
  <c r="N9" i="9"/>
  <c r="L9" i="9" s="1"/>
  <c r="IQ16" i="71"/>
  <c r="HD28" i="71"/>
  <c r="E776" i="15"/>
  <c r="JF16" i="71"/>
  <c r="N90" i="9"/>
  <c r="L90" i="9" s="1"/>
  <c r="GR25" i="71"/>
  <c r="E962" i="15"/>
  <c r="K88" i="9"/>
  <c r="J849" i="15"/>
  <c r="GR4" i="71"/>
  <c r="JU14" i="71"/>
  <c r="FH6" i="71"/>
  <c r="E697" i="15"/>
  <c r="HQ38" i="71"/>
  <c r="IE36" i="71"/>
  <c r="E840" i="15"/>
  <c r="JU36" i="71"/>
  <c r="M6" i="9"/>
  <c r="E770" i="15"/>
  <c r="EJ7" i="71"/>
  <c r="I16" i="15" a="1"/>
  <c r="I16" i="15" s="1"/>
  <c r="JD38" i="71"/>
  <c r="E778" i="15"/>
  <c r="GI20" i="71"/>
  <c r="FN22" i="71"/>
  <c r="IW32" i="71"/>
  <c r="M71" i="9"/>
  <c r="EK38" i="71"/>
  <c r="E861" i="15"/>
  <c r="N52" i="9"/>
  <c r="L52" i="9" s="1"/>
  <c r="GC31" i="71"/>
  <c r="M96" i="9"/>
  <c r="FK20" i="71"/>
  <c r="EJ9" i="71"/>
  <c r="N32" i="9"/>
  <c r="L32" i="9" s="1"/>
  <c r="J733" i="15"/>
  <c r="GX32" i="71"/>
  <c r="J998" i="15"/>
  <c r="K57" i="9"/>
  <c r="E708" i="15"/>
  <c r="FW11" i="71"/>
  <c r="M53" i="9"/>
  <c r="GR27" i="71"/>
  <c r="E774" i="15"/>
  <c r="JR32" i="71"/>
  <c r="E330" i="15"/>
  <c r="E973" i="15"/>
  <c r="M37" i="9"/>
  <c r="E775" i="15"/>
  <c r="HJ21" i="71"/>
  <c r="J747" i="15"/>
  <c r="J995" i="15"/>
  <c r="JO4" i="71"/>
  <c r="J508" i="15"/>
  <c r="J806" i="15"/>
  <c r="J878" i="15"/>
  <c r="GR31" i="71"/>
  <c r="J595" i="15"/>
  <c r="JR10" i="71"/>
  <c r="JU22" i="71"/>
  <c r="J984" i="15"/>
  <c r="FQ8" i="71"/>
  <c r="J943" i="15"/>
  <c r="FT27" i="71"/>
  <c r="FE8" i="71"/>
  <c r="J780" i="15"/>
  <c r="J802" i="15"/>
  <c r="J706" i="15"/>
  <c r="E855" i="15"/>
  <c r="N57" i="9"/>
  <c r="L57" i="9" s="1"/>
  <c r="EJ29" i="71"/>
  <c r="E804" i="15"/>
  <c r="IH31" i="71"/>
  <c r="FZ15" i="71"/>
  <c r="HM8" i="71"/>
  <c r="FN17" i="71"/>
  <c r="FT8" i="71"/>
  <c r="FW21" i="71"/>
  <c r="E900" i="15"/>
  <c r="J989" i="15"/>
  <c r="GO17" i="71"/>
  <c r="J502" i="15"/>
  <c r="J739" i="15"/>
  <c r="M16" i="9"/>
  <c r="K34" i="9"/>
  <c r="JP38" i="71"/>
  <c r="JX17" i="71"/>
  <c r="J877" i="15"/>
  <c r="FT9" i="71"/>
  <c r="IW12" i="71"/>
  <c r="JI27" i="71"/>
  <c r="E706" i="15"/>
  <c r="IC38" i="71"/>
  <c r="J962" i="15"/>
  <c r="IH32" i="71"/>
  <c r="JF5" i="71"/>
  <c r="IE32" i="71"/>
  <c r="IT29" i="71"/>
  <c r="E399" i="15"/>
  <c r="GU27" i="71"/>
  <c r="J746" i="15"/>
  <c r="HV34" i="71"/>
  <c r="HS32" i="71"/>
  <c r="FH17" i="71"/>
  <c r="GC12" i="71"/>
  <c r="E244" i="15"/>
  <c r="FN9" i="71"/>
  <c r="E502" i="15"/>
  <c r="GX9" i="71"/>
  <c r="GC8" i="71"/>
  <c r="HP23" i="71"/>
  <c r="FW6" i="71"/>
  <c r="HG27" i="71"/>
  <c r="J918" i="15"/>
  <c r="F12" i="15"/>
  <c r="GI5" i="71"/>
  <c r="HY29" i="71"/>
  <c r="HY8" i="71"/>
  <c r="M51" i="9"/>
  <c r="JI7" i="71"/>
  <c r="JU27" i="71"/>
  <c r="E992" i="15"/>
  <c r="E661" i="15"/>
  <c r="E937" i="15"/>
  <c r="IZ5" i="71"/>
  <c r="FT33" i="71"/>
  <c r="FQ35" i="71"/>
  <c r="J756" i="15"/>
  <c r="HS22" i="71"/>
  <c r="HA34" i="71"/>
  <c r="J993" i="15"/>
  <c r="IN28" i="71"/>
  <c r="HV35" i="71"/>
  <c r="FQ24" i="71"/>
  <c r="FZ6" i="71"/>
  <c r="IK7" i="71"/>
  <c r="FQ33" i="71"/>
  <c r="J959" i="15"/>
  <c r="M55" i="9"/>
  <c r="J676" i="15"/>
  <c r="J490" i="15"/>
  <c r="E913" i="15"/>
  <c r="HG31" i="71"/>
  <c r="FH19" i="71"/>
  <c r="E666" i="15"/>
  <c r="GL18" i="71"/>
  <c r="E75" i="15"/>
  <c r="JX18" i="71"/>
  <c r="IK23" i="71"/>
  <c r="E944" i="15"/>
  <c r="JO13" i="71"/>
  <c r="FW36" i="71"/>
  <c r="JL7" i="71"/>
  <c r="J732" i="15"/>
  <c r="K36" i="9"/>
  <c r="HH38" i="71"/>
  <c r="FN10" i="71"/>
  <c r="IN27" i="71"/>
  <c r="E987" i="15"/>
  <c r="J719" i="15"/>
  <c r="JL32" i="71"/>
  <c r="GF17" i="71"/>
  <c r="J704" i="15"/>
  <c r="JR29" i="71"/>
  <c r="FQ29" i="71"/>
  <c r="M87" i="9"/>
  <c r="IW16" i="71"/>
  <c r="E768" i="15"/>
  <c r="N74" i="9"/>
  <c r="L74" i="9" s="1"/>
  <c r="GC35" i="71"/>
  <c r="E818" i="15"/>
  <c r="FH25" i="71"/>
  <c r="GI35" i="71"/>
  <c r="E115" i="15"/>
  <c r="M75" i="9"/>
  <c r="M45" i="9"/>
  <c r="FW10" i="71"/>
  <c r="IH28" i="71"/>
  <c r="FN5" i="71"/>
  <c r="W46" i="22"/>
  <c r="Y46" i="22" s="1"/>
  <c r="EJ27" i="71"/>
  <c r="J774" i="15"/>
  <c r="HY18" i="71"/>
  <c r="GR35" i="71"/>
  <c r="HA7" i="71"/>
  <c r="E935" i="15"/>
  <c r="N97" i="9"/>
  <c r="L97" i="9" s="1"/>
  <c r="JO16" i="71"/>
  <c r="FN36" i="71"/>
  <c r="J889" i="15"/>
  <c r="JR15" i="71"/>
  <c r="JO19" i="71"/>
  <c r="FZ30" i="71"/>
  <c r="FT28" i="71"/>
  <c r="IT10" i="71"/>
  <c r="GX35" i="71"/>
  <c r="IN20" i="71"/>
  <c r="I14" i="15" a="1"/>
  <c r="I14" i="15" s="1"/>
  <c r="E910" i="15"/>
  <c r="IE34" i="71"/>
  <c r="V76" i="22"/>
  <c r="FH24" i="71"/>
  <c r="N50" i="9"/>
  <c r="L50" i="9" s="1"/>
  <c r="E733" i="15"/>
  <c r="J884" i="15"/>
  <c r="IE25" i="71"/>
  <c r="J865" i="15"/>
  <c r="HM28" i="71"/>
  <c r="J900" i="15"/>
  <c r="E907" i="15"/>
  <c r="IB14" i="71"/>
  <c r="E941" i="15"/>
  <c r="GF18" i="71"/>
  <c r="GL16" i="71"/>
  <c r="J724" i="15"/>
  <c r="GX8" i="71"/>
  <c r="JX14" i="71"/>
  <c r="J817" i="15"/>
  <c r="FK18" i="71"/>
  <c r="IH33" i="71"/>
  <c r="HA17" i="71"/>
  <c r="GO11" i="71"/>
  <c r="K49" i="9"/>
  <c r="GR19" i="71"/>
  <c r="J765" i="15"/>
  <c r="FN25" i="71"/>
  <c r="N58" i="9"/>
  <c r="L58" i="9" s="1"/>
  <c r="E968" i="15"/>
  <c r="E884" i="15"/>
  <c r="J832" i="15"/>
  <c r="IN36" i="71"/>
  <c r="E948" i="15"/>
  <c r="M41" i="9"/>
  <c r="HS7" i="71"/>
  <c r="J778" i="15"/>
  <c r="N5" i="9"/>
  <c r="L5" i="9" s="1"/>
  <c r="E322" i="15"/>
  <c r="J793" i="15"/>
  <c r="JR27" i="71"/>
  <c r="IT5" i="71"/>
  <c r="J713" i="15"/>
  <c r="J691" i="15"/>
  <c r="HG7" i="71"/>
  <c r="JC7" i="71"/>
  <c r="JR23" i="71"/>
  <c r="J728" i="15"/>
  <c r="GC21" i="71"/>
  <c r="E947" i="15"/>
  <c r="M94" i="9"/>
  <c r="E501" i="15"/>
  <c r="BF95" i="72"/>
  <c r="GU15" i="71"/>
  <c r="E833" i="15"/>
  <c r="N91" i="9"/>
  <c r="L91" i="9" s="1"/>
  <c r="E173" i="15"/>
  <c r="J758" i="15"/>
  <c r="FW32" i="71"/>
  <c r="HD36" i="71"/>
  <c r="K84" i="9"/>
  <c r="E961" i="15"/>
  <c r="E265" i="15"/>
  <c r="FK23" i="71"/>
  <c r="E780" i="15"/>
  <c r="E422" i="15"/>
  <c r="F422" i="15" s="1" a="1"/>
  <c r="F422" i="15" s="1"/>
  <c r="IH30" i="71"/>
  <c r="JO20" i="71"/>
  <c r="HY11" i="71"/>
  <c r="GC36" i="71"/>
  <c r="E511" i="15"/>
  <c r="L509" i="15" s="1" a="1"/>
  <c r="L509" i="15" s="1"/>
  <c r="E130" i="15"/>
  <c r="EJ21" i="71"/>
  <c r="N84" i="9"/>
  <c r="L84" i="9" s="1"/>
  <c r="HS23" i="71"/>
  <c r="GC34" i="71"/>
  <c r="J950" i="15"/>
  <c r="FH16" i="71"/>
  <c r="HJ34" i="71"/>
  <c r="K24" i="9"/>
  <c r="K86" i="9"/>
  <c r="J869" i="15"/>
  <c r="FI38" i="71"/>
  <c r="K67" i="9"/>
  <c r="J799" i="15"/>
  <c r="E999" i="15"/>
  <c r="W51" i="22"/>
  <c r="Y51" i="22" s="1"/>
  <c r="JU32" i="71"/>
  <c r="J953" i="15"/>
  <c r="FK35" i="71"/>
  <c r="HD5" i="71"/>
  <c r="IK26" i="71"/>
  <c r="J557" i="15"/>
  <c r="J541" i="15"/>
  <c r="K74" i="9"/>
  <c r="GF8" i="71"/>
  <c r="N68" i="9"/>
  <c r="L68" i="9" s="1"/>
  <c r="H18" i="7" a="1"/>
  <c r="H18" i="7" s="1"/>
  <c r="K58" i="9"/>
  <c r="J949" i="15"/>
  <c r="HD4" i="71"/>
  <c r="GF35" i="71"/>
  <c r="FZ24" i="71"/>
  <c r="JF27" i="71"/>
  <c r="E749" i="15"/>
  <c r="JI10" i="71"/>
  <c r="JX25" i="71"/>
  <c r="IW27" i="71"/>
  <c r="M40" i="9"/>
  <c r="F6" i="15"/>
  <c r="E793" i="15"/>
  <c r="JL20" i="71"/>
  <c r="J684" i="15"/>
  <c r="IZ7" i="71"/>
  <c r="M77" i="9"/>
  <c r="GL21" i="71"/>
  <c r="HP13" i="71"/>
  <c r="M49" i="9"/>
  <c r="IE9" i="71"/>
  <c r="JF15" i="71"/>
  <c r="N82" i="9"/>
  <c r="L82" i="9" s="1"/>
  <c r="E885" i="15"/>
  <c r="IZ10" i="71"/>
  <c r="J818" i="15"/>
  <c r="J694" i="15"/>
  <c r="J815" i="15"/>
  <c r="FQ16" i="71"/>
  <c r="HA28" i="71"/>
  <c r="JO5" i="71"/>
  <c r="IW36" i="71"/>
  <c r="K55" i="9"/>
  <c r="HD22" i="71"/>
  <c r="I12" i="15" a="1"/>
  <c r="I12" i="15" s="1"/>
  <c r="E674" i="15"/>
  <c r="JF10" i="71"/>
  <c r="IB31" i="71"/>
  <c r="FZ5" i="71"/>
  <c r="IK14" i="71"/>
  <c r="FN7" i="71"/>
  <c r="H96" i="9"/>
  <c r="E679" i="15"/>
  <c r="E682" i="15"/>
  <c r="E943" i="15"/>
  <c r="J697" i="15"/>
  <c r="N67" i="9"/>
  <c r="L67" i="9" s="1"/>
  <c r="J813" i="15"/>
  <c r="J786" i="15"/>
  <c r="E875" i="15"/>
  <c r="J972" i="15"/>
  <c r="E946" i="15"/>
  <c r="J505" i="15"/>
  <c r="E894" i="15"/>
  <c r="IQ15" i="71"/>
  <c r="JF35" i="71"/>
  <c r="JF18" i="71"/>
  <c r="JU16" i="71"/>
  <c r="E920" i="15"/>
  <c r="E803" i="15"/>
  <c r="JC20" i="71"/>
  <c r="FT6" i="71"/>
  <c r="GR11" i="71"/>
  <c r="M65" i="9"/>
  <c r="IH35" i="71"/>
  <c r="J905" i="15"/>
  <c r="IE15" i="71"/>
  <c r="E988" i="15"/>
  <c r="FK26" i="71"/>
  <c r="H21" i="7" a="1"/>
  <c r="H21" i="7" s="1"/>
  <c r="M83" i="9"/>
  <c r="E402" i="15"/>
  <c r="E713" i="15"/>
  <c r="K83" i="9"/>
  <c r="V58" i="22"/>
  <c r="E908" i="15"/>
  <c r="HA33" i="71"/>
  <c r="J735" i="15"/>
  <c r="GR15" i="71"/>
  <c r="FK14" i="71"/>
  <c r="JO24" i="71"/>
  <c r="N25" i="9"/>
  <c r="L25" i="9" s="1"/>
  <c r="M52" i="9"/>
  <c r="IB27" i="71"/>
  <c r="GX23" i="71"/>
  <c r="FZ34" i="71"/>
  <c r="E957" i="15"/>
  <c r="HJ22" i="71"/>
  <c r="JR25" i="71"/>
  <c r="E854" i="15"/>
  <c r="HJ7" i="71"/>
  <c r="F9" i="15"/>
  <c r="J944" i="15"/>
  <c r="E873" i="15"/>
  <c r="E714" i="15"/>
  <c r="N76" i="9"/>
  <c r="L76" i="9" s="1"/>
  <c r="IN6" i="71"/>
  <c r="GC29" i="71"/>
  <c r="GF22" i="71"/>
  <c r="IQ9" i="71"/>
  <c r="IQ6" i="71"/>
  <c r="JA38" i="71"/>
  <c r="HP5" i="71"/>
  <c r="FH11" i="71"/>
  <c r="E872" i="15"/>
  <c r="GX18" i="71"/>
  <c r="GX27" i="71"/>
  <c r="JC12" i="71"/>
  <c r="JL11" i="71"/>
  <c r="E531" i="15"/>
  <c r="W96" i="72"/>
  <c r="EJ25" i="71"/>
  <c r="K17" i="9"/>
  <c r="V12" i="22"/>
  <c r="FT31" i="71"/>
  <c r="FW31" i="71"/>
  <c r="E683" i="15"/>
  <c r="GX33" i="71"/>
  <c r="E474" i="15"/>
  <c r="E446" i="15"/>
  <c r="E881" i="15"/>
  <c r="E701" i="15"/>
  <c r="I4" i="15" a="1"/>
  <c r="I4" i="15" s="1"/>
  <c r="EJ10" i="71"/>
  <c r="J755" i="15"/>
  <c r="FW25" i="71"/>
  <c r="E692" i="15"/>
  <c r="JX20" i="71"/>
  <c r="K45" i="9"/>
  <c r="E366" i="15"/>
  <c r="HP14" i="71"/>
  <c r="IK18" i="71"/>
  <c r="GI22" i="71"/>
  <c r="GR33" i="71"/>
  <c r="J672" i="15"/>
  <c r="E886" i="15"/>
  <c r="K42" i="9"/>
  <c r="IE14" i="71"/>
  <c r="N36" i="9"/>
  <c r="L36" i="9" s="1"/>
  <c r="JO8" i="71"/>
  <c r="HA4" i="71"/>
  <c r="N77" i="9"/>
  <c r="L77" i="9" s="1"/>
  <c r="J887" i="15"/>
  <c r="J798" i="15"/>
  <c r="N13" i="9"/>
  <c r="L13" i="9" s="1"/>
  <c r="GO22" i="71"/>
  <c r="IW26" i="71"/>
  <c r="HV14" i="71"/>
  <c r="J764" i="15"/>
  <c r="M30" i="9"/>
  <c r="FE6" i="71"/>
  <c r="EJ26" i="71"/>
  <c r="J770" i="15"/>
  <c r="M66" i="9"/>
  <c r="EJ23" i="71"/>
  <c r="GF10" i="71"/>
  <c r="JR33" i="71"/>
  <c r="J809" i="15"/>
  <c r="K14" i="9"/>
  <c r="FQ7" i="71"/>
  <c r="M67" i="9"/>
  <c r="J994" i="15"/>
  <c r="E281" i="15"/>
  <c r="JL33" i="71"/>
  <c r="M5" i="9"/>
  <c r="HA20" i="71"/>
  <c r="HP16" i="71"/>
  <c r="GL31" i="71"/>
  <c r="J675" i="15"/>
  <c r="FQ22" i="71"/>
  <c r="K77" i="9"/>
  <c r="N62" i="9"/>
  <c r="L62" i="9" s="1"/>
  <c r="K89" i="9"/>
  <c r="K26" i="9"/>
  <c r="P26" i="9" s="1"/>
  <c r="K59" i="9"/>
  <c r="FN35" i="71"/>
  <c r="IE30" i="71"/>
  <c r="IK29" i="71"/>
  <c r="K39" i="9"/>
  <c r="GU25" i="71"/>
  <c r="J914" i="15"/>
  <c r="N89" i="9"/>
  <c r="L89" i="9" s="1"/>
  <c r="FK27" i="71"/>
  <c r="E879" i="15"/>
  <c r="E930" i="15"/>
  <c r="JX35" i="71"/>
  <c r="J546" i="15"/>
  <c r="J682" i="15"/>
  <c r="HM26" i="71"/>
  <c r="IT20" i="71"/>
  <c r="GC18" i="71"/>
  <c r="IT34" i="71"/>
  <c r="FQ4" i="71"/>
  <c r="M84" i="9"/>
  <c r="HM23" i="71"/>
  <c r="HD9" i="71"/>
  <c r="GO16" i="71"/>
  <c r="GC22" i="71"/>
  <c r="W44" i="22"/>
  <c r="Y44" i="22" s="1"/>
  <c r="HJ13" i="71"/>
  <c r="K52" i="9"/>
  <c r="M46" i="9"/>
  <c r="J776" i="15"/>
  <c r="HV25" i="71"/>
  <c r="K56" i="9"/>
  <c r="JU4" i="71"/>
  <c r="JX23" i="71"/>
  <c r="J787" i="15"/>
  <c r="J587" i="15"/>
  <c r="J716" i="15"/>
  <c r="M58" i="9"/>
  <c r="E795" i="15"/>
  <c r="E807" i="15"/>
  <c r="JR26" i="71"/>
  <c r="GI26" i="71"/>
  <c r="N93" i="9"/>
  <c r="L93" i="9" s="1"/>
  <c r="IN14" i="71"/>
  <c r="E743" i="15"/>
  <c r="GU35" i="71"/>
  <c r="FW35" i="71"/>
  <c r="FH34" i="71"/>
  <c r="FW8" i="71"/>
  <c r="IW35" i="71"/>
  <c r="E919" i="15"/>
  <c r="GO12" i="71"/>
  <c r="IE27" i="71"/>
  <c r="GX19" i="71"/>
  <c r="HG12" i="71"/>
  <c r="JO28" i="71"/>
  <c r="E974" i="15"/>
  <c r="JR14" i="71"/>
  <c r="M61" i="9"/>
  <c r="E221" i="15"/>
  <c r="HM16" i="71"/>
  <c r="JO33" i="71"/>
  <c r="E779" i="15"/>
  <c r="HM13" i="71"/>
  <c r="IX38" i="71"/>
  <c r="GI27" i="71"/>
  <c r="JF22" i="71"/>
  <c r="HD8" i="71"/>
  <c r="FT7" i="71"/>
  <c r="IH13" i="71"/>
  <c r="J766" i="15"/>
  <c r="FH33" i="71"/>
  <c r="GU32" i="71"/>
  <c r="HD20" i="71"/>
  <c r="AV1589" i="13"/>
  <c r="AV1688" i="13" s="1"/>
  <c r="GU21" i="71"/>
  <c r="HK38" i="71"/>
  <c r="E934" i="15"/>
  <c r="HG33" i="71"/>
  <c r="FH35" i="71"/>
  <c r="J837" i="15"/>
  <c r="H14" i="7" a="1"/>
  <c r="H14" i="7" s="1"/>
  <c r="FE19" i="71"/>
  <c r="FE11" i="71"/>
  <c r="IK19" i="71"/>
  <c r="E503" i="15"/>
  <c r="FZ27" i="71"/>
  <c r="IN33" i="71"/>
  <c r="IW17" i="71"/>
  <c r="FE14" i="71"/>
  <c r="E162" i="15"/>
  <c r="T95" i="72"/>
  <c r="E463" i="15"/>
  <c r="M89" i="9"/>
  <c r="K43" i="9"/>
  <c r="H24" i="7" a="1"/>
  <c r="H24" i="7" s="1"/>
  <c r="GC11" i="71"/>
  <c r="JU12" i="71"/>
  <c r="J703" i="15"/>
  <c r="FW28" i="71"/>
  <c r="JF14" i="71"/>
  <c r="J903" i="15"/>
  <c r="IF38" i="71"/>
  <c r="M88" i="9"/>
  <c r="E712" i="15"/>
  <c r="JF31" i="71"/>
  <c r="E829" i="15"/>
  <c r="HJ15" i="71"/>
  <c r="J531" i="15"/>
  <c r="J830" i="15"/>
  <c r="M8" i="9"/>
  <c r="HV13" i="71"/>
  <c r="HM30" i="71"/>
  <c r="E747" i="15"/>
  <c r="E500" i="15"/>
  <c r="AW95" i="72"/>
  <c r="EJ14" i="71"/>
  <c r="V10" i="22"/>
  <c r="FK10" i="71"/>
  <c r="E769" i="15"/>
  <c r="HJ6" i="71"/>
  <c r="K46" i="9"/>
  <c r="W31" i="22"/>
  <c r="Y31" i="22" s="1"/>
  <c r="J941" i="15"/>
  <c r="E912" i="15"/>
  <c r="GU14" i="71"/>
  <c r="EJ32" i="71"/>
  <c r="J763" i="15"/>
  <c r="M48" i="9"/>
  <c r="JR34" i="71"/>
  <c r="K28" i="9"/>
  <c r="E741" i="15"/>
  <c r="E673" i="15"/>
  <c r="HY5" i="71"/>
  <c r="GL15" i="71"/>
  <c r="JI19" i="71"/>
  <c r="GR21" i="71"/>
  <c r="J474" i="15"/>
  <c r="J833" i="15"/>
  <c r="J729" i="15"/>
  <c r="JO31" i="71"/>
  <c r="N44" i="9"/>
  <c r="L44" i="9" s="1"/>
  <c r="IT21" i="71"/>
  <c r="IQ28" i="71"/>
  <c r="J548" i="15"/>
  <c r="FE27" i="71"/>
  <c r="HJ29" i="71"/>
  <c r="E978" i="15"/>
  <c r="GF28" i="71"/>
  <c r="JF26" i="71"/>
  <c r="HY16" i="71"/>
  <c r="J855" i="15"/>
  <c r="HJ27" i="71"/>
  <c r="GC17" i="71"/>
  <c r="FK31" i="71"/>
  <c r="J922" i="15"/>
  <c r="K51" i="9"/>
  <c r="IN13" i="71"/>
  <c r="HY25" i="71"/>
  <c r="FT24" i="71"/>
  <c r="IZ32" i="71"/>
  <c r="J934" i="15"/>
  <c r="E956" i="15"/>
  <c r="FQ23" i="71"/>
  <c r="E763" i="15"/>
  <c r="FN29" i="71"/>
  <c r="J997" i="15"/>
  <c r="FN19" i="71"/>
  <c r="IE24" i="71"/>
  <c r="HY6" i="71"/>
  <c r="E677" i="15"/>
  <c r="IT31" i="71"/>
  <c r="IE4" i="71"/>
  <c r="IT15" i="71"/>
  <c r="E841" i="15"/>
  <c r="J859" i="15"/>
  <c r="IN32" i="71"/>
  <c r="FN24" i="71"/>
  <c r="JI29" i="71"/>
  <c r="JF4" i="71"/>
  <c r="GO10" i="71"/>
  <c r="HA22" i="71"/>
  <c r="JO32" i="71"/>
  <c r="IW6" i="71"/>
  <c r="K37" i="9"/>
  <c r="J926" i="15"/>
  <c r="IK25" i="71"/>
  <c r="N75" i="9"/>
  <c r="L75" i="9" s="1"/>
  <c r="HA8" i="71"/>
  <c r="HS19" i="71"/>
  <c r="GL30" i="71"/>
  <c r="K32" i="9"/>
  <c r="J592" i="15"/>
  <c r="IK20" i="71"/>
  <c r="FN31" i="71"/>
  <c r="J779" i="15"/>
  <c r="HY14" i="71"/>
  <c r="E757" i="15"/>
  <c r="GF7" i="71"/>
  <c r="FO38" i="71"/>
  <c r="N27" i="9"/>
  <c r="L27" i="9" s="1"/>
  <c r="IQ14" i="71"/>
  <c r="J897" i="15"/>
  <c r="N38" i="9"/>
  <c r="L38" i="9" s="1"/>
  <c r="J931" i="15"/>
  <c r="FW29" i="71"/>
  <c r="E736" i="15"/>
  <c r="IH21" i="71"/>
  <c r="K70" i="9"/>
  <c r="FN21" i="71"/>
  <c r="IH23" i="71"/>
  <c r="M85" i="9"/>
  <c r="JF13" i="71"/>
  <c r="M80" i="9"/>
  <c r="JC22" i="71"/>
  <c r="J688" i="15"/>
  <c r="E969" i="15"/>
  <c r="HV20" i="71"/>
  <c r="M27" i="9"/>
  <c r="M74" i="9"/>
  <c r="HA24" i="71"/>
  <c r="J715" i="15"/>
  <c r="N66" i="9"/>
  <c r="L66" i="9" s="1"/>
  <c r="GL35" i="71"/>
  <c r="J783" i="15"/>
  <c r="IH4" i="71"/>
  <c r="JX8" i="71"/>
  <c r="HG23" i="71"/>
  <c r="E755" i="15"/>
  <c r="E786" i="15"/>
  <c r="JO12" i="71"/>
  <c r="J925" i="15"/>
  <c r="K98" i="9"/>
  <c r="HV28" i="71"/>
  <c r="IZ34" i="71"/>
  <c r="J902" i="15"/>
  <c r="IZ16" i="71"/>
  <c r="IH8" i="71"/>
  <c r="J811" i="15"/>
  <c r="E787" i="15"/>
  <c r="E348" i="15"/>
  <c r="HY26" i="71"/>
  <c r="J904" i="15"/>
  <c r="JO11" i="71"/>
  <c r="E411" i="15"/>
  <c r="E365" i="15"/>
  <c r="HJ16" i="71"/>
  <c r="M19" i="9"/>
  <c r="IK36" i="71"/>
  <c r="HS21" i="71"/>
  <c r="IQ19" i="71"/>
  <c r="E942" i="15"/>
  <c r="GI28" i="71"/>
  <c r="HM35" i="71"/>
  <c r="HG25" i="71"/>
  <c r="E703" i="15"/>
  <c r="E986" i="15"/>
  <c r="IB11" i="71"/>
  <c r="J988" i="15"/>
  <c r="Z1499" i="13"/>
  <c r="FE28" i="71"/>
  <c r="AD95" i="72"/>
  <c r="HV24" i="71"/>
  <c r="F14" i="15"/>
  <c r="GI32" i="71"/>
  <c r="M98" i="9"/>
  <c r="J685" i="15"/>
  <c r="E72" i="15"/>
  <c r="Q95" i="69"/>
  <c r="HJ4" i="71"/>
  <c r="FQ13" i="71"/>
  <c r="HG13" i="71"/>
  <c r="J861" i="15"/>
  <c r="N63" i="9"/>
  <c r="L63" i="9" s="1"/>
  <c r="J882" i="15"/>
  <c r="HJ14" i="71"/>
  <c r="FK11" i="71"/>
  <c r="GL12" i="71"/>
  <c r="E506" i="15"/>
  <c r="BG96" i="72"/>
  <c r="EJ18" i="71"/>
  <c r="J523" i="15"/>
  <c r="IT9" i="71"/>
  <c r="J750" i="15"/>
  <c r="HP34" i="71"/>
  <c r="HJ30" i="71"/>
  <c r="IK28" i="71"/>
  <c r="E951" i="15"/>
  <c r="HD11" i="71"/>
  <c r="GO28" i="71"/>
  <c r="JY38" i="71"/>
  <c r="GC27" i="71"/>
  <c r="HP15" i="71"/>
  <c r="HM5" i="71"/>
  <c r="E263" i="15"/>
  <c r="HV4" i="71"/>
  <c r="J873" i="15"/>
  <c r="HJ17" i="71"/>
  <c r="J896" i="15"/>
  <c r="HD34" i="71"/>
  <c r="N42" i="9"/>
  <c r="L42" i="9" s="1"/>
  <c r="K69" i="9"/>
  <c r="GV38" i="71"/>
  <c r="E198" i="15"/>
  <c r="A94" i="72"/>
  <c r="L96" i="69"/>
  <c r="IB6" i="71"/>
  <c r="M86" i="9"/>
  <c r="GL36" i="71"/>
  <c r="J777" i="15"/>
  <c r="JL9" i="71"/>
  <c r="W94" i="72"/>
  <c r="J775" i="15"/>
  <c r="GR18" i="71"/>
  <c r="M29" i="9"/>
  <c r="JC29" i="71"/>
  <c r="FZ33" i="71"/>
  <c r="HD27" i="71"/>
  <c r="P96" i="72"/>
  <c r="FZ9" i="71"/>
  <c r="E771" i="15"/>
  <c r="JR4" i="71"/>
  <c r="J829" i="15"/>
  <c r="J702" i="15"/>
  <c r="E557" i="15"/>
  <c r="E92" i="15"/>
  <c r="H97" i="9"/>
  <c r="IE12" i="71"/>
  <c r="M70" i="9"/>
  <c r="JI12" i="71"/>
  <c r="IK22" i="71"/>
  <c r="E876" i="15"/>
  <c r="IH9" i="71"/>
  <c r="HM6" i="71"/>
  <c r="H17" i="7" a="1"/>
  <c r="H17" i="7" s="1"/>
  <c r="E132" i="15"/>
  <c r="IK5" i="71"/>
  <c r="E825" i="15"/>
  <c r="J965" i="15"/>
  <c r="E650" i="15"/>
  <c r="L648" i="15" s="1" a="1"/>
  <c r="L648" i="15" s="1"/>
  <c r="IN21" i="71"/>
  <c r="JX12" i="71"/>
  <c r="GU13" i="71"/>
  <c r="E828" i="15"/>
  <c r="IQ30" i="71"/>
  <c r="L95" i="69"/>
  <c r="FQ9" i="71"/>
  <c r="FE30" i="71"/>
  <c r="IT32" i="71"/>
  <c r="JR12" i="71"/>
  <c r="E546" i="15"/>
  <c r="HD32" i="71"/>
  <c r="E815" i="15"/>
  <c r="HA15" i="71"/>
  <c r="M76" i="9"/>
  <c r="JC15" i="71"/>
  <c r="E378" i="15"/>
  <c r="J767" i="15"/>
  <c r="J911" i="15"/>
  <c r="E326" i="15"/>
  <c r="JF24" i="71"/>
  <c r="IB17" i="71"/>
  <c r="JO9" i="71"/>
  <c r="K85" i="9"/>
  <c r="EJ16" i="71"/>
  <c r="M91" i="9"/>
  <c r="JF28" i="71"/>
  <c r="JX26" i="71"/>
  <c r="GU7" i="71"/>
  <c r="HM14" i="71"/>
  <c r="HY28" i="71"/>
  <c r="K93" i="9"/>
  <c r="E781" i="15"/>
  <c r="IB34" i="71"/>
  <c r="GC19" i="71"/>
  <c r="IT7" i="71"/>
  <c r="HG10" i="71"/>
  <c r="JX11" i="71"/>
  <c r="GC24" i="71"/>
  <c r="FH23" i="71"/>
  <c r="J610" i="15"/>
  <c r="HD33" i="71"/>
  <c r="JC11" i="71"/>
  <c r="GU19" i="71"/>
  <c r="E262" i="15"/>
  <c r="IR38" i="71"/>
  <c r="HJ24" i="71"/>
  <c r="K30" i="9"/>
  <c r="HM22" i="71"/>
  <c r="E80" i="15"/>
  <c r="BB95" i="69"/>
  <c r="GO6" i="71"/>
  <c r="E294" i="15"/>
  <c r="E965" i="15"/>
  <c r="JI4" i="71"/>
  <c r="GO29" i="71"/>
  <c r="JC17" i="71"/>
  <c r="BB94" i="69"/>
  <c r="JU23" i="71"/>
  <c r="GF29" i="71"/>
  <c r="J711" i="15"/>
  <c r="J736" i="15"/>
  <c r="E159" i="15"/>
  <c r="I5" i="15" a="1"/>
  <c r="I5" i="15" s="1"/>
  <c r="GL32" i="71"/>
  <c r="II38" i="71"/>
  <c r="J964" i="15"/>
  <c r="IU38" i="71"/>
  <c r="IT26" i="71"/>
  <c r="JI8" i="71"/>
  <c r="J725" i="15"/>
  <c r="AD96" i="72"/>
  <c r="HS20" i="71"/>
  <c r="JC21" i="71"/>
  <c r="J840" i="15"/>
  <c r="FT23" i="71"/>
  <c r="GU6" i="71"/>
  <c r="GO19" i="71"/>
  <c r="J768" i="15"/>
  <c r="FE10" i="71"/>
  <c r="E832" i="15"/>
  <c r="HP19" i="71"/>
  <c r="IW15" i="71"/>
  <c r="M17" i="9"/>
  <c r="FT17" i="71"/>
  <c r="FE33" i="71"/>
  <c r="AC95" i="69"/>
  <c r="IB29" i="71"/>
  <c r="N56" i="9"/>
  <c r="L56" i="9" s="1"/>
  <c r="GX4" i="71"/>
  <c r="JC26" i="71"/>
  <c r="K62" i="9"/>
  <c r="HY32" i="71"/>
  <c r="E60" i="15"/>
  <c r="E848" i="15"/>
  <c r="JU30" i="71"/>
  <c r="JL30" i="71"/>
  <c r="J874" i="15"/>
  <c r="IB26" i="71"/>
  <c r="E493" i="15"/>
  <c r="J753" i="15"/>
  <c r="E73" i="15"/>
  <c r="E925" i="15"/>
  <c r="IN30" i="71"/>
  <c r="IB22" i="71"/>
  <c r="M82" i="9"/>
  <c r="HD25" i="71"/>
  <c r="GC25" i="71"/>
  <c r="FQ14" i="71"/>
  <c r="V32" i="22"/>
  <c r="GC33" i="71"/>
  <c r="P94" i="69"/>
  <c r="JC24" i="71"/>
  <c r="E715" i="15"/>
  <c r="V9" i="22"/>
  <c r="FH36" i="71"/>
  <c r="GI31" i="71"/>
  <c r="JU13" i="71"/>
  <c r="GX24" i="71"/>
  <c r="GD38" i="71"/>
  <c r="HV21" i="71"/>
  <c r="GU34" i="71"/>
  <c r="FE20" i="71"/>
  <c r="JX16" i="71"/>
  <c r="M28" i="9"/>
  <c r="JX13" i="71"/>
  <c r="J963" i="15"/>
  <c r="J794" i="15"/>
  <c r="HA31" i="71"/>
  <c r="FZ31" i="71"/>
  <c r="GU33" i="71"/>
  <c r="IE16" i="71"/>
  <c r="N94" i="69" a="1"/>
  <c r="N94" i="69" s="1"/>
  <c r="HY27" i="71"/>
  <c r="J908" i="15"/>
  <c r="J771" i="15"/>
  <c r="GR26" i="71"/>
  <c r="HY15" i="71"/>
  <c r="HS4" i="71"/>
  <c r="FF38" i="71"/>
  <c r="FW34" i="71"/>
  <c r="JR22" i="71"/>
  <c r="HV9" i="71"/>
  <c r="GL4" i="71"/>
  <c r="JF7" i="71"/>
  <c r="HS34" i="71"/>
  <c r="F8" i="15"/>
  <c r="E521" i="15"/>
  <c r="IB5" i="71"/>
  <c r="HV19" i="71"/>
  <c r="J552" i="15"/>
  <c r="K60" i="9"/>
  <c r="E911" i="15"/>
  <c r="FZ10" i="71"/>
  <c r="E995" i="15"/>
  <c r="HY35" i="71"/>
  <c r="FW16" i="71"/>
  <c r="E823" i="15"/>
  <c r="GF9" i="71"/>
  <c r="N61" i="9"/>
  <c r="L61" i="9" s="1"/>
  <c r="E888" i="15"/>
  <c r="GX34" i="71"/>
  <c r="E735" i="15"/>
  <c r="E300" i="15"/>
  <c r="AV1588" i="13"/>
  <c r="AV1687" i="13" s="1"/>
  <c r="Y95" i="69"/>
  <c r="IB7" i="71"/>
  <c r="E693" i="15"/>
  <c r="N55" i="9"/>
  <c r="L55" i="9" s="1"/>
  <c r="GX30" i="71"/>
  <c r="IH16" i="71"/>
  <c r="AW94" i="72"/>
  <c r="BC96" i="69"/>
  <c r="HG8" i="71"/>
  <c r="J740" i="15"/>
  <c r="JI15" i="71"/>
  <c r="FE31" i="71"/>
  <c r="GL33" i="71"/>
  <c r="E555" i="15"/>
  <c r="IN35" i="71"/>
  <c r="HV10" i="71"/>
  <c r="E821" i="15"/>
  <c r="E843" i="15"/>
  <c r="FT25" i="71"/>
  <c r="AB95" i="72" a="1"/>
  <c r="AB95" i="72" s="1"/>
  <c r="JI35" i="71"/>
  <c r="Z1497" i="13"/>
  <c r="I1702" i="13" s="1"/>
  <c r="HV17" i="71"/>
  <c r="GU18" i="71"/>
  <c r="JF9" i="71"/>
  <c r="HY23" i="71"/>
  <c r="N96" i="69" a="1"/>
  <c r="N96" i="69" s="1"/>
  <c r="FN6" i="71"/>
  <c r="GF12" i="71"/>
  <c r="E718" i="15"/>
  <c r="E890" i="15"/>
  <c r="HD7" i="71"/>
  <c r="JI31" i="71"/>
  <c r="IQ10" i="71"/>
  <c r="IB16" i="71"/>
  <c r="J96" i="69"/>
  <c r="JF21" i="71"/>
  <c r="FH18" i="71"/>
  <c r="K91" i="9"/>
  <c r="HJ28" i="71"/>
  <c r="K25" i="9"/>
  <c r="E57" i="15"/>
  <c r="AB96" i="72" a="1"/>
  <c r="AB96" i="72" s="1"/>
  <c r="GU24" i="71"/>
  <c r="JI13" i="71"/>
  <c r="E552" i="15"/>
  <c r="W67" i="22"/>
  <c r="Y67" i="22" s="1"/>
  <c r="IN17" i="71"/>
  <c r="IT17" i="71"/>
  <c r="GU30" i="71"/>
  <c r="J94" i="72"/>
  <c r="Y96" i="72"/>
  <c r="J940" i="15"/>
  <c r="IH36" i="71"/>
  <c r="IH18" i="71"/>
  <c r="HG9" i="71"/>
  <c r="E976" i="15"/>
  <c r="E710" i="15"/>
  <c r="E685" i="15"/>
  <c r="FW20" i="71"/>
  <c r="EJ11" i="71"/>
  <c r="E447" i="15"/>
  <c r="E490" i="15"/>
  <c r="J95" i="69"/>
  <c r="GR13" i="71"/>
  <c r="HJ35" i="71"/>
  <c r="E415" i="15"/>
  <c r="F413" i="15" s="1" a="1"/>
  <c r="F413" i="15" s="1"/>
  <c r="N96" i="72" a="1"/>
  <c r="N96" i="72" s="1"/>
  <c r="IK27" i="71"/>
  <c r="JR18" i="71"/>
  <c r="M25" i="9"/>
  <c r="IK11" i="71"/>
  <c r="E868" i="15"/>
  <c r="J976" i="15"/>
  <c r="GX25" i="71"/>
  <c r="FZ14" i="71"/>
  <c r="HG28" i="71"/>
  <c r="N18" i="9"/>
  <c r="L18" i="9" s="1"/>
  <c r="M69" i="9"/>
  <c r="E831" i="15"/>
  <c r="FT29" i="71"/>
  <c r="E730" i="15"/>
  <c r="E813" i="15"/>
  <c r="M62" i="9"/>
  <c r="FE35" i="71"/>
  <c r="E756" i="15"/>
  <c r="JU25" i="71"/>
  <c r="E984" i="15"/>
  <c r="E738" i="15"/>
  <c r="IH27" i="71"/>
  <c r="JR24" i="71"/>
  <c r="HJ36" i="71"/>
  <c r="HS9" i="71"/>
  <c r="FT18" i="71"/>
  <c r="P95" i="69"/>
  <c r="E695" i="15"/>
  <c r="HP31" i="71"/>
  <c r="IB9" i="71"/>
  <c r="N45" i="9"/>
  <c r="L45" i="9" s="1"/>
  <c r="IB30" i="71"/>
  <c r="GF31" i="71"/>
  <c r="IW29" i="71"/>
  <c r="IZ30" i="71"/>
  <c r="IW31" i="71"/>
  <c r="E587" i="15"/>
  <c r="E97" i="15"/>
  <c r="FN12" i="71"/>
  <c r="J521" i="15"/>
  <c r="N78" i="9"/>
  <c r="L78" i="9" s="1"/>
  <c r="Q94" i="69"/>
  <c r="J999" i="15"/>
  <c r="FK7" i="71"/>
  <c r="FH12" i="71"/>
  <c r="IK13" i="71"/>
  <c r="AC94" i="69"/>
  <c r="HY34" i="71"/>
  <c r="FQ12" i="71"/>
  <c r="E152" i="15"/>
  <c r="GF24" i="71"/>
  <c r="E432" i="15"/>
  <c r="JC35" i="71"/>
  <c r="BF96" i="72"/>
  <c r="GX5" i="71"/>
  <c r="HG32" i="71"/>
  <c r="J668" i="15"/>
  <c r="JI23" i="71"/>
  <c r="E691" i="15"/>
  <c r="E936" i="15"/>
  <c r="JL15" i="71"/>
  <c r="E328" i="15"/>
  <c r="W96" i="69"/>
  <c r="M42" i="9"/>
  <c r="K6" i="9"/>
  <c r="IT18" i="71"/>
  <c r="E981" i="15"/>
  <c r="GO13" i="71"/>
  <c r="E758" i="15"/>
  <c r="HP29" i="71"/>
  <c r="IH34" i="71"/>
  <c r="L94" i="72"/>
  <c r="E341" i="15"/>
  <c r="FW14" i="71"/>
  <c r="E762" i="15"/>
  <c r="IQ13" i="71"/>
  <c r="JL13" i="71"/>
  <c r="J823" i="15"/>
  <c r="J754" i="15"/>
  <c r="V11" i="22"/>
  <c r="IQ35" i="71"/>
  <c r="H13" i="7" a="1"/>
  <c r="H13" i="7" s="1"/>
  <c r="GR7" i="71"/>
  <c r="J907" i="15"/>
  <c r="GL22" i="71"/>
  <c r="J919" i="15"/>
  <c r="GI4" i="71"/>
  <c r="GA38" i="71"/>
  <c r="E822" i="15"/>
  <c r="JL34" i="71"/>
  <c r="GU22" i="71"/>
  <c r="AB94" i="72" a="1"/>
  <c r="AB94" i="72" s="1"/>
  <c r="FN26" i="71"/>
  <c r="HJ9" i="71"/>
  <c r="JO34" i="71"/>
  <c r="HS27" i="71"/>
  <c r="J795" i="15"/>
  <c r="J924" i="15"/>
  <c r="FW30" i="71"/>
  <c r="FZ35" i="71"/>
  <c r="J789" i="15"/>
  <c r="N86" i="9"/>
  <c r="L86" i="9" s="1"/>
  <c r="GR5" i="71"/>
  <c r="N71" i="9"/>
  <c r="L71" i="9" s="1"/>
  <c r="J866" i="15"/>
  <c r="E877" i="15"/>
  <c r="HG34" i="71"/>
  <c r="W94" i="69"/>
  <c r="W90" i="22"/>
  <c r="Z90" i="22" s="1"/>
  <c r="IZ22" i="71"/>
  <c r="IQ12" i="71"/>
  <c r="K23" i="9"/>
  <c r="JL35" i="71"/>
  <c r="JL8" i="71"/>
  <c r="HD13" i="71"/>
  <c r="P95" i="72"/>
  <c r="FL38" i="71"/>
  <c r="GO34" i="71"/>
  <c r="J808" i="15"/>
  <c r="HA30" i="71"/>
  <c r="JX33" i="71"/>
  <c r="E739" i="15"/>
  <c r="IZ11" i="71"/>
  <c r="FQ15" i="71"/>
  <c r="E278" i="15"/>
  <c r="AV95" i="72"/>
  <c r="GF16" i="71"/>
  <c r="JU6" i="71"/>
  <c r="JF8" i="71"/>
  <c r="FT16" i="71"/>
  <c r="FK21" i="71"/>
  <c r="JL12" i="71"/>
  <c r="E470" i="15"/>
  <c r="Y95" i="72"/>
  <c r="J752" i="15"/>
  <c r="K15" i="9"/>
  <c r="M54" i="9"/>
  <c r="JC10" i="71"/>
  <c r="E917" i="15"/>
  <c r="E342" i="15"/>
  <c r="GU5" i="71"/>
  <c r="P94" i="72"/>
  <c r="GU17" i="71"/>
  <c r="FE25" i="71"/>
  <c r="HV18" i="71"/>
  <c r="E400" i="15"/>
  <c r="E849" i="15"/>
  <c r="J980" i="15"/>
  <c r="FH20" i="71"/>
  <c r="J475" i="15"/>
  <c r="IQ25" i="71"/>
  <c r="E133" i="15"/>
  <c r="BB96" i="69"/>
  <c r="N37" i="9"/>
  <c r="L37" i="9" s="1"/>
  <c r="N48" i="9"/>
  <c r="L48" i="9" s="1"/>
  <c r="J847" i="15"/>
  <c r="K33" i="9"/>
  <c r="P33" i="9" s="1"/>
  <c r="E897" i="15"/>
  <c r="IZ27" i="71"/>
  <c r="JU10" i="71"/>
  <c r="HM34" i="71"/>
  <c r="AB96" i="69" a="1"/>
  <c r="AB96" i="69" s="1"/>
  <c r="N83" i="9"/>
  <c r="L83" i="9" s="1"/>
  <c r="E783" i="15"/>
  <c r="M39" i="9"/>
  <c r="GL27" i="71"/>
  <c r="E837" i="15"/>
  <c r="E979" i="15"/>
  <c r="FE5" i="71"/>
  <c r="K87" i="9"/>
  <c r="E689" i="15"/>
  <c r="GC14" i="71"/>
  <c r="IK35" i="71"/>
  <c r="J608" i="15"/>
  <c r="IQ7" i="71"/>
  <c r="IZ24" i="71"/>
  <c r="AV1590" i="13"/>
  <c r="AV1689" i="13" s="1"/>
  <c r="M32" i="9"/>
  <c r="IQ34" i="71"/>
  <c r="JL36" i="71"/>
  <c r="E56" i="15"/>
  <c r="H22" i="7" a="1"/>
  <c r="H22" i="7" s="1"/>
  <c r="HP26" i="71"/>
  <c r="IQ29" i="71"/>
  <c r="FT10" i="71"/>
  <c r="E785" i="15"/>
  <c r="K7" i="9"/>
  <c r="E835" i="15"/>
  <c r="JC34" i="71"/>
  <c r="J938" i="15"/>
  <c r="J821" i="15"/>
  <c r="E430" i="15"/>
  <c r="Y96" i="69"/>
  <c r="FZ7" i="71"/>
  <c r="IZ14" i="71"/>
  <c r="FT26" i="71"/>
  <c r="I8" i="15" a="1"/>
  <c r="I8" i="15" s="1"/>
  <c r="IH20" i="71"/>
  <c r="IN31" i="71"/>
  <c r="FZ18" i="71"/>
  <c r="IW20" i="71"/>
  <c r="GU8" i="71"/>
  <c r="JI16" i="71"/>
  <c r="EJ20" i="71"/>
  <c r="IB8" i="71"/>
  <c r="HM12" i="71"/>
  <c r="JC25" i="71"/>
  <c r="Q96" i="69"/>
  <c r="J712" i="15"/>
  <c r="FQ18" i="71"/>
  <c r="GS38" i="71"/>
  <c r="FK6" i="71"/>
  <c r="E748" i="15"/>
  <c r="IW34" i="71"/>
  <c r="FK17" i="71"/>
  <c r="FE34" i="71"/>
  <c r="JL21" i="71"/>
  <c r="HP17" i="71"/>
  <c r="J803" i="15"/>
  <c r="K40" i="9"/>
  <c r="HS17" i="71"/>
  <c r="J781" i="15"/>
  <c r="J985" i="15"/>
  <c r="HD10" i="71"/>
  <c r="FN14" i="71"/>
  <c r="J96" i="72"/>
  <c r="HV7" i="71"/>
  <c r="J805" i="15"/>
  <c r="N19" i="9"/>
  <c r="L19" i="9" s="1"/>
  <c r="N14" i="9"/>
  <c r="L14" i="9" s="1"/>
  <c r="GO35" i="71"/>
  <c r="JL31" i="71"/>
  <c r="E782" i="15"/>
  <c r="IQ8" i="71"/>
  <c r="E131" i="15"/>
  <c r="HA9" i="71"/>
  <c r="J506" i="15"/>
  <c r="HG26" i="71"/>
  <c r="IQ33" i="71"/>
  <c r="GU31" i="71"/>
  <c r="H60" i="9"/>
  <c r="GO14" i="71"/>
  <c r="GC6" i="71"/>
  <c r="IN12" i="71"/>
  <c r="FT11" i="71"/>
  <c r="HJ18" i="71"/>
  <c r="HM10" i="71"/>
  <c r="HY22" i="71"/>
  <c r="V46" i="22"/>
  <c r="IN7" i="71"/>
  <c r="E745" i="15"/>
  <c r="E867" i="15"/>
  <c r="GC7" i="71"/>
  <c r="E560" i="15"/>
  <c r="GO4" i="71"/>
  <c r="FE23" i="71"/>
  <c r="HN38" i="71"/>
  <c r="H98" i="9"/>
  <c r="K20" i="9"/>
  <c r="IH14" i="71"/>
  <c r="HD23" i="71"/>
  <c r="JL14" i="71"/>
  <c r="K47" i="9"/>
  <c r="P47" i="9" s="1"/>
  <c r="HS18" i="71"/>
  <c r="E608" i="15"/>
  <c r="IZ12" i="71"/>
  <c r="E751" i="15"/>
  <c r="V65" i="22"/>
  <c r="GX17" i="71"/>
  <c r="E830" i="15"/>
  <c r="IB32" i="71"/>
  <c r="IN34" i="71"/>
  <c r="E302" i="15"/>
  <c r="FQ36" i="71"/>
  <c r="FN20" i="71"/>
  <c r="JG38" i="71"/>
  <c r="E893" i="15"/>
  <c r="JR21" i="71"/>
  <c r="M90" i="9"/>
  <c r="E853" i="15"/>
  <c r="FE15" i="71"/>
  <c r="E637" i="15"/>
  <c r="K634" i="15" s="1" a="1"/>
  <c r="K634" i="15" s="1"/>
  <c r="BC95" i="69"/>
  <c r="IB12" i="71"/>
  <c r="HA10" i="71"/>
  <c r="JC18" i="71"/>
  <c r="E716" i="15"/>
  <c r="IT16" i="71"/>
  <c r="JL5" i="71"/>
  <c r="BG94" i="72"/>
  <c r="AV1491" i="13"/>
  <c r="GX6" i="71"/>
  <c r="HG14" i="71"/>
  <c r="J831" i="15"/>
  <c r="N16" i="9"/>
  <c r="L16" i="9" s="1"/>
  <c r="IK15" i="71"/>
  <c r="GU4" i="71"/>
  <c r="J879" i="15"/>
  <c r="GL25" i="71"/>
  <c r="E327" i="15"/>
  <c r="J862" i="15"/>
  <c r="FE32" i="71"/>
  <c r="E189" i="15"/>
  <c r="M35" i="9"/>
  <c r="HM11" i="71"/>
  <c r="E989" i="15"/>
  <c r="HZ38" i="71"/>
  <c r="GU12" i="71"/>
  <c r="J871" i="15"/>
  <c r="E681" i="15"/>
  <c r="IK31" i="71"/>
  <c r="J838" i="15"/>
  <c r="K96" i="9"/>
  <c r="IZ23" i="71"/>
  <c r="J94" i="69"/>
  <c r="GI14" i="71"/>
  <c r="J983" i="15"/>
  <c r="K31" i="9"/>
  <c r="F7" i="15"/>
  <c r="FK34" i="71"/>
  <c r="AS95" i="69"/>
  <c r="E806" i="15"/>
  <c r="JV38" i="71"/>
  <c r="J936" i="15"/>
  <c r="J890" i="15"/>
  <c r="FW24" i="71"/>
  <c r="E915" i="15"/>
  <c r="J738" i="15"/>
  <c r="N43" i="9"/>
  <c r="L43" i="9" s="1"/>
  <c r="IK9" i="71"/>
  <c r="FH5" i="71"/>
  <c r="M12" i="9"/>
  <c r="FE21" i="71"/>
  <c r="IN10" i="71"/>
  <c r="JL4" i="71"/>
  <c r="GF15" i="71"/>
  <c r="J895" i="15"/>
  <c r="HA5" i="71"/>
  <c r="GX31" i="71"/>
  <c r="IZ18" i="71"/>
  <c r="E426" i="15"/>
  <c r="FH22" i="71"/>
  <c r="HV32" i="71"/>
  <c r="JI17" i="71"/>
  <c r="J952" i="15"/>
  <c r="GI34" i="71"/>
  <c r="JX28" i="71"/>
  <c r="J854" i="15"/>
  <c r="K21" i="9"/>
  <c r="IT22" i="71"/>
  <c r="JF12" i="71"/>
  <c r="HA32" i="71"/>
  <c r="IW14" i="71"/>
  <c r="IQ17" i="71"/>
  <c r="E514" i="15"/>
  <c r="N95" i="69" a="1"/>
  <c r="N95" i="69" s="1"/>
  <c r="JR6" i="71"/>
  <c r="JU9" i="71"/>
  <c r="FT20" i="71"/>
  <c r="E721" i="15"/>
  <c r="M79" i="9"/>
  <c r="E240" i="15"/>
  <c r="HD12" i="71"/>
  <c r="IT12" i="71"/>
  <c r="GF6" i="71"/>
  <c r="FZ22" i="71"/>
  <c r="JR9" i="71"/>
  <c r="E852" i="15"/>
  <c r="IZ19" i="71"/>
  <c r="FW5" i="71"/>
  <c r="IH11" i="71"/>
  <c r="E698" i="15"/>
  <c r="IZ21" i="71"/>
  <c r="E543" i="15"/>
  <c r="E982" i="15"/>
  <c r="JX15" i="71"/>
  <c r="HS36" i="71"/>
  <c r="AW96" i="72"/>
  <c r="N23" i="9"/>
  <c r="L23" i="9" s="1"/>
  <c r="IE10" i="71"/>
  <c r="M21" i="9"/>
  <c r="E435" i="15"/>
  <c r="JF11" i="71"/>
  <c r="IW8" i="71"/>
  <c r="E744" i="15"/>
  <c r="GC16" i="71"/>
  <c r="IQ24" i="71"/>
  <c r="FE22" i="71"/>
  <c r="BC94" i="69"/>
  <c r="J745" i="15"/>
  <c r="E933" i="15"/>
  <c r="GR6" i="71"/>
  <c r="N72" i="9"/>
  <c r="L72" i="9" s="1"/>
  <c r="IK6" i="71"/>
  <c r="J812" i="15"/>
  <c r="AC96" i="69"/>
  <c r="K9" i="9"/>
  <c r="FK4" i="71"/>
  <c r="E777" i="15"/>
  <c r="GI12" i="71"/>
  <c r="Z1500" i="13"/>
  <c r="HD30" i="71"/>
  <c r="IW5" i="71"/>
  <c r="Y94" i="72"/>
  <c r="GO8" i="71"/>
  <c r="E798" i="15"/>
  <c r="FT12" i="71"/>
  <c r="E709" i="15"/>
  <c r="J870" i="15"/>
  <c r="J892" i="15"/>
  <c r="FE7" i="71"/>
  <c r="N95" i="72" a="1"/>
  <c r="N95" i="72" s="1"/>
  <c r="HS35" i="71"/>
  <c r="M24" i="9"/>
  <c r="GL14" i="71"/>
  <c r="J826" i="15"/>
  <c r="IZ13" i="71"/>
  <c r="GR20" i="71"/>
  <c r="AV1490" i="13"/>
  <c r="HY36" i="71"/>
  <c r="JF25" i="71"/>
  <c r="J927" i="15"/>
  <c r="IT33" i="71"/>
  <c r="J967" i="15"/>
  <c r="E895" i="15"/>
  <c r="IB13" i="71"/>
  <c r="IH12" i="71"/>
  <c r="IB18" i="71"/>
  <c r="E412" i="15"/>
  <c r="E469" i="15"/>
  <c r="Z1894" i="13"/>
  <c r="B1894" i="13" s="1" a="1"/>
  <c r="B1894" i="13" s="1"/>
  <c r="IT36" i="71"/>
  <c r="E592" i="15"/>
  <c r="L588" i="15" s="1" a="1"/>
  <c r="L588" i="15" s="1"/>
  <c r="JL6" i="71"/>
  <c r="J898" i="15"/>
  <c r="FW7" i="71"/>
  <c r="IW18" i="71"/>
  <c r="IT25" i="71"/>
  <c r="J912" i="15"/>
  <c r="E916" i="15"/>
  <c r="HS24" i="71"/>
  <c r="E380" i="15"/>
  <c r="Z1856" i="13"/>
  <c r="B1856" i="13" s="1" a="1"/>
  <c r="B1856" i="13" s="1"/>
  <c r="Q95" i="72"/>
  <c r="J671" i="15"/>
  <c r="J744" i="15"/>
  <c r="E788" i="15"/>
  <c r="GI15" i="71"/>
  <c r="J95" i="72"/>
  <c r="J482" i="15"/>
  <c r="K478" i="15" s="1" a="1"/>
  <c r="K478" i="15" s="1"/>
  <c r="FZ32" i="71"/>
  <c r="IH15" i="71"/>
  <c r="E731" i="15"/>
  <c r="J951" i="15"/>
  <c r="JI24" i="71"/>
  <c r="GC9" i="71"/>
  <c r="FZ36" i="71"/>
  <c r="E146" i="15"/>
  <c r="E772" i="15"/>
  <c r="K29" i="9"/>
  <c r="FQ5" i="71"/>
  <c r="W32" i="22"/>
  <c r="Y32" i="22" s="1"/>
  <c r="HM31" i="71"/>
  <c r="E954" i="15"/>
  <c r="E671" i="15"/>
  <c r="HV8" i="71"/>
  <c r="J670" i="15"/>
  <c r="HY21" i="71"/>
  <c r="E541" i="15"/>
  <c r="FH28" i="71"/>
  <c r="M64" i="9"/>
  <c r="JC9" i="71"/>
  <c r="JO10" i="71"/>
  <c r="HA35" i="71"/>
  <c r="JF33" i="71"/>
  <c r="FQ34" i="71"/>
  <c r="GU11" i="71"/>
  <c r="J782" i="15"/>
  <c r="J748" i="15"/>
  <c r="E481" i="15"/>
  <c r="JC16" i="71"/>
  <c r="A94" i="69"/>
  <c r="L96" i="72"/>
  <c r="J958" i="15"/>
  <c r="E760" i="15"/>
  <c r="JF17" i="71"/>
  <c r="JX6" i="71"/>
  <c r="HY30" i="71"/>
  <c r="FN11" i="71"/>
  <c r="E964" i="15"/>
  <c r="E819" i="15"/>
  <c r="IB25" i="71"/>
  <c r="E869" i="15"/>
  <c r="JL28" i="71"/>
  <c r="FE17" i="71"/>
  <c r="L95" i="72"/>
  <c r="J500" i="15"/>
  <c r="HA25" i="71"/>
  <c r="FH31" i="71"/>
  <c r="IW28" i="71"/>
  <c r="IE35" i="71"/>
  <c r="FT35" i="71"/>
  <c r="HM19" i="71"/>
  <c r="E901" i="15"/>
  <c r="HS28" i="71"/>
  <c r="JR7" i="71"/>
  <c r="FE13" i="71"/>
  <c r="JL25" i="71"/>
  <c r="E191" i="15"/>
  <c r="J822" i="15"/>
  <c r="FK5" i="71"/>
  <c r="GX15" i="71"/>
  <c r="JU17" i="71"/>
  <c r="IH22" i="71"/>
  <c r="E727" i="15"/>
  <c r="IZ31" i="71"/>
  <c r="E212" i="15"/>
  <c r="AR95" i="69"/>
  <c r="JO30" i="71"/>
  <c r="HD31" i="71"/>
  <c r="E298" i="15"/>
  <c r="IW10" i="71"/>
  <c r="IZ36" i="71"/>
  <c r="GF5" i="71"/>
  <c r="GO7" i="71"/>
  <c r="IK33" i="71"/>
  <c r="IH29" i="71"/>
  <c r="E287" i="15"/>
  <c r="Y94" i="69"/>
  <c r="AX283" i="13"/>
  <c r="A383" i="13"/>
  <c r="AX383" i="13" s="1"/>
  <c r="H88" i="9"/>
  <c r="E51" i="15"/>
  <c r="E272" i="15"/>
  <c r="E387" i="15"/>
  <c r="E155" i="15"/>
  <c r="E106" i="15"/>
  <c r="E74" i="15"/>
  <c r="E585" i="15"/>
  <c r="E526" i="15"/>
  <c r="F526" i="15" s="1" a="1"/>
  <c r="F526" i="15" s="1"/>
  <c r="E199" i="15"/>
  <c r="BD4" i="4"/>
  <c r="BR4" i="4" s="1"/>
  <c r="BC4" i="72" a="1"/>
  <c r="BC4" i="72" s="1"/>
  <c r="BZ4" i="72"/>
  <c r="AX1264" i="13"/>
  <c r="A1363" i="13"/>
  <c r="H86" i="9"/>
  <c r="BX3" i="72"/>
  <c r="U4" i="69" a="1"/>
  <c r="U4" i="69" s="1"/>
  <c r="A1308" i="13"/>
  <c r="AX1209" i="13"/>
  <c r="H64" i="9"/>
  <c r="AE36" i="27"/>
  <c r="I25" i="27"/>
  <c r="AJ39" i="27"/>
  <c r="AF28" i="27"/>
  <c r="AF31" i="27"/>
  <c r="AF40" i="27"/>
  <c r="AF23" i="27"/>
  <c r="AE42" i="27"/>
  <c r="AF30" i="27"/>
  <c r="W94" i="22"/>
  <c r="Y94" i="22" s="1"/>
  <c r="AX1212" i="13"/>
  <c r="A1311" i="13"/>
  <c r="F58" i="4"/>
  <c r="AD76" i="4"/>
  <c r="F76" i="72" s="1"/>
  <c r="AH13" i="4"/>
  <c r="AV1309" i="13" s="1"/>
  <c r="Z25" i="4"/>
  <c r="AV1222" i="13" s="1"/>
  <c r="AL32" i="4"/>
  <c r="I32" i="72" s="1"/>
  <c r="AH80" i="4"/>
  <c r="AV1376" i="13" s="1"/>
  <c r="AL48" i="4"/>
  <c r="I48" i="72" s="1"/>
  <c r="Z59" i="4"/>
  <c r="AV1256" i="13" s="1"/>
  <c r="AH70" i="4"/>
  <c r="AV1366" i="13" s="1"/>
  <c r="AL92" i="4"/>
  <c r="I92" i="72" s="1"/>
  <c r="AL19" i="4"/>
  <c r="I19" i="72" s="1"/>
  <c r="DB81" i="4"/>
  <c r="AD62" i="4"/>
  <c r="F62" i="69" s="1"/>
  <c r="AL7" i="4"/>
  <c r="I7" i="69" s="1"/>
  <c r="AH45" i="4"/>
  <c r="AV1341" i="13" s="1"/>
  <c r="Z50" i="4"/>
  <c r="AV1247" i="13" s="1"/>
  <c r="Z93" i="4"/>
  <c r="AV1290" i="13" s="1"/>
  <c r="AD83" i="4"/>
  <c r="F83" i="72" s="1"/>
  <c r="BF3" i="4"/>
  <c r="AD52" i="4"/>
  <c r="F52" i="69" s="1"/>
  <c r="AD72" i="4"/>
  <c r="F72" i="72" s="1"/>
  <c r="AD90" i="4"/>
  <c r="F90" i="69" s="1"/>
  <c r="AH51" i="4"/>
  <c r="AV1347" i="13" s="1"/>
  <c r="Z6" i="4"/>
  <c r="AV1203" i="13" s="1"/>
  <c r="Z72" i="4"/>
  <c r="AV1269" i="13" s="1"/>
  <c r="AH7" i="4"/>
  <c r="AV1303" i="13" s="1"/>
  <c r="AD24" i="4"/>
  <c r="F24" i="69" s="1"/>
  <c r="AD85" i="4"/>
  <c r="F85" i="69" s="1"/>
  <c r="AD69" i="4"/>
  <c r="F69" i="72" s="1"/>
  <c r="X56" i="72"/>
  <c r="X56" i="69"/>
  <c r="X28" i="69"/>
  <c r="X28" i="72"/>
  <c r="X25" i="69"/>
  <c r="X25" i="72"/>
  <c r="X74" i="69"/>
  <c r="X74" i="72"/>
  <c r="X42" i="69"/>
  <c r="X42" i="72"/>
  <c r="X51" i="69"/>
  <c r="X51" i="72"/>
  <c r="E18" i="4"/>
  <c r="BT18" i="4" s="1"/>
  <c r="E78" i="15"/>
  <c r="E234" i="15"/>
  <c r="E77" i="15"/>
  <c r="E90" i="15"/>
  <c r="E445" i="15"/>
  <c r="E110" i="15"/>
  <c r="E227" i="15"/>
  <c r="E43" i="15"/>
  <c r="E254" i="15"/>
  <c r="E361" i="15"/>
  <c r="E367" i="15"/>
  <c r="E556" i="15"/>
  <c r="E82" i="15"/>
  <c r="E340" i="15"/>
  <c r="AY63" i="4"/>
  <c r="Z1359" i="13"/>
  <c r="AW63" i="4"/>
  <c r="AV65" i="13"/>
  <c r="AY84" i="4"/>
  <c r="Z1380" i="13"/>
  <c r="AW84" i="4"/>
  <c r="AV86" i="13"/>
  <c r="AP84" i="4"/>
  <c r="AV386" i="13" s="1"/>
  <c r="AV486" i="13" s="1"/>
  <c r="DA12" i="4" a="1"/>
  <c r="DA12" i="4" s="1"/>
  <c r="Z1308" i="13"/>
  <c r="L12" i="4"/>
  <c r="CA12" i="4" s="1"/>
  <c r="AW12" i="4"/>
  <c r="F12" i="4"/>
  <c r="BL12" i="4" s="1"/>
  <c r="AV14" i="13"/>
  <c r="AY12" i="4"/>
  <c r="AP12" i="4"/>
  <c r="AV314" i="13" s="1"/>
  <c r="AV414" i="13" s="1"/>
  <c r="W21" i="22"/>
  <c r="Y21" i="22" s="1"/>
  <c r="V21" i="22"/>
  <c r="AX1258" i="13"/>
  <c r="A1357" i="13"/>
  <c r="AX1249" i="13"/>
  <c r="A1348" i="13"/>
  <c r="DA35" i="4" a="1"/>
  <c r="DA35" i="4" s="1"/>
  <c r="AW35" i="4"/>
  <c r="AY35" i="4"/>
  <c r="F35" i="4"/>
  <c r="BL35" i="4" s="1"/>
  <c r="AV37" i="13"/>
  <c r="Z1331" i="13"/>
  <c r="L35" i="4"/>
  <c r="AP35" i="4"/>
  <c r="AV337" i="13" s="1"/>
  <c r="AV437" i="13" s="1"/>
  <c r="V37" i="22"/>
  <c r="W37" i="22"/>
  <c r="Y37" i="22" s="1"/>
  <c r="CW52" i="4"/>
  <c r="CX52" i="4" s="1"/>
  <c r="I701" i="13"/>
  <c r="W701" i="13"/>
  <c r="DE11" i="4"/>
  <c r="AX1256" i="13"/>
  <c r="A1355" i="13"/>
  <c r="BT40" i="4"/>
  <c r="CU84" i="4"/>
  <c r="CV84" i="4" s="1"/>
  <c r="CY84" i="4"/>
  <c r="CZ84" i="4" s="1"/>
  <c r="AX84" i="4"/>
  <c r="DB84" i="4"/>
  <c r="DA84" i="4" a="1"/>
  <c r="DA84" i="4" s="1"/>
  <c r="CW84" i="4"/>
  <c r="CX84" i="4" s="1"/>
  <c r="AX1225" i="13"/>
  <c r="A1324" i="13"/>
  <c r="AS60" i="4"/>
  <c r="AV662" i="13" s="1"/>
  <c r="CW19" i="4"/>
  <c r="CX19" i="4" s="1"/>
  <c r="E489" i="15"/>
  <c r="E645" i="15"/>
  <c r="L641" i="15" s="1" a="1"/>
  <c r="L641" i="15" s="1"/>
  <c r="E271" i="15"/>
  <c r="E393" i="15"/>
  <c r="E513" i="15"/>
  <c r="E303" i="15"/>
  <c r="E126" i="15"/>
  <c r="E403" i="15"/>
  <c r="E602" i="15"/>
  <c r="E618" i="15"/>
  <c r="L615" i="15" s="1" a="1"/>
  <c r="L615" i="15" s="1"/>
  <c r="E176" i="15"/>
  <c r="E605" i="15"/>
  <c r="E296" i="15"/>
  <c r="E629" i="15"/>
  <c r="E453" i="15"/>
  <c r="E624" i="15"/>
  <c r="E628" i="15"/>
  <c r="E384" i="15"/>
  <c r="E428" i="15"/>
  <c r="E238" i="15"/>
  <c r="F238" i="15" s="1" a="1"/>
  <c r="F238" i="15" s="1"/>
  <c r="E636" i="15"/>
  <c r="AX289" i="13"/>
  <c r="A389" i="13"/>
  <c r="AX389" i="13" s="1"/>
  <c r="AX280" i="13"/>
  <c r="A380" i="13"/>
  <c r="AX380" i="13" s="1"/>
  <c r="Z1879" i="13"/>
  <c r="B1879" i="13" s="1" a="1"/>
  <c r="B1879" i="13" s="1"/>
  <c r="AS81" i="4"/>
  <c r="AV683" i="13" s="1"/>
  <c r="IZ6" i="71"/>
  <c r="DB88" i="4"/>
  <c r="AX88" i="4"/>
  <c r="CU88" i="4"/>
  <c r="CV88" i="4" s="1"/>
  <c r="DA88" i="4" a="1"/>
  <c r="DA88" i="4" s="1"/>
  <c r="CW88" i="4"/>
  <c r="CX88" i="4" s="1"/>
  <c r="AS61" i="4"/>
  <c r="AV663" i="13" s="1"/>
  <c r="H82" i="9"/>
  <c r="N571" i="15" a="1"/>
  <c r="N571" i="15" s="1"/>
  <c r="DV9" i="4"/>
  <c r="AV511" i="13"/>
  <c r="BH9" i="4"/>
  <c r="AX243" i="13"/>
  <c r="A343" i="13"/>
  <c r="AX343" i="13" s="1"/>
  <c r="BD41" i="4"/>
  <c r="AS69" i="4"/>
  <c r="AV671" i="13" s="1"/>
  <c r="AX1232" i="13"/>
  <c r="A1331" i="13"/>
  <c r="BW4" i="72"/>
  <c r="J604" i="15"/>
  <c r="BA67" i="4" a="1"/>
  <c r="BA67" i="4" s="1"/>
  <c r="BB67" i="4" s="1"/>
  <c r="AV169" i="13" s="1"/>
  <c r="B67" i="4"/>
  <c r="CW32" i="4"/>
  <c r="CX32" i="4" s="1"/>
  <c r="AN3" i="72" a="1"/>
  <c r="AN3" i="72" s="1"/>
  <c r="AH3" i="72" a="1"/>
  <c r="AH3" i="72" s="1"/>
  <c r="AZ3" i="72" a="1"/>
  <c r="AZ3" i="72" s="1"/>
  <c r="BA3" i="72" a="1"/>
  <c r="BA3" i="72" s="1"/>
  <c r="BD3" i="72" a="1"/>
  <c r="BD3" i="72" s="1"/>
  <c r="AU3" i="72" a="1"/>
  <c r="AU3" i="72" s="1"/>
  <c r="AS3" i="72" a="1"/>
  <c r="AS3" i="72" s="1"/>
  <c r="AY3" i="72" a="1"/>
  <c r="AY3" i="72" s="1"/>
  <c r="BE3" i="72" a="1"/>
  <c r="BE3" i="72" s="1"/>
  <c r="BR3" i="72" a="1"/>
  <c r="BR3" i="72" s="1"/>
  <c r="BD4" i="69"/>
  <c r="AO4" i="69" s="1" a="1"/>
  <c r="AO4" i="69" s="1"/>
  <c r="R4" i="69"/>
  <c r="BT4" i="69"/>
  <c r="BM4" i="69" a="1"/>
  <c r="BM4" i="69" s="1"/>
  <c r="BG4" i="69"/>
  <c r="AV4" i="69" s="1" a="1"/>
  <c r="AV4" i="69" s="1"/>
  <c r="BN4" i="69" a="1"/>
  <c r="BN4" i="69" s="1"/>
  <c r="AP4" i="69" a="1"/>
  <c r="AP4" i="69" s="1"/>
  <c r="CU81" i="4"/>
  <c r="CV81" i="4" s="1"/>
  <c r="AX81" i="4"/>
  <c r="CY81" i="4"/>
  <c r="CZ81" i="4" s="1"/>
  <c r="CW81" i="4"/>
  <c r="CX81" i="4" s="1"/>
  <c r="DA81" i="4" a="1"/>
  <c r="DA81" i="4" s="1"/>
  <c r="H85" i="9"/>
  <c r="BA63" i="4" a="1"/>
  <c r="BA63" i="4" s="1"/>
  <c r="BB63" i="4" s="1"/>
  <c r="AV165" i="13" s="1"/>
  <c r="B63" i="4"/>
  <c r="E349" i="15" s="1"/>
  <c r="BA87" i="4" a="1"/>
  <c r="BA87" i="4" s="1"/>
  <c r="BB87" i="4" s="1"/>
  <c r="AV189" i="13" s="1"/>
  <c r="B87" i="4"/>
  <c r="A1344" i="13"/>
  <c r="AX1245" i="13"/>
  <c r="M478" i="15" a="1"/>
  <c r="M478" i="15" s="1"/>
  <c r="DE22" i="4"/>
  <c r="A1336" i="13"/>
  <c r="AX1237" i="13"/>
  <c r="E35" i="4"/>
  <c r="BT35" i="4" s="1"/>
  <c r="AU10" i="69" a="1"/>
  <c r="AU10" i="69" s="1"/>
  <c r="AZ10" i="69" a="1"/>
  <c r="AZ10" i="69" s="1"/>
  <c r="AQ10" i="69" a="1"/>
  <c r="AQ10" i="69" s="1"/>
  <c r="AN10" i="69" a="1"/>
  <c r="AN10" i="69" s="1"/>
  <c r="AO10" i="69" a="1"/>
  <c r="AO10" i="69" s="1"/>
  <c r="AG10" i="69" a="1"/>
  <c r="AG10" i="69" s="1"/>
  <c r="BA10" i="69" a="1"/>
  <c r="BA10" i="69" s="1"/>
  <c r="AW10" i="69" a="1"/>
  <c r="AW10" i="69" s="1"/>
  <c r="AX10" i="69" a="1"/>
  <c r="AX10" i="69" s="1"/>
  <c r="AF36" i="27"/>
  <c r="AF42" i="27"/>
  <c r="B15" i="27" a="1"/>
  <c r="B15" i="27" s="1"/>
  <c r="AI31" i="27"/>
  <c r="AI37" i="27"/>
  <c r="AI41" i="27"/>
  <c r="AF37" i="27"/>
  <c r="AI26" i="27"/>
  <c r="AF22" i="27"/>
  <c r="HV16" i="71"/>
  <c r="CU78" i="4"/>
  <c r="CV78" i="4" s="1"/>
  <c r="CY78" i="4"/>
  <c r="CZ78" i="4" s="1"/>
  <c r="DB78" i="4"/>
  <c r="AX78" i="4"/>
  <c r="CW78" i="4"/>
  <c r="CX78" i="4" s="1"/>
  <c r="DA78" i="4" a="1"/>
  <c r="DA78" i="4" s="1"/>
  <c r="AX218" i="13"/>
  <c r="A318" i="13"/>
  <c r="AX318" i="13" s="1"/>
  <c r="AT10" i="69" a="1"/>
  <c r="AT10" i="69" s="1"/>
  <c r="AX1222" i="13"/>
  <c r="A1321" i="13"/>
  <c r="AX265" i="13"/>
  <c r="A365" i="13"/>
  <c r="AX365" i="13" s="1"/>
  <c r="AL24" i="4"/>
  <c r="I24" i="72" s="1"/>
  <c r="AL54" i="4"/>
  <c r="I54" i="69" s="1"/>
  <c r="AD74" i="4"/>
  <c r="F74" i="72" s="1"/>
  <c r="AD8" i="4"/>
  <c r="F8" i="69" s="1"/>
  <c r="AD42" i="4"/>
  <c r="F42" i="69" s="1"/>
  <c r="AH17" i="4"/>
  <c r="AV1313" i="13" s="1"/>
  <c r="AL88" i="4"/>
  <c r="I88" i="69" s="1"/>
  <c r="AL52" i="4"/>
  <c r="I52" i="72" s="1"/>
  <c r="AL45" i="4"/>
  <c r="I45" i="72" s="1"/>
  <c r="Z15" i="4"/>
  <c r="AV1212" i="13" s="1"/>
  <c r="AD43" i="4"/>
  <c r="F43" i="69" s="1"/>
  <c r="AL12" i="4"/>
  <c r="I12" i="72" s="1"/>
  <c r="AD14" i="4"/>
  <c r="F14" i="69" s="1"/>
  <c r="G23" i="4"/>
  <c r="BO23" i="4"/>
  <c r="Z81" i="4"/>
  <c r="AV1278" i="13" s="1"/>
  <c r="Z92" i="4"/>
  <c r="AV1289" i="13" s="1"/>
  <c r="Z45" i="4"/>
  <c r="AV1242" i="13" s="1"/>
  <c r="AL22" i="4"/>
  <c r="I22" i="69" s="1"/>
  <c r="Z8" i="4"/>
  <c r="AV1205" i="13" s="1"/>
  <c r="AL26" i="4"/>
  <c r="I26" i="72" s="1"/>
  <c r="AD89" i="4"/>
  <c r="F89" i="69" s="1"/>
  <c r="Z47" i="4"/>
  <c r="AV1244" i="13" s="1"/>
  <c r="AH31" i="4"/>
  <c r="AV1327" i="13" s="1"/>
  <c r="AH81" i="4"/>
  <c r="AV1377" i="13" s="1"/>
  <c r="AD36" i="4"/>
  <c r="F36" i="69" s="1"/>
  <c r="X54" i="72"/>
  <c r="X54" i="69"/>
  <c r="X33" i="69"/>
  <c r="X33" i="72"/>
  <c r="X72" i="69"/>
  <c r="X72" i="72"/>
  <c r="X20" i="72"/>
  <c r="X20" i="69"/>
  <c r="X16" i="69"/>
  <c r="X16" i="72"/>
  <c r="I208" i="15" a="1"/>
  <c r="I208" i="15" s="1"/>
  <c r="AY75" i="4"/>
  <c r="Z1371" i="13"/>
  <c r="AV77" i="13"/>
  <c r="AW75" i="4"/>
  <c r="AP75" i="4"/>
  <c r="AV377" i="13" s="1"/>
  <c r="AV477" i="13" s="1"/>
  <c r="A395" i="13"/>
  <c r="AX395" i="13" s="1"/>
  <c r="AX295" i="13"/>
  <c r="E101" i="15"/>
  <c r="E310" i="15"/>
  <c r="E318" i="15"/>
  <c r="E151" i="15"/>
  <c r="AX125" i="13"/>
  <c r="DD45" i="4" s="1" a="1"/>
  <c r="DD45" i="4" s="1"/>
  <c r="A225" i="13"/>
  <c r="L11" i="4"/>
  <c r="AW11" i="4"/>
  <c r="F11" i="4"/>
  <c r="AV13" i="13"/>
  <c r="Z1307" i="13"/>
  <c r="AY11" i="4"/>
  <c r="AP11" i="4"/>
  <c r="AV313" i="13" s="1"/>
  <c r="AV413" i="13" s="1"/>
  <c r="V20" i="22"/>
  <c r="W20" i="22"/>
  <c r="Y20" i="22" s="1"/>
  <c r="AX1283" i="13"/>
  <c r="A1382" i="13"/>
  <c r="V66" i="22"/>
  <c r="AV47" i="13"/>
  <c r="L45" i="4"/>
  <c r="AW45" i="4"/>
  <c r="F45" i="4"/>
  <c r="BL45" i="4" s="1"/>
  <c r="AY45" i="4"/>
  <c r="Z1341" i="13"/>
  <c r="AP45" i="4"/>
  <c r="AV347" i="13" s="1"/>
  <c r="AV447" i="13" s="1"/>
  <c r="W66" i="22"/>
  <c r="Y66" i="22" s="1"/>
  <c r="DE23" i="4"/>
  <c r="E23" i="4"/>
  <c r="DE43" i="4"/>
  <c r="E586" i="15"/>
  <c r="E252" i="15"/>
  <c r="E626" i="15"/>
  <c r="E381" i="15"/>
  <c r="E102" i="15"/>
  <c r="AW86" i="4"/>
  <c r="AY86" i="4"/>
  <c r="AV88" i="13"/>
  <c r="Z1382" i="13"/>
  <c r="DA7" i="4" a="1"/>
  <c r="DA7" i="4" s="1"/>
  <c r="AX1246" i="13"/>
  <c r="A1345" i="13"/>
  <c r="F41" i="4"/>
  <c r="BL41" i="4" s="1"/>
  <c r="Z1337" i="13"/>
  <c r="AW41" i="4"/>
  <c r="AV43" i="13"/>
  <c r="AY41" i="4"/>
  <c r="AP41" i="4"/>
  <c r="AV343" i="13" s="1"/>
  <c r="AV443" i="13" s="1"/>
  <c r="V59" i="22"/>
  <c r="W59" i="22"/>
  <c r="Y59" i="22" s="1"/>
  <c r="F33" i="4"/>
  <c r="BL33" i="4" s="1"/>
  <c r="AW33" i="4"/>
  <c r="AY33" i="4"/>
  <c r="AV35" i="13"/>
  <c r="Z1329" i="13"/>
  <c r="AP33" i="4"/>
  <c r="AV335" i="13" s="1"/>
  <c r="AV435" i="13" s="1"/>
  <c r="V49" i="22"/>
  <c r="W49" i="22"/>
  <c r="Y49" i="22" s="1"/>
  <c r="H25" i="9"/>
  <c r="AX1228" i="13"/>
  <c r="A1327" i="13"/>
  <c r="Z1350" i="13"/>
  <c r="AW54" i="4"/>
  <c r="AY54" i="4"/>
  <c r="F54" i="4"/>
  <c r="BL54" i="4" s="1"/>
  <c r="AV56" i="13"/>
  <c r="AP54" i="4"/>
  <c r="AV356" i="13" s="1"/>
  <c r="AV456" i="13" s="1"/>
  <c r="V75" i="22"/>
  <c r="W75" i="22"/>
  <c r="DA40" i="4" a="1"/>
  <c r="DA40" i="4" s="1"/>
  <c r="Z1336" i="13"/>
  <c r="AW40" i="4"/>
  <c r="AY40" i="4"/>
  <c r="L40" i="4"/>
  <c r="AV42" i="13"/>
  <c r="F40" i="4"/>
  <c r="AP40" i="4"/>
  <c r="AV342" i="13" s="1"/>
  <c r="AV442" i="13" s="1"/>
  <c r="W57" i="22"/>
  <c r="Y57" i="22" s="1"/>
  <c r="V57" i="22"/>
  <c r="DE37" i="4"/>
  <c r="F307" i="15" a="1"/>
  <c r="F307" i="15" s="1"/>
  <c r="H307" i="15" a="1"/>
  <c r="H307" i="15" s="1"/>
  <c r="AX288" i="13"/>
  <c r="A388" i="13"/>
  <c r="AX388" i="13" s="1"/>
  <c r="BD8" i="4"/>
  <c r="BR8" i="4" s="1"/>
  <c r="DA52" i="4" a="1"/>
  <c r="DA52" i="4" s="1"/>
  <c r="L701" i="13"/>
  <c r="M701" i="13"/>
  <c r="V40" i="22"/>
  <c r="Z1321" i="13"/>
  <c r="AV27" i="13"/>
  <c r="F25" i="4"/>
  <c r="BL25" i="4" s="1"/>
  <c r="AY25" i="4"/>
  <c r="AW25" i="4"/>
  <c r="L25" i="4"/>
  <c r="AP25" i="4"/>
  <c r="AV327" i="13" s="1"/>
  <c r="AV427" i="13" s="1"/>
  <c r="W40" i="22"/>
  <c r="Y40" i="22" s="1"/>
  <c r="AX1290" i="13"/>
  <c r="A1389" i="13"/>
  <c r="AX1272" i="13"/>
  <c r="A1371" i="13"/>
  <c r="BT30" i="4"/>
  <c r="E134" i="15"/>
  <c r="E47" i="15"/>
  <c r="E144" i="15"/>
  <c r="E485" i="15"/>
  <c r="E370" i="15"/>
  <c r="H368" i="15" s="1" a="1"/>
  <c r="H368" i="15" s="1"/>
  <c r="E386" i="15"/>
  <c r="E156" i="15"/>
  <c r="BD33" i="4"/>
  <c r="J550" i="15"/>
  <c r="N549" i="15" s="1" a="1"/>
  <c r="N549" i="15" s="1"/>
  <c r="BA66" i="4" a="1"/>
  <c r="BA66" i="4" s="1"/>
  <c r="BB66" i="4" s="1"/>
  <c r="AV168" i="13" s="1"/>
  <c r="B66" i="4"/>
  <c r="AX237" i="13"/>
  <c r="A337" i="13"/>
  <c r="AX337" i="13" s="1"/>
  <c r="A387" i="13"/>
  <c r="AX387" i="13" s="1"/>
  <c r="AX287" i="13"/>
  <c r="DE54" i="4"/>
  <c r="E570" i="15"/>
  <c r="L560" i="15" s="1" a="1"/>
  <c r="L560" i="15" s="1"/>
  <c r="C60" i="1"/>
  <c r="E60" i="4"/>
  <c r="BT60" i="4" s="1"/>
  <c r="DE60" i="4"/>
  <c r="A347" i="13"/>
  <c r="AX347" i="13" s="1"/>
  <c r="AX247" i="13"/>
  <c r="A1328" i="13"/>
  <c r="AX1229" i="13"/>
  <c r="AX229" i="13"/>
  <c r="A329" i="13"/>
  <c r="AX329" i="13" s="1"/>
  <c r="AX278" i="13"/>
  <c r="A378" i="13"/>
  <c r="AX378" i="13" s="1"/>
  <c r="JC30" i="71"/>
  <c r="CU89" i="4"/>
  <c r="CV89" i="4" s="1"/>
  <c r="AX89" i="4"/>
  <c r="DB89" i="4"/>
  <c r="CW89" i="4"/>
  <c r="CX89" i="4" s="1"/>
  <c r="DA89" i="4" a="1"/>
  <c r="DA89" i="4" s="1"/>
  <c r="BA77" i="4" a="1"/>
  <c r="BA77" i="4" s="1"/>
  <c r="BB77" i="4" s="1"/>
  <c r="AV179" i="13" s="1"/>
  <c r="B77" i="4"/>
  <c r="AL77" i="4" s="1"/>
  <c r="I77" i="69" s="1"/>
  <c r="AX61" i="4"/>
  <c r="DB61" i="4"/>
  <c r="CU61" i="4"/>
  <c r="CV61" i="4" s="1"/>
  <c r="DA61" i="4" a="1"/>
  <c r="DA61" i="4" s="1"/>
  <c r="CW61" i="4"/>
  <c r="CX61" i="4" s="1"/>
  <c r="DB94" i="4"/>
  <c r="AV94" i="72" s="1"/>
  <c r="AX94" i="4"/>
  <c r="CU94" i="4"/>
  <c r="CV94" i="4" s="1"/>
  <c r="CW94" i="4"/>
  <c r="CX94" i="4" s="1"/>
  <c r="DA94" i="4" a="1"/>
  <c r="DA94" i="4" s="1"/>
  <c r="AH94" i="4"/>
  <c r="AV1390" i="13" s="1"/>
  <c r="Z94" i="4"/>
  <c r="AV1291" i="13" s="1"/>
  <c r="AL94" i="4"/>
  <c r="AP94" i="4"/>
  <c r="U94" i="72" s="1" a="1"/>
  <c r="U94" i="72" s="1"/>
  <c r="AD94" i="4"/>
  <c r="F94" i="4"/>
  <c r="DE41" i="4"/>
  <c r="CW48" i="4"/>
  <c r="CX48" i="4" s="1"/>
  <c r="Z1865" i="13"/>
  <c r="B1865" i="13" s="1" a="1"/>
  <c r="B1865" i="13" s="1"/>
  <c r="CW33" i="4"/>
  <c r="CX33" i="4" s="1"/>
  <c r="DA32" i="4" a="1"/>
  <c r="DA32" i="4" s="1"/>
  <c r="BS4" i="69"/>
  <c r="Z1888" i="13"/>
  <c r="B1888" i="13" s="1" a="1"/>
  <c r="B1888" i="13" s="1"/>
  <c r="AX285" i="13"/>
  <c r="A385" i="13"/>
  <c r="AX385" i="13" s="1"/>
  <c r="AX1243" i="13"/>
  <c r="A1342" i="13"/>
  <c r="CW35" i="4"/>
  <c r="CX35" i="4" s="1"/>
  <c r="AX1273" i="13"/>
  <c r="A1372" i="13"/>
  <c r="DA49" i="4" a="1"/>
  <c r="DA49" i="4" s="1"/>
  <c r="A369" i="13"/>
  <c r="AX369" i="13" s="1"/>
  <c r="AX269" i="13"/>
  <c r="E22" i="4"/>
  <c r="BT22" i="4" s="1"/>
  <c r="DE35" i="4"/>
  <c r="AE34" i="27"/>
  <c r="AI29" i="27"/>
  <c r="AF35" i="27"/>
  <c r="AJ30" i="27"/>
  <c r="AI22" i="27"/>
  <c r="I24" i="27"/>
  <c r="AJ34" i="27"/>
  <c r="AF34" i="27"/>
  <c r="E25" i="4"/>
  <c r="BT25" i="4" s="1"/>
  <c r="AX242" i="13"/>
  <c r="A342" i="13"/>
  <c r="AX342" i="13" s="1"/>
  <c r="BA86" i="4" a="1"/>
  <c r="BA86" i="4" s="1"/>
  <c r="BB86" i="4" s="1"/>
  <c r="AV188" i="13" s="1"/>
  <c r="B86" i="4"/>
  <c r="AH59" i="4"/>
  <c r="AV1355" i="13" s="1"/>
  <c r="AH6" i="4"/>
  <c r="AV1302" i="13" s="1"/>
  <c r="Z51" i="4"/>
  <c r="AV1248" i="13" s="1"/>
  <c r="F19" i="72"/>
  <c r="Z40" i="4"/>
  <c r="AV1237" i="13" s="1"/>
  <c r="AD51" i="4"/>
  <c r="F51" i="69" s="1"/>
  <c r="AL6" i="4"/>
  <c r="I6" i="72" s="1"/>
  <c r="AD34" i="4"/>
  <c r="F34" i="69" s="1"/>
  <c r="AH92" i="4"/>
  <c r="AV1388" i="13" s="1"/>
  <c r="AH33" i="4"/>
  <c r="AV1329" i="13" s="1"/>
  <c r="I20" i="72"/>
  <c r="AD64" i="4"/>
  <c r="F64" i="69" s="1"/>
  <c r="AH37" i="4"/>
  <c r="AV1333" i="13" s="1"/>
  <c r="AH18" i="4"/>
  <c r="AV1314" i="13" s="1"/>
  <c r="AD53" i="4"/>
  <c r="F53" i="72" s="1"/>
  <c r="B44" i="23"/>
  <c r="Z13" i="4"/>
  <c r="AV1210" i="13" s="1"/>
  <c r="AD38" i="4"/>
  <c r="F38" i="69" s="1"/>
  <c r="I21" i="72"/>
  <c r="AH35" i="4"/>
  <c r="AV1331" i="13" s="1"/>
  <c r="AL70" i="4"/>
  <c r="I70" i="72" s="1"/>
  <c r="AH73" i="4"/>
  <c r="AV1369" i="13" s="1"/>
  <c r="AL49" i="4"/>
  <c r="I49" i="69" s="1"/>
  <c r="AD54" i="4"/>
  <c r="F54" i="69" s="1"/>
  <c r="AL16" i="4"/>
  <c r="I16" i="69" s="1"/>
  <c r="AL56" i="4"/>
  <c r="I56" i="72" s="1"/>
  <c r="AL78" i="4"/>
  <c r="I78" i="72" s="1"/>
  <c r="Z75" i="4"/>
  <c r="AV1272" i="13" s="1"/>
  <c r="AL14" i="4"/>
  <c r="I14" i="72" s="1"/>
  <c r="AD17" i="4"/>
  <c r="F17" i="72" s="1"/>
  <c r="Z89" i="4"/>
  <c r="AV1286" i="13" s="1"/>
  <c r="Z34" i="4"/>
  <c r="AV1231" i="13" s="1"/>
  <c r="Z69" i="4"/>
  <c r="AV1266" i="13" s="1"/>
  <c r="X14" i="69"/>
  <c r="X14" i="72"/>
  <c r="X57" i="72"/>
  <c r="X57" i="69"/>
  <c r="X92" i="72"/>
  <c r="X92" i="69"/>
  <c r="BF4" i="4"/>
  <c r="X27" i="69"/>
  <c r="X27" i="72"/>
  <c r="X48" i="69"/>
  <c r="X48" i="72"/>
  <c r="BJ92" i="4" a="1"/>
  <c r="BK92" i="4" a="1"/>
  <c r="BJ83" i="4" a="1"/>
  <c r="BK83" i="4" a="1"/>
  <c r="BJ91" i="4" a="1"/>
  <c r="BK91" i="4" a="1"/>
  <c r="BJ67" i="4" a="1"/>
  <c r="BK67" i="4" a="1"/>
  <c r="BJ59" i="4" a="1"/>
  <c r="BK59" i="4" a="1"/>
  <c r="BJ73" i="4" a="1"/>
  <c r="BK73" i="4" a="1"/>
  <c r="BJ56" i="4" a="1"/>
  <c r="BK56" i="4" a="1"/>
  <c r="BJ90" i="4" a="1"/>
  <c r="BK90" i="4" a="1"/>
  <c r="BJ23" i="4" a="1"/>
  <c r="BK23" i="4" a="1"/>
  <c r="BJ65" i="4" a="1"/>
  <c r="BK65" i="4" a="1"/>
  <c r="BJ75" i="4" a="1"/>
  <c r="BK75" i="4" a="1"/>
  <c r="BJ93" i="4" a="1"/>
  <c r="BK93" i="4" a="1"/>
  <c r="BJ63" i="4" a="1"/>
  <c r="BK63" i="4" a="1"/>
  <c r="BJ66" i="4" a="1"/>
  <c r="BK66" i="4" a="1"/>
  <c r="BJ88" i="4" a="1"/>
  <c r="BK88" i="4" a="1"/>
  <c r="BJ68" i="4" a="1"/>
  <c r="BK68" i="4" a="1"/>
  <c r="BJ81" i="4" a="1"/>
  <c r="BK81" i="4" a="1"/>
  <c r="BJ94" i="4" a="1"/>
  <c r="BK94" i="4" a="1"/>
  <c r="BJ71" i="4" a="1"/>
  <c r="BK71" i="4" a="1"/>
  <c r="BJ79" i="4" a="1"/>
  <c r="BK79" i="4" a="1"/>
  <c r="BJ85" i="4" a="1"/>
  <c r="BK85" i="4" a="1"/>
  <c r="BJ77" i="4" a="1"/>
  <c r="BK77" i="4" a="1"/>
  <c r="BJ70" i="4" a="1"/>
  <c r="BK70" i="4" a="1"/>
  <c r="BJ87" i="4" a="1"/>
  <c r="BK87" i="4" a="1"/>
  <c r="BJ57" i="4" a="1"/>
  <c r="BK57" i="4" a="1"/>
  <c r="BJ84" i="4" a="1"/>
  <c r="BK84" i="4" a="1"/>
  <c r="BJ78" i="4" a="1"/>
  <c r="BK78" i="4" a="1"/>
  <c r="BJ86" i="4" a="1"/>
  <c r="BK86" i="4" a="1"/>
  <c r="BJ62" i="4" a="1"/>
  <c r="BK62" i="4" a="1"/>
  <c r="BJ69" i="4" a="1"/>
  <c r="BK69" i="4" a="1"/>
  <c r="BJ82" i="4" a="1"/>
  <c r="BK82" i="4" a="1"/>
  <c r="BJ95" i="4" a="1"/>
  <c r="BK95" i="4" a="1"/>
  <c r="BJ80" i="4" a="1"/>
  <c r="BK80" i="4" a="1"/>
  <c r="BJ96" i="4" a="1"/>
  <c r="BK96" i="4" a="1"/>
  <c r="BJ58" i="4" a="1"/>
  <c r="BK58" i="4" a="1"/>
  <c r="BJ61" i="4" a="1"/>
  <c r="BK61" i="4" a="1"/>
  <c r="BJ72" i="4" a="1"/>
  <c r="BK72" i="4" a="1"/>
  <c r="BJ60" i="4" a="1"/>
  <c r="BK60" i="4" a="1"/>
  <c r="BJ74" i="4" a="1"/>
  <c r="BK74" i="4" a="1"/>
  <c r="BJ89" i="4" a="1"/>
  <c r="BK89" i="4" a="1"/>
  <c r="BJ76" i="4" a="1"/>
  <c r="BK76" i="4" a="1"/>
  <c r="BI75" i="4" a="1"/>
  <c r="DF75" i="4" a="1"/>
  <c r="BI95" i="4" a="1"/>
  <c r="DF95" i="4" a="1"/>
  <c r="BI69" i="4" a="1"/>
  <c r="DF69" i="4" a="1"/>
  <c r="BI80" i="4" a="1"/>
  <c r="DF80" i="4" a="1"/>
  <c r="BI73" i="4" a="1"/>
  <c r="DF73" i="4" a="1"/>
  <c r="BI72" i="4" a="1"/>
  <c r="DF72" i="4" a="1"/>
  <c r="BI59" i="4" a="1"/>
  <c r="DF59" i="4" a="1"/>
  <c r="DF23" i="4" a="1"/>
  <c r="BI23" i="4" a="1"/>
  <c r="DF60" i="4" a="1"/>
  <c r="BI60" i="4" a="1"/>
  <c r="DF79" i="4" a="1"/>
  <c r="BI79" i="4" a="1"/>
  <c r="BI92" i="4" a="1"/>
  <c r="DF92" i="4" a="1"/>
  <c r="BI93" i="4" a="1"/>
  <c r="DF93" i="4" a="1"/>
  <c r="BI63" i="4" a="1"/>
  <c r="DF63" i="4" a="1"/>
  <c r="BI66" i="4" a="1"/>
  <c r="DF66" i="4" a="1"/>
  <c r="DF90" i="4" a="1"/>
  <c r="BI90" i="4" a="1"/>
  <c r="B55" i="1" a="1"/>
  <c r="AB55" i="4" a="1"/>
  <c r="AA55" i="4" a="1"/>
  <c r="AG55" i="4" a="1"/>
  <c r="AF55" i="4" a="1"/>
  <c r="BI84" i="4" a="1"/>
  <c r="DF84" i="4" a="1"/>
  <c r="DF61" i="4" a="1"/>
  <c r="BI61" i="4" a="1"/>
  <c r="BI81" i="4" a="1"/>
  <c r="DF81" i="4" a="1"/>
  <c r="BI91" i="4" a="1"/>
  <c r="DF91" i="4" a="1"/>
  <c r="DF96" i="4" a="1"/>
  <c r="BI96" i="4" a="1"/>
  <c r="DF65" i="4" a="1"/>
  <c r="BI65" i="4" a="1"/>
  <c r="DF71" i="4" a="1"/>
  <c r="BI71" i="4" a="1"/>
  <c r="DF87" i="4" a="1"/>
  <c r="BI87" i="4" a="1"/>
  <c r="BI86" i="4" a="1"/>
  <c r="DF86" i="4" a="1"/>
  <c r="DF88" i="4" a="1"/>
  <c r="BI88" i="4" a="1"/>
  <c r="BI68" i="4" a="1"/>
  <c r="DF68" i="4" a="1"/>
  <c r="BI74" i="4" a="1"/>
  <c r="DF74" i="4" a="1"/>
  <c r="BI94" i="4" a="1"/>
  <c r="DF94" i="4" a="1"/>
  <c r="DF70" i="4" a="1"/>
  <c r="BI70" i="4" a="1"/>
  <c r="BI56" i="4" a="1"/>
  <c r="DF56" i="4" a="1"/>
  <c r="AO55" i="4" a="1"/>
  <c r="AN55" i="4" a="1"/>
  <c r="DF83" i="4" a="1"/>
  <c r="BI83" i="4" a="1"/>
  <c r="DF78" i="4" a="1"/>
  <c r="BI78" i="4" a="1"/>
  <c r="BI58" i="4" a="1"/>
  <c r="DF58" i="4" a="1"/>
  <c r="BI77" i="4" a="1"/>
  <c r="DF77" i="4" a="1"/>
  <c r="DF82" i="4" a="1"/>
  <c r="BI82" i="4" a="1"/>
  <c r="DF62" i="4" a="1"/>
  <c r="BI62" i="4" a="1"/>
  <c r="BI67" i="4" a="1"/>
  <c r="DF67" i="4" a="1"/>
  <c r="AJ55" i="4" a="1"/>
  <c r="AI55" i="4" a="1"/>
  <c r="BI57" i="4" a="1"/>
  <c r="DF57" i="4" a="1"/>
  <c r="BI89" i="4" a="1"/>
  <c r="DF89" i="4" a="1"/>
  <c r="BI85" i="4" a="1"/>
  <c r="DF85" i="4" a="1"/>
  <c r="BI76" i="4" a="1"/>
  <c r="DF76" i="4" a="1"/>
  <c r="BL32" i="4" l="1"/>
  <c r="H457" i="15" a="1"/>
  <c r="H457" i="15" s="1"/>
  <c r="AP81" i="4"/>
  <c r="AV383" i="13" s="1"/>
  <c r="AV483" i="13" s="1"/>
  <c r="E89" i="15"/>
  <c r="FE18" i="71"/>
  <c r="BD35" i="4"/>
  <c r="AP90" i="4"/>
  <c r="AV392" i="13" s="1"/>
  <c r="AV492" i="13" s="1"/>
  <c r="DA90" i="4" a="1"/>
  <c r="DA90" i="4" s="1"/>
  <c r="F63" i="4"/>
  <c r="F71" i="15" a="1"/>
  <c r="F71" i="15" s="1"/>
  <c r="H340" i="15" a="1"/>
  <c r="H340" i="15" s="1"/>
  <c r="BF38" i="4"/>
  <c r="FE16" i="71"/>
  <c r="AP63" i="4"/>
  <c r="AV365" i="13" s="1"/>
  <c r="AV465" i="13" s="1"/>
  <c r="K519" i="15" a="1"/>
  <c r="K519" i="15" s="1"/>
  <c r="L554" i="15" a="1"/>
  <c r="L554" i="15" s="1"/>
  <c r="BK76" i="4"/>
  <c r="BJ76" i="4"/>
  <c r="BK89" i="4"/>
  <c r="BJ89" i="4"/>
  <c r="BK74" i="4"/>
  <c r="BJ74" i="4"/>
  <c r="BK60" i="4"/>
  <c r="BJ60" i="4"/>
  <c r="BK72" i="4"/>
  <c r="BJ72" i="4"/>
  <c r="BK61" i="4"/>
  <c r="BJ61" i="4"/>
  <c r="BK58" i="4"/>
  <c r="BJ58" i="4"/>
  <c r="BK96" i="4"/>
  <c r="BJ96" i="4"/>
  <c r="BK80" i="4"/>
  <c r="BJ80" i="4"/>
  <c r="BK95" i="4"/>
  <c r="BJ95" i="4"/>
  <c r="BK82" i="4"/>
  <c r="BJ82" i="4"/>
  <c r="BK69" i="4"/>
  <c r="BJ69" i="4"/>
  <c r="BK62" i="4"/>
  <c r="BJ62" i="4"/>
  <c r="BK86" i="4"/>
  <c r="BJ86" i="4"/>
  <c r="BK78" i="4"/>
  <c r="BJ78" i="4"/>
  <c r="BK84" i="4"/>
  <c r="BJ84" i="4"/>
  <c r="BK57" i="4"/>
  <c r="BJ57" i="4"/>
  <c r="BK87" i="4"/>
  <c r="BJ87" i="4"/>
  <c r="BK70" i="4"/>
  <c r="BJ70" i="4"/>
  <c r="BK77" i="4"/>
  <c r="BJ77" i="4"/>
  <c r="BK85" i="4"/>
  <c r="BJ85" i="4"/>
  <c r="BK79" i="4"/>
  <c r="BJ79" i="4"/>
  <c r="BK71" i="4"/>
  <c r="BJ71" i="4"/>
  <c r="BK94" i="4"/>
  <c r="BJ94" i="4"/>
  <c r="BK81" i="4"/>
  <c r="BJ81" i="4"/>
  <c r="BK68" i="4"/>
  <c r="BJ68" i="4"/>
  <c r="BK88" i="4"/>
  <c r="BJ88" i="4"/>
  <c r="BK66" i="4"/>
  <c r="BJ66" i="4"/>
  <c r="BK63" i="4"/>
  <c r="BJ63" i="4"/>
  <c r="BK93" i="4"/>
  <c r="BJ93" i="4"/>
  <c r="BK75" i="4"/>
  <c r="BJ75" i="4"/>
  <c r="BK65" i="4"/>
  <c r="BJ65" i="4"/>
  <c r="BK23" i="4"/>
  <c r="BJ23" i="4"/>
  <c r="BK90" i="4"/>
  <c r="BJ90" i="4"/>
  <c r="BK56" i="4"/>
  <c r="BJ56" i="4"/>
  <c r="BK73" i="4"/>
  <c r="BJ73" i="4"/>
  <c r="BK59" i="4"/>
  <c r="BJ59" i="4"/>
  <c r="BK67" i="4"/>
  <c r="BJ67" i="4"/>
  <c r="BK91" i="4"/>
  <c r="BJ91" i="4"/>
  <c r="BK83" i="4"/>
  <c r="BJ83" i="4"/>
  <c r="BK92" i="4"/>
  <c r="BJ92" i="4"/>
  <c r="DA73" i="4" a="1"/>
  <c r="DA73" i="4" s="1"/>
  <c r="Z71" i="4"/>
  <c r="AV1268" i="13" s="1"/>
  <c r="Z91" i="4"/>
  <c r="AV1288" i="13" s="1"/>
  <c r="N641" i="15" a="1"/>
  <c r="N641" i="15" s="1"/>
  <c r="F89" i="4"/>
  <c r="DA74" i="4" a="1"/>
  <c r="DA74" i="4" s="1"/>
  <c r="F90" i="4"/>
  <c r="AP72" i="4"/>
  <c r="AV374" i="13" s="1"/>
  <c r="AV474" i="13" s="1"/>
  <c r="AD61" i="4"/>
  <c r="F61" i="69" s="1"/>
  <c r="AP58" i="4"/>
  <c r="U58" i="72" s="1" a="1"/>
  <c r="U58" i="72" s="1"/>
  <c r="Z80" i="4"/>
  <c r="AV1277" i="13" s="1"/>
  <c r="AL95" i="4"/>
  <c r="Z82" i="4"/>
  <c r="AV1279" i="13" s="1"/>
  <c r="DA69" i="4" a="1"/>
  <c r="DA69" i="4" s="1"/>
  <c r="F76" i="15" a="1"/>
  <c r="F76" i="15" s="1"/>
  <c r="E233" i="15"/>
  <c r="DA91" i="4" a="1"/>
  <c r="DA91" i="4" s="1"/>
  <c r="AL87" i="4"/>
  <c r="F70" i="4"/>
  <c r="Z77" i="4"/>
  <c r="AV1274" i="13" s="1"/>
  <c r="Z85" i="4"/>
  <c r="AV1282" i="13" s="1"/>
  <c r="F79" i="4"/>
  <c r="AL71" i="4"/>
  <c r="I71" i="69" s="1"/>
  <c r="AL81" i="4"/>
  <c r="AP68" i="4"/>
  <c r="AV370" i="13" s="1"/>
  <c r="AV470" i="13" s="1"/>
  <c r="CW66" i="4"/>
  <c r="CX66" i="4" s="1"/>
  <c r="Z63" i="4"/>
  <c r="AV1260" i="13" s="1"/>
  <c r="H254" i="15" a="1"/>
  <c r="H254" i="15" s="1"/>
  <c r="L497" i="15" a="1"/>
  <c r="L497" i="15" s="1"/>
  <c r="AP93" i="4"/>
  <c r="AV395" i="13" s="1"/>
  <c r="AV495" i="13" s="1"/>
  <c r="AD75" i="4"/>
  <c r="Z90" i="4"/>
  <c r="AV1287" i="13" s="1"/>
  <c r="CW56" i="4"/>
  <c r="CX56" i="4" s="1"/>
  <c r="F73" i="4"/>
  <c r="AP59" i="4"/>
  <c r="AV361" i="13" s="1"/>
  <c r="AV461" i="13" s="1"/>
  <c r="Z67" i="4"/>
  <c r="AV1264" i="13" s="1"/>
  <c r="F91" i="4"/>
  <c r="Z83" i="4"/>
  <c r="AV1280" i="13" s="1"/>
  <c r="F92" i="4"/>
  <c r="AV594" i="13" s="1"/>
  <c r="AV96" i="72"/>
  <c r="P9" i="9"/>
  <c r="P96" i="9"/>
  <c r="BL24" i="4"/>
  <c r="BL46" i="4"/>
  <c r="BR11" i="4"/>
  <c r="BL11" i="4"/>
  <c r="BL20" i="4"/>
  <c r="X40" i="4"/>
  <c r="BL40" i="4"/>
  <c r="BL27" i="4"/>
  <c r="BL13" i="4"/>
  <c r="BL37" i="4"/>
  <c r="AE3" i="72"/>
  <c r="AE4" i="72"/>
  <c r="U48" i="72" a="1"/>
  <c r="U48" i="72" s="1"/>
  <c r="U20" i="72" a="1"/>
  <c r="U20" i="72" s="1"/>
  <c r="U16" i="72" a="1"/>
  <c r="U16" i="72" s="1"/>
  <c r="U51" i="72" a="1"/>
  <c r="U51" i="72" s="1"/>
  <c r="U5" i="72" a="1"/>
  <c r="U5" i="72" s="1"/>
  <c r="U14" i="72" a="1"/>
  <c r="U14" i="72" s="1"/>
  <c r="U21" i="72" a="1"/>
  <c r="U21" i="72" s="1"/>
  <c r="U28" i="72" a="1"/>
  <c r="U28" i="72" s="1"/>
  <c r="U27" i="72" a="1"/>
  <c r="U27" i="72" s="1"/>
  <c r="U42" i="72" a="1"/>
  <c r="U42" i="72" s="1"/>
  <c r="U47" i="72" a="1"/>
  <c r="U47" i="72" s="1"/>
  <c r="U37" i="72" a="1"/>
  <c r="U37" i="72" s="1"/>
  <c r="U32" i="72" a="1"/>
  <c r="U32" i="72" s="1"/>
  <c r="U39" i="72" a="1"/>
  <c r="U39" i="72" s="1"/>
  <c r="U65" i="72" a="1"/>
  <c r="U65" i="72" s="1"/>
  <c r="U13" i="72" a="1"/>
  <c r="U13" i="72" s="1"/>
  <c r="U7" i="72" a="1"/>
  <c r="U7" i="72" s="1"/>
  <c r="U46" i="72" a="1"/>
  <c r="U46" i="72" s="1"/>
  <c r="U30" i="72" a="1"/>
  <c r="U30" i="72" s="1"/>
  <c r="U36" i="72" a="1"/>
  <c r="U36" i="72" s="1"/>
  <c r="U29" i="72" a="1"/>
  <c r="U29" i="72" s="1"/>
  <c r="U19" i="72" a="1"/>
  <c r="U19" i="72" s="1"/>
  <c r="U24" i="72" a="1"/>
  <c r="U24" i="72" s="1"/>
  <c r="P7" i="9"/>
  <c r="U16" i="27" a="1"/>
  <c r="U16" i="27" s="1"/>
  <c r="U57" i="72" a="1"/>
  <c r="U57" i="72" s="1"/>
  <c r="P40" i="9"/>
  <c r="U43" i="72" a="1"/>
  <c r="U43" i="72" s="1"/>
  <c r="U88" i="72" a="1"/>
  <c r="U88" i="72" s="1"/>
  <c r="U18" i="72" a="1"/>
  <c r="U18" i="72" s="1"/>
  <c r="U82" i="72" a="1"/>
  <c r="U82" i="72" s="1"/>
  <c r="U22" i="72" a="1"/>
  <c r="U22" i="72" s="1"/>
  <c r="U64" i="72" a="1"/>
  <c r="U64" i="72" s="1"/>
  <c r="U81" i="72" a="1"/>
  <c r="U81" i="72" s="1"/>
  <c r="U33" i="72" a="1"/>
  <c r="U33" i="72" s="1"/>
  <c r="U6" i="72" a="1"/>
  <c r="U6" i="72" s="1"/>
  <c r="U26" i="72" a="1"/>
  <c r="U26" i="72" s="1"/>
  <c r="U25" i="72" a="1"/>
  <c r="U25" i="72" s="1"/>
  <c r="U8" i="72" a="1"/>
  <c r="U8" i="72" s="1"/>
  <c r="U53" i="72" a="1"/>
  <c r="U53" i="72" s="1"/>
  <c r="U45" i="72" a="1"/>
  <c r="U45" i="72" s="1"/>
  <c r="U38" i="72" a="1"/>
  <c r="U38" i="72" s="1"/>
  <c r="U52" i="72" a="1"/>
  <c r="U52" i="72" s="1"/>
  <c r="U84" i="72" a="1"/>
  <c r="U84" i="72" s="1"/>
  <c r="U54" i="72" a="1"/>
  <c r="U54" i="72" s="1"/>
  <c r="U35" i="72" a="1"/>
  <c r="U35" i="72" s="1"/>
  <c r="U17" i="72" a="1"/>
  <c r="U17" i="72" s="1"/>
  <c r="U34" i="72" a="1"/>
  <c r="U34" i="72" s="1"/>
  <c r="U31" i="72" a="1"/>
  <c r="U31" i="72" s="1"/>
  <c r="U41" i="72" a="1"/>
  <c r="U41" i="72" s="1"/>
  <c r="U44" i="72" a="1"/>
  <c r="U44" i="72" s="1"/>
  <c r="U40" i="72" a="1"/>
  <c r="U40" i="72" s="1"/>
  <c r="U75" i="72" a="1"/>
  <c r="U75" i="72" s="1"/>
  <c r="U11" i="72" a="1"/>
  <c r="U11" i="72" s="1"/>
  <c r="U63" i="72" a="1"/>
  <c r="U63" i="72" s="1"/>
  <c r="U15" i="72" a="1"/>
  <c r="U15" i="72" s="1"/>
  <c r="U49" i="72" a="1"/>
  <c r="U49" i="72" s="1"/>
  <c r="U90" i="72" a="1"/>
  <c r="U90" i="72" s="1"/>
  <c r="U12" i="72" a="1"/>
  <c r="U12" i="72" s="1"/>
  <c r="U50" i="72" a="1"/>
  <c r="U50" i="72" s="1"/>
  <c r="AV396" i="13"/>
  <c r="AV496" i="13" s="1"/>
  <c r="P31" i="9"/>
  <c r="AP4" i="72" a="1"/>
  <c r="AP4" i="72" s="1"/>
  <c r="AO4" i="72" a="1"/>
  <c r="AO4" i="72" s="1"/>
  <c r="AL96" i="72"/>
  <c r="AL95" i="72"/>
  <c r="AL94" i="72"/>
  <c r="AL58" i="72"/>
  <c r="AK4" i="72" a="1"/>
  <c r="AK4" i="72" s="1"/>
  <c r="AI4" i="72" a="1"/>
  <c r="AI4" i="72" s="1"/>
  <c r="AX4" i="72" a="1"/>
  <c r="AX4" i="72" s="1"/>
  <c r="M95" i="72"/>
  <c r="T95" i="69"/>
  <c r="BS95" i="69" s="1"/>
  <c r="P51" i="9"/>
  <c r="P32" i="9"/>
  <c r="M95" i="69"/>
  <c r="I69" i="69"/>
  <c r="Z58" i="14" a="1"/>
  <c r="Z58" i="14" s="1"/>
  <c r="Z58" i="23" a="1"/>
  <c r="Z58" i="23" s="1"/>
  <c r="AF4" i="69" a="1"/>
  <c r="AF4" i="69" s="1"/>
  <c r="AH4" i="69" a="1"/>
  <c r="AH4" i="69" s="1"/>
  <c r="AI4" i="69" a="1"/>
  <c r="AI4" i="69" s="1"/>
  <c r="AK4" i="69" a="1"/>
  <c r="AK4" i="69" s="1"/>
  <c r="P30" i="9"/>
  <c r="P20" i="9"/>
  <c r="P95" i="9"/>
  <c r="P29" i="9"/>
  <c r="P15" i="9"/>
  <c r="P52" i="9"/>
  <c r="P34" i="9"/>
  <c r="P6" i="9"/>
  <c r="P87" i="9"/>
  <c r="P60" i="9"/>
  <c r="P59" i="9"/>
  <c r="P11" i="9"/>
  <c r="X49" i="4"/>
  <c r="AG4" i="69" a="1"/>
  <c r="AG4" i="69" s="1"/>
  <c r="I31" i="72"/>
  <c r="X32" i="4"/>
  <c r="BA4" i="69" a="1"/>
  <c r="BA4" i="69" s="1"/>
  <c r="F50" i="72"/>
  <c r="I13" i="72"/>
  <c r="I7" i="72"/>
  <c r="M94" i="72"/>
  <c r="T96" i="72"/>
  <c r="T96" i="69"/>
  <c r="F6" i="72"/>
  <c r="I39" i="69"/>
  <c r="F12" i="72"/>
  <c r="I64" i="72"/>
  <c r="I45" i="69"/>
  <c r="BV95" i="69"/>
  <c r="F11" i="69"/>
  <c r="BR7" i="4"/>
  <c r="T94" i="72"/>
  <c r="BW94" i="72" s="1"/>
  <c r="M96" i="69"/>
  <c r="M96" i="72"/>
  <c r="T94" i="69"/>
  <c r="BM94" i="69" s="1" a="1"/>
  <c r="BM94" i="69" s="1"/>
  <c r="M94" i="69"/>
  <c r="F22" i="69"/>
  <c r="F30" i="69"/>
  <c r="I11" i="69"/>
  <c r="I18" i="72"/>
  <c r="BQ64" i="4"/>
  <c r="F62" i="72"/>
  <c r="F32" i="69"/>
  <c r="F7" i="72"/>
  <c r="I34" i="72"/>
  <c r="BL94" i="72"/>
  <c r="I25" i="72"/>
  <c r="F33" i="72"/>
  <c r="F13" i="69"/>
  <c r="AL75" i="4"/>
  <c r="I75" i="69" s="1"/>
  <c r="F296" i="15" a="1"/>
  <c r="F296" i="15" s="1"/>
  <c r="L594" i="15" a="1"/>
  <c r="L594" i="15" s="1"/>
  <c r="BD54" i="4"/>
  <c r="AX4" i="69" a="1"/>
  <c r="AX4" i="69" s="1"/>
  <c r="I84" i="72"/>
  <c r="F18" i="69"/>
  <c r="F310" i="15" a="1"/>
  <c r="F310" i="15" s="1"/>
  <c r="AD67" i="4"/>
  <c r="F67" i="69" s="1"/>
  <c r="AY58" i="69" a="1"/>
  <c r="AY58" i="69" s="1"/>
  <c r="BD13" i="4"/>
  <c r="F14" i="27"/>
  <c r="I33" i="69"/>
  <c r="AE94" i="69" a="1"/>
  <c r="AE94" i="69" s="1"/>
  <c r="P62" i="9"/>
  <c r="F74" i="69"/>
  <c r="AH95" i="4"/>
  <c r="M540" i="15" a="1"/>
  <c r="M540" i="15" s="1"/>
  <c r="BL96" i="72"/>
  <c r="F405" i="15" a="1"/>
  <c r="F405" i="15" s="1"/>
  <c r="I405" i="15" s="1" a="1"/>
  <c r="I405" i="15" s="1"/>
  <c r="AE58" i="69" a="1"/>
  <c r="AE58" i="69" s="1"/>
  <c r="E58" i="69"/>
  <c r="AF96" i="72" a="1"/>
  <c r="AF96" i="72" s="1"/>
  <c r="AJ96" i="72" s="1" a="1"/>
  <c r="AJ96" i="72" s="1"/>
  <c r="P10" i="9"/>
  <c r="BD52" i="4"/>
  <c r="AQ4" i="69" a="1"/>
  <c r="AQ4" i="69" s="1"/>
  <c r="I48" i="69"/>
  <c r="E487" i="15"/>
  <c r="L486" i="15" s="1" a="1"/>
  <c r="L486" i="15" s="1"/>
  <c r="L583" i="15" a="1"/>
  <c r="L583" i="15" s="1"/>
  <c r="P57" i="9"/>
  <c r="F35" i="69"/>
  <c r="AU4" i="69" a="1"/>
  <c r="AU4" i="69" s="1"/>
  <c r="AH87" i="4"/>
  <c r="AV1383" i="13" s="1"/>
  <c r="L478" i="15" a="1"/>
  <c r="L478" i="15" s="1"/>
  <c r="I27" i="69"/>
  <c r="AZ4" i="69" a="1"/>
  <c r="AZ4" i="69" s="1"/>
  <c r="N478" i="15" a="1"/>
  <c r="N478" i="15" s="1"/>
  <c r="Z1853" i="13"/>
  <c r="B1853" i="13" s="1" a="1"/>
  <c r="B1853" i="13" s="1"/>
  <c r="I38" i="72"/>
  <c r="I51" i="72"/>
  <c r="BW95" i="72"/>
  <c r="P36" i="9"/>
  <c r="P92" i="9"/>
  <c r="BH95" i="69"/>
  <c r="BV94" i="69"/>
  <c r="F25" i="72"/>
  <c r="I43" i="72"/>
  <c r="I37" i="72"/>
  <c r="E58" i="72"/>
  <c r="BW55" i="4"/>
  <c r="F43" i="72"/>
  <c r="AE95" i="69" a="1"/>
  <c r="AE95" i="69" s="1"/>
  <c r="AY95" i="69" a="1"/>
  <c r="AY95" i="69" s="1"/>
  <c r="F29" i="69"/>
  <c r="F48" i="72"/>
  <c r="F31" i="72"/>
  <c r="F41" i="72"/>
  <c r="I40" i="72"/>
  <c r="AV58" i="72"/>
  <c r="BC58" i="72" a="1"/>
  <c r="BC58" i="72" s="1"/>
  <c r="F20" i="72"/>
  <c r="F54" i="72"/>
  <c r="I36" i="69"/>
  <c r="F49" i="69"/>
  <c r="I65" i="69"/>
  <c r="I49" i="72"/>
  <c r="F59" i="69"/>
  <c r="I26" i="69"/>
  <c r="F8" i="72"/>
  <c r="AE96" i="69" a="1"/>
  <c r="AE96" i="69" s="1"/>
  <c r="F27" i="72"/>
  <c r="DF76" i="4"/>
  <c r="BI76" i="4"/>
  <c r="DF85" i="4"/>
  <c r="BI85" i="4"/>
  <c r="BL89" i="4"/>
  <c r="DF89" i="4"/>
  <c r="BI89" i="4"/>
  <c r="BL57" i="4"/>
  <c r="BM57" i="4" s="1"/>
  <c r="BE57" i="4" s="1" a="1"/>
  <c r="BE57" i="4" s="1"/>
  <c r="DF57" i="4"/>
  <c r="BI57" i="4"/>
  <c r="AI55" i="4"/>
  <c r="AJ55" i="4"/>
  <c r="DF67" i="4"/>
  <c r="BI67" i="4"/>
  <c r="BI62" i="4"/>
  <c r="DF62" i="4"/>
  <c r="BI82" i="4"/>
  <c r="BL82" i="4"/>
  <c r="BM82" i="4" s="1"/>
  <c r="BE82" i="4" s="1" a="1"/>
  <c r="BE82" i="4" s="1"/>
  <c r="DF82" i="4"/>
  <c r="DF77" i="4"/>
  <c r="BI77" i="4"/>
  <c r="DF58" i="4"/>
  <c r="BI58" i="4"/>
  <c r="BL58" i="4"/>
  <c r="BI78" i="4"/>
  <c r="DF78" i="4"/>
  <c r="BI83" i="4"/>
  <c r="DF83" i="4"/>
  <c r="AN55" i="4"/>
  <c r="AO55" i="4"/>
  <c r="DF56" i="4"/>
  <c r="BI56" i="4"/>
  <c r="BI70" i="4"/>
  <c r="BL70" i="4"/>
  <c r="DF70" i="4"/>
  <c r="DF94" i="4"/>
  <c r="BL94" i="4"/>
  <c r="BI94" i="4"/>
  <c r="DF74" i="4"/>
  <c r="BI74" i="4"/>
  <c r="DF68" i="4"/>
  <c r="BI68" i="4"/>
  <c r="BI88" i="4"/>
  <c r="BL88" i="4"/>
  <c r="BM88" i="4" s="1"/>
  <c r="BE88" i="4" s="1" a="1"/>
  <c r="BE88" i="4" s="1"/>
  <c r="DF88" i="4"/>
  <c r="DF86" i="4"/>
  <c r="BI86" i="4"/>
  <c r="BI87" i="4"/>
  <c r="DF87" i="4"/>
  <c r="BI71" i="4"/>
  <c r="DF71" i="4"/>
  <c r="BI65" i="4"/>
  <c r="DF65" i="4"/>
  <c r="BL65" i="4"/>
  <c r="BM65" i="4" s="1"/>
  <c r="BE65" i="4" s="1" a="1"/>
  <c r="BE65" i="4" s="1"/>
  <c r="BI96" i="4"/>
  <c r="DF96" i="4"/>
  <c r="DF91" i="4"/>
  <c r="BI91" i="4"/>
  <c r="BL91" i="4"/>
  <c r="DF81" i="4"/>
  <c r="BI81" i="4"/>
  <c r="BI61" i="4"/>
  <c r="DF61" i="4"/>
  <c r="DF84" i="4"/>
  <c r="BI84" i="4"/>
  <c r="AF55" i="4"/>
  <c r="AG55" i="4"/>
  <c r="AA55" i="4"/>
  <c r="DB55" i="4" s="1"/>
  <c r="AB55" i="4"/>
  <c r="B55" i="1"/>
  <c r="BI90" i="4"/>
  <c r="DF90" i="4"/>
  <c r="BL90" i="4"/>
  <c r="BM90" i="4" s="1"/>
  <c r="BE90" i="4" s="1" a="1"/>
  <c r="BE90" i="4" s="1"/>
  <c r="DF66" i="4"/>
  <c r="BI66" i="4"/>
  <c r="BL63" i="4"/>
  <c r="BM63" i="4" s="1"/>
  <c r="BE63" i="4" s="1" a="1"/>
  <c r="BE63" i="4" s="1"/>
  <c r="DF63" i="4"/>
  <c r="BI63" i="4"/>
  <c r="DF93" i="4"/>
  <c r="BI93" i="4"/>
  <c r="DF92" i="4"/>
  <c r="BI92" i="4"/>
  <c r="BL92" i="4"/>
  <c r="BL79" i="4"/>
  <c r="BI79" i="4"/>
  <c r="DF79" i="4"/>
  <c r="BI60" i="4"/>
  <c r="BF60" i="4" s="1"/>
  <c r="DF60" i="4"/>
  <c r="BI23" i="4"/>
  <c r="BF23" i="4" s="1"/>
  <c r="DF23" i="4"/>
  <c r="DF59" i="4"/>
  <c r="BI59" i="4"/>
  <c r="DF72" i="4"/>
  <c r="BI72" i="4"/>
  <c r="DF73" i="4"/>
  <c r="BL73" i="4"/>
  <c r="BI73" i="4"/>
  <c r="DF80" i="4"/>
  <c r="BI80" i="4"/>
  <c r="DF69" i="4"/>
  <c r="BI69" i="4"/>
  <c r="DF95" i="4"/>
  <c r="BI95" i="4"/>
  <c r="DF75" i="4"/>
  <c r="BI75" i="4"/>
  <c r="H233" i="15" a="1"/>
  <c r="H233" i="15" s="1"/>
  <c r="F233" i="15" a="1"/>
  <c r="F233" i="15" s="1"/>
  <c r="AV360" i="13"/>
  <c r="AV460" i="13" s="1"/>
  <c r="U58" i="69" a="1"/>
  <c r="U58" i="69" s="1"/>
  <c r="AV581" i="13"/>
  <c r="DV79" i="4"/>
  <c r="DV92" i="4"/>
  <c r="I81" i="72"/>
  <c r="I81" i="69"/>
  <c r="BO4" i="72"/>
  <c r="BK4" i="69"/>
  <c r="O4" i="72"/>
  <c r="O4" i="69"/>
  <c r="F75" i="72"/>
  <c r="F75" i="69"/>
  <c r="I179" i="15" a="1"/>
  <c r="I179" i="15" s="1"/>
  <c r="DV73" i="4"/>
  <c r="AV575" i="13"/>
  <c r="I87" i="72"/>
  <c r="I87" i="69"/>
  <c r="DV70" i="4"/>
  <c r="AV572" i="13"/>
  <c r="AV593" i="13"/>
  <c r="DV91" i="4"/>
  <c r="I95" i="72"/>
  <c r="I95" i="69"/>
  <c r="I526" i="15" a="1"/>
  <c r="I526" i="15" s="1"/>
  <c r="U94" i="69" a="1"/>
  <c r="U94" i="69" s="1"/>
  <c r="BD94" i="69"/>
  <c r="BG94" i="69"/>
  <c r="R94" i="69"/>
  <c r="BP94" i="69"/>
  <c r="BO94" i="69" s="1"/>
  <c r="BR94" i="69" s="1"/>
  <c r="BQ94" i="69" a="1"/>
  <c r="BQ94" i="69" s="1"/>
  <c r="E94" i="69"/>
  <c r="H296" i="15" a="1"/>
  <c r="H296" i="15" s="1"/>
  <c r="E153" i="15"/>
  <c r="M531" i="15" a="1"/>
  <c r="M531" i="15" s="1"/>
  <c r="N531" i="15" a="1"/>
  <c r="N531" i="15" s="1"/>
  <c r="K531" i="15" a="1"/>
  <c r="K531" i="15" s="1"/>
  <c r="F446" i="15" a="1"/>
  <c r="F446" i="15" s="1"/>
  <c r="H446" i="15" a="1"/>
  <c r="H446" i="15" s="1"/>
  <c r="P58" i="9"/>
  <c r="H396" i="15" a="1"/>
  <c r="H396" i="15" s="1"/>
  <c r="F399" i="15" a="1"/>
  <c r="F399" i="15" s="1"/>
  <c r="H399" i="15" a="1"/>
  <c r="H399" i="15" s="1"/>
  <c r="P76" i="9"/>
  <c r="P5" i="9"/>
  <c r="IB37" i="71"/>
  <c r="P48" i="9"/>
  <c r="AR94" i="69"/>
  <c r="AQ96" i="72"/>
  <c r="HP37" i="71"/>
  <c r="P54" i="9"/>
  <c r="BZ94" i="72"/>
  <c r="BZ55" i="4" a="1"/>
  <c r="BZ55" i="4" s="1"/>
  <c r="BX55" i="4" s="1" a="1"/>
  <c r="BX55" i="4" s="1"/>
  <c r="BY55" i="4" a="1"/>
  <c r="BY55" i="4" s="1"/>
  <c r="AH76" i="4"/>
  <c r="AV1372" i="13" s="1"/>
  <c r="DE76" i="4"/>
  <c r="E76" i="4"/>
  <c r="BT76" i="4" s="1"/>
  <c r="DA85" i="4" a="1"/>
  <c r="DA85" i="4" s="1"/>
  <c r="DE85" i="4"/>
  <c r="E85" i="4"/>
  <c r="BT85" i="4" s="1"/>
  <c r="W30" i="72"/>
  <c r="AA30" i="72"/>
  <c r="AC30" i="72"/>
  <c r="J30" i="72"/>
  <c r="BY30" i="72"/>
  <c r="M30" i="72"/>
  <c r="AB30" i="72" a="1"/>
  <c r="AB30" i="72" s="1"/>
  <c r="BF30" i="72"/>
  <c r="G30" i="72"/>
  <c r="A30" i="72"/>
  <c r="BG30" i="72"/>
  <c r="N30" i="72" a="1"/>
  <c r="N30" i="72" s="1"/>
  <c r="Y30" i="72"/>
  <c r="AV30" i="72"/>
  <c r="AW30" i="72"/>
  <c r="S30" i="72"/>
  <c r="T30" i="72"/>
  <c r="V30" i="72"/>
  <c r="B30" i="72" s="1"/>
  <c r="Z30" i="72"/>
  <c r="P30" i="72"/>
  <c r="AD30" i="72"/>
  <c r="Q30" i="72"/>
  <c r="F85" i="72"/>
  <c r="F52" i="72"/>
  <c r="AV1218" i="13"/>
  <c r="AL63" i="4"/>
  <c r="I53" i="69"/>
  <c r="AX1338" i="13"/>
  <c r="A1437" i="13"/>
  <c r="A1252" i="13"/>
  <c r="AX1153" i="13"/>
  <c r="H540" i="15" a="1"/>
  <c r="H540" i="15" s="1"/>
  <c r="F540" i="15" a="1"/>
  <c r="F540" i="15" s="1"/>
  <c r="AP66" i="4"/>
  <c r="AV368" i="13" s="1"/>
  <c r="AV468" i="13" s="1"/>
  <c r="N86" i="72" a="1"/>
  <c r="N86" i="72" s="1"/>
  <c r="BF86" i="72"/>
  <c r="BY86" i="72"/>
  <c r="A86" i="72"/>
  <c r="AW86" i="72"/>
  <c r="AV86" i="72"/>
  <c r="AB86" i="72" a="1"/>
  <c r="AB86" i="72" s="1"/>
  <c r="AC86" i="72"/>
  <c r="AA86" i="72"/>
  <c r="BG86" i="72"/>
  <c r="P86" i="72"/>
  <c r="V86" i="72"/>
  <c r="W86" i="72"/>
  <c r="T86" i="72"/>
  <c r="Y86" i="72"/>
  <c r="Z86" i="72"/>
  <c r="M86" i="72"/>
  <c r="Q86" i="72"/>
  <c r="J86" i="72"/>
  <c r="L86" i="72"/>
  <c r="AD86" i="72"/>
  <c r="I91" i="72"/>
  <c r="M538" i="15" a="1"/>
  <c r="M538" i="15" s="1"/>
  <c r="AA90" i="72"/>
  <c r="AW90" i="72"/>
  <c r="N90" i="72" a="1"/>
  <c r="N90" i="72" s="1"/>
  <c r="A90" i="72"/>
  <c r="BG90" i="72"/>
  <c r="P90" i="72"/>
  <c r="Q90" i="72"/>
  <c r="S90" i="72"/>
  <c r="BF90" i="72"/>
  <c r="Z90" i="72"/>
  <c r="T90" i="72"/>
  <c r="BY90" i="72"/>
  <c r="AD90" i="72"/>
  <c r="L90" i="72"/>
  <c r="Y90" i="72"/>
  <c r="AC90" i="72"/>
  <c r="AB90" i="72" a="1"/>
  <c r="AB90" i="72" s="1"/>
  <c r="AV90" i="72"/>
  <c r="J90" i="72"/>
  <c r="W90" i="72"/>
  <c r="M90" i="72"/>
  <c r="V90" i="72"/>
  <c r="B90" i="72" s="1"/>
  <c r="F28" i="69"/>
  <c r="N653" i="15" a="1"/>
  <c r="N653" i="15" s="1"/>
  <c r="AX1310" i="13"/>
  <c r="A1409" i="13"/>
  <c r="AX1340" i="13"/>
  <c r="A1439" i="13"/>
  <c r="F471" i="15" a="1"/>
  <c r="F471" i="15" s="1"/>
  <c r="H471" i="15" a="1"/>
  <c r="H471" i="15" s="1"/>
  <c r="DD31" i="4" a="1"/>
  <c r="DD31" i="4" s="1"/>
  <c r="DD33" i="4" a="1"/>
  <c r="DD33" i="4" s="1"/>
  <c r="DD27" i="4" a="1"/>
  <c r="DD27" i="4" s="1"/>
  <c r="DD52" i="4" a="1"/>
  <c r="DD52" i="4" s="1"/>
  <c r="BI58" i="72"/>
  <c r="T46" i="69"/>
  <c r="N46" i="69" a="1"/>
  <c r="N46" i="69" s="1"/>
  <c r="M46" i="69"/>
  <c r="BU46" i="69"/>
  <c r="P46" i="69"/>
  <c r="BB46" i="69"/>
  <c r="Z46" i="69"/>
  <c r="U46" i="69" a="1"/>
  <c r="U46" i="69" s="1"/>
  <c r="W46" i="69"/>
  <c r="V46" i="69"/>
  <c r="B46" i="69" s="1"/>
  <c r="BC46" i="69"/>
  <c r="AR46" i="69"/>
  <c r="Q46" i="69"/>
  <c r="Y46" i="69"/>
  <c r="G46" i="69"/>
  <c r="AS46" i="69"/>
  <c r="J46" i="69"/>
  <c r="AB46" i="69" a="1"/>
  <c r="AB46" i="69" s="1"/>
  <c r="AA46" i="69"/>
  <c r="S46" i="69"/>
  <c r="A46" i="69"/>
  <c r="AC46" i="69"/>
  <c r="P29" i="69"/>
  <c r="W29" i="69"/>
  <c r="BP29" i="69" s="1"/>
  <c r="T29" i="69"/>
  <c r="AC29" i="69"/>
  <c r="G29" i="69"/>
  <c r="A29" i="69"/>
  <c r="BU29" i="69"/>
  <c r="Y29" i="69"/>
  <c r="BC29" i="69"/>
  <c r="U29" i="69" a="1"/>
  <c r="U29" i="69" s="1"/>
  <c r="AA29" i="69"/>
  <c r="S29" i="69"/>
  <c r="Q29" i="69"/>
  <c r="M29" i="69"/>
  <c r="V29" i="69"/>
  <c r="B29" i="69" s="1"/>
  <c r="AR29" i="69"/>
  <c r="AS29" i="69"/>
  <c r="N29" i="69" a="1"/>
  <c r="N29" i="69" s="1"/>
  <c r="L29" i="69"/>
  <c r="J29" i="69"/>
  <c r="BB29" i="69"/>
  <c r="AB29" i="69" a="1"/>
  <c r="AB29" i="69" s="1"/>
  <c r="Z29" i="69"/>
  <c r="Z70" i="72"/>
  <c r="Y70" i="72"/>
  <c r="T70" i="72"/>
  <c r="BF70" i="72"/>
  <c r="Q70" i="72"/>
  <c r="AB70" i="72" a="1"/>
  <c r="AB70" i="72" s="1"/>
  <c r="AD70" i="72"/>
  <c r="J70" i="72"/>
  <c r="BG70" i="72"/>
  <c r="BY70" i="72"/>
  <c r="A70" i="72"/>
  <c r="L70" i="72"/>
  <c r="AA70" i="72"/>
  <c r="P70" i="72"/>
  <c r="W70" i="72"/>
  <c r="BU70" i="72" s="1" a="1"/>
  <c r="BU70" i="72" s="1"/>
  <c r="AV70" i="72"/>
  <c r="AW70" i="72"/>
  <c r="N70" i="72" a="1"/>
  <c r="N70" i="72" s="1"/>
  <c r="AC70" i="72"/>
  <c r="M70" i="72"/>
  <c r="V70" i="72"/>
  <c r="G70" i="72"/>
  <c r="I50" i="72"/>
  <c r="AL89" i="4"/>
  <c r="E89" i="4"/>
  <c r="BT89" i="4" s="1"/>
  <c r="DE89" i="4"/>
  <c r="BP58" i="69"/>
  <c r="BD58" i="69"/>
  <c r="R58" i="69"/>
  <c r="BG58" i="69"/>
  <c r="K662" i="15" a="1"/>
  <c r="K662" i="15" s="1"/>
  <c r="H662" i="15" a="1"/>
  <c r="H662" i="15" s="1"/>
  <c r="F662" i="15" a="1"/>
  <c r="F662" i="15" s="1"/>
  <c r="AX1325" i="13"/>
  <c r="A1424" i="13"/>
  <c r="Q35" i="69"/>
  <c r="Z35" i="69"/>
  <c r="T35" i="69"/>
  <c r="BC35" i="69"/>
  <c r="M35" i="69"/>
  <c r="BU35" i="69"/>
  <c r="AR35" i="69"/>
  <c r="BB35" i="69"/>
  <c r="N35" i="69" a="1"/>
  <c r="N35" i="69" s="1"/>
  <c r="P35" i="69"/>
  <c r="A35" i="69"/>
  <c r="AS35" i="69"/>
  <c r="U35" i="69" a="1"/>
  <c r="U35" i="69" s="1"/>
  <c r="AB35" i="69" a="1"/>
  <c r="AB35" i="69" s="1"/>
  <c r="G35" i="69"/>
  <c r="W35" i="69"/>
  <c r="BP35" i="69" s="1"/>
  <c r="L35" i="69"/>
  <c r="Y35" i="69"/>
  <c r="S35" i="69"/>
  <c r="AC35" i="69"/>
  <c r="AA35" i="69"/>
  <c r="V35" i="69"/>
  <c r="B35" i="69" s="1"/>
  <c r="J35" i="69"/>
  <c r="Z70" i="4"/>
  <c r="AV1267" i="13" s="1"/>
  <c r="AD79" i="4"/>
  <c r="AP89" i="4"/>
  <c r="AV391" i="13" s="1"/>
  <c r="AV491" i="13" s="1"/>
  <c r="V64" i="69"/>
  <c r="B64" i="69" s="1"/>
  <c r="P64" i="69"/>
  <c r="AC64" i="69"/>
  <c r="AA64" i="69"/>
  <c r="AS64" i="69"/>
  <c r="BU64" i="69"/>
  <c r="M64" i="69"/>
  <c r="Z64" i="69"/>
  <c r="T64" i="69"/>
  <c r="J64" i="69"/>
  <c r="AB64" i="69" a="1"/>
  <c r="AB64" i="69" s="1"/>
  <c r="U64" i="69" a="1"/>
  <c r="U64" i="69" s="1"/>
  <c r="W64" i="69"/>
  <c r="A64" i="69"/>
  <c r="L64" i="69"/>
  <c r="Y64" i="69"/>
  <c r="Q64" i="69"/>
  <c r="N64" i="69" a="1"/>
  <c r="N64" i="69" s="1"/>
  <c r="G64" i="69"/>
  <c r="BC64" i="69"/>
  <c r="BB64" i="69"/>
  <c r="AR64" i="69"/>
  <c r="S64" i="69"/>
  <c r="AD68" i="4"/>
  <c r="F21" i="72"/>
  <c r="F16" i="69"/>
  <c r="A1464" i="13"/>
  <c r="AX1365" i="13"/>
  <c r="AL96" i="4"/>
  <c r="I96" i="72" s="1"/>
  <c r="A1466" i="13"/>
  <c r="AX1367" i="13"/>
  <c r="U38" i="69" a="1"/>
  <c r="U38" i="69" s="1"/>
  <c r="J38" i="69"/>
  <c r="S38" i="69"/>
  <c r="BU38" i="69"/>
  <c r="BB38" i="69"/>
  <c r="Y38" i="69"/>
  <c r="T38" i="69"/>
  <c r="BC38" i="69"/>
  <c r="AA38" i="69"/>
  <c r="AS38" i="69"/>
  <c r="W38" i="69"/>
  <c r="BP38" i="69" s="1"/>
  <c r="V38" i="69"/>
  <c r="B38" i="69" s="1"/>
  <c r="AR38" i="69"/>
  <c r="P38" i="69"/>
  <c r="M38" i="69"/>
  <c r="AB38" i="69" a="1"/>
  <c r="AB38" i="69" s="1"/>
  <c r="AC38" i="69"/>
  <c r="N38" i="69" a="1"/>
  <c r="N38" i="69" s="1"/>
  <c r="A38" i="69"/>
  <c r="Q38" i="69"/>
  <c r="Z38" i="69"/>
  <c r="G38" i="69"/>
  <c r="BQ38" i="69" a="1"/>
  <c r="BQ38" i="69" s="1"/>
  <c r="AD95" i="4"/>
  <c r="AX1323" i="13"/>
  <c r="A1422" i="13"/>
  <c r="I646" i="15" a="1"/>
  <c r="I646" i="15" s="1"/>
  <c r="L654" i="15" a="1"/>
  <c r="L654" i="15" s="1"/>
  <c r="N540" i="15" a="1"/>
  <c r="N540" i="15" s="1"/>
  <c r="F494" i="15" a="1"/>
  <c r="F494" i="15" s="1"/>
  <c r="X4" i="4"/>
  <c r="AL57" i="4"/>
  <c r="DE57" i="4"/>
  <c r="E57" i="4"/>
  <c r="CA47" i="4"/>
  <c r="AV47" i="4" a="1"/>
  <c r="AV47" i="4" s="1"/>
  <c r="C47" i="72" s="1"/>
  <c r="AU47" i="4"/>
  <c r="AT47" i="4" a="1"/>
  <c r="AT47" i="4" s="1"/>
  <c r="H47" i="69" s="1"/>
  <c r="Y47" i="4"/>
  <c r="BQ47" i="4"/>
  <c r="AX1320" i="13"/>
  <c r="A1419" i="13"/>
  <c r="BM17" i="4"/>
  <c r="BE17" i="4" s="1" a="1"/>
  <c r="BE17" i="4" s="1"/>
  <c r="AV519" i="13"/>
  <c r="DV17" i="4"/>
  <c r="BH17" i="4"/>
  <c r="G50" i="72"/>
  <c r="V50" i="72"/>
  <c r="B50" i="72" s="1"/>
  <c r="N50" i="72" a="1"/>
  <c r="N50" i="72" s="1"/>
  <c r="Y50" i="72"/>
  <c r="T50" i="72"/>
  <c r="P50" i="72"/>
  <c r="Z50" i="72"/>
  <c r="BG50" i="72"/>
  <c r="AA50" i="72"/>
  <c r="M50" i="72"/>
  <c r="AB50" i="72" a="1"/>
  <c r="AB50" i="72" s="1"/>
  <c r="BY50" i="72"/>
  <c r="A50" i="72"/>
  <c r="BF50" i="72"/>
  <c r="AW50" i="72"/>
  <c r="W50" i="72"/>
  <c r="BT50" i="72" s="1"/>
  <c r="J50" i="72"/>
  <c r="S50" i="72"/>
  <c r="AD50" i="72"/>
  <c r="AC50" i="72"/>
  <c r="Q50" i="72"/>
  <c r="AV50" i="72"/>
  <c r="L50" i="72"/>
  <c r="AH74" i="4"/>
  <c r="AV1370" i="13" s="1"/>
  <c r="Z87" i="4"/>
  <c r="AV1284" i="13" s="1"/>
  <c r="F354" i="15" a="1"/>
  <c r="F354" i="15" s="1"/>
  <c r="H646" i="15" a="1"/>
  <c r="H646" i="15" s="1"/>
  <c r="AX1335" i="13"/>
  <c r="A1434" i="13"/>
  <c r="AW4" i="69" a="1"/>
  <c r="AW4" i="69" s="1"/>
  <c r="BD6" i="4"/>
  <c r="X6" i="4" s="1"/>
  <c r="BF54" i="4"/>
  <c r="BF18" i="4"/>
  <c r="BF64" i="4"/>
  <c r="BF13" i="4"/>
  <c r="AX1345" i="13"/>
  <c r="A1444" i="13"/>
  <c r="DV45" i="4"/>
  <c r="AV547" i="13"/>
  <c r="BH45" i="4"/>
  <c r="BM45" i="4"/>
  <c r="BE45" i="4" s="1" a="1"/>
  <c r="BE45" i="4" s="1"/>
  <c r="T16" i="72"/>
  <c r="G16" i="72"/>
  <c r="BY16" i="72"/>
  <c r="BG16" i="72"/>
  <c r="K16" i="72" a="1"/>
  <c r="K16" i="72" s="1"/>
  <c r="AC16" i="72"/>
  <c r="AB16" i="72" a="1"/>
  <c r="AB16" i="72" s="1"/>
  <c r="A16" i="72"/>
  <c r="P16" i="72"/>
  <c r="S16" i="72"/>
  <c r="AW16" i="72"/>
  <c r="Q16" i="72"/>
  <c r="AV16" i="72"/>
  <c r="M16" i="72"/>
  <c r="AD16" i="72"/>
  <c r="Z16" i="72"/>
  <c r="V16" i="72"/>
  <c r="B16" i="72" s="1"/>
  <c r="J16" i="72"/>
  <c r="BF16" i="72"/>
  <c r="AA16" i="72"/>
  <c r="Y16" i="72"/>
  <c r="W16" i="72"/>
  <c r="BT16" i="72" s="1"/>
  <c r="N16" i="72" a="1"/>
  <c r="N16" i="72" s="1"/>
  <c r="F17" i="69"/>
  <c r="E67" i="4"/>
  <c r="BT67" i="4" s="1"/>
  <c r="DE67" i="4"/>
  <c r="AX1357" i="13"/>
  <c r="A1456" i="13"/>
  <c r="A74" i="69"/>
  <c r="Y74" i="69"/>
  <c r="AS74" i="69"/>
  <c r="V74" i="69"/>
  <c r="BC74" i="69"/>
  <c r="AA74" i="69"/>
  <c r="Z74" i="69"/>
  <c r="T74" i="69"/>
  <c r="P74" i="69"/>
  <c r="AR74" i="69"/>
  <c r="W74" i="69"/>
  <c r="AC74" i="69"/>
  <c r="AB74" i="69" a="1"/>
  <c r="AB74" i="69" s="1"/>
  <c r="BB74" i="69"/>
  <c r="J74" i="69"/>
  <c r="BU74" i="69"/>
  <c r="N74" i="69" a="1"/>
  <c r="N74" i="69" s="1"/>
  <c r="M74" i="69"/>
  <c r="Q74" i="69"/>
  <c r="AX1308" i="13"/>
  <c r="A1407" i="13"/>
  <c r="P21" i="9"/>
  <c r="K608" i="15" a="1"/>
  <c r="K608" i="15" s="1"/>
  <c r="N608" i="15" a="1"/>
  <c r="N608" i="15" s="1"/>
  <c r="L608" i="15" a="1"/>
  <c r="L608" i="15" s="1"/>
  <c r="BE96" i="69"/>
  <c r="BF96" i="69"/>
  <c r="AG94" i="72"/>
  <c r="E357" i="15"/>
  <c r="BI96" i="72"/>
  <c r="BJ96" i="72"/>
  <c r="E190" i="15"/>
  <c r="F185" i="15" s="1" a="1"/>
  <c r="F185" i="15" s="1"/>
  <c r="BE94" i="69"/>
  <c r="BF94" i="69"/>
  <c r="IH37" i="71"/>
  <c r="F474" i="15" a="1"/>
  <c r="F474" i="15" s="1"/>
  <c r="F402" i="15" a="1"/>
  <c r="F402" i="15" s="1"/>
  <c r="H402" i="15" a="1"/>
  <c r="H402" i="15" s="1"/>
  <c r="M500" i="15" a="1"/>
  <c r="M500" i="15" s="1"/>
  <c r="H102" i="15" a="1"/>
  <c r="H102" i="15" s="1"/>
  <c r="H310" i="15" a="1"/>
  <c r="H310" i="15" s="1"/>
  <c r="P8" i="9"/>
  <c r="P12" i="9"/>
  <c r="L500" i="15" a="1"/>
  <c r="L500" i="15" s="1"/>
  <c r="P72" i="9"/>
  <c r="P97" i="9"/>
  <c r="AX94" i="69" a="1"/>
  <c r="AX94" i="69" s="1"/>
  <c r="F390" i="15" a="1"/>
  <c r="F390" i="15" s="1"/>
  <c r="H390" i="15" a="1"/>
  <c r="H390" i="15" s="1"/>
  <c r="N554" i="15" a="1"/>
  <c r="N554" i="15" s="1"/>
  <c r="M554" i="15" a="1"/>
  <c r="M554" i="15" s="1"/>
  <c r="K554" i="15" a="1"/>
  <c r="K554" i="15" s="1"/>
  <c r="AX55" i="4"/>
  <c r="AX97" i="4" s="1"/>
  <c r="CU55" i="4"/>
  <c r="M497" i="15" a="1"/>
  <c r="M497" i="15" s="1"/>
  <c r="A30" i="69"/>
  <c r="AB30" i="69" a="1"/>
  <c r="AB30" i="69" s="1"/>
  <c r="BB30" i="69"/>
  <c r="G30" i="69"/>
  <c r="BU30" i="69"/>
  <c r="Y30" i="69"/>
  <c r="U30" i="69" a="1"/>
  <c r="U30" i="69" s="1"/>
  <c r="J30" i="69"/>
  <c r="AS30" i="69"/>
  <c r="S30" i="69"/>
  <c r="W30" i="69"/>
  <c r="BP30" i="69" s="1"/>
  <c r="AC30" i="69"/>
  <c r="AR30" i="69"/>
  <c r="BC30" i="69"/>
  <c r="AA30" i="69"/>
  <c r="T30" i="69"/>
  <c r="V30" i="69"/>
  <c r="B30" i="69" s="1"/>
  <c r="M30" i="69"/>
  <c r="N30" i="69" a="1"/>
  <c r="N30" i="69" s="1"/>
  <c r="P30" i="69"/>
  <c r="Q30" i="69"/>
  <c r="Z30" i="69"/>
  <c r="L30" i="69"/>
  <c r="V43" i="72"/>
  <c r="B43" i="72" s="1"/>
  <c r="A43" i="72"/>
  <c r="S43" i="72"/>
  <c r="T43" i="72"/>
  <c r="AV43" i="72"/>
  <c r="Z43" i="72"/>
  <c r="Q43" i="72"/>
  <c r="AW43" i="72"/>
  <c r="AB43" i="72" a="1"/>
  <c r="AB43" i="72" s="1"/>
  <c r="AA43" i="72"/>
  <c r="AD43" i="72"/>
  <c r="W43" i="72"/>
  <c r="BT43" i="72" s="1"/>
  <c r="BY43" i="72"/>
  <c r="G43" i="72"/>
  <c r="J43" i="72"/>
  <c r="AC43" i="72"/>
  <c r="BF43" i="72"/>
  <c r="BG43" i="72"/>
  <c r="Y43" i="72"/>
  <c r="P43" i="72"/>
  <c r="N43" i="72" a="1"/>
  <c r="N43" i="72" s="1"/>
  <c r="M43" i="72"/>
  <c r="I247" i="15" a="1"/>
  <c r="I247" i="15" s="1"/>
  <c r="AR86" i="69"/>
  <c r="AB86" i="69" a="1"/>
  <c r="AB86" i="69" s="1"/>
  <c r="BC86" i="69"/>
  <c r="Z86" i="69"/>
  <c r="AS86" i="69"/>
  <c r="M86" i="69"/>
  <c r="Q86" i="69"/>
  <c r="T86" i="69"/>
  <c r="N86" i="69" a="1"/>
  <c r="N86" i="69" s="1"/>
  <c r="L86" i="69"/>
  <c r="P86" i="69"/>
  <c r="Y86" i="69"/>
  <c r="BB86" i="69"/>
  <c r="BU86" i="69"/>
  <c r="J86" i="69"/>
  <c r="V86" i="69"/>
  <c r="A86" i="69"/>
  <c r="AC86" i="69"/>
  <c r="W86" i="69"/>
  <c r="BQ86" i="69" s="1" a="1"/>
  <c r="BQ86" i="69" s="1"/>
  <c r="AA86" i="69"/>
  <c r="AD63" i="4"/>
  <c r="AV536" i="13"/>
  <c r="BH34" i="4"/>
  <c r="BM34" i="4"/>
  <c r="BE34" i="4" s="1" a="1"/>
  <c r="BE34" i="4" s="1"/>
  <c r="DV34" i="4"/>
  <c r="CA38" i="4"/>
  <c r="AV38" i="4" a="1"/>
  <c r="AV38" i="4" s="1"/>
  <c r="C38" i="72" s="1"/>
  <c r="Y38" i="4"/>
  <c r="AT38" i="4" a="1"/>
  <c r="AT38" i="4" s="1"/>
  <c r="H38" i="72" s="1"/>
  <c r="AU38" i="4"/>
  <c r="BQ38" i="4"/>
  <c r="AA90" i="69"/>
  <c r="BB90" i="69"/>
  <c r="Z90" i="69"/>
  <c r="S90" i="69"/>
  <c r="BU90" i="69"/>
  <c r="Q90" i="69"/>
  <c r="AS90" i="69"/>
  <c r="P90" i="69"/>
  <c r="W90" i="69"/>
  <c r="BP90" i="69" s="1"/>
  <c r="AR90" i="69"/>
  <c r="Y90" i="69"/>
  <c r="A90" i="69"/>
  <c r="J90" i="69"/>
  <c r="L90" i="69"/>
  <c r="T90" i="69"/>
  <c r="AB90" i="69" a="1"/>
  <c r="AB90" i="69" s="1"/>
  <c r="V90" i="69"/>
  <c r="B90" i="69" s="1"/>
  <c r="BC90" i="69"/>
  <c r="AC90" i="69"/>
  <c r="N90" i="69" a="1"/>
  <c r="N90" i="69" s="1"/>
  <c r="M90" i="69"/>
  <c r="U90" i="69" a="1"/>
  <c r="U90" i="69" s="1"/>
  <c r="K653" i="15" a="1"/>
  <c r="K653" i="15" s="1"/>
  <c r="AP67" i="4"/>
  <c r="AV369" i="13" s="1"/>
  <c r="AV469" i="13" s="1"/>
  <c r="DD49" i="4" a="1"/>
  <c r="DD49" i="4" s="1"/>
  <c r="DD46" i="4" a="1"/>
  <c r="DD46" i="4" s="1"/>
  <c r="DD38" i="4" a="1"/>
  <c r="DD38" i="4" s="1"/>
  <c r="AU44" i="4"/>
  <c r="Y44" i="4"/>
  <c r="AV44" i="4" a="1"/>
  <c r="AV44" i="4" s="1"/>
  <c r="C44" i="69" s="1"/>
  <c r="AT44" i="4" a="1"/>
  <c r="AT44" i="4" s="1"/>
  <c r="H44" i="72" s="1"/>
  <c r="BQ44" i="4"/>
  <c r="AV553" i="13"/>
  <c r="BH51" i="4"/>
  <c r="BM51" i="4"/>
  <c r="BE51" i="4" s="1" a="1"/>
  <c r="BE51" i="4" s="1"/>
  <c r="DV51" i="4"/>
  <c r="AV544" i="13"/>
  <c r="BH42" i="4"/>
  <c r="DV42" i="4"/>
  <c r="BM42" i="4"/>
  <c r="BE42" i="4" s="1" a="1"/>
  <c r="BE42" i="4" s="1"/>
  <c r="AU16" i="4"/>
  <c r="AV16" i="4" a="1"/>
  <c r="AV16" i="4" s="1"/>
  <c r="C16" i="69" s="1"/>
  <c r="Y16" i="4"/>
  <c r="AT16" i="4" a="1"/>
  <c r="AT16" i="4" s="1"/>
  <c r="H16" i="72" s="1"/>
  <c r="BQ16" i="4"/>
  <c r="A69" i="72"/>
  <c r="S69" i="72"/>
  <c r="AD69" i="72"/>
  <c r="BF69" i="72"/>
  <c r="AC69" i="72"/>
  <c r="BY69" i="72"/>
  <c r="N69" i="72" a="1"/>
  <c r="N69" i="72" s="1"/>
  <c r="AV69" i="72"/>
  <c r="Z69" i="72"/>
  <c r="M69" i="72"/>
  <c r="Y69" i="72"/>
  <c r="J69" i="72"/>
  <c r="T69" i="72"/>
  <c r="Q69" i="72"/>
  <c r="AW69" i="72"/>
  <c r="AA69" i="72"/>
  <c r="BG69" i="72"/>
  <c r="AB69" i="72" a="1"/>
  <c r="AB69" i="72" s="1"/>
  <c r="W69" i="72"/>
  <c r="BU69" i="72" s="1" a="1"/>
  <c r="BU69" i="72" s="1"/>
  <c r="P69" i="72"/>
  <c r="V69" i="72"/>
  <c r="B69" i="72" s="1"/>
  <c r="AD29" i="72"/>
  <c r="G29" i="72"/>
  <c r="A29" i="72"/>
  <c r="N29" i="72" a="1"/>
  <c r="N29" i="72" s="1"/>
  <c r="Y29" i="72"/>
  <c r="AV29" i="72"/>
  <c r="M29" i="72"/>
  <c r="AA29" i="72"/>
  <c r="AC29" i="72"/>
  <c r="BG29" i="72"/>
  <c r="Q29" i="72"/>
  <c r="AB29" i="72" a="1"/>
  <c r="AB29" i="72" s="1"/>
  <c r="J29" i="72"/>
  <c r="BY29" i="72"/>
  <c r="V29" i="72"/>
  <c r="B29" i="72" s="1"/>
  <c r="S29" i="72"/>
  <c r="L29" i="72"/>
  <c r="W29" i="72"/>
  <c r="BT29" i="72" s="1"/>
  <c r="P29" i="72"/>
  <c r="BF29" i="72"/>
  <c r="Z29" i="72"/>
  <c r="AW29" i="72"/>
  <c r="T29" i="72"/>
  <c r="AS70" i="69"/>
  <c r="BB70" i="69"/>
  <c r="P70" i="69"/>
  <c r="N70" i="69" a="1"/>
  <c r="N70" i="69" s="1"/>
  <c r="AA70" i="69"/>
  <c r="M70" i="69"/>
  <c r="L70" i="69"/>
  <c r="AC70" i="69"/>
  <c r="Z70" i="69"/>
  <c r="V70" i="69"/>
  <c r="Q70" i="69"/>
  <c r="Y70" i="69"/>
  <c r="T70" i="69"/>
  <c r="J70" i="69"/>
  <c r="W70" i="69"/>
  <c r="A70" i="69"/>
  <c r="AR70" i="69"/>
  <c r="AB70" i="69" a="1"/>
  <c r="AB70" i="69" s="1"/>
  <c r="BU70" i="69"/>
  <c r="BC70" i="69"/>
  <c r="G70" i="69"/>
  <c r="H615" i="15" a="1"/>
  <c r="H615" i="15" s="1"/>
  <c r="F615" i="15" a="1"/>
  <c r="F615" i="15" s="1"/>
  <c r="K615" i="15" a="1"/>
  <c r="K615" i="15" s="1"/>
  <c r="P35" i="72"/>
  <c r="L35" i="72"/>
  <c r="Z35" i="72"/>
  <c r="AV35" i="72"/>
  <c r="M35" i="72"/>
  <c r="S35" i="72"/>
  <c r="AA35" i="72"/>
  <c r="AB35" i="72" a="1"/>
  <c r="AB35" i="72" s="1"/>
  <c r="AD35" i="72"/>
  <c r="BG35" i="72"/>
  <c r="Q35" i="72"/>
  <c r="J35" i="72"/>
  <c r="BF35" i="72"/>
  <c r="BY35" i="72"/>
  <c r="W35" i="72"/>
  <c r="V35" i="72"/>
  <c r="B35" i="72" s="1"/>
  <c r="AC35" i="72"/>
  <c r="Y35" i="72"/>
  <c r="N35" i="72" a="1"/>
  <c r="N35" i="72" s="1"/>
  <c r="A35" i="72"/>
  <c r="AW35" i="72"/>
  <c r="G35" i="72"/>
  <c r="T35" i="72"/>
  <c r="I51" i="27"/>
  <c r="I19" i="27" s="1"/>
  <c r="N648" i="15" a="1"/>
  <c r="N648" i="15" s="1"/>
  <c r="Z62" i="4"/>
  <c r="AV1259" i="13" s="1"/>
  <c r="DE62" i="4"/>
  <c r="E62" i="4"/>
  <c r="BT62" i="4" s="1"/>
  <c r="CW62" i="4"/>
  <c r="CX62" i="4" s="1"/>
  <c r="AX1387" i="13"/>
  <c r="A1486" i="13"/>
  <c r="T78" i="69"/>
  <c r="P78" i="69"/>
  <c r="L78" i="69"/>
  <c r="BU78" i="69"/>
  <c r="AA78" i="69"/>
  <c r="Z78" i="69"/>
  <c r="Q78" i="69"/>
  <c r="AR78" i="69"/>
  <c r="BB78" i="69"/>
  <c r="A78" i="69"/>
  <c r="BC78" i="69"/>
  <c r="J78" i="69"/>
  <c r="V78" i="69"/>
  <c r="AS78" i="69"/>
  <c r="AB78" i="69" a="1"/>
  <c r="AB78" i="69" s="1"/>
  <c r="M78" i="69"/>
  <c r="W78" i="69"/>
  <c r="AC78" i="69"/>
  <c r="Y78" i="69"/>
  <c r="N78" i="69" a="1"/>
  <c r="N78" i="69" s="1"/>
  <c r="Z96" i="4"/>
  <c r="F259" i="15" a="1"/>
  <c r="F259" i="15" s="1"/>
  <c r="H259" i="15" a="1"/>
  <c r="H259" i="15" s="1"/>
  <c r="E82" i="4"/>
  <c r="BT82" i="4" s="1"/>
  <c r="DE82" i="4"/>
  <c r="M634" i="15" a="1"/>
  <c r="M634" i="15" s="1"/>
  <c r="N632" i="15" a="1"/>
  <c r="N632" i="15" s="1"/>
  <c r="L632" i="15" a="1"/>
  <c r="L632" i="15" s="1"/>
  <c r="M632" i="15" a="1"/>
  <c r="M632" i="15" s="1"/>
  <c r="AP91" i="4"/>
  <c r="AV393" i="13" s="1"/>
  <c r="AV493" i="13" s="1"/>
  <c r="AD38" i="72"/>
  <c r="AB38" i="72" a="1"/>
  <c r="AB38" i="72" s="1"/>
  <c r="N38" i="72" a="1"/>
  <c r="N38" i="72" s="1"/>
  <c r="BY38" i="72"/>
  <c r="G38" i="72"/>
  <c r="J38" i="72"/>
  <c r="V38" i="72"/>
  <c r="B38" i="72" s="1"/>
  <c r="Z38" i="72"/>
  <c r="W38" i="72"/>
  <c r="BT38" i="72" s="1"/>
  <c r="BG38" i="72"/>
  <c r="AC38" i="72"/>
  <c r="AA38" i="72"/>
  <c r="Y38" i="72"/>
  <c r="M38" i="72"/>
  <c r="AW38" i="72"/>
  <c r="S38" i="72"/>
  <c r="A38" i="72"/>
  <c r="Q38" i="72"/>
  <c r="AV38" i="72"/>
  <c r="T38" i="72"/>
  <c r="BF38" i="72"/>
  <c r="P38" i="72"/>
  <c r="N52" i="69" a="1"/>
  <c r="N52" i="69" s="1"/>
  <c r="U52" i="69" a="1"/>
  <c r="U52" i="69" s="1"/>
  <c r="T52" i="69"/>
  <c r="BC52" i="69"/>
  <c r="M52" i="69"/>
  <c r="Y52" i="69"/>
  <c r="AB52" i="69" a="1"/>
  <c r="AB52" i="69" s="1"/>
  <c r="AS52" i="69"/>
  <c r="G52" i="69"/>
  <c r="W52" i="69"/>
  <c r="Q52" i="69"/>
  <c r="AC52" i="69"/>
  <c r="BU52" i="69"/>
  <c r="AR52" i="69"/>
  <c r="P52" i="69"/>
  <c r="A52" i="69"/>
  <c r="BB52" i="69"/>
  <c r="AA52" i="69"/>
  <c r="S52" i="69"/>
  <c r="J52" i="69"/>
  <c r="Z52" i="69"/>
  <c r="V52" i="69"/>
  <c r="B52" i="69" s="1"/>
  <c r="F261" i="15" a="1"/>
  <c r="F261" i="15" s="1"/>
  <c r="AX1383" i="13"/>
  <c r="A1482" i="13"/>
  <c r="M654" i="15" a="1"/>
  <c r="M654" i="15" s="1"/>
  <c r="O7" i="69"/>
  <c r="BM4" i="4"/>
  <c r="BE4" i="4" s="1" a="1"/>
  <c r="BE4" i="4" s="1"/>
  <c r="BM4" i="72"/>
  <c r="BI4" i="69"/>
  <c r="AD4" i="69"/>
  <c r="AH67" i="4"/>
  <c r="AV1363" i="13" s="1"/>
  <c r="A1416" i="13"/>
  <c r="AX1317" i="13"/>
  <c r="DV32" i="4"/>
  <c r="BH32" i="4"/>
  <c r="BM32" i="4"/>
  <c r="BE32" i="4" s="1" a="1"/>
  <c r="BE32" i="4" s="1"/>
  <c r="AV534" i="13"/>
  <c r="BM14" i="4"/>
  <c r="BE14" i="4" s="1" a="1"/>
  <c r="BE14" i="4" s="1"/>
  <c r="AV516" i="13"/>
  <c r="DV14" i="4"/>
  <c r="BH14" i="4"/>
  <c r="F141" i="15" a="1"/>
  <c r="F141" i="15" s="1"/>
  <c r="F242" i="15" a="1"/>
  <c r="F242" i="15" s="1"/>
  <c r="H242" i="15" a="1"/>
  <c r="H242" i="15" s="1"/>
  <c r="F69" i="4"/>
  <c r="BL69" i="4" s="1"/>
  <c r="A50" i="69"/>
  <c r="AB50" i="69" a="1"/>
  <c r="AB50" i="69" s="1"/>
  <c r="G50" i="69"/>
  <c r="BU50" i="69"/>
  <c r="L50" i="69"/>
  <c r="J50" i="69"/>
  <c r="Q50" i="69"/>
  <c r="U50" i="69" a="1"/>
  <c r="U50" i="69" s="1"/>
  <c r="AR50" i="69"/>
  <c r="N50" i="69" a="1"/>
  <c r="N50" i="69" s="1"/>
  <c r="S50" i="69"/>
  <c r="BB50" i="69"/>
  <c r="Y50" i="69"/>
  <c r="P50" i="69"/>
  <c r="M50" i="69"/>
  <c r="V50" i="69"/>
  <c r="B50" i="69" s="1"/>
  <c r="AA50" i="69"/>
  <c r="Z50" i="69"/>
  <c r="T50" i="69"/>
  <c r="BC50" i="69"/>
  <c r="W50" i="69"/>
  <c r="AS50" i="69"/>
  <c r="AC50" i="69"/>
  <c r="J93" i="69"/>
  <c r="M93" i="69"/>
  <c r="AA93" i="69"/>
  <c r="BU93" i="69"/>
  <c r="P93" i="69"/>
  <c r="Z93" i="69"/>
  <c r="BB93" i="69"/>
  <c r="Y93" i="69"/>
  <c r="AC93" i="69"/>
  <c r="W93" i="69"/>
  <c r="BP93" i="69" s="1"/>
  <c r="V93" i="69"/>
  <c r="B93" i="69" s="1"/>
  <c r="A93" i="69"/>
  <c r="N93" i="69" a="1"/>
  <c r="N93" i="69" s="1"/>
  <c r="AR93" i="69"/>
  <c r="G93" i="69"/>
  <c r="BC93" i="69"/>
  <c r="Q93" i="69"/>
  <c r="U93" i="69" a="1"/>
  <c r="U93" i="69" s="1"/>
  <c r="AB93" i="69" a="1"/>
  <c r="AB93" i="69" s="1"/>
  <c r="L93" i="69"/>
  <c r="T93" i="69"/>
  <c r="AS93" i="69"/>
  <c r="S93" i="69"/>
  <c r="F53" i="69"/>
  <c r="AX1339" i="13"/>
  <c r="A1438" i="13"/>
  <c r="AD10" i="69"/>
  <c r="AN4" i="69" a="1"/>
  <c r="AN4" i="69" s="1"/>
  <c r="L54" i="4"/>
  <c r="BG54" i="4"/>
  <c r="AV1152" i="13" s="1"/>
  <c r="BR54" i="4"/>
  <c r="BF52" i="4"/>
  <c r="L31" i="4"/>
  <c r="BR31" i="4"/>
  <c r="BK31" i="69" s="1"/>
  <c r="BG31" i="4"/>
  <c r="AV1129" i="13" s="1"/>
  <c r="X31" i="4"/>
  <c r="BG40" i="4"/>
  <c r="AV1138" i="13" s="1"/>
  <c r="BR40" i="4"/>
  <c r="BG6" i="4"/>
  <c r="AV1104" i="13" s="1"/>
  <c r="BG64" i="4"/>
  <c r="AV1162" i="13" s="1"/>
  <c r="BG13" i="4"/>
  <c r="AV1111" i="13" s="1"/>
  <c r="BR13" i="4"/>
  <c r="BK13" i="69" s="1"/>
  <c r="X13" i="4"/>
  <c r="BM41" i="4"/>
  <c r="BE41" i="4" s="1" a="1"/>
  <c r="BE41" i="4" s="1"/>
  <c r="BH41" i="4"/>
  <c r="AV543" i="13"/>
  <c r="DV41" i="4"/>
  <c r="I71" i="15" a="1"/>
  <c r="I71" i="15" s="1"/>
  <c r="BY74" i="72"/>
  <c r="Z74" i="72"/>
  <c r="AA74" i="72"/>
  <c r="BF74" i="72"/>
  <c r="AW74" i="72"/>
  <c r="AV74" i="72"/>
  <c r="BG74" i="72"/>
  <c r="A74" i="72"/>
  <c r="W74" i="72"/>
  <c r="BT74" i="72" s="1"/>
  <c r="AD74" i="72"/>
  <c r="Y74" i="72"/>
  <c r="J74" i="72"/>
  <c r="N74" i="72" a="1"/>
  <c r="N74" i="72" s="1"/>
  <c r="AC74" i="72"/>
  <c r="AB74" i="72" a="1"/>
  <c r="AB74" i="72" s="1"/>
  <c r="Q74" i="72"/>
  <c r="T74" i="72"/>
  <c r="V74" i="72"/>
  <c r="P74" i="72"/>
  <c r="M74" i="72"/>
  <c r="AH77" i="4"/>
  <c r="AV1373" i="13" s="1"/>
  <c r="DE77" i="4"/>
  <c r="E77" i="4"/>
  <c r="BT77" i="4" s="1"/>
  <c r="I307" i="15" a="1"/>
  <c r="I307" i="15" s="1"/>
  <c r="F481" i="15" a="1"/>
  <c r="F481" i="15" s="1"/>
  <c r="B94" i="69"/>
  <c r="I413" i="15" a="1"/>
  <c r="I413" i="15" s="1"/>
  <c r="L490" i="15" a="1"/>
  <c r="L490" i="15" s="1"/>
  <c r="GX37" i="71"/>
  <c r="E214" i="15"/>
  <c r="F210" i="15" s="1" a="1"/>
  <c r="F210" i="15" s="1"/>
  <c r="M519" i="15" a="1"/>
  <c r="M519" i="15" s="1"/>
  <c r="HJ37" i="71"/>
  <c r="HA37" i="71"/>
  <c r="H358" i="15" a="1"/>
  <c r="H358" i="15" s="1"/>
  <c r="BI95" i="72"/>
  <c r="BJ95" i="72"/>
  <c r="M663" i="15" a="1"/>
  <c r="M663" i="15" s="1"/>
  <c r="IQ37" i="71"/>
  <c r="P71" i="9"/>
  <c r="IE37" i="71"/>
  <c r="P66" i="9"/>
  <c r="M560" i="15" a="1"/>
  <c r="M560" i="15" s="1"/>
  <c r="N560" i="15" a="1"/>
  <c r="N560" i="15" s="1"/>
  <c r="K560" i="15" a="1"/>
  <c r="K560" i="15" s="1"/>
  <c r="DE58" i="4"/>
  <c r="E58" i="4"/>
  <c r="BT58" i="4" s="1"/>
  <c r="AH58" i="4"/>
  <c r="AL58" i="4"/>
  <c r="AD58" i="4"/>
  <c r="Z58" i="4"/>
  <c r="K497" i="15" a="1"/>
  <c r="K497" i="15" s="1"/>
  <c r="F91" i="15" a="1"/>
  <c r="F91" i="15" s="1"/>
  <c r="A80" i="72"/>
  <c r="BF80" i="72"/>
  <c r="W80" i="72"/>
  <c r="S80" i="72"/>
  <c r="AC80" i="72"/>
  <c r="AA80" i="72"/>
  <c r="J80" i="72"/>
  <c r="Q80" i="72"/>
  <c r="AB80" i="72" a="1"/>
  <c r="AB80" i="72" s="1"/>
  <c r="BG80" i="72"/>
  <c r="N80" i="72" a="1"/>
  <c r="N80" i="72" s="1"/>
  <c r="Y80" i="72"/>
  <c r="BY80" i="72"/>
  <c r="M80" i="72"/>
  <c r="AV80" i="72"/>
  <c r="AD80" i="72"/>
  <c r="V80" i="72"/>
  <c r="B80" i="72" s="1"/>
  <c r="AW80" i="72"/>
  <c r="P80" i="72"/>
  <c r="T80" i="72"/>
  <c r="L80" i="72"/>
  <c r="Z80" i="72"/>
  <c r="G80" i="72"/>
  <c r="F24" i="72"/>
  <c r="AV3" i="4" a="1"/>
  <c r="AV3" i="4" s="1"/>
  <c r="AU3" i="4"/>
  <c r="AT3" i="4" a="1"/>
  <c r="AT3" i="4" s="1"/>
  <c r="Y3" i="4"/>
  <c r="CA3" i="4"/>
  <c r="CY3" i="4"/>
  <c r="CZ3" i="4" s="1"/>
  <c r="F3" i="9" s="1"/>
  <c r="J3" i="9" s="1"/>
  <c r="AR43" i="69"/>
  <c r="AA43" i="69"/>
  <c r="N43" i="69" a="1"/>
  <c r="N43" i="69" s="1"/>
  <c r="BC43" i="69"/>
  <c r="W43" i="69"/>
  <c r="J43" i="69"/>
  <c r="S43" i="69"/>
  <c r="BB43" i="69"/>
  <c r="M43" i="69"/>
  <c r="AS43" i="69"/>
  <c r="Q43" i="69"/>
  <c r="Z43" i="69"/>
  <c r="P43" i="69"/>
  <c r="V43" i="69"/>
  <c r="B43" i="69" s="1"/>
  <c r="Y43" i="69"/>
  <c r="A43" i="69"/>
  <c r="U43" i="69" a="1"/>
  <c r="U43" i="69" s="1"/>
  <c r="AB43" i="69" a="1"/>
  <c r="AB43" i="69" s="1"/>
  <c r="BU43" i="69"/>
  <c r="G43" i="69"/>
  <c r="T43" i="69"/>
  <c r="AC43" i="69"/>
  <c r="F440" i="15" a="1"/>
  <c r="F440" i="15" s="1"/>
  <c r="H440" i="15" a="1"/>
  <c r="H440" i="15" s="1"/>
  <c r="J66" i="69"/>
  <c r="BU66" i="69"/>
  <c r="AA66" i="69"/>
  <c r="A66" i="69"/>
  <c r="AB66" i="69" a="1"/>
  <c r="AB66" i="69" s="1"/>
  <c r="L66" i="69"/>
  <c r="AC66" i="69"/>
  <c r="W66" i="69"/>
  <c r="BP66" i="69" s="1"/>
  <c r="AS66" i="69"/>
  <c r="P66" i="69"/>
  <c r="N66" i="69" a="1"/>
  <c r="N66" i="69" s="1"/>
  <c r="V66" i="69"/>
  <c r="BC66" i="69"/>
  <c r="U66" i="69" a="1"/>
  <c r="U66" i="69" s="1"/>
  <c r="BB66" i="69"/>
  <c r="Q66" i="69"/>
  <c r="Z66" i="69"/>
  <c r="Y66" i="69"/>
  <c r="T66" i="69"/>
  <c r="AR66" i="69"/>
  <c r="M66" i="69"/>
  <c r="AH78" i="4"/>
  <c r="AV1374" i="13" s="1"/>
  <c r="E78" i="4"/>
  <c r="BT78" i="4" s="1"/>
  <c r="DE78" i="4"/>
  <c r="AA3" i="1" a="1"/>
  <c r="AA3" i="1" s="1"/>
  <c r="AA101" i="1" s="1"/>
  <c r="BM38" i="4"/>
  <c r="BE38" i="4" s="1" a="1"/>
  <c r="BE38" i="4" s="1"/>
  <c r="BH38" i="4"/>
  <c r="DV38" i="4"/>
  <c r="AV540" i="13"/>
  <c r="BC18" i="69"/>
  <c r="Y18" i="69"/>
  <c r="AA18" i="69"/>
  <c r="S18" i="69"/>
  <c r="AB18" i="69" a="1"/>
  <c r="AB18" i="69" s="1"/>
  <c r="N18" i="69" a="1"/>
  <c r="N18" i="69" s="1"/>
  <c r="V18" i="69"/>
  <c r="B18" i="69" s="1"/>
  <c r="U18" i="69" a="1"/>
  <c r="U18" i="69" s="1"/>
  <c r="A18" i="69"/>
  <c r="J18" i="69"/>
  <c r="M18" i="69"/>
  <c r="BU18" i="69"/>
  <c r="AR18" i="69"/>
  <c r="AC18" i="69"/>
  <c r="K18" i="69" a="1"/>
  <c r="K18" i="69" s="1"/>
  <c r="AS18" i="69"/>
  <c r="G18" i="69"/>
  <c r="T18" i="69"/>
  <c r="Q18" i="69"/>
  <c r="P18" i="69"/>
  <c r="BB18" i="69"/>
  <c r="Z18" i="69"/>
  <c r="W18" i="69"/>
  <c r="P34" i="69"/>
  <c r="A34" i="69"/>
  <c r="AB34" i="69" a="1"/>
  <c r="AB34" i="69" s="1"/>
  <c r="S34" i="69"/>
  <c r="AR34" i="69"/>
  <c r="AC34" i="69"/>
  <c r="G34" i="69"/>
  <c r="BB34" i="69"/>
  <c r="Z34" i="69"/>
  <c r="BC34" i="69"/>
  <c r="Y34" i="69"/>
  <c r="V34" i="69"/>
  <c r="B34" i="69" s="1"/>
  <c r="T34" i="69"/>
  <c r="Q34" i="69"/>
  <c r="M34" i="69"/>
  <c r="W34" i="69"/>
  <c r="BQ34" i="69" s="1" a="1"/>
  <c r="BQ34" i="69" s="1"/>
  <c r="BU34" i="69"/>
  <c r="AS34" i="69"/>
  <c r="U34" i="69" a="1"/>
  <c r="U34" i="69" s="1"/>
  <c r="AA34" i="69"/>
  <c r="N34" i="69" a="1"/>
  <c r="N34" i="69" s="1"/>
  <c r="J34" i="69"/>
  <c r="DD35" i="4" a="1"/>
  <c r="DD35" i="4" s="1"/>
  <c r="DD43" i="4" a="1"/>
  <c r="DD43" i="4" s="1"/>
  <c r="BH58" i="72"/>
  <c r="BK58" i="72"/>
  <c r="AR58" i="72"/>
  <c r="R58" i="72"/>
  <c r="S69" i="69"/>
  <c r="AC69" i="69"/>
  <c r="T69" i="69"/>
  <c r="N69" i="69" a="1"/>
  <c r="N69" i="69" s="1"/>
  <c r="A69" i="69"/>
  <c r="J69" i="69"/>
  <c r="AA69" i="69"/>
  <c r="AB69" i="69" a="1"/>
  <c r="AB69" i="69" s="1"/>
  <c r="W69" i="69"/>
  <c r="BP69" i="69" s="1"/>
  <c r="P69" i="69"/>
  <c r="BC69" i="69"/>
  <c r="BU69" i="69"/>
  <c r="AR69" i="69"/>
  <c r="Z69" i="69"/>
  <c r="AS69" i="69"/>
  <c r="M69" i="69"/>
  <c r="Y69" i="69"/>
  <c r="Q69" i="69"/>
  <c r="V69" i="69"/>
  <c r="B69" i="69" s="1"/>
  <c r="BB69" i="69"/>
  <c r="BQ69" i="69" a="1"/>
  <c r="BQ69" i="69" s="1"/>
  <c r="AL85" i="4"/>
  <c r="I44" i="72"/>
  <c r="Z66" i="4"/>
  <c r="AV1263" i="13" s="1"/>
  <c r="E83" i="4"/>
  <c r="DE83" i="4"/>
  <c r="K512" i="15" a="1"/>
  <c r="K512" i="15" s="1"/>
  <c r="H512" i="15" a="1"/>
  <c r="H512" i="15" s="1"/>
  <c r="F512" i="15" a="1"/>
  <c r="F512" i="15" s="1"/>
  <c r="AP79" i="4"/>
  <c r="AV381" i="13" s="1"/>
  <c r="AV481" i="13" s="1"/>
  <c r="AC44" i="69"/>
  <c r="BC44" i="69"/>
  <c r="Q44" i="69"/>
  <c r="L44" i="69"/>
  <c r="U44" i="69" a="1"/>
  <c r="U44" i="69" s="1"/>
  <c r="BB44" i="69"/>
  <c r="AB44" i="69" a="1"/>
  <c r="AB44" i="69" s="1"/>
  <c r="W44" i="69"/>
  <c r="BP44" i="69" s="1"/>
  <c r="M44" i="69"/>
  <c r="BU44" i="69"/>
  <c r="G44" i="69"/>
  <c r="Y44" i="69"/>
  <c r="T44" i="69"/>
  <c r="AR44" i="69"/>
  <c r="V44" i="69"/>
  <c r="B44" i="69" s="1"/>
  <c r="AA44" i="69"/>
  <c r="A44" i="69"/>
  <c r="N44" i="69" a="1"/>
  <c r="N44" i="69" s="1"/>
  <c r="S44" i="69"/>
  <c r="P44" i="69"/>
  <c r="J44" i="69"/>
  <c r="Z44" i="69"/>
  <c r="AS44" i="69"/>
  <c r="AU10" i="4"/>
  <c r="AT10" i="4" a="1"/>
  <c r="AT10" i="4" s="1"/>
  <c r="AV10" i="4" a="1"/>
  <c r="AV10" i="4" s="1"/>
  <c r="Y10" i="4"/>
  <c r="BQ10" i="4"/>
  <c r="CY10" i="4"/>
  <c r="CZ10" i="4" s="1"/>
  <c r="CA10" i="4"/>
  <c r="DA59" i="4" a="1"/>
  <c r="DA59" i="4" s="1"/>
  <c r="K648" i="15" a="1"/>
  <c r="K648" i="15" s="1"/>
  <c r="BF78" i="72"/>
  <c r="L78" i="72"/>
  <c r="BG78" i="72"/>
  <c r="P78" i="72"/>
  <c r="V78" i="72"/>
  <c r="BY78" i="72"/>
  <c r="J78" i="72"/>
  <c r="Z78" i="72"/>
  <c r="A78" i="72"/>
  <c r="Q78" i="72"/>
  <c r="AD78" i="72"/>
  <c r="Y78" i="72"/>
  <c r="AA78" i="72"/>
  <c r="T78" i="72"/>
  <c r="AB78" i="72" a="1"/>
  <c r="AB78" i="72" s="1"/>
  <c r="AV78" i="72"/>
  <c r="N78" i="72" a="1"/>
  <c r="N78" i="72" s="1"/>
  <c r="M78" i="72"/>
  <c r="AC78" i="72"/>
  <c r="AW78" i="72"/>
  <c r="W78" i="72"/>
  <c r="BU78" i="72" s="1" a="1"/>
  <c r="BU78" i="72" s="1"/>
  <c r="BU88" i="69"/>
  <c r="M88" i="69"/>
  <c r="U88" i="69" a="1"/>
  <c r="U88" i="69" s="1"/>
  <c r="BC88" i="69"/>
  <c r="W88" i="69"/>
  <c r="BQ88" i="69" s="1" a="1"/>
  <c r="BQ88" i="69" s="1"/>
  <c r="Q88" i="69"/>
  <c r="G88" i="69"/>
  <c r="AS88" i="69"/>
  <c r="J88" i="69"/>
  <c r="P88" i="69"/>
  <c r="A88" i="69"/>
  <c r="Z88" i="69"/>
  <c r="N88" i="69" a="1"/>
  <c r="N88" i="69" s="1"/>
  <c r="AB88" i="69" a="1"/>
  <c r="AB88" i="69" s="1"/>
  <c r="BB88" i="69"/>
  <c r="V88" i="69"/>
  <c r="B88" i="69" s="1"/>
  <c r="AA88" i="69"/>
  <c r="T88" i="69"/>
  <c r="AC88" i="69"/>
  <c r="AR88" i="69"/>
  <c r="Y88" i="69"/>
  <c r="S88" i="69"/>
  <c r="F65" i="69"/>
  <c r="A1477" i="13"/>
  <c r="AX1378" i="13"/>
  <c r="AH96" i="4"/>
  <c r="AX1370" i="13"/>
  <c r="A1469" i="13"/>
  <c r="CW85" i="4"/>
  <c r="CX85" i="4" s="1"/>
  <c r="AK3" i="1" a="1"/>
  <c r="AK3" i="1" s="1"/>
  <c r="AK101" i="1" s="1"/>
  <c r="I3" i="1" a="1"/>
  <c r="I3" i="1" s="1"/>
  <c r="I101" i="1" s="1"/>
  <c r="AD81" i="72"/>
  <c r="Y81" i="72"/>
  <c r="J81" i="72"/>
  <c r="Q81" i="72"/>
  <c r="V81" i="72"/>
  <c r="B81" i="72" s="1"/>
  <c r="AW81" i="72"/>
  <c r="G81" i="72"/>
  <c r="T81" i="72"/>
  <c r="Z81" i="72"/>
  <c r="AV81" i="72"/>
  <c r="AB81" i="72" a="1"/>
  <c r="AB81" i="72" s="1"/>
  <c r="AA81" i="72"/>
  <c r="A81" i="72"/>
  <c r="S81" i="72"/>
  <c r="BY81" i="72"/>
  <c r="AC81" i="72"/>
  <c r="W81" i="72"/>
  <c r="BU81" i="72" s="1" a="1"/>
  <c r="BU81" i="72" s="1"/>
  <c r="N81" i="72" a="1"/>
  <c r="N81" i="72" s="1"/>
  <c r="BF81" i="72"/>
  <c r="P81" i="72"/>
  <c r="BG81" i="72"/>
  <c r="M81" i="72"/>
  <c r="T52" i="72"/>
  <c r="J52" i="72"/>
  <c r="BF52" i="72"/>
  <c r="AA52" i="72"/>
  <c r="S52" i="72"/>
  <c r="BG52" i="72"/>
  <c r="Y52" i="72"/>
  <c r="N52" i="72" a="1"/>
  <c r="N52" i="72" s="1"/>
  <c r="AB52" i="72" a="1"/>
  <c r="AB52" i="72" s="1"/>
  <c r="Q52" i="72"/>
  <c r="BY52" i="72"/>
  <c r="AC52" i="72"/>
  <c r="AW52" i="72"/>
  <c r="W52" i="72"/>
  <c r="BT52" i="72" s="1"/>
  <c r="P52" i="72"/>
  <c r="V52" i="72"/>
  <c r="B52" i="72" s="1"/>
  <c r="AD52" i="72"/>
  <c r="AV52" i="72"/>
  <c r="A52" i="72"/>
  <c r="Z52" i="72"/>
  <c r="M52" i="72"/>
  <c r="G52" i="72"/>
  <c r="DA62" i="4" a="1"/>
  <c r="DA62" i="4" s="1"/>
  <c r="BR29" i="4"/>
  <c r="O29" i="69" s="1"/>
  <c r="DV28" i="4"/>
  <c r="BH28" i="4"/>
  <c r="AV530" i="13"/>
  <c r="Q63" i="72"/>
  <c r="AW63" i="72"/>
  <c r="Z63" i="72"/>
  <c r="BF63" i="72"/>
  <c r="J63" i="72"/>
  <c r="W63" i="72"/>
  <c r="BT63" i="72" s="1"/>
  <c r="AC63" i="72"/>
  <c r="Y63" i="72"/>
  <c r="V63" i="72"/>
  <c r="B63" i="72" s="1"/>
  <c r="BG63" i="72"/>
  <c r="P63" i="72"/>
  <c r="T63" i="72"/>
  <c r="AB63" i="72" a="1"/>
  <c r="AB63" i="72" s="1"/>
  <c r="M63" i="72"/>
  <c r="AA63" i="72"/>
  <c r="L63" i="72"/>
  <c r="AV63" i="72"/>
  <c r="A63" i="72"/>
  <c r="BY63" i="72"/>
  <c r="AD63" i="72"/>
  <c r="N63" i="72" a="1"/>
  <c r="N63" i="72" s="1"/>
  <c r="S63" i="72"/>
  <c r="U11" i="69" a="1"/>
  <c r="U11" i="69" s="1"/>
  <c r="N11" i="69" a="1"/>
  <c r="N11" i="69" s="1"/>
  <c r="P11" i="69"/>
  <c r="A11" i="69"/>
  <c r="AC11" i="69"/>
  <c r="S11" i="69"/>
  <c r="G11" i="69"/>
  <c r="BC11" i="69"/>
  <c r="M11" i="69"/>
  <c r="Y11" i="69"/>
  <c r="BU11" i="69"/>
  <c r="J11" i="69"/>
  <c r="V11" i="69"/>
  <c r="B11" i="69" s="1"/>
  <c r="W11" i="69"/>
  <c r="L11" i="69" s="1"/>
  <c r="T11" i="69"/>
  <c r="AB11" i="69" a="1"/>
  <c r="AB11" i="69" s="1"/>
  <c r="Q11" i="69"/>
  <c r="Z11" i="69"/>
  <c r="AA11" i="69"/>
  <c r="AR11" i="69"/>
  <c r="K11" i="69" a="1"/>
  <c r="K11" i="69" s="1"/>
  <c r="AS11" i="69"/>
  <c r="BB11" i="69"/>
  <c r="O11" i="69"/>
  <c r="BK11" i="69"/>
  <c r="BP11" i="69"/>
  <c r="I15" i="72"/>
  <c r="AD82" i="4"/>
  <c r="F472" i="15" a="1"/>
  <c r="F472" i="15" s="1"/>
  <c r="H472" i="15" a="1"/>
  <c r="H472" i="15" s="1"/>
  <c r="F62" i="4"/>
  <c r="BL62" i="4" s="1"/>
  <c r="AP85" i="4"/>
  <c r="AV387" i="13" s="1"/>
  <c r="AV487" i="13" s="1"/>
  <c r="AB83" i="69" a="1"/>
  <c r="AB83" i="69" s="1"/>
  <c r="BB83" i="69"/>
  <c r="N83" i="69" a="1"/>
  <c r="N83" i="69" s="1"/>
  <c r="S83" i="69"/>
  <c r="Z83" i="69"/>
  <c r="W83" i="69"/>
  <c r="BU83" i="69"/>
  <c r="A83" i="69"/>
  <c r="M83" i="69"/>
  <c r="Q83" i="69"/>
  <c r="T83" i="69"/>
  <c r="AA83" i="69"/>
  <c r="BC83" i="69"/>
  <c r="J83" i="69"/>
  <c r="L83" i="69"/>
  <c r="AS83" i="69"/>
  <c r="Y83" i="69"/>
  <c r="AC83" i="69"/>
  <c r="AR83" i="69"/>
  <c r="P83" i="69"/>
  <c r="V83" i="69"/>
  <c r="B83" i="69" s="1"/>
  <c r="AV93" i="72"/>
  <c r="AD93" i="72"/>
  <c r="Z93" i="72"/>
  <c r="BG93" i="72"/>
  <c r="A93" i="72"/>
  <c r="AA93" i="72"/>
  <c r="J93" i="72"/>
  <c r="N93" i="72" a="1"/>
  <c r="N93" i="72" s="1"/>
  <c r="L93" i="72"/>
  <c r="AW93" i="72"/>
  <c r="AB93" i="72" a="1"/>
  <c r="AB93" i="72" s="1"/>
  <c r="M93" i="72"/>
  <c r="W93" i="72"/>
  <c r="BT93" i="72" s="1"/>
  <c r="T93" i="72"/>
  <c r="Y93" i="72"/>
  <c r="BY93" i="72"/>
  <c r="G93" i="72"/>
  <c r="P93" i="72"/>
  <c r="V93" i="72"/>
  <c r="B93" i="72" s="1"/>
  <c r="AC93" i="72"/>
  <c r="Q93" i="72"/>
  <c r="BF93" i="72"/>
  <c r="S93" i="72"/>
  <c r="AH84" i="4"/>
  <c r="AV1380" i="13" s="1"/>
  <c r="F442" i="15" a="1"/>
  <c r="F442" i="15" s="1"/>
  <c r="H442" i="15" a="1"/>
  <c r="H442" i="15" s="1"/>
  <c r="CA13" i="4"/>
  <c r="Y13" i="4"/>
  <c r="AV13" i="4" a="1"/>
  <c r="AV13" i="4" s="1"/>
  <c r="C13" i="72" s="1"/>
  <c r="AU13" i="4"/>
  <c r="AT13" i="4" a="1"/>
  <c r="AT13" i="4" s="1"/>
  <c r="H13" i="72" s="1"/>
  <c r="CY13" i="4"/>
  <c r="CZ13" i="4" s="1"/>
  <c r="BQ13" i="4"/>
  <c r="L52" i="4"/>
  <c r="BG52" i="4"/>
  <c r="AV1150" i="13" s="1"/>
  <c r="BR52" i="4"/>
  <c r="O52" i="69" s="1"/>
  <c r="BG18" i="4"/>
  <c r="AV1116" i="13" s="1"/>
  <c r="BR38" i="4"/>
  <c r="O38" i="72" s="1"/>
  <c r="BG38" i="4"/>
  <c r="AV1136" i="13" s="1"/>
  <c r="X38" i="4"/>
  <c r="BG16" i="4"/>
  <c r="AV1114" i="13" s="1"/>
  <c r="L24" i="4"/>
  <c r="X24" i="4"/>
  <c r="BR24" i="4"/>
  <c r="O24" i="72" s="1"/>
  <c r="BG24" i="4"/>
  <c r="AV1122" i="13" s="1"/>
  <c r="BG25" i="4"/>
  <c r="AV1123" i="13" s="1"/>
  <c r="BF53" i="4"/>
  <c r="AD60" i="4"/>
  <c r="F60" i="69" s="1"/>
  <c r="BF46" i="4"/>
  <c r="AD25" i="72"/>
  <c r="AA25" i="72"/>
  <c r="S25" i="72"/>
  <c r="V25" i="72"/>
  <c r="B25" i="72" s="1"/>
  <c r="AV25" i="72"/>
  <c r="AB25" i="72" a="1"/>
  <c r="AB25" i="72" s="1"/>
  <c r="BG25" i="72"/>
  <c r="A25" i="72"/>
  <c r="Q25" i="72"/>
  <c r="AC25" i="72"/>
  <c r="BF25" i="72"/>
  <c r="G25" i="72"/>
  <c r="M25" i="72"/>
  <c r="Z25" i="72"/>
  <c r="T25" i="72"/>
  <c r="W25" i="72"/>
  <c r="BT25" i="72" s="1"/>
  <c r="Y25" i="72"/>
  <c r="BY25" i="72"/>
  <c r="AW25" i="72"/>
  <c r="N25" i="72" a="1"/>
  <c r="N25" i="72" s="1"/>
  <c r="P25" i="72"/>
  <c r="J25" i="72"/>
  <c r="F340" i="15" a="1"/>
  <c r="F340" i="15" s="1"/>
  <c r="AG95" i="72"/>
  <c r="BD96" i="69"/>
  <c r="R96" i="69"/>
  <c r="AO96" i="69" s="1" a="1"/>
  <c r="AO96" i="69" s="1"/>
  <c r="BG96" i="69"/>
  <c r="AW96" i="69" s="1" a="1"/>
  <c r="AW96" i="69" s="1"/>
  <c r="BN96" i="69" a="1"/>
  <c r="BN96" i="69" s="1"/>
  <c r="BM96" i="69" a="1"/>
  <c r="BM96" i="69" s="1"/>
  <c r="BT96" i="69"/>
  <c r="BQ96" i="69" a="1"/>
  <c r="BQ96" i="69" s="1"/>
  <c r="BP96" i="69"/>
  <c r="BO96" i="69" s="1"/>
  <c r="BR96" i="69" s="1"/>
  <c r="E96" i="69"/>
  <c r="E222" i="15"/>
  <c r="P69" i="9"/>
  <c r="P45" i="9"/>
  <c r="P67" i="9"/>
  <c r="H120" i="15" a="1"/>
  <c r="H120" i="15" s="1"/>
  <c r="F265" i="15" a="1"/>
  <c r="F265" i="15" s="1"/>
  <c r="AF95" i="72" a="1"/>
  <c r="AF95" i="72" s="1"/>
  <c r="AJ95" i="72" s="1" a="1"/>
  <c r="AJ95" i="72" s="1"/>
  <c r="P65" i="9"/>
  <c r="P19" i="9"/>
  <c r="L516" i="15" a="1"/>
  <c r="L516" i="15" s="1"/>
  <c r="M474" i="15" a="1"/>
  <c r="M474" i="15" s="1"/>
  <c r="N486" i="15" a="1"/>
  <c r="N486" i="15" s="1"/>
  <c r="M486" i="15" a="1"/>
  <c r="M486" i="15" s="1"/>
  <c r="K486" i="15" a="1"/>
  <c r="K486" i="15" s="1"/>
  <c r="P81" i="9"/>
  <c r="IZ37" i="71"/>
  <c r="H625" i="15" a="1"/>
  <c r="H625" i="15" s="1"/>
  <c r="F625" i="15" a="1"/>
  <c r="F625" i="15" s="1"/>
  <c r="AC80" i="69"/>
  <c r="Y80" i="69"/>
  <c r="BB80" i="69"/>
  <c r="BC80" i="69"/>
  <c r="Q80" i="69"/>
  <c r="N80" i="69" a="1"/>
  <c r="N80" i="69" s="1"/>
  <c r="V80" i="69"/>
  <c r="B80" i="69" s="1"/>
  <c r="AA80" i="69"/>
  <c r="W80" i="69"/>
  <c r="M80" i="69"/>
  <c r="J80" i="69"/>
  <c r="Z80" i="69"/>
  <c r="L80" i="69"/>
  <c r="P80" i="69"/>
  <c r="S80" i="69"/>
  <c r="AR80" i="69"/>
  <c r="T80" i="69"/>
  <c r="AB80" i="69" a="1"/>
  <c r="AB80" i="69" s="1"/>
  <c r="BU80" i="69"/>
  <c r="A80" i="69"/>
  <c r="AS80" i="69"/>
  <c r="G80" i="69"/>
  <c r="BG66" i="72"/>
  <c r="T66" i="72"/>
  <c r="AB66" i="72" a="1"/>
  <c r="AB66" i="72" s="1"/>
  <c r="Z66" i="72"/>
  <c r="W66" i="72"/>
  <c r="P66" i="72"/>
  <c r="M66" i="72"/>
  <c r="N66" i="72" a="1"/>
  <c r="N66" i="72" s="1"/>
  <c r="Q66" i="72"/>
  <c r="L66" i="72"/>
  <c r="Y66" i="72"/>
  <c r="AD66" i="72"/>
  <c r="AA66" i="72"/>
  <c r="J66" i="72"/>
  <c r="BF66" i="72"/>
  <c r="BY66" i="72"/>
  <c r="V66" i="72"/>
  <c r="AW66" i="72"/>
  <c r="AV66" i="72"/>
  <c r="A66" i="72"/>
  <c r="AC66" i="72"/>
  <c r="AA65" i="69"/>
  <c r="Q65" i="69"/>
  <c r="G65" i="69"/>
  <c r="W65" i="69"/>
  <c r="BQ65" i="69" s="1" a="1"/>
  <c r="BQ65" i="69" s="1"/>
  <c r="N65" i="69" a="1"/>
  <c r="N65" i="69" s="1"/>
  <c r="T65" i="69"/>
  <c r="M65" i="69"/>
  <c r="AS65" i="69"/>
  <c r="Z65" i="69"/>
  <c r="J65" i="69"/>
  <c r="P65" i="69"/>
  <c r="U65" i="69" a="1"/>
  <c r="U65" i="69" s="1"/>
  <c r="V65" i="69"/>
  <c r="B65" i="69" s="1"/>
  <c r="AB65" i="69" a="1"/>
  <c r="AB65" i="69" s="1"/>
  <c r="AC65" i="69"/>
  <c r="BB65" i="69"/>
  <c r="AR65" i="69"/>
  <c r="Y65" i="69"/>
  <c r="S65" i="69"/>
  <c r="A65" i="69"/>
  <c r="BU65" i="69"/>
  <c r="BC65" i="69"/>
  <c r="F56" i="4"/>
  <c r="BL56" i="4" s="1"/>
  <c r="E56" i="4"/>
  <c r="DE56" i="4"/>
  <c r="F581" i="15" a="1"/>
  <c r="F581" i="15" s="1"/>
  <c r="H581" i="15" a="1"/>
  <c r="H581" i="15" s="1"/>
  <c r="AD70" i="4"/>
  <c r="E70" i="4"/>
  <c r="BT70" i="4" s="1"/>
  <c r="DE70" i="4"/>
  <c r="CA34" i="4"/>
  <c r="AU34" i="4"/>
  <c r="AV34" i="4" a="1"/>
  <c r="AV34" i="4" s="1"/>
  <c r="C34" i="72" s="1"/>
  <c r="AT34" i="4" a="1"/>
  <c r="AT34" i="4" s="1"/>
  <c r="H34" i="72" s="1"/>
  <c r="Y34" i="4"/>
  <c r="BQ34" i="4"/>
  <c r="P18" i="72"/>
  <c r="M18" i="72"/>
  <c r="N18" i="72" a="1"/>
  <c r="N18" i="72" s="1"/>
  <c r="AW18" i="72"/>
  <c r="AD18" i="72"/>
  <c r="Q18" i="72"/>
  <c r="BF18" i="72"/>
  <c r="W18" i="72"/>
  <c r="BT18" i="72" s="1"/>
  <c r="AV18" i="72"/>
  <c r="J18" i="72"/>
  <c r="G18" i="72"/>
  <c r="Y18" i="72"/>
  <c r="BG18" i="72"/>
  <c r="AB18" i="72" a="1"/>
  <c r="AB18" i="72" s="1"/>
  <c r="BY18" i="72"/>
  <c r="S18" i="72"/>
  <c r="Z18" i="72"/>
  <c r="AA18" i="72"/>
  <c r="A18" i="72"/>
  <c r="K18" i="72" a="1"/>
  <c r="K18" i="72" s="1"/>
  <c r="V18" i="72"/>
  <c r="B18" i="72" s="1"/>
  <c r="AC18" i="72"/>
  <c r="T18" i="72"/>
  <c r="W34" i="72"/>
  <c r="L34" i="72" s="1"/>
  <c r="AV34" i="72"/>
  <c r="AD34" i="72"/>
  <c r="Y34" i="72"/>
  <c r="V34" i="72"/>
  <c r="B34" i="72" s="1"/>
  <c r="AC34" i="72"/>
  <c r="Q34" i="72"/>
  <c r="BG34" i="72"/>
  <c r="G34" i="72"/>
  <c r="Z34" i="72"/>
  <c r="AA34" i="72"/>
  <c r="AB34" i="72" a="1"/>
  <c r="AB34" i="72" s="1"/>
  <c r="P34" i="72"/>
  <c r="BY34" i="72"/>
  <c r="N34" i="72" a="1"/>
  <c r="N34" i="72" s="1"/>
  <c r="M34" i="72"/>
  <c r="AW34" i="72"/>
  <c r="BF34" i="72"/>
  <c r="S34" i="72"/>
  <c r="A34" i="72"/>
  <c r="J34" i="72"/>
  <c r="T34" i="72"/>
  <c r="BM34" i="72"/>
  <c r="DE94" i="4"/>
  <c r="E94" i="4"/>
  <c r="F209" i="15" a="1"/>
  <c r="F209" i="15" s="1"/>
  <c r="H209" i="15" a="1"/>
  <c r="H209" i="15" s="1"/>
  <c r="H208" i="15" a="1"/>
  <c r="H208" i="15" s="1"/>
  <c r="DD53" i="4" a="1"/>
  <c r="DD53" i="4" s="1"/>
  <c r="DD30" i="4" a="1"/>
  <c r="DD30" i="4" s="1"/>
  <c r="A1425" i="13"/>
  <c r="AX1326" i="13"/>
  <c r="AV518" i="13"/>
  <c r="BH16" i="4"/>
  <c r="DV16" i="4"/>
  <c r="BM16" i="4"/>
  <c r="BE16" i="4" s="1" a="1"/>
  <c r="BE16" i="4" s="1"/>
  <c r="BT34" i="4"/>
  <c r="BD34" i="4"/>
  <c r="F360" i="15" a="1"/>
  <c r="F360" i="15" s="1"/>
  <c r="H360" i="15" a="1"/>
  <c r="H360" i="15" s="1"/>
  <c r="AV9" i="4" a="1"/>
  <c r="AV9" i="4" s="1"/>
  <c r="AU9" i="4"/>
  <c r="Y9" i="4"/>
  <c r="AT9" i="4" a="1"/>
  <c r="AT9" i="4" s="1"/>
  <c r="CA9" i="4"/>
  <c r="BQ9" i="4"/>
  <c r="CY9" i="4"/>
  <c r="CZ9" i="4" s="1"/>
  <c r="Y43" i="27"/>
  <c r="Y37" i="27"/>
  <c r="Y44" i="27"/>
  <c r="Y35" i="27"/>
  <c r="Y30" i="27"/>
  <c r="Y50" i="27"/>
  <c r="Y23" i="27"/>
  <c r="Y24" i="27"/>
  <c r="Y34" i="27"/>
  <c r="Y32" i="27"/>
  <c r="Y36" i="27"/>
  <c r="Y47" i="27"/>
  <c r="Y26" i="27"/>
  <c r="Y41" i="27"/>
  <c r="Y21" i="27"/>
  <c r="Y29" i="27"/>
  <c r="Y45" i="27"/>
  <c r="Y28" i="27"/>
  <c r="Y48" i="27"/>
  <c r="Y31" i="27"/>
  <c r="Y25" i="27"/>
  <c r="U20" i="27"/>
  <c r="Y20" i="27" s="1"/>
  <c r="Y33" i="27"/>
  <c r="Y39" i="27"/>
  <c r="Y38" i="27"/>
  <c r="Y49" i="27"/>
  <c r="Y46" i="27"/>
  <c r="Y27" i="27"/>
  <c r="Y40" i="27"/>
  <c r="Y42" i="27"/>
  <c r="Y22" i="27"/>
  <c r="L581" i="15" a="1"/>
  <c r="L581" i="15" s="1"/>
  <c r="AN4" i="72" a="1"/>
  <c r="AN4" i="72" s="1"/>
  <c r="AM4" i="72" a="1"/>
  <c r="AM4" i="72" s="1"/>
  <c r="AH4" i="72" a="1"/>
  <c r="AH4" i="72" s="1"/>
  <c r="BA4" i="72" a="1"/>
  <c r="BA4" i="72" s="1"/>
  <c r="AS4" i="72" a="1"/>
  <c r="AS4" i="72" s="1"/>
  <c r="AY4" i="72" a="1"/>
  <c r="AY4" i="72" s="1"/>
  <c r="BE4" i="72" a="1"/>
  <c r="BE4" i="72" s="1"/>
  <c r="AU4" i="72" a="1"/>
  <c r="AU4" i="72" s="1"/>
  <c r="BD4" i="72" a="1"/>
  <c r="BD4" i="72" s="1"/>
  <c r="AZ4" i="72" a="1"/>
  <c r="AZ4" i="72" s="1"/>
  <c r="BB4" i="72" a="1"/>
  <c r="BB4" i="72" s="1"/>
  <c r="AQ3" i="1" a="1"/>
  <c r="AQ3" i="1" s="1"/>
  <c r="AQ101" i="1" s="1"/>
  <c r="CA30" i="4"/>
  <c r="Y30" i="4"/>
  <c r="AU30" i="4"/>
  <c r="AT30" i="4" a="1"/>
  <c r="AT30" i="4" s="1"/>
  <c r="H30" i="69" s="1"/>
  <c r="AV30" i="4" a="1"/>
  <c r="AV30" i="4" s="1"/>
  <c r="C30" i="69" s="1"/>
  <c r="D30" i="69" s="1" a="1"/>
  <c r="D30" i="69" s="1"/>
  <c r="BQ30" i="4"/>
  <c r="F498" i="15" a="1"/>
  <c r="F498" i="15" s="1"/>
  <c r="H498" i="15" a="1"/>
  <c r="H498" i="15" s="1"/>
  <c r="H448" i="15" a="1"/>
  <c r="H448" i="15" s="1"/>
  <c r="I267" i="15" a="1"/>
  <c r="I267" i="15" s="1"/>
  <c r="CA53" i="4"/>
  <c r="AU53" i="4"/>
  <c r="Y53" i="4"/>
  <c r="AT53" i="4" a="1"/>
  <c r="AT53" i="4" s="1"/>
  <c r="H53" i="72" s="1"/>
  <c r="AV53" i="4" a="1"/>
  <c r="AV53" i="4" s="1"/>
  <c r="C53" i="69" s="1"/>
  <c r="BQ53" i="4"/>
  <c r="CY53" i="4"/>
  <c r="CZ53" i="4" s="1"/>
  <c r="M44" i="72"/>
  <c r="AA44" i="72"/>
  <c r="A44" i="72"/>
  <c r="J44" i="72"/>
  <c r="AD44" i="72"/>
  <c r="BF44" i="72"/>
  <c r="P44" i="72"/>
  <c r="G44" i="72"/>
  <c r="AC44" i="72"/>
  <c r="BY44" i="72"/>
  <c r="BG44" i="72"/>
  <c r="N44" i="72" a="1"/>
  <c r="N44" i="72" s="1"/>
  <c r="AV44" i="72"/>
  <c r="Z44" i="72"/>
  <c r="W44" i="72"/>
  <c r="BT44" i="72" s="1"/>
  <c r="S44" i="72"/>
  <c r="AB44" i="72" a="1"/>
  <c r="AB44" i="72" s="1"/>
  <c r="Y44" i="72"/>
  <c r="L44" i="72"/>
  <c r="AW44" i="72"/>
  <c r="T44" i="72"/>
  <c r="Q44" i="72"/>
  <c r="V44" i="72"/>
  <c r="B44" i="72" s="1"/>
  <c r="C44" i="72"/>
  <c r="I71" i="72"/>
  <c r="I5" i="69"/>
  <c r="BK10" i="69"/>
  <c r="O10" i="72"/>
  <c r="BO10" i="72"/>
  <c r="O10" i="69"/>
  <c r="DA67" i="4" a="1"/>
  <c r="DA67" i="4" s="1"/>
  <c r="AV591" i="13"/>
  <c r="BH89" i="4"/>
  <c r="DV89" i="4"/>
  <c r="CA50" i="4"/>
  <c r="AU50" i="4"/>
  <c r="Y50" i="4"/>
  <c r="AV50" i="4" a="1"/>
  <c r="AV50" i="4" s="1"/>
  <c r="C50" i="72" s="1"/>
  <c r="D50" i="72" s="1" a="1"/>
  <c r="D50" i="72" s="1"/>
  <c r="AT50" i="4" a="1"/>
  <c r="AT50" i="4" s="1"/>
  <c r="H50" i="69" s="1"/>
  <c r="BQ50" i="4"/>
  <c r="BF88" i="72"/>
  <c r="N88" i="72" a="1"/>
  <c r="N88" i="72" s="1"/>
  <c r="Z88" i="72"/>
  <c r="G88" i="72"/>
  <c r="S88" i="72"/>
  <c r="T88" i="72"/>
  <c r="A88" i="72"/>
  <c r="AV88" i="72"/>
  <c r="M88" i="72"/>
  <c r="V88" i="72"/>
  <c r="B88" i="72" s="1"/>
  <c r="AD88" i="72"/>
  <c r="AA88" i="72"/>
  <c r="BG88" i="72"/>
  <c r="J88" i="72"/>
  <c r="AC88" i="72"/>
  <c r="Q88" i="72"/>
  <c r="AB88" i="72" a="1"/>
  <c r="AB88" i="72" s="1"/>
  <c r="AW88" i="72"/>
  <c r="Y88" i="72"/>
  <c r="P88" i="72"/>
  <c r="W88" i="72"/>
  <c r="BT88" i="72" s="1"/>
  <c r="BY88" i="72"/>
  <c r="Z74" i="4"/>
  <c r="AV1271" i="13" s="1"/>
  <c r="DE74" i="4"/>
  <c r="E74" i="4"/>
  <c r="BT74" i="4" s="1"/>
  <c r="AL68" i="4"/>
  <c r="DE68" i="4"/>
  <c r="E68" i="4"/>
  <c r="P81" i="69"/>
  <c r="G81" i="69"/>
  <c r="BB81" i="69"/>
  <c r="W81" i="69"/>
  <c r="L81" i="69" s="1"/>
  <c r="T81" i="69"/>
  <c r="Q81" i="69"/>
  <c r="S81" i="69"/>
  <c r="Z81" i="69"/>
  <c r="V81" i="69"/>
  <c r="B81" i="69" s="1"/>
  <c r="BU81" i="69"/>
  <c r="AS81" i="69"/>
  <c r="J81" i="69"/>
  <c r="N81" i="69" a="1"/>
  <c r="N81" i="69" s="1"/>
  <c r="U81" i="69" a="1"/>
  <c r="U81" i="69" s="1"/>
  <c r="AR81" i="69"/>
  <c r="AA81" i="69"/>
  <c r="E81" i="69" s="1"/>
  <c r="AC81" i="69"/>
  <c r="BC81" i="69"/>
  <c r="Y81" i="69"/>
  <c r="A81" i="69"/>
  <c r="AB81" i="69" a="1"/>
  <c r="AB81" i="69" s="1"/>
  <c r="M81" i="69"/>
  <c r="Z79" i="4"/>
  <c r="AV1276" i="13" s="1"/>
  <c r="A1401" i="13"/>
  <c r="AX1302" i="13"/>
  <c r="N519" i="15" a="1"/>
  <c r="N519" i="15" s="1"/>
  <c r="CW70" i="4"/>
  <c r="CX70" i="4" s="1"/>
  <c r="CW74" i="4"/>
  <c r="CX74" i="4" s="1"/>
  <c r="BB63" i="69"/>
  <c r="AA63" i="69"/>
  <c r="Q63" i="69"/>
  <c r="J63" i="69"/>
  <c r="M63" i="69"/>
  <c r="T63" i="69"/>
  <c r="Z63" i="69"/>
  <c r="W63" i="69"/>
  <c r="BQ63" i="69" s="1" a="1"/>
  <c r="BQ63" i="69" s="1"/>
  <c r="AC63" i="69"/>
  <c r="BU63" i="69"/>
  <c r="A63" i="69"/>
  <c r="L63" i="69"/>
  <c r="N63" i="69" a="1"/>
  <c r="N63" i="69" s="1"/>
  <c r="AB63" i="69" a="1"/>
  <c r="AB63" i="69" s="1"/>
  <c r="U63" i="69" a="1"/>
  <c r="U63" i="69" s="1"/>
  <c r="AR63" i="69"/>
  <c r="Y63" i="69"/>
  <c r="AS63" i="69"/>
  <c r="BC63" i="69"/>
  <c r="P63" i="69"/>
  <c r="V63" i="69"/>
  <c r="B63" i="69" s="1"/>
  <c r="S63" i="69"/>
  <c r="A11" i="72"/>
  <c r="AA11" i="72"/>
  <c r="BY11" i="72"/>
  <c r="N11" i="72" a="1"/>
  <c r="N11" i="72" s="1"/>
  <c r="P11" i="72"/>
  <c r="T11" i="72"/>
  <c r="W11" i="72"/>
  <c r="L11" i="72" s="1"/>
  <c r="M11" i="72"/>
  <c r="BG11" i="72"/>
  <c r="J11" i="72"/>
  <c r="K11" i="72" a="1"/>
  <c r="K11" i="72" s="1"/>
  <c r="Y11" i="72"/>
  <c r="S11" i="72"/>
  <c r="AW11" i="72"/>
  <c r="G11" i="72"/>
  <c r="AC11" i="72"/>
  <c r="Z11" i="72"/>
  <c r="AV11" i="72"/>
  <c r="Q11" i="72"/>
  <c r="BF11" i="72"/>
  <c r="AB11" i="72" a="1"/>
  <c r="AB11" i="72" s="1"/>
  <c r="V11" i="72"/>
  <c r="B11" i="72" s="1"/>
  <c r="AD11" i="72"/>
  <c r="BO11" i="72"/>
  <c r="O11" i="72"/>
  <c r="AV1338" i="13"/>
  <c r="DA83" i="4" a="1"/>
  <c r="DA83" i="4" s="1"/>
  <c r="AP74" i="4"/>
  <c r="AV376" i="13" s="1"/>
  <c r="AV476" i="13" s="1"/>
  <c r="F284" i="15" a="1"/>
  <c r="F284" i="15" s="1"/>
  <c r="H284" i="15" a="1"/>
  <c r="H284" i="15" s="1"/>
  <c r="V83" i="72"/>
  <c r="B83" i="72" s="1"/>
  <c r="AV83" i="72"/>
  <c r="N83" i="72" a="1"/>
  <c r="N83" i="72" s="1"/>
  <c r="P83" i="72"/>
  <c r="AB83" i="72" a="1"/>
  <c r="AB83" i="72" s="1"/>
  <c r="AD83" i="72"/>
  <c r="Q83" i="72"/>
  <c r="BY83" i="72"/>
  <c r="T83" i="72"/>
  <c r="BG83" i="72"/>
  <c r="Z83" i="72"/>
  <c r="Y83" i="72"/>
  <c r="BF83" i="72"/>
  <c r="A83" i="72"/>
  <c r="AW83" i="72"/>
  <c r="L83" i="72"/>
  <c r="M83" i="72"/>
  <c r="W83" i="72"/>
  <c r="BU83" i="72" s="1" a="1"/>
  <c r="BU83" i="72" s="1"/>
  <c r="AC83" i="72"/>
  <c r="AA83" i="72"/>
  <c r="J83" i="72"/>
  <c r="S83" i="72"/>
  <c r="F61" i="72"/>
  <c r="AD80" i="4"/>
  <c r="AX1364" i="13"/>
  <c r="A1463" i="13"/>
  <c r="F373" i="15" a="1"/>
  <c r="F373" i="15" s="1"/>
  <c r="E88" i="4"/>
  <c r="DE88" i="4"/>
  <c r="A1474" i="13"/>
  <c r="AX1375" i="13"/>
  <c r="A362" i="13"/>
  <c r="AX362" i="13" s="1"/>
  <c r="AX262" i="13"/>
  <c r="AV526" i="13"/>
  <c r="DV24" i="4"/>
  <c r="BH24" i="4"/>
  <c r="BM24" i="4"/>
  <c r="BE24" i="4" s="1" a="1"/>
  <c r="BE24" i="4" s="1"/>
  <c r="AP73" i="4"/>
  <c r="AV375" i="13" s="1"/>
  <c r="AV475" i="13" s="1"/>
  <c r="AT20" i="4" a="1"/>
  <c r="AT20" i="4" s="1"/>
  <c r="H20" i="69" s="1"/>
  <c r="Y20" i="4"/>
  <c r="AV20" i="4" a="1"/>
  <c r="AV20" i="4" s="1"/>
  <c r="C20" i="69" s="1"/>
  <c r="AU20" i="4"/>
  <c r="BQ20" i="4"/>
  <c r="N629" i="15" a="1"/>
  <c r="N629" i="15" s="1"/>
  <c r="BG20" i="4"/>
  <c r="AV1118" i="13" s="1"/>
  <c r="BF34" i="4"/>
  <c r="BF25" i="4"/>
  <c r="BG29" i="4"/>
  <c r="AV1127" i="13" s="1"/>
  <c r="X29" i="4"/>
  <c r="BG46" i="4"/>
  <c r="AV1144" i="13" s="1"/>
  <c r="DA86" i="4" a="1"/>
  <c r="DA86" i="4" s="1"/>
  <c r="E86" i="4"/>
  <c r="BT86" i="4" s="1"/>
  <c r="DE86" i="4"/>
  <c r="AX1342" i="13"/>
  <c r="A1441" i="13"/>
  <c r="M92" i="69"/>
  <c r="Q92" i="69"/>
  <c r="P92" i="69"/>
  <c r="Z92" i="69"/>
  <c r="A92" i="69"/>
  <c r="N92" i="69" a="1"/>
  <c r="N92" i="69" s="1"/>
  <c r="AB92" i="69" a="1"/>
  <c r="AB92" i="69" s="1"/>
  <c r="BB92" i="69"/>
  <c r="BC92" i="69"/>
  <c r="AA92" i="69"/>
  <c r="L92" i="69"/>
  <c r="Y92" i="69"/>
  <c r="W92" i="69"/>
  <c r="BQ92" i="69" s="1" a="1"/>
  <c r="BQ92" i="69" s="1"/>
  <c r="S92" i="69"/>
  <c r="AR92" i="69"/>
  <c r="J92" i="69"/>
  <c r="V92" i="69"/>
  <c r="B92" i="69" s="1"/>
  <c r="AS92" i="69"/>
  <c r="T92" i="69"/>
  <c r="AC92" i="69"/>
  <c r="BU92" i="69"/>
  <c r="G92" i="69"/>
  <c r="BH25" i="4"/>
  <c r="AV527" i="13"/>
  <c r="DV25" i="4"/>
  <c r="BM25" i="4"/>
  <c r="BE25" i="4" s="1" a="1"/>
  <c r="BE25" i="4" s="1"/>
  <c r="AU45" i="4"/>
  <c r="AT45" i="4" a="1"/>
  <c r="AT45" i="4" s="1"/>
  <c r="H45" i="69" s="1"/>
  <c r="AV45" i="4" a="1"/>
  <c r="AV45" i="4" s="1"/>
  <c r="C45" i="69" s="1"/>
  <c r="Y45" i="4"/>
  <c r="CY45" i="4"/>
  <c r="CZ45" i="4" s="1"/>
  <c r="BQ45" i="4"/>
  <c r="W20" i="69"/>
  <c r="Q20" i="69"/>
  <c r="M20" i="69"/>
  <c r="AR20" i="69"/>
  <c r="AS20" i="69"/>
  <c r="BB20" i="69"/>
  <c r="P20" i="69"/>
  <c r="V20" i="69"/>
  <c r="B20" i="69" s="1"/>
  <c r="T20" i="69"/>
  <c r="U20" i="69" a="1"/>
  <c r="U20" i="69" s="1"/>
  <c r="G20" i="69"/>
  <c r="N20" i="69" a="1"/>
  <c r="N20" i="69" s="1"/>
  <c r="Z20" i="69"/>
  <c r="AB20" i="69" a="1"/>
  <c r="AB20" i="69" s="1"/>
  <c r="J20" i="69"/>
  <c r="S20" i="69"/>
  <c r="BU20" i="69"/>
  <c r="AC20" i="69"/>
  <c r="K20" i="69" a="1"/>
  <c r="K20" i="69" s="1"/>
  <c r="A20" i="69"/>
  <c r="Y20" i="69"/>
  <c r="BC20" i="69"/>
  <c r="AA20" i="69"/>
  <c r="S25" i="69"/>
  <c r="P25" i="69"/>
  <c r="G25" i="69"/>
  <c r="AB25" i="69" a="1"/>
  <c r="AB25" i="69" s="1"/>
  <c r="U25" i="69" a="1"/>
  <c r="U25" i="69" s="1"/>
  <c r="Q25" i="69"/>
  <c r="M25" i="69"/>
  <c r="BC25" i="69"/>
  <c r="W25" i="69"/>
  <c r="V25" i="69"/>
  <c r="B25" i="69" s="1"/>
  <c r="BU25" i="69"/>
  <c r="N25" i="69" a="1"/>
  <c r="N25" i="69" s="1"/>
  <c r="T25" i="69"/>
  <c r="A25" i="69"/>
  <c r="AS25" i="69"/>
  <c r="J25" i="69"/>
  <c r="Y25" i="69"/>
  <c r="AA25" i="69"/>
  <c r="AR25" i="69"/>
  <c r="Z25" i="69"/>
  <c r="AC25" i="69"/>
  <c r="BB25" i="69"/>
  <c r="CA11" i="4"/>
  <c r="Y11" i="4"/>
  <c r="AU11" i="4"/>
  <c r="AT11" i="4" a="1"/>
  <c r="AT11" i="4" s="1"/>
  <c r="H11" i="69" s="1"/>
  <c r="AV11" i="4" a="1"/>
  <c r="AV11" i="4" s="1"/>
  <c r="C11" i="69" s="1"/>
  <c r="BQ11" i="4"/>
  <c r="CY11" i="4"/>
  <c r="CZ11" i="4" s="1"/>
  <c r="AW20" i="72"/>
  <c r="AC20" i="72"/>
  <c r="T20" i="72"/>
  <c r="J20" i="72"/>
  <c r="S20" i="72"/>
  <c r="N20" i="72" a="1"/>
  <c r="N20" i="72" s="1"/>
  <c r="BF20" i="72"/>
  <c r="AV20" i="72"/>
  <c r="Y20" i="72"/>
  <c r="Z20" i="72"/>
  <c r="K20" i="72" a="1"/>
  <c r="K20" i="72" s="1"/>
  <c r="W20" i="72"/>
  <c r="Q20" i="72"/>
  <c r="A20" i="72"/>
  <c r="AB20" i="72" a="1"/>
  <c r="AB20" i="72" s="1"/>
  <c r="AA20" i="72"/>
  <c r="M20" i="72"/>
  <c r="BY20" i="72"/>
  <c r="V20" i="72"/>
  <c r="B20" i="72" s="1"/>
  <c r="G20" i="72"/>
  <c r="AD20" i="72"/>
  <c r="P20" i="72"/>
  <c r="BG20" i="72"/>
  <c r="BU20" i="72" a="1"/>
  <c r="BU20" i="72" s="1"/>
  <c r="F83" i="69"/>
  <c r="CW23" i="4"/>
  <c r="CX23" i="4" s="1"/>
  <c r="Z1319" i="13"/>
  <c r="AV25" i="13"/>
  <c r="AY23" i="4"/>
  <c r="AW23" i="4"/>
  <c r="L23" i="4"/>
  <c r="F23" i="4"/>
  <c r="BL23" i="4" s="1"/>
  <c r="AP23" i="4"/>
  <c r="AV325" i="13" s="1"/>
  <c r="AV425" i="13" s="1"/>
  <c r="W38" i="22"/>
  <c r="Y38" i="22" s="1"/>
  <c r="V38" i="22"/>
  <c r="CW87" i="4"/>
  <c r="CX87" i="4" s="1"/>
  <c r="E87" i="4"/>
  <c r="BT87" i="4" s="1"/>
  <c r="DE87" i="4"/>
  <c r="L28" i="72"/>
  <c r="BG28" i="72"/>
  <c r="AV28" i="72"/>
  <c r="J28" i="72"/>
  <c r="V28" i="72"/>
  <c r="B28" i="72" s="1"/>
  <c r="S28" i="72"/>
  <c r="AA28" i="72"/>
  <c r="Y28" i="72"/>
  <c r="AW28" i="72"/>
  <c r="N28" i="72" a="1"/>
  <c r="N28" i="72" s="1"/>
  <c r="AC28" i="72"/>
  <c r="T28" i="72"/>
  <c r="W28" i="72"/>
  <c r="BT28" i="72" s="1"/>
  <c r="AD28" i="72"/>
  <c r="BF28" i="72"/>
  <c r="Z28" i="72"/>
  <c r="A28" i="72"/>
  <c r="G28" i="72"/>
  <c r="Q28" i="72"/>
  <c r="P28" i="72"/>
  <c r="BY28" i="72"/>
  <c r="M28" i="72"/>
  <c r="AB28" i="72" a="1"/>
  <c r="AB28" i="72" s="1"/>
  <c r="I52" i="69"/>
  <c r="DV58" i="4"/>
  <c r="BH58" i="4"/>
  <c r="AV560" i="13"/>
  <c r="JL37" i="71"/>
  <c r="S94" i="69"/>
  <c r="AN94" i="69" s="1" a="1"/>
  <c r="AN94" i="69" s="1"/>
  <c r="AP96" i="69" a="1"/>
  <c r="AP96" i="69" s="1"/>
  <c r="E339" i="15"/>
  <c r="F432" i="15" a="1"/>
  <c r="F432" i="15" s="1"/>
  <c r="H432" i="15" a="1"/>
  <c r="H432" i="15" s="1"/>
  <c r="P25" i="9"/>
  <c r="P85" i="9"/>
  <c r="JR37" i="71"/>
  <c r="BK94" i="72"/>
  <c r="BH94" i="72"/>
  <c r="AR94" i="72"/>
  <c r="R94" i="72"/>
  <c r="BQ94" i="72" a="1"/>
  <c r="BQ94" i="72" s="1"/>
  <c r="BX94" i="72"/>
  <c r="BT94" i="72"/>
  <c r="BS94" i="72" s="1"/>
  <c r="BV94" i="72" s="1"/>
  <c r="BU94" i="72" a="1"/>
  <c r="BU94" i="72" s="1"/>
  <c r="E94" i="72"/>
  <c r="BB96" i="72" a="1"/>
  <c r="BB96" i="72" s="1"/>
  <c r="F281" i="15" a="1"/>
  <c r="F281" i="15" s="1"/>
  <c r="H281" i="15" a="1"/>
  <c r="H281" i="15" s="1"/>
  <c r="P55" i="9"/>
  <c r="P74" i="9"/>
  <c r="E161" i="15"/>
  <c r="N490" i="15" a="1"/>
  <c r="N490" i="15" s="1"/>
  <c r="M490" i="15" a="1"/>
  <c r="M490" i="15" s="1"/>
  <c r="K490" i="15" a="1"/>
  <c r="K490" i="15" s="1"/>
  <c r="H283" i="15" a="1"/>
  <c r="H283" i="15" s="1"/>
  <c r="F283" i="15" a="1"/>
  <c r="F283" i="15" s="1"/>
  <c r="P82" i="9"/>
  <c r="E482" i="15"/>
  <c r="H481" i="15" s="1" a="1"/>
  <c r="H481" i="15" s="1"/>
  <c r="HM37" i="71"/>
  <c r="P68" i="9"/>
  <c r="P41" i="9"/>
  <c r="P61" i="9"/>
  <c r="P22" i="9"/>
  <c r="F479" i="15" a="1"/>
  <c r="F479" i="15" s="1"/>
  <c r="H91" i="15" a="1"/>
  <c r="H91" i="15" s="1"/>
  <c r="L479" i="15" a="1"/>
  <c r="L479" i="15" s="1"/>
  <c r="N479" i="15" a="1"/>
  <c r="N479" i="15" s="1"/>
  <c r="M479" i="15" a="1"/>
  <c r="M479" i="15" s="1"/>
  <c r="K479" i="15" a="1"/>
  <c r="K479" i="15" s="1"/>
  <c r="AS55" i="4"/>
  <c r="AX1318" i="13"/>
  <c r="A1417" i="13"/>
  <c r="AS21" i="69"/>
  <c r="AB21" i="69" a="1"/>
  <c r="AB21" i="69" s="1"/>
  <c r="BB21" i="69"/>
  <c r="N21" i="69" a="1"/>
  <c r="N21" i="69" s="1"/>
  <c r="Q21" i="69"/>
  <c r="J21" i="69"/>
  <c r="BU21" i="69"/>
  <c r="V21" i="69"/>
  <c r="B21" i="69" s="1"/>
  <c r="L21" i="69"/>
  <c r="AA21" i="69"/>
  <c r="AR21" i="69"/>
  <c r="Y21" i="69"/>
  <c r="AC21" i="69"/>
  <c r="Z21" i="69"/>
  <c r="P21" i="69"/>
  <c r="K21" i="69" a="1"/>
  <c r="K21" i="69" s="1"/>
  <c r="U21" i="69" a="1"/>
  <c r="U21" i="69" s="1"/>
  <c r="T21" i="69"/>
  <c r="M21" i="69"/>
  <c r="W21" i="69"/>
  <c r="G21" i="69"/>
  <c r="BC21" i="69"/>
  <c r="A21" i="69"/>
  <c r="S21" i="69"/>
  <c r="CW73" i="4"/>
  <c r="CX73" i="4" s="1"/>
  <c r="I578" i="15" a="1"/>
  <c r="I578" i="15" s="1"/>
  <c r="F299" i="15" a="1"/>
  <c r="F299" i="15" s="1"/>
  <c r="V84" i="72"/>
  <c r="B84" i="72" s="1"/>
  <c r="A84" i="72"/>
  <c r="AA84" i="72"/>
  <c r="M84" i="72"/>
  <c r="AW84" i="72"/>
  <c r="P84" i="72"/>
  <c r="Z84" i="72"/>
  <c r="T84" i="72"/>
  <c r="AC84" i="72"/>
  <c r="BG84" i="72"/>
  <c r="Y84" i="72"/>
  <c r="BY84" i="72"/>
  <c r="BF84" i="72"/>
  <c r="AD84" i="72"/>
  <c r="AV84" i="72"/>
  <c r="W84" i="72"/>
  <c r="BT84" i="72" s="1"/>
  <c r="N84" i="72" a="1"/>
  <c r="N84" i="72" s="1"/>
  <c r="J84" i="72"/>
  <c r="Q84" i="72"/>
  <c r="AB84" i="72" a="1"/>
  <c r="AB84" i="72" s="1"/>
  <c r="S84" i="72"/>
  <c r="AB65" i="72" a="1"/>
  <c r="AB65" i="72" s="1"/>
  <c r="Q65" i="72"/>
  <c r="AD65" i="72"/>
  <c r="Y65" i="72"/>
  <c r="A65" i="72"/>
  <c r="BY65" i="72"/>
  <c r="P65" i="72"/>
  <c r="AC65" i="72"/>
  <c r="AA65" i="72"/>
  <c r="V65" i="72"/>
  <c r="B65" i="72" s="1"/>
  <c r="T65" i="72"/>
  <c r="S65" i="72"/>
  <c r="BG65" i="72"/>
  <c r="Z65" i="72"/>
  <c r="BF65" i="72"/>
  <c r="G65" i="72"/>
  <c r="M65" i="72"/>
  <c r="AW65" i="72"/>
  <c r="AV65" i="72"/>
  <c r="W65" i="72"/>
  <c r="BT65" i="72" s="1"/>
  <c r="J65" i="72"/>
  <c r="N65" i="72" a="1"/>
  <c r="N65" i="72" s="1"/>
  <c r="BC75" i="69"/>
  <c r="G75" i="69"/>
  <c r="A75" i="69"/>
  <c r="V75" i="69"/>
  <c r="B75" i="69" s="1"/>
  <c r="Y75" i="69"/>
  <c r="BB75" i="69"/>
  <c r="N75" i="69" a="1"/>
  <c r="N75" i="69" s="1"/>
  <c r="J75" i="69"/>
  <c r="AR75" i="69"/>
  <c r="P75" i="69"/>
  <c r="AC75" i="69"/>
  <c r="Q75" i="69"/>
  <c r="AB75" i="69" a="1"/>
  <c r="AB75" i="69" s="1"/>
  <c r="AA75" i="69"/>
  <c r="M75" i="69"/>
  <c r="BU75" i="69"/>
  <c r="W75" i="69"/>
  <c r="L75" i="69" s="1"/>
  <c r="Z75" i="69"/>
  <c r="T75" i="69"/>
  <c r="S75" i="69"/>
  <c r="U75" i="69" a="1"/>
  <c r="U75" i="69" s="1"/>
  <c r="AS75" i="69"/>
  <c r="L526" i="15" a="1"/>
  <c r="L526" i="15" s="1"/>
  <c r="DE71" i="4"/>
  <c r="E71" i="4"/>
  <c r="BT71" i="4" s="1"/>
  <c r="L625" i="15" a="1"/>
  <c r="L625" i="15" s="1"/>
  <c r="DA63" i="4" a="1"/>
  <c r="DA63" i="4" s="1"/>
  <c r="CW80" i="4"/>
  <c r="CX80" i="4" s="1"/>
  <c r="F70" i="15" a="1"/>
  <c r="F70" i="15" s="1"/>
  <c r="H70" i="15" a="1"/>
  <c r="H70" i="15" s="1"/>
  <c r="F67" i="4"/>
  <c r="BL67" i="4" s="1"/>
  <c r="DD41" i="4" a="1"/>
  <c r="DD41" i="4" s="1"/>
  <c r="DD47" i="4" a="1"/>
  <c r="DD47" i="4" s="1"/>
  <c r="DD40" i="4" a="1"/>
  <c r="DD40" i="4" s="1"/>
  <c r="DD29" i="4" a="1"/>
  <c r="DD29" i="4" s="1"/>
  <c r="BR9" i="4"/>
  <c r="AE9" i="72" s="1"/>
  <c r="I8" i="72"/>
  <c r="N581" i="15" a="1"/>
  <c r="N581" i="15" s="1"/>
  <c r="H574" i="15" a="1"/>
  <c r="H574" i="15" s="1"/>
  <c r="F574" i="15" a="1"/>
  <c r="F574" i="15" s="1"/>
  <c r="DA93" i="4" a="1"/>
  <c r="DA93" i="4" s="1"/>
  <c r="M516" i="15" a="1"/>
  <c r="M516" i="15" s="1"/>
  <c r="N516" i="15" a="1"/>
  <c r="N516" i="15" s="1"/>
  <c r="K516" i="15" a="1"/>
  <c r="K516" i="15" s="1"/>
  <c r="BH30" i="4"/>
  <c r="BM30" i="4"/>
  <c r="BE30" i="4" s="1" a="1"/>
  <c r="BE30" i="4" s="1"/>
  <c r="DV30" i="4"/>
  <c r="AV532" i="13"/>
  <c r="F438" i="15" a="1"/>
  <c r="F438" i="15" s="1"/>
  <c r="H438" i="15" a="1"/>
  <c r="H438" i="15" s="1"/>
  <c r="F519" i="15" a="1"/>
  <c r="F519" i="15" s="1"/>
  <c r="H519" i="15" a="1"/>
  <c r="H519" i="15" s="1"/>
  <c r="AP80" i="4"/>
  <c r="AV382" i="13" s="1"/>
  <c r="AV482" i="13" s="1"/>
  <c r="BM53" i="4"/>
  <c r="BE53" i="4" s="1" a="1"/>
  <c r="BE53" i="4" s="1"/>
  <c r="DV53" i="4"/>
  <c r="AV555" i="13"/>
  <c r="BH53" i="4"/>
  <c r="Q71" i="72"/>
  <c r="AA71" i="72"/>
  <c r="A71" i="72"/>
  <c r="V71" i="72"/>
  <c r="B71" i="72" s="1"/>
  <c r="AD71" i="72"/>
  <c r="AW71" i="72"/>
  <c r="BY71" i="72"/>
  <c r="L71" i="72"/>
  <c r="Y71" i="72"/>
  <c r="AC71" i="72"/>
  <c r="J71" i="72"/>
  <c r="AB71" i="72" a="1"/>
  <c r="AB71" i="72" s="1"/>
  <c r="N71" i="72" a="1"/>
  <c r="N71" i="72" s="1"/>
  <c r="S71" i="72"/>
  <c r="T71" i="72"/>
  <c r="BG71" i="72"/>
  <c r="AV71" i="72"/>
  <c r="W71" i="72"/>
  <c r="M71" i="72"/>
  <c r="Z71" i="72"/>
  <c r="BF71" i="72"/>
  <c r="P71" i="72"/>
  <c r="I30" i="72"/>
  <c r="K629" i="15" a="1"/>
  <c r="K629" i="15" s="1"/>
  <c r="CW67" i="4"/>
  <c r="CX67" i="4" s="1"/>
  <c r="AX1385" i="13"/>
  <c r="A1484" i="13"/>
  <c r="P38" i="23"/>
  <c r="P51" i="14"/>
  <c r="Z51" i="23"/>
  <c r="AV552" i="13"/>
  <c r="DV50" i="4"/>
  <c r="BH50" i="4"/>
  <c r="F461" i="15" a="1"/>
  <c r="F461" i="15" s="1"/>
  <c r="H461" i="15" a="1"/>
  <c r="H461" i="15" s="1"/>
  <c r="CA19" i="4"/>
  <c r="AT19" i="4" a="1"/>
  <c r="AT19" i="4" s="1"/>
  <c r="H19" i="69" s="1"/>
  <c r="AU19" i="4"/>
  <c r="AV19" i="4" a="1"/>
  <c r="AV19" i="4" s="1"/>
  <c r="C19" i="69" s="1"/>
  <c r="Y19" i="4"/>
  <c r="BQ19" i="4"/>
  <c r="BH21" i="4"/>
  <c r="BM21" i="4"/>
  <c r="BE21" i="4" s="1" a="1"/>
  <c r="BE21" i="4" s="1"/>
  <c r="AV523" i="13"/>
  <c r="DV21" i="4"/>
  <c r="T31" i="69"/>
  <c r="AB31" i="69" a="1"/>
  <c r="AB31" i="69" s="1"/>
  <c r="U31" i="69" a="1"/>
  <c r="U31" i="69" s="1"/>
  <c r="Z31" i="69"/>
  <c r="BB31" i="69"/>
  <c r="BU31" i="69"/>
  <c r="AR31" i="69"/>
  <c r="N31" i="69" a="1"/>
  <c r="N31" i="69" s="1"/>
  <c r="A31" i="69"/>
  <c r="AC31" i="69"/>
  <c r="Q31" i="69"/>
  <c r="W31" i="69"/>
  <c r="BP31" i="69" s="1"/>
  <c r="S31" i="69"/>
  <c r="P31" i="69"/>
  <c r="Y31" i="69"/>
  <c r="G31" i="69"/>
  <c r="AA31" i="69"/>
  <c r="V31" i="69"/>
  <c r="B31" i="69" s="1"/>
  <c r="M31" i="69"/>
  <c r="BC31" i="69"/>
  <c r="J31" i="69"/>
  <c r="AS31" i="69"/>
  <c r="L31" i="69"/>
  <c r="BQ31" i="69" a="1"/>
  <c r="BQ31" i="69" s="1"/>
  <c r="O31" i="69"/>
  <c r="F57" i="72"/>
  <c r="Z56" i="4"/>
  <c r="AV1253" i="13" s="1"/>
  <c r="N594" i="15" a="1"/>
  <c r="N594" i="15" s="1"/>
  <c r="F594" i="15" a="1"/>
  <c r="F594" i="15" s="1"/>
  <c r="H648" i="15" a="1"/>
  <c r="H648" i="15" s="1"/>
  <c r="F648" i="15" a="1"/>
  <c r="F648" i="15" s="1"/>
  <c r="AX1358" i="13"/>
  <c r="A1457" i="13"/>
  <c r="CW77" i="4"/>
  <c r="CX77" i="4" s="1"/>
  <c r="CW83" i="4"/>
  <c r="CX83" i="4" s="1"/>
  <c r="X51" i="4"/>
  <c r="BH47" i="4"/>
  <c r="AV549" i="13"/>
  <c r="DV47" i="4"/>
  <c r="BM47" i="4"/>
  <c r="BE47" i="4" s="1" a="1"/>
  <c r="BE47" i="4" s="1"/>
  <c r="CA14" i="4"/>
  <c r="AU14" i="4"/>
  <c r="AV14" i="4" a="1"/>
  <c r="AV14" i="4" s="1"/>
  <c r="C14" i="69" s="1"/>
  <c r="AT14" i="4" a="1"/>
  <c r="AT14" i="4" s="1"/>
  <c r="H14" i="72" s="1"/>
  <c r="Y14" i="4"/>
  <c r="BQ14" i="4"/>
  <c r="CY14" i="4"/>
  <c r="CZ14" i="4" s="1"/>
  <c r="P16" i="9" s="1"/>
  <c r="F215" i="15" a="1"/>
  <c r="F215" i="15" s="1"/>
  <c r="F632" i="15" a="1"/>
  <c r="F632" i="15" s="1"/>
  <c r="H632" i="15" a="1"/>
  <c r="H632" i="15" s="1"/>
  <c r="W92" i="22"/>
  <c r="Y92" i="22" s="1"/>
  <c r="AY60" i="4"/>
  <c r="L60" i="4"/>
  <c r="F60" i="4"/>
  <c r="BL60" i="4" s="1"/>
  <c r="AV62" i="13"/>
  <c r="AW60" i="4"/>
  <c r="Z1356" i="13"/>
  <c r="AP60" i="4"/>
  <c r="AV362" i="13" s="1"/>
  <c r="AV462" i="13" s="1"/>
  <c r="AH83" i="4"/>
  <c r="AV1379" i="13" s="1"/>
  <c r="F64" i="72"/>
  <c r="A1448" i="13"/>
  <c r="AX1349" i="13"/>
  <c r="H172" i="15" a="1"/>
  <c r="H172" i="15" s="1"/>
  <c r="F172" i="15" a="1"/>
  <c r="F172" i="15" s="1"/>
  <c r="DE65" i="4"/>
  <c r="E65" i="4"/>
  <c r="BT65" i="4" s="1"/>
  <c r="AX1257" i="13"/>
  <c r="A1356" i="13"/>
  <c r="BH13" i="4"/>
  <c r="BM13" i="4"/>
  <c r="BE13" i="4" s="1" a="1"/>
  <c r="BE13" i="4" s="1"/>
  <c r="DV13" i="4"/>
  <c r="AV515" i="13"/>
  <c r="L46" i="4"/>
  <c r="BG12" i="4"/>
  <c r="AV1110" i="13" s="1"/>
  <c r="BR12" i="4"/>
  <c r="BO12" i="72" s="1"/>
  <c r="X12" i="4"/>
  <c r="AL23" i="4"/>
  <c r="I23" i="69" s="1"/>
  <c r="BF20" i="4"/>
  <c r="BF6" i="4"/>
  <c r="BG53" i="4"/>
  <c r="AV1151" i="13" s="1"/>
  <c r="AL60" i="4"/>
  <c r="I60" i="72" s="1"/>
  <c r="BG45" i="4"/>
  <c r="AV1143" i="13" s="1"/>
  <c r="BR45" i="4"/>
  <c r="BK45" i="69" s="1"/>
  <c r="X45" i="4"/>
  <c r="BG44" i="4"/>
  <c r="AV1142" i="13" s="1"/>
  <c r="Q27" i="69"/>
  <c r="AS27" i="69"/>
  <c r="A27" i="69"/>
  <c r="U27" i="69" a="1"/>
  <c r="U27" i="69" s="1"/>
  <c r="S27" i="69"/>
  <c r="V27" i="69"/>
  <c r="B27" i="69" s="1"/>
  <c r="W27" i="69"/>
  <c r="BQ27" i="69" s="1" a="1"/>
  <c r="BQ27" i="69" s="1"/>
  <c r="Y27" i="69"/>
  <c r="AA27" i="69"/>
  <c r="BC27" i="69"/>
  <c r="N27" i="69" a="1"/>
  <c r="N27" i="69" s="1"/>
  <c r="P27" i="69"/>
  <c r="Z27" i="69"/>
  <c r="BU27" i="69"/>
  <c r="G27" i="69"/>
  <c r="BB27" i="69"/>
  <c r="M27" i="69"/>
  <c r="AC27" i="69"/>
  <c r="AB27" i="69" a="1"/>
  <c r="AB27" i="69" s="1"/>
  <c r="J27" i="69"/>
  <c r="AR27" i="69"/>
  <c r="T27" i="69"/>
  <c r="F94" i="72"/>
  <c r="F94" i="69"/>
  <c r="AX225" i="13"/>
  <c r="A325" i="13"/>
  <c r="AX325" i="13" s="1"/>
  <c r="P72" i="72"/>
  <c r="Y72" i="72"/>
  <c r="T72" i="72"/>
  <c r="L72" i="72"/>
  <c r="AV72" i="72"/>
  <c r="G72" i="72"/>
  <c r="Q72" i="72"/>
  <c r="N72" i="72" a="1"/>
  <c r="N72" i="72" s="1"/>
  <c r="AD72" i="72"/>
  <c r="AA72" i="72"/>
  <c r="AW72" i="72"/>
  <c r="V72" i="72"/>
  <c r="B72" i="72" s="1"/>
  <c r="BG72" i="72"/>
  <c r="M72" i="72"/>
  <c r="Z72" i="72"/>
  <c r="W72" i="72"/>
  <c r="BT72" i="72" s="1"/>
  <c r="AB72" i="72" a="1"/>
  <c r="AB72" i="72" s="1"/>
  <c r="AC72" i="72"/>
  <c r="BF72" i="72"/>
  <c r="BY72" i="72"/>
  <c r="J72" i="72"/>
  <c r="A72" i="72"/>
  <c r="S72" i="72"/>
  <c r="HS37" i="71"/>
  <c r="JI37" i="71"/>
  <c r="E205" i="15"/>
  <c r="E163" i="15"/>
  <c r="N474" i="15" a="1"/>
  <c r="N474" i="15" s="1"/>
  <c r="L474" i="15" a="1"/>
  <c r="L474" i="15" s="1"/>
  <c r="K474" i="15" a="1"/>
  <c r="K474" i="15" s="1"/>
  <c r="P43" i="9"/>
  <c r="E114" i="15"/>
  <c r="N535" i="15" a="1"/>
  <c r="N535" i="15" s="1"/>
  <c r="N536" i="15" a="1"/>
  <c r="N536" i="15" s="1"/>
  <c r="M535" i="15" a="1"/>
  <c r="M535" i="15" s="1"/>
  <c r="L536" i="15" a="1"/>
  <c r="L536" i="15" s="1"/>
  <c r="M536" i="15" a="1"/>
  <c r="M536" i="15" s="1"/>
  <c r="K536" i="15" a="1"/>
  <c r="K536" i="15" s="1"/>
  <c r="K535" i="15" a="1"/>
  <c r="K535" i="15" s="1"/>
  <c r="L535" i="15" a="1"/>
  <c r="L535" i="15" s="1"/>
  <c r="G94" i="72"/>
  <c r="E355" i="15"/>
  <c r="H354" i="15" s="1" a="1"/>
  <c r="H354" i="15" s="1"/>
  <c r="E379" i="15"/>
  <c r="H375" i="15" s="1" a="1"/>
  <c r="H375" i="15" s="1"/>
  <c r="JX37" i="71"/>
  <c r="P44" i="9"/>
  <c r="P78" i="9"/>
  <c r="H665" i="15" a="1"/>
  <c r="H665" i="15" s="1"/>
  <c r="F665" i="15" a="1"/>
  <c r="F665" i="15" s="1"/>
  <c r="BD95" i="69"/>
  <c r="BG95" i="69"/>
  <c r="AW95" i="69" s="1" a="1"/>
  <c r="AW95" i="69" s="1"/>
  <c r="R95" i="69"/>
  <c r="AP95" i="69" a="1"/>
  <c r="AP95" i="69" s="1"/>
  <c r="BN95" i="69" a="1"/>
  <c r="BN95" i="69" s="1"/>
  <c r="BT95" i="69"/>
  <c r="BM95" i="69" a="1"/>
  <c r="BM95" i="69" s="1"/>
  <c r="BP95" i="69"/>
  <c r="BO95" i="69" s="1"/>
  <c r="BR95" i="69" s="1"/>
  <c r="BQ95" i="69" a="1"/>
  <c r="BQ95" i="69" s="1"/>
  <c r="E95" i="69"/>
  <c r="BI94" i="72"/>
  <c r="BJ94" i="72"/>
  <c r="BG21" i="72"/>
  <c r="J21" i="72"/>
  <c r="BF21" i="72"/>
  <c r="Z21" i="72"/>
  <c r="AC21" i="72"/>
  <c r="T21" i="72"/>
  <c r="P21" i="72"/>
  <c r="Y21" i="72"/>
  <c r="K21" i="72" a="1"/>
  <c r="K21" i="72" s="1"/>
  <c r="AB21" i="72" a="1"/>
  <c r="AB21" i="72" s="1"/>
  <c r="L21" i="72"/>
  <c r="W21" i="72"/>
  <c r="AV21" i="72"/>
  <c r="N21" i="72" a="1"/>
  <c r="N21" i="72" s="1"/>
  <c r="M21" i="72"/>
  <c r="Q21" i="72"/>
  <c r="AW21" i="72"/>
  <c r="A21" i="72"/>
  <c r="AD21" i="72"/>
  <c r="AA21" i="72"/>
  <c r="BY21" i="72"/>
  <c r="G21" i="72"/>
  <c r="V21" i="72"/>
  <c r="B21" i="72" s="1"/>
  <c r="BU21" i="72" a="1"/>
  <c r="BU21" i="72" s="1"/>
  <c r="S21" i="72"/>
  <c r="F37" i="72"/>
  <c r="AV1239" i="13"/>
  <c r="I8" i="27"/>
  <c r="HG37" i="71"/>
  <c r="DE96" i="4"/>
  <c r="E96" i="4"/>
  <c r="BT96" i="4" s="1"/>
  <c r="T84" i="69"/>
  <c r="V84" i="69"/>
  <c r="B84" i="69" s="1"/>
  <c r="BU84" i="69"/>
  <c r="AS84" i="69"/>
  <c r="BB84" i="69"/>
  <c r="J84" i="69"/>
  <c r="W84" i="69"/>
  <c r="L84" i="69" s="1"/>
  <c r="M84" i="69"/>
  <c r="Q84" i="69"/>
  <c r="Y84" i="69"/>
  <c r="AA84" i="69"/>
  <c r="Z84" i="69"/>
  <c r="N84" i="69" a="1"/>
  <c r="N84" i="69" s="1"/>
  <c r="AC84" i="69"/>
  <c r="BC84" i="69"/>
  <c r="AB84" i="69" a="1"/>
  <c r="AB84" i="69" s="1"/>
  <c r="AR84" i="69"/>
  <c r="P84" i="69"/>
  <c r="A84" i="69"/>
  <c r="U84" i="69" a="1"/>
  <c r="U84" i="69" s="1"/>
  <c r="S84" i="69"/>
  <c r="I73" i="72"/>
  <c r="W75" i="72"/>
  <c r="BU75" i="72" s="1" a="1"/>
  <c r="BU75" i="72" s="1"/>
  <c r="AW75" i="72"/>
  <c r="AA75" i="72"/>
  <c r="AV75" i="72"/>
  <c r="V75" i="72"/>
  <c r="B75" i="72" s="1"/>
  <c r="A75" i="72"/>
  <c r="AC75" i="72"/>
  <c r="Q75" i="72"/>
  <c r="M75" i="72"/>
  <c r="BG75" i="72"/>
  <c r="G75" i="72"/>
  <c r="BF75" i="72"/>
  <c r="Y75" i="72"/>
  <c r="Z75" i="72"/>
  <c r="N75" i="72" a="1"/>
  <c r="N75" i="72" s="1"/>
  <c r="J75" i="72"/>
  <c r="S75" i="72"/>
  <c r="T75" i="72"/>
  <c r="BY75" i="72"/>
  <c r="AD75" i="72"/>
  <c r="AB75" i="72" a="1"/>
  <c r="AB75" i="72" s="1"/>
  <c r="P75" i="72"/>
  <c r="A1403" i="13"/>
  <c r="AX1304" i="13"/>
  <c r="DA56" i="4" a="1"/>
  <c r="DA56" i="4" s="1"/>
  <c r="F395" i="15" a="1"/>
  <c r="F395" i="15" s="1"/>
  <c r="H395" i="15" a="1"/>
  <c r="H395" i="15" s="1"/>
  <c r="K526" i="15" a="1"/>
  <c r="K526" i="15" s="1"/>
  <c r="AX1384" i="13"/>
  <c r="A1483" i="13"/>
  <c r="AX1322" i="13"/>
  <c r="A1421" i="13"/>
  <c r="CW63" i="4"/>
  <c r="CX63" i="4" s="1"/>
  <c r="BD64" i="4"/>
  <c r="X64" i="4" s="1"/>
  <c r="DA58" i="4" a="1"/>
  <c r="DA58" i="4" s="1"/>
  <c r="AD91" i="4"/>
  <c r="DE91" i="4"/>
  <c r="E91" i="4"/>
  <c r="BT91" i="4" s="1"/>
  <c r="F464" i="15" a="1"/>
  <c r="F464" i="15" s="1"/>
  <c r="H464" i="15" a="1"/>
  <c r="H464" i="15" s="1"/>
  <c r="DD48" i="4" a="1"/>
  <c r="DD48" i="4" s="1"/>
  <c r="BT58" i="72"/>
  <c r="BS58" i="72" s="1"/>
  <c r="BV58" i="72" s="1"/>
  <c r="BZ58" i="72"/>
  <c r="F486" i="15" a="1"/>
  <c r="F486" i="15" s="1"/>
  <c r="H51" i="27"/>
  <c r="H19" i="27" s="1"/>
  <c r="I41" i="69"/>
  <c r="K581" i="15" a="1"/>
  <c r="K581" i="15" s="1"/>
  <c r="AX1313" i="13"/>
  <c r="A1412" i="13"/>
  <c r="F448" i="15" a="1"/>
  <c r="F448" i="15" s="1"/>
  <c r="F536" i="15" a="1"/>
  <c r="F536" i="15" s="1"/>
  <c r="H536" i="15" a="1"/>
  <c r="H536" i="15" s="1"/>
  <c r="H210" i="15" a="1"/>
  <c r="H210" i="15" s="1"/>
  <c r="F516" i="15" a="1"/>
  <c r="F516" i="15" s="1"/>
  <c r="H516" i="15" a="1"/>
  <c r="H516" i="15" s="1"/>
  <c r="L531" i="15" a="1"/>
  <c r="L531" i="15" s="1"/>
  <c r="AV517" i="13"/>
  <c r="DV15" i="4"/>
  <c r="BM15" i="4"/>
  <c r="BE15" i="4" s="1" a="1"/>
  <c r="BE15" i="4" s="1"/>
  <c r="BH15" i="4"/>
  <c r="Q71" i="69"/>
  <c r="AA71" i="69"/>
  <c r="BB71" i="69"/>
  <c r="J71" i="69"/>
  <c r="N71" i="69" a="1"/>
  <c r="N71" i="69" s="1"/>
  <c r="W71" i="69"/>
  <c r="M71" i="69"/>
  <c r="A71" i="69"/>
  <c r="AR71" i="69"/>
  <c r="L71" i="69"/>
  <c r="AS71" i="69"/>
  <c r="S71" i="69"/>
  <c r="AB71" i="69" a="1"/>
  <c r="AB71" i="69" s="1"/>
  <c r="Z71" i="69"/>
  <c r="T71" i="69"/>
  <c r="V71" i="69"/>
  <c r="B71" i="69" s="1"/>
  <c r="Y71" i="69"/>
  <c r="AC71" i="69"/>
  <c r="BU71" i="69"/>
  <c r="BC71" i="69"/>
  <c r="P71" i="69"/>
  <c r="Y7" i="69"/>
  <c r="K7" i="69" a="1"/>
  <c r="K7" i="69" s="1"/>
  <c r="P7" i="69"/>
  <c r="BC7" i="69"/>
  <c r="G7" i="69"/>
  <c r="M7" i="69"/>
  <c r="T7" i="69"/>
  <c r="W7" i="69"/>
  <c r="BB7" i="69"/>
  <c r="BU7" i="69"/>
  <c r="AA7" i="69"/>
  <c r="AC7" i="69"/>
  <c r="U7" i="69" a="1"/>
  <c r="U7" i="69" s="1"/>
  <c r="N7" i="69" a="1"/>
  <c r="N7" i="69" s="1"/>
  <c r="V7" i="69"/>
  <c r="B7" i="69" s="1"/>
  <c r="AR7" i="69"/>
  <c r="AB7" i="69" a="1"/>
  <c r="AB7" i="69" s="1"/>
  <c r="Q7" i="69"/>
  <c r="J7" i="69"/>
  <c r="S7" i="69"/>
  <c r="Z7" i="69"/>
  <c r="A7" i="69"/>
  <c r="AS7" i="69"/>
  <c r="BK7" i="69"/>
  <c r="AX1347" i="13"/>
  <c r="A1446" i="13"/>
  <c r="BD86" i="4"/>
  <c r="CW59" i="4"/>
  <c r="CX59" i="4" s="1"/>
  <c r="F369" i="15" a="1"/>
  <c r="F369" i="15" s="1"/>
  <c r="H369" i="15" a="1"/>
  <c r="H369" i="15" s="1"/>
  <c r="J68" i="72"/>
  <c r="BG68" i="72"/>
  <c r="AV68" i="72"/>
  <c r="AB68" i="72" a="1"/>
  <c r="AB68" i="72" s="1"/>
  <c r="G68" i="72"/>
  <c r="A68" i="72"/>
  <c r="AC68" i="72"/>
  <c r="P68" i="72"/>
  <c r="V68" i="72"/>
  <c r="W68" i="72"/>
  <c r="BU68" i="72" s="1" a="1"/>
  <c r="BU68" i="72" s="1"/>
  <c r="AW68" i="72"/>
  <c r="Y68" i="72"/>
  <c r="BY68" i="72"/>
  <c r="BF68" i="72"/>
  <c r="Q68" i="72"/>
  <c r="AD68" i="72"/>
  <c r="T68" i="72"/>
  <c r="M68" i="72"/>
  <c r="N68" i="72" a="1"/>
  <c r="N68" i="72" s="1"/>
  <c r="Z68" i="72"/>
  <c r="AA68" i="72"/>
  <c r="F81" i="69"/>
  <c r="AH82" i="4"/>
  <c r="AV1378" i="13" s="1"/>
  <c r="DE81" i="4"/>
  <c r="E81" i="4"/>
  <c r="BT81" i="4" s="1"/>
  <c r="F468" i="15" a="1"/>
  <c r="F468" i="15" s="1"/>
  <c r="H468" i="15" a="1"/>
  <c r="H468" i="15" s="1"/>
  <c r="DA82" i="4" a="1"/>
  <c r="DA82" i="4" s="1"/>
  <c r="DV19" i="4"/>
  <c r="AV521" i="13"/>
  <c r="BM19" i="4"/>
  <c r="BE19" i="4" s="1" a="1"/>
  <c r="BE19" i="4" s="1"/>
  <c r="BH19" i="4"/>
  <c r="BF31" i="72"/>
  <c r="AB31" i="72" a="1"/>
  <c r="AB31" i="72" s="1"/>
  <c r="Z31" i="72"/>
  <c r="M31" i="72"/>
  <c r="W31" i="72"/>
  <c r="V31" i="72"/>
  <c r="B31" i="72" s="1"/>
  <c r="AV31" i="72"/>
  <c r="A31" i="72"/>
  <c r="N31" i="72" a="1"/>
  <c r="N31" i="72" s="1"/>
  <c r="Y31" i="72"/>
  <c r="AA31" i="72"/>
  <c r="BY31" i="72"/>
  <c r="P31" i="72"/>
  <c r="AD31" i="72"/>
  <c r="BG31" i="72"/>
  <c r="J31" i="72"/>
  <c r="T31" i="72"/>
  <c r="L31" i="72"/>
  <c r="G31" i="72"/>
  <c r="Q31" i="72"/>
  <c r="S31" i="72"/>
  <c r="AC31" i="72"/>
  <c r="AW31" i="72"/>
  <c r="O31" i="72"/>
  <c r="BO31" i="72"/>
  <c r="AL80" i="4"/>
  <c r="N497" i="15" a="1"/>
  <c r="N497" i="15" s="1"/>
  <c r="F497" i="15" a="1"/>
  <c r="F497" i="15" s="1"/>
  <c r="H497" i="15" a="1"/>
  <c r="H497" i="15" s="1"/>
  <c r="Z61" i="4"/>
  <c r="AV1258" i="13" s="1"/>
  <c r="DE61" i="4"/>
  <c r="E61" i="4"/>
  <c r="BT61" i="4" s="1"/>
  <c r="A1458" i="13"/>
  <c r="AX1359" i="13"/>
  <c r="AP77" i="4"/>
  <c r="AV379" i="13" s="1"/>
  <c r="AV479" i="13" s="1"/>
  <c r="Y36" i="4"/>
  <c r="AT36" i="4" a="1"/>
  <c r="AT36" i="4" s="1"/>
  <c r="H36" i="72" s="1"/>
  <c r="AU36" i="4"/>
  <c r="AV36" i="4" a="1"/>
  <c r="AV36" i="4" s="1"/>
  <c r="C36" i="69" s="1"/>
  <c r="CY36" i="4"/>
  <c r="CZ36" i="4" s="1"/>
  <c r="BQ36" i="4"/>
  <c r="U32" i="69" a="1"/>
  <c r="U32" i="69" s="1"/>
  <c r="L32" i="69"/>
  <c r="M32" i="69"/>
  <c r="J32" i="69"/>
  <c r="Q32" i="69"/>
  <c r="AR32" i="69"/>
  <c r="Z32" i="69"/>
  <c r="V32" i="69"/>
  <c r="B32" i="69" s="1"/>
  <c r="P32" i="69"/>
  <c r="AB32" i="69" a="1"/>
  <c r="AB32" i="69" s="1"/>
  <c r="W32" i="69"/>
  <c r="BP32" i="69" s="1"/>
  <c r="BB32" i="69"/>
  <c r="BU32" i="69"/>
  <c r="BI32" i="69"/>
  <c r="S32" i="69"/>
  <c r="AA32" i="69"/>
  <c r="AS32" i="69"/>
  <c r="A32" i="69"/>
  <c r="G32" i="69"/>
  <c r="N32" i="69" a="1"/>
  <c r="N32" i="69" s="1"/>
  <c r="AC32" i="69"/>
  <c r="Y32" i="69"/>
  <c r="BC32" i="69"/>
  <c r="T32" i="69"/>
  <c r="AC53" i="69"/>
  <c r="AR53" i="69"/>
  <c r="V53" i="69"/>
  <c r="B53" i="69" s="1"/>
  <c r="BB53" i="69"/>
  <c r="G53" i="69"/>
  <c r="J53" i="69"/>
  <c r="BC53" i="69"/>
  <c r="U53" i="69" a="1"/>
  <c r="U53" i="69" s="1"/>
  <c r="N53" i="69" a="1"/>
  <c r="N53" i="69" s="1"/>
  <c r="Q53" i="69"/>
  <c r="S53" i="69"/>
  <c r="AS53" i="69"/>
  <c r="P53" i="69"/>
  <c r="M53" i="69"/>
  <c r="AA53" i="69"/>
  <c r="Z53" i="69"/>
  <c r="T53" i="69"/>
  <c r="W53" i="69"/>
  <c r="BQ53" i="69" s="1" a="1"/>
  <c r="BQ53" i="69" s="1"/>
  <c r="AB53" i="69" a="1"/>
  <c r="AB53" i="69" s="1"/>
  <c r="BU53" i="69"/>
  <c r="Y53" i="69"/>
  <c r="A53" i="69"/>
  <c r="B53" i="14"/>
  <c r="C53" i="14"/>
  <c r="B52" i="14"/>
  <c r="C52" i="14"/>
  <c r="B54" i="14"/>
  <c r="C54" i="14"/>
  <c r="AX1329" i="13"/>
  <c r="A1428" i="13"/>
  <c r="BE3" i="4" a="1"/>
  <c r="BE3" i="4" s="1"/>
  <c r="DA77" i="4" a="1"/>
  <c r="DA77" i="4" s="1"/>
  <c r="F397" i="15" a="1"/>
  <c r="F397" i="15" s="1"/>
  <c r="H397" i="15" a="1"/>
  <c r="H397" i="15" s="1"/>
  <c r="F68" i="4"/>
  <c r="BL68" i="4" s="1"/>
  <c r="F85" i="4"/>
  <c r="BL85" i="4" s="1"/>
  <c r="AA91" i="69"/>
  <c r="AS91" i="69"/>
  <c r="P91" i="69"/>
  <c r="T91" i="69"/>
  <c r="W91" i="69"/>
  <c r="BQ91" i="69" s="1" a="1"/>
  <c r="BQ91" i="69" s="1"/>
  <c r="BU91" i="69"/>
  <c r="BB91" i="69"/>
  <c r="AR91" i="69"/>
  <c r="Y91" i="69"/>
  <c r="Z91" i="69"/>
  <c r="AB91" i="69" a="1"/>
  <c r="AB91" i="69" s="1"/>
  <c r="U91" i="69" a="1"/>
  <c r="U91" i="69" s="1"/>
  <c r="V91" i="69"/>
  <c r="B91" i="69" s="1"/>
  <c r="AC91" i="69"/>
  <c r="A91" i="69"/>
  <c r="M91" i="69"/>
  <c r="J91" i="69"/>
  <c r="Q91" i="69"/>
  <c r="N91" i="69" a="1"/>
  <c r="N91" i="69" s="1"/>
  <c r="BC91" i="69"/>
  <c r="G91" i="69"/>
  <c r="S91" i="69"/>
  <c r="DA66" i="4" a="1"/>
  <c r="DA66" i="4" s="1"/>
  <c r="L48" i="4"/>
  <c r="BR48" i="4"/>
  <c r="O48" i="72" s="1"/>
  <c r="X48" i="4"/>
  <c r="BG48" i="4"/>
  <c r="AV1146" i="13" s="1"/>
  <c r="BR36" i="4"/>
  <c r="BK36" i="69" s="1"/>
  <c r="X36" i="4"/>
  <c r="BG36" i="4"/>
  <c r="AV1134" i="13" s="1"/>
  <c r="B101" i="1"/>
  <c r="X23" i="69"/>
  <c r="K29" i="69" s="1" a="1"/>
  <c r="K29" i="69" s="1"/>
  <c r="X23" i="72"/>
  <c r="T92" i="72"/>
  <c r="AC92" i="72"/>
  <c r="BG92" i="72"/>
  <c r="S92" i="72"/>
  <c r="A92" i="72"/>
  <c r="L92" i="72"/>
  <c r="N92" i="72" a="1"/>
  <c r="N92" i="72" s="1"/>
  <c r="AW92" i="72"/>
  <c r="AD92" i="72"/>
  <c r="Y92" i="72"/>
  <c r="W92" i="72"/>
  <c r="BT92" i="72" s="1"/>
  <c r="V92" i="72"/>
  <c r="B92" i="72" s="1"/>
  <c r="M92" i="72"/>
  <c r="AB92" i="72" a="1"/>
  <c r="AB92" i="72" s="1"/>
  <c r="AA92" i="72"/>
  <c r="J92" i="72"/>
  <c r="Z92" i="72"/>
  <c r="P92" i="72"/>
  <c r="BF92" i="72"/>
  <c r="Q92" i="72"/>
  <c r="BY92" i="72"/>
  <c r="AV92" i="72"/>
  <c r="G92" i="72"/>
  <c r="AP86" i="4"/>
  <c r="AV388" i="13" s="1"/>
  <c r="AV488" i="13" s="1"/>
  <c r="M57" i="72"/>
  <c r="Q57" i="72"/>
  <c r="T57" i="72"/>
  <c r="N57" i="72" a="1"/>
  <c r="N57" i="72" s="1"/>
  <c r="J57" i="72"/>
  <c r="BG57" i="72"/>
  <c r="BY57" i="72"/>
  <c r="AB57" i="72" a="1"/>
  <c r="AB57" i="72" s="1"/>
  <c r="A57" i="72"/>
  <c r="Z57" i="72"/>
  <c r="V57" i="72"/>
  <c r="B57" i="72" s="1"/>
  <c r="Y57" i="72"/>
  <c r="W57" i="72"/>
  <c r="BT57" i="72" s="1"/>
  <c r="AW57" i="72"/>
  <c r="G57" i="72"/>
  <c r="AC57" i="72"/>
  <c r="BF57" i="72"/>
  <c r="S57" i="72"/>
  <c r="AA57" i="72"/>
  <c r="AV57" i="72"/>
  <c r="P57" i="72"/>
  <c r="AD57" i="72"/>
  <c r="I54" i="72"/>
  <c r="L28" i="69"/>
  <c r="A28" i="69"/>
  <c r="Y28" i="69"/>
  <c r="Z28" i="69"/>
  <c r="P28" i="69"/>
  <c r="W28" i="69"/>
  <c r="BQ28" i="69" s="1" a="1"/>
  <c r="BQ28" i="69" s="1"/>
  <c r="U28" i="69" a="1"/>
  <c r="U28" i="69" s="1"/>
  <c r="BC28" i="69"/>
  <c r="AR28" i="69"/>
  <c r="S28" i="69"/>
  <c r="N28" i="69" a="1"/>
  <c r="N28" i="69" s="1"/>
  <c r="AC28" i="69"/>
  <c r="BB28" i="69"/>
  <c r="G28" i="69"/>
  <c r="V28" i="69"/>
  <c r="B28" i="69" s="1"/>
  <c r="T28" i="69"/>
  <c r="J28" i="69"/>
  <c r="BU28" i="69"/>
  <c r="AS28" i="69"/>
  <c r="Q28" i="69"/>
  <c r="AB28" i="69" a="1"/>
  <c r="AB28" i="69" s="1"/>
  <c r="AA28" i="69"/>
  <c r="M28" i="69"/>
  <c r="BI28" i="69"/>
  <c r="AX1363" i="13"/>
  <c r="A1462" i="13"/>
  <c r="BD23" i="4"/>
  <c r="BT23" i="4"/>
  <c r="AX1382" i="13"/>
  <c r="A1481" i="13"/>
  <c r="DD39" i="4" a="1"/>
  <c r="DD39" i="4" s="1"/>
  <c r="DD23" i="4" a="1"/>
  <c r="DD23" i="4" s="1"/>
  <c r="V72" i="69"/>
  <c r="B72" i="69" s="1"/>
  <c r="AA72" i="69"/>
  <c r="BB72" i="69"/>
  <c r="Y72" i="69"/>
  <c r="BU72" i="69"/>
  <c r="A72" i="69"/>
  <c r="AC72" i="69"/>
  <c r="BC72" i="69"/>
  <c r="Z72" i="69"/>
  <c r="P72" i="69"/>
  <c r="L72" i="69"/>
  <c r="T72" i="69"/>
  <c r="AR72" i="69"/>
  <c r="Q72" i="69"/>
  <c r="N72" i="69" a="1"/>
  <c r="N72" i="69" s="1"/>
  <c r="U72" i="69" a="1"/>
  <c r="U72" i="69" s="1"/>
  <c r="S72" i="69"/>
  <c r="J72" i="69"/>
  <c r="G72" i="69"/>
  <c r="M72" i="69"/>
  <c r="AB72" i="69" a="1"/>
  <c r="AB72" i="69" s="1"/>
  <c r="AS72" i="69"/>
  <c r="W72" i="69"/>
  <c r="BP72" i="69" s="1"/>
  <c r="I78" i="69"/>
  <c r="Z56" i="69"/>
  <c r="L56" i="69"/>
  <c r="BC56" i="69"/>
  <c r="V56" i="69"/>
  <c r="J56" i="69"/>
  <c r="BB56" i="69"/>
  <c r="T56" i="69"/>
  <c r="W56" i="69"/>
  <c r="BQ56" i="69" s="1" a="1"/>
  <c r="BQ56" i="69" s="1"/>
  <c r="AA56" i="69"/>
  <c r="N56" i="69" a="1"/>
  <c r="N56" i="69" s="1"/>
  <c r="AS56" i="69"/>
  <c r="AB56" i="69" a="1"/>
  <c r="AB56" i="69" s="1"/>
  <c r="Q56" i="69"/>
  <c r="AR56" i="69"/>
  <c r="AC56" i="69"/>
  <c r="A56" i="69"/>
  <c r="BU56" i="69"/>
  <c r="M56" i="69"/>
  <c r="Y56" i="69"/>
  <c r="P56" i="69"/>
  <c r="I88" i="72"/>
  <c r="L512" i="15" a="1"/>
  <c r="L512" i="15" s="1"/>
  <c r="H131" i="15" a="1"/>
  <c r="H131" i="15" s="1"/>
  <c r="F131" i="15" a="1"/>
  <c r="F131" i="15" s="1"/>
  <c r="F278" i="15" a="1"/>
  <c r="F278" i="15" s="1"/>
  <c r="H278" i="15" a="1"/>
  <c r="H278" i="15" s="1"/>
  <c r="BW96" i="72"/>
  <c r="BS96" i="69"/>
  <c r="H490" i="15" a="1"/>
  <c r="H490" i="15" s="1"/>
  <c r="F490" i="15" a="1"/>
  <c r="F490" i="15" s="1"/>
  <c r="BH94" i="69"/>
  <c r="BH96" i="69"/>
  <c r="L540" i="15" a="1"/>
  <c r="L540" i="15" s="1"/>
  <c r="H405" i="15" a="1"/>
  <c r="H405" i="15" s="1"/>
  <c r="P98" i="9"/>
  <c r="P37" i="9"/>
  <c r="E61" i="15"/>
  <c r="F500" i="15" a="1"/>
  <c r="F500" i="15" s="1"/>
  <c r="H500" i="15" a="1"/>
  <c r="H500" i="15" s="1"/>
  <c r="L578" i="15" a="1"/>
  <c r="L578" i="15" s="1"/>
  <c r="N578" i="15" a="1"/>
  <c r="N578" i="15" s="1"/>
  <c r="M578" i="15" a="1"/>
  <c r="M578" i="15" s="1"/>
  <c r="K578" i="15" a="1"/>
  <c r="K578" i="15" s="1"/>
  <c r="P89" i="9"/>
  <c r="P86" i="9"/>
  <c r="P84" i="9"/>
  <c r="P49" i="9"/>
  <c r="F254" i="15" a="1"/>
  <c r="F254" i="15" s="1"/>
  <c r="P75" i="9"/>
  <c r="P80" i="9"/>
  <c r="E604" i="15"/>
  <c r="BE1766" i="13" s="1" a="1"/>
  <c r="BE1766" i="13" s="1"/>
  <c r="FE24" i="71"/>
  <c r="DV57" i="4"/>
  <c r="BH57" i="4"/>
  <c r="AV559" i="13"/>
  <c r="BF47" i="72"/>
  <c r="S47" i="72"/>
  <c r="AB47" i="72" a="1"/>
  <c r="AB47" i="72" s="1"/>
  <c r="A47" i="72"/>
  <c r="V47" i="72"/>
  <c r="B47" i="72" s="1"/>
  <c r="AA47" i="72"/>
  <c r="AW47" i="72"/>
  <c r="N47" i="72" a="1"/>
  <c r="N47" i="72" s="1"/>
  <c r="AC47" i="72"/>
  <c r="BY47" i="72"/>
  <c r="M47" i="72"/>
  <c r="P47" i="72"/>
  <c r="G47" i="72"/>
  <c r="Q47" i="72"/>
  <c r="AV47" i="72"/>
  <c r="W47" i="72"/>
  <c r="L47" i="72" s="1"/>
  <c r="Z47" i="72"/>
  <c r="J47" i="72"/>
  <c r="BG47" i="72"/>
  <c r="AD47" i="72"/>
  <c r="T47" i="72"/>
  <c r="Y47" i="72"/>
  <c r="H47" i="72"/>
  <c r="F90" i="72"/>
  <c r="AS5" i="69"/>
  <c r="U5" i="69" a="1"/>
  <c r="U5" i="69" s="1"/>
  <c r="W5" i="69"/>
  <c r="AB5" i="69" a="1"/>
  <c r="AB5" i="69" s="1"/>
  <c r="AR5" i="69"/>
  <c r="S5" i="69"/>
  <c r="BC5" i="69"/>
  <c r="M5" i="69"/>
  <c r="AA5" i="69"/>
  <c r="V5" i="69"/>
  <c r="G5" i="69"/>
  <c r="Z5" i="69"/>
  <c r="P5" i="69"/>
  <c r="K5" i="69" a="1"/>
  <c r="K5" i="69" s="1"/>
  <c r="A5" i="69"/>
  <c r="Q5" i="69"/>
  <c r="J5" i="69"/>
  <c r="N5" i="69" a="1"/>
  <c r="N5" i="69" s="1"/>
  <c r="BU5" i="69"/>
  <c r="Y5" i="69"/>
  <c r="T5" i="69"/>
  <c r="AC5" i="69"/>
  <c r="BB5" i="69"/>
  <c r="K9" i="69" a="1"/>
  <c r="K9" i="69" s="1"/>
  <c r="K10" i="69" a="1"/>
  <c r="K10" i="69" s="1"/>
  <c r="AV1404" i="13"/>
  <c r="F76" i="69"/>
  <c r="BD67" i="4"/>
  <c r="F66" i="4"/>
  <c r="BL66" i="4" s="1"/>
  <c r="F457" i="15" a="1"/>
  <c r="F457" i="15" s="1"/>
  <c r="H337" i="15" a="1"/>
  <c r="H337" i="15" s="1"/>
  <c r="F337" i="15" a="1"/>
  <c r="F337" i="15" s="1"/>
  <c r="M526" i="15" a="1"/>
  <c r="M526" i="15" s="1"/>
  <c r="AP87" i="4"/>
  <c r="AV389" i="13" s="1"/>
  <c r="AV489" i="13" s="1"/>
  <c r="AP56" i="4"/>
  <c r="AV358" i="13" s="1"/>
  <c r="AV458" i="13" s="1"/>
  <c r="AD78" i="4"/>
  <c r="F26" i="72"/>
  <c r="BD15" i="4"/>
  <c r="CW58" i="4"/>
  <c r="CX58" i="4" s="1"/>
  <c r="DD36" i="4" a="1"/>
  <c r="DD36" i="4" s="1"/>
  <c r="DD32" i="4" a="1"/>
  <c r="DD32" i="4" s="1"/>
  <c r="AX1330" i="13"/>
  <c r="A1429" i="13"/>
  <c r="H486" i="15" a="1"/>
  <c r="H486" i="15" s="1"/>
  <c r="G51" i="27"/>
  <c r="G19" i="27" s="1"/>
  <c r="P45" i="69"/>
  <c r="N45" i="69" a="1"/>
  <c r="N45" i="69" s="1"/>
  <c r="BI45" i="69"/>
  <c r="G45" i="69"/>
  <c r="A45" i="69"/>
  <c r="AR45" i="69"/>
  <c r="Y45" i="69"/>
  <c r="BC45" i="69"/>
  <c r="Z45" i="69"/>
  <c r="L45" i="69"/>
  <c r="BB45" i="69"/>
  <c r="S45" i="69"/>
  <c r="J45" i="69"/>
  <c r="M45" i="69"/>
  <c r="AB45" i="69" a="1"/>
  <c r="AB45" i="69" s="1"/>
  <c r="U45" i="69" a="1"/>
  <c r="U45" i="69" s="1"/>
  <c r="Q45" i="69"/>
  <c r="BU45" i="69"/>
  <c r="T45" i="69"/>
  <c r="V45" i="69"/>
  <c r="B45" i="69" s="1"/>
  <c r="AS45" i="69"/>
  <c r="W45" i="69"/>
  <c r="AC45" i="69"/>
  <c r="AA45" i="69"/>
  <c r="BB13" i="69"/>
  <c r="K13" i="69" a="1"/>
  <c r="K13" i="69" s="1"/>
  <c r="AC13" i="69"/>
  <c r="BU13" i="69"/>
  <c r="AR13" i="69"/>
  <c r="P13" i="69"/>
  <c r="AB13" i="69" a="1"/>
  <c r="AB13" i="69" s="1"/>
  <c r="M13" i="69"/>
  <c r="Q13" i="69"/>
  <c r="T13" i="69"/>
  <c r="AA13" i="69"/>
  <c r="J13" i="69"/>
  <c r="G13" i="69"/>
  <c r="BC13" i="69"/>
  <c r="Y13" i="69"/>
  <c r="A13" i="69"/>
  <c r="W13" i="69"/>
  <c r="BP13" i="69" s="1"/>
  <c r="U13" i="69" a="1"/>
  <c r="U13" i="69" s="1"/>
  <c r="Z13" i="69"/>
  <c r="AS13" i="69"/>
  <c r="V13" i="69"/>
  <c r="B13" i="69" s="1"/>
  <c r="S13" i="69"/>
  <c r="N13" i="69" a="1"/>
  <c r="N13" i="69" s="1"/>
  <c r="O13" i="69"/>
  <c r="C13" i="69"/>
  <c r="H13" i="69"/>
  <c r="I42" i="69"/>
  <c r="M581" i="15" a="1"/>
  <c r="M581" i="15" s="1"/>
  <c r="BD44" i="4"/>
  <c r="X44" i="4" s="1"/>
  <c r="AT58" i="69" a="1"/>
  <c r="AT58" i="69" s="1"/>
  <c r="BV58" i="69"/>
  <c r="F269" i="15" a="1"/>
  <c r="F269" i="15" s="1"/>
  <c r="H413" i="15" a="1"/>
  <c r="H413" i="15" s="1"/>
  <c r="I375" i="15" a="1"/>
  <c r="I375" i="15" s="1"/>
  <c r="AH66" i="4"/>
  <c r="AV1362" i="13" s="1"/>
  <c r="AL67" i="4"/>
  <c r="AL83" i="4"/>
  <c r="T7" i="72"/>
  <c r="P7" i="72"/>
  <c r="A7" i="72"/>
  <c r="AV7" i="72"/>
  <c r="BY7" i="72"/>
  <c r="BF7" i="72"/>
  <c r="Q7" i="72"/>
  <c r="K7" i="72" a="1"/>
  <c r="K7" i="72" s="1"/>
  <c r="AC7" i="72"/>
  <c r="V7" i="72"/>
  <c r="B7" i="72" s="1"/>
  <c r="S7" i="72"/>
  <c r="Z7" i="72"/>
  <c r="J7" i="72"/>
  <c r="BG7" i="72"/>
  <c r="AW7" i="72"/>
  <c r="Y7" i="72"/>
  <c r="AA7" i="72"/>
  <c r="G7" i="72"/>
  <c r="AB7" i="72" a="1"/>
  <c r="AB7" i="72" s="1"/>
  <c r="M7" i="72"/>
  <c r="N7" i="72" a="1"/>
  <c r="N7" i="72" s="1"/>
  <c r="W7" i="72"/>
  <c r="BT7" i="72" s="1"/>
  <c r="AD7" i="72"/>
  <c r="BO7" i="72"/>
  <c r="O7" i="72"/>
  <c r="AH56" i="4"/>
  <c r="AV1352" i="13" s="1"/>
  <c r="AX1350" i="13"/>
  <c r="A1449" i="13"/>
  <c r="K583" i="15" a="1"/>
  <c r="K583" i="15" s="1"/>
  <c r="K549" i="15" a="1"/>
  <c r="K549" i="15" s="1"/>
  <c r="CW86" i="4"/>
  <c r="CX86" i="4" s="1"/>
  <c r="AU18" i="4"/>
  <c r="AT18" i="4" a="1"/>
  <c r="AT18" i="4" s="1"/>
  <c r="H18" i="72" s="1"/>
  <c r="AV18" i="4" a="1"/>
  <c r="AV18" i="4" s="1"/>
  <c r="C18" i="72" s="1"/>
  <c r="D18" i="72" s="1" a="1"/>
  <c r="D18" i="72" s="1"/>
  <c r="Y18" i="4"/>
  <c r="BQ18" i="4"/>
  <c r="A68" i="69"/>
  <c r="U68" i="69" a="1"/>
  <c r="U68" i="69" s="1"/>
  <c r="G68" i="69"/>
  <c r="BB68" i="69"/>
  <c r="AB68" i="69" a="1"/>
  <c r="AB68" i="69" s="1"/>
  <c r="AC68" i="69"/>
  <c r="V68" i="69"/>
  <c r="M68" i="69"/>
  <c r="J68" i="69"/>
  <c r="Z68" i="69"/>
  <c r="W68" i="69"/>
  <c r="L68" i="69" s="1"/>
  <c r="Y68" i="69"/>
  <c r="BC68" i="69"/>
  <c r="T68" i="69"/>
  <c r="AR68" i="69"/>
  <c r="P68" i="69"/>
  <c r="N68" i="69" a="1"/>
  <c r="N68" i="69" s="1"/>
  <c r="Q68" i="69"/>
  <c r="AA68" i="69"/>
  <c r="AS68" i="69"/>
  <c r="BU68" i="69"/>
  <c r="L629" i="15" a="1"/>
  <c r="L629" i="15" s="1"/>
  <c r="CW96" i="4"/>
  <c r="CX96" i="4" s="1"/>
  <c r="F258" i="15" a="1"/>
  <c r="F258" i="15" s="1"/>
  <c r="H258" i="15" a="1"/>
  <c r="H258" i="15" s="1"/>
  <c r="CW82" i="4"/>
  <c r="CX82" i="4" s="1"/>
  <c r="L571" i="15" a="1"/>
  <c r="L571" i="15" s="1"/>
  <c r="Y49" i="4"/>
  <c r="AV49" i="4" a="1"/>
  <c r="AV49" i="4" s="1"/>
  <c r="C49" i="69" s="1"/>
  <c r="AU49" i="4"/>
  <c r="AT49" i="4" a="1"/>
  <c r="AT49" i="4" s="1"/>
  <c r="H49" i="69" s="1"/>
  <c r="CY49" i="4"/>
  <c r="CZ49" i="4" s="1"/>
  <c r="BQ49" i="4"/>
  <c r="T40" i="72"/>
  <c r="AA40" i="72"/>
  <c r="A40" i="72"/>
  <c r="J40" i="72"/>
  <c r="Y40" i="72"/>
  <c r="G40" i="72"/>
  <c r="L40" i="72"/>
  <c r="AC40" i="72"/>
  <c r="AV40" i="72"/>
  <c r="AW40" i="72"/>
  <c r="BG40" i="72"/>
  <c r="S40" i="72"/>
  <c r="BF40" i="72"/>
  <c r="Z40" i="72"/>
  <c r="N40" i="72" a="1"/>
  <c r="N40" i="72" s="1"/>
  <c r="V40" i="72"/>
  <c r="B40" i="72" s="1"/>
  <c r="W40" i="72"/>
  <c r="BT40" i="72" s="1"/>
  <c r="M40" i="72"/>
  <c r="AD40" i="72"/>
  <c r="Q40" i="72"/>
  <c r="BY40" i="72"/>
  <c r="AB40" i="72" a="1"/>
  <c r="AB40" i="72" s="1"/>
  <c r="P40" i="72"/>
  <c r="BO40" i="72"/>
  <c r="O40" i="72"/>
  <c r="AL61" i="4"/>
  <c r="F44" i="72"/>
  <c r="F39" i="72"/>
  <c r="DA95" i="4" a="1"/>
  <c r="DA95" i="4" s="1"/>
  <c r="N538" i="15" a="1"/>
  <c r="N538" i="15" s="1"/>
  <c r="F538" i="15" a="1"/>
  <c r="F538" i="15" s="1"/>
  <c r="H538" i="15" a="1"/>
  <c r="H538" i="15" s="1"/>
  <c r="F84" i="4"/>
  <c r="BL84" i="4" s="1"/>
  <c r="E84" i="4"/>
  <c r="BT84" i="4" s="1"/>
  <c r="DE84" i="4"/>
  <c r="BD26" i="4"/>
  <c r="BT26" i="4"/>
  <c r="AW32" i="72"/>
  <c r="Z32" i="72"/>
  <c r="N32" i="72" a="1"/>
  <c r="N32" i="72" s="1"/>
  <c r="M32" i="72"/>
  <c r="Y32" i="72"/>
  <c r="A32" i="72"/>
  <c r="L32" i="72"/>
  <c r="AB32" i="72" a="1"/>
  <c r="AB32" i="72" s="1"/>
  <c r="BY32" i="72"/>
  <c r="W32" i="72"/>
  <c r="BU32" i="72" s="1" a="1"/>
  <c r="BU32" i="72" s="1"/>
  <c r="Q32" i="72"/>
  <c r="AA32" i="72"/>
  <c r="BG32" i="72"/>
  <c r="AV32" i="72"/>
  <c r="BM32" i="72"/>
  <c r="P32" i="72"/>
  <c r="S32" i="72"/>
  <c r="J32" i="72"/>
  <c r="AC32" i="72"/>
  <c r="BF32" i="72"/>
  <c r="V32" i="72"/>
  <c r="B32" i="72" s="1"/>
  <c r="T32" i="72"/>
  <c r="G32" i="72"/>
  <c r="AD32" i="72"/>
  <c r="T53" i="72"/>
  <c r="AW53" i="72"/>
  <c r="BF53" i="72"/>
  <c r="S53" i="72"/>
  <c r="N53" i="72" a="1"/>
  <c r="N53" i="72" s="1"/>
  <c r="AC53" i="72"/>
  <c r="J53" i="72"/>
  <c r="W53" i="72"/>
  <c r="BT53" i="72" s="1"/>
  <c r="AD53" i="72"/>
  <c r="G53" i="72"/>
  <c r="Z53" i="72"/>
  <c r="M53" i="72"/>
  <c r="BY53" i="72"/>
  <c r="P53" i="72"/>
  <c r="Y53" i="72"/>
  <c r="BG53" i="72"/>
  <c r="A53" i="72"/>
  <c r="AA53" i="72"/>
  <c r="V53" i="72"/>
  <c r="B53" i="72" s="1"/>
  <c r="AV53" i="72"/>
  <c r="Q53" i="72"/>
  <c r="AB53" i="72" a="1"/>
  <c r="AB53" i="72" s="1"/>
  <c r="C53" i="72"/>
  <c r="I75" i="72"/>
  <c r="I47" i="72"/>
  <c r="A1413" i="13"/>
  <c r="AX1314" i="13"/>
  <c r="AE7" i="72"/>
  <c r="AV509" i="13"/>
  <c r="BH7" i="4"/>
  <c r="DV7" i="4"/>
  <c r="F336" i="15" a="1"/>
  <c r="F336" i="15" s="1"/>
  <c r="H336" i="15" a="1"/>
  <c r="H336" i="15" s="1"/>
  <c r="F200" i="15" a="1"/>
  <c r="F200" i="15" s="1"/>
  <c r="H200" i="15" a="1"/>
  <c r="H200" i="15" s="1"/>
  <c r="M41" i="72"/>
  <c r="AB41" i="72" a="1"/>
  <c r="AB41" i="72" s="1"/>
  <c r="G41" i="72"/>
  <c r="Q41" i="72"/>
  <c r="AC41" i="72"/>
  <c r="AW41" i="72"/>
  <c r="AA41" i="72"/>
  <c r="BY41" i="72"/>
  <c r="N41" i="72" a="1"/>
  <c r="N41" i="72" s="1"/>
  <c r="BF41" i="72"/>
  <c r="T41" i="72"/>
  <c r="L41" i="72"/>
  <c r="Y41" i="72"/>
  <c r="AV41" i="72"/>
  <c r="S41" i="72"/>
  <c r="P41" i="72"/>
  <c r="A41" i="72"/>
  <c r="W41" i="72"/>
  <c r="BU41" i="72" s="1" a="1"/>
  <c r="BU41" i="72" s="1"/>
  <c r="AD41" i="72"/>
  <c r="V41" i="72"/>
  <c r="B41" i="72" s="1"/>
  <c r="BG41" i="72"/>
  <c r="Z41" i="72"/>
  <c r="J41" i="72"/>
  <c r="BM41" i="72"/>
  <c r="AB91" i="72" a="1"/>
  <c r="AB91" i="72" s="1"/>
  <c r="AA91" i="72"/>
  <c r="M91" i="72"/>
  <c r="T91" i="72"/>
  <c r="Y91" i="72"/>
  <c r="BY91" i="72"/>
  <c r="A91" i="72"/>
  <c r="BG91" i="72"/>
  <c r="AC91" i="72"/>
  <c r="Z91" i="72"/>
  <c r="AV91" i="72"/>
  <c r="V91" i="72"/>
  <c r="B91" i="72" s="1"/>
  <c r="W91" i="72"/>
  <c r="L91" i="72" s="1"/>
  <c r="AW91" i="72"/>
  <c r="Q91" i="72"/>
  <c r="J91" i="72"/>
  <c r="BF91" i="72"/>
  <c r="N91" i="72" a="1"/>
  <c r="N91" i="72" s="1"/>
  <c r="AD91" i="72"/>
  <c r="P91" i="72"/>
  <c r="G91" i="72"/>
  <c r="S91" i="72"/>
  <c r="I70" i="69"/>
  <c r="F34" i="72"/>
  <c r="Y37" i="4"/>
  <c r="AU37" i="4"/>
  <c r="AV37" i="4" a="1"/>
  <c r="AV37" i="4" s="1"/>
  <c r="C37" i="69" s="1"/>
  <c r="AT37" i="4" a="1"/>
  <c r="AT37" i="4" s="1"/>
  <c r="H37" i="69" s="1"/>
  <c r="CY37" i="4"/>
  <c r="CZ37" i="4" s="1"/>
  <c r="P39" i="9" s="1"/>
  <c r="BQ37" i="4"/>
  <c r="DV20" i="4"/>
  <c r="BH20" i="4"/>
  <c r="BM20" i="4"/>
  <c r="BE20" i="4" s="1" a="1"/>
  <c r="BE20" i="4" s="1"/>
  <c r="AV522" i="13"/>
  <c r="L17" i="4"/>
  <c r="BR17" i="4"/>
  <c r="O17" i="69" s="1"/>
  <c r="BG17" i="4"/>
  <c r="AV1115" i="13" s="1"/>
  <c r="X17" i="4"/>
  <c r="L28" i="4"/>
  <c r="BG28" i="4"/>
  <c r="AV1126" i="13" s="1"/>
  <c r="BR28" i="4"/>
  <c r="O28" i="72" s="1"/>
  <c r="X28" i="4"/>
  <c r="BR30" i="4"/>
  <c r="O30" i="72" s="1"/>
  <c r="BG30" i="4"/>
  <c r="AV1128" i="13" s="1"/>
  <c r="X30" i="4"/>
  <c r="X34" i="4"/>
  <c r="BG34" i="4"/>
  <c r="AV1132" i="13" s="1"/>
  <c r="BR34" i="4"/>
  <c r="BK34" i="69" s="1"/>
  <c r="L22" i="4"/>
  <c r="BG22" i="4"/>
  <c r="AV1120" i="13" s="1"/>
  <c r="DB97" i="4"/>
  <c r="CA25" i="4"/>
  <c r="AT25" i="4" a="1"/>
  <c r="AT25" i="4" s="1"/>
  <c r="H25" i="69" s="1"/>
  <c r="AU25" i="4"/>
  <c r="Y25" i="4"/>
  <c r="AV25" i="4" a="1"/>
  <c r="AV25" i="4" s="1"/>
  <c r="C25" i="69" s="1"/>
  <c r="BQ25" i="4"/>
  <c r="BB16" i="69"/>
  <c r="BU16" i="69"/>
  <c r="H16" i="69"/>
  <c r="AR16" i="69"/>
  <c r="J16" i="69"/>
  <c r="AC16" i="69"/>
  <c r="Y16" i="69"/>
  <c r="W16" i="69"/>
  <c r="S16" i="69"/>
  <c r="AA16" i="69"/>
  <c r="V16" i="69"/>
  <c r="B16" i="69" s="1"/>
  <c r="K16" i="69" a="1"/>
  <c r="K16" i="69" s="1"/>
  <c r="Q16" i="69"/>
  <c r="AB16" i="69" a="1"/>
  <c r="AB16" i="69" s="1"/>
  <c r="Z16" i="69"/>
  <c r="A16" i="69"/>
  <c r="T16" i="69"/>
  <c r="M16" i="69"/>
  <c r="P16" i="69"/>
  <c r="BC16" i="69"/>
  <c r="AS16" i="69"/>
  <c r="U16" i="69" a="1"/>
  <c r="U16" i="69" s="1"/>
  <c r="G16" i="69"/>
  <c r="BI16" i="69"/>
  <c r="N16" i="69" a="1"/>
  <c r="N16" i="69" s="1"/>
  <c r="BM9" i="4"/>
  <c r="BE9" i="4" s="1" a="1"/>
  <c r="BE9" i="4" s="1"/>
  <c r="BI9" i="69"/>
  <c r="BM9" i="72"/>
  <c r="F629" i="15" a="1"/>
  <c r="F629" i="15" s="1"/>
  <c r="H629" i="15" a="1"/>
  <c r="H629" i="15" s="1"/>
  <c r="AX1344" i="13"/>
  <c r="A1443" i="13"/>
  <c r="N603" i="15" a="1"/>
  <c r="N603" i="15" s="1"/>
  <c r="M603" i="15" a="1"/>
  <c r="M603" i="15" s="1"/>
  <c r="K603" i="15" a="1"/>
  <c r="K603" i="15" s="1"/>
  <c r="L603" i="15" a="1"/>
  <c r="L603" i="15" s="1"/>
  <c r="AD86" i="4"/>
  <c r="AV537" i="13"/>
  <c r="BM35" i="4"/>
  <c r="BE35" i="4" s="1" a="1"/>
  <c r="BE35" i="4" s="1"/>
  <c r="DV35" i="4"/>
  <c r="BH35" i="4"/>
  <c r="F327" i="15" a="1"/>
  <c r="F327" i="15" s="1"/>
  <c r="H327" i="15" a="1"/>
  <c r="H327" i="15" s="1"/>
  <c r="AB14" i="69" a="1"/>
  <c r="AB14" i="69" s="1"/>
  <c r="J14" i="69"/>
  <c r="V14" i="69"/>
  <c r="B14" i="69" s="1"/>
  <c r="P14" i="69"/>
  <c r="L14" i="69"/>
  <c r="G14" i="69"/>
  <c r="A14" i="69"/>
  <c r="BB14" i="69"/>
  <c r="N14" i="69" a="1"/>
  <c r="N14" i="69" s="1"/>
  <c r="Q14" i="69"/>
  <c r="T14" i="69"/>
  <c r="BU14" i="69"/>
  <c r="AR14" i="69"/>
  <c r="BI14" i="69"/>
  <c r="AC14" i="69"/>
  <c r="AS14" i="69"/>
  <c r="Z14" i="69"/>
  <c r="W14" i="69"/>
  <c r="BQ14" i="69" s="1" a="1"/>
  <c r="BQ14" i="69" s="1"/>
  <c r="AA14" i="69"/>
  <c r="M14" i="69"/>
  <c r="BC14" i="69"/>
  <c r="K14" i="69" a="1"/>
  <c r="K14" i="69" s="1"/>
  <c r="S14" i="69"/>
  <c r="U14" i="69" a="1"/>
  <c r="U14" i="69" s="1"/>
  <c r="Y14" i="69"/>
  <c r="F89" i="72"/>
  <c r="AV542" i="13"/>
  <c r="BH40" i="4"/>
  <c r="BM40" i="4"/>
  <c r="BE40" i="4" s="1" a="1"/>
  <c r="BE40" i="4" s="1"/>
  <c r="DV40" i="4"/>
  <c r="GO37" i="71"/>
  <c r="E113" i="15"/>
  <c r="H110" i="15" s="1" a="1"/>
  <c r="H110" i="15" s="1"/>
  <c r="P23" i="9"/>
  <c r="E550" i="15"/>
  <c r="H549" i="15" s="1" a="1"/>
  <c r="H549" i="15" s="1"/>
  <c r="H441" i="15" a="1"/>
  <c r="H441" i="15" s="1"/>
  <c r="E81" i="15"/>
  <c r="H76" i="15" s="1" a="1"/>
  <c r="H76" i="15" s="1"/>
  <c r="P93" i="9"/>
  <c r="AG96" i="72"/>
  <c r="E253" i="15"/>
  <c r="H247" i="15" s="1" a="1"/>
  <c r="H247" i="15" s="1"/>
  <c r="P42" i="9"/>
  <c r="P17" i="9"/>
  <c r="P24" i="9"/>
  <c r="P38" i="9"/>
  <c r="IK37" i="71"/>
  <c r="K598" i="15" a="1"/>
  <c r="K598" i="15" s="1"/>
  <c r="N598" i="15" a="1"/>
  <c r="N598" i="15" s="1"/>
  <c r="M598" i="15" a="1"/>
  <c r="M598" i="15" s="1"/>
  <c r="P90" i="9"/>
  <c r="BC96" i="72" a="1"/>
  <c r="BC96" i="72" s="1"/>
  <c r="IN37" i="71"/>
  <c r="P50" i="9"/>
  <c r="M509" i="15" a="1"/>
  <c r="M509" i="15" s="1"/>
  <c r="K509" i="15" a="1"/>
  <c r="K509" i="15" s="1"/>
  <c r="N509" i="15" a="1"/>
  <c r="N509" i="15" s="1"/>
  <c r="K3" i="1" a="1"/>
  <c r="K3" i="1" s="1"/>
  <c r="K101" i="1" s="1"/>
  <c r="C55" i="1"/>
  <c r="W3" i="1" a="1"/>
  <c r="W3" i="1" s="1"/>
  <c r="W101" i="1" s="1"/>
  <c r="BA55" i="4" a="1"/>
  <c r="BA55" i="4" s="1"/>
  <c r="BB55" i="4" s="1"/>
  <c r="AV157" i="13" s="1"/>
  <c r="B55" i="4"/>
  <c r="S47" i="69"/>
  <c r="BB47" i="69"/>
  <c r="AB47" i="69" a="1"/>
  <c r="AB47" i="69" s="1"/>
  <c r="A47" i="69"/>
  <c r="AC47" i="69"/>
  <c r="N47" i="69" a="1"/>
  <c r="N47" i="69" s="1"/>
  <c r="BU47" i="69"/>
  <c r="AA47" i="69"/>
  <c r="Y47" i="69"/>
  <c r="G47" i="69"/>
  <c r="AR47" i="69"/>
  <c r="U47" i="69" a="1"/>
  <c r="U47" i="69" s="1"/>
  <c r="V47" i="69"/>
  <c r="B47" i="69" s="1"/>
  <c r="BC47" i="69"/>
  <c r="W47" i="69"/>
  <c r="BP47" i="69" s="1"/>
  <c r="AS47" i="69"/>
  <c r="Z47" i="69"/>
  <c r="M47" i="69"/>
  <c r="P47" i="69"/>
  <c r="T47" i="69"/>
  <c r="Q47" i="69"/>
  <c r="J47" i="69"/>
  <c r="C47" i="69"/>
  <c r="AH86" i="4"/>
  <c r="AV1382" i="13" s="1"/>
  <c r="AV1101" i="13"/>
  <c r="AC5" i="72"/>
  <c r="AB5" i="72" a="1"/>
  <c r="AB5" i="72" s="1"/>
  <c r="S5" i="72"/>
  <c r="T5" i="72"/>
  <c r="Z5" i="72"/>
  <c r="P5" i="72"/>
  <c r="Q5" i="72"/>
  <c r="A5" i="72"/>
  <c r="G5" i="72"/>
  <c r="BY5" i="72"/>
  <c r="Y5" i="72"/>
  <c r="V5" i="72"/>
  <c r="BG5" i="72"/>
  <c r="M5" i="72"/>
  <c r="AW5" i="72"/>
  <c r="AD5" i="72"/>
  <c r="N5" i="72" a="1"/>
  <c r="N5" i="72" s="1"/>
  <c r="W5" i="72"/>
  <c r="BT5" i="72" s="1"/>
  <c r="BF5" i="72"/>
  <c r="AA5" i="72"/>
  <c r="J5" i="72"/>
  <c r="K5" i="72" a="1"/>
  <c r="K5" i="72" s="1"/>
  <c r="AV5" i="72"/>
  <c r="B5" i="72"/>
  <c r="K9" i="72" a="1"/>
  <c r="K9" i="72" s="1"/>
  <c r="K10" i="72" a="1"/>
  <c r="K10" i="72" s="1"/>
  <c r="AW39" i="72"/>
  <c r="AC39" i="72"/>
  <c r="G39" i="72"/>
  <c r="Q39" i="72"/>
  <c r="BY39" i="72"/>
  <c r="V39" i="72"/>
  <c r="B39" i="72" s="1"/>
  <c r="T39" i="72"/>
  <c r="AV39" i="72"/>
  <c r="AB39" i="72" a="1"/>
  <c r="AB39" i="72" s="1"/>
  <c r="M39" i="72"/>
  <c r="S39" i="72"/>
  <c r="N39" i="72" a="1"/>
  <c r="N39" i="72" s="1"/>
  <c r="A39" i="72"/>
  <c r="P39" i="72"/>
  <c r="Z39" i="72"/>
  <c r="J39" i="72"/>
  <c r="AD39" i="72"/>
  <c r="BG39" i="72"/>
  <c r="W39" i="72"/>
  <c r="Y39" i="72"/>
  <c r="BF39" i="72"/>
  <c r="AA39" i="72"/>
  <c r="BD42" i="4"/>
  <c r="BT42" i="4"/>
  <c r="AD17" i="27"/>
  <c r="F653" i="15" a="1"/>
  <c r="F653" i="15" s="1"/>
  <c r="H653" i="15" a="1"/>
  <c r="H653" i="15" s="1"/>
  <c r="F465" i="15" a="1"/>
  <c r="F465" i="15" s="1"/>
  <c r="H465" i="15" a="1"/>
  <c r="H465" i="15" s="1"/>
  <c r="AH90" i="4"/>
  <c r="AV1386" i="13" s="1"/>
  <c r="DE90" i="4"/>
  <c r="E90" i="4"/>
  <c r="BT90" i="4" s="1"/>
  <c r="N526" i="15" a="1"/>
  <c r="N526" i="15" s="1"/>
  <c r="AX1374" i="13"/>
  <c r="A1473" i="13"/>
  <c r="AR79" i="69"/>
  <c r="BB79" i="69"/>
  <c r="V79" i="69"/>
  <c r="B79" i="69" s="1"/>
  <c r="W79" i="69"/>
  <c r="BP79" i="69" s="1"/>
  <c r="AC79" i="69"/>
  <c r="AB79" i="69" a="1"/>
  <c r="AB79" i="69" s="1"/>
  <c r="BU79" i="69"/>
  <c r="AS79" i="69"/>
  <c r="N79" i="69" a="1"/>
  <c r="N79" i="69" s="1"/>
  <c r="Z79" i="69"/>
  <c r="BC79" i="69"/>
  <c r="Q79" i="69"/>
  <c r="AA79" i="69"/>
  <c r="T79" i="69"/>
  <c r="P79" i="69"/>
  <c r="A79" i="69"/>
  <c r="M79" i="69"/>
  <c r="Y79" i="69"/>
  <c r="J79" i="69"/>
  <c r="S79" i="69"/>
  <c r="U79" i="69" a="1"/>
  <c r="U79" i="69" s="1"/>
  <c r="I72" i="72"/>
  <c r="A1451" i="13"/>
  <c r="AX1352" i="13"/>
  <c r="AX1361" i="13"/>
  <c r="A1460" i="13"/>
  <c r="H663" i="15" a="1"/>
  <c r="H663" i="15" s="1"/>
  <c r="H494" i="15" a="1"/>
  <c r="H494" i="15" s="1"/>
  <c r="DD50" i="4" a="1"/>
  <c r="DD50" i="4" s="1"/>
  <c r="DD54" i="4" a="1"/>
  <c r="DD54" i="4" s="1"/>
  <c r="DD28" i="4" a="1"/>
  <c r="DD28" i="4" s="1"/>
  <c r="AP83" i="4"/>
  <c r="AV385" i="13" s="1"/>
  <c r="AV485" i="13" s="1"/>
  <c r="T58" i="72"/>
  <c r="BW58" i="72" s="1"/>
  <c r="AQ58" i="72"/>
  <c r="H578" i="15" a="1"/>
  <c r="H578" i="15" s="1"/>
  <c r="BM48" i="4"/>
  <c r="BE48" i="4" s="1" a="1"/>
  <c r="BE48" i="4" s="1"/>
  <c r="AV550" i="13"/>
  <c r="DV48" i="4"/>
  <c r="BH48" i="4"/>
  <c r="AW45" i="72"/>
  <c r="AD45" i="72"/>
  <c r="V45" i="72"/>
  <c r="B45" i="72" s="1"/>
  <c r="BY45" i="72"/>
  <c r="P45" i="72"/>
  <c r="S45" i="72"/>
  <c r="AV45" i="72"/>
  <c r="N45" i="72" a="1"/>
  <c r="N45" i="72" s="1"/>
  <c r="BG45" i="72"/>
  <c r="T45" i="72"/>
  <c r="G45" i="72"/>
  <c r="BM45" i="72"/>
  <c r="W45" i="72"/>
  <c r="Z45" i="72"/>
  <c r="AC45" i="72"/>
  <c r="L45" i="72"/>
  <c r="BF45" i="72"/>
  <c r="J45" i="72"/>
  <c r="AB45" i="72" a="1"/>
  <c r="AB45" i="72" s="1"/>
  <c r="Q45" i="72"/>
  <c r="Y45" i="72"/>
  <c r="M45" i="72"/>
  <c r="A45" i="72"/>
  <c r="AA45" i="72"/>
  <c r="BU45" i="72" a="1"/>
  <c r="BU45" i="72" s="1"/>
  <c r="H45" i="72"/>
  <c r="O45" i="72"/>
  <c r="C45" i="72"/>
  <c r="Z13" i="72"/>
  <c r="T13" i="72"/>
  <c r="AV13" i="72"/>
  <c r="Y13" i="72"/>
  <c r="J13" i="72"/>
  <c r="W13" i="72"/>
  <c r="A13" i="72"/>
  <c r="N13" i="72" a="1"/>
  <c r="N13" i="72" s="1"/>
  <c r="V13" i="72"/>
  <c r="B13" i="72" s="1"/>
  <c r="AW13" i="72"/>
  <c r="BY13" i="72"/>
  <c r="AA13" i="72"/>
  <c r="BG13" i="72"/>
  <c r="P13" i="72"/>
  <c r="K13" i="72" a="1"/>
  <c r="K13" i="72" s="1"/>
  <c r="AC13" i="72"/>
  <c r="BF13" i="72"/>
  <c r="S13" i="72"/>
  <c r="AD13" i="72"/>
  <c r="G13" i="72"/>
  <c r="M13" i="72"/>
  <c r="Q13" i="72"/>
  <c r="AB13" i="72" a="1"/>
  <c r="AB13" i="72" s="1"/>
  <c r="O13" i="72"/>
  <c r="BO13" i="72"/>
  <c r="AV1301" i="13"/>
  <c r="DA87" i="4" a="1"/>
  <c r="DA87" i="4" s="1"/>
  <c r="DV22" i="4"/>
  <c r="BM22" i="4"/>
  <c r="BE22" i="4" s="1" a="1"/>
  <c r="BE22" i="4" s="1"/>
  <c r="AV524" i="13"/>
  <c r="BH22" i="4"/>
  <c r="H655" i="15" a="1"/>
  <c r="H655" i="15" s="1"/>
  <c r="F655" i="15" a="1"/>
  <c r="F655" i="15" s="1"/>
  <c r="F480" i="15" a="1"/>
  <c r="F480" i="15" s="1"/>
  <c r="H480" i="15" a="1"/>
  <c r="H480" i="15" s="1"/>
  <c r="H249" i="15" a="1"/>
  <c r="H249" i="15" s="1"/>
  <c r="F80" i="4"/>
  <c r="BL80" i="4" s="1"/>
  <c r="F84" i="69"/>
  <c r="I17" i="72"/>
  <c r="BD53" i="4"/>
  <c r="X53" i="4" s="1"/>
  <c r="M583" i="15" a="1"/>
  <c r="M583" i="15" s="1"/>
  <c r="CW76" i="4"/>
  <c r="CX76" i="4" s="1"/>
  <c r="BD16" i="4"/>
  <c r="X16" i="4" s="1"/>
  <c r="M549" i="15" a="1"/>
  <c r="M549" i="15" s="1"/>
  <c r="DV43" i="4"/>
  <c r="BM43" i="4"/>
  <c r="BE43" i="4" s="1" a="1"/>
  <c r="BE43" i="4" s="1"/>
  <c r="BH43" i="4"/>
  <c r="AV545" i="13"/>
  <c r="Y19" i="69"/>
  <c r="W19" i="69"/>
  <c r="BQ19" i="69" s="1" a="1"/>
  <c r="BQ19" i="69" s="1"/>
  <c r="BB19" i="69"/>
  <c r="P19" i="69"/>
  <c r="N19" i="69" a="1"/>
  <c r="N19" i="69" s="1"/>
  <c r="S19" i="69"/>
  <c r="AR19" i="69"/>
  <c r="A19" i="69"/>
  <c r="AC19" i="69"/>
  <c r="M19" i="69"/>
  <c r="V19" i="69"/>
  <c r="B19" i="69" s="1"/>
  <c r="AA19" i="69"/>
  <c r="Z19" i="69"/>
  <c r="T19" i="69"/>
  <c r="U19" i="69" a="1"/>
  <c r="U19" i="69" s="1"/>
  <c r="G19" i="69"/>
  <c r="K19" i="69" a="1"/>
  <c r="K19" i="69" s="1"/>
  <c r="AS19" i="69"/>
  <c r="Q19" i="69"/>
  <c r="AB19" i="69" a="1"/>
  <c r="AB19" i="69" s="1"/>
  <c r="BC19" i="69"/>
  <c r="J19" i="69"/>
  <c r="BU19" i="69"/>
  <c r="AL74" i="4"/>
  <c r="F45" i="69"/>
  <c r="BV103" i="4"/>
  <c r="AP76" i="4"/>
  <c r="AV378" i="13" s="1"/>
  <c r="AV478" i="13" s="1"/>
  <c r="AU64" i="4"/>
  <c r="Y64" i="4"/>
  <c r="AV64" i="4" a="1"/>
  <c r="AV64" i="4" s="1"/>
  <c r="C64" i="69" s="1"/>
  <c r="D64" i="69" s="1" a="1"/>
  <c r="D64" i="69" s="1"/>
  <c r="AT64" i="4" a="1"/>
  <c r="AT64" i="4" s="1"/>
  <c r="H64" i="69" s="1"/>
  <c r="U40" i="69" a="1"/>
  <c r="U40" i="69" s="1"/>
  <c r="Z40" i="69"/>
  <c r="AS40" i="69"/>
  <c r="N40" i="69" a="1"/>
  <c r="N40" i="69" s="1"/>
  <c r="W40" i="69"/>
  <c r="BP40" i="69" s="1"/>
  <c r="G40" i="69"/>
  <c r="S40" i="69"/>
  <c r="BU40" i="69"/>
  <c r="AA40" i="69"/>
  <c r="Q40" i="69"/>
  <c r="J40" i="69"/>
  <c r="Y40" i="69"/>
  <c r="V40" i="69"/>
  <c r="B40" i="69" s="1"/>
  <c r="BC40" i="69"/>
  <c r="AC40" i="69"/>
  <c r="AR40" i="69"/>
  <c r="M40" i="69"/>
  <c r="L40" i="69"/>
  <c r="T40" i="69"/>
  <c r="A40" i="69"/>
  <c r="BB40" i="69"/>
  <c r="AB40" i="69" a="1"/>
  <c r="AB40" i="69" s="1"/>
  <c r="P40" i="69"/>
  <c r="O40" i="69"/>
  <c r="BK40" i="69"/>
  <c r="F88" i="69"/>
  <c r="Z95" i="4"/>
  <c r="CW95" i="4"/>
  <c r="CX95" i="4" s="1"/>
  <c r="F268" i="15" a="1"/>
  <c r="F268" i="15" s="1"/>
  <c r="CW68" i="4"/>
  <c r="CX68" i="4" s="1"/>
  <c r="A1406" i="13"/>
  <c r="AX1307" i="13"/>
  <c r="AP61" i="4"/>
  <c r="AV363" i="13" s="1"/>
  <c r="AV463" i="13" s="1"/>
  <c r="AS17" i="69"/>
  <c r="S17" i="69"/>
  <c r="A17" i="69"/>
  <c r="Y17" i="69"/>
  <c r="Z17" i="69"/>
  <c r="P17" i="69"/>
  <c r="U17" i="69" a="1"/>
  <c r="U17" i="69" s="1"/>
  <c r="AR17" i="69"/>
  <c r="T17" i="69"/>
  <c r="BC17" i="69"/>
  <c r="N17" i="69" a="1"/>
  <c r="N17" i="69" s="1"/>
  <c r="G17" i="69"/>
  <c r="BU17" i="69"/>
  <c r="V17" i="69"/>
  <c r="B17" i="69" s="1"/>
  <c r="M17" i="69"/>
  <c r="BB17" i="69"/>
  <c r="Q17" i="69"/>
  <c r="K17" i="69" a="1"/>
  <c r="K17" i="69" s="1"/>
  <c r="AC17" i="69"/>
  <c r="J17" i="69"/>
  <c r="AA17" i="69"/>
  <c r="AB17" i="69" a="1"/>
  <c r="AB17" i="69" s="1"/>
  <c r="W17" i="69"/>
  <c r="L17" i="69" s="1"/>
  <c r="BI17" i="69"/>
  <c r="F15" i="72"/>
  <c r="F40" i="72"/>
  <c r="AX1373" i="13"/>
  <c r="A1472" i="13"/>
  <c r="AV531" i="13"/>
  <c r="BH29" i="4"/>
  <c r="DV29" i="4"/>
  <c r="BM29" i="4"/>
  <c r="BE29" i="4" s="1" a="1"/>
  <c r="BE29" i="4" s="1"/>
  <c r="AV590" i="13"/>
  <c r="BH88" i="4"/>
  <c r="DV88" i="4"/>
  <c r="S41" i="69"/>
  <c r="AS41" i="69"/>
  <c r="Z41" i="69"/>
  <c r="BB41" i="69"/>
  <c r="P41" i="69"/>
  <c r="AA41" i="69"/>
  <c r="BC41" i="69"/>
  <c r="N41" i="69" a="1"/>
  <c r="N41" i="69" s="1"/>
  <c r="W41" i="69"/>
  <c r="BP41" i="69" s="1"/>
  <c r="Y41" i="69"/>
  <c r="J41" i="69"/>
  <c r="U41" i="69" a="1"/>
  <c r="U41" i="69" s="1"/>
  <c r="G41" i="69"/>
  <c r="AR41" i="69"/>
  <c r="AC41" i="69"/>
  <c r="T41" i="69"/>
  <c r="A41" i="69"/>
  <c r="L41" i="69"/>
  <c r="AB41" i="69" a="1"/>
  <c r="AB41" i="69" s="1"/>
  <c r="Q41" i="69"/>
  <c r="V41" i="69"/>
  <c r="B41" i="69" s="1"/>
  <c r="BU41" i="69"/>
  <c r="M41" i="69"/>
  <c r="BI41" i="69"/>
  <c r="AD87" i="4"/>
  <c r="I6" i="69"/>
  <c r="CW57" i="4"/>
  <c r="CX57" i="4" s="1"/>
  <c r="AV529" i="13"/>
  <c r="BM27" i="4"/>
  <c r="BE27" i="4" s="1" a="1"/>
  <c r="BE27" i="4" s="1"/>
  <c r="BH27" i="4"/>
  <c r="DV27" i="4"/>
  <c r="AP71" i="4"/>
  <c r="AV373" i="13" s="1"/>
  <c r="AV473" i="13" s="1"/>
  <c r="AV539" i="13"/>
  <c r="BH37" i="4"/>
  <c r="BM37" i="4"/>
  <c r="BE37" i="4" s="1" a="1"/>
  <c r="BE37" i="4" s="1"/>
  <c r="DV37" i="4"/>
  <c r="BD74" i="4"/>
  <c r="AH60" i="4"/>
  <c r="AV1356" i="13" s="1"/>
  <c r="L21" i="4"/>
  <c r="BG21" i="4"/>
  <c r="AV1119" i="13" s="1"/>
  <c r="L32" i="4"/>
  <c r="BG32" i="4"/>
  <c r="AV1130" i="13" s="1"/>
  <c r="BR32" i="4"/>
  <c r="Z60" i="4"/>
  <c r="AV1257" i="13" s="1"/>
  <c r="BF22" i="4"/>
  <c r="BG50" i="4"/>
  <c r="AV1148" i="13" s="1"/>
  <c r="BR50" i="4"/>
  <c r="O50" i="72" s="1"/>
  <c r="Z23" i="4"/>
  <c r="AV1220" i="13" s="1"/>
  <c r="AV1197" i="13" s="1" a="1"/>
  <c r="AV1197" i="13" s="1"/>
  <c r="L41" i="4"/>
  <c r="BG41" i="4"/>
  <c r="AV1139" i="13" s="1"/>
  <c r="BR41" i="4"/>
  <c r="O41" i="69" s="1"/>
  <c r="BF44" i="4"/>
  <c r="AA27" i="72"/>
  <c r="V27" i="72"/>
  <c r="B27" i="72" s="1"/>
  <c r="Q27" i="72"/>
  <c r="Z27" i="72"/>
  <c r="AC27" i="72"/>
  <c r="BG27" i="72"/>
  <c r="T27" i="72"/>
  <c r="BY27" i="72"/>
  <c r="P27" i="72"/>
  <c r="S27" i="72"/>
  <c r="M27" i="72"/>
  <c r="AD27" i="72"/>
  <c r="AB27" i="72" a="1"/>
  <c r="AB27" i="72" s="1"/>
  <c r="W27" i="72"/>
  <c r="BU27" i="72" s="1" a="1"/>
  <c r="BU27" i="72" s="1"/>
  <c r="A27" i="72"/>
  <c r="J27" i="72"/>
  <c r="N27" i="72" a="1"/>
  <c r="N27" i="72" s="1"/>
  <c r="G27" i="72"/>
  <c r="AW27" i="72"/>
  <c r="Y27" i="72"/>
  <c r="BF27" i="72"/>
  <c r="AV27" i="72"/>
  <c r="V57" i="69"/>
  <c r="B57" i="69" s="1"/>
  <c r="Y57" i="69"/>
  <c r="BB57" i="69"/>
  <c r="M57" i="69"/>
  <c r="P57" i="69"/>
  <c r="A57" i="69"/>
  <c r="AA57" i="69"/>
  <c r="AC57" i="69"/>
  <c r="W57" i="69"/>
  <c r="L57" i="69" s="1"/>
  <c r="N57" i="69" a="1"/>
  <c r="N57" i="69" s="1"/>
  <c r="Z57" i="69"/>
  <c r="J57" i="69"/>
  <c r="S57" i="69"/>
  <c r="AR57" i="69"/>
  <c r="AS57" i="69"/>
  <c r="G57" i="69"/>
  <c r="BC57" i="69"/>
  <c r="BU57" i="69"/>
  <c r="T57" i="69"/>
  <c r="AB57" i="69" a="1"/>
  <c r="AB57" i="69" s="1"/>
  <c r="Q57" i="69"/>
  <c r="BV57" i="69" s="1"/>
  <c r="U57" i="69" a="1"/>
  <c r="U57" i="69" s="1"/>
  <c r="A1426" i="13"/>
  <c r="AX1327" i="13"/>
  <c r="A1420" i="13"/>
  <c r="AX1321" i="13"/>
  <c r="A1430" i="13"/>
  <c r="AX1331" i="13"/>
  <c r="BZ95" i="72"/>
  <c r="AX95" i="72" a="1"/>
  <c r="AX95" i="72" s="1"/>
  <c r="BC95" i="72" a="1"/>
  <c r="BC95" i="72" s="1"/>
  <c r="BG14" i="72"/>
  <c r="V14" i="72"/>
  <c r="B14" i="72" s="1"/>
  <c r="BY14" i="72"/>
  <c r="W14" i="72"/>
  <c r="BF14" i="72"/>
  <c r="Q14" i="72"/>
  <c r="T14" i="72"/>
  <c r="BM14" i="72"/>
  <c r="AV14" i="72"/>
  <c r="M14" i="72"/>
  <c r="C14" i="72"/>
  <c r="Z14" i="72"/>
  <c r="J14" i="72"/>
  <c r="AD14" i="72"/>
  <c r="S14" i="72"/>
  <c r="N14" i="72" a="1"/>
  <c r="N14" i="72" s="1"/>
  <c r="AC14" i="72"/>
  <c r="K14" i="72" a="1"/>
  <c r="K14" i="72" s="1"/>
  <c r="AB14" i="72" a="1"/>
  <c r="AB14" i="72" s="1"/>
  <c r="L14" i="72"/>
  <c r="G14" i="72"/>
  <c r="P14" i="72"/>
  <c r="A14" i="72"/>
  <c r="Y14" i="72"/>
  <c r="AA14" i="72"/>
  <c r="AW14" i="72"/>
  <c r="AD66" i="4"/>
  <c r="E66" i="4"/>
  <c r="BT66" i="4" s="1"/>
  <c r="DE66" i="4"/>
  <c r="A1470" i="13"/>
  <c r="AX1371" i="13"/>
  <c r="BD25" i="4"/>
  <c r="BR25" i="4" s="1"/>
  <c r="O25" i="69" s="1"/>
  <c r="AH63" i="4"/>
  <c r="AV1359" i="13" s="1"/>
  <c r="E63" i="4"/>
  <c r="BT63" i="4" s="1"/>
  <c r="DE63" i="4"/>
  <c r="F67" i="72"/>
  <c r="BY33" i="72"/>
  <c r="Z33" i="72"/>
  <c r="P33" i="72"/>
  <c r="S33" i="72"/>
  <c r="BF33" i="72"/>
  <c r="A33" i="72"/>
  <c r="Y33" i="72"/>
  <c r="AW33" i="72"/>
  <c r="W33" i="72"/>
  <c r="L33" i="72" s="1"/>
  <c r="AC33" i="72"/>
  <c r="M33" i="72"/>
  <c r="N33" i="72" a="1"/>
  <c r="N33" i="72" s="1"/>
  <c r="J33" i="72"/>
  <c r="AV33" i="72"/>
  <c r="G33" i="72"/>
  <c r="V33" i="72"/>
  <c r="B33" i="72" s="1"/>
  <c r="Q33" i="72"/>
  <c r="BG33" i="72"/>
  <c r="AD33" i="72"/>
  <c r="T33" i="72"/>
  <c r="AA33" i="72"/>
  <c r="AB33" i="72" a="1"/>
  <c r="AB33" i="72" s="1"/>
  <c r="I56" i="69"/>
  <c r="I77" i="72"/>
  <c r="I19" i="69"/>
  <c r="AX1324" i="13"/>
  <c r="A1423" i="13"/>
  <c r="AV56" i="72"/>
  <c r="Q56" i="72"/>
  <c r="V56" i="72"/>
  <c r="B56" i="72" s="1"/>
  <c r="BG56" i="72"/>
  <c r="L56" i="72"/>
  <c r="A56" i="72"/>
  <c r="N56" i="72" a="1"/>
  <c r="N56" i="72" s="1"/>
  <c r="AW56" i="72"/>
  <c r="S56" i="72"/>
  <c r="P56" i="72"/>
  <c r="Z56" i="72"/>
  <c r="T56" i="72"/>
  <c r="Y56" i="72"/>
  <c r="M56" i="72"/>
  <c r="AB56" i="72" a="1"/>
  <c r="AB56" i="72" s="1"/>
  <c r="BF56" i="72"/>
  <c r="AL56" i="72" s="1"/>
  <c r="BY56" i="72"/>
  <c r="AA56" i="72"/>
  <c r="AD56" i="72"/>
  <c r="W56" i="72"/>
  <c r="BT56" i="72" s="1"/>
  <c r="J56" i="72"/>
  <c r="AC56" i="72"/>
  <c r="F14" i="72"/>
  <c r="F36" i="72"/>
  <c r="A1471" i="13"/>
  <c r="AX1372" i="13"/>
  <c r="I94" i="69"/>
  <c r="I94" i="72"/>
  <c r="BD60" i="4"/>
  <c r="A1488" i="13"/>
  <c r="AX1389" i="13"/>
  <c r="AV556" i="13"/>
  <c r="BM54" i="4"/>
  <c r="BE54" i="4" s="1" a="1"/>
  <c r="BE54" i="4" s="1"/>
  <c r="BH54" i="4"/>
  <c r="DV54" i="4"/>
  <c r="S33" i="69"/>
  <c r="V33" i="69"/>
  <c r="B33" i="69" s="1"/>
  <c r="Y33" i="69"/>
  <c r="AC33" i="69"/>
  <c r="N33" i="69" a="1"/>
  <c r="N33" i="69" s="1"/>
  <c r="G33" i="69"/>
  <c r="BB33" i="69"/>
  <c r="U33" i="69" a="1"/>
  <c r="U33" i="69" s="1"/>
  <c r="A33" i="69"/>
  <c r="M33" i="69"/>
  <c r="AB33" i="69" a="1"/>
  <c r="AB33" i="69" s="1"/>
  <c r="AR33" i="69"/>
  <c r="W33" i="69"/>
  <c r="BP33" i="69" s="1"/>
  <c r="AA33" i="69"/>
  <c r="AS33" i="69"/>
  <c r="T33" i="69"/>
  <c r="BC33" i="69"/>
  <c r="P33" i="69"/>
  <c r="Q33" i="69"/>
  <c r="Z33" i="69"/>
  <c r="J33" i="69"/>
  <c r="BU33" i="69"/>
  <c r="I92" i="69"/>
  <c r="I32" i="69"/>
  <c r="AF21" i="27"/>
  <c r="AF20" i="27"/>
  <c r="AX1336" i="13"/>
  <c r="A1435" i="13"/>
  <c r="X41" i="4"/>
  <c r="I238" i="15" a="1"/>
  <c r="I238" i="15" s="1"/>
  <c r="F367" i="15" a="1"/>
  <c r="F367" i="15" s="1"/>
  <c r="H367" i="15" a="1"/>
  <c r="H367" i="15" s="1"/>
  <c r="Y51" i="72"/>
  <c r="BG51" i="72"/>
  <c r="AD51" i="72"/>
  <c r="AW51" i="72"/>
  <c r="T51" i="72"/>
  <c r="P51" i="72"/>
  <c r="Z51" i="72"/>
  <c r="AA51" i="72"/>
  <c r="N51" i="72" a="1"/>
  <c r="N51" i="72" s="1"/>
  <c r="BY51" i="72"/>
  <c r="A51" i="72"/>
  <c r="S51" i="72"/>
  <c r="BM51" i="72"/>
  <c r="W51" i="72"/>
  <c r="Q51" i="72"/>
  <c r="V51" i="72"/>
  <c r="B51" i="72" s="1"/>
  <c r="G51" i="72"/>
  <c r="L51" i="72"/>
  <c r="AC51" i="72"/>
  <c r="AV51" i="72"/>
  <c r="J51" i="72"/>
  <c r="M51" i="72"/>
  <c r="AB51" i="72" a="1"/>
  <c r="AB51" i="72" s="1"/>
  <c r="BF51" i="72"/>
  <c r="I12" i="69"/>
  <c r="F191" i="15" a="1"/>
  <c r="F191" i="15" s="1"/>
  <c r="G94" i="69"/>
  <c r="GU37" i="71"/>
  <c r="F608" i="15" a="1"/>
  <c r="F608" i="15" s="1"/>
  <c r="H608" i="15" a="1"/>
  <c r="H608" i="15" s="1"/>
  <c r="F560" i="15" a="1"/>
  <c r="F560" i="15" s="1"/>
  <c r="H560" i="15" a="1"/>
  <c r="H560" i="15" s="1"/>
  <c r="IW37" i="71"/>
  <c r="E64" i="15"/>
  <c r="F62" i="15" s="1" a="1"/>
  <c r="F62" i="15" s="1"/>
  <c r="E59" i="15"/>
  <c r="F55" i="15" s="1" a="1"/>
  <c r="F55" i="15" s="1"/>
  <c r="P77" i="9"/>
  <c r="P14" i="9"/>
  <c r="E270" i="15"/>
  <c r="H261" i="15" s="1" a="1"/>
  <c r="H261" i="15" s="1"/>
  <c r="I235" i="15" a="1"/>
  <c r="I235" i="15" s="1"/>
  <c r="P73" i="9"/>
  <c r="FE36" i="71"/>
  <c r="AQ94" i="72"/>
  <c r="JC37" i="71"/>
  <c r="E306" i="15"/>
  <c r="H57" i="9"/>
  <c r="A1467" i="13"/>
  <c r="AX1368" i="13"/>
  <c r="DV52" i="4"/>
  <c r="AV554" i="13"/>
  <c r="BH52" i="4"/>
  <c r="BM52" i="4"/>
  <c r="BE52" i="4" s="1" a="1"/>
  <c r="BE52" i="4" s="1"/>
  <c r="DV90" i="4"/>
  <c r="AV592" i="13"/>
  <c r="BH90" i="4"/>
  <c r="AV67" i="72"/>
  <c r="AC67" i="72"/>
  <c r="L67" i="72"/>
  <c r="T67" i="72"/>
  <c r="AW67" i="72"/>
  <c r="J67" i="72"/>
  <c r="S67" i="72"/>
  <c r="P67" i="72"/>
  <c r="AB67" i="72" a="1"/>
  <c r="AB67" i="72" s="1"/>
  <c r="M67" i="72"/>
  <c r="Y67" i="72"/>
  <c r="BG67" i="72"/>
  <c r="AD67" i="72"/>
  <c r="Q67" i="72"/>
  <c r="AA67" i="72"/>
  <c r="N67" i="72" a="1"/>
  <c r="N67" i="72" s="1"/>
  <c r="A67" i="72"/>
  <c r="W67" i="72"/>
  <c r="BT67" i="72" s="1"/>
  <c r="BY67" i="72"/>
  <c r="BF67" i="72"/>
  <c r="V67" i="72"/>
  <c r="B67" i="72" s="1"/>
  <c r="Z67" i="72"/>
  <c r="G67" i="72"/>
  <c r="Z39" i="69"/>
  <c r="Q39" i="69"/>
  <c r="J39" i="69"/>
  <c r="BU39" i="69"/>
  <c r="BC39" i="69"/>
  <c r="T39" i="69"/>
  <c r="N39" i="69" a="1"/>
  <c r="N39" i="69" s="1"/>
  <c r="BB39" i="69"/>
  <c r="W39" i="69"/>
  <c r="BP39" i="69" s="1"/>
  <c r="G39" i="69"/>
  <c r="AB39" i="69" a="1"/>
  <c r="AB39" i="69" s="1"/>
  <c r="AA39" i="69"/>
  <c r="S39" i="69"/>
  <c r="A39" i="69"/>
  <c r="V39" i="69"/>
  <c r="B39" i="69" s="1"/>
  <c r="Y39" i="69"/>
  <c r="U39" i="69" a="1"/>
  <c r="U39" i="69" s="1"/>
  <c r="AS39" i="69"/>
  <c r="M39" i="69"/>
  <c r="AC39" i="69"/>
  <c r="P39" i="69"/>
  <c r="AR39" i="69"/>
  <c r="K39" i="69" a="1"/>
  <c r="K39" i="69" s="1"/>
  <c r="AQ4" i="4"/>
  <c r="AY506" i="13"/>
  <c r="AR4" i="4"/>
  <c r="K594" i="15" a="1"/>
  <c r="K594" i="15" s="1"/>
  <c r="H634" i="15" a="1"/>
  <c r="H634" i="15" s="1"/>
  <c r="F634" i="15" a="1"/>
  <c r="F634" i="15" s="1"/>
  <c r="A36" i="72"/>
  <c r="AC36" i="72"/>
  <c r="P36" i="72"/>
  <c r="G36" i="72"/>
  <c r="BG36" i="72"/>
  <c r="M36" i="72"/>
  <c r="Y36" i="72"/>
  <c r="BY36" i="72"/>
  <c r="AD36" i="72"/>
  <c r="W36" i="72"/>
  <c r="S36" i="72"/>
  <c r="BF36" i="72"/>
  <c r="Q36" i="72"/>
  <c r="Z36" i="72"/>
  <c r="AB36" i="72" a="1"/>
  <c r="AB36" i="72" s="1"/>
  <c r="N36" i="72" a="1"/>
  <c r="N36" i="72" s="1"/>
  <c r="L36" i="72"/>
  <c r="AV36" i="72"/>
  <c r="T36" i="72"/>
  <c r="J36" i="72"/>
  <c r="AW36" i="72"/>
  <c r="AA36" i="72"/>
  <c r="V36" i="72"/>
  <c r="B36" i="72" s="1"/>
  <c r="C36" i="72"/>
  <c r="AV1202" i="13"/>
  <c r="I93" i="72"/>
  <c r="I441" i="15" a="1"/>
  <c r="I441" i="15" s="1"/>
  <c r="Y79" i="72"/>
  <c r="AW79" i="72"/>
  <c r="BY79" i="72"/>
  <c r="M79" i="72"/>
  <c r="P79" i="72"/>
  <c r="T79" i="72"/>
  <c r="AA79" i="72"/>
  <c r="BG79" i="72"/>
  <c r="N79" i="72" a="1"/>
  <c r="N79" i="72" s="1"/>
  <c r="AC79" i="72"/>
  <c r="AD79" i="72"/>
  <c r="A79" i="72"/>
  <c r="AB79" i="72" a="1"/>
  <c r="AB79" i="72" s="1"/>
  <c r="V79" i="72"/>
  <c r="B79" i="72" s="1"/>
  <c r="J79" i="72"/>
  <c r="AV79" i="72"/>
  <c r="Z79" i="72"/>
  <c r="W79" i="72"/>
  <c r="BF79" i="72"/>
  <c r="Q79" i="72"/>
  <c r="S79" i="72"/>
  <c r="AB76" i="69" a="1"/>
  <c r="AB76" i="69" s="1"/>
  <c r="T76" i="69"/>
  <c r="N76" i="69" a="1"/>
  <c r="N76" i="69" s="1"/>
  <c r="P76" i="69"/>
  <c r="AC76" i="69"/>
  <c r="BC76" i="69"/>
  <c r="Y76" i="69"/>
  <c r="W76" i="69"/>
  <c r="L76" i="69" s="1"/>
  <c r="AA76" i="69"/>
  <c r="Q76" i="69"/>
  <c r="V76" i="69"/>
  <c r="BU76" i="69"/>
  <c r="AS76" i="69"/>
  <c r="Z76" i="69"/>
  <c r="AR76" i="69"/>
  <c r="J76" i="69"/>
  <c r="A76" i="69"/>
  <c r="G76" i="69"/>
  <c r="M76" i="69"/>
  <c r="BB76" i="69"/>
  <c r="I663" i="15" a="1"/>
  <c r="I663" i="15" s="1"/>
  <c r="M58" i="72"/>
  <c r="Y3" i="1" a="1"/>
  <c r="Y3" i="1" s="1"/>
  <c r="Y101" i="1" s="1"/>
  <c r="AC3" i="1" a="1"/>
  <c r="AC3" i="1" s="1"/>
  <c r="AC101" i="1" s="1"/>
  <c r="BB6" i="69"/>
  <c r="V6" i="69"/>
  <c r="B6" i="69" s="1"/>
  <c r="Q6" i="69"/>
  <c r="J6" i="69"/>
  <c r="AC6" i="69"/>
  <c r="K6" i="69" a="1"/>
  <c r="K6" i="69" s="1"/>
  <c r="AR6" i="69"/>
  <c r="AS6" i="69"/>
  <c r="M6" i="69"/>
  <c r="A6" i="69"/>
  <c r="W6" i="69"/>
  <c r="BP6" i="69" s="1"/>
  <c r="T6" i="69"/>
  <c r="P6" i="69"/>
  <c r="G6" i="69"/>
  <c r="S6" i="69"/>
  <c r="N6" i="69" a="1"/>
  <c r="N6" i="69" s="1"/>
  <c r="Y6" i="69"/>
  <c r="AB6" i="69" a="1"/>
  <c r="AB6" i="69" s="1"/>
  <c r="Z6" i="69"/>
  <c r="BC6" i="69"/>
  <c r="U6" i="69" a="1"/>
  <c r="U6" i="69" s="1"/>
  <c r="AA6" i="69"/>
  <c r="BU6" i="69"/>
  <c r="F93" i="4"/>
  <c r="BL93" i="4" s="1"/>
  <c r="DE93" i="4"/>
  <c r="E93" i="4"/>
  <c r="BT93" i="4" s="1"/>
  <c r="A1445" i="13"/>
  <c r="AX1346" i="13"/>
  <c r="F108" i="15" a="1"/>
  <c r="F108" i="15" s="1"/>
  <c r="H108" i="15" a="1"/>
  <c r="H108" i="15" s="1"/>
  <c r="T58" i="69"/>
  <c r="BS58" i="69" s="1"/>
  <c r="BO58" i="69"/>
  <c r="BR58" i="69" s="1"/>
  <c r="BE58" i="69"/>
  <c r="AN58" i="69" s="1" a="1"/>
  <c r="AN58" i="69" s="1"/>
  <c r="AX1309" i="13"/>
  <c r="A1408" i="13"/>
  <c r="F452" i="15" a="1"/>
  <c r="F452" i="15" s="1"/>
  <c r="H452" i="15" a="1"/>
  <c r="H452" i="15" s="1"/>
  <c r="AP78" i="4"/>
  <c r="AV380" i="13" s="1"/>
  <c r="AV480" i="13" s="1"/>
  <c r="N12" i="72" a="1"/>
  <c r="N12" i="72" s="1"/>
  <c r="S12" i="72"/>
  <c r="BF12" i="72"/>
  <c r="J12" i="72"/>
  <c r="L12" i="72"/>
  <c r="G12" i="72"/>
  <c r="AA12" i="72"/>
  <c r="T12" i="72"/>
  <c r="AB12" i="72" a="1"/>
  <c r="AB12" i="72" s="1"/>
  <c r="W12" i="72"/>
  <c r="BG12" i="72"/>
  <c r="V12" i="72"/>
  <c r="B12" i="72" s="1"/>
  <c r="K12" i="72" a="1"/>
  <c r="K12" i="72" s="1"/>
  <c r="AV12" i="72"/>
  <c r="Q12" i="72"/>
  <c r="P12" i="72"/>
  <c r="AD12" i="72"/>
  <c r="BY12" i="72"/>
  <c r="AC12" i="72"/>
  <c r="Y12" i="72"/>
  <c r="A12" i="72"/>
  <c r="AW12" i="72"/>
  <c r="M12" i="72"/>
  <c r="Z12" i="72"/>
  <c r="O12" i="72"/>
  <c r="U24" i="69" a="1"/>
  <c r="U24" i="69" s="1"/>
  <c r="AS24" i="69"/>
  <c r="BI24" i="69"/>
  <c r="Z24" i="69"/>
  <c r="T24" i="69"/>
  <c r="L24" i="69"/>
  <c r="AC24" i="69"/>
  <c r="BU24" i="69"/>
  <c r="Y24" i="69"/>
  <c r="P24" i="69"/>
  <c r="W24" i="69"/>
  <c r="J24" i="69"/>
  <c r="A24" i="69"/>
  <c r="G24" i="69"/>
  <c r="Q24" i="69"/>
  <c r="AB24" i="69" a="1"/>
  <c r="AB24" i="69" s="1"/>
  <c r="BB24" i="69"/>
  <c r="N24" i="69" a="1"/>
  <c r="N24" i="69" s="1"/>
  <c r="AR24" i="69"/>
  <c r="O24" i="69"/>
  <c r="BC24" i="69"/>
  <c r="V24" i="69"/>
  <c r="B24" i="69" s="1"/>
  <c r="AA24" i="69"/>
  <c r="BK24" i="69"/>
  <c r="S24" i="69"/>
  <c r="M24" i="69"/>
  <c r="AD24" i="69"/>
  <c r="N583" i="15" a="1"/>
  <c r="N583" i="15" s="1"/>
  <c r="DA76" i="4" a="1"/>
  <c r="DA76" i="4" s="1"/>
  <c r="DV18" i="4"/>
  <c r="BH18" i="4"/>
  <c r="AV520" i="13"/>
  <c r="BM18" i="4"/>
  <c r="BE18" i="4" s="1" a="1"/>
  <c r="BE18" i="4" s="1"/>
  <c r="AC19" i="72"/>
  <c r="BG19" i="72"/>
  <c r="A19" i="72"/>
  <c r="Y19" i="72"/>
  <c r="W19" i="72"/>
  <c r="BT19" i="72" s="1"/>
  <c r="S19" i="72"/>
  <c r="AA19" i="72"/>
  <c r="G19" i="72"/>
  <c r="M19" i="72"/>
  <c r="Q19" i="72"/>
  <c r="V19" i="72"/>
  <c r="B19" i="72" s="1"/>
  <c r="AV19" i="72"/>
  <c r="BY19" i="72"/>
  <c r="AB19" i="72" a="1"/>
  <c r="AB19" i="72" s="1"/>
  <c r="P19" i="72"/>
  <c r="K19" i="72" a="1"/>
  <c r="K19" i="72" s="1"/>
  <c r="BF19" i="72"/>
  <c r="T19" i="72"/>
  <c r="AD19" i="72"/>
  <c r="N19" i="72" a="1"/>
  <c r="N19" i="72" s="1"/>
  <c r="Z19" i="72"/>
  <c r="AW19" i="72"/>
  <c r="J19" i="72"/>
  <c r="BM19" i="72"/>
  <c r="C19" i="72"/>
  <c r="H19" i="72"/>
  <c r="G26" i="72"/>
  <c r="T26" i="72"/>
  <c r="AW26" i="72"/>
  <c r="Z26" i="72"/>
  <c r="J26" i="72"/>
  <c r="BF26" i="72"/>
  <c r="M26" i="72"/>
  <c r="BG26" i="72"/>
  <c r="AA26" i="72"/>
  <c r="W26" i="72"/>
  <c r="BU26" i="72" s="1" a="1"/>
  <c r="BU26" i="72" s="1"/>
  <c r="AD26" i="72"/>
  <c r="AC26" i="72"/>
  <c r="N26" i="72" a="1"/>
  <c r="N26" i="72" s="1"/>
  <c r="Y26" i="72"/>
  <c r="A26" i="72"/>
  <c r="L26" i="72"/>
  <c r="Q26" i="72"/>
  <c r="V26" i="72"/>
  <c r="B26" i="72" s="1"/>
  <c r="AV26" i="72"/>
  <c r="P26" i="72"/>
  <c r="BY26" i="72"/>
  <c r="AB26" i="72" a="1"/>
  <c r="AB26" i="72" s="1"/>
  <c r="S26" i="72"/>
  <c r="Z86" i="4"/>
  <c r="AV1283" i="13" s="1"/>
  <c r="AD77" i="4"/>
  <c r="AP96" i="4"/>
  <c r="U96" i="72" s="1" a="1"/>
  <c r="U96" i="72" s="1"/>
  <c r="DA96" i="4" a="1"/>
  <c r="DA96" i="4" s="1"/>
  <c r="AV551" i="13"/>
  <c r="BM49" i="4"/>
  <c r="BE49" i="4" s="1" a="1"/>
  <c r="BE49" i="4" s="1"/>
  <c r="DV49" i="4"/>
  <c r="BH49" i="4"/>
  <c r="AA15" i="69"/>
  <c r="Q15" i="69"/>
  <c r="AR15" i="69"/>
  <c r="G15" i="69"/>
  <c r="V15" i="69"/>
  <c r="B15" i="69" s="1"/>
  <c r="P15" i="69"/>
  <c r="Z15" i="69"/>
  <c r="BI15" i="69"/>
  <c r="J15" i="69"/>
  <c r="BU15" i="69"/>
  <c r="Y15" i="69"/>
  <c r="M15" i="69"/>
  <c r="AS15" i="69"/>
  <c r="A15" i="69"/>
  <c r="BC15" i="69"/>
  <c r="U15" i="69" a="1"/>
  <c r="U15" i="69" s="1"/>
  <c r="L15" i="69"/>
  <c r="T15" i="69"/>
  <c r="K15" i="69" a="1"/>
  <c r="K15" i="69" s="1"/>
  <c r="W15" i="69"/>
  <c r="BB15" i="69"/>
  <c r="N15" i="69" a="1"/>
  <c r="N15" i="69" s="1"/>
  <c r="AC15" i="69"/>
  <c r="S15" i="69"/>
  <c r="AB15" i="69" a="1"/>
  <c r="AB15" i="69" s="1"/>
  <c r="AD71" i="4"/>
  <c r="AP95" i="4"/>
  <c r="U95" i="72" s="1" a="1"/>
  <c r="U95" i="72" s="1"/>
  <c r="AJ21" i="27"/>
  <c r="AJ20" i="27"/>
  <c r="F257" i="15" a="1"/>
  <c r="F257" i="15" s="1"/>
  <c r="H257" i="15" a="1"/>
  <c r="H257" i="15" s="1"/>
  <c r="F641" i="15" a="1"/>
  <c r="F641" i="15" s="1"/>
  <c r="H641" i="15" a="1"/>
  <c r="H641" i="15" s="1"/>
  <c r="F77" i="4"/>
  <c r="BL77" i="4" s="1"/>
  <c r="Z17" i="72"/>
  <c r="AD17" i="72"/>
  <c r="S17" i="72"/>
  <c r="Q17" i="72"/>
  <c r="K17" i="72" a="1"/>
  <c r="K17" i="72" s="1"/>
  <c r="AC17" i="72"/>
  <c r="BY17" i="72"/>
  <c r="A17" i="72"/>
  <c r="N17" i="72" a="1"/>
  <c r="N17" i="72" s="1"/>
  <c r="AB17" i="72" a="1"/>
  <c r="AB17" i="72" s="1"/>
  <c r="W17" i="72"/>
  <c r="BT17" i="72" s="1"/>
  <c r="G17" i="72"/>
  <c r="BF17" i="72"/>
  <c r="AA17" i="72"/>
  <c r="J17" i="72"/>
  <c r="BG17" i="72"/>
  <c r="P17" i="72"/>
  <c r="AV17" i="72"/>
  <c r="V17" i="72"/>
  <c r="B17" i="72" s="1"/>
  <c r="M17" i="72"/>
  <c r="AW17" i="72"/>
  <c r="T17" i="72"/>
  <c r="Y17" i="72"/>
  <c r="BM17" i="72"/>
  <c r="AL62" i="4"/>
  <c r="AL90" i="4"/>
  <c r="AD92" i="4"/>
  <c r="E92" i="4"/>
  <c r="BT92" i="4" s="1"/>
  <c r="DE92" i="4"/>
  <c r="F404" i="15" a="1"/>
  <c r="F404" i="15" s="1"/>
  <c r="H404" i="15" a="1"/>
  <c r="H404" i="15" s="1"/>
  <c r="AD62" i="72"/>
  <c r="Y62" i="72"/>
  <c r="S62" i="72"/>
  <c r="T62" i="72"/>
  <c r="W62" i="72"/>
  <c r="BT62" i="72" s="1"/>
  <c r="Z62" i="72"/>
  <c r="AA62" i="72"/>
  <c r="BG62" i="72"/>
  <c r="AC62" i="72"/>
  <c r="Q62" i="72"/>
  <c r="M62" i="72"/>
  <c r="AB62" i="72" a="1"/>
  <c r="AB62" i="72" s="1"/>
  <c r="A62" i="72"/>
  <c r="P62" i="72"/>
  <c r="V62" i="72"/>
  <c r="B62" i="72" s="1"/>
  <c r="G62" i="72"/>
  <c r="BF62" i="72"/>
  <c r="AV62" i="72"/>
  <c r="N62" i="72" a="1"/>
  <c r="N62" i="72" s="1"/>
  <c r="AW62" i="72"/>
  <c r="J62" i="72"/>
  <c r="BY62" i="72"/>
  <c r="AD56" i="4"/>
  <c r="AH71" i="4"/>
  <c r="AV1367" i="13" s="1"/>
  <c r="AX1362" i="13"/>
  <c r="A1461" i="13"/>
  <c r="DA57" i="4" a="1"/>
  <c r="DA57" i="4" s="1"/>
  <c r="BH46" i="4"/>
  <c r="AV548" i="13"/>
  <c r="DV46" i="4"/>
  <c r="BM46" i="4"/>
  <c r="BE46" i="4" s="1" a="1"/>
  <c r="BE46" i="4" s="1"/>
  <c r="BR47" i="4"/>
  <c r="AD47" i="69" s="1"/>
  <c r="L33" i="4"/>
  <c r="BG33" i="4"/>
  <c r="AV1131" i="13" s="1"/>
  <c r="BR33" i="4"/>
  <c r="BO33" i="72" s="1"/>
  <c r="X33" i="4"/>
  <c r="BF21" i="4"/>
  <c r="L51" i="4"/>
  <c r="BG51" i="4"/>
  <c r="AV1149" i="13" s="1"/>
  <c r="BR51" i="4"/>
  <c r="O51" i="69" s="1"/>
  <c r="L5" i="4"/>
  <c r="BG5" i="4"/>
  <c r="AV1103" i="13" s="1"/>
  <c r="X5" i="4"/>
  <c r="BR5" i="4"/>
  <c r="O5" i="72" s="1"/>
  <c r="BR194" i="4"/>
  <c r="BG11" i="4"/>
  <c r="AV1109" i="13" s="1"/>
  <c r="X11" i="4"/>
  <c r="L27" i="4"/>
  <c r="X27" i="4"/>
  <c r="BG27" i="4"/>
  <c r="AV1125" i="13" s="1"/>
  <c r="BR27" i="4"/>
  <c r="O27" i="69" s="1"/>
  <c r="BG26" i="4"/>
  <c r="AV1124" i="13" s="1"/>
  <c r="BR26" i="4"/>
  <c r="O26" i="69" s="1"/>
  <c r="H445" i="15" a="1"/>
  <c r="H445" i="15" s="1"/>
  <c r="F445" i="15" a="1"/>
  <c r="F445" i="15" s="1"/>
  <c r="AX1311" i="13"/>
  <c r="A1410" i="13"/>
  <c r="Y48" i="72"/>
  <c r="W48" i="72"/>
  <c r="BU48" i="72" s="1" a="1"/>
  <c r="BU48" i="72" s="1"/>
  <c r="Z48" i="72"/>
  <c r="AV48" i="72"/>
  <c r="S48" i="72"/>
  <c r="AW48" i="72"/>
  <c r="BY48" i="72"/>
  <c r="AA48" i="72"/>
  <c r="T48" i="72"/>
  <c r="J48" i="72"/>
  <c r="Q48" i="72"/>
  <c r="BG48" i="72"/>
  <c r="AD48" i="72"/>
  <c r="P48" i="72"/>
  <c r="A48" i="72"/>
  <c r="BF48" i="72"/>
  <c r="M48" i="72"/>
  <c r="V48" i="72"/>
  <c r="B48" i="72" s="1"/>
  <c r="N48" i="72" a="1"/>
  <c r="N48" i="72" s="1"/>
  <c r="AB48" i="72" a="1"/>
  <c r="AB48" i="72" s="1"/>
  <c r="AC48" i="72"/>
  <c r="G48" i="72"/>
  <c r="K48" i="72" a="1"/>
  <c r="K48" i="72" s="1"/>
  <c r="I76" i="15" a="1"/>
  <c r="I76" i="15" s="1"/>
  <c r="AV514" i="13"/>
  <c r="BH12" i="4"/>
  <c r="DV12" i="4"/>
  <c r="BM12" i="4"/>
  <c r="BE12" i="4" s="1" a="1"/>
  <c r="BE12" i="4" s="1"/>
  <c r="H361" i="15" a="1"/>
  <c r="H361" i="15" s="1"/>
  <c r="F361" i="15" a="1"/>
  <c r="F361" i="15" s="1"/>
  <c r="Q51" i="69"/>
  <c r="L51" i="69"/>
  <c r="Y51" i="69"/>
  <c r="AS51" i="69"/>
  <c r="AA51" i="69"/>
  <c r="BU51" i="69"/>
  <c r="M51" i="69"/>
  <c r="V51" i="69"/>
  <c r="B51" i="69" s="1"/>
  <c r="BI51" i="69"/>
  <c r="W51" i="69"/>
  <c r="AC51" i="69"/>
  <c r="Z51" i="69"/>
  <c r="T51" i="69"/>
  <c r="AB51" i="69" a="1"/>
  <c r="AB51" i="69" s="1"/>
  <c r="J51" i="69"/>
  <c r="A51" i="69"/>
  <c r="BC51" i="69"/>
  <c r="N51" i="69" a="1"/>
  <c r="N51" i="69" s="1"/>
  <c r="U51" i="69" a="1"/>
  <c r="U51" i="69" s="1"/>
  <c r="AR51" i="69"/>
  <c r="BB51" i="69"/>
  <c r="G51" i="69"/>
  <c r="S51" i="69"/>
  <c r="P51" i="69"/>
  <c r="BD87" i="4"/>
  <c r="N500" i="15" a="1"/>
  <c r="N500" i="15" s="1"/>
  <c r="K500" i="15" a="1"/>
  <c r="K500" i="15" s="1"/>
  <c r="N498" i="15" a="1"/>
  <c r="N498" i="15" s="1"/>
  <c r="N494" i="15" a="1"/>
  <c r="N494" i="15" s="1"/>
  <c r="M498" i="15" a="1"/>
  <c r="M498" i="15" s="1"/>
  <c r="L494" i="15" a="1"/>
  <c r="L494" i="15" s="1"/>
  <c r="K498" i="15" a="1"/>
  <c r="K498" i="15" s="1"/>
  <c r="M494" i="15" a="1"/>
  <c r="M494" i="15" s="1"/>
  <c r="L498" i="15" a="1"/>
  <c r="L498" i="15" s="1"/>
  <c r="K494" i="15" a="1"/>
  <c r="K494" i="15" s="1"/>
  <c r="M482" i="15" a="1"/>
  <c r="M482" i="15" s="1"/>
  <c r="N482" i="15" a="1"/>
  <c r="N482" i="15" s="1"/>
  <c r="K482" i="15" a="1"/>
  <c r="K482" i="15" s="1"/>
  <c r="L482" i="15" a="1"/>
  <c r="L482" i="15" s="1"/>
  <c r="AY96" i="69" a="1"/>
  <c r="AY96" i="69" s="1"/>
  <c r="H400" i="15" a="1"/>
  <c r="H400" i="15" s="1"/>
  <c r="F400" i="15" a="1"/>
  <c r="F400" i="15" s="1"/>
  <c r="H326" i="15" a="1"/>
  <c r="H326" i="15" s="1"/>
  <c r="F326" i="15" a="1"/>
  <c r="F326" i="15" s="1"/>
  <c r="AF94" i="72" a="1"/>
  <c r="AF94" i="72" s="1"/>
  <c r="AJ94" i="72" s="1" a="1"/>
  <c r="AJ94" i="72" s="1"/>
  <c r="JU37" i="71"/>
  <c r="BH96" i="72"/>
  <c r="AR96" i="72"/>
  <c r="BK96" i="72"/>
  <c r="AZ96" i="72" s="1" a="1"/>
  <c r="AZ96" i="72" s="1"/>
  <c r="R96" i="72"/>
  <c r="AS96" i="72" s="1" a="1"/>
  <c r="AS96" i="72" s="1"/>
  <c r="BR96" i="72" a="1"/>
  <c r="BR96" i="72" s="1"/>
  <c r="AT96" i="72" a="1"/>
  <c r="AT96" i="72" s="1"/>
  <c r="BQ96" i="72" a="1"/>
  <c r="BQ96" i="72" s="1"/>
  <c r="BX96" i="72"/>
  <c r="BU96" i="72" a="1"/>
  <c r="BU96" i="72" s="1"/>
  <c r="BT96" i="72"/>
  <c r="BS96" i="72" s="1"/>
  <c r="BV96" i="72" s="1"/>
  <c r="E96" i="72"/>
  <c r="P88" i="9"/>
  <c r="M608" i="15" a="1"/>
  <c r="M608" i="15" s="1"/>
  <c r="E273" i="15"/>
  <c r="P64" i="9"/>
  <c r="H428" i="15" a="1"/>
  <c r="H428" i="15" s="1"/>
  <c r="H433" i="15" a="1"/>
  <c r="H433" i="15" s="1"/>
  <c r="F433" i="15" a="1"/>
  <c r="F433" i="15" s="1"/>
  <c r="IT37" i="71"/>
  <c r="N67" i="69" a="1"/>
  <c r="N67" i="69" s="1"/>
  <c r="AR67" i="69"/>
  <c r="A67" i="69"/>
  <c r="AB67" i="69" a="1"/>
  <c r="AB67" i="69" s="1"/>
  <c r="BB67" i="69"/>
  <c r="L67" i="69"/>
  <c r="S67" i="69"/>
  <c r="M67" i="69"/>
  <c r="V67" i="69"/>
  <c r="B67" i="69" s="1"/>
  <c r="Q67" i="69"/>
  <c r="AA67" i="69"/>
  <c r="BU67" i="69"/>
  <c r="T67" i="69"/>
  <c r="Y67" i="69"/>
  <c r="W67" i="69"/>
  <c r="BP67" i="69" s="1"/>
  <c r="J67" i="69"/>
  <c r="AC67" i="69"/>
  <c r="BC67" i="69"/>
  <c r="AS67" i="69"/>
  <c r="Z67" i="69"/>
  <c r="P67" i="69"/>
  <c r="G67" i="69"/>
  <c r="U67" i="69" a="1"/>
  <c r="U67" i="69" s="1"/>
  <c r="BK3" i="69"/>
  <c r="O3" i="69"/>
  <c r="O3" i="72"/>
  <c r="BO3" i="72"/>
  <c r="G14" i="27"/>
  <c r="M594" i="15" a="1"/>
  <c r="M594" i="15" s="1"/>
  <c r="L655" i="15" a="1"/>
  <c r="L655" i="15" s="1"/>
  <c r="AH79" i="4"/>
  <c r="AV1375" i="13" s="1"/>
  <c r="DE79" i="4"/>
  <c r="E79" i="4"/>
  <c r="BT79" i="4" s="1"/>
  <c r="J36" i="69"/>
  <c r="U36" i="69" a="1"/>
  <c r="U36" i="69" s="1"/>
  <c r="BU36" i="69"/>
  <c r="P36" i="69"/>
  <c r="G36" i="69"/>
  <c r="AS36" i="69"/>
  <c r="AR36" i="69"/>
  <c r="BB36" i="69"/>
  <c r="AC36" i="69"/>
  <c r="O36" i="69"/>
  <c r="Z36" i="69"/>
  <c r="Q36" i="69"/>
  <c r="M36" i="69"/>
  <c r="T36" i="69"/>
  <c r="Y36" i="69"/>
  <c r="S36" i="69"/>
  <c r="V36" i="69"/>
  <c r="B36" i="69" s="1"/>
  <c r="AB36" i="69" a="1"/>
  <c r="AB36" i="69" s="1"/>
  <c r="BC36" i="69"/>
  <c r="L36" i="69"/>
  <c r="A36" i="69"/>
  <c r="N36" i="69" a="1"/>
  <c r="N36" i="69" s="1"/>
  <c r="AA36" i="69"/>
  <c r="W36" i="69"/>
  <c r="BP36" i="69" s="1"/>
  <c r="H36" i="69"/>
  <c r="K36" i="69" a="1"/>
  <c r="K36" i="69" s="1"/>
  <c r="I82" i="72"/>
  <c r="AL76" i="4"/>
  <c r="F87" i="4"/>
  <c r="BL87" i="4" s="1"/>
  <c r="J87" i="69"/>
  <c r="AS87" i="69"/>
  <c r="BB87" i="69"/>
  <c r="M87" i="69"/>
  <c r="T87" i="69"/>
  <c r="BU87" i="69"/>
  <c r="AA87" i="69"/>
  <c r="Z87" i="69"/>
  <c r="Y87" i="69"/>
  <c r="BC87" i="69"/>
  <c r="P87" i="69"/>
  <c r="V87" i="69"/>
  <c r="B87" i="69" s="1"/>
  <c r="AR87" i="69"/>
  <c r="G87" i="69"/>
  <c r="AC87" i="69"/>
  <c r="A87" i="69"/>
  <c r="N87" i="69" a="1"/>
  <c r="N87" i="69" s="1"/>
  <c r="W87" i="69"/>
  <c r="AB87" i="69" a="1"/>
  <c r="AB87" i="69" s="1"/>
  <c r="U87" i="69" a="1"/>
  <c r="U87" i="69" s="1"/>
  <c r="Q87" i="69"/>
  <c r="S87" i="69"/>
  <c r="G37" i="72"/>
  <c r="M37" i="72"/>
  <c r="BY37" i="72"/>
  <c r="P37" i="72"/>
  <c r="Z37" i="72"/>
  <c r="AD37" i="72"/>
  <c r="W37" i="72"/>
  <c r="BU37" i="72" s="1" a="1"/>
  <c r="BU37" i="72" s="1"/>
  <c r="AV37" i="72"/>
  <c r="AB37" i="72" a="1"/>
  <c r="AB37" i="72" s="1"/>
  <c r="AW37" i="72"/>
  <c r="T37" i="72"/>
  <c r="Y37" i="72"/>
  <c r="A37" i="72"/>
  <c r="S37" i="72"/>
  <c r="BG37" i="72"/>
  <c r="AC37" i="72"/>
  <c r="J37" i="72"/>
  <c r="V37" i="72"/>
  <c r="B37" i="72" s="1"/>
  <c r="N37" i="72" a="1"/>
  <c r="N37" i="72" s="1"/>
  <c r="AA37" i="72"/>
  <c r="L37" i="72"/>
  <c r="Q37" i="72"/>
  <c r="BF37" i="72"/>
  <c r="V76" i="72"/>
  <c r="BF76" i="72"/>
  <c r="AV76" i="72"/>
  <c r="AC76" i="72"/>
  <c r="Z76" i="72"/>
  <c r="J76" i="72"/>
  <c r="W76" i="72"/>
  <c r="BT76" i="72" s="1"/>
  <c r="BY76" i="72"/>
  <c r="A76" i="72"/>
  <c r="N76" i="72" a="1"/>
  <c r="N76" i="72" s="1"/>
  <c r="Y76" i="72"/>
  <c r="T76" i="72"/>
  <c r="BG76" i="72"/>
  <c r="AA76" i="72"/>
  <c r="AB76" i="72" a="1"/>
  <c r="AB76" i="72" s="1"/>
  <c r="AD76" i="72"/>
  <c r="M76" i="72"/>
  <c r="Q76" i="72"/>
  <c r="AW76" i="72"/>
  <c r="P76" i="72"/>
  <c r="G76" i="72"/>
  <c r="A1459" i="13"/>
  <c r="AX1360" i="13"/>
  <c r="AX1343" i="13"/>
  <c r="A1442" i="13"/>
  <c r="I396" i="15" a="1"/>
  <c r="I396" i="15" s="1"/>
  <c r="DD25" i="4" a="1"/>
  <c r="DD25" i="4" s="1"/>
  <c r="BL58" i="72"/>
  <c r="AG58" i="72"/>
  <c r="CA16" i="4"/>
  <c r="X26" i="4"/>
  <c r="AV528" i="13"/>
  <c r="BM26" i="4"/>
  <c r="BE26" i="4" s="1" a="1"/>
  <c r="BE26" i="4" s="1"/>
  <c r="DV26" i="4"/>
  <c r="BH26" i="4"/>
  <c r="A1319" i="13"/>
  <c r="AX1220" i="13"/>
  <c r="J6" i="72"/>
  <c r="BG6" i="72"/>
  <c r="AB6" i="72" a="1"/>
  <c r="AB6" i="72" s="1"/>
  <c r="S6" i="72"/>
  <c r="Z6" i="72"/>
  <c r="Q6" i="72"/>
  <c r="W6" i="72"/>
  <c r="T6" i="72"/>
  <c r="AV6" i="72"/>
  <c r="V6" i="72"/>
  <c r="B6" i="72" s="1"/>
  <c r="AA6" i="72"/>
  <c r="G6" i="72"/>
  <c r="N6" i="72" a="1"/>
  <c r="N6" i="72" s="1"/>
  <c r="K6" i="72" a="1"/>
  <c r="K6" i="72" s="1"/>
  <c r="A6" i="72"/>
  <c r="P6" i="72"/>
  <c r="AD6" i="72"/>
  <c r="AW6" i="72"/>
  <c r="BY6" i="72"/>
  <c r="M6" i="72"/>
  <c r="BF6" i="72"/>
  <c r="Y6" i="72"/>
  <c r="AC6" i="72"/>
  <c r="F5" i="69"/>
  <c r="AE20" i="27"/>
  <c r="M58" i="69"/>
  <c r="F509" i="15" a="1"/>
  <c r="F509" i="15" s="1"/>
  <c r="H509" i="15" a="1"/>
  <c r="H509" i="15" s="1"/>
  <c r="H588" i="15" a="1"/>
  <c r="H588" i="15" s="1"/>
  <c r="F588" i="15" a="1"/>
  <c r="F588" i="15" s="1"/>
  <c r="F436" i="15" a="1"/>
  <c r="F436" i="15" s="1"/>
  <c r="H436" i="15" a="1"/>
  <c r="H436" i="15" s="1"/>
  <c r="Z12" i="69"/>
  <c r="Q12" i="69"/>
  <c r="BC12" i="69"/>
  <c r="W12" i="69"/>
  <c r="AR12" i="69"/>
  <c r="V12" i="69"/>
  <c r="B12" i="69" s="1"/>
  <c r="T12" i="69"/>
  <c r="L12" i="69"/>
  <c r="Y12" i="69"/>
  <c r="G12" i="69"/>
  <c r="BU12" i="69"/>
  <c r="AA12" i="69"/>
  <c r="P12" i="69"/>
  <c r="BB12" i="69"/>
  <c r="J12" i="69"/>
  <c r="N12" i="69" a="1"/>
  <c r="N12" i="69" s="1"/>
  <c r="U12" i="69" a="1"/>
  <c r="U12" i="69" s="1"/>
  <c r="AC12" i="69"/>
  <c r="S12" i="69"/>
  <c r="AB12" i="69" a="1"/>
  <c r="AB12" i="69" s="1"/>
  <c r="K12" i="69" a="1"/>
  <c r="K12" i="69" s="1"/>
  <c r="AS12" i="69"/>
  <c r="A12" i="69"/>
  <c r="M12" i="69"/>
  <c r="BK12" i="69"/>
  <c r="O12" i="69"/>
  <c r="AL86" i="4"/>
  <c r="Z68" i="4"/>
  <c r="AV1265" i="13" s="1"/>
  <c r="T24" i="72"/>
  <c r="V24" i="72"/>
  <c r="B24" i="72" s="1"/>
  <c r="BF24" i="72"/>
  <c r="AB24" i="72" a="1"/>
  <c r="AB24" i="72" s="1"/>
  <c r="Q24" i="72"/>
  <c r="BY24" i="72"/>
  <c r="L24" i="72"/>
  <c r="BG24" i="72"/>
  <c r="AA24" i="72"/>
  <c r="A24" i="72"/>
  <c r="AW24" i="72"/>
  <c r="W24" i="72"/>
  <c r="BT24" i="72" s="1"/>
  <c r="S24" i="72"/>
  <c r="N24" i="72" a="1"/>
  <c r="N24" i="72" s="1"/>
  <c r="M24" i="72"/>
  <c r="P24" i="72"/>
  <c r="Z24" i="72"/>
  <c r="AC24" i="72"/>
  <c r="J24" i="72"/>
  <c r="AD24" i="72"/>
  <c r="G24" i="72"/>
  <c r="Y24" i="72"/>
  <c r="AV24" i="72"/>
  <c r="K24" i="72" a="1"/>
  <c r="K24" i="72" s="1"/>
  <c r="BM24" i="72"/>
  <c r="BO24" i="72"/>
  <c r="A1487" i="13"/>
  <c r="AX1388" i="13"/>
  <c r="H179" i="15" a="1"/>
  <c r="H179" i="15" s="1"/>
  <c r="A1479" i="13"/>
  <c r="AX1380" i="13"/>
  <c r="N488" i="15" a="1"/>
  <c r="N488" i="15" s="1"/>
  <c r="AU6" i="4"/>
  <c r="AT6" i="4" a="1"/>
  <c r="AT6" i="4" s="1"/>
  <c r="H6" i="69" s="1"/>
  <c r="Y6" i="4"/>
  <c r="AV6" i="4" a="1"/>
  <c r="AV6" i="4" s="1"/>
  <c r="C6" i="69" s="1"/>
  <c r="CY6" i="4"/>
  <c r="CZ6" i="4" s="1"/>
  <c r="BQ6" i="4"/>
  <c r="H235" i="15" a="1"/>
  <c r="H235" i="15" s="1"/>
  <c r="F81" i="4"/>
  <c r="BL81" i="4" s="1"/>
  <c r="Q85" i="69"/>
  <c r="S85" i="69"/>
  <c r="A85" i="69"/>
  <c r="AA85" i="69"/>
  <c r="AC85" i="69"/>
  <c r="Y85" i="69"/>
  <c r="J85" i="69"/>
  <c r="BB85" i="69"/>
  <c r="V85" i="69"/>
  <c r="B85" i="69" s="1"/>
  <c r="BU85" i="69"/>
  <c r="AS85" i="69"/>
  <c r="N85" i="69" a="1"/>
  <c r="N85" i="69" s="1"/>
  <c r="Z85" i="69"/>
  <c r="AB85" i="69" a="1"/>
  <c r="AB85" i="69" s="1"/>
  <c r="BC85" i="69"/>
  <c r="M85" i="69"/>
  <c r="AR85" i="69"/>
  <c r="T85" i="69"/>
  <c r="W85" i="69"/>
  <c r="BP85" i="69" s="1"/>
  <c r="P85" i="69"/>
  <c r="L85" i="69"/>
  <c r="G85" i="69"/>
  <c r="U85" i="69" a="1"/>
  <c r="U85" i="69" s="1"/>
  <c r="W26" i="69"/>
  <c r="U26" i="69" a="1"/>
  <c r="U26" i="69" s="1"/>
  <c r="AA26" i="69"/>
  <c r="A26" i="69"/>
  <c r="V26" i="69"/>
  <c r="B26" i="69" s="1"/>
  <c r="AS26" i="69"/>
  <c r="Y26" i="69"/>
  <c r="N26" i="69" a="1"/>
  <c r="N26" i="69" s="1"/>
  <c r="P26" i="69"/>
  <c r="AC26" i="69"/>
  <c r="BC26" i="69"/>
  <c r="J26" i="69"/>
  <c r="BU26" i="69"/>
  <c r="Q26" i="69"/>
  <c r="Z26" i="69"/>
  <c r="L26" i="69"/>
  <c r="S26" i="69"/>
  <c r="BB26" i="69"/>
  <c r="AR26" i="69"/>
  <c r="T26" i="69"/>
  <c r="M26" i="69"/>
  <c r="AB26" i="69" a="1"/>
  <c r="AB26" i="69" s="1"/>
  <c r="G26" i="69"/>
  <c r="K26" i="69" a="1"/>
  <c r="K26" i="69" s="1"/>
  <c r="AL79" i="4"/>
  <c r="BD46" i="4"/>
  <c r="X46" i="4" s="1"/>
  <c r="BT46" i="4"/>
  <c r="AD96" i="4"/>
  <c r="F96" i="72" s="1"/>
  <c r="F295" i="15" a="1"/>
  <c r="F295" i="15" s="1"/>
  <c r="H295" i="15" a="1"/>
  <c r="H295" i="15" s="1"/>
  <c r="CW69" i="4"/>
  <c r="CX69" i="4" s="1"/>
  <c r="BH64" i="4"/>
  <c r="DV64" i="4"/>
  <c r="AV566" i="13"/>
  <c r="BM64" i="4"/>
  <c r="BE64" i="4" s="1" a="1"/>
  <c r="BE64" i="4" s="1"/>
  <c r="Q15" i="72"/>
  <c r="T15" i="72"/>
  <c r="BG15" i="72"/>
  <c r="AD15" i="72"/>
  <c r="AC15" i="72"/>
  <c r="M15" i="72"/>
  <c r="AB15" i="72" a="1"/>
  <c r="AB15" i="72" s="1"/>
  <c r="L15" i="72"/>
  <c r="V15" i="72"/>
  <c r="B15" i="72" s="1"/>
  <c r="P15" i="72"/>
  <c r="J15" i="72"/>
  <c r="BF15" i="72"/>
  <c r="AV15" i="72"/>
  <c r="K15" i="72" a="1"/>
  <c r="K15" i="72" s="1"/>
  <c r="AA15" i="72"/>
  <c r="BY15" i="72"/>
  <c r="Z15" i="72"/>
  <c r="G15" i="72"/>
  <c r="BM15" i="72"/>
  <c r="N15" i="72" a="1"/>
  <c r="N15" i="72" s="1"/>
  <c r="AW15" i="72"/>
  <c r="W15" i="72"/>
  <c r="BT15" i="72" s="1"/>
  <c r="Y15" i="72"/>
  <c r="A15" i="72"/>
  <c r="S15" i="72"/>
  <c r="F478" i="15" a="1"/>
  <c r="F478" i="15" s="1"/>
  <c r="H478" i="15" a="1"/>
  <c r="H478" i="15" s="1"/>
  <c r="F256" i="15" a="1"/>
  <c r="F256" i="15" s="1"/>
  <c r="H256" i="15" a="1"/>
  <c r="H256" i="15" s="1"/>
  <c r="AX1301" i="13"/>
  <c r="A1400" i="13"/>
  <c r="A1597" i="13"/>
  <c r="AX1597" i="13" s="1"/>
  <c r="AX1498" i="13"/>
  <c r="AV1498" i="13"/>
  <c r="AV510" i="13"/>
  <c r="BH8" i="4"/>
  <c r="BM8" i="4"/>
  <c r="BE8" i="4" s="1" a="1"/>
  <c r="BE8" i="4" s="1"/>
  <c r="DV8" i="4"/>
  <c r="AV4" i="4" a="1"/>
  <c r="AV4" i="4" s="1"/>
  <c r="Y4" i="4"/>
  <c r="AT4" i="4" a="1"/>
  <c r="AT4" i="4" s="1"/>
  <c r="AU4" i="4"/>
  <c r="BQ4" i="4"/>
  <c r="CA4" i="4"/>
  <c r="W61" i="69"/>
  <c r="Q61" i="69"/>
  <c r="V61" i="69"/>
  <c r="B61" i="69" s="1"/>
  <c r="BU61" i="69"/>
  <c r="L61" i="69"/>
  <c r="AR61" i="69"/>
  <c r="J61" i="69"/>
  <c r="T61" i="69"/>
  <c r="A61" i="69"/>
  <c r="AC61" i="69"/>
  <c r="P61" i="69"/>
  <c r="S61" i="69"/>
  <c r="BC61" i="69"/>
  <c r="AB61" i="69" a="1"/>
  <c r="AB61" i="69" s="1"/>
  <c r="AA61" i="69"/>
  <c r="Y61" i="69"/>
  <c r="N61" i="69" a="1"/>
  <c r="N61" i="69" s="1"/>
  <c r="G61" i="69"/>
  <c r="BB61" i="69"/>
  <c r="M61" i="69"/>
  <c r="AS61" i="69"/>
  <c r="Z61" i="69"/>
  <c r="AH69" i="4"/>
  <c r="AV1365" i="13" s="1"/>
  <c r="I29" i="72"/>
  <c r="N481" i="15" a="1"/>
  <c r="N481" i="15" s="1"/>
  <c r="K481" i="15" a="1"/>
  <c r="K481" i="15" s="1"/>
  <c r="L481" i="15" a="1"/>
  <c r="L481" i="15" s="1"/>
  <c r="M481" i="15" a="1"/>
  <c r="M481" i="15" s="1"/>
  <c r="L480" i="15" a="1"/>
  <c r="L480" i="15" s="1"/>
  <c r="K480" i="15" a="1"/>
  <c r="K480" i="15" s="1"/>
  <c r="M480" i="15" a="1"/>
  <c r="M480" i="15" s="1"/>
  <c r="N480" i="15" a="1"/>
  <c r="N480" i="15" s="1"/>
  <c r="Z1557" i="13"/>
  <c r="AV1453" i="13"/>
  <c r="AX1453" i="13"/>
  <c r="A1552" i="13"/>
  <c r="AT29" i="4" a="1"/>
  <c r="AT29" i="4" s="1"/>
  <c r="H29" i="72" s="1"/>
  <c r="AV29" i="4" a="1"/>
  <c r="AV29" i="4" s="1"/>
  <c r="C29" i="69" s="1"/>
  <c r="D29" i="69" s="1" a="1"/>
  <c r="D29" i="69" s="1"/>
  <c r="AU29" i="4"/>
  <c r="Y29" i="4"/>
  <c r="CY29" i="4"/>
  <c r="CZ29" i="4" s="1"/>
  <c r="BQ29" i="4"/>
  <c r="F613" i="15" a="1"/>
  <c r="F613" i="15" s="1"/>
  <c r="H613" i="15" a="1"/>
  <c r="H613" i="15" s="1"/>
  <c r="F274" i="15" a="1"/>
  <c r="F274" i="15" s="1"/>
  <c r="H274" i="15" a="1"/>
  <c r="H274" i="15" s="1"/>
  <c r="AP92" i="4"/>
  <c r="AV394" i="13" s="1"/>
  <c r="AV494" i="13" s="1"/>
  <c r="M62" i="69"/>
  <c r="Y62" i="69"/>
  <c r="AB62" i="69" a="1"/>
  <c r="AB62" i="69" s="1"/>
  <c r="P62" i="69"/>
  <c r="BU62" i="69"/>
  <c r="G62" i="69"/>
  <c r="AA62" i="69"/>
  <c r="A62" i="69"/>
  <c r="Q62" i="69"/>
  <c r="S62" i="69"/>
  <c r="AR62" i="69"/>
  <c r="W62" i="69"/>
  <c r="BQ62" i="69" s="1" a="1"/>
  <c r="BQ62" i="69" s="1"/>
  <c r="J62" i="69"/>
  <c r="BB62" i="69"/>
  <c r="V62" i="69"/>
  <c r="B62" i="69" s="1"/>
  <c r="AC62" i="69"/>
  <c r="T62" i="69"/>
  <c r="N62" i="69" a="1"/>
  <c r="N62" i="69" s="1"/>
  <c r="BC62" i="69"/>
  <c r="AS62" i="69"/>
  <c r="Z62" i="69"/>
  <c r="I35" i="72"/>
  <c r="AD93" i="4"/>
  <c r="F51" i="72"/>
  <c r="A1476" i="13"/>
  <c r="AX1377" i="13"/>
  <c r="F231" i="15" a="1"/>
  <c r="F231" i="15" s="1"/>
  <c r="H231" i="15" a="1"/>
  <c r="H231" i="15" s="1"/>
  <c r="AX1312" i="13"/>
  <c r="A1411" i="13"/>
  <c r="AX1315" i="13"/>
  <c r="A1414" i="13"/>
  <c r="AX1333" i="13"/>
  <c r="A1432" i="13"/>
  <c r="BD21" i="4"/>
  <c r="BR21" i="4" s="1"/>
  <c r="BD85" i="4"/>
  <c r="X14" i="4"/>
  <c r="BR14" i="4"/>
  <c r="BO14" i="72" s="1"/>
  <c r="BG14" i="4"/>
  <c r="AV1112" i="13" s="1"/>
  <c r="L39" i="4"/>
  <c r="X39" i="4"/>
  <c r="BG39" i="4"/>
  <c r="AV1137" i="13" s="1"/>
  <c r="BR39" i="4"/>
  <c r="BK39" i="69" s="1"/>
  <c r="BF15" i="4"/>
  <c r="BF8" i="4"/>
  <c r="BF42" i="4"/>
  <c r="AQ11" i="4"/>
  <c r="AR9" i="4"/>
  <c r="AQ9" i="4"/>
  <c r="AY511" i="13"/>
  <c r="AR11" i="4"/>
  <c r="AV513" i="13"/>
  <c r="DV11" i="4"/>
  <c r="BM11" i="4"/>
  <c r="BE11" i="4" s="1" a="1"/>
  <c r="BE11" i="4" s="1"/>
  <c r="BH11" i="4"/>
  <c r="I14" i="69"/>
  <c r="CA35" i="4"/>
  <c r="Y35" i="4"/>
  <c r="AT35" i="4" a="1"/>
  <c r="AT35" i="4" s="1"/>
  <c r="H35" i="69" s="1"/>
  <c r="AV35" i="4" a="1"/>
  <c r="AV35" i="4" s="1"/>
  <c r="C35" i="69" s="1"/>
  <c r="D35" i="69" s="1" a="1"/>
  <c r="D35" i="69" s="1"/>
  <c r="AU35" i="4"/>
  <c r="BQ35" i="4"/>
  <c r="AV535" i="13"/>
  <c r="BM33" i="4"/>
  <c r="BE33" i="4" s="1" a="1"/>
  <c r="BE33" i="4" s="1"/>
  <c r="BH33" i="4"/>
  <c r="DV33" i="4"/>
  <c r="I296" i="15" a="1"/>
  <c r="I296" i="15" s="1"/>
  <c r="AV565" i="13"/>
  <c r="DV63" i="4"/>
  <c r="BH63" i="4"/>
  <c r="AV596" i="13"/>
  <c r="DV94" i="4"/>
  <c r="BH94" i="4"/>
  <c r="AX1328" i="13"/>
  <c r="A1427" i="13"/>
  <c r="A1454" i="13"/>
  <c r="AX1355" i="13"/>
  <c r="C53" i="23"/>
  <c r="B52" i="23"/>
  <c r="C52" i="23"/>
  <c r="B53" i="23"/>
  <c r="I24" i="69"/>
  <c r="CA40" i="4"/>
  <c r="Y40" i="4"/>
  <c r="AV40" i="4" a="1"/>
  <c r="AV40" i="4" s="1"/>
  <c r="C40" i="72" s="1"/>
  <c r="D40" i="72" s="1" a="1"/>
  <c r="D40" i="72" s="1"/>
  <c r="AT40" i="4" a="1"/>
  <c r="AT40" i="4" s="1"/>
  <c r="H40" i="72" s="1"/>
  <c r="AU40" i="4"/>
  <c r="CY40" i="4"/>
  <c r="CZ40" i="4" s="1"/>
  <c r="BQ40" i="4"/>
  <c r="F86" i="4"/>
  <c r="BL86" i="4" s="1"/>
  <c r="I310" i="15" a="1"/>
  <c r="I310" i="15" s="1"/>
  <c r="AC54" i="69"/>
  <c r="Z54" i="69"/>
  <c r="BB54" i="69"/>
  <c r="AR54" i="69"/>
  <c r="AS54" i="69"/>
  <c r="A54" i="69"/>
  <c r="BU54" i="69"/>
  <c r="S54" i="69"/>
  <c r="AA54" i="69"/>
  <c r="Q54" i="69"/>
  <c r="N54" i="69" a="1"/>
  <c r="N54" i="69" s="1"/>
  <c r="T54" i="69"/>
  <c r="U54" i="69" a="1"/>
  <c r="U54" i="69" s="1"/>
  <c r="W54" i="69"/>
  <c r="L54" i="69" s="1"/>
  <c r="BC54" i="69"/>
  <c r="M54" i="69"/>
  <c r="V54" i="69"/>
  <c r="B54" i="69" s="1"/>
  <c r="P54" i="69"/>
  <c r="AB54" i="69" a="1"/>
  <c r="AB54" i="69" s="1"/>
  <c r="G54" i="69"/>
  <c r="J54" i="69"/>
  <c r="Y54" i="69"/>
  <c r="K54" i="69" a="1"/>
  <c r="K54" i="69" s="1"/>
  <c r="BK54" i="69"/>
  <c r="O54" i="69"/>
  <c r="F428" i="15" a="1"/>
  <c r="F428" i="15" s="1"/>
  <c r="M48" i="69"/>
  <c r="S48" i="69"/>
  <c r="A48" i="69"/>
  <c r="AB48" i="69" a="1"/>
  <c r="AB48" i="69" s="1"/>
  <c r="P48" i="69"/>
  <c r="V48" i="69"/>
  <c r="B48" i="69" s="1"/>
  <c r="Q48" i="69"/>
  <c r="AC48" i="69"/>
  <c r="Y48" i="69"/>
  <c r="AR48" i="69"/>
  <c r="BB48" i="69"/>
  <c r="BC48" i="69"/>
  <c r="Z48" i="69"/>
  <c r="AS48" i="69"/>
  <c r="N48" i="69" a="1"/>
  <c r="N48" i="69" s="1"/>
  <c r="T48" i="69"/>
  <c r="BU48" i="69"/>
  <c r="AA48" i="69"/>
  <c r="G48" i="69"/>
  <c r="W48" i="69"/>
  <c r="BP48" i="69" s="1"/>
  <c r="J48" i="69"/>
  <c r="U48" i="69" a="1"/>
  <c r="U48" i="69" s="1"/>
  <c r="BI48" i="69"/>
  <c r="O48" i="69"/>
  <c r="BK48" i="69"/>
  <c r="K48" i="69" a="1"/>
  <c r="K48" i="69" s="1"/>
  <c r="AI20" i="27"/>
  <c r="CA45" i="4"/>
  <c r="AW54" i="72"/>
  <c r="A54" i="72"/>
  <c r="J54" i="72"/>
  <c r="M54" i="72"/>
  <c r="AV54" i="72"/>
  <c r="T54" i="72"/>
  <c r="W54" i="72"/>
  <c r="BU54" i="72" s="1" a="1"/>
  <c r="BU54" i="72" s="1"/>
  <c r="V54" i="72"/>
  <c r="B54" i="72" s="1"/>
  <c r="P54" i="72"/>
  <c r="AA54" i="72"/>
  <c r="Z54" i="72"/>
  <c r="BF54" i="72"/>
  <c r="Q54" i="72"/>
  <c r="Y54" i="72"/>
  <c r="N54" i="72" a="1"/>
  <c r="N54" i="72" s="1"/>
  <c r="S54" i="72"/>
  <c r="AC54" i="72"/>
  <c r="BG54" i="72"/>
  <c r="AB54" i="72" a="1"/>
  <c r="AB54" i="72" s="1"/>
  <c r="BY54" i="72"/>
  <c r="AD54" i="72"/>
  <c r="G54" i="72"/>
  <c r="K54" i="72" a="1"/>
  <c r="K54" i="72" s="1"/>
  <c r="BO54" i="72"/>
  <c r="O54" i="72"/>
  <c r="I16" i="72"/>
  <c r="A42" i="72"/>
  <c r="AD42" i="72"/>
  <c r="J42" i="72"/>
  <c r="V42" i="72"/>
  <c r="B42" i="72" s="1"/>
  <c r="N42" i="72" a="1"/>
  <c r="N42" i="72" s="1"/>
  <c r="T42" i="72"/>
  <c r="AV42" i="72"/>
  <c r="Z42" i="72"/>
  <c r="AB42" i="72" a="1"/>
  <c r="AB42" i="72" s="1"/>
  <c r="G42" i="72"/>
  <c r="BF42" i="72"/>
  <c r="AW42" i="72"/>
  <c r="BG42" i="72"/>
  <c r="P42" i="72"/>
  <c r="W42" i="72"/>
  <c r="AC42" i="72"/>
  <c r="S42" i="72"/>
  <c r="M42" i="72"/>
  <c r="BM42" i="72"/>
  <c r="BY42" i="72"/>
  <c r="AA42" i="72"/>
  <c r="Y42" i="72"/>
  <c r="Q42" i="72"/>
  <c r="K42" i="72" a="1"/>
  <c r="K42" i="72" s="1"/>
  <c r="I22" i="72"/>
  <c r="F42" i="72"/>
  <c r="BD22" i="4"/>
  <c r="BR22" i="4" s="1"/>
  <c r="GR37" i="71"/>
  <c r="E599" i="15"/>
  <c r="L598" i="15" s="1" a="1"/>
  <c r="L598" i="15" s="1"/>
  <c r="S94" i="72"/>
  <c r="E225" i="15"/>
  <c r="F223" i="15" s="1" a="1"/>
  <c r="F223" i="15" s="1"/>
  <c r="BE95" i="69"/>
  <c r="AN95" i="69" s="1" a="1"/>
  <c r="AN95" i="69" s="1"/>
  <c r="BF95" i="69"/>
  <c r="HV37" i="71"/>
  <c r="H348" i="15" a="1"/>
  <c r="H348" i="15" s="1"/>
  <c r="F348" i="15" a="1"/>
  <c r="F348" i="15" s="1"/>
  <c r="N588" i="15" a="1"/>
  <c r="N588" i="15" s="1"/>
  <c r="M588" i="15" a="1"/>
  <c r="M588" i="15" s="1"/>
  <c r="K588" i="15" a="1"/>
  <c r="K588" i="15" s="1"/>
  <c r="P46" i="9"/>
  <c r="P56" i="9"/>
  <c r="HD37" i="71"/>
  <c r="K660" i="15" a="1"/>
  <c r="K660" i="15" s="1"/>
  <c r="HY37" i="71"/>
  <c r="P63" i="9"/>
  <c r="F279" i="15" a="1"/>
  <c r="F279" i="15" s="1"/>
  <c r="H279" i="15" a="1"/>
  <c r="H279" i="15" s="1"/>
  <c r="P27" i="9"/>
  <c r="P13" i="9"/>
  <c r="L519" i="15" a="1"/>
  <c r="L519" i="15" s="1"/>
  <c r="DE55" i="4"/>
  <c r="E55" i="4"/>
  <c r="AX1332" i="13"/>
  <c r="A1431" i="13"/>
  <c r="F226" i="15" a="1"/>
  <c r="F226" i="15" s="1"/>
  <c r="H226" i="15" a="1"/>
  <c r="H226" i="15" s="1"/>
  <c r="K488" i="15" a="1"/>
  <c r="K488" i="15" s="1"/>
  <c r="H488" i="15" a="1"/>
  <c r="H488" i="15" s="1"/>
  <c r="F488" i="15" a="1"/>
  <c r="F488" i="15" s="1"/>
  <c r="Z22" i="72"/>
  <c r="T22" i="72"/>
  <c r="AB22" i="72" a="1"/>
  <c r="AB22" i="72" s="1"/>
  <c r="G22" i="72"/>
  <c r="BF22" i="72"/>
  <c r="AV22" i="72"/>
  <c r="AC22" i="72"/>
  <c r="N22" i="72" a="1"/>
  <c r="N22" i="72" s="1"/>
  <c r="J22" i="72"/>
  <c r="P22" i="72"/>
  <c r="V22" i="72"/>
  <c r="B22" i="72" s="1"/>
  <c r="Q22" i="72"/>
  <c r="W22" i="72"/>
  <c r="L22" i="72" s="1"/>
  <c r="S22" i="72"/>
  <c r="A22" i="72"/>
  <c r="BY22" i="72"/>
  <c r="K22" i="72" a="1"/>
  <c r="K22" i="72" s="1"/>
  <c r="BG22" i="72"/>
  <c r="M22" i="72"/>
  <c r="AD22" i="72"/>
  <c r="Y22" i="72"/>
  <c r="AW22" i="72"/>
  <c r="AA22" i="72"/>
  <c r="BM22" i="72"/>
  <c r="A59" i="69"/>
  <c r="U59" i="69" a="1"/>
  <c r="U59" i="69" s="1"/>
  <c r="N59" i="69" a="1"/>
  <c r="N59" i="69" s="1"/>
  <c r="G59" i="69"/>
  <c r="S59" i="69"/>
  <c r="AB59" i="69" a="1"/>
  <c r="AB59" i="69" s="1"/>
  <c r="M59" i="69"/>
  <c r="W59" i="69"/>
  <c r="BP59" i="69" s="1"/>
  <c r="Z59" i="69"/>
  <c r="Q59" i="69"/>
  <c r="BB59" i="69"/>
  <c r="AR59" i="69"/>
  <c r="T59" i="69"/>
  <c r="V59" i="69"/>
  <c r="B59" i="69" s="1"/>
  <c r="AS59" i="69"/>
  <c r="P59" i="69"/>
  <c r="AC59" i="69"/>
  <c r="J59" i="69"/>
  <c r="AA59" i="69"/>
  <c r="BC59" i="69"/>
  <c r="BU59" i="69"/>
  <c r="Y59" i="69"/>
  <c r="K538" i="15" a="1"/>
  <c r="K538" i="15" s="1"/>
  <c r="A1433" i="13"/>
  <c r="AX1334" i="13"/>
  <c r="AV533" i="13"/>
  <c r="BM31" i="4"/>
  <c r="BE31" i="4" s="1" a="1"/>
  <c r="BE31" i="4" s="1"/>
  <c r="BH31" i="4"/>
  <c r="DV31" i="4"/>
  <c r="AB87" i="72" a="1"/>
  <c r="AB87" i="72" s="1"/>
  <c r="Y87" i="72"/>
  <c r="AW87" i="72"/>
  <c r="BF87" i="72"/>
  <c r="V87" i="72"/>
  <c r="B87" i="72" s="1"/>
  <c r="W87" i="72"/>
  <c r="L87" i="72" s="1"/>
  <c r="T87" i="72"/>
  <c r="A87" i="72"/>
  <c r="N87" i="72" a="1"/>
  <c r="N87" i="72" s="1"/>
  <c r="AD87" i="72"/>
  <c r="Z87" i="72"/>
  <c r="AA87" i="72"/>
  <c r="AV87" i="72"/>
  <c r="P87" i="72"/>
  <c r="BG87" i="72"/>
  <c r="M87" i="72"/>
  <c r="BY87" i="72"/>
  <c r="AC87" i="72"/>
  <c r="Q87" i="72"/>
  <c r="J87" i="72"/>
  <c r="S87" i="72"/>
  <c r="G87" i="72"/>
  <c r="M37" i="69"/>
  <c r="AA37" i="69"/>
  <c r="AR37" i="69"/>
  <c r="AC37" i="69"/>
  <c r="BU37" i="69"/>
  <c r="S37" i="69"/>
  <c r="BB37" i="69"/>
  <c r="L37" i="69"/>
  <c r="AB37" i="69" a="1"/>
  <c r="AB37" i="69" s="1"/>
  <c r="U37" i="69" a="1"/>
  <c r="U37" i="69" s="1"/>
  <c r="T37" i="69"/>
  <c r="Z37" i="69"/>
  <c r="J37" i="69"/>
  <c r="G37" i="69"/>
  <c r="W37" i="69"/>
  <c r="BP37" i="69" s="1"/>
  <c r="AS37" i="69"/>
  <c r="Y37" i="69"/>
  <c r="A37" i="69"/>
  <c r="P37" i="69"/>
  <c r="BC37" i="69"/>
  <c r="N37" i="69" a="1"/>
  <c r="N37" i="69" s="1"/>
  <c r="Q37" i="69"/>
  <c r="V37" i="69"/>
  <c r="B37" i="69" s="1"/>
  <c r="K37" i="69" a="1"/>
  <c r="K37" i="69" s="1"/>
  <c r="M653" i="15" a="1"/>
  <c r="M653" i="15" s="1"/>
  <c r="F623" i="15" a="1"/>
  <c r="F623" i="15" s="1"/>
  <c r="H623" i="15" a="1"/>
  <c r="H623" i="15" s="1"/>
  <c r="L623" i="15" a="1"/>
  <c r="L623" i="15" s="1"/>
  <c r="DD42" i="4" a="1"/>
  <c r="DD42" i="4" s="1"/>
  <c r="DD44" i="4" a="1"/>
  <c r="DD44" i="4" s="1"/>
  <c r="DD37" i="4" a="1"/>
  <c r="DD37" i="4" s="1"/>
  <c r="DD34" i="4" a="1"/>
  <c r="DD34" i="4" s="1"/>
  <c r="F83" i="4"/>
  <c r="BL83" i="4" s="1"/>
  <c r="AF58" i="72" a="1"/>
  <c r="AF58" i="72" s="1"/>
  <c r="AJ58" i="72" s="1" a="1"/>
  <c r="AJ58" i="72" s="1"/>
  <c r="CA44" i="4"/>
  <c r="AV584" i="13"/>
  <c r="DV82" i="4"/>
  <c r="BH82" i="4"/>
  <c r="AV82" i="72"/>
  <c r="L82" i="72"/>
  <c r="AB82" i="72" a="1"/>
  <c r="AB82" i="72" s="1"/>
  <c r="BG82" i="72"/>
  <c r="Q82" i="72"/>
  <c r="M82" i="72"/>
  <c r="AD82" i="72"/>
  <c r="N82" i="72" a="1"/>
  <c r="N82" i="72" s="1"/>
  <c r="BY82" i="72"/>
  <c r="AW82" i="72"/>
  <c r="V82" i="72"/>
  <c r="B82" i="72" s="1"/>
  <c r="BF82" i="72"/>
  <c r="AA82" i="72"/>
  <c r="Y82" i="72"/>
  <c r="J82" i="72"/>
  <c r="T82" i="72"/>
  <c r="G82" i="72"/>
  <c r="A82" i="72"/>
  <c r="Z82" i="72"/>
  <c r="W82" i="72"/>
  <c r="BU82" i="72" s="1" a="1"/>
  <c r="BU82" i="72" s="1"/>
  <c r="AC82" i="72"/>
  <c r="P82" i="72"/>
  <c r="S82" i="72"/>
  <c r="AX1386" i="13"/>
  <c r="A1485" i="13"/>
  <c r="F583" i="15" a="1"/>
  <c r="F583" i="15" s="1"/>
  <c r="H583" i="15" a="1"/>
  <c r="H583" i="15" s="1"/>
  <c r="L634" i="15" a="1"/>
  <c r="L634" i="15" s="1"/>
  <c r="AL59" i="4"/>
  <c r="BD59" i="4"/>
  <c r="E59" i="4"/>
  <c r="BT59" i="4" s="1"/>
  <c r="DE59" i="4"/>
  <c r="AX1337" i="13"/>
  <c r="A1436" i="13"/>
  <c r="BH58" i="69"/>
  <c r="F421" i="15" a="1"/>
  <c r="F421" i="15" s="1"/>
  <c r="Y73" i="69"/>
  <c r="G73" i="69"/>
  <c r="J73" i="69"/>
  <c r="P73" i="69"/>
  <c r="AS73" i="69"/>
  <c r="AB73" i="69" a="1"/>
  <c r="AB73" i="69" s="1"/>
  <c r="Q73" i="69"/>
  <c r="T73" i="69"/>
  <c r="U73" i="69" a="1"/>
  <c r="U73" i="69" s="1"/>
  <c r="AC73" i="69"/>
  <c r="BB73" i="69"/>
  <c r="BU73" i="69"/>
  <c r="V73" i="69"/>
  <c r="BC73" i="69"/>
  <c r="Z73" i="69"/>
  <c r="M73" i="69"/>
  <c r="A73" i="69"/>
  <c r="W73" i="69"/>
  <c r="L73" i="69" s="1"/>
  <c r="N73" i="69" a="1"/>
  <c r="N73" i="69" s="1"/>
  <c r="AA73" i="69"/>
  <c r="AR73" i="69"/>
  <c r="N77" i="72" a="1"/>
  <c r="N77" i="72" s="1"/>
  <c r="Y77" i="72"/>
  <c r="AV77" i="72"/>
  <c r="Z77" i="72"/>
  <c r="Q77" i="72"/>
  <c r="T77" i="72"/>
  <c r="G77" i="72"/>
  <c r="A77" i="72"/>
  <c r="P77" i="72"/>
  <c r="M77" i="72"/>
  <c r="V77" i="72"/>
  <c r="B77" i="72" s="1"/>
  <c r="BF77" i="72"/>
  <c r="BY77" i="72"/>
  <c r="AD77" i="72"/>
  <c r="W77" i="72"/>
  <c r="BU77" i="72" s="1" a="1"/>
  <c r="BU77" i="72" s="1"/>
  <c r="AC77" i="72"/>
  <c r="BG77" i="72"/>
  <c r="AB77" i="72" a="1"/>
  <c r="AB77" i="72" s="1"/>
  <c r="J77" i="72"/>
  <c r="AW77" i="72"/>
  <c r="L77" i="72"/>
  <c r="AA77" i="72"/>
  <c r="S77" i="72"/>
  <c r="AC89" i="69"/>
  <c r="V89" i="69"/>
  <c r="B89" i="69" s="1"/>
  <c r="Z89" i="69"/>
  <c r="AR89" i="69"/>
  <c r="AA89" i="69"/>
  <c r="BB89" i="69"/>
  <c r="P89" i="69"/>
  <c r="BU89" i="69"/>
  <c r="A89" i="69"/>
  <c r="T89" i="69"/>
  <c r="AS89" i="69"/>
  <c r="N89" i="69" a="1"/>
  <c r="N89" i="69" s="1"/>
  <c r="W89" i="69"/>
  <c r="L89" i="69" s="1"/>
  <c r="AB89" i="69" a="1"/>
  <c r="AB89" i="69" s="1"/>
  <c r="M89" i="69"/>
  <c r="J89" i="69"/>
  <c r="Y89" i="69"/>
  <c r="BC89" i="69"/>
  <c r="Q89" i="69"/>
  <c r="G89" i="69"/>
  <c r="S89" i="69"/>
  <c r="U89" i="69" a="1"/>
  <c r="U89" i="69" s="1"/>
  <c r="DA79" i="4" a="1"/>
  <c r="DA79" i="4" s="1"/>
  <c r="L488" i="15" a="1"/>
  <c r="L488" i="15" s="1"/>
  <c r="BH6" i="4"/>
  <c r="AV508" i="13"/>
  <c r="BM6" i="4"/>
  <c r="BE6" i="4" s="1" a="1"/>
  <c r="BE6" i="4" s="1"/>
  <c r="DV6" i="4"/>
  <c r="L85" i="72"/>
  <c r="V85" i="72"/>
  <c r="B85" i="72" s="1"/>
  <c r="M85" i="72"/>
  <c r="Z85" i="72"/>
  <c r="P85" i="72"/>
  <c r="BF85" i="72"/>
  <c r="Q85" i="72"/>
  <c r="AB85" i="72" a="1"/>
  <c r="AB85" i="72" s="1"/>
  <c r="N85" i="72" a="1"/>
  <c r="N85" i="72" s="1"/>
  <c r="AA85" i="72"/>
  <c r="Y85" i="72"/>
  <c r="T85" i="72"/>
  <c r="W85" i="72"/>
  <c r="S85" i="72"/>
  <c r="BG85" i="72"/>
  <c r="BY85" i="72"/>
  <c r="AD85" i="72"/>
  <c r="AV85" i="72"/>
  <c r="AC85" i="72"/>
  <c r="J85" i="72"/>
  <c r="AW85" i="72"/>
  <c r="A85" i="72"/>
  <c r="G85" i="72"/>
  <c r="Z78" i="4"/>
  <c r="AV1275" i="13" s="1"/>
  <c r="Y8" i="69"/>
  <c r="AR8" i="69"/>
  <c r="AB8" i="69" a="1"/>
  <c r="AB8" i="69" s="1"/>
  <c r="BU8" i="69"/>
  <c r="Z8" i="69"/>
  <c r="T8" i="69"/>
  <c r="A8" i="69"/>
  <c r="AS8" i="69"/>
  <c r="J8" i="69"/>
  <c r="G8" i="69"/>
  <c r="V8" i="69"/>
  <c r="B8" i="69" s="1"/>
  <c r="W8" i="69"/>
  <c r="L8" i="69" s="1"/>
  <c r="N8" i="69" a="1"/>
  <c r="N8" i="69" s="1"/>
  <c r="AA8" i="69"/>
  <c r="K8" i="69" a="1"/>
  <c r="K8" i="69" s="1"/>
  <c r="M8" i="69"/>
  <c r="BC8" i="69"/>
  <c r="U8" i="69" a="1"/>
  <c r="U8" i="69" s="1"/>
  <c r="BB8" i="69"/>
  <c r="Q8" i="69"/>
  <c r="S8" i="69"/>
  <c r="AC8" i="69"/>
  <c r="P8" i="69"/>
  <c r="O8" i="69"/>
  <c r="BK8" i="69"/>
  <c r="B58" i="14"/>
  <c r="C58" i="14"/>
  <c r="E58" i="14" s="1"/>
  <c r="Z36" i="14" s="1"/>
  <c r="F96" i="4"/>
  <c r="BL96" i="4" s="1"/>
  <c r="F654" i="15" a="1"/>
  <c r="F654" i="15" s="1"/>
  <c r="H654" i="15" a="1"/>
  <c r="H654" i="15" s="1"/>
  <c r="F72" i="4"/>
  <c r="BL72" i="4" s="1"/>
  <c r="DE72" i="4"/>
  <c r="E72" i="4"/>
  <c r="BH95" i="72"/>
  <c r="BK95" i="72"/>
  <c r="R95" i="72"/>
  <c r="AR95" i="72"/>
  <c r="BR95" i="72" a="1"/>
  <c r="BR95" i="72" s="1"/>
  <c r="AT95" i="72" a="1"/>
  <c r="AT95" i="72" s="1"/>
  <c r="BQ95" i="72" a="1"/>
  <c r="BQ95" i="72" s="1"/>
  <c r="BX95" i="72"/>
  <c r="BU95" i="72" a="1"/>
  <c r="BU95" i="72" s="1"/>
  <c r="BT95" i="72"/>
  <c r="BS95" i="72" s="1"/>
  <c r="BV95" i="72" s="1"/>
  <c r="E95" i="72"/>
  <c r="F304" i="15" a="1"/>
  <c r="F304" i="15" s="1"/>
  <c r="H304" i="15" a="1"/>
  <c r="H304" i="15" s="1"/>
  <c r="DA68" i="4" a="1"/>
  <c r="DA68" i="4" s="1"/>
  <c r="DA70" i="4" a="1"/>
  <c r="DA70" i="4" s="1"/>
  <c r="BM36" i="4"/>
  <c r="BE36" i="4" s="1" a="1"/>
  <c r="BE36" i="4" s="1"/>
  <c r="DV36" i="4"/>
  <c r="AV538" i="13"/>
  <c r="BH36" i="4"/>
  <c r="F59" i="4"/>
  <c r="BL59" i="4" s="1"/>
  <c r="X52" i="4"/>
  <c r="F61" i="4"/>
  <c r="BL61" i="4" s="1"/>
  <c r="S61" i="72"/>
  <c r="W61" i="72"/>
  <c r="BT61" i="72" s="1"/>
  <c r="AA61" i="72"/>
  <c r="Z61" i="72"/>
  <c r="N61" i="72" a="1"/>
  <c r="N61" i="72" s="1"/>
  <c r="Y61" i="72"/>
  <c r="Q61" i="72"/>
  <c r="AV61" i="72"/>
  <c r="P61" i="72"/>
  <c r="BY61" i="72"/>
  <c r="BF61" i="72"/>
  <c r="J61" i="72"/>
  <c r="AW61" i="72"/>
  <c r="A61" i="72"/>
  <c r="L61" i="72"/>
  <c r="T61" i="72"/>
  <c r="BG61" i="72"/>
  <c r="AB61" i="72" a="1"/>
  <c r="AB61" i="72" s="1"/>
  <c r="V61" i="72"/>
  <c r="B61" i="72" s="1"/>
  <c r="AC61" i="72"/>
  <c r="AD61" i="72"/>
  <c r="M61" i="72"/>
  <c r="G61" i="72"/>
  <c r="AL66" i="4"/>
  <c r="I28" i="72"/>
  <c r="Z36" i="23"/>
  <c r="C58" i="23"/>
  <c r="B58" i="23"/>
  <c r="F74" i="4"/>
  <c r="BL74" i="4" s="1"/>
  <c r="DA23" i="4" a="1"/>
  <c r="DA23" i="4" s="1"/>
  <c r="H660" i="15" a="1"/>
  <c r="H660" i="15" s="1"/>
  <c r="F660" i="15" a="1"/>
  <c r="F660" i="15" s="1"/>
  <c r="F398" i="15" a="1"/>
  <c r="F398" i="15" s="1"/>
  <c r="H398" i="15" a="1"/>
  <c r="H398" i="15" s="1"/>
  <c r="Y49" i="72"/>
  <c r="BF49" i="72"/>
  <c r="K49" i="72" a="1"/>
  <c r="K49" i="72" s="1"/>
  <c r="N49" i="72" a="1"/>
  <c r="N49" i="72" s="1"/>
  <c r="S49" i="72"/>
  <c r="A49" i="72"/>
  <c r="AW49" i="72"/>
  <c r="M49" i="72"/>
  <c r="AA49" i="72"/>
  <c r="AB49" i="72" a="1"/>
  <c r="AB49" i="72" s="1"/>
  <c r="T49" i="72"/>
  <c r="G49" i="72"/>
  <c r="P49" i="72"/>
  <c r="AD49" i="72"/>
  <c r="Z49" i="72"/>
  <c r="V49" i="72"/>
  <c r="B49" i="72" s="1"/>
  <c r="BY49" i="72"/>
  <c r="BG49" i="72"/>
  <c r="W49" i="72"/>
  <c r="BU49" i="72" s="1" a="1"/>
  <c r="BU49" i="72" s="1"/>
  <c r="Q49" i="72"/>
  <c r="J49" i="72"/>
  <c r="L49" i="72"/>
  <c r="AV49" i="72"/>
  <c r="AC49" i="72"/>
  <c r="H49" i="72"/>
  <c r="C49" i="72"/>
  <c r="F120" i="15" a="1"/>
  <c r="F120" i="15" s="1"/>
  <c r="AT4" i="72" a="1"/>
  <c r="AT4" i="72" s="1"/>
  <c r="A1465" i="13"/>
  <c r="AX1366" i="13"/>
  <c r="K632" i="15" a="1"/>
  <c r="K632" i="15" s="1"/>
  <c r="BD20" i="4"/>
  <c r="X20" i="4" s="1"/>
  <c r="AH23" i="4"/>
  <c r="AV1319" i="13" s="1"/>
  <c r="L43" i="4"/>
  <c r="X43" i="4"/>
  <c r="BR43" i="4"/>
  <c r="O43" i="72" s="1"/>
  <c r="BG43" i="4"/>
  <c r="AV1141" i="13" s="1"/>
  <c r="BO55" i="4"/>
  <c r="BO97" i="4" s="1"/>
  <c r="G55" i="4"/>
  <c r="BN97" i="4"/>
  <c r="BG49" i="4"/>
  <c r="AV1147" i="13" s="1"/>
  <c r="BR49" i="4"/>
  <c r="X19" i="4"/>
  <c r="BG19" i="4"/>
  <c r="AV1117" i="13" s="1"/>
  <c r="BR19" i="4"/>
  <c r="O19" i="72" s="1"/>
  <c r="AD23" i="4"/>
  <c r="F23" i="69" s="1"/>
  <c r="L15" i="4"/>
  <c r="X15" i="4"/>
  <c r="BG15" i="4"/>
  <c r="AV1113" i="13" s="1"/>
  <c r="BR15" i="4"/>
  <c r="X35" i="4"/>
  <c r="BR35" i="4"/>
  <c r="BO35" i="72" s="1"/>
  <c r="BG35" i="4"/>
  <c r="AV1133" i="13" s="1"/>
  <c r="BG47" i="4"/>
  <c r="AV1145" i="13" s="1"/>
  <c r="X47" i="4"/>
  <c r="BF26" i="4"/>
  <c r="L42" i="4"/>
  <c r="BR42" i="4"/>
  <c r="X42" i="4"/>
  <c r="BG42" i="4"/>
  <c r="AV1140" i="13" s="1"/>
  <c r="L628" i="15" a="1"/>
  <c r="L628" i="15" s="1"/>
  <c r="F628" i="15" a="1"/>
  <c r="F628" i="15" s="1"/>
  <c r="H628" i="15" a="1"/>
  <c r="H628" i="15" s="1"/>
  <c r="AX1348" i="13"/>
  <c r="A1447" i="13"/>
  <c r="Y12" i="4"/>
  <c r="AU12" i="4"/>
  <c r="AV12" i="4" a="1"/>
  <c r="AV12" i="4" s="1"/>
  <c r="C12" i="72" s="1"/>
  <c r="AT12" i="4" a="1"/>
  <c r="AT12" i="4" s="1"/>
  <c r="H12" i="72" s="1"/>
  <c r="BQ12" i="4"/>
  <c r="H43" i="15" a="1"/>
  <c r="H43" i="15" s="1"/>
  <c r="F43" i="15" a="1"/>
  <c r="F43" i="15" s="1"/>
  <c r="AB42" i="69" a="1"/>
  <c r="AB42" i="69" s="1"/>
  <c r="AC42" i="69"/>
  <c r="U42" i="69" a="1"/>
  <c r="U42" i="69" s="1"/>
  <c r="N42" i="69" a="1"/>
  <c r="N42" i="69" s="1"/>
  <c r="S42" i="69"/>
  <c r="AS42" i="69"/>
  <c r="W42" i="69"/>
  <c r="L42" i="69" s="1"/>
  <c r="A42" i="69"/>
  <c r="M42" i="69"/>
  <c r="BC42" i="69"/>
  <c r="BB42" i="69"/>
  <c r="AA42" i="69"/>
  <c r="Q42" i="69"/>
  <c r="J42" i="69"/>
  <c r="G42" i="69"/>
  <c r="T42" i="69"/>
  <c r="P42" i="69"/>
  <c r="V42" i="69"/>
  <c r="B42" i="69" s="1"/>
  <c r="AR42" i="69"/>
  <c r="Y42" i="69"/>
  <c r="Z42" i="69"/>
  <c r="BU42" i="69"/>
  <c r="BI42" i="69"/>
  <c r="K42" i="69" a="1"/>
  <c r="K42" i="69" s="1"/>
  <c r="H238" i="15" a="1"/>
  <c r="H238" i="15" s="1"/>
  <c r="H240" i="15" a="1"/>
  <c r="H240" i="15" s="1"/>
  <c r="F240" i="15" a="1"/>
  <c r="F240" i="15" s="1"/>
  <c r="AT96" i="69" a="1"/>
  <c r="AT96" i="69" s="1"/>
  <c r="GL37" i="71"/>
  <c r="B94" i="72"/>
  <c r="AY94" i="69" a="1"/>
  <c r="AY94" i="69" s="1"/>
  <c r="BC94" i="72" a="1"/>
  <c r="BC94" i="72" s="1"/>
  <c r="JF37" i="71"/>
  <c r="H526" i="15" a="1"/>
  <c r="H526" i="15" s="1"/>
  <c r="H531" i="15" a="1"/>
  <c r="H531" i="15" s="1"/>
  <c r="F531" i="15" a="1"/>
  <c r="F531" i="15" s="1"/>
  <c r="P83" i="9"/>
  <c r="I422" i="15" a="1"/>
  <c r="I422" i="15" s="1"/>
  <c r="JO37" i="71"/>
  <c r="N665" i="15" a="1"/>
  <c r="N665" i="15" s="1"/>
  <c r="L665" i="15" a="1"/>
  <c r="L665" i="15" s="1"/>
  <c r="M665" i="15" a="1"/>
  <c r="M665" i="15" s="1"/>
  <c r="K665" i="15" a="1"/>
  <c r="K665" i="15" s="1"/>
  <c r="L663" i="15" a="1"/>
  <c r="L663" i="15" s="1"/>
  <c r="K663" i="15" a="1"/>
  <c r="K663" i="15" s="1"/>
  <c r="N663" i="15" a="1"/>
  <c r="N663" i="15" s="1"/>
  <c r="N662" i="15" a="1"/>
  <c r="N662" i="15" s="1"/>
  <c r="M662" i="15" a="1"/>
  <c r="M662" i="15" s="1"/>
  <c r="L662" i="15" a="1"/>
  <c r="L662" i="15" s="1"/>
  <c r="AX96" i="72" a="1"/>
  <c r="AX96" i="72" s="1"/>
  <c r="P18" i="9"/>
  <c r="AQ95" i="72"/>
  <c r="N655" i="15" a="1"/>
  <c r="N655" i="15" s="1"/>
  <c r="K655" i="15" a="1"/>
  <c r="K655" i="15" s="1"/>
  <c r="N660" i="15" a="1"/>
  <c r="N660" i="15" s="1"/>
  <c r="M660" i="15" a="1"/>
  <c r="M660" i="15" s="1"/>
  <c r="L660" i="15" a="1"/>
  <c r="L660" i="15" s="1"/>
  <c r="AX1316" i="13"/>
  <c r="A1415" i="13"/>
  <c r="F69" i="69"/>
  <c r="F72" i="69"/>
  <c r="AX157" i="13"/>
  <c r="DD80" i="4" s="1" a="1"/>
  <c r="DD80" i="4" s="1"/>
  <c r="A257" i="13"/>
  <c r="M512" i="15" a="1"/>
  <c r="M512" i="15" s="1"/>
  <c r="N512" i="15" a="1"/>
  <c r="N512" i="15" s="1"/>
  <c r="F102" i="15" a="1"/>
  <c r="F102" i="15" s="1"/>
  <c r="AC22" i="69"/>
  <c r="U22" i="69" a="1"/>
  <c r="U22" i="69" s="1"/>
  <c r="N22" i="69" a="1"/>
  <c r="N22" i="69" s="1"/>
  <c r="AB22" i="69" a="1"/>
  <c r="AB22" i="69" s="1"/>
  <c r="Z22" i="69"/>
  <c r="Y22" i="69"/>
  <c r="Q22" i="69"/>
  <c r="T22" i="69"/>
  <c r="W22" i="69"/>
  <c r="L22" i="69" s="1"/>
  <c r="AA22" i="69"/>
  <c r="P22" i="69"/>
  <c r="K22" i="69" a="1"/>
  <c r="K22" i="69" s="1"/>
  <c r="M22" i="69"/>
  <c r="J22" i="69"/>
  <c r="BB22" i="69"/>
  <c r="G22" i="69"/>
  <c r="V22" i="69"/>
  <c r="B22" i="69" s="1"/>
  <c r="S22" i="69"/>
  <c r="A22" i="69"/>
  <c r="BC22" i="69"/>
  <c r="AR22" i="69"/>
  <c r="AS22" i="69"/>
  <c r="BU22" i="69"/>
  <c r="BI22" i="69"/>
  <c r="T59" i="72"/>
  <c r="M59" i="72"/>
  <c r="AB59" i="72" a="1"/>
  <c r="AB59" i="72" s="1"/>
  <c r="BY59" i="72"/>
  <c r="Q59" i="72"/>
  <c r="AD59" i="72"/>
  <c r="AV59" i="72"/>
  <c r="BG59" i="72"/>
  <c r="V59" i="72"/>
  <c r="B59" i="72" s="1"/>
  <c r="A59" i="72"/>
  <c r="AW59" i="72"/>
  <c r="S59" i="72"/>
  <c r="AA59" i="72"/>
  <c r="Z59" i="72"/>
  <c r="BF59" i="72"/>
  <c r="AC59" i="72"/>
  <c r="G59" i="72"/>
  <c r="W59" i="72"/>
  <c r="BT59" i="72" s="1"/>
  <c r="P59" i="72"/>
  <c r="N59" i="72" a="1"/>
  <c r="N59" i="72" s="1"/>
  <c r="J59" i="72"/>
  <c r="Y59" i="72"/>
  <c r="L538" i="15" a="1"/>
  <c r="L538" i="15" s="1"/>
  <c r="AX1376" i="13"/>
  <c r="A1475" i="13"/>
  <c r="AD73" i="4"/>
  <c r="E73" i="4"/>
  <c r="BT73" i="4" s="1"/>
  <c r="DE73" i="4"/>
  <c r="L653" i="15" a="1"/>
  <c r="L653" i="15" s="1"/>
  <c r="A1452" i="13"/>
  <c r="AX1353" i="13"/>
  <c r="F419" i="15" a="1"/>
  <c r="F419" i="15" s="1"/>
  <c r="F535" i="15" a="1"/>
  <c r="F535" i="15" s="1"/>
  <c r="H535" i="15" a="1"/>
  <c r="H535" i="15" s="1"/>
  <c r="DD51" i="4" a="1"/>
  <c r="DD51" i="4" s="1"/>
  <c r="DD24" i="4" a="1"/>
  <c r="DD24" i="4" s="1"/>
  <c r="DD26" i="4" a="1"/>
  <c r="DD26" i="4" s="1"/>
  <c r="AV546" i="13"/>
  <c r="BH44" i="4"/>
  <c r="BM44" i="4"/>
  <c r="BE44" i="4" s="1" a="1"/>
  <c r="BE44" i="4" s="1"/>
  <c r="DV44" i="4"/>
  <c r="CA26" i="4"/>
  <c r="AU26" i="4"/>
  <c r="AT26" i="4" a="1"/>
  <c r="AT26" i="4" s="1"/>
  <c r="H26" i="72" s="1"/>
  <c r="Y26" i="4"/>
  <c r="AV26" i="4" a="1"/>
  <c r="AV26" i="4" s="1"/>
  <c r="C26" i="72" s="1"/>
  <c r="BQ26" i="4"/>
  <c r="CY26" i="4"/>
  <c r="CZ26" i="4" s="1"/>
  <c r="P28" i="9" s="1"/>
  <c r="S46" i="72"/>
  <c r="V46" i="72"/>
  <c r="B46" i="72" s="1"/>
  <c r="Q46" i="72"/>
  <c r="M46" i="72"/>
  <c r="AD46" i="72"/>
  <c r="BY46" i="72"/>
  <c r="W46" i="72"/>
  <c r="BU46" i="72" s="1" a="1"/>
  <c r="BU46" i="72" s="1"/>
  <c r="AB46" i="72" a="1"/>
  <c r="AB46" i="72" s="1"/>
  <c r="AC46" i="72"/>
  <c r="BG46" i="72"/>
  <c r="AV46" i="72"/>
  <c r="A46" i="72"/>
  <c r="Y46" i="72"/>
  <c r="P46" i="72"/>
  <c r="AW46" i="72"/>
  <c r="Z46" i="72"/>
  <c r="T46" i="72"/>
  <c r="N46" i="72" a="1"/>
  <c r="N46" i="72" s="1"/>
  <c r="BF46" i="72"/>
  <c r="AA46" i="72"/>
  <c r="J46" i="72"/>
  <c r="K46" i="72" a="1"/>
  <c r="K46" i="72" s="1"/>
  <c r="U82" i="69" a="1"/>
  <c r="U82" i="69" s="1"/>
  <c r="BC82" i="69"/>
  <c r="AA82" i="69"/>
  <c r="AR82" i="69"/>
  <c r="AB82" i="69" a="1"/>
  <c r="AB82" i="69" s="1"/>
  <c r="P82" i="69"/>
  <c r="V82" i="69"/>
  <c r="B82" i="69" s="1"/>
  <c r="A82" i="69"/>
  <c r="Y82" i="69"/>
  <c r="G82" i="69"/>
  <c r="J82" i="69"/>
  <c r="L82" i="69"/>
  <c r="AC82" i="69"/>
  <c r="N82" i="69" a="1"/>
  <c r="N82" i="69" s="1"/>
  <c r="T82" i="69"/>
  <c r="M82" i="69"/>
  <c r="W82" i="69"/>
  <c r="Q82" i="69"/>
  <c r="Z82" i="69"/>
  <c r="BB82" i="69"/>
  <c r="AS82" i="69"/>
  <c r="BU82" i="69"/>
  <c r="S82" i="69"/>
  <c r="DA80" i="4" a="1"/>
  <c r="DA80" i="4" s="1"/>
  <c r="E80" i="4"/>
  <c r="DE80" i="4"/>
  <c r="F228" i="15" a="1"/>
  <c r="F228" i="15" s="1"/>
  <c r="H228" i="15" a="1"/>
  <c r="H228" i="15" s="1"/>
  <c r="F241" i="15" a="1"/>
  <c r="F241" i="15" s="1"/>
  <c r="H241" i="15" a="1"/>
  <c r="H241" i="15" s="1"/>
  <c r="F107" i="15" a="1"/>
  <c r="F107" i="15" s="1"/>
  <c r="H107" i="15" a="1"/>
  <c r="H107" i="15" s="1"/>
  <c r="F78" i="4"/>
  <c r="BL78" i="4" s="1"/>
  <c r="Q73" i="72"/>
  <c r="N73" i="72" a="1"/>
  <c r="N73" i="72" s="1"/>
  <c r="Y73" i="72"/>
  <c r="AV73" i="72"/>
  <c r="BF73" i="72"/>
  <c r="AB73" i="72" a="1"/>
  <c r="AB73" i="72" s="1"/>
  <c r="AD73" i="72"/>
  <c r="BG73" i="72"/>
  <c r="AA73" i="72"/>
  <c r="V73" i="72"/>
  <c r="BY73" i="72"/>
  <c r="A73" i="72"/>
  <c r="T73" i="72"/>
  <c r="AC73" i="72"/>
  <c r="Z73" i="72"/>
  <c r="M73" i="72"/>
  <c r="G73" i="72"/>
  <c r="P73" i="72"/>
  <c r="W73" i="72"/>
  <c r="BU73" i="72" s="1" a="1"/>
  <c r="BU73" i="72" s="1"/>
  <c r="AW73" i="72"/>
  <c r="J73" i="72"/>
  <c r="A77" i="69"/>
  <c r="AR77" i="69"/>
  <c r="W77" i="69"/>
  <c r="BP77" i="69" s="1"/>
  <c r="M77" i="69"/>
  <c r="P77" i="69"/>
  <c r="Q77" i="69"/>
  <c r="L77" i="69"/>
  <c r="T77" i="69"/>
  <c r="V77" i="69"/>
  <c r="B77" i="69" s="1"/>
  <c r="BU77" i="69"/>
  <c r="Z77" i="69"/>
  <c r="AA77" i="69"/>
  <c r="S77" i="69"/>
  <c r="AB77" i="69" a="1"/>
  <c r="AB77" i="69" s="1"/>
  <c r="AS77" i="69"/>
  <c r="J77" i="69"/>
  <c r="Y77" i="69"/>
  <c r="BC77" i="69"/>
  <c r="BB77" i="69"/>
  <c r="AC77" i="69"/>
  <c r="N77" i="69" a="1"/>
  <c r="N77" i="69" s="1"/>
  <c r="G77" i="69"/>
  <c r="U77" i="69" a="1"/>
  <c r="U77" i="69" s="1"/>
  <c r="AA89" i="72"/>
  <c r="V89" i="72"/>
  <c r="B89" i="72" s="1"/>
  <c r="AC89" i="72"/>
  <c r="AD89" i="72"/>
  <c r="BY89" i="72"/>
  <c r="Y89" i="72"/>
  <c r="P89" i="72"/>
  <c r="M89" i="72"/>
  <c r="W89" i="72"/>
  <c r="BT89" i="72" s="1"/>
  <c r="AB89" i="72" a="1"/>
  <c r="AB89" i="72" s="1"/>
  <c r="Z89" i="72"/>
  <c r="AV89" i="72"/>
  <c r="AW89" i="72"/>
  <c r="BF89" i="72"/>
  <c r="T89" i="72"/>
  <c r="J89" i="72"/>
  <c r="A89" i="72"/>
  <c r="N89" i="72" a="1"/>
  <c r="N89" i="72" s="1"/>
  <c r="BG89" i="72"/>
  <c r="Q89" i="72"/>
  <c r="G89" i="72"/>
  <c r="S89" i="72"/>
  <c r="CW79" i="4"/>
  <c r="CX79" i="4" s="1"/>
  <c r="E87" i="15"/>
  <c r="E69" i="4"/>
  <c r="DE69" i="4"/>
  <c r="M488" i="15" a="1"/>
  <c r="M488" i="15" s="1"/>
  <c r="F573" i="15" a="1"/>
  <c r="F573" i="15" s="1"/>
  <c r="H573" i="15" a="1"/>
  <c r="H573" i="15" s="1"/>
  <c r="AS3" i="1" a="1"/>
  <c r="AS3" i="1" s="1"/>
  <c r="AS101" i="1" s="1"/>
  <c r="J64" i="72"/>
  <c r="AV64" i="72"/>
  <c r="L64" i="72"/>
  <c r="G64" i="72"/>
  <c r="S64" i="72"/>
  <c r="N64" i="72" a="1"/>
  <c r="N64" i="72" s="1"/>
  <c r="BG64" i="72"/>
  <c r="Q64" i="72"/>
  <c r="A64" i="72"/>
  <c r="V64" i="72"/>
  <c r="B64" i="72" s="1"/>
  <c r="BF64" i="72"/>
  <c r="Z64" i="72"/>
  <c r="W64" i="72"/>
  <c r="AB64" i="72" a="1"/>
  <c r="AB64" i="72" s="1"/>
  <c r="T64" i="72"/>
  <c r="Y64" i="72"/>
  <c r="M64" i="72"/>
  <c r="AC64" i="72"/>
  <c r="AD64" i="72"/>
  <c r="P64" i="72"/>
  <c r="AW64" i="72"/>
  <c r="BY64" i="72"/>
  <c r="AA64" i="72"/>
  <c r="C64" i="72"/>
  <c r="H64" i="72"/>
  <c r="F47" i="69"/>
  <c r="Z73" i="4"/>
  <c r="AV1270" i="13" s="1"/>
  <c r="J8" i="72"/>
  <c r="AC8" i="72"/>
  <c r="Z8" i="72"/>
  <c r="Y8" i="72"/>
  <c r="A8" i="72"/>
  <c r="BY8" i="72"/>
  <c r="AA8" i="72"/>
  <c r="V8" i="72"/>
  <c r="B8" i="72" s="1"/>
  <c r="BF8" i="72"/>
  <c r="M8" i="72"/>
  <c r="P8" i="72"/>
  <c r="AV8" i="72"/>
  <c r="BG8" i="72"/>
  <c r="AW8" i="72"/>
  <c r="AB8" i="72" a="1"/>
  <c r="AB8" i="72" s="1"/>
  <c r="W8" i="72"/>
  <c r="BT8" i="72" s="1"/>
  <c r="G8" i="72"/>
  <c r="S8" i="72"/>
  <c r="N8" i="72" a="1"/>
  <c r="N8" i="72" s="1"/>
  <c r="Q8" i="72"/>
  <c r="T8" i="72"/>
  <c r="AD8" i="72"/>
  <c r="K8" i="72" a="1"/>
  <c r="K8" i="72" s="1"/>
  <c r="O8" i="72"/>
  <c r="BO8" i="72"/>
  <c r="DE95" i="4"/>
  <c r="E95" i="4"/>
  <c r="BD95" i="4" s="1"/>
  <c r="F443" i="15" a="1"/>
  <c r="F443" i="15" s="1"/>
  <c r="H443" i="15" a="1"/>
  <c r="H443" i="15" s="1"/>
  <c r="F75" i="4"/>
  <c r="BL75" i="4" s="1"/>
  <c r="DE75" i="4"/>
  <c r="E75" i="4"/>
  <c r="BT75" i="4" s="1"/>
  <c r="AX1379" i="13"/>
  <c r="A1478" i="13"/>
  <c r="DV39" i="4"/>
  <c r="BM39" i="4"/>
  <c r="BE39" i="4" s="1" a="1"/>
  <c r="BE39" i="4" s="1"/>
  <c r="BH39" i="4"/>
  <c r="AV541" i="13"/>
  <c r="F76" i="4"/>
  <c r="BL76" i="4" s="1"/>
  <c r="BH65" i="4"/>
  <c r="DV65" i="4"/>
  <c r="AV567" i="13"/>
  <c r="F95" i="4"/>
  <c r="BL95" i="4" s="1"/>
  <c r="K654" i="15" a="1"/>
  <c r="K654" i="15" s="1"/>
  <c r="K540" i="15" a="1"/>
  <c r="K540" i="15" s="1"/>
  <c r="AP70" i="4"/>
  <c r="AV372" i="13" s="1"/>
  <c r="AV472" i="13" s="1"/>
  <c r="T11" i="4"/>
  <c r="Z1603" i="13"/>
  <c r="T9" i="4"/>
  <c r="S11" i="4"/>
  <c r="S9" i="4"/>
  <c r="X54" i="4"/>
  <c r="A1440" i="13"/>
  <c r="AX1341" i="13"/>
  <c r="BD18" i="4"/>
  <c r="BR18" i="4" s="1"/>
  <c r="AP62" i="4"/>
  <c r="AV364" i="13" s="1"/>
  <c r="AV464" i="13" s="1"/>
  <c r="M629" i="15" a="1"/>
  <c r="M629" i="15" s="1"/>
  <c r="F620" i="15" a="1"/>
  <c r="F620" i="15" s="1"/>
  <c r="H620" i="15" a="1"/>
  <c r="H620" i="15" s="1"/>
  <c r="M620" i="15" a="1"/>
  <c r="M620" i="15" s="1"/>
  <c r="F554" i="15" a="1"/>
  <c r="F554" i="15" s="1"/>
  <c r="H554" i="15" a="1"/>
  <c r="H554" i="15" s="1"/>
  <c r="BD1767" i="13" a="1"/>
  <c r="BD1767" i="13" s="1"/>
  <c r="BA1769" i="13" a="1"/>
  <c r="BA1769" i="13" s="1"/>
  <c r="BB1769" i="13" a="1"/>
  <c r="BB1769" i="13" s="1"/>
  <c r="BD1768" i="13" a="1"/>
  <c r="BD1768" i="13" s="1"/>
  <c r="BA1767" i="13" a="1"/>
  <c r="BA1767" i="13" s="1"/>
  <c r="BB1768" i="13" a="1"/>
  <c r="BB1768" i="13" s="1"/>
  <c r="BA1766" i="13" a="1"/>
  <c r="BA1766" i="13" s="1"/>
  <c r="BC1769" i="13" a="1"/>
  <c r="BC1769" i="13" s="1"/>
  <c r="BD1769" i="13" a="1"/>
  <c r="BD1769" i="13" s="1"/>
  <c r="BC1766" i="13" a="1"/>
  <c r="BC1766" i="13" s="1"/>
  <c r="BB1767" i="13" a="1"/>
  <c r="BB1767" i="13" s="1"/>
  <c r="BC1768" i="13" a="1"/>
  <c r="BC1768" i="13" s="1"/>
  <c r="BC1767" i="13" a="1"/>
  <c r="BC1767" i="13" s="1"/>
  <c r="BB1766" i="13" a="1"/>
  <c r="BB1766" i="13" s="1"/>
  <c r="BD1766" i="13" a="1"/>
  <c r="BD1766" i="13" s="1"/>
  <c r="BA1768" i="13" a="1"/>
  <c r="BA1768" i="13" s="1"/>
  <c r="AP69" i="4"/>
  <c r="AV371" i="13" s="1"/>
  <c r="AV471" i="13" s="1"/>
  <c r="BH5" i="4"/>
  <c r="AV507" i="13"/>
  <c r="DV5" i="4"/>
  <c r="P49" i="69"/>
  <c r="T49" i="69"/>
  <c r="Z49" i="69"/>
  <c r="AB49" i="69" a="1"/>
  <c r="AB49" i="69" s="1"/>
  <c r="A49" i="69"/>
  <c r="AC49" i="69"/>
  <c r="AA49" i="69"/>
  <c r="G49" i="69"/>
  <c r="Q49" i="69"/>
  <c r="L49" i="69"/>
  <c r="N49" i="69" a="1"/>
  <c r="N49" i="69" s="1"/>
  <c r="BB49" i="69"/>
  <c r="AR49" i="69"/>
  <c r="V49" i="69"/>
  <c r="B49" i="69" s="1"/>
  <c r="W49" i="69"/>
  <c r="BQ49" i="69" s="1" a="1"/>
  <c r="BQ49" i="69" s="1"/>
  <c r="AS49" i="69"/>
  <c r="S49" i="69"/>
  <c r="BC49" i="69"/>
  <c r="M49" i="69"/>
  <c r="U49" i="69" a="1"/>
  <c r="U49" i="69" s="1"/>
  <c r="J49" i="69"/>
  <c r="BU49" i="69"/>
  <c r="Y49" i="69"/>
  <c r="K49" i="69" a="1"/>
  <c r="K49" i="69" s="1"/>
  <c r="F38" i="72"/>
  <c r="Z76" i="4"/>
  <c r="AV1273" i="13" s="1"/>
  <c r="A1480" i="13"/>
  <c r="AX1381" i="13"/>
  <c r="BR4" i="72" a="1"/>
  <c r="BR4" i="72" s="1"/>
  <c r="H571" i="15" a="1"/>
  <c r="H571" i="15" s="1"/>
  <c r="F571" i="15" a="1"/>
  <c r="F571" i="15" s="1"/>
  <c r="AX1369" i="13"/>
  <c r="A1468" i="13"/>
  <c r="F71" i="4"/>
  <c r="BL71" i="4" s="1"/>
  <c r="AX1303" i="13"/>
  <c r="A1402" i="13"/>
  <c r="BE1767" i="13" a="1"/>
  <c r="BE1767" i="13" s="1"/>
  <c r="X50" i="4"/>
  <c r="M655" i="15" a="1"/>
  <c r="M655" i="15" s="1"/>
  <c r="X60" i="69"/>
  <c r="X60" i="72"/>
  <c r="L7" i="4"/>
  <c r="BG7" i="4"/>
  <c r="AV1105" i="13" s="1"/>
  <c r="X7" i="4"/>
  <c r="BF16" i="4"/>
  <c r="L8" i="4"/>
  <c r="BG8" i="4"/>
  <c r="AV1106" i="13" s="1"/>
  <c r="X8" i="4"/>
  <c r="BF35" i="4"/>
  <c r="X37" i="4"/>
  <c r="BG37" i="4"/>
  <c r="AV1135" i="13" s="1"/>
  <c r="BR37" i="4"/>
  <c r="BK37" i="69" s="1"/>
  <c r="BJ55" i="4" a="1"/>
  <c r="BK55" i="4" a="1"/>
  <c r="DF55" i="4" a="1"/>
  <c r="BI55" i="4" a="1"/>
  <c r="U93" i="72" l="1" a="1"/>
  <c r="U93" i="72" s="1"/>
  <c r="H267" i="15" a="1"/>
  <c r="H267" i="15" s="1"/>
  <c r="BR6" i="4"/>
  <c r="BD58" i="4"/>
  <c r="BR58" i="4" s="1"/>
  <c r="AE58" i="72" s="1"/>
  <c r="U72" i="72" a="1"/>
  <c r="U72" i="72" s="1"/>
  <c r="U68" i="72" a="1"/>
  <c r="U68" i="72" s="1"/>
  <c r="BK55" i="4"/>
  <c r="AZ103" i="4" s="1"/>
  <c r="BJ55" i="4"/>
  <c r="BD92" i="4"/>
  <c r="BD82" i="4"/>
  <c r="BR82" i="4" s="1"/>
  <c r="BD79" i="4"/>
  <c r="X79" i="4" s="1"/>
  <c r="BD89" i="4"/>
  <c r="BD91" i="4"/>
  <c r="CW55" i="4"/>
  <c r="CX55" i="4" s="1"/>
  <c r="F2" i="27"/>
  <c r="U59" i="72" a="1"/>
  <c r="U59" i="72" s="1"/>
  <c r="AE5" i="72"/>
  <c r="K51" i="69" a="1"/>
  <c r="K51" i="69" s="1"/>
  <c r="BM89" i="4"/>
  <c r="BE89" i="4" s="1" a="1"/>
  <c r="BE89" i="4" s="1"/>
  <c r="BM89" i="72"/>
  <c r="BI89" i="69"/>
  <c r="AE50" i="72"/>
  <c r="AE28" i="72"/>
  <c r="AE6" i="72"/>
  <c r="AE38" i="72"/>
  <c r="AE36" i="72"/>
  <c r="AE13" i="72"/>
  <c r="BO45" i="72"/>
  <c r="AE30" i="72"/>
  <c r="AE34" i="72"/>
  <c r="AE24" i="72"/>
  <c r="AE8" i="72"/>
  <c r="AE40" i="72"/>
  <c r="AE17" i="72"/>
  <c r="AE45" i="72"/>
  <c r="AE25" i="72"/>
  <c r="AE37" i="72"/>
  <c r="AE48" i="72"/>
  <c r="AE35" i="72"/>
  <c r="AE18" i="72"/>
  <c r="AE12" i="72"/>
  <c r="AE11" i="72"/>
  <c r="AE47" i="72"/>
  <c r="AE49" i="72"/>
  <c r="AE39" i="72"/>
  <c r="AE32" i="72"/>
  <c r="AE42" i="72"/>
  <c r="AE15" i="72"/>
  <c r="AE19" i="72"/>
  <c r="AE54" i="72"/>
  <c r="AE33" i="72"/>
  <c r="AE41" i="72"/>
  <c r="AE21" i="72"/>
  <c r="AE51" i="72"/>
  <c r="AE22" i="72"/>
  <c r="AE82" i="72"/>
  <c r="AE31" i="72"/>
  <c r="AE27" i="72"/>
  <c r="AE43" i="72"/>
  <c r="AE29" i="72"/>
  <c r="AE26" i="72"/>
  <c r="AE52" i="72"/>
  <c r="AE14" i="72"/>
  <c r="U60" i="72" a="1"/>
  <c r="U60" i="72" s="1"/>
  <c r="H44" i="69"/>
  <c r="U23" i="72" a="1"/>
  <c r="U23" i="72" s="1"/>
  <c r="H53" i="69"/>
  <c r="BM53" i="72"/>
  <c r="U85" i="72" a="1"/>
  <c r="U85" i="72" s="1"/>
  <c r="U79" i="72" a="1"/>
  <c r="U79" i="72" s="1"/>
  <c r="U91" i="72" a="1"/>
  <c r="U91" i="72" s="1"/>
  <c r="U80" i="72" a="1"/>
  <c r="U80" i="72" s="1"/>
  <c r="U83" i="72" a="1"/>
  <c r="U83" i="72" s="1"/>
  <c r="U73" i="72" a="1"/>
  <c r="U73" i="72" s="1"/>
  <c r="U69" i="72" a="1"/>
  <c r="U69" i="72" s="1"/>
  <c r="U66" i="72" a="1"/>
  <c r="U66" i="72" s="1"/>
  <c r="U76" i="72" a="1"/>
  <c r="U76" i="72" s="1"/>
  <c r="U70" i="72" a="1"/>
  <c r="U70" i="72" s="1"/>
  <c r="U87" i="72" a="1"/>
  <c r="U87" i="72" s="1"/>
  <c r="U86" i="72" a="1"/>
  <c r="U86" i="72" s="1"/>
  <c r="U62" i="72" a="1"/>
  <c r="U62" i="72" s="1"/>
  <c r="U78" i="72" a="1"/>
  <c r="U78" i="72" s="1"/>
  <c r="U77" i="72" a="1"/>
  <c r="U77" i="72" s="1"/>
  <c r="U92" i="72" a="1"/>
  <c r="U92" i="72" s="1"/>
  <c r="U71" i="72" a="1"/>
  <c r="U71" i="72" s="1"/>
  <c r="U61" i="72" a="1"/>
  <c r="U61" i="72" s="1"/>
  <c r="U56" i="72" a="1"/>
  <c r="U56" i="72" s="1"/>
  <c r="U67" i="72" a="1"/>
  <c r="U67" i="72" s="1"/>
  <c r="U74" i="72" a="1"/>
  <c r="U74" i="72" s="1"/>
  <c r="U89" i="72" a="1"/>
  <c r="U89" i="72" s="1"/>
  <c r="C37" i="72"/>
  <c r="G74" i="72"/>
  <c r="AL38" i="72"/>
  <c r="AL11" i="72"/>
  <c r="E68" i="72"/>
  <c r="K32" i="72" a="1"/>
  <c r="K32" i="72" s="1"/>
  <c r="BI37" i="69"/>
  <c r="AP58" i="72" a="1"/>
  <c r="AP58" i="72" s="1"/>
  <c r="AO58" i="72" a="1"/>
  <c r="AO58" i="72" s="1"/>
  <c r="AP94" i="72" a="1"/>
  <c r="AP94" i="72" s="1"/>
  <c r="AO94" i="72" a="1"/>
  <c r="AO94" i="72" s="1"/>
  <c r="AP96" i="72" a="1"/>
  <c r="AP96" i="72" s="1"/>
  <c r="AO96" i="72" a="1"/>
  <c r="AO96" i="72" s="1"/>
  <c r="AP95" i="72" a="1"/>
  <c r="AP95" i="72" s="1"/>
  <c r="AO95" i="72" a="1"/>
  <c r="AO95" i="72" s="1"/>
  <c r="G84" i="69"/>
  <c r="X89" i="4"/>
  <c r="K24" i="69" a="1"/>
  <c r="K24" i="69" s="1"/>
  <c r="AL80" i="72"/>
  <c r="AL39" i="72"/>
  <c r="AL91" i="72"/>
  <c r="AL90" i="72"/>
  <c r="AL47" i="72"/>
  <c r="AL57" i="72"/>
  <c r="AL25" i="72"/>
  <c r="AL88" i="72"/>
  <c r="AL76" i="72"/>
  <c r="AL13" i="72"/>
  <c r="AL92" i="72"/>
  <c r="AL59" i="72"/>
  <c r="AL67" i="72"/>
  <c r="AL93" i="72"/>
  <c r="AL28" i="72"/>
  <c r="AL64" i="72"/>
  <c r="AL36" i="72"/>
  <c r="AL5" i="72"/>
  <c r="AL53" i="72"/>
  <c r="AL29" i="72"/>
  <c r="AL75" i="72"/>
  <c r="AL49" i="72"/>
  <c r="AL42" i="72"/>
  <c r="AL12" i="72"/>
  <c r="AL40" i="72"/>
  <c r="AL8" i="72"/>
  <c r="AL73" i="72"/>
  <c r="AL77" i="72"/>
  <c r="AL54" i="72"/>
  <c r="AL61" i="72"/>
  <c r="AL82" i="72"/>
  <c r="AL15" i="72"/>
  <c r="AL24" i="72"/>
  <c r="AL45" i="72"/>
  <c r="AL63" i="72"/>
  <c r="AL35" i="72"/>
  <c r="AL70" i="72"/>
  <c r="AL33" i="72"/>
  <c r="AL44" i="72"/>
  <c r="AL22" i="72"/>
  <c r="AL14" i="72"/>
  <c r="AL7" i="72"/>
  <c r="AL31" i="72"/>
  <c r="AL18" i="72"/>
  <c r="AL30" i="72"/>
  <c r="AL48" i="72"/>
  <c r="AL27" i="72"/>
  <c r="AL66" i="72"/>
  <c r="AL19" i="72"/>
  <c r="AL71" i="72"/>
  <c r="AL37" i="72"/>
  <c r="AL79" i="72"/>
  <c r="AL51" i="72"/>
  <c r="AL72" i="72"/>
  <c r="AL65" i="72"/>
  <c r="AL52" i="72"/>
  <c r="AL69" i="72"/>
  <c r="AL50" i="72"/>
  <c r="AL89" i="72"/>
  <c r="AL46" i="72"/>
  <c r="AL6" i="72"/>
  <c r="AL41" i="72"/>
  <c r="AL84" i="72"/>
  <c r="AL16" i="72"/>
  <c r="AL21" i="72"/>
  <c r="AL20" i="72"/>
  <c r="AL74" i="72"/>
  <c r="AL87" i="72"/>
  <c r="AL68" i="72"/>
  <c r="AL83" i="72"/>
  <c r="AL43" i="72"/>
  <c r="AL86" i="72"/>
  <c r="AL85" i="72"/>
  <c r="AL32" i="72"/>
  <c r="AL78" i="72"/>
  <c r="AL62" i="72"/>
  <c r="AL17" i="72"/>
  <c r="AL81" i="72"/>
  <c r="AL26" i="72"/>
  <c r="AL34" i="72"/>
  <c r="K26" i="72" a="1"/>
  <c r="K26" i="72" s="1"/>
  <c r="O36" i="72"/>
  <c r="BI49" i="69"/>
  <c r="AK95" i="72" a="1"/>
  <c r="AK95" i="72" s="1"/>
  <c r="AI95" i="72" a="1"/>
  <c r="AI95" i="72" s="1"/>
  <c r="AK58" i="72" a="1"/>
  <c r="AK58" i="72" s="1"/>
  <c r="AI58" i="72" a="1"/>
  <c r="AI58" i="72" s="1"/>
  <c r="AK94" i="72" a="1"/>
  <c r="AK94" i="72" s="1"/>
  <c r="AI94" i="72" a="1"/>
  <c r="AI94" i="72" s="1"/>
  <c r="AK96" i="72" a="1"/>
  <c r="AK96" i="72" s="1"/>
  <c r="AI96" i="72" a="1"/>
  <c r="AI96" i="72" s="1"/>
  <c r="AD9" i="69"/>
  <c r="AD48" i="69"/>
  <c r="BO48" i="72"/>
  <c r="K51" i="72" a="1"/>
  <c r="K51" i="72" s="1"/>
  <c r="K33" i="69" a="1"/>
  <c r="K33" i="69" s="1"/>
  <c r="K33" i="72" a="1"/>
  <c r="K33" i="72" s="1"/>
  <c r="K37" i="72" a="1"/>
  <c r="K37" i="72" s="1"/>
  <c r="K36" i="72" a="1"/>
  <c r="K36" i="72" s="1"/>
  <c r="BI47" i="69"/>
  <c r="BM13" i="72"/>
  <c r="O45" i="69"/>
  <c r="G84" i="72"/>
  <c r="I9" i="27"/>
  <c r="AF95" i="69" a="1"/>
  <c r="AF95" i="69" s="1"/>
  <c r="AH95" i="69" a="1"/>
  <c r="AH95" i="69" s="1"/>
  <c r="AF94" i="69" a="1"/>
  <c r="AF94" i="69" s="1"/>
  <c r="AH94" i="69" a="1"/>
  <c r="AH94" i="69" s="1"/>
  <c r="AF96" i="69" a="1"/>
  <c r="AF96" i="69" s="1"/>
  <c r="AH96" i="69" a="1"/>
  <c r="AH96" i="69" s="1"/>
  <c r="AF58" i="69" a="1"/>
  <c r="AF58" i="69" s="1"/>
  <c r="AH58" i="69" a="1"/>
  <c r="AH58" i="69" s="1"/>
  <c r="AD5" i="69"/>
  <c r="BO36" i="72"/>
  <c r="AI95" i="69" a="1"/>
  <c r="AI95" i="69" s="1"/>
  <c r="AI94" i="69" a="1"/>
  <c r="AI94" i="69" s="1"/>
  <c r="AI96" i="69" a="1"/>
  <c r="AI96" i="69" s="1"/>
  <c r="AI58" i="69" a="1"/>
  <c r="AI58" i="69" s="1"/>
  <c r="AK95" i="69" a="1"/>
  <c r="AK95" i="69" s="1"/>
  <c r="AK94" i="69" a="1"/>
  <c r="AK94" i="69" s="1"/>
  <c r="AK96" i="69" a="1"/>
  <c r="AK96" i="69" s="1"/>
  <c r="AK58" i="69" a="1"/>
  <c r="AK58" i="69" s="1"/>
  <c r="K40" i="69" a="1"/>
  <c r="K40" i="69" s="1"/>
  <c r="D26" i="72" a="1"/>
  <c r="D26" i="72" s="1"/>
  <c r="B70" i="69"/>
  <c r="H14" i="69"/>
  <c r="AD13" i="69"/>
  <c r="K41" i="69" a="1"/>
  <c r="K41" i="69" s="1"/>
  <c r="BM48" i="72"/>
  <c r="BM49" i="72"/>
  <c r="D12" i="72" a="1"/>
  <c r="D12" i="72" s="1"/>
  <c r="U61" i="69" a="1"/>
  <c r="U61" i="69" s="1"/>
  <c r="D25" i="69" a="1"/>
  <c r="D25" i="69" s="1"/>
  <c r="BQ13" i="69" a="1"/>
  <c r="BQ13" i="69" s="1"/>
  <c r="BI13" i="69"/>
  <c r="BI34" i="69"/>
  <c r="BM8" i="72"/>
  <c r="BI19" i="69"/>
  <c r="H37" i="72"/>
  <c r="BA96" i="69" a="1"/>
  <c r="BA96" i="69" s="1"/>
  <c r="BA95" i="69" a="1"/>
  <c r="BA95" i="69" s="1"/>
  <c r="AT94" i="69" a="1"/>
  <c r="AT94" i="69" s="1"/>
  <c r="BI57" i="69"/>
  <c r="S70" i="69"/>
  <c r="X67" i="4"/>
  <c r="G56" i="72"/>
  <c r="B66" i="72"/>
  <c r="S66" i="72"/>
  <c r="BI54" i="69"/>
  <c r="BM54" i="72"/>
  <c r="AD54" i="69"/>
  <c r="K47" i="69" a="1"/>
  <c r="K47" i="69" s="1"/>
  <c r="K45" i="72" a="1"/>
  <c r="K45" i="72" s="1"/>
  <c r="AD82" i="69"/>
  <c r="BN58" i="69" a="1"/>
  <c r="BN58" i="69" s="1"/>
  <c r="BS94" i="69"/>
  <c r="BT94" i="69"/>
  <c r="AQ94" i="69" a="1"/>
  <c r="AQ94" i="69" s="1"/>
  <c r="BN94" i="69" a="1"/>
  <c r="BN94" i="69" s="1"/>
  <c r="AV94" i="69" a="1"/>
  <c r="AV94" i="69" s="1"/>
  <c r="AY96" i="72" a="1"/>
  <c r="AY96" i="72" s="1"/>
  <c r="BI40" i="69"/>
  <c r="K39" i="72" a="1"/>
  <c r="K39" i="72" s="1"/>
  <c r="AN96" i="72" a="1"/>
  <c r="AN96" i="72" s="1"/>
  <c r="BD96" i="72" a="1"/>
  <c r="BD96" i="72" s="1"/>
  <c r="AV58" i="69" a="1"/>
  <c r="AV58" i="69" s="1"/>
  <c r="AU94" i="69" a="1"/>
  <c r="AU94" i="69" s="1"/>
  <c r="BE96" i="72" a="1"/>
  <c r="BE96" i="72" s="1"/>
  <c r="AU96" i="72" a="1"/>
  <c r="AU96" i="72" s="1"/>
  <c r="AP58" i="69" a="1"/>
  <c r="AP58" i="69" s="1"/>
  <c r="AP94" i="69" a="1"/>
  <c r="AP94" i="69" s="1"/>
  <c r="BA94" i="69" a="1"/>
  <c r="BA94" i="69" s="1"/>
  <c r="AZ58" i="69" a="1"/>
  <c r="AZ58" i="69" s="1"/>
  <c r="AZ94" i="69" a="1"/>
  <c r="AZ94" i="69" s="1"/>
  <c r="K27" i="72" a="1"/>
  <c r="K27" i="72" s="1"/>
  <c r="BQ8" i="69" a="1"/>
  <c r="BQ8" i="69" s="1"/>
  <c r="O17" i="72"/>
  <c r="E38" i="69"/>
  <c r="K45" i="69" a="1"/>
  <c r="K45" i="69" s="1"/>
  <c r="AO94" i="69" a="1"/>
  <c r="AO94" i="69" s="1"/>
  <c r="BU19" i="72" a="1"/>
  <c r="BU19" i="72" s="1"/>
  <c r="BS28" i="72"/>
  <c r="BV28" i="72" s="1"/>
  <c r="BO17" i="72"/>
  <c r="K47" i="72" a="1"/>
  <c r="K47" i="72" s="1"/>
  <c r="D11" i="69" a="1"/>
  <c r="D11" i="69" s="1"/>
  <c r="BM73" i="4"/>
  <c r="BE73" i="4" s="1" a="1"/>
  <c r="BE73" i="4" s="1"/>
  <c r="BI73" i="69"/>
  <c r="BM73" i="72"/>
  <c r="BP22" i="69"/>
  <c r="AZ96" i="69" a="1"/>
  <c r="AZ96" i="69" s="1"/>
  <c r="AF51" i="72" a="1"/>
  <c r="AF51" i="72" s="1"/>
  <c r="AJ51" i="72" s="1" a="1"/>
  <c r="AJ51" i="72" s="1"/>
  <c r="AD17" i="69"/>
  <c r="BI8" i="69"/>
  <c r="BL61" i="72"/>
  <c r="L48" i="69"/>
  <c r="BA58" i="69" a="1"/>
  <c r="BA58" i="69" s="1"/>
  <c r="BM79" i="4"/>
  <c r="BE79" i="4" s="1" a="1"/>
  <c r="BE79" i="4" s="1"/>
  <c r="BM79" i="72"/>
  <c r="BI79" i="69"/>
  <c r="BH40" i="69"/>
  <c r="BQ32" i="69" a="1"/>
  <c r="BQ32" i="69" s="1"/>
  <c r="AU96" i="69" a="1"/>
  <c r="AU96" i="69" s="1"/>
  <c r="AX95" i="69" a="1"/>
  <c r="AX95" i="69" s="1"/>
  <c r="K53" i="72" a="1"/>
  <c r="K53" i="72" s="1"/>
  <c r="BM21" i="72"/>
  <c r="L88" i="69"/>
  <c r="BH88" i="69"/>
  <c r="BL80" i="72"/>
  <c r="BM70" i="4"/>
  <c r="BE70" i="4" s="1" a="1"/>
  <c r="BE70" i="4" s="1"/>
  <c r="BM70" i="72"/>
  <c r="BI70" i="69"/>
  <c r="BC11" i="72" a="1"/>
  <c r="BC11" i="72" s="1"/>
  <c r="BH64" i="69"/>
  <c r="BL90" i="72"/>
  <c r="AU58" i="69" a="1"/>
  <c r="AU58" i="69" s="1"/>
  <c r="BT37" i="72"/>
  <c r="BT34" i="72"/>
  <c r="BK26" i="69"/>
  <c r="BL13" i="72"/>
  <c r="AF34" i="72" a="1"/>
  <c r="AF34" i="72" s="1"/>
  <c r="AJ34" i="72" s="1" a="1"/>
  <c r="AJ34" i="72" s="1"/>
  <c r="BU57" i="72" a="1"/>
  <c r="BU57" i="72" s="1"/>
  <c r="AD8" i="69"/>
  <c r="BS71" i="69"/>
  <c r="E75" i="69"/>
  <c r="BS61" i="69"/>
  <c r="BW35" i="72"/>
  <c r="BC27" i="72" a="1"/>
  <c r="BC27" i="72" s="1"/>
  <c r="BL81" i="72"/>
  <c r="AX96" i="69" a="1"/>
  <c r="AX96" i="69" s="1"/>
  <c r="O26" i="72"/>
  <c r="AE79" i="69" a="1"/>
  <c r="AE79" i="69" s="1"/>
  <c r="AF71" i="72" a="1"/>
  <c r="AF71" i="72" s="1"/>
  <c r="AJ71" i="72" s="1" a="1"/>
  <c r="AJ71" i="72" s="1"/>
  <c r="BP68" i="69"/>
  <c r="E24" i="69"/>
  <c r="E36" i="72"/>
  <c r="BS25" i="69"/>
  <c r="AQ96" i="69" a="1"/>
  <c r="AQ96" i="69" s="1"/>
  <c r="L62" i="69"/>
  <c r="L65" i="72"/>
  <c r="BS88" i="69"/>
  <c r="BH70" i="69"/>
  <c r="BQ11" i="69" a="1"/>
  <c r="BQ11" i="69" s="1"/>
  <c r="L38" i="69"/>
  <c r="E87" i="72"/>
  <c r="BH62" i="69"/>
  <c r="E41" i="69"/>
  <c r="BW7" i="72"/>
  <c r="BK49" i="69"/>
  <c r="BK17" i="69"/>
  <c r="BH50" i="69"/>
  <c r="E50" i="72"/>
  <c r="E29" i="69"/>
  <c r="AD49" i="69"/>
  <c r="E62" i="72"/>
  <c r="BW41" i="72"/>
  <c r="S56" i="69"/>
  <c r="E32" i="69"/>
  <c r="BS43" i="69"/>
  <c r="BH82" i="69"/>
  <c r="BL89" i="72"/>
  <c r="BQ37" i="69" a="1"/>
  <c r="BQ37" i="69" s="1"/>
  <c r="AH94" i="72" a="1"/>
  <c r="AH94" i="72" s="1"/>
  <c r="E54" i="72"/>
  <c r="AE26" i="69" a="1"/>
  <c r="AE26" i="69" s="1"/>
  <c r="BS85" i="69"/>
  <c r="D6" i="69" a="1"/>
  <c r="D6" i="69" s="1"/>
  <c r="BC6" i="72" a="1"/>
  <c r="BC6" i="72" s="1"/>
  <c r="BM37" i="72"/>
  <c r="BS67" i="69"/>
  <c r="BO26" i="72"/>
  <c r="BW39" i="72"/>
  <c r="K41" i="72" a="1"/>
  <c r="K41" i="72" s="1"/>
  <c r="BH68" i="69"/>
  <c r="AD45" i="69"/>
  <c r="BH72" i="69"/>
  <c r="BC28" i="72" a="1"/>
  <c r="BC28" i="72" s="1"/>
  <c r="BC44" i="72" a="1"/>
  <c r="BC44" i="72" s="1"/>
  <c r="E93" i="72"/>
  <c r="BW37" i="72"/>
  <c r="BW47" i="72"/>
  <c r="E28" i="72"/>
  <c r="BL78" i="72"/>
  <c r="BL50" i="72"/>
  <c r="AQ58" i="69" a="1"/>
  <c r="AQ58" i="69" s="1"/>
  <c r="BW24" i="72"/>
  <c r="AE69" i="69" a="1"/>
  <c r="AE69" i="69" s="1"/>
  <c r="BO90" i="69"/>
  <c r="BR90" i="69" s="1"/>
  <c r="AO58" i="69" a="1"/>
  <c r="AO58" i="69" s="1"/>
  <c r="BC67" i="72" a="1"/>
  <c r="BC67" i="72" s="1"/>
  <c r="BS21" i="69"/>
  <c r="BI82" i="69"/>
  <c r="BV37" i="69"/>
  <c r="BL42" i="72"/>
  <c r="BW54" i="72"/>
  <c r="BO32" i="72"/>
  <c r="BS56" i="69"/>
  <c r="BU44" i="72" a="1"/>
  <c r="BU44" i="72" s="1"/>
  <c r="BC34" i="72" a="1"/>
  <c r="BC34" i="72" s="1"/>
  <c r="AE62" i="69" a="1"/>
  <c r="AE62" i="69" s="1"/>
  <c r="BL15" i="72"/>
  <c r="BS17" i="72"/>
  <c r="BV17" i="72" s="1"/>
  <c r="BL79" i="72"/>
  <c r="AY14" i="69" a="1"/>
  <c r="AY14" i="69" s="1"/>
  <c r="BS68" i="69"/>
  <c r="H6" i="72"/>
  <c r="BI25" i="69"/>
  <c r="E69" i="69"/>
  <c r="BU89" i="72" a="1"/>
  <c r="BU89" i="72" s="1"/>
  <c r="AE42" i="69" a="1"/>
  <c r="AE42" i="69" s="1"/>
  <c r="BS54" i="69"/>
  <c r="AD26" i="69"/>
  <c r="BH12" i="69"/>
  <c r="BH67" i="69"/>
  <c r="E40" i="72"/>
  <c r="B56" i="69"/>
  <c r="AE71" i="69" a="1"/>
  <c r="AE71" i="69" s="1"/>
  <c r="BQ84" i="69" a="1"/>
  <c r="BQ84" i="69" s="1"/>
  <c r="BC18" i="72" a="1"/>
  <c r="BC18" i="72" s="1"/>
  <c r="BS65" i="69"/>
  <c r="BW93" i="72"/>
  <c r="BW63" i="72"/>
  <c r="BT80" i="72"/>
  <c r="AF74" i="72" a="1"/>
  <c r="AF74" i="72" s="1"/>
  <c r="AJ74" i="72" s="1" a="1"/>
  <c r="AJ74" i="72" s="1"/>
  <c r="BV38" i="69"/>
  <c r="AE61" i="69" a="1"/>
  <c r="AE61" i="69" s="1"/>
  <c r="BH36" i="69"/>
  <c r="AY40" i="69" a="1"/>
  <c r="AY40" i="69" s="1"/>
  <c r="K40" i="72" a="1"/>
  <c r="K40" i="72" s="1"/>
  <c r="BH21" i="69"/>
  <c r="BH25" i="69"/>
  <c r="AE88" i="69" a="1"/>
  <c r="AE88" i="69" s="1"/>
  <c r="O49" i="69"/>
  <c r="BL8" i="72"/>
  <c r="BW64" i="72"/>
  <c r="BC59" i="72" a="1"/>
  <c r="BC59" i="72" s="1"/>
  <c r="BS89" i="69"/>
  <c r="E73" i="69"/>
  <c r="BS73" i="69"/>
  <c r="E40" i="69"/>
  <c r="AY83" i="69" a="1"/>
  <c r="AY83" i="69" s="1"/>
  <c r="BO59" i="69"/>
  <c r="BR59" i="69" s="1"/>
  <c r="E28" i="69"/>
  <c r="BO11" i="69"/>
  <c r="BR11" i="69" s="1"/>
  <c r="AY18" i="69" a="1"/>
  <c r="AY18" i="69" s="1"/>
  <c r="AE30" i="69" a="1"/>
  <c r="AE30" i="69" s="1"/>
  <c r="AX30" i="69" s="1" a="1"/>
  <c r="AX30" i="69" s="1"/>
  <c r="AX58" i="69" a="1"/>
  <c r="AX58" i="69" s="1"/>
  <c r="BL6" i="72"/>
  <c r="BC17" i="72" a="1"/>
  <c r="BC17" i="72" s="1"/>
  <c r="BL53" i="72"/>
  <c r="BH53" i="69"/>
  <c r="AY50" i="69" a="1"/>
  <c r="AY50" i="69" s="1"/>
  <c r="BM92" i="4"/>
  <c r="BE92" i="4" s="1" a="1"/>
  <c r="BE92" i="4" s="1"/>
  <c r="BI92" i="69"/>
  <c r="BM92" i="72"/>
  <c r="BM91" i="4"/>
  <c r="BE91" i="4" s="1" a="1"/>
  <c r="BE91" i="4" s="1"/>
  <c r="BM91" i="72"/>
  <c r="BI91" i="69"/>
  <c r="BC72" i="72" a="1"/>
  <c r="BC72" i="72" s="1"/>
  <c r="AE92" i="69" a="1"/>
  <c r="AE92" i="69" s="1"/>
  <c r="E15" i="72"/>
  <c r="AF15" i="72" a="1"/>
  <c r="AF15" i="72" s="1"/>
  <c r="AJ15" i="72" s="1" a="1"/>
  <c r="AJ15" i="72" s="1"/>
  <c r="AF79" i="72" a="1"/>
  <c r="AF79" i="72" s="1"/>
  <c r="AJ79" i="72" s="1" a="1"/>
  <c r="AJ79" i="72" s="1"/>
  <c r="AF45" i="72" a="1"/>
  <c r="AF45" i="72" s="1"/>
  <c r="AJ45" i="72" s="1" a="1"/>
  <c r="AJ45" i="72" s="1"/>
  <c r="AE45" i="69" a="1"/>
  <c r="AE45" i="69" s="1"/>
  <c r="BP28" i="69"/>
  <c r="BC92" i="72" a="1"/>
  <c r="BC92" i="72" s="1"/>
  <c r="E84" i="69"/>
  <c r="BW44" i="72"/>
  <c r="BS11" i="69"/>
  <c r="AE11" i="69" a="1"/>
  <c r="AE11" i="69" s="1"/>
  <c r="BQ66" i="69" a="1"/>
  <c r="BQ66" i="69" s="1"/>
  <c r="BC86" i="72" a="1"/>
  <c r="BC86" i="72" s="1"/>
  <c r="BL30" i="72"/>
  <c r="BS57" i="69"/>
  <c r="AY57" i="69" a="1"/>
  <c r="AY57" i="69" s="1"/>
  <c r="AY17" i="69" a="1"/>
  <c r="AY17" i="69" s="1"/>
  <c r="AE19" i="69" a="1"/>
  <c r="AE19" i="69" s="1"/>
  <c r="BW57" i="72"/>
  <c r="BO32" i="69"/>
  <c r="BR32" i="69" s="1"/>
  <c r="AF75" i="72" a="1"/>
  <c r="AF75" i="72" s="1"/>
  <c r="AJ75" i="72" s="1" a="1"/>
  <c r="AJ75" i="72" s="1"/>
  <c r="BL72" i="72"/>
  <c r="BC71" i="72" a="1"/>
  <c r="BC71" i="72" s="1"/>
  <c r="BL20" i="72"/>
  <c r="BP25" i="69"/>
  <c r="BH63" i="69"/>
  <c r="AF18" i="72" a="1"/>
  <c r="AF18" i="72" s="1"/>
  <c r="AJ18" i="72" s="1" a="1"/>
  <c r="AJ18" i="72" s="1"/>
  <c r="AY69" i="69" a="1"/>
  <c r="AY69" i="69" s="1"/>
  <c r="AF29" i="72" a="1"/>
  <c r="AF29" i="72" s="1"/>
  <c r="AJ29" i="72" s="1" a="1"/>
  <c r="AJ29" i="72" s="1"/>
  <c r="E30" i="69"/>
  <c r="BO38" i="69"/>
  <c r="BR38" i="69" s="1"/>
  <c r="BT30" i="72"/>
  <c r="AQ95" i="69" a="1"/>
  <c r="AQ95" i="69" s="1"/>
  <c r="BF1767" i="13"/>
  <c r="BD75" i="4"/>
  <c r="AF59" i="72" a="1"/>
  <c r="AF59" i="72" s="1"/>
  <c r="AJ59" i="72" s="1" a="1"/>
  <c r="AJ59" i="72" s="1"/>
  <c r="BH89" i="69"/>
  <c r="BI26" i="69"/>
  <c r="BL24" i="72"/>
  <c r="BS6" i="69"/>
  <c r="BD90" i="4"/>
  <c r="BS16" i="69"/>
  <c r="E41" i="72"/>
  <c r="AE68" i="69" a="1"/>
  <c r="AE68" i="69" s="1"/>
  <c r="AE72" i="69" a="1"/>
  <c r="AE72" i="69" s="1"/>
  <c r="E72" i="69"/>
  <c r="BM57" i="72"/>
  <c r="BD81" i="4"/>
  <c r="BC65" i="72" a="1"/>
  <c r="BC65" i="72" s="1"/>
  <c r="C20" i="72"/>
  <c r="D20" i="72" s="1" a="1"/>
  <c r="D20" i="72" s="1"/>
  <c r="BH80" i="69"/>
  <c r="BC93" i="72" a="1"/>
  <c r="BC93" i="72" s="1"/>
  <c r="G78" i="72"/>
  <c r="BO69" i="69"/>
  <c r="BR69" i="69" s="1"/>
  <c r="E50" i="69"/>
  <c r="AY35" i="69" a="1"/>
  <c r="AY35" i="69" s="1"/>
  <c r="AF70" i="72" a="1"/>
  <c r="AF70" i="72" s="1"/>
  <c r="AJ70" i="72" s="1" a="1"/>
  <c r="AJ70" i="72" s="1"/>
  <c r="BU30" i="72" a="1"/>
  <c r="BU30" i="72" s="1"/>
  <c r="AW94" i="69" a="1"/>
  <c r="AW94" i="69" s="1"/>
  <c r="AZ95" i="69" a="1"/>
  <c r="AZ95" i="69" s="1"/>
  <c r="BW15" i="72"/>
  <c r="BS57" i="72"/>
  <c r="BV57" i="72" s="1"/>
  <c r="AY42" i="69" a="1"/>
  <c r="AY42" i="69" s="1"/>
  <c r="DD63" i="4" a="1"/>
  <c r="DD63" i="4" s="1"/>
  <c r="BK42" i="69"/>
  <c r="O49" i="72"/>
  <c r="BP73" i="69"/>
  <c r="BO73" i="69" s="1"/>
  <c r="BR73" i="69" s="1"/>
  <c r="BO48" i="69"/>
  <c r="BR48" i="69" s="1"/>
  <c r="BT6" i="72"/>
  <c r="BW33" i="72"/>
  <c r="BD66" i="4"/>
  <c r="AD40" i="69"/>
  <c r="E7" i="72"/>
  <c r="AF57" i="72" a="1"/>
  <c r="AF57" i="72" s="1"/>
  <c r="AJ57" i="72" s="1" a="1"/>
  <c r="AJ57" i="72" s="1"/>
  <c r="AE7" i="69" a="1"/>
  <c r="AE7" i="69" s="1"/>
  <c r="BH71" i="69"/>
  <c r="BP75" i="69"/>
  <c r="BU65" i="72" a="1"/>
  <c r="BU65" i="72" s="1"/>
  <c r="BW83" i="72"/>
  <c r="AF63" i="72" a="1"/>
  <c r="AF63" i="72" s="1"/>
  <c r="AJ63" i="72" s="1" a="1"/>
  <c r="AJ63" i="72" s="1"/>
  <c r="BL69" i="72"/>
  <c r="BS43" i="72"/>
  <c r="BV43" i="72" s="1"/>
  <c r="AT95" i="69" a="1"/>
  <c r="AT95" i="69" s="1"/>
  <c r="E77" i="72"/>
  <c r="BW22" i="72"/>
  <c r="BW14" i="72"/>
  <c r="F249" i="15" a="1"/>
  <c r="F249" i="15" s="1"/>
  <c r="BT13" i="72"/>
  <c r="E45" i="72"/>
  <c r="AF32" i="72" a="1"/>
  <c r="AF32" i="72" s="1"/>
  <c r="AJ32" i="72" s="1" a="1"/>
  <c r="AJ32" i="72" s="1"/>
  <c r="L7" i="72"/>
  <c r="U56" i="69" a="1"/>
  <c r="U56" i="69" s="1"/>
  <c r="AE28" i="69" a="1"/>
  <c r="AE28" i="69" s="1"/>
  <c r="BW72" i="72"/>
  <c r="BT71" i="72"/>
  <c r="BU84" i="72" a="1"/>
  <c r="BU84" i="72" s="1"/>
  <c r="AE21" i="69" a="1"/>
  <c r="AE21" i="69" s="1"/>
  <c r="H479" i="15" a="1"/>
  <c r="H479" i="15" s="1"/>
  <c r="H20" i="72"/>
  <c r="BW11" i="72"/>
  <c r="BS18" i="69"/>
  <c r="BS74" i="72"/>
  <c r="BV74" i="72" s="1"/>
  <c r="BP50" i="69"/>
  <c r="BS90" i="69"/>
  <c r="BC70" i="72" a="1"/>
  <c r="BC70" i="72" s="1"/>
  <c r="BW30" i="72"/>
  <c r="BC73" i="72" a="1"/>
  <c r="BC73" i="72" s="1"/>
  <c r="BU59" i="72" a="1"/>
  <c r="BU59" i="72" s="1"/>
  <c r="AD42" i="69"/>
  <c r="AF77" i="72" a="1"/>
  <c r="AF77" i="72" s="1"/>
  <c r="AJ77" i="72" s="1" a="1"/>
  <c r="AJ77" i="72" s="1"/>
  <c r="DE97" i="4"/>
  <c r="AF62" i="72" a="1"/>
  <c r="AF62" i="72" s="1"/>
  <c r="AJ62" i="72" s="1" a="1"/>
  <c r="AJ62" i="72" s="1"/>
  <c r="BC12" i="72" a="1"/>
  <c r="BC12" i="72" s="1"/>
  <c r="AY72" i="69" a="1"/>
  <c r="AY72" i="69" s="1"/>
  <c r="E53" i="69"/>
  <c r="BS84" i="69"/>
  <c r="E27" i="69"/>
  <c r="F154" i="15" a="1"/>
  <c r="F154" i="15" s="1"/>
  <c r="AY92" i="69" a="1"/>
  <c r="AY92" i="69" s="1"/>
  <c r="BS52" i="72"/>
  <c r="BV52" i="72" s="1"/>
  <c r="AY43" i="69" a="1"/>
  <c r="AY43" i="69" s="1"/>
  <c r="L38" i="72"/>
  <c r="BH74" i="69"/>
  <c r="AV1391" i="13"/>
  <c r="G95" i="72"/>
  <c r="G95" i="69"/>
  <c r="BS49" i="69"/>
  <c r="BL85" i="72"/>
  <c r="BU22" i="72" a="1"/>
  <c r="BU22" i="72" s="1"/>
  <c r="AE48" i="69" a="1"/>
  <c r="AE48" i="69" s="1"/>
  <c r="AZ48" i="69" s="1" a="1"/>
  <c r="AZ48" i="69" s="1"/>
  <c r="BS36" i="69"/>
  <c r="BP76" i="69"/>
  <c r="BO76" i="69" s="1"/>
  <c r="BR76" i="69" s="1"/>
  <c r="BH39" i="69"/>
  <c r="BS56" i="72"/>
  <c r="BV56" i="72" s="1"/>
  <c r="E27" i="72"/>
  <c r="BH17" i="69"/>
  <c r="AE40" i="69" a="1"/>
  <c r="AE40" i="69" s="1"/>
  <c r="BO79" i="69"/>
  <c r="BR79" i="69" s="1"/>
  <c r="BW32" i="72"/>
  <c r="BI53" i="69"/>
  <c r="AF44" i="72" a="1"/>
  <c r="AF44" i="72" s="1"/>
  <c r="AJ44" i="72" s="1" a="1"/>
  <c r="AJ44" i="72" s="1"/>
  <c r="BH83" i="69"/>
  <c r="AE66" i="69" a="1"/>
  <c r="AE66" i="69" s="1"/>
  <c r="BU80" i="72" a="1"/>
  <c r="BU80" i="72" s="1"/>
  <c r="BO93" i="69"/>
  <c r="BR93" i="69" s="1"/>
  <c r="E46" i="69"/>
  <c r="AE85" i="69" a="1"/>
  <c r="AE85" i="69" s="1"/>
  <c r="D19" i="72" a="1"/>
  <c r="D19" i="72" s="1"/>
  <c r="BS33" i="69"/>
  <c r="AE53" i="69" a="1"/>
  <c r="AE53" i="69" s="1"/>
  <c r="BL66" i="72"/>
  <c r="BS63" i="72"/>
  <c r="BV63" i="72" s="1"/>
  <c r="BS38" i="69"/>
  <c r="BS8" i="72"/>
  <c r="BV8" i="72" s="1"/>
  <c r="AY82" i="69" a="1"/>
  <c r="AY82" i="69" s="1"/>
  <c r="BC82" i="72" a="1"/>
  <c r="BC82" i="72" s="1"/>
  <c r="L42" i="72"/>
  <c r="AF42" i="72" a="1"/>
  <c r="AF42" i="72" s="1"/>
  <c r="AJ42" i="72" s="1" a="1"/>
  <c r="AJ42" i="72" s="1"/>
  <c r="BO85" i="69"/>
  <c r="BR85" i="69" s="1"/>
  <c r="L62" i="72"/>
  <c r="AE24" i="69" a="1"/>
  <c r="AE24" i="69" s="1"/>
  <c r="U76" i="69" a="1"/>
  <c r="U76" i="69" s="1"/>
  <c r="BC79" i="72" a="1"/>
  <c r="BC79" i="72" s="1"/>
  <c r="AE41" i="69" a="1"/>
  <c r="AE41" i="69" s="1"/>
  <c r="BT91" i="72"/>
  <c r="AF41" i="72" a="1"/>
  <c r="AF41" i="72" s="1"/>
  <c r="AJ41" i="72" s="1" a="1"/>
  <c r="AJ41" i="72" s="1"/>
  <c r="L53" i="69"/>
  <c r="BH32" i="69"/>
  <c r="BD61" i="4"/>
  <c r="AF84" i="72" a="1"/>
  <c r="AF84" i="72" s="1"/>
  <c r="AJ84" i="72" s="1" a="1"/>
  <c r="AJ84" i="72" s="1"/>
  <c r="BW84" i="72"/>
  <c r="E83" i="72"/>
  <c r="BL52" i="72"/>
  <c r="AY70" i="69" a="1"/>
  <c r="AY70" i="69" s="1"/>
  <c r="AE64" i="69" a="1"/>
  <c r="AE64" i="69" s="1"/>
  <c r="AU64" i="69" s="1" a="1"/>
  <c r="AU64" i="69" s="1"/>
  <c r="E22" i="69"/>
  <c r="BH73" i="69"/>
  <c r="BS87" i="69"/>
  <c r="BH15" i="69"/>
  <c r="BD93" i="4"/>
  <c r="BW67" i="72"/>
  <c r="E51" i="72"/>
  <c r="BS32" i="69"/>
  <c r="BH20" i="69"/>
  <c r="BS44" i="69"/>
  <c r="BS74" i="69"/>
  <c r="BW50" i="72"/>
  <c r="BS64" i="69"/>
  <c r="BH29" i="69"/>
  <c r="BC64" i="72" a="1"/>
  <c r="BC64" i="72" s="1"/>
  <c r="BW82" i="72"/>
  <c r="BS37" i="69"/>
  <c r="BL87" i="72"/>
  <c r="BH59" i="69"/>
  <c r="E22" i="72"/>
  <c r="AF54" i="72" a="1"/>
  <c r="AF54" i="72" s="1"/>
  <c r="AJ54" i="72" s="1" a="1"/>
  <c r="AJ54" i="72" s="1"/>
  <c r="AF37" i="72" a="1"/>
  <c r="AF37" i="72" s="1"/>
  <c r="AJ37" i="72" s="1" a="1"/>
  <c r="AJ37" i="72" s="1"/>
  <c r="BS41" i="69"/>
  <c r="L19" i="69"/>
  <c r="BC40" i="72" a="1"/>
  <c r="BC40" i="72" s="1"/>
  <c r="AF21" i="72" a="1"/>
  <c r="AF21" i="72" s="1"/>
  <c r="AJ21" i="72" s="1" a="1"/>
  <c r="AJ21" i="72" s="1"/>
  <c r="AE75" i="69" a="1"/>
  <c r="AE75" i="69" s="1"/>
  <c r="AQ75" i="69" s="1" a="1"/>
  <c r="AQ75" i="69" s="1"/>
  <c r="BP92" i="69"/>
  <c r="BO92" i="69" s="1"/>
  <c r="BR92" i="69" s="1"/>
  <c r="AY80" i="69" a="1"/>
  <c r="AY80" i="69" s="1"/>
  <c r="BO66" i="69"/>
  <c r="BR66" i="69" s="1"/>
  <c r="BS52" i="69"/>
  <c r="BC38" i="72" a="1"/>
  <c r="BC38" i="72" s="1"/>
  <c r="AF35" i="72" a="1"/>
  <c r="AF35" i="72" s="1"/>
  <c r="AJ35" i="72" s="1" a="1"/>
  <c r="AJ35" i="72" s="1"/>
  <c r="BW29" i="72"/>
  <c r="AY90" i="69" a="1"/>
  <c r="AY90" i="69" s="1"/>
  <c r="BC50" i="72" a="1"/>
  <c r="BC50" i="72" s="1"/>
  <c r="E35" i="69"/>
  <c r="BP42" i="69"/>
  <c r="BL36" i="72"/>
  <c r="AY5" i="69" a="1"/>
  <c r="AY5" i="69" s="1"/>
  <c r="BH5" i="69"/>
  <c r="AY91" i="69" a="1"/>
  <c r="AY91" i="69" s="1"/>
  <c r="E84" i="72"/>
  <c r="AY20" i="69" a="1"/>
  <c r="AY20" i="69" s="1"/>
  <c r="E92" i="69"/>
  <c r="AE81" i="69" a="1"/>
  <c r="AE81" i="69" s="1"/>
  <c r="E44" i="72"/>
  <c r="L65" i="69"/>
  <c r="BU66" i="72" a="1"/>
  <c r="BU66" i="72" s="1"/>
  <c r="BW66" i="72"/>
  <c r="BS93" i="72"/>
  <c r="BV93" i="72" s="1"/>
  <c r="BW78" i="72"/>
  <c r="AY44" i="69" a="1"/>
  <c r="AY44" i="69" s="1"/>
  <c r="BO44" i="69"/>
  <c r="BR44" i="69" s="1"/>
  <c r="L34" i="69"/>
  <c r="BS34" i="69"/>
  <c r="AY34" i="69" a="1"/>
  <c r="AY34" i="69" s="1"/>
  <c r="BW80" i="72"/>
  <c r="BC80" i="72" a="1"/>
  <c r="BC80" i="72" s="1"/>
  <c r="BW38" i="72"/>
  <c r="BH78" i="69"/>
  <c r="E78" i="69"/>
  <c r="E64" i="69"/>
  <c r="AO95" i="69" a="1"/>
  <c r="AO95" i="69" s="1"/>
  <c r="BW46" i="72"/>
  <c r="E85" i="72"/>
  <c r="E89" i="72"/>
  <c r="BT49" i="72"/>
  <c r="BS49" i="72" s="1"/>
  <c r="BV49" i="72" s="1"/>
  <c r="BS8" i="69"/>
  <c r="BT82" i="72"/>
  <c r="BW42" i="72"/>
  <c r="BC54" i="72" a="1"/>
  <c r="BC54" i="72" s="1"/>
  <c r="E85" i="69"/>
  <c r="AE67" i="69" a="1"/>
  <c r="AE67" i="69" s="1"/>
  <c r="L48" i="72"/>
  <c r="BW48" i="72"/>
  <c r="AY15" i="69" a="1"/>
  <c r="AY15" i="69" s="1"/>
  <c r="AY24" i="69" a="1"/>
  <c r="AY24" i="69" s="1"/>
  <c r="BQ76" i="69" a="1"/>
  <c r="BQ76" i="69" s="1"/>
  <c r="AY33" i="69" a="1"/>
  <c r="AY33" i="69" s="1"/>
  <c r="AF33" i="72" a="1"/>
  <c r="AF33" i="72" s="1"/>
  <c r="AJ33" i="72" s="1" a="1"/>
  <c r="AJ33" i="72" s="1"/>
  <c r="E3" i="1" a="1"/>
  <c r="BS79" i="69"/>
  <c r="AE47" i="69" a="1"/>
  <c r="AE47" i="69" s="1"/>
  <c r="BA47" i="69" s="1" a="1"/>
  <c r="BA47" i="69" s="1"/>
  <c r="O32" i="72"/>
  <c r="BL40" i="72"/>
  <c r="E13" i="69"/>
  <c r="E47" i="72"/>
  <c r="E92" i="72"/>
  <c r="AF92" i="72" a="1"/>
  <c r="AF92" i="72" s="1"/>
  <c r="AF72" i="72" a="1"/>
  <c r="AF72" i="72" s="1"/>
  <c r="AJ72" i="72" s="1" a="1"/>
  <c r="AJ72" i="72" s="1"/>
  <c r="BW20" i="72"/>
  <c r="BS20" i="69"/>
  <c r="BU11" i="72" a="1"/>
  <c r="BU11" i="72" s="1"/>
  <c r="BH65" i="69"/>
  <c r="AE65" i="69" a="1"/>
  <c r="AE65" i="69" s="1"/>
  <c r="AQ65" i="69" s="1" a="1"/>
  <c r="AQ65" i="69" s="1"/>
  <c r="BT66" i="72"/>
  <c r="AF66" i="72" a="1"/>
  <c r="AF66" i="72" s="1"/>
  <c r="AJ66" i="72" s="1" a="1"/>
  <c r="AJ66" i="72" s="1"/>
  <c r="L18" i="69"/>
  <c r="AF80" i="72" a="1"/>
  <c r="AF80" i="72" s="1"/>
  <c r="AJ80" i="72" s="1" a="1"/>
  <c r="AJ80" i="72" s="1"/>
  <c r="E74" i="72"/>
  <c r="BS93" i="69"/>
  <c r="AE50" i="69" a="1"/>
  <c r="AE50" i="69" s="1"/>
  <c r="AX50" i="69" s="1" a="1"/>
  <c r="AX50" i="69" s="1"/>
  <c r="BL38" i="72"/>
  <c r="BC29" i="72" a="1"/>
  <c r="BC29" i="72" s="1"/>
  <c r="BW43" i="72"/>
  <c r="E70" i="72"/>
  <c r="X95" i="4"/>
  <c r="BT73" i="72"/>
  <c r="BS73" i="72" s="1"/>
  <c r="BV73" i="72" s="1"/>
  <c r="BL73" i="72"/>
  <c r="BH22" i="69"/>
  <c r="BP49" i="69"/>
  <c r="BO49" i="69" s="1"/>
  <c r="BR49" i="69" s="1"/>
  <c r="AE49" i="69" a="1"/>
  <c r="AE49" i="69" s="1"/>
  <c r="AU49" i="69" s="1" a="1"/>
  <c r="AU49" i="69" s="1"/>
  <c r="AF73" i="72" a="1"/>
  <c r="AF73" i="72" s="1"/>
  <c r="AJ73" i="72" s="1" a="1"/>
  <c r="AJ73" i="72" s="1"/>
  <c r="E82" i="69"/>
  <c r="AF46" i="72" a="1"/>
  <c r="AF46" i="72" s="1"/>
  <c r="AJ46" i="72" s="1" a="1"/>
  <c r="AJ46" i="72" s="1"/>
  <c r="E42" i="69"/>
  <c r="E89" i="69"/>
  <c r="E82" i="72"/>
  <c r="BS26" i="69"/>
  <c r="BS12" i="69"/>
  <c r="BT48" i="72"/>
  <c r="BS48" i="72" s="1"/>
  <c r="BV48" i="72" s="1"/>
  <c r="BL48" i="72"/>
  <c r="BW62" i="72"/>
  <c r="AE39" i="69" a="1"/>
  <c r="AE39" i="69" s="1"/>
  <c r="AT39" i="69" s="1" a="1"/>
  <c r="AT39" i="69" s="1"/>
  <c r="BL67" i="72"/>
  <c r="AE57" i="69" a="1"/>
  <c r="AE57" i="69" s="1"/>
  <c r="BH19" i="69"/>
  <c r="E19" i="69"/>
  <c r="BC45" i="72" a="1"/>
  <c r="BC45" i="72" s="1"/>
  <c r="AE14" i="69" a="1"/>
  <c r="AE14" i="69" s="1"/>
  <c r="BA14" i="69" s="1" a="1"/>
  <c r="BA14" i="69" s="1"/>
  <c r="AF53" i="72" a="1"/>
  <c r="AF53" i="72" s="1"/>
  <c r="AJ53" i="72" s="1" a="1"/>
  <c r="AJ53" i="72" s="1"/>
  <c r="BT32" i="72"/>
  <c r="BP5" i="69"/>
  <c r="AE5" i="69" a="1"/>
  <c r="AE5" i="69" s="1"/>
  <c r="BP84" i="69"/>
  <c r="E65" i="72"/>
  <c r="E20" i="72"/>
  <c r="BT11" i="72"/>
  <c r="BS18" i="72"/>
  <c r="BV18" i="72" s="1"/>
  <c r="BQ80" i="69" a="1"/>
  <c r="BQ80" i="69" s="1"/>
  <c r="BC63" i="72" a="1"/>
  <c r="BC63" i="72" s="1"/>
  <c r="BS69" i="69"/>
  <c r="AE34" i="69" a="1"/>
  <c r="AE34" i="69" s="1"/>
  <c r="BQ18" i="69" a="1"/>
  <c r="BQ18" i="69" s="1"/>
  <c r="S70" i="72"/>
  <c r="BW86" i="72"/>
  <c r="AE89" i="69" a="1"/>
  <c r="AE89" i="69" s="1"/>
  <c r="L8" i="72"/>
  <c r="BM64" i="72"/>
  <c r="BL64" i="72"/>
  <c r="AY22" i="69" a="1"/>
  <c r="AY22" i="69" s="1"/>
  <c r="BL49" i="72"/>
  <c r="AY37" i="69" a="1"/>
  <c r="AY37" i="69" s="1"/>
  <c r="AE59" i="69" a="1"/>
  <c r="AE59" i="69" s="1"/>
  <c r="BH48" i="69"/>
  <c r="AY54" i="69" a="1"/>
  <c r="AY54" i="69" s="1"/>
  <c r="BW6" i="72"/>
  <c r="AE87" i="69" a="1"/>
  <c r="AE87" i="69" s="1"/>
  <c r="AE36" i="69" a="1"/>
  <c r="AE36" i="69" s="1"/>
  <c r="AD51" i="69"/>
  <c r="BL26" i="72"/>
  <c r="BS76" i="69"/>
  <c r="E76" i="69"/>
  <c r="BW56" i="72"/>
  <c r="BT33" i="72"/>
  <c r="BS33" i="72" s="1"/>
  <c r="BV33" i="72" s="1"/>
  <c r="BU13" i="72" a="1"/>
  <c r="BU13" i="72" s="1"/>
  <c r="BV13" i="69"/>
  <c r="AY45" i="69" a="1"/>
  <c r="AY45" i="69" s="1"/>
  <c r="L5" i="69"/>
  <c r="AY93" i="69" a="1"/>
  <c r="AY93" i="69" s="1"/>
  <c r="AY78" i="69" a="1"/>
  <c r="AY78" i="69" s="1"/>
  <c r="AE29" i="69" a="1"/>
  <c r="AE29" i="69" s="1"/>
  <c r="BL46" i="72"/>
  <c r="AF82" i="72" a="1"/>
  <c r="AF82" i="72" s="1"/>
  <c r="AJ82" i="72" s="1" a="1"/>
  <c r="AJ82" i="72" s="1"/>
  <c r="AY61" i="69" a="1"/>
  <c r="AY61" i="69" s="1"/>
  <c r="E37" i="72"/>
  <c r="AY67" i="69" a="1"/>
  <c r="AY67" i="69" s="1"/>
  <c r="E17" i="72"/>
  <c r="AF17" i="72" a="1"/>
  <c r="AF17" i="72" s="1"/>
  <c r="AJ17" i="72" s="1" a="1"/>
  <c r="AJ17" i="72" s="1"/>
  <c r="G79" i="72"/>
  <c r="BL33" i="72"/>
  <c r="BL14" i="72"/>
  <c r="BH79" i="69"/>
  <c r="AF5" i="72" a="1"/>
  <c r="AF5" i="72" s="1"/>
  <c r="AJ5" i="72" s="1" a="1"/>
  <c r="AJ5" i="72" s="1"/>
  <c r="BH47" i="69"/>
  <c r="E45" i="69"/>
  <c r="BV56" i="69"/>
  <c r="BC57" i="72" a="1"/>
  <c r="BC57" i="72" s="1"/>
  <c r="BL68" i="72"/>
  <c r="BL75" i="72"/>
  <c r="AF65" i="72" a="1"/>
  <c r="AF65" i="72" s="1"/>
  <c r="AJ65" i="72" s="1" a="1"/>
  <c r="AJ65" i="72" s="1"/>
  <c r="AY21" i="69" a="1"/>
  <c r="AY21" i="69" s="1"/>
  <c r="BT20" i="72"/>
  <c r="E63" i="69"/>
  <c r="AF81" i="72" a="1"/>
  <c r="AF81" i="72" s="1"/>
  <c r="AJ81" i="72" s="1" a="1"/>
  <c r="AJ81" i="72" s="1"/>
  <c r="AG94" i="69" a="1"/>
  <c r="AG94" i="69" s="1"/>
  <c r="BT90" i="72"/>
  <c r="E30" i="72"/>
  <c r="BQ89" i="69" a="1"/>
  <c r="BQ89" i="69" s="1"/>
  <c r="AY73" i="69" a="1"/>
  <c r="AY73" i="69" s="1"/>
  <c r="AD12" i="69"/>
  <c r="E76" i="72"/>
  <c r="AY51" i="69" a="1"/>
  <c r="AY51" i="69" s="1"/>
  <c r="BW17" i="72"/>
  <c r="AE15" i="69" a="1"/>
  <c r="AE15" i="69" s="1"/>
  <c r="E19" i="72"/>
  <c r="BW12" i="72"/>
  <c r="BU79" i="72" a="1"/>
  <c r="BU79" i="72" s="1"/>
  <c r="BS17" i="69"/>
  <c r="L13" i="72"/>
  <c r="BW13" i="72"/>
  <c r="L79" i="69"/>
  <c r="AF40" i="72" a="1"/>
  <c r="AF40" i="72" s="1"/>
  <c r="AJ40" i="72" s="1" a="1"/>
  <c r="AJ40" i="72" s="1"/>
  <c r="BL7" i="72"/>
  <c r="BL47" i="72"/>
  <c r="AY53" i="69" a="1"/>
  <c r="AY53" i="69" s="1"/>
  <c r="BS53" i="69"/>
  <c r="AE32" i="69" a="1"/>
  <c r="AE32" i="69" s="1"/>
  <c r="BQ7" i="69" a="1"/>
  <c r="BQ7" i="69" s="1"/>
  <c r="AE84" i="69" a="1"/>
  <c r="AE84" i="69" s="1"/>
  <c r="E31" i="69"/>
  <c r="BS31" i="69"/>
  <c r="BL71" i="72"/>
  <c r="AE25" i="69" a="1"/>
  <c r="AE25" i="69" s="1"/>
  <c r="AY25" i="69" a="1"/>
  <c r="AY25" i="69" s="1"/>
  <c r="BL83" i="72"/>
  <c r="H11" i="72"/>
  <c r="E11" i="72"/>
  <c r="AE83" i="69" a="1"/>
  <c r="AE83" i="69" s="1"/>
  <c r="E11" i="69"/>
  <c r="L74" i="72"/>
  <c r="BQ70" i="69" a="1"/>
  <c r="BQ70" i="69" s="1"/>
  <c r="BS70" i="69"/>
  <c r="BW69" i="72"/>
  <c r="BH90" i="69"/>
  <c r="AE74" i="69" a="1"/>
  <c r="AE74" i="69" s="1"/>
  <c r="H38" i="69"/>
  <c r="AY38" i="69" a="1"/>
  <c r="AY38" i="69" s="1"/>
  <c r="BS35" i="69"/>
  <c r="B70" i="72"/>
  <c r="BH46" i="69"/>
  <c r="BT86" i="72"/>
  <c r="BS86" i="72" s="1"/>
  <c r="BV86" i="72" s="1"/>
  <c r="AF86" i="72" a="1"/>
  <c r="AF86" i="72" s="1"/>
  <c r="AJ86" i="72" s="1" a="1"/>
  <c r="AJ86" i="72" s="1"/>
  <c r="BS30" i="72"/>
  <c r="BV30" i="72" s="1"/>
  <c r="BS22" i="69"/>
  <c r="BT55" i="4"/>
  <c r="AY26" i="69" a="1"/>
  <c r="AY26" i="69" s="1"/>
  <c r="BI12" i="69"/>
  <c r="AF76" i="72" a="1"/>
  <c r="AF76" i="72" s="1"/>
  <c r="AJ76" i="72" s="1" a="1"/>
  <c r="AJ76" i="72" s="1"/>
  <c r="AY36" i="69" a="1"/>
  <c r="AY36" i="69" s="1"/>
  <c r="BF58" i="69"/>
  <c r="BW79" i="72"/>
  <c r="E33" i="72"/>
  <c r="BS40" i="69"/>
  <c r="BC39" i="72" a="1"/>
  <c r="BC39" i="72" s="1"/>
  <c r="AE13" i="69" a="1"/>
  <c r="AE13" i="69" s="1"/>
  <c r="AP13" i="69" s="1" a="1"/>
  <c r="AP13" i="69" s="1"/>
  <c r="BH45" i="69"/>
  <c r="BO28" i="69"/>
  <c r="BR28" i="69" s="1"/>
  <c r="E57" i="72"/>
  <c r="BL31" i="72"/>
  <c r="BC68" i="72" a="1"/>
  <c r="BC68" i="72" s="1"/>
  <c r="L7" i="69"/>
  <c r="AE90" i="69" a="1"/>
  <c r="AE90" i="69" s="1"/>
  <c r="BN90" i="69" s="1" a="1"/>
  <c r="BN90" i="69" s="1"/>
  <c r="E90" i="69"/>
  <c r="BS86" i="69"/>
  <c r="AE86" i="69" a="1"/>
  <c r="AE86" i="69" s="1"/>
  <c r="BN86" i="69" s="1" a="1"/>
  <c r="BN86" i="69" s="1"/>
  <c r="AF43" i="72" a="1"/>
  <c r="AF43" i="72" s="1"/>
  <c r="AJ43" i="72" s="1" a="1"/>
  <c r="AJ43" i="72" s="1"/>
  <c r="AF50" i="72" a="1"/>
  <c r="AF50" i="72" s="1"/>
  <c r="AJ50" i="72" s="1" a="1"/>
  <c r="AJ50" i="72" s="1"/>
  <c r="AU95" i="69" a="1"/>
  <c r="AU95" i="69" s="1"/>
  <c r="BL76" i="72"/>
  <c r="BW76" i="72"/>
  <c r="BL17" i="72"/>
  <c r="AY6" i="69" a="1"/>
  <c r="AY6" i="69" s="1"/>
  <c r="BK33" i="69"/>
  <c r="BT39" i="72"/>
  <c r="E75" i="72"/>
  <c r="BI21" i="69"/>
  <c r="AE20" i="69" a="1"/>
  <c r="AE20" i="69" s="1"/>
  <c r="BS92" i="69"/>
  <c r="AF88" i="72" a="1"/>
  <c r="AF88" i="72" s="1"/>
  <c r="AJ88" i="72" s="1" a="1"/>
  <c r="AJ88" i="72" s="1"/>
  <c r="L25" i="72"/>
  <c r="BS83" i="69"/>
  <c r="BS66" i="69"/>
  <c r="E66" i="69"/>
  <c r="BP86" i="69"/>
  <c r="AM96" i="72" a="1"/>
  <c r="AM96" i="72" s="1"/>
  <c r="BQ35" i="69" a="1"/>
  <c r="BQ35" i="69" s="1"/>
  <c r="E86" i="72"/>
  <c r="BH49" i="69"/>
  <c r="AY77" i="69" a="1"/>
  <c r="AY77" i="69" s="1"/>
  <c r="BW49" i="72"/>
  <c r="BW61" i="72"/>
  <c r="AE8" i="69" a="1"/>
  <c r="AE8" i="69" s="1"/>
  <c r="BT85" i="72"/>
  <c r="BS85" i="72" s="1"/>
  <c r="BV85" i="72" s="1"/>
  <c r="E37" i="69"/>
  <c r="AY59" i="69" a="1"/>
  <c r="AY59" i="69" s="1"/>
  <c r="BS59" i="69"/>
  <c r="BL54" i="72"/>
  <c r="BU15" i="72" a="1"/>
  <c r="BU15" i="72" s="1"/>
  <c r="AE12" i="69" a="1"/>
  <c r="AE12" i="69" s="1"/>
  <c r="C6" i="72"/>
  <c r="BU76" i="72" a="1"/>
  <c r="BU76" i="72" s="1"/>
  <c r="BQ36" i="69" a="1"/>
  <c r="BQ36" i="69" s="1"/>
  <c r="AF19" i="72" a="1"/>
  <c r="AF19" i="72" s="1"/>
  <c r="AJ19" i="72" s="1" a="1"/>
  <c r="AJ19" i="72" s="1"/>
  <c r="AY76" i="69" a="1"/>
  <c r="AY76" i="69" s="1"/>
  <c r="L39" i="69"/>
  <c r="AE17" i="69" a="1"/>
  <c r="AE17" i="69" s="1"/>
  <c r="AY47" i="69" a="1"/>
  <c r="AY47" i="69" s="1"/>
  <c r="AY16" i="69" a="1"/>
  <c r="AY16" i="69" s="1"/>
  <c r="E32" i="72"/>
  <c r="AY13" i="69" a="1"/>
  <c r="AY13" i="69" s="1"/>
  <c r="BH56" i="69"/>
  <c r="BU31" i="72" a="1"/>
  <c r="BU31" i="72" s="1"/>
  <c r="E7" i="69"/>
  <c r="AY71" i="69" a="1"/>
  <c r="AY71" i="69" s="1"/>
  <c r="BT21" i="72"/>
  <c r="BW21" i="72"/>
  <c r="AE27" i="69" a="1"/>
  <c r="AE27" i="69" s="1"/>
  <c r="AY31" i="69" a="1"/>
  <c r="AY31" i="69" s="1"/>
  <c r="BW71" i="72"/>
  <c r="L25" i="69"/>
  <c r="BS81" i="69"/>
  <c r="AF25" i="72" a="1"/>
  <c r="AF25" i="72" s="1"/>
  <c r="AJ25" i="72" s="1" a="1"/>
  <c r="AJ25" i="72" s="1"/>
  <c r="E25" i="72"/>
  <c r="BC74" i="72" a="1"/>
  <c r="BC74" i="72" s="1"/>
  <c r="BH93" i="69"/>
  <c r="BO50" i="69"/>
  <c r="BR50" i="69" s="1"/>
  <c r="BS78" i="69"/>
  <c r="AE70" i="69" a="1"/>
  <c r="AE70" i="69" s="1"/>
  <c r="BN70" i="69" s="1" a="1"/>
  <c r="BN70" i="69" s="1"/>
  <c r="BH35" i="69"/>
  <c r="BS46" i="69"/>
  <c r="BC87" i="72" a="1"/>
  <c r="BC87" i="72" s="1"/>
  <c r="BL22" i="72"/>
  <c r="BO6" i="69"/>
  <c r="BR6" i="69" s="1"/>
  <c r="AF36" i="72" a="1"/>
  <c r="AF36" i="72" s="1"/>
  <c r="AJ36" i="72" s="1" a="1"/>
  <c r="AJ36" i="72" s="1"/>
  <c r="BC36" i="72" a="1"/>
  <c r="BC36" i="72" s="1"/>
  <c r="BC51" i="72" a="1"/>
  <c r="BC51" i="72" s="1"/>
  <c r="BP19" i="69"/>
  <c r="BO19" i="69" s="1"/>
  <c r="BR19" i="69" s="1"/>
  <c r="E39" i="72"/>
  <c r="BW53" i="72"/>
  <c r="D13" i="69" a="1"/>
  <c r="D13" i="69" s="1"/>
  <c r="BC31" i="72" a="1"/>
  <c r="BC31" i="72" s="1"/>
  <c r="AY7" i="69" a="1"/>
  <c r="AY7" i="69" s="1"/>
  <c r="BC75" i="72" a="1"/>
  <c r="BC75" i="72" s="1"/>
  <c r="AY75" i="69" a="1"/>
  <c r="AY75" i="69" s="1"/>
  <c r="BU25" i="72" a="1"/>
  <c r="BU25" i="72" s="1"/>
  <c r="AY11" i="69" a="1"/>
  <c r="AY11" i="69" s="1"/>
  <c r="AY66" i="69" a="1"/>
  <c r="AY66" i="69" s="1"/>
  <c r="AE93" i="69" a="1"/>
  <c r="AE93" i="69" s="1"/>
  <c r="AY49" i="69" a="1"/>
  <c r="AY49" i="69" s="1"/>
  <c r="BC8" i="72" a="1"/>
  <c r="BC8" i="72" s="1"/>
  <c r="BC85" i="72" a="1"/>
  <c r="BC85" i="72" s="1"/>
  <c r="AY89" i="69" a="1"/>
  <c r="AY89" i="69" s="1"/>
  <c r="BT42" i="72"/>
  <c r="BS42" i="72" s="1"/>
  <c r="BV42" i="72" s="1"/>
  <c r="E61" i="69"/>
  <c r="BC76" i="72" a="1"/>
  <c r="BC76" i="72" s="1"/>
  <c r="E48" i="72"/>
  <c r="BS15" i="69"/>
  <c r="BW36" i="72"/>
  <c r="AY39" i="69" a="1"/>
  <c r="AY39" i="69" s="1"/>
  <c r="BO39" i="69"/>
  <c r="BR39" i="69" s="1"/>
  <c r="BH33" i="69"/>
  <c r="BH57" i="69"/>
  <c r="BW27" i="72"/>
  <c r="AY19" i="69" a="1"/>
  <c r="AY19" i="69" s="1"/>
  <c r="E13" i="72"/>
  <c r="BH14" i="69"/>
  <c r="BS14" i="69"/>
  <c r="BW31" i="72"/>
  <c r="BS7" i="69"/>
  <c r="BW75" i="72"/>
  <c r="BL21" i="72"/>
  <c r="BS71" i="72"/>
  <c r="BV71" i="72" s="1"/>
  <c r="AY63" i="69" a="1"/>
  <c r="AY63" i="69" s="1"/>
  <c r="BL44" i="72"/>
  <c r="BW18" i="72"/>
  <c r="E63" i="72"/>
  <c r="BJ97" i="4"/>
  <c r="BI55" i="4"/>
  <c r="BA103" i="4"/>
  <c r="Z1772" i="13" s="1"/>
  <c r="DF55" i="4"/>
  <c r="BN62" i="69" a="1"/>
  <c r="BN62" i="69" s="1"/>
  <c r="BA62" i="69" a="1"/>
  <c r="BA62" i="69" s="1"/>
  <c r="AO62" i="69" a="1"/>
  <c r="AO62" i="69" s="1"/>
  <c r="AU62" i="69" a="1"/>
  <c r="AU62" i="69" s="1"/>
  <c r="AZ62" i="69" a="1"/>
  <c r="AZ62" i="69" s="1"/>
  <c r="AQ62" i="69" a="1"/>
  <c r="AQ62" i="69" s="1"/>
  <c r="AX62" i="69" a="1"/>
  <c r="AX62" i="69" s="1"/>
  <c r="I62" i="15" a="1"/>
  <c r="I62" i="15" s="1"/>
  <c r="G62" i="15"/>
  <c r="AO21" i="69" a="1"/>
  <c r="AO21" i="69" s="1"/>
  <c r="AU21" i="69" a="1"/>
  <c r="AU21" i="69" s="1"/>
  <c r="AQ21" i="69" a="1"/>
  <c r="AQ21" i="69" s="1"/>
  <c r="BA21" i="69" a="1"/>
  <c r="BA21" i="69" s="1"/>
  <c r="AX21" i="69" a="1"/>
  <c r="AX21" i="69" s="1"/>
  <c r="I210" i="15" a="1"/>
  <c r="I210" i="15" s="1"/>
  <c r="O18" i="72"/>
  <c r="O18" i="69"/>
  <c r="BK18" i="69"/>
  <c r="BO18" i="72"/>
  <c r="BO22" i="72"/>
  <c r="O22" i="69"/>
  <c r="BK22" i="69"/>
  <c r="AD22" i="69"/>
  <c r="O22" i="72"/>
  <c r="I154" i="15" a="1"/>
  <c r="I154" i="15" s="1"/>
  <c r="O21" i="69"/>
  <c r="BO21" i="72"/>
  <c r="O21" i="72"/>
  <c r="AD21" i="69"/>
  <c r="BK21" i="69"/>
  <c r="BD29" i="72" a="1"/>
  <c r="BD29" i="72" s="1"/>
  <c r="BE29" i="72" a="1"/>
  <c r="BE29" i="72" s="1"/>
  <c r="AY29" i="72" a="1"/>
  <c r="AY29" i="72" s="1"/>
  <c r="AU29" i="72" a="1"/>
  <c r="AU29" i="72" s="1"/>
  <c r="AS29" i="72" a="1"/>
  <c r="AS29" i="72" s="1"/>
  <c r="AH29" i="72" a="1"/>
  <c r="AH29" i="72" s="1"/>
  <c r="AN29" i="72" a="1"/>
  <c r="AN29" i="72" s="1"/>
  <c r="BB29" i="72" a="1"/>
  <c r="BB29" i="72" s="1"/>
  <c r="AN15" i="72" a="1"/>
  <c r="AN15" i="72" s="1"/>
  <c r="AY15" i="72" a="1"/>
  <c r="AY15" i="72" s="1"/>
  <c r="AU15" i="72" a="1"/>
  <c r="AU15" i="72" s="1"/>
  <c r="AH15" i="72" a="1"/>
  <c r="AH15" i="72" s="1"/>
  <c r="AS15" i="72" a="1"/>
  <c r="AS15" i="72" s="1"/>
  <c r="BE15" i="72" a="1"/>
  <c r="BE15" i="72" s="1"/>
  <c r="BD15" i="72" a="1"/>
  <c r="BD15" i="72" s="1"/>
  <c r="BB15" i="72" a="1"/>
  <c r="BB15" i="72" s="1"/>
  <c r="AP71" i="69" a="1"/>
  <c r="AP71" i="69" s="1"/>
  <c r="BA71" i="69" a="1"/>
  <c r="BA71" i="69" s="1"/>
  <c r="AQ71" i="69" a="1"/>
  <c r="AQ71" i="69" s="1"/>
  <c r="AO71" i="69" a="1"/>
  <c r="AO71" i="69" s="1"/>
  <c r="AZ71" i="69" a="1"/>
  <c r="AZ71" i="69" s="1"/>
  <c r="AU71" i="69" a="1"/>
  <c r="AU71" i="69" s="1"/>
  <c r="AX71" i="69" a="1"/>
  <c r="AX71" i="69" s="1"/>
  <c r="AH18" i="72" a="1"/>
  <c r="AH18" i="72" s="1"/>
  <c r="AN18" i="72" a="1"/>
  <c r="AN18" i="72" s="1"/>
  <c r="AY18" i="72" a="1"/>
  <c r="AY18" i="72" s="1"/>
  <c r="BE18" i="72" a="1"/>
  <c r="BE18" i="72" s="1"/>
  <c r="AU18" i="72" a="1"/>
  <c r="AU18" i="72" s="1"/>
  <c r="BB18" i="72" a="1"/>
  <c r="BB18" i="72" s="1"/>
  <c r="AQ68" i="69" a="1"/>
  <c r="AQ68" i="69" s="1"/>
  <c r="BA68" i="69" a="1"/>
  <c r="BA68" i="69" s="1"/>
  <c r="AZ68" i="69" a="1"/>
  <c r="AZ68" i="69" s="1"/>
  <c r="AO68" i="69" a="1"/>
  <c r="AO68" i="69" s="1"/>
  <c r="AU68" i="69" a="1"/>
  <c r="AU68" i="69" s="1"/>
  <c r="AX68" i="69" a="1"/>
  <c r="AX68" i="69" s="1"/>
  <c r="BA30" i="69" a="1"/>
  <c r="BA30" i="69" s="1"/>
  <c r="AQ30" i="69" a="1"/>
  <c r="AQ30" i="69" s="1"/>
  <c r="AZ30" i="69" a="1"/>
  <c r="AZ30" i="69" s="1"/>
  <c r="AU30" i="69" a="1"/>
  <c r="AU30" i="69" s="1"/>
  <c r="AO30" i="69" a="1"/>
  <c r="AO30" i="69" s="1"/>
  <c r="AX79" i="69" a="1"/>
  <c r="AX79" i="69" s="1"/>
  <c r="AU79" i="69" a="1"/>
  <c r="AU79" i="69" s="1"/>
  <c r="AO79" i="69" a="1"/>
  <c r="AO79" i="69" s="1"/>
  <c r="AQ79" i="69" a="1"/>
  <c r="AQ79" i="69" s="1"/>
  <c r="AZ79" i="69" a="1"/>
  <c r="AZ79" i="69" s="1"/>
  <c r="BA79" i="69" a="1"/>
  <c r="BA79" i="69" s="1"/>
  <c r="CX97" i="4"/>
  <c r="BD77" i="72" a="1"/>
  <c r="BD77" i="72" s="1"/>
  <c r="AY77" i="72" a="1"/>
  <c r="AY77" i="72" s="1"/>
  <c r="AS77" i="72" a="1"/>
  <c r="AS77" i="72" s="1"/>
  <c r="AH77" i="72" a="1"/>
  <c r="AH77" i="72" s="1"/>
  <c r="AU77" i="72" a="1"/>
  <c r="AU77" i="72" s="1"/>
  <c r="AO48" i="69" a="1"/>
  <c r="AO48" i="69" s="1"/>
  <c r="BA48" i="69" a="1"/>
  <c r="BA48" i="69" s="1"/>
  <c r="AU48" i="69" a="1"/>
  <c r="AU48" i="69" s="1"/>
  <c r="AX48" i="69" a="1"/>
  <c r="AX48" i="69" s="1"/>
  <c r="AU63" i="72" a="1"/>
  <c r="AU63" i="72" s="1"/>
  <c r="AN63" i="72" a="1"/>
  <c r="AN63" i="72" s="1"/>
  <c r="BD63" i="72" a="1"/>
  <c r="BD63" i="72" s="1"/>
  <c r="AH63" i="72" a="1"/>
  <c r="AH63" i="72" s="1"/>
  <c r="AS63" i="72" a="1"/>
  <c r="AS63" i="72" s="1"/>
  <c r="BB63" i="72" a="1"/>
  <c r="BB63" i="72" s="1"/>
  <c r="AO64" i="69" a="1"/>
  <c r="AO64" i="69" s="1"/>
  <c r="AZ64" i="69" a="1"/>
  <c r="AZ64" i="69" s="1"/>
  <c r="I55" i="15" a="1"/>
  <c r="I55" i="15" s="1"/>
  <c r="G55" i="15"/>
  <c r="BM8" i="69" a="1"/>
  <c r="BM8" i="69" s="1"/>
  <c r="BT8" i="69"/>
  <c r="BD8" i="69"/>
  <c r="R8" i="69"/>
  <c r="BG8" i="69"/>
  <c r="DV95" i="4"/>
  <c r="AV597" i="13"/>
  <c r="AY597" i="13" s="1"/>
  <c r="BR75" i="4"/>
  <c r="BJ8" i="72"/>
  <c r="BI8" i="72"/>
  <c r="D64" i="72" a="1"/>
  <c r="D64" i="72" s="1"/>
  <c r="Y60" i="69"/>
  <c r="AS60" i="69"/>
  <c r="Q60" i="69"/>
  <c r="G60" i="69"/>
  <c r="S60" i="69"/>
  <c r="Z60" i="69"/>
  <c r="AC60" i="69"/>
  <c r="BB60" i="69"/>
  <c r="P60" i="69"/>
  <c r="AB60" i="69" a="1"/>
  <c r="AB60" i="69" s="1"/>
  <c r="J60" i="69"/>
  <c r="U60" i="69" a="1"/>
  <c r="U60" i="69" s="1"/>
  <c r="V60" i="69"/>
  <c r="B60" i="69" s="1"/>
  <c r="T60" i="69"/>
  <c r="AR60" i="69"/>
  <c r="N60" i="69" a="1"/>
  <c r="N60" i="69" s="1"/>
  <c r="BC60" i="69"/>
  <c r="W60" i="69"/>
  <c r="BQ60" i="69" s="1" a="1"/>
  <c r="BQ60" i="69" s="1"/>
  <c r="A60" i="69"/>
  <c r="M60" i="69"/>
  <c r="AA60" i="69"/>
  <c r="BU60" i="69"/>
  <c r="Z1584" i="13"/>
  <c r="AV1480" i="13"/>
  <c r="A1579" i="13"/>
  <c r="AX1480" i="13"/>
  <c r="BW8" i="72"/>
  <c r="E8" i="72"/>
  <c r="I573" i="15" a="1"/>
  <c r="I573" i="15" s="1"/>
  <c r="BZ89" i="72"/>
  <c r="E73" i="72"/>
  <c r="BT46" i="72"/>
  <c r="BH46" i="72"/>
  <c r="AR46" i="72"/>
  <c r="BX46" i="72"/>
  <c r="BK46" i="72"/>
  <c r="R46" i="72"/>
  <c r="BQ46" i="72" a="1"/>
  <c r="BQ46" i="72" s="1"/>
  <c r="DD69" i="4" a="1"/>
  <c r="DD69" i="4" s="1"/>
  <c r="AX1475" i="13"/>
  <c r="AV1475" i="13"/>
  <c r="Z1579" i="13"/>
  <c r="A1574" i="13"/>
  <c r="L59" i="72"/>
  <c r="AR59" i="72"/>
  <c r="BX59" i="72"/>
  <c r="BK59" i="72"/>
  <c r="R59" i="72"/>
  <c r="BQ59" i="72" a="1"/>
  <c r="BQ59" i="72" s="1"/>
  <c r="BH59" i="72"/>
  <c r="BR59" i="72" a="1"/>
  <c r="BR59" i="72" s="1"/>
  <c r="AT59" i="72" a="1"/>
  <c r="AT59" i="72" s="1"/>
  <c r="AE22" i="69" a="1"/>
  <c r="AE22" i="69" s="1"/>
  <c r="A1514" i="13"/>
  <c r="Z1519" i="13"/>
  <c r="AX1415" i="13"/>
  <c r="AV1415" i="13"/>
  <c r="BO49" i="72"/>
  <c r="AQ49" i="72"/>
  <c r="AG49" i="72"/>
  <c r="BI49" i="72"/>
  <c r="BJ49" i="72"/>
  <c r="E61" i="72"/>
  <c r="BP8" i="69"/>
  <c r="BO8" i="69" s="1"/>
  <c r="BR8" i="69" s="1"/>
  <c r="BE89" i="69"/>
  <c r="BF89" i="69"/>
  <c r="BQ73" i="69" a="1"/>
  <c r="BQ73" i="69" s="1"/>
  <c r="BT73" i="69"/>
  <c r="BG73" i="69"/>
  <c r="R73" i="69"/>
  <c r="BM73" i="69" a="1"/>
  <c r="BM73" i="69" s="1"/>
  <c r="BD73" i="69"/>
  <c r="AQ82" i="72"/>
  <c r="DD62" i="4" a="1"/>
  <c r="DD62" i="4" s="1"/>
  <c r="AE37" i="69" a="1"/>
  <c r="AE37" i="69" s="1"/>
  <c r="BZ87" i="72"/>
  <c r="AX1433" i="13"/>
  <c r="A1532" i="13"/>
  <c r="Z1537" i="13"/>
  <c r="AV1433" i="13"/>
  <c r="BZ22" i="72"/>
  <c r="BZ42" i="72"/>
  <c r="BI42" i="72"/>
  <c r="BJ42" i="72"/>
  <c r="L54" i="72"/>
  <c r="E48" i="69"/>
  <c r="BH54" i="69"/>
  <c r="AR13" i="4"/>
  <c r="AY513" i="13"/>
  <c r="AQ13" i="4"/>
  <c r="CA39" i="4"/>
  <c r="AU39" i="4"/>
  <c r="AV39" i="4" a="1"/>
  <c r="AV39" i="4" s="1"/>
  <c r="AT39" i="4" a="1"/>
  <c r="AT39" i="4" s="1"/>
  <c r="Y39" i="4"/>
  <c r="BQ39" i="4"/>
  <c r="A1510" i="13"/>
  <c r="AV1411" i="13"/>
  <c r="Z1515" i="13"/>
  <c r="AX1411" i="13"/>
  <c r="BV62" i="69"/>
  <c r="AT62" i="69" a="1"/>
  <c r="AT62" i="69" s="1"/>
  <c r="BH61" i="69"/>
  <c r="BP61" i="69"/>
  <c r="BM61" i="69" a="1"/>
  <c r="BM61" i="69" s="1"/>
  <c r="BG61" i="69"/>
  <c r="AW61" i="69" s="1" a="1"/>
  <c r="AW61" i="69" s="1"/>
  <c r="R61" i="69"/>
  <c r="AO61" i="69" s="1" a="1"/>
  <c r="AO61" i="69" s="1"/>
  <c r="BD61" i="69"/>
  <c r="BT61" i="69"/>
  <c r="AP61" i="69" a="1"/>
  <c r="AP61" i="69" s="1"/>
  <c r="BN61" i="69" a="1"/>
  <c r="BN61" i="69" s="1"/>
  <c r="BH26" i="69"/>
  <c r="BE85" i="69"/>
  <c r="AG85" i="69" s="1" a="1"/>
  <c r="AG85" i="69" s="1"/>
  <c r="BF85" i="69"/>
  <c r="H12" i="69"/>
  <c r="I588" i="15" a="1"/>
  <c r="I588" i="15" s="1"/>
  <c r="BM6" i="72"/>
  <c r="BU6" i="72" a="1"/>
  <c r="BU6" i="72" s="1"/>
  <c r="BQ6" i="72" a="1"/>
  <c r="BQ6" i="72" s="1"/>
  <c r="BH6" i="72"/>
  <c r="R6" i="72"/>
  <c r="BK6" i="72"/>
  <c r="AR6" i="72"/>
  <c r="BX6" i="72"/>
  <c r="BZ76" i="72"/>
  <c r="BV87" i="69"/>
  <c r="BV67" i="69"/>
  <c r="AQ48" i="72"/>
  <c r="I445" i="15" a="1"/>
  <c r="I445" i="15" s="1"/>
  <c r="AX62" i="72" a="1"/>
  <c r="AX62" i="72" s="1"/>
  <c r="BZ62" i="72"/>
  <c r="I257" i="15" a="1"/>
  <c r="I257" i="15" s="1"/>
  <c r="BM26" i="72"/>
  <c r="BC19" i="72" a="1"/>
  <c r="BC19" i="72" s="1"/>
  <c r="I108" i="15" a="1"/>
  <c r="I108" i="15" s="1"/>
  <c r="BI6" i="69"/>
  <c r="DD79" i="4" a="1"/>
  <c r="DD79" i="4" s="1"/>
  <c r="BV39" i="69"/>
  <c r="BZ67" i="72"/>
  <c r="A1566" i="13"/>
  <c r="AV1467" i="13"/>
  <c r="AX1467" i="13"/>
  <c r="Z1571" i="13"/>
  <c r="AS51" i="72" a="1"/>
  <c r="AS51" i="72" s="1"/>
  <c r="BE51" i="72" a="1"/>
  <c r="BE51" i="72" s="1"/>
  <c r="BD51" i="72" a="1"/>
  <c r="BD51" i="72" s="1"/>
  <c r="AU51" i="72" a="1"/>
  <c r="AU51" i="72" s="1"/>
  <c r="AY51" i="72" a="1"/>
  <c r="AY51" i="72" s="1"/>
  <c r="AH51" i="72" a="1"/>
  <c r="AH51" i="72" s="1"/>
  <c r="AN51" i="72" a="1"/>
  <c r="AN51" i="72" s="1"/>
  <c r="BU51" i="72" a="1"/>
  <c r="BU51" i="72" s="1"/>
  <c r="AR51" i="72"/>
  <c r="BQ51" i="72" a="1"/>
  <c r="BQ51" i="72" s="1"/>
  <c r="BX51" i="72"/>
  <c r="R51" i="72"/>
  <c r="BK51" i="72"/>
  <c r="AZ51" i="72" s="1" a="1"/>
  <c r="AZ51" i="72" s="1"/>
  <c r="BR51" i="72" a="1"/>
  <c r="BR51" i="72" s="1"/>
  <c r="BH51" i="72"/>
  <c r="AT51" i="72" a="1"/>
  <c r="AT51" i="72" s="1"/>
  <c r="BQ33" i="69" a="1"/>
  <c r="BQ33" i="69" s="1"/>
  <c r="BM33" i="69" a="1"/>
  <c r="BM33" i="69" s="1"/>
  <c r="R33" i="69"/>
  <c r="BD33" i="69"/>
  <c r="BT33" i="69"/>
  <c r="BG33" i="69"/>
  <c r="BC56" i="72" a="1"/>
  <c r="BC56" i="72" s="1"/>
  <c r="BT14" i="72"/>
  <c r="BS14" i="72" s="1"/>
  <c r="BV14" i="72" s="1"/>
  <c r="A1529" i="13"/>
  <c r="Z1534" i="13"/>
  <c r="AV1430" i="13"/>
  <c r="AX1430" i="13"/>
  <c r="AQ27" i="72"/>
  <c r="AD41" i="69"/>
  <c r="BV40" i="69"/>
  <c r="AT40" i="69" a="1"/>
  <c r="AT40" i="69" s="1"/>
  <c r="BV19" i="69"/>
  <c r="AT19" i="69" a="1"/>
  <c r="AT19" i="69" s="1"/>
  <c r="I655" i="15" a="1"/>
  <c r="I655" i="15" s="1"/>
  <c r="BS13" i="72"/>
  <c r="BV13" i="72" s="1"/>
  <c r="D45" i="72" a="1"/>
  <c r="D45" i="72" s="1"/>
  <c r="AR50" i="4"/>
  <c r="AQ50" i="4"/>
  <c r="AY550" i="13"/>
  <c r="BM39" i="72"/>
  <c r="BL5" i="72"/>
  <c r="D47" i="69" a="1"/>
  <c r="D47" i="69" s="1"/>
  <c r="BP14" i="69"/>
  <c r="BO14" i="69" s="1"/>
  <c r="BR14" i="69" s="1"/>
  <c r="D14" i="69" a="1"/>
  <c r="D14" i="69" s="1"/>
  <c r="AT17" i="4" a="1"/>
  <c r="AT17" i="4" s="1"/>
  <c r="AV17" i="4" a="1"/>
  <c r="AV17" i="4" s="1"/>
  <c r="AU17" i="4"/>
  <c r="Y17" i="4"/>
  <c r="BQ17" i="4"/>
  <c r="CA17" i="4"/>
  <c r="BU91" i="72" a="1"/>
  <c r="BU91" i="72" s="1"/>
  <c r="AU41" i="72" a="1"/>
  <c r="AU41" i="72" s="1"/>
  <c r="AY41" i="72" a="1"/>
  <c r="AY41" i="72" s="1"/>
  <c r="AS41" i="72" a="1"/>
  <c r="AS41" i="72" s="1"/>
  <c r="BD41" i="72" a="1"/>
  <c r="BD41" i="72" s="1"/>
  <c r="BE41" i="72" a="1"/>
  <c r="BE41" i="72" s="1"/>
  <c r="AH41" i="72" a="1"/>
  <c r="AH41" i="72" s="1"/>
  <c r="AN41" i="72" a="1"/>
  <c r="AN41" i="72" s="1"/>
  <c r="AQ53" i="72"/>
  <c r="BM40" i="72"/>
  <c r="D49" i="69" a="1"/>
  <c r="D49" i="69" s="1"/>
  <c r="BM7" i="72"/>
  <c r="BZ7" i="72"/>
  <c r="BH13" i="69"/>
  <c r="BU47" i="72" a="1"/>
  <c r="BU47" i="72" s="1"/>
  <c r="I500" i="15" a="1"/>
  <c r="I500" i="15" s="1"/>
  <c r="K28" i="69" a="1"/>
  <c r="K28" i="69" s="1"/>
  <c r="BK28" i="69"/>
  <c r="BJ92" i="72"/>
  <c r="BI92" i="72"/>
  <c r="K53" i="69" a="1"/>
  <c r="K53" i="69" s="1"/>
  <c r="AD32" i="69"/>
  <c r="AY32" i="69" a="1"/>
  <c r="AY32" i="69" s="1"/>
  <c r="BT68" i="72"/>
  <c r="AR68" i="72"/>
  <c r="BK68" i="72"/>
  <c r="BH68" i="72"/>
  <c r="BX68" i="72"/>
  <c r="R68" i="72"/>
  <c r="BQ68" i="72" a="1"/>
  <c r="BQ68" i="72" s="1"/>
  <c r="I369" i="15" a="1"/>
  <c r="I369" i="15" s="1"/>
  <c r="BF71" i="69"/>
  <c r="BE71" i="69"/>
  <c r="AG71" i="69" s="1" a="1"/>
  <c r="AG71" i="69" s="1"/>
  <c r="AY27" i="69" a="1"/>
  <c r="AY27" i="69" s="1"/>
  <c r="BD65" i="4"/>
  <c r="X65" i="4" s="1"/>
  <c r="BM50" i="4"/>
  <c r="BE50" i="4" s="1" a="1"/>
  <c r="BE50" i="4" s="1"/>
  <c r="BU106" i="4"/>
  <c r="BU107" i="4"/>
  <c r="BU104" i="4"/>
  <c r="Z1748" i="13" s="1"/>
  <c r="BI71" i="72"/>
  <c r="BJ71" i="72"/>
  <c r="AQ55" i="4"/>
  <c r="AR55" i="4"/>
  <c r="AY555" i="13"/>
  <c r="AG84" i="72"/>
  <c r="AY560" i="13"/>
  <c r="AQ60" i="4"/>
  <c r="AR60" i="4"/>
  <c r="BL28" i="72"/>
  <c r="BH28" i="72"/>
  <c r="BQ28" i="72" a="1"/>
  <c r="BQ28" i="72" s="1"/>
  <c r="AR28" i="72"/>
  <c r="R28" i="72"/>
  <c r="BX28" i="72"/>
  <c r="BK28" i="72"/>
  <c r="BM20" i="72"/>
  <c r="BD88" i="4"/>
  <c r="BT88" i="4"/>
  <c r="BL11" i="72"/>
  <c r="BL88" i="72"/>
  <c r="AQ88" i="72"/>
  <c r="D44" i="72" a="1"/>
  <c r="D44" i="72" s="1"/>
  <c r="H9" i="69"/>
  <c r="H9" i="72"/>
  <c r="E34" i="72"/>
  <c r="D34" i="72" a="1"/>
  <c r="D34" i="72" s="1"/>
  <c r="AY65" i="69" a="1"/>
  <c r="AY65" i="69" s="1"/>
  <c r="G66" i="72"/>
  <c r="BK66" i="72"/>
  <c r="BH66" i="72"/>
  <c r="R66" i="72"/>
  <c r="BX66" i="72"/>
  <c r="BQ66" i="72" a="1"/>
  <c r="BQ66" i="72" s="1"/>
  <c r="AR66" i="72"/>
  <c r="AE80" i="69" a="1"/>
  <c r="AE80" i="69" s="1"/>
  <c r="BL25" i="72"/>
  <c r="BO25" i="72"/>
  <c r="AQ93" i="72"/>
  <c r="BP83" i="69"/>
  <c r="BO83" i="69" s="1"/>
  <c r="BR83" i="69" s="1"/>
  <c r="BV83" i="69"/>
  <c r="AQ52" i="72"/>
  <c r="L81" i="72"/>
  <c r="AG78" i="72"/>
  <c r="G69" i="69"/>
  <c r="H34" i="69"/>
  <c r="C18" i="69"/>
  <c r="D18" i="69" s="1" a="1"/>
  <c r="D18" i="69" s="1"/>
  <c r="BE18" i="69"/>
  <c r="BF18" i="69"/>
  <c r="BP43" i="69"/>
  <c r="BO43" i="69" s="1"/>
  <c r="BR43" i="69" s="1"/>
  <c r="H3" i="72"/>
  <c r="H3" i="69"/>
  <c r="E80" i="72"/>
  <c r="AQ43" i="4"/>
  <c r="AR43" i="4"/>
  <c r="AY543" i="13"/>
  <c r="AX1438" i="13"/>
  <c r="Z1542" i="13"/>
  <c r="AV1438" i="13"/>
  <c r="A1537" i="13"/>
  <c r="C50" i="69"/>
  <c r="D50" i="69" s="1" a="1"/>
  <c r="D50" i="69" s="1"/>
  <c r="AQ34" i="4"/>
  <c r="AY534" i="13"/>
  <c r="AR34" i="4"/>
  <c r="BE52" i="69"/>
  <c r="BF52" i="69"/>
  <c r="BQ78" i="69" a="1"/>
  <c r="BQ78" i="69" s="1"/>
  <c r="B78" i="69"/>
  <c r="C35" i="72"/>
  <c r="D35" i="72" s="1" a="1"/>
  <c r="D35" i="72" s="1"/>
  <c r="BJ35" i="72"/>
  <c r="BI35" i="72"/>
  <c r="AG35" i="72"/>
  <c r="BM29" i="72"/>
  <c r="BI90" i="69"/>
  <c r="BQ90" i="69" a="1"/>
  <c r="BQ90" i="69" s="1"/>
  <c r="R90" i="69"/>
  <c r="BT90" i="69"/>
  <c r="BM90" i="69" a="1"/>
  <c r="BM90" i="69" s="1"/>
  <c r="BD90" i="69"/>
  <c r="BG90" i="69"/>
  <c r="E86" i="69"/>
  <c r="E43" i="72"/>
  <c r="AD30" i="69"/>
  <c r="BQ74" i="69" a="1"/>
  <c r="BQ74" i="69" s="1"/>
  <c r="G74" i="69"/>
  <c r="BU16" i="72" a="1"/>
  <c r="BU16" i="72" s="1"/>
  <c r="BM16" i="72"/>
  <c r="AG50" i="72"/>
  <c r="I494" i="15" a="1"/>
  <c r="I494" i="15" s="1"/>
  <c r="K38" i="69" a="1"/>
  <c r="K38" i="69" s="1"/>
  <c r="BP64" i="69"/>
  <c r="BO64" i="69" s="1"/>
  <c r="BR64" i="69" s="1"/>
  <c r="AT64" i="69" a="1"/>
  <c r="AT64" i="69" s="1"/>
  <c r="BV64" i="69"/>
  <c r="K35" i="69" a="1"/>
  <c r="K35" i="69" s="1"/>
  <c r="BE35" i="69"/>
  <c r="BF35" i="69"/>
  <c r="BO35" i="69"/>
  <c r="BR35" i="69" s="1"/>
  <c r="I662" i="15" a="1"/>
  <c r="I662" i="15" s="1"/>
  <c r="BZ70" i="72"/>
  <c r="AX70" i="72" a="1"/>
  <c r="AX70" i="72" s="1"/>
  <c r="AY29" i="69" a="1"/>
  <c r="AY29" i="69" s="1"/>
  <c r="BV46" i="69"/>
  <c r="A1538" i="13"/>
  <c r="Z1543" i="13"/>
  <c r="AX1439" i="13"/>
  <c r="AV1439" i="13"/>
  <c r="BZ90" i="72"/>
  <c r="BZ30" i="72"/>
  <c r="AG95" i="69" a="1"/>
  <c r="AG95" i="69" s="1"/>
  <c r="BF95" i="4"/>
  <c r="BG73" i="4"/>
  <c r="AV1171" i="13" s="1"/>
  <c r="L73" i="4"/>
  <c r="BF92" i="4"/>
  <c r="BR66" i="4"/>
  <c r="X66" i="4"/>
  <c r="BG66" i="4"/>
  <c r="AV1164" i="13" s="1"/>
  <c r="L66" i="4"/>
  <c r="BG91" i="4"/>
  <c r="AV1189" i="13" s="1"/>
  <c r="BR91" i="4"/>
  <c r="AE91" i="72" s="1"/>
  <c r="X91" i="4"/>
  <c r="L91" i="4"/>
  <c r="BF94" i="4"/>
  <c r="BF58" i="4"/>
  <c r="BG62" i="4"/>
  <c r="AV1160" i="13" s="1"/>
  <c r="L62" i="4"/>
  <c r="Y7" i="4"/>
  <c r="AV7" i="4" a="1"/>
  <c r="AV7" i="4" s="1"/>
  <c r="AU7" i="4"/>
  <c r="AT7" i="4" a="1"/>
  <c r="AT7" i="4" s="1"/>
  <c r="BQ7" i="4"/>
  <c r="CA7" i="4"/>
  <c r="BD1770" i="13"/>
  <c r="AG89" i="72"/>
  <c r="BH73" i="72"/>
  <c r="BR73" i="72" a="1"/>
  <c r="BR73" i="72" s="1"/>
  <c r="BK73" i="72"/>
  <c r="AZ73" i="72" s="1" a="1"/>
  <c r="AZ73" i="72" s="1"/>
  <c r="BX73" i="72"/>
  <c r="AR73" i="72"/>
  <c r="R73" i="72"/>
  <c r="BQ73" i="72" a="1"/>
  <c r="BQ73" i="72" s="1"/>
  <c r="BE82" i="69"/>
  <c r="BF82" i="69"/>
  <c r="BS59" i="72"/>
  <c r="BV59" i="72" s="1"/>
  <c r="BZ59" i="72"/>
  <c r="AX59" i="72" a="1"/>
  <c r="AX59" i="72" s="1"/>
  <c r="BF42" i="69"/>
  <c r="BE42" i="69"/>
  <c r="AN42" i="69" s="1" a="1"/>
  <c r="AN42" i="69" s="1"/>
  <c r="I43" i="15" a="1"/>
  <c r="I43" i="15" s="1"/>
  <c r="G43" i="15"/>
  <c r="BU61" i="72" a="1"/>
  <c r="BU61" i="72" s="1"/>
  <c r="BQ61" i="72" a="1"/>
  <c r="BQ61" i="72" s="1"/>
  <c r="AR61" i="72"/>
  <c r="BX61" i="72"/>
  <c r="BH61" i="72"/>
  <c r="R61" i="72"/>
  <c r="BK61" i="72"/>
  <c r="I304" i="15" a="1"/>
  <c r="I304" i="15" s="1"/>
  <c r="BT72" i="4"/>
  <c r="BD72" i="4"/>
  <c r="BR72" i="4" s="1"/>
  <c r="AE72" i="72" s="1"/>
  <c r="AY8" i="69" a="1"/>
  <c r="AY8" i="69" s="1"/>
  <c r="BV8" i="69"/>
  <c r="AY508" i="13"/>
  <c r="AQ6" i="4"/>
  <c r="AR6" i="4"/>
  <c r="S73" i="69"/>
  <c r="DD87" i="4" a="1"/>
  <c r="DD87" i="4" s="1"/>
  <c r="AQ87" i="72"/>
  <c r="BT87" i="72"/>
  <c r="BS87" i="72" s="1"/>
  <c r="BV87" i="72" s="1"/>
  <c r="BK87" i="72"/>
  <c r="BQ87" i="72" a="1"/>
  <c r="BQ87" i="72" s="1"/>
  <c r="AR87" i="72"/>
  <c r="BH87" i="72"/>
  <c r="BX87" i="72"/>
  <c r="R87" i="72"/>
  <c r="I488" i="15" a="1"/>
  <c r="I488" i="15" s="1"/>
  <c r="I348" i="15" a="1"/>
  <c r="I348" i="15" s="1"/>
  <c r="BC42" i="72" a="1"/>
  <c r="BC42" i="72" s="1"/>
  <c r="BZ54" i="72"/>
  <c r="AX54" i="72" a="1"/>
  <c r="AX54" i="72" s="1"/>
  <c r="AY48" i="69" a="1"/>
  <c r="AY48" i="69" s="1"/>
  <c r="AE54" i="69" a="1"/>
  <c r="AE54" i="69" s="1"/>
  <c r="AY535" i="13"/>
  <c r="AQ35" i="4"/>
  <c r="AR35" i="4"/>
  <c r="F23" i="72"/>
  <c r="I613" i="15" a="1"/>
  <c r="I613" i="15" s="1"/>
  <c r="AQ61" i="69" a="1"/>
  <c r="AQ61" i="69" s="1"/>
  <c r="AU61" i="69" a="1"/>
  <c r="AU61" i="69" s="1"/>
  <c r="BA61" i="69" a="1"/>
  <c r="BA61" i="69" s="1"/>
  <c r="AZ61" i="69" a="1"/>
  <c r="AZ61" i="69" s="1"/>
  <c r="O15" i="72"/>
  <c r="H26" i="69"/>
  <c r="BF26" i="69"/>
  <c r="BE26" i="69"/>
  <c r="AN26" i="69" s="1" a="1"/>
  <c r="AN26" i="69" s="1"/>
  <c r="BN85" i="69" a="1"/>
  <c r="BN85" i="69" s="1"/>
  <c r="AP85" i="69" a="1"/>
  <c r="AP85" i="69" s="1"/>
  <c r="BD85" i="69"/>
  <c r="R85" i="69"/>
  <c r="BG85" i="69"/>
  <c r="AW85" i="69" s="1" a="1"/>
  <c r="AW85" i="69" s="1"/>
  <c r="BT85" i="69"/>
  <c r="BM85" i="69" a="1"/>
  <c r="BM85" i="69" s="1"/>
  <c r="AQ24" i="72"/>
  <c r="BZ6" i="72"/>
  <c r="AR28" i="4"/>
  <c r="AY528" i="13"/>
  <c r="AQ28" i="4"/>
  <c r="AV1442" i="13"/>
  <c r="Z1546" i="13"/>
  <c r="A1541" i="13"/>
  <c r="AX1442" i="13"/>
  <c r="AT37" i="72" a="1"/>
  <c r="AT37" i="72" s="1"/>
  <c r="AR37" i="72"/>
  <c r="BR37" i="72" a="1"/>
  <c r="BR37" i="72" s="1"/>
  <c r="BH37" i="72"/>
  <c r="R37" i="72"/>
  <c r="BK37" i="72"/>
  <c r="AZ37" i="72" s="1" a="1"/>
  <c r="AZ37" i="72" s="1"/>
  <c r="BX37" i="72"/>
  <c r="BQ37" i="72" a="1"/>
  <c r="BQ37" i="72" s="1"/>
  <c r="BV51" i="69"/>
  <c r="AQ62" i="72"/>
  <c r="AG17" i="72"/>
  <c r="AK20" i="27"/>
  <c r="BV15" i="69"/>
  <c r="AG26" i="72"/>
  <c r="E26" i="72"/>
  <c r="AG79" i="72"/>
  <c r="D36" i="72" a="1"/>
  <c r="D36" i="72" s="1"/>
  <c r="AQ67" i="72"/>
  <c r="BO51" i="72"/>
  <c r="BJ51" i="72"/>
  <c r="BI51" i="72"/>
  <c r="BZ56" i="72"/>
  <c r="O33" i="72"/>
  <c r="BZ33" i="72"/>
  <c r="AX33" i="72" a="1"/>
  <c r="AX33" i="72" s="1"/>
  <c r="BU14" i="72" a="1"/>
  <c r="BU14" i="72" s="1"/>
  <c r="BP57" i="69"/>
  <c r="BO57" i="69" s="1"/>
  <c r="BR57" i="69" s="1"/>
  <c r="BM27" i="72"/>
  <c r="BO41" i="69"/>
  <c r="BR41" i="69" s="1"/>
  <c r="BQ41" i="69" a="1"/>
  <c r="BQ41" i="69" s="1"/>
  <c r="BM41" i="69" a="1"/>
  <c r="BM41" i="69" s="1"/>
  <c r="BD41" i="69"/>
  <c r="BT41" i="69"/>
  <c r="R41" i="69"/>
  <c r="BN41" i="69" a="1"/>
  <c r="BN41" i="69" s="1"/>
  <c r="BG41" i="69"/>
  <c r="AV41" i="69" s="1" a="1"/>
  <c r="AV41" i="69" s="1"/>
  <c r="AP41" i="69" a="1"/>
  <c r="AP41" i="69" s="1"/>
  <c r="E17" i="69"/>
  <c r="C40" i="69"/>
  <c r="D40" i="69" s="1" a="1"/>
  <c r="D40" i="69" s="1"/>
  <c r="BF40" i="69"/>
  <c r="BE40" i="69"/>
  <c r="AN40" i="69" s="1" a="1"/>
  <c r="AN40" i="69" s="1"/>
  <c r="BL45" i="72"/>
  <c r="BZ45" i="72"/>
  <c r="AX45" i="72" a="1"/>
  <c r="AX45" i="72" s="1"/>
  <c r="G79" i="69"/>
  <c r="BU39" i="72" a="1"/>
  <c r="BU39" i="72" s="1"/>
  <c r="BX39" i="72"/>
  <c r="R39" i="72"/>
  <c r="AR39" i="72"/>
  <c r="BH39" i="72"/>
  <c r="BK39" i="72"/>
  <c r="BQ39" i="72" a="1"/>
  <c r="BQ39" i="72" s="1"/>
  <c r="AQ22" i="4"/>
  <c r="AY522" i="13"/>
  <c r="AR22" i="4"/>
  <c r="BZ91" i="72"/>
  <c r="AG32" i="72"/>
  <c r="BI7" i="72"/>
  <c r="BJ7" i="72"/>
  <c r="H269" i="15" a="1"/>
  <c r="H269" i="15" s="1"/>
  <c r="DD85" i="4" a="1"/>
  <c r="DD85" i="4" s="1"/>
  <c r="BF5" i="69"/>
  <c r="BE5" i="69"/>
  <c r="BO47" i="72"/>
  <c r="BZ47" i="72"/>
  <c r="I278" i="15" a="1"/>
  <c r="I278" i="15" s="1"/>
  <c r="AV1462" i="13"/>
  <c r="AX1462" i="13"/>
  <c r="Z1566" i="13"/>
  <c r="A1561" i="13"/>
  <c r="O28" i="69"/>
  <c r="BE28" i="69"/>
  <c r="BF28" i="69"/>
  <c r="BI57" i="72"/>
  <c r="BJ57" i="72"/>
  <c r="AG92" i="72"/>
  <c r="BE91" i="69"/>
  <c r="BF91" i="69"/>
  <c r="O32" i="69"/>
  <c r="BF32" i="69"/>
  <c r="BE32" i="69"/>
  <c r="AG32" i="69" s="1" a="1"/>
  <c r="AG32" i="69" s="1"/>
  <c r="L549" i="15" a="1"/>
  <c r="L549" i="15" s="1"/>
  <c r="E71" i="69"/>
  <c r="I536" i="15" a="1"/>
  <c r="I536" i="15" s="1"/>
  <c r="DD68" i="4" a="1"/>
  <c r="DD68" i="4" s="1"/>
  <c r="AX1483" i="13"/>
  <c r="Z1587" i="13"/>
  <c r="A1582" i="13"/>
  <c r="E21" i="72"/>
  <c r="BI27" i="69"/>
  <c r="BV27" i="69"/>
  <c r="DV60" i="4"/>
  <c r="AV562" i="13"/>
  <c r="BH60" i="4"/>
  <c r="BM60" i="4"/>
  <c r="BE60" i="4" s="1" a="1"/>
  <c r="BE60" i="4" s="1"/>
  <c r="Z1561" i="13"/>
  <c r="A1556" i="13"/>
  <c r="AX1457" i="13"/>
  <c r="AE31" i="69" a="1"/>
  <c r="AE31" i="69" s="1"/>
  <c r="AR52" i="4"/>
  <c r="AY552" i="13"/>
  <c r="AQ52" i="4"/>
  <c r="AQ71" i="72"/>
  <c r="DD73" i="4" a="1"/>
  <c r="DD73" i="4" s="1"/>
  <c r="BJ65" i="72"/>
  <c r="BS65" i="72"/>
  <c r="BV65" i="72" s="1"/>
  <c r="BI65" i="72"/>
  <c r="BP21" i="69"/>
  <c r="BM21" i="69" a="1"/>
  <c r="BM21" i="69" s="1"/>
  <c r="R21" i="69"/>
  <c r="BT21" i="69"/>
  <c r="BD21" i="69"/>
  <c r="BG21" i="69"/>
  <c r="AV21" i="69" s="1" a="1"/>
  <c r="AV21" i="69" s="1"/>
  <c r="BN21" i="69" a="1"/>
  <c r="BN21" i="69" s="1"/>
  <c r="AP21" i="69" a="1"/>
  <c r="AP21" i="69" s="1"/>
  <c r="I281" i="15" a="1"/>
  <c r="I281" i="15" s="1"/>
  <c r="AZ94" i="72" a="1"/>
  <c r="AZ94" i="72" s="1"/>
  <c r="BZ20" i="72"/>
  <c r="AD25" i="69"/>
  <c r="BQ20" i="69" a="1"/>
  <c r="BQ20" i="69" s="1"/>
  <c r="AQ27" i="4"/>
  <c r="AY527" i="13"/>
  <c r="AR27" i="4"/>
  <c r="BN92" i="69" a="1"/>
  <c r="BN92" i="69" s="1"/>
  <c r="BA92" i="69" a="1"/>
  <c r="BA92" i="69" s="1"/>
  <c r="AQ92" i="69" a="1"/>
  <c r="AQ92" i="69" s="1"/>
  <c r="AU92" i="69" a="1"/>
  <c r="AU92" i="69" s="1"/>
  <c r="AZ92" i="69" a="1"/>
  <c r="AZ92" i="69" s="1"/>
  <c r="AO92" i="69" a="1"/>
  <c r="AO92" i="69" s="1"/>
  <c r="H373" i="15" a="1"/>
  <c r="H373" i="15" s="1"/>
  <c r="G83" i="72"/>
  <c r="AQ83" i="72"/>
  <c r="BZ83" i="72"/>
  <c r="AG11" i="72"/>
  <c r="BI63" i="69"/>
  <c r="AY81" i="69" a="1"/>
  <c r="AY81" i="69" s="1"/>
  <c r="BT68" i="4"/>
  <c r="BD68" i="4"/>
  <c r="BM88" i="72"/>
  <c r="A1524" i="13"/>
  <c r="AV1425" i="13"/>
  <c r="Z1529" i="13"/>
  <c r="AX1425" i="13"/>
  <c r="L18" i="72"/>
  <c r="AR18" i="72"/>
  <c r="BK18" i="72"/>
  <c r="AZ18" i="72" s="1" a="1"/>
  <c r="AZ18" i="72" s="1"/>
  <c r="BX18" i="72"/>
  <c r="BH18" i="72"/>
  <c r="AS18" i="72" s="1" a="1"/>
  <c r="AS18" i="72" s="1"/>
  <c r="R18" i="72"/>
  <c r="BQ18" i="72" a="1"/>
  <c r="BQ18" i="72" s="1"/>
  <c r="AT18" i="72" a="1"/>
  <c r="AT18" i="72" s="1"/>
  <c r="BR18" i="72" a="1"/>
  <c r="BR18" i="72" s="1"/>
  <c r="BH56" i="4"/>
  <c r="BT56" i="4"/>
  <c r="BI65" i="69"/>
  <c r="BV65" i="69"/>
  <c r="AT65" i="69" a="1"/>
  <c r="AT65" i="69" s="1"/>
  <c r="BF80" i="69"/>
  <c r="BE80" i="69"/>
  <c r="BI25" i="72"/>
  <c r="BJ25" i="72"/>
  <c r="D13" i="72" a="1"/>
  <c r="D13" i="72" s="1"/>
  <c r="BQ83" i="69" a="1"/>
  <c r="BQ83" i="69" s="1"/>
  <c r="I512" i="15" a="1"/>
  <c r="I512" i="15" s="1"/>
  <c r="BX58" i="72"/>
  <c r="AD34" i="69"/>
  <c r="H18" i="69"/>
  <c r="BE43" i="69"/>
  <c r="BF43" i="69"/>
  <c r="AQ80" i="72"/>
  <c r="I481" i="15" a="1"/>
  <c r="I481" i="15" s="1"/>
  <c r="BZ74" i="72"/>
  <c r="AX74" i="72" a="1"/>
  <c r="AX74" i="72" s="1"/>
  <c r="E93" i="69"/>
  <c r="K50" i="69" a="1"/>
  <c r="K50" i="69" s="1"/>
  <c r="BP52" i="69"/>
  <c r="BO52" i="69" s="1"/>
  <c r="BR52" i="69" s="1"/>
  <c r="AF38" i="72" a="1"/>
  <c r="AF38" i="72" s="1"/>
  <c r="AJ38" i="72" s="1" a="1"/>
  <c r="AJ38" i="72" s="1"/>
  <c r="I259" i="15" a="1"/>
  <c r="I259" i="15" s="1"/>
  <c r="BL35" i="72"/>
  <c r="H377" i="15" a="1"/>
  <c r="H377" i="15" s="1"/>
  <c r="BG70" i="69"/>
  <c r="BT70" i="69"/>
  <c r="BM70" i="69" a="1"/>
  <c r="BM70" i="69" s="1"/>
  <c r="BD70" i="69"/>
  <c r="R70" i="69"/>
  <c r="E70" i="69"/>
  <c r="E69" i="72"/>
  <c r="DD76" i="4" a="1"/>
  <c r="DD76" i="4" s="1"/>
  <c r="AP86" i="69" a="1"/>
  <c r="AP86" i="69" s="1"/>
  <c r="BD86" i="69"/>
  <c r="BT86" i="69"/>
  <c r="BM86" i="69" a="1"/>
  <c r="BM86" i="69" s="1"/>
  <c r="R86" i="69"/>
  <c r="BG86" i="69"/>
  <c r="BH30" i="69"/>
  <c r="O30" i="69"/>
  <c r="CY55" i="4"/>
  <c r="CZ55" i="4" s="1"/>
  <c r="B74" i="69"/>
  <c r="AR47" i="4"/>
  <c r="AY547" i="13"/>
  <c r="AQ47" i="4"/>
  <c r="H50" i="72"/>
  <c r="BU50" i="72" a="1"/>
  <c r="BU50" i="72" s="1"/>
  <c r="BX50" i="72"/>
  <c r="BQ50" i="72" a="1"/>
  <c r="BQ50" i="72" s="1"/>
  <c r="R50" i="72"/>
  <c r="BH50" i="72"/>
  <c r="BK50" i="72"/>
  <c r="AR50" i="72"/>
  <c r="AD38" i="69"/>
  <c r="Z1568" i="13"/>
  <c r="AX1464" i="13"/>
  <c r="A1563" i="13"/>
  <c r="AD35" i="69"/>
  <c r="AS70" i="72" a="1"/>
  <c r="AS70" i="72" s="1"/>
  <c r="AU70" i="72" a="1"/>
  <c r="AU70" i="72" s="1"/>
  <c r="BD70" i="72" a="1"/>
  <c r="BD70" i="72" s="1"/>
  <c r="BE70" i="72" a="1"/>
  <c r="BE70" i="72" s="1"/>
  <c r="AY70" i="72" a="1"/>
  <c r="AY70" i="72" s="1"/>
  <c r="AH70" i="72" a="1"/>
  <c r="AH70" i="72" s="1"/>
  <c r="AN70" i="72" a="1"/>
  <c r="AN70" i="72" s="1"/>
  <c r="BI70" i="72"/>
  <c r="BJ70" i="72"/>
  <c r="BK29" i="69"/>
  <c r="H29" i="69"/>
  <c r="BJ58" i="72"/>
  <c r="AG90" i="72"/>
  <c r="AQ86" i="72"/>
  <c r="I446" i="15" a="1"/>
  <c r="I446" i="15" s="1"/>
  <c r="H185" i="15" a="1"/>
  <c r="H185" i="15" s="1"/>
  <c r="BG95" i="4"/>
  <c r="AV1193" i="13" s="1"/>
  <c r="BR95" i="4"/>
  <c r="L95" i="4"/>
  <c r="BF66" i="4"/>
  <c r="BF84" i="4"/>
  <c r="BF91" i="4"/>
  <c r="BG71" i="4"/>
  <c r="AV1169" i="13" s="1"/>
  <c r="L71" i="4"/>
  <c r="L88" i="4"/>
  <c r="X88" i="4"/>
  <c r="BG88" i="4"/>
  <c r="AV1186" i="13" s="1"/>
  <c r="BR88" i="4"/>
  <c r="AE88" i="72" s="1"/>
  <c r="AL55" i="4"/>
  <c r="I55" i="72" s="1"/>
  <c r="BF62" i="4"/>
  <c r="BF89" i="4"/>
  <c r="BJ59" i="72"/>
  <c r="BI59" i="72"/>
  <c r="AX1468" i="13"/>
  <c r="Z1572" i="13"/>
  <c r="A1567" i="13"/>
  <c r="I554" i="15" a="1"/>
  <c r="I554" i="15" s="1"/>
  <c r="AV577" i="13"/>
  <c r="DV75" i="4"/>
  <c r="BH75" i="4"/>
  <c r="BU8" i="72" a="1"/>
  <c r="BU8" i="72" s="1"/>
  <c r="R8" i="72"/>
  <c r="BX8" i="72"/>
  <c r="BK8" i="72"/>
  <c r="AR8" i="72"/>
  <c r="BH8" i="72"/>
  <c r="BQ8" i="72" a="1"/>
  <c r="BQ8" i="72" s="1"/>
  <c r="I107" i="15" a="1"/>
  <c r="I107" i="15" s="1"/>
  <c r="BE49" i="69"/>
  <c r="AN49" i="69" s="1" a="1"/>
  <c r="AN49" i="69" s="1"/>
  <c r="BF49" i="69"/>
  <c r="BC1770" i="13"/>
  <c r="BU64" i="72" a="1"/>
  <c r="BU64" i="72" s="1"/>
  <c r="AG64" i="72"/>
  <c r="BZ64" i="72"/>
  <c r="BE77" i="69"/>
  <c r="BO77" i="69"/>
  <c r="BR77" i="69" s="1"/>
  <c r="BF77" i="69"/>
  <c r="AG73" i="72"/>
  <c r="L46" i="72"/>
  <c r="I535" i="15" a="1"/>
  <c r="I535" i="15" s="1"/>
  <c r="BW59" i="72"/>
  <c r="AQ59" i="72"/>
  <c r="BE22" i="69"/>
  <c r="BF22" i="69"/>
  <c r="I531" i="15" a="1"/>
  <c r="I531" i="15" s="1"/>
  <c r="I66" i="72"/>
  <c r="I66" i="69"/>
  <c r="BE8" i="69"/>
  <c r="AN8" i="69" s="1" a="1"/>
  <c r="AN8" i="69" s="1"/>
  <c r="BF8" i="69"/>
  <c r="BZ77" i="72"/>
  <c r="AX77" i="72" a="1"/>
  <c r="AX77" i="72" s="1"/>
  <c r="AR82" i="72"/>
  <c r="R82" i="72"/>
  <c r="BQ82" i="72" a="1"/>
  <c r="BQ82" i="72" s="1"/>
  <c r="BK82" i="72"/>
  <c r="BA82" i="72" s="1" a="1"/>
  <c r="BA82" i="72" s="1"/>
  <c r="BX82" i="72"/>
  <c r="BH82" i="72"/>
  <c r="BR82" i="72" a="1"/>
  <c r="BR82" i="72" s="1"/>
  <c r="AR84" i="4"/>
  <c r="AY584" i="13"/>
  <c r="AQ84" i="4"/>
  <c r="BO37" i="69"/>
  <c r="BR37" i="69" s="1"/>
  <c r="R37" i="69"/>
  <c r="BD37" i="69"/>
  <c r="BM37" i="69" a="1"/>
  <c r="BM37" i="69" s="1"/>
  <c r="BT37" i="69"/>
  <c r="BG37" i="69"/>
  <c r="BU87" i="72" a="1"/>
  <c r="BU87" i="72" s="1"/>
  <c r="O42" i="72"/>
  <c r="E42" i="72"/>
  <c r="BJ54" i="72"/>
  <c r="BI54" i="72"/>
  <c r="BE54" i="69"/>
  <c r="BF54" i="69"/>
  <c r="AY596" i="13"/>
  <c r="AQ96" i="4"/>
  <c r="AR96" i="4"/>
  <c r="E62" i="69"/>
  <c r="AV1400" i="13"/>
  <c r="A1499" i="13"/>
  <c r="AX1400" i="13"/>
  <c r="Z1504" i="13"/>
  <c r="AY12" i="69" a="1"/>
  <c r="AY12" i="69" s="1"/>
  <c r="L6" i="72"/>
  <c r="AQ76" i="72"/>
  <c r="E87" i="69"/>
  <c r="BO36" i="69"/>
  <c r="BR36" i="69" s="1"/>
  <c r="BE36" i="69"/>
  <c r="AN36" i="69" s="1" a="1"/>
  <c r="AN36" i="69" s="1"/>
  <c r="BF36" i="69"/>
  <c r="I361" i="15" a="1"/>
  <c r="I361" i="15" s="1"/>
  <c r="CA5" i="4"/>
  <c r="AU5" i="4"/>
  <c r="Y5" i="4"/>
  <c r="AT5" i="4" a="1"/>
  <c r="AT5" i="4" s="1"/>
  <c r="AV5" i="4" a="1"/>
  <c r="AV5" i="4" s="1"/>
  <c r="BQ5" i="4"/>
  <c r="AR48" i="4"/>
  <c r="AY548" i="13"/>
  <c r="AQ48" i="4"/>
  <c r="AQ17" i="72"/>
  <c r="AI21" i="27"/>
  <c r="E15" i="69"/>
  <c r="AF26" i="72" a="1"/>
  <c r="AF26" i="72" s="1"/>
  <c r="AJ26" i="72" s="1" a="1"/>
  <c r="AJ26" i="72" s="1"/>
  <c r="Z1549" i="13"/>
  <c r="AX1445" i="13"/>
  <c r="A1544" i="13"/>
  <c r="AV1445" i="13"/>
  <c r="BH6" i="69"/>
  <c r="BV6" i="69"/>
  <c r="BH76" i="69"/>
  <c r="S76" i="69"/>
  <c r="BT79" i="72"/>
  <c r="BU36" i="72" a="1"/>
  <c r="BU36" i="72" s="1"/>
  <c r="E39" i="69"/>
  <c r="F306" i="15" a="1"/>
  <c r="F306" i="15" s="1"/>
  <c r="H306" i="15" a="1"/>
  <c r="H306" i="15" s="1"/>
  <c r="L33" i="69"/>
  <c r="AE33" i="69" a="1"/>
  <c r="AE33" i="69" s="1"/>
  <c r="AT33" i="69" s="1" a="1"/>
  <c r="AT33" i="69" s="1"/>
  <c r="BU33" i="72" a="1"/>
  <c r="BU33" i="72" s="1"/>
  <c r="BI33" i="72"/>
  <c r="BJ33" i="72"/>
  <c r="Z1574" i="13"/>
  <c r="AX1470" i="13"/>
  <c r="A1569" i="13"/>
  <c r="BZ14" i="72"/>
  <c r="AV1420" i="13"/>
  <c r="Z1524" i="13"/>
  <c r="AX1420" i="13"/>
  <c r="A1519" i="13"/>
  <c r="BZ27" i="72"/>
  <c r="AR39" i="4"/>
  <c r="AQ39" i="4"/>
  <c r="AY539" i="13"/>
  <c r="BV41" i="69"/>
  <c r="AT41" i="69" a="1"/>
  <c r="AT41" i="69" s="1"/>
  <c r="AY590" i="13"/>
  <c r="AR90" i="4"/>
  <c r="AQ90" i="4"/>
  <c r="AD19" i="69"/>
  <c r="R13" i="72"/>
  <c r="BX13" i="72"/>
  <c r="BK13" i="72"/>
  <c r="AR13" i="72"/>
  <c r="BQ13" i="72" a="1"/>
  <c r="BQ13" i="72" s="1"/>
  <c r="BH13" i="72"/>
  <c r="AX1460" i="13"/>
  <c r="Z1564" i="13"/>
  <c r="A1559" i="13"/>
  <c r="E16" i="69"/>
  <c r="E91" i="72"/>
  <c r="BL41" i="72"/>
  <c r="AG53" i="72"/>
  <c r="BL32" i="72"/>
  <c r="BU40" i="72" a="1"/>
  <c r="BU40" i="72" s="1"/>
  <c r="AR40" i="72"/>
  <c r="R40" i="72"/>
  <c r="BQ40" i="72" a="1"/>
  <c r="BQ40" i="72" s="1"/>
  <c r="BK40" i="72"/>
  <c r="BA40" i="72" s="1" a="1"/>
  <c r="BA40" i="72" s="1"/>
  <c r="BX40" i="72"/>
  <c r="BH40" i="72"/>
  <c r="AT40" i="72" a="1"/>
  <c r="AT40" i="72" s="1"/>
  <c r="BR40" i="72" a="1"/>
  <c r="BR40" i="72" s="1"/>
  <c r="E68" i="69"/>
  <c r="I269" i="15" a="1"/>
  <c r="I269" i="15" s="1"/>
  <c r="L13" i="69"/>
  <c r="BT13" i="69"/>
  <c r="BD13" i="69"/>
  <c r="BG13" i="69"/>
  <c r="AV13" i="69" s="1" a="1"/>
  <c r="AV13" i="69" s="1"/>
  <c r="R13" i="69"/>
  <c r="BM13" i="69" a="1"/>
  <c r="BM13" i="69" s="1"/>
  <c r="BN13" i="69" a="1"/>
  <c r="BN13" i="69" s="1"/>
  <c r="O5" i="69"/>
  <c r="BI5" i="69"/>
  <c r="O47" i="72"/>
  <c r="I254" i="15" a="1"/>
  <c r="I254" i="15" s="1"/>
  <c r="I131" i="15" a="1"/>
  <c r="I131" i="15" s="1"/>
  <c r="BP56" i="69"/>
  <c r="BO56" i="69" s="1"/>
  <c r="BR56" i="69" s="1"/>
  <c r="AQ57" i="72"/>
  <c r="BV91" i="69"/>
  <c r="AT53" i="69" a="1"/>
  <c r="AT53" i="69" s="1"/>
  <c r="BV53" i="69"/>
  <c r="BK32" i="69"/>
  <c r="BD32" i="69"/>
  <c r="BT32" i="69"/>
  <c r="BG32" i="69"/>
  <c r="AV32" i="69" s="1" a="1"/>
  <c r="AV32" i="69" s="1"/>
  <c r="BM32" i="69" a="1"/>
  <c r="BM32" i="69" s="1"/>
  <c r="R32" i="69"/>
  <c r="AP32" i="69" a="1"/>
  <c r="AP32" i="69" s="1"/>
  <c r="AG68" i="72"/>
  <c r="BH7" i="69"/>
  <c r="U71" i="69" a="1"/>
  <c r="U71" i="69" s="1"/>
  <c r="I448" i="15" a="1"/>
  <c r="I448" i="15" s="1"/>
  <c r="AX75" i="72" a="1"/>
  <c r="AX75" i="72" s="1"/>
  <c r="BZ75" i="72"/>
  <c r="AG21" i="72"/>
  <c r="E72" i="72"/>
  <c r="BR44" i="4"/>
  <c r="AE44" i="72" s="1"/>
  <c r="CA60" i="4"/>
  <c r="AV60" i="4" a="1"/>
  <c r="AV60" i="4" s="1"/>
  <c r="C60" i="69" s="1"/>
  <c r="Y60" i="4"/>
  <c r="AU60" i="4"/>
  <c r="AT60" i="4" a="1"/>
  <c r="AT60" i="4" s="1"/>
  <c r="H60" i="72" s="1"/>
  <c r="BQ60" i="4"/>
  <c r="BI31" i="69"/>
  <c r="Z51" i="14"/>
  <c r="Z38" i="23"/>
  <c r="BW65" i="72"/>
  <c r="BZ65" i="72"/>
  <c r="AX65" i="72" a="1"/>
  <c r="AX65" i="72" s="1"/>
  <c r="L84" i="72"/>
  <c r="BQ84" i="72" a="1"/>
  <c r="BQ84" i="72" s="1"/>
  <c r="R84" i="72"/>
  <c r="AS84" i="72" s="1" a="1"/>
  <c r="AS84" i="72" s="1"/>
  <c r="AT84" i="72" a="1"/>
  <c r="AT84" i="72" s="1"/>
  <c r="BR84" i="72" a="1"/>
  <c r="BR84" i="72" s="1"/>
  <c r="BK84" i="72"/>
  <c r="BA84" i="72" s="1" a="1"/>
  <c r="BA84" i="72" s="1"/>
  <c r="BH84" i="72"/>
  <c r="AR84" i="72"/>
  <c r="BX84" i="72"/>
  <c r="BQ21" i="69" a="1"/>
  <c r="BQ21" i="69" s="1"/>
  <c r="F482" i="15" a="1"/>
  <c r="F482" i="15" s="1"/>
  <c r="H482" i="15" a="1"/>
  <c r="H482" i="15" s="1"/>
  <c r="AQ28" i="72"/>
  <c r="L20" i="72"/>
  <c r="R20" i="72"/>
  <c r="BQ20" i="72" a="1"/>
  <c r="BQ20" i="72" s="1"/>
  <c r="BH20" i="72"/>
  <c r="BK20" i="72"/>
  <c r="BX20" i="72"/>
  <c r="AR20" i="72"/>
  <c r="E25" i="69"/>
  <c r="AT25" i="69" a="1"/>
  <c r="AT25" i="69" s="1"/>
  <c r="BV25" i="69"/>
  <c r="R92" i="69"/>
  <c r="BM92" i="69" a="1"/>
  <c r="BM92" i="69" s="1"/>
  <c r="BG92" i="69"/>
  <c r="AW92" i="69" s="1" a="1"/>
  <c r="AW92" i="69" s="1"/>
  <c r="BD92" i="69"/>
  <c r="BT92" i="69"/>
  <c r="AP92" i="69" a="1"/>
  <c r="AP92" i="69" s="1"/>
  <c r="AT92" i="69" a="1"/>
  <c r="AT92" i="69" s="1"/>
  <c r="BV92" i="69"/>
  <c r="I60" i="69"/>
  <c r="I373" i="15" a="1"/>
  <c r="I373" i="15" s="1"/>
  <c r="BT83" i="72"/>
  <c r="AR83" i="72"/>
  <c r="BQ83" i="72" a="1"/>
  <c r="BQ83" i="72" s="1"/>
  <c r="BX83" i="72"/>
  <c r="BH83" i="72"/>
  <c r="R83" i="72"/>
  <c r="BK83" i="72"/>
  <c r="AQ11" i="72"/>
  <c r="BM44" i="72"/>
  <c r="I498" i="15" a="1"/>
  <c r="I498" i="15" s="1"/>
  <c r="DD82" i="4" a="1"/>
  <c r="DD82" i="4" s="1"/>
  <c r="E18" i="72"/>
  <c r="BJ18" i="72"/>
  <c r="BI18" i="72"/>
  <c r="DV56" i="4"/>
  <c r="AV558" i="13"/>
  <c r="E65" i="69"/>
  <c r="E66" i="72"/>
  <c r="BM25" i="72"/>
  <c r="AQ25" i="72"/>
  <c r="AG93" i="72"/>
  <c r="BH11" i="69"/>
  <c r="BD11" i="69"/>
  <c r="AO11" i="69" s="1" a="1"/>
  <c r="AO11" i="69" s="1"/>
  <c r="R11" i="69"/>
  <c r="BM11" i="69" a="1"/>
  <c r="BM11" i="69" s="1"/>
  <c r="BG11" i="69"/>
  <c r="AW11" i="69" s="1" a="1"/>
  <c r="AW11" i="69" s="1"/>
  <c r="BT11" i="69"/>
  <c r="BN11" i="69" a="1"/>
  <c r="BN11" i="69" s="1"/>
  <c r="AP11" i="69" a="1"/>
  <c r="AP11" i="69" s="1"/>
  <c r="BJ63" i="72"/>
  <c r="BI63" i="72"/>
  <c r="BZ52" i="72"/>
  <c r="E81" i="72"/>
  <c r="BC78" i="72" a="1"/>
  <c r="BC78" i="72" s="1"/>
  <c r="BQ58" i="72" a="1"/>
  <c r="BQ58" i="72" s="1"/>
  <c r="E34" i="69"/>
  <c r="BE34" i="69"/>
  <c r="AN34" i="69" s="1" a="1"/>
  <c r="AN34" i="69" s="1"/>
  <c r="BF34" i="69"/>
  <c r="BH18" i="69"/>
  <c r="BV18" i="69"/>
  <c r="BD78" i="4"/>
  <c r="BN66" i="69" a="1"/>
  <c r="BN66" i="69" s="1"/>
  <c r="BG66" i="69"/>
  <c r="AW66" i="69" s="1" a="1"/>
  <c r="AW66" i="69" s="1"/>
  <c r="R66" i="69"/>
  <c r="BT66" i="69"/>
  <c r="BD66" i="69"/>
  <c r="BM66" i="69" a="1"/>
  <c r="BM66" i="69" s="1"/>
  <c r="AP66" i="69" a="1"/>
  <c r="AP66" i="69" s="1"/>
  <c r="BK43" i="69"/>
  <c r="C3" i="72"/>
  <c r="D3" i="72" s="1" a="1"/>
  <c r="D3" i="72" s="1"/>
  <c r="C3" i="69"/>
  <c r="D3" i="69" s="1" a="1"/>
  <c r="D3" i="69" s="1"/>
  <c r="BF50" i="69"/>
  <c r="BE50" i="69"/>
  <c r="AN50" i="69" s="1" a="1"/>
  <c r="AN50" i="69" s="1"/>
  <c r="K52" i="69" a="1"/>
  <c r="K52" i="69" s="1"/>
  <c r="AV1293" i="13"/>
  <c r="S96" i="69"/>
  <c r="AN96" i="69" s="1" a="1"/>
  <c r="AN96" i="69" s="1"/>
  <c r="S96" i="72"/>
  <c r="AH96" i="72" s="1" a="1"/>
  <c r="AH96" i="72" s="1"/>
  <c r="B96" i="72"/>
  <c r="B96" i="69"/>
  <c r="BU35" i="72" a="1"/>
  <c r="BU35" i="72" s="1"/>
  <c r="BZ35" i="72"/>
  <c r="AX35" i="72" a="1"/>
  <c r="AX35" i="72" s="1"/>
  <c r="F377" i="15" a="1"/>
  <c r="F377" i="15" s="1"/>
  <c r="O29" i="72"/>
  <c r="AQ69" i="72"/>
  <c r="DD89" i="4" a="1"/>
  <c r="DD89" i="4" s="1"/>
  <c r="D38" i="72" a="1"/>
  <c r="D38" i="72" s="1"/>
  <c r="BV86" i="69"/>
  <c r="AT86" i="69" a="1"/>
  <c r="AT86" i="69" s="1"/>
  <c r="BU43" i="72" a="1"/>
  <c r="BU43" i="72" s="1"/>
  <c r="AG43" i="72"/>
  <c r="BO30" i="69"/>
  <c r="BR30" i="69" s="1"/>
  <c r="DA55" i="4" a="1"/>
  <c r="DA55" i="4" s="1"/>
  <c r="M3" i="1" s="1" a="1"/>
  <c r="M3" i="1" s="1"/>
  <c r="M101" i="1" s="1"/>
  <c r="L74" i="69"/>
  <c r="C16" i="72"/>
  <c r="D16" i="72" s="1" a="1"/>
  <c r="D16" i="72" s="1"/>
  <c r="AG16" i="72"/>
  <c r="BH38" i="69"/>
  <c r="BF38" i="69"/>
  <c r="BE38" i="69"/>
  <c r="BK35" i="69"/>
  <c r="BL70" i="72"/>
  <c r="BT70" i="72"/>
  <c r="BS70" i="72" s="1"/>
  <c r="BV70" i="72" s="1"/>
  <c r="BQ70" i="72" a="1"/>
  <c r="BQ70" i="72" s="1"/>
  <c r="BX70" i="72"/>
  <c r="BR70" i="72" a="1"/>
  <c r="BR70" i="72" s="1"/>
  <c r="BK70" i="72"/>
  <c r="AZ70" i="72" s="1" a="1"/>
  <c r="AZ70" i="72" s="1"/>
  <c r="R70" i="72"/>
  <c r="AR70" i="72"/>
  <c r="AT70" i="72" a="1"/>
  <c r="AT70" i="72" s="1"/>
  <c r="BH70" i="72"/>
  <c r="BV29" i="69"/>
  <c r="AT29" i="69" a="1"/>
  <c r="AT29" i="69" s="1"/>
  <c r="BQ29" i="69" a="1"/>
  <c r="BQ29" i="69" s="1"/>
  <c r="BM29" i="69" a="1"/>
  <c r="BM29" i="69" s="1"/>
  <c r="BN29" i="69" a="1"/>
  <c r="BN29" i="69" s="1"/>
  <c r="BD29" i="69"/>
  <c r="AP29" i="69" a="1"/>
  <c r="AP29" i="69" s="1"/>
  <c r="BT29" i="69"/>
  <c r="R29" i="69"/>
  <c r="BG29" i="69"/>
  <c r="AW29" i="69" s="1" a="1"/>
  <c r="AW29" i="69" s="1"/>
  <c r="AV1409" i="13"/>
  <c r="Z1513" i="13"/>
  <c r="A1508" i="13"/>
  <c r="AX1409" i="13"/>
  <c r="BC90" i="72" a="1"/>
  <c r="BC90" i="72" s="1"/>
  <c r="AQ90" i="72"/>
  <c r="BZ86" i="72"/>
  <c r="AX86" i="72" a="1"/>
  <c r="AX86" i="72" s="1"/>
  <c r="AX1252" i="13"/>
  <c r="A1351" i="13"/>
  <c r="AF30" i="72" a="1"/>
  <c r="AF30" i="72" s="1"/>
  <c r="AJ30" i="72" s="1" a="1"/>
  <c r="AJ30" i="72" s="1"/>
  <c r="AG30" i="72"/>
  <c r="BI30" i="72"/>
  <c r="BJ30" i="72"/>
  <c r="BD84" i="4"/>
  <c r="BR84" i="4" s="1"/>
  <c r="BG23" i="4"/>
  <c r="AV1121" i="13" s="1"/>
  <c r="X23" i="4"/>
  <c r="BR23" i="4"/>
  <c r="BO23" i="72" s="1"/>
  <c r="BQ194" i="4"/>
  <c r="BG94" i="4"/>
  <c r="AV1192" i="13" s="1"/>
  <c r="L94" i="4"/>
  <c r="BG77" i="4"/>
  <c r="AV1175" i="13" s="1"/>
  <c r="L77" i="4"/>
  <c r="BF67" i="4"/>
  <c r="Y15" i="4"/>
  <c r="AV15" i="4" a="1"/>
  <c r="AV15" i="4" s="1"/>
  <c r="AT15" i="4" a="1"/>
  <c r="AT15" i="4" s="1"/>
  <c r="AU15" i="4"/>
  <c r="BQ15" i="4"/>
  <c r="CY15" i="4"/>
  <c r="CZ15" i="4" s="1"/>
  <c r="CA15" i="4"/>
  <c r="DV61" i="4"/>
  <c r="AV563" i="13"/>
  <c r="BH61" i="4"/>
  <c r="AD37" i="69"/>
  <c r="BJ87" i="72"/>
  <c r="BI87" i="72"/>
  <c r="AG22" i="72"/>
  <c r="I279" i="15" a="1"/>
  <c r="I279" i="15" s="1"/>
  <c r="BQ54" i="69" a="1"/>
  <c r="BQ54" i="69" s="1"/>
  <c r="BT54" i="69"/>
  <c r="R54" i="69"/>
  <c r="BG54" i="69"/>
  <c r="BD54" i="69"/>
  <c r="BM54" i="69" a="1"/>
  <c r="BM54" i="69" s="1"/>
  <c r="BM94" i="4"/>
  <c r="BE94" i="4" s="1" a="1"/>
  <c r="BE94" i="4" s="1"/>
  <c r="BM94" i="72"/>
  <c r="BI94" i="69"/>
  <c r="I231" i="15" a="1"/>
  <c r="I231" i="15" s="1"/>
  <c r="I295" i="15" a="1"/>
  <c r="I295" i="15" s="1"/>
  <c r="C26" i="69"/>
  <c r="D26" i="69" s="1" a="1"/>
  <c r="D26" i="69" s="1"/>
  <c r="AG24" i="72"/>
  <c r="BZ24" i="72"/>
  <c r="I509" i="15" a="1"/>
  <c r="I509" i="15" s="1"/>
  <c r="AG6" i="72"/>
  <c r="AU37" i="72" a="1"/>
  <c r="AU37" i="72" s="1"/>
  <c r="AY37" i="72" a="1"/>
  <c r="AY37" i="72" s="1"/>
  <c r="BD37" i="72" a="1"/>
  <c r="BD37" i="72" s="1"/>
  <c r="BE37" i="72" a="1"/>
  <c r="BE37" i="72" s="1"/>
  <c r="AS37" i="72" a="1"/>
  <c r="AS37" i="72" s="1"/>
  <c r="AH37" i="72" a="1"/>
  <c r="AH37" i="72" s="1"/>
  <c r="AN37" i="72" a="1"/>
  <c r="AN37" i="72" s="1"/>
  <c r="AQ37" i="72"/>
  <c r="L87" i="69"/>
  <c r="AP87" i="69" a="1"/>
  <c r="AP87" i="69" s="1"/>
  <c r="BT87" i="69"/>
  <c r="BG87" i="69"/>
  <c r="AV87" i="69" s="1" a="1"/>
  <c r="AV87" i="69" s="1"/>
  <c r="R87" i="69"/>
  <c r="BN87" i="69" a="1"/>
  <c r="BN87" i="69" s="1"/>
  <c r="BM87" i="69" a="1"/>
  <c r="BM87" i="69" s="1"/>
  <c r="BD87" i="69"/>
  <c r="BI36" i="69"/>
  <c r="BD51" i="69"/>
  <c r="BT51" i="69"/>
  <c r="BM51" i="69" a="1"/>
  <c r="BM51" i="69" s="1"/>
  <c r="R51" i="69"/>
  <c r="BG51" i="69"/>
  <c r="AV397" i="13"/>
  <c r="AV497" i="13" s="1"/>
  <c r="U95" i="69" a="1"/>
  <c r="U95" i="69" s="1"/>
  <c r="BP24" i="69"/>
  <c r="BM24" i="69" a="1"/>
  <c r="BM24" i="69" s="1"/>
  <c r="BG24" i="69"/>
  <c r="AV24" i="69" s="1" a="1"/>
  <c r="AV24" i="69" s="1"/>
  <c r="BT24" i="69"/>
  <c r="BD24" i="69"/>
  <c r="AO24" i="69" s="1" a="1"/>
  <c r="AO24" i="69" s="1"/>
  <c r="R24" i="69"/>
  <c r="AP24" i="69" a="1"/>
  <c r="AP24" i="69" s="1"/>
  <c r="BN24" i="69" a="1"/>
  <c r="BN24" i="69" s="1"/>
  <c r="BR93" i="4"/>
  <c r="AE93" i="72" s="1"/>
  <c r="L6" i="69"/>
  <c r="AN79" i="72" a="1"/>
  <c r="AN79" i="72" s="1"/>
  <c r="AH79" i="72" a="1"/>
  <c r="AH79" i="72" s="1"/>
  <c r="AU79" i="72" a="1"/>
  <c r="AU79" i="72" s="1"/>
  <c r="BD79" i="72" a="1"/>
  <c r="BD79" i="72" s="1"/>
  <c r="AY79" i="72" a="1"/>
  <c r="AY79" i="72" s="1"/>
  <c r="AS79" i="72" a="1"/>
  <c r="AS79" i="72" s="1"/>
  <c r="BE79" i="72" a="1"/>
  <c r="BE79" i="72" s="1"/>
  <c r="BI39" i="69"/>
  <c r="O51" i="72"/>
  <c r="I367" i="15" a="1"/>
  <c r="I367" i="15" s="1"/>
  <c r="BI33" i="69"/>
  <c r="Z1527" i="13"/>
  <c r="AX1423" i="13"/>
  <c r="AV1423" i="13"/>
  <c r="A1522" i="13"/>
  <c r="AQ14" i="72"/>
  <c r="BJ14" i="72"/>
  <c r="BI14" i="72"/>
  <c r="BE57" i="69"/>
  <c r="AG57" i="69" s="1" a="1"/>
  <c r="AG57" i="69" s="1"/>
  <c r="BF57" i="69"/>
  <c r="BT27" i="72"/>
  <c r="BS27" i="72" s="1"/>
  <c r="BV27" i="72" s="1"/>
  <c r="BQ27" i="72" a="1"/>
  <c r="BQ27" i="72" s="1"/>
  <c r="R27" i="72"/>
  <c r="BH27" i="72"/>
  <c r="AR27" i="72"/>
  <c r="BX27" i="72"/>
  <c r="BK27" i="72"/>
  <c r="AY41" i="69" a="1"/>
  <c r="AY41" i="69" s="1"/>
  <c r="H40" i="69"/>
  <c r="AY524" i="13"/>
  <c r="AQ24" i="4"/>
  <c r="AR24" i="4"/>
  <c r="BI13" i="72"/>
  <c r="BJ13" i="72"/>
  <c r="AH45" i="72" a="1"/>
  <c r="AH45" i="72" s="1"/>
  <c r="AN45" i="72" a="1"/>
  <c r="AN45" i="72" s="1"/>
  <c r="AU45" i="72" a="1"/>
  <c r="AU45" i="72" s="1"/>
  <c r="BD45" i="72" a="1"/>
  <c r="BD45" i="72" s="1"/>
  <c r="AY45" i="72" a="1"/>
  <c r="AY45" i="72" s="1"/>
  <c r="BE45" i="72" a="1"/>
  <c r="BE45" i="72" s="1"/>
  <c r="BQ79" i="69" a="1"/>
  <c r="BQ79" i="69" s="1"/>
  <c r="BN79" i="69" a="1"/>
  <c r="BN79" i="69" s="1"/>
  <c r="BT79" i="69"/>
  <c r="BD79" i="69"/>
  <c r="R79" i="69"/>
  <c r="BG79" i="69"/>
  <c r="AW79" i="69" s="1" a="1"/>
  <c r="AW79" i="69" s="1"/>
  <c r="BM79" i="69" a="1"/>
  <c r="BM79" i="69" s="1"/>
  <c r="AP79" i="69" a="1"/>
  <c r="AP79" i="69" s="1"/>
  <c r="I465" i="15" a="1"/>
  <c r="I465" i="15" s="1"/>
  <c r="BK47" i="69"/>
  <c r="L47" i="69"/>
  <c r="R47" i="69"/>
  <c r="BG47" i="69"/>
  <c r="AW47" i="69" s="1" a="1"/>
  <c r="AW47" i="69" s="1"/>
  <c r="BD47" i="69"/>
  <c r="BT47" i="69"/>
  <c r="AP47" i="69" a="1"/>
  <c r="AP47" i="69" s="1"/>
  <c r="BM47" i="69" a="1"/>
  <c r="BM47" i="69" s="1"/>
  <c r="BN47" i="69" a="1"/>
  <c r="BN47" i="69" s="1"/>
  <c r="AY542" i="13"/>
  <c r="AR42" i="4"/>
  <c r="AQ42" i="4"/>
  <c r="AR91" i="72"/>
  <c r="BK91" i="72"/>
  <c r="R91" i="72"/>
  <c r="BX91" i="72"/>
  <c r="BQ91" i="72" a="1"/>
  <c r="BQ91" i="72" s="1"/>
  <c r="BH91" i="72"/>
  <c r="AV1413" i="13"/>
  <c r="A1512" i="13"/>
  <c r="AX1413" i="13"/>
  <c r="Z1517" i="13"/>
  <c r="BI53" i="72"/>
  <c r="BJ53" i="72"/>
  <c r="I538" i="15" a="1"/>
  <c r="I538" i="15" s="1"/>
  <c r="S68" i="69"/>
  <c r="AT68" i="69" a="1"/>
  <c r="AT68" i="69" s="1"/>
  <c r="BV68" i="69"/>
  <c r="BS7" i="72"/>
  <c r="BV7" i="72" s="1"/>
  <c r="BA45" i="69" a="1"/>
  <c r="BA45" i="69" s="1"/>
  <c r="AZ45" i="69" a="1"/>
  <c r="AZ45" i="69" s="1"/>
  <c r="AQ45" i="69" a="1"/>
  <c r="AQ45" i="69" s="1"/>
  <c r="AU45" i="69" a="1"/>
  <c r="AU45" i="69" s="1"/>
  <c r="I457" i="15" a="1"/>
  <c r="I457" i="15" s="1"/>
  <c r="AG47" i="72"/>
  <c r="BI47" i="72"/>
  <c r="BJ47" i="72"/>
  <c r="AE56" i="69" a="1"/>
  <c r="AE56" i="69" s="1"/>
  <c r="BL92" i="72"/>
  <c r="L91" i="69"/>
  <c r="R91" i="69"/>
  <c r="BM91" i="69" a="1"/>
  <c r="BM91" i="69" s="1"/>
  <c r="BG91" i="69"/>
  <c r="BD91" i="69"/>
  <c r="BT91" i="69"/>
  <c r="D36" i="69" a="1"/>
  <c r="D36" i="69" s="1"/>
  <c r="I497" i="15" a="1"/>
  <c r="I497" i="15" s="1"/>
  <c r="BH31" i="72"/>
  <c r="AR31" i="72"/>
  <c r="BK31" i="72"/>
  <c r="R31" i="72"/>
  <c r="BX31" i="72"/>
  <c r="BQ31" i="72" a="1"/>
  <c r="BQ31" i="72" s="1"/>
  <c r="I468" i="15" a="1"/>
  <c r="I468" i="15" s="1"/>
  <c r="AQ68" i="72"/>
  <c r="BV71" i="69"/>
  <c r="AT71" i="69" a="1"/>
  <c r="AT71" i="69" s="1"/>
  <c r="AV1412" i="13"/>
  <c r="Z1516" i="13"/>
  <c r="AX1412" i="13"/>
  <c r="A1511" i="13"/>
  <c r="I464" i="15" a="1"/>
  <c r="I464" i="15" s="1"/>
  <c r="AQ75" i="72"/>
  <c r="BV84" i="69"/>
  <c r="AT84" i="69" a="1"/>
  <c r="AT84" i="69" s="1"/>
  <c r="BS21" i="72"/>
  <c r="BV21" i="72" s="1"/>
  <c r="BE72" i="72" a="1"/>
  <c r="BE72" i="72" s="1"/>
  <c r="AY72" i="72" a="1"/>
  <c r="AY72" i="72" s="1"/>
  <c r="AH72" i="72" a="1"/>
  <c r="AH72" i="72" s="1"/>
  <c r="AN72" i="72" a="1"/>
  <c r="AN72" i="72" s="1"/>
  <c r="AS72" i="72" a="1"/>
  <c r="AS72" i="72" s="1"/>
  <c r="AU72" i="72" a="1"/>
  <c r="AU72" i="72" s="1"/>
  <c r="BD72" i="72" a="1"/>
  <c r="BD72" i="72" s="1"/>
  <c r="I172" i="15" a="1"/>
  <c r="I172" i="15" s="1"/>
  <c r="I648" i="15" a="1"/>
  <c r="I648" i="15" s="1"/>
  <c r="BO31" i="69"/>
  <c r="BR31" i="69" s="1"/>
  <c r="D19" i="69" a="1"/>
  <c r="D19" i="69" s="1"/>
  <c r="BX71" i="72"/>
  <c r="BH71" i="72"/>
  <c r="R71" i="72"/>
  <c r="BK71" i="72"/>
  <c r="AZ71" i="72" s="1" a="1"/>
  <c r="AZ71" i="72" s="1"/>
  <c r="BR71" i="72" a="1"/>
  <c r="BR71" i="72" s="1"/>
  <c r="AT71" i="72" a="1"/>
  <c r="AT71" i="72" s="1"/>
  <c r="BQ71" i="72" a="1"/>
  <c r="BQ71" i="72" s="1"/>
  <c r="AR71" i="72"/>
  <c r="AT75" i="69" a="1"/>
  <c r="AT75" i="69" s="1"/>
  <c r="BV75" i="69"/>
  <c r="AQ20" i="72"/>
  <c r="AX25" i="69" a="1"/>
  <c r="AX25" i="69" s="1"/>
  <c r="AZ25" i="69" a="1"/>
  <c r="AZ25" i="69" s="1"/>
  <c r="AO25" i="69" a="1"/>
  <c r="AO25" i="69" s="1"/>
  <c r="BA25" i="69" a="1"/>
  <c r="BA25" i="69" s="1"/>
  <c r="AU25" i="69" a="1"/>
  <c r="AU25" i="69" s="1"/>
  <c r="AQ25" i="69" a="1"/>
  <c r="AQ25" i="69" s="1"/>
  <c r="BV20" i="69"/>
  <c r="AT20" i="69" a="1"/>
  <c r="AT20" i="69" s="1"/>
  <c r="U92" i="69" a="1"/>
  <c r="U92" i="69" s="1"/>
  <c r="AX1463" i="13"/>
  <c r="A1562" i="13"/>
  <c r="Z1567" i="13"/>
  <c r="I68" i="69"/>
  <c r="I68" i="72"/>
  <c r="C9" i="69"/>
  <c r="D9" i="69" s="1" a="1"/>
  <c r="D9" i="69" s="1"/>
  <c r="C9" i="72"/>
  <c r="D9" i="72" s="1" a="1"/>
  <c r="D9" i="72" s="1"/>
  <c r="O34" i="72"/>
  <c r="BU18" i="72" a="1"/>
  <c r="BU18" i="72" s="1"/>
  <c r="BZ18" i="72"/>
  <c r="AX18" i="72" a="1"/>
  <c r="AX18" i="72" s="1"/>
  <c r="F549" i="15" a="1"/>
  <c r="F549" i="15" s="1"/>
  <c r="AN95" i="72" a="1"/>
  <c r="AN95" i="72" s="1"/>
  <c r="AH95" i="72" a="1"/>
  <c r="AH95" i="72" s="1"/>
  <c r="AM95" i="72" a="1"/>
  <c r="AM95" i="72" s="1"/>
  <c r="BA95" i="72" a="1"/>
  <c r="BA95" i="72" s="1"/>
  <c r="AU95" i="72" a="1"/>
  <c r="AU95" i="72" s="1"/>
  <c r="AS95" i="72" a="1"/>
  <c r="AS95" i="72" s="1"/>
  <c r="AY95" i="72" a="1"/>
  <c r="AY95" i="72" s="1"/>
  <c r="AZ95" i="72" a="1"/>
  <c r="AZ95" i="72" s="1"/>
  <c r="BE95" i="72" a="1"/>
  <c r="BE95" i="72" s="1"/>
  <c r="BD95" i="72" a="1"/>
  <c r="BD95" i="72" s="1"/>
  <c r="BB95" i="72" a="1"/>
  <c r="BB95" i="72" s="1"/>
  <c r="AH25" i="72" a="1"/>
  <c r="AH25" i="72" s="1"/>
  <c r="AS25" i="72" a="1"/>
  <c r="AS25" i="72" s="1"/>
  <c r="AN25" i="72" a="1"/>
  <c r="AN25" i="72" s="1"/>
  <c r="BD25" i="72" a="1"/>
  <c r="BD25" i="72" s="1"/>
  <c r="AY25" i="72" a="1"/>
  <c r="AY25" i="72" s="1"/>
  <c r="AU25" i="72" a="1"/>
  <c r="AU25" i="72" s="1"/>
  <c r="BE25" i="72" a="1"/>
  <c r="BE25" i="72" s="1"/>
  <c r="AG25" i="72"/>
  <c r="BZ25" i="72"/>
  <c r="AX25" i="72" a="1"/>
  <c r="AX25" i="72" s="1"/>
  <c r="X18" i="4"/>
  <c r="BL93" i="72"/>
  <c r="I472" i="15" a="1"/>
  <c r="I472" i="15" s="1"/>
  <c r="BL63" i="72"/>
  <c r="O52" i="72"/>
  <c r="E78" i="72"/>
  <c r="BJ78" i="72"/>
  <c r="BI78" i="72"/>
  <c r="BH69" i="69"/>
  <c r="BA58" i="72" a="1"/>
  <c r="BA58" i="72" s="1"/>
  <c r="O34" i="69"/>
  <c r="AE18" i="69" a="1"/>
  <c r="AE18" i="69" s="1"/>
  <c r="O43" i="69"/>
  <c r="BH80" i="72"/>
  <c r="BQ80" i="72" a="1"/>
  <c r="BQ80" i="72" s="1"/>
  <c r="AR80" i="72"/>
  <c r="R80" i="72"/>
  <c r="BK80" i="72"/>
  <c r="AZ80" i="72" s="1" a="1"/>
  <c r="AZ80" i="72" s="1"/>
  <c r="BX80" i="72"/>
  <c r="BR80" i="72" a="1"/>
  <c r="BR80" i="72" s="1"/>
  <c r="AT80" i="72" a="1"/>
  <c r="AT80" i="72" s="1"/>
  <c r="BL74" i="72"/>
  <c r="S74" i="72"/>
  <c r="BH69" i="4"/>
  <c r="AV571" i="13"/>
  <c r="DV69" i="4"/>
  <c r="AY52" i="69" a="1"/>
  <c r="AY52" i="69" s="1"/>
  <c r="E38" i="72"/>
  <c r="AE78" i="69" a="1"/>
  <c r="AE78" i="69" s="1"/>
  <c r="A1585" i="13"/>
  <c r="AX1486" i="13"/>
  <c r="Z1590" i="13"/>
  <c r="BC35" i="72" a="1"/>
  <c r="BC35" i="72" s="1"/>
  <c r="BP70" i="69"/>
  <c r="BO70" i="69" s="1"/>
  <c r="BR70" i="69" s="1"/>
  <c r="C29" i="72"/>
  <c r="D29" i="72" s="1" a="1"/>
  <c r="D29" i="72" s="1"/>
  <c r="BZ69" i="72"/>
  <c r="BJ69" i="72"/>
  <c r="BI69" i="72"/>
  <c r="AR44" i="4"/>
  <c r="AQ44" i="4"/>
  <c r="AY544" i="13"/>
  <c r="BV90" i="69"/>
  <c r="AT90" i="69" a="1"/>
  <c r="AT90" i="69" s="1"/>
  <c r="U86" i="69" a="1"/>
  <c r="U86" i="69" s="1"/>
  <c r="BL43" i="72"/>
  <c r="BZ43" i="72"/>
  <c r="AX43" i="72" a="1"/>
  <c r="AX43" i="72" s="1"/>
  <c r="AY30" i="69" a="1"/>
  <c r="AY30" i="69" s="1"/>
  <c r="CV55" i="4"/>
  <c r="CV97" i="4" s="1"/>
  <c r="CU97" i="4"/>
  <c r="I185" i="15" a="1"/>
  <c r="I185" i="15" s="1"/>
  <c r="AV1407" i="13"/>
  <c r="A1506" i="13"/>
  <c r="AX1407" i="13"/>
  <c r="Z1511" i="13"/>
  <c r="AY74" i="69" a="1"/>
  <c r="AY74" i="69" s="1"/>
  <c r="BE74" i="69"/>
  <c r="AN74" i="69" s="1" a="1"/>
  <c r="AN74" i="69" s="1"/>
  <c r="BF74" i="69"/>
  <c r="AF16" i="72" a="1"/>
  <c r="AF16" i="72" s="1"/>
  <c r="AJ16" i="72" s="1" a="1"/>
  <c r="AJ16" i="72" s="1"/>
  <c r="E16" i="72"/>
  <c r="A1543" i="13"/>
  <c r="AV1444" i="13"/>
  <c r="AX1444" i="13"/>
  <c r="Z1548" i="13"/>
  <c r="I354" i="15" a="1"/>
  <c r="I354" i="15" s="1"/>
  <c r="AE35" i="69" a="1"/>
  <c r="AE35" i="69" s="1"/>
  <c r="BM58" i="69" a="1"/>
  <c r="BM58" i="69" s="1"/>
  <c r="I89" i="72"/>
  <c r="I89" i="69"/>
  <c r="BW70" i="72"/>
  <c r="AG70" i="72"/>
  <c r="Z1541" i="13"/>
  <c r="AX1437" i="13"/>
  <c r="AV1437" i="13"/>
  <c r="A1536" i="13"/>
  <c r="H30" i="72"/>
  <c r="BE1768" i="13" a="1"/>
  <c r="BE1768" i="13" s="1"/>
  <c r="BF1768" i="13" s="1"/>
  <c r="BF69" i="4"/>
  <c r="BF72" i="4"/>
  <c r="X93" i="4"/>
  <c r="BG93" i="4"/>
  <c r="AV1191" i="13" s="1"/>
  <c r="L93" i="4"/>
  <c r="X90" i="4"/>
  <c r="BR90" i="4"/>
  <c r="AE90" i="72" s="1"/>
  <c r="BG90" i="4"/>
  <c r="AV1188" i="13" s="1"/>
  <c r="L90" i="4"/>
  <c r="BG84" i="4"/>
  <c r="AV1182" i="13" s="1"/>
  <c r="X84" i="4"/>
  <c r="L84" i="4"/>
  <c r="BF71" i="4"/>
  <c r="BF88" i="4"/>
  <c r="BG67" i="4"/>
  <c r="AV1165" i="13" s="1"/>
  <c r="BR67" i="4"/>
  <c r="L67" i="4"/>
  <c r="BG89" i="4"/>
  <c r="AV1187" i="13" s="1"/>
  <c r="BR89" i="4"/>
  <c r="AE89" i="72" s="1"/>
  <c r="L89" i="4"/>
  <c r="BV77" i="69"/>
  <c r="I398" i="15" a="1"/>
  <c r="I398" i="15" s="1"/>
  <c r="AQ77" i="72"/>
  <c r="BM5" i="4"/>
  <c r="I620" i="15" a="1"/>
  <c r="I620" i="15" s="1"/>
  <c r="AY541" i="13"/>
  <c r="AQ41" i="4"/>
  <c r="AR41" i="4"/>
  <c r="BH95" i="4"/>
  <c r="BT95" i="4"/>
  <c r="BS89" i="72"/>
  <c r="BV89" i="72" s="1"/>
  <c r="AE77" i="69" a="1"/>
  <c r="AE77" i="69" s="1"/>
  <c r="AE82" i="69" a="1"/>
  <c r="AE82" i="69" s="1"/>
  <c r="BP82" i="69"/>
  <c r="BO82" i="69" s="1"/>
  <c r="BR82" i="69" s="1"/>
  <c r="BD82" i="69"/>
  <c r="BT82" i="69"/>
  <c r="BM82" i="69" a="1"/>
  <c r="BM82" i="69" s="1"/>
  <c r="R82" i="69"/>
  <c r="BG82" i="69"/>
  <c r="AY59" i="72" a="1"/>
  <c r="AY59" i="72" s="1"/>
  <c r="BA59" i="72" a="1"/>
  <c r="BA59" i="72" s="1"/>
  <c r="AZ59" i="72" a="1"/>
  <c r="AZ59" i="72" s="1"/>
  <c r="AN59" i="72" a="1"/>
  <c r="AN59" i="72" s="1"/>
  <c r="BD59" i="72" a="1"/>
  <c r="BD59" i="72" s="1"/>
  <c r="AH59" i="72" a="1"/>
  <c r="AH59" i="72" s="1"/>
  <c r="AS59" i="72" a="1"/>
  <c r="AS59" i="72" s="1"/>
  <c r="BE59" i="72" a="1"/>
  <c r="BE59" i="72" s="1"/>
  <c r="AU59" i="72" a="1"/>
  <c r="AU59" i="72" s="1"/>
  <c r="I660" i="15" a="1"/>
  <c r="I660" i="15" s="1"/>
  <c r="BL77" i="72"/>
  <c r="BQ77" i="72" a="1"/>
  <c r="BQ77" i="72" s="1"/>
  <c r="BH77" i="72"/>
  <c r="BK77" i="72"/>
  <c r="BA77" i="72" s="1" a="1"/>
  <c r="BA77" i="72" s="1"/>
  <c r="AR77" i="72"/>
  <c r="R77" i="72"/>
  <c r="BX77" i="72"/>
  <c r="AT77" i="72" a="1"/>
  <c r="AT77" i="72" s="1"/>
  <c r="BR77" i="72" a="1"/>
  <c r="BR77" i="72" s="1"/>
  <c r="I59" i="69"/>
  <c r="I59" i="72"/>
  <c r="BL82" i="72"/>
  <c r="AY58" i="72" a="1"/>
  <c r="AY58" i="72" s="1"/>
  <c r="AS58" i="72" a="1"/>
  <c r="AS58" i="72" s="1"/>
  <c r="BD58" i="72" a="1"/>
  <c r="BD58" i="72" s="1"/>
  <c r="AH58" i="72" a="1"/>
  <c r="AH58" i="72" s="1"/>
  <c r="BE58" i="72" a="1"/>
  <c r="BE58" i="72" s="1"/>
  <c r="AN58" i="72" a="1"/>
  <c r="AN58" i="72" s="1"/>
  <c r="AM58" i="72" a="1"/>
  <c r="AM58" i="72" s="1"/>
  <c r="AU58" i="72" a="1"/>
  <c r="AU58" i="72" s="1"/>
  <c r="AZ58" i="72" a="1"/>
  <c r="AZ58" i="72" s="1"/>
  <c r="BB58" i="72" a="1"/>
  <c r="BB58" i="72" s="1"/>
  <c r="O37" i="69"/>
  <c r="BE59" i="69"/>
  <c r="AG59" i="69" s="1" a="1"/>
  <c r="AG59" i="69" s="1"/>
  <c r="BF59" i="69"/>
  <c r="BP54" i="69"/>
  <c r="BO54" i="69" s="1"/>
  <c r="BR54" i="69" s="1"/>
  <c r="H4" i="72"/>
  <c r="H4" i="69"/>
  <c r="BC15" i="72" a="1"/>
  <c r="BC15" i="72" s="1"/>
  <c r="AQ15" i="72"/>
  <c r="E26" i="69"/>
  <c r="AF6" i="72" a="1"/>
  <c r="AF6" i="72" s="1"/>
  <c r="AJ6" i="72" s="1" a="1"/>
  <c r="AJ6" i="72" s="1"/>
  <c r="AV1459" i="13"/>
  <c r="AX1459" i="13"/>
  <c r="Z1563" i="13"/>
  <c r="A1558" i="13"/>
  <c r="BI76" i="72"/>
  <c r="BS76" i="72"/>
  <c r="BV76" i="72" s="1"/>
  <c r="BJ76" i="72"/>
  <c r="AG37" i="72"/>
  <c r="BF51" i="69"/>
  <c r="BE51" i="69"/>
  <c r="BC62" i="72" a="1"/>
  <c r="BC62" i="72" s="1"/>
  <c r="BZ17" i="72"/>
  <c r="AX17" i="72" a="1"/>
  <c r="AX17" i="72" s="1"/>
  <c r="F71" i="69"/>
  <c r="F71" i="72"/>
  <c r="BZ26" i="72"/>
  <c r="BI26" i="72"/>
  <c r="BJ26" i="72"/>
  <c r="BS19" i="72"/>
  <c r="BV19" i="72" s="1"/>
  <c r="BI19" i="72"/>
  <c r="BJ19" i="72"/>
  <c r="BT12" i="72"/>
  <c r="R12" i="72"/>
  <c r="BH12" i="72"/>
  <c r="AR12" i="72"/>
  <c r="BX12" i="72"/>
  <c r="BK12" i="72"/>
  <c r="BQ12" i="72" a="1"/>
  <c r="BQ12" i="72" s="1"/>
  <c r="I452" i="15" a="1"/>
  <c r="I452" i="15" s="1"/>
  <c r="BE6" i="69"/>
  <c r="BF6" i="69"/>
  <c r="AY556" i="13"/>
  <c r="AQ56" i="4"/>
  <c r="AR56" i="4"/>
  <c r="AQ56" i="72"/>
  <c r="AG33" i="72"/>
  <c r="R14" i="72"/>
  <c r="AR14" i="72"/>
  <c r="BH14" i="72"/>
  <c r="BX14" i="72"/>
  <c r="BK14" i="72"/>
  <c r="BQ14" i="72" a="1"/>
  <c r="BQ14" i="72" s="1"/>
  <c r="A1525" i="13"/>
  <c r="AV1426" i="13"/>
  <c r="Z1530" i="13"/>
  <c r="AX1426" i="13"/>
  <c r="AU32" i="4"/>
  <c r="AV32" i="4" a="1"/>
  <c r="AV32" i="4" s="1"/>
  <c r="Y32" i="4"/>
  <c r="AT32" i="4" a="1"/>
  <c r="AT32" i="4" s="1"/>
  <c r="CY32" i="4"/>
  <c r="CZ32" i="4" s="1"/>
  <c r="BQ32" i="4"/>
  <c r="CA32" i="4"/>
  <c r="A1505" i="13"/>
  <c r="AV1406" i="13"/>
  <c r="Z1510" i="13"/>
  <c r="AX1406" i="13"/>
  <c r="BE19" i="69"/>
  <c r="AG19" i="69" s="1" a="1"/>
  <c r="AG19" i="69" s="1"/>
  <c r="BF19" i="69"/>
  <c r="AQ13" i="72"/>
  <c r="BJ45" i="72"/>
  <c r="BI45" i="72"/>
  <c r="AG45" i="72"/>
  <c r="AQ5" i="72"/>
  <c r="BO47" i="69"/>
  <c r="BR47" i="69" s="1"/>
  <c r="BE47" i="69"/>
  <c r="AN47" i="69" s="1" a="1"/>
  <c r="AN47" i="69" s="1"/>
  <c r="BF47" i="69"/>
  <c r="AV1443" i="13"/>
  <c r="AX1443" i="13"/>
  <c r="A1542" i="13"/>
  <c r="Z1547" i="13"/>
  <c r="BG16" i="69"/>
  <c r="BD16" i="69"/>
  <c r="R16" i="69"/>
  <c r="BM16" i="69" a="1"/>
  <c r="BM16" i="69" s="1"/>
  <c r="BT16" i="69"/>
  <c r="BI41" i="72"/>
  <c r="BJ41" i="72"/>
  <c r="I200" i="15" a="1"/>
  <c r="I200" i="15" s="1"/>
  <c r="AY32" i="72" a="1"/>
  <c r="AY32" i="72" s="1"/>
  <c r="AS32" i="72" a="1"/>
  <c r="AS32" i="72" s="1"/>
  <c r="AH32" i="72" a="1"/>
  <c r="AH32" i="72" s="1"/>
  <c r="BE32" i="72" a="1"/>
  <c r="BE32" i="72" s="1"/>
  <c r="AU32" i="72" a="1"/>
  <c r="AU32" i="72" s="1"/>
  <c r="BD32" i="72" a="1"/>
  <c r="BD32" i="72" s="1"/>
  <c r="AN32" i="72" a="1"/>
  <c r="AN32" i="72" s="1"/>
  <c r="I16" i="27"/>
  <c r="DV66" i="4"/>
  <c r="AV568" i="13"/>
  <c r="AE66" i="72"/>
  <c r="BH66" i="4"/>
  <c r="BK5" i="69"/>
  <c r="AY559" i="13"/>
  <c r="AQ59" i="4"/>
  <c r="AR59" i="4"/>
  <c r="BO72" i="69"/>
  <c r="BR72" i="69" s="1"/>
  <c r="BF72" i="69"/>
  <c r="BE72" i="69"/>
  <c r="AN72" i="69" s="1" a="1"/>
  <c r="AN72" i="69" s="1"/>
  <c r="AD28" i="69"/>
  <c r="AU57" i="72" a="1"/>
  <c r="AU57" i="72" s="1"/>
  <c r="AY57" i="72" a="1"/>
  <c r="AY57" i="72" s="1"/>
  <c r="BD57" i="72" a="1"/>
  <c r="BD57" i="72" s="1"/>
  <c r="BE57" i="72" a="1"/>
  <c r="BE57" i="72" s="1"/>
  <c r="AS57" i="72" a="1"/>
  <c r="AS57" i="72" s="1"/>
  <c r="AH57" i="72" a="1"/>
  <c r="AH57" i="72" s="1"/>
  <c r="AN57" i="72" a="1"/>
  <c r="AN57" i="72" s="1"/>
  <c r="BZ57" i="72"/>
  <c r="AX57" i="72" a="1"/>
  <c r="AX57" i="72" s="1"/>
  <c r="BR81" i="4"/>
  <c r="AE81" i="72" s="1"/>
  <c r="AX1446" i="13"/>
  <c r="A1545" i="13"/>
  <c r="Z1550" i="13"/>
  <c r="AV1446" i="13"/>
  <c r="AO7" i="69" a="1"/>
  <c r="AO7" i="69" s="1"/>
  <c r="AU7" i="69" a="1"/>
  <c r="AU7" i="69" s="1"/>
  <c r="AZ7" i="69" a="1"/>
  <c r="AZ7" i="69" s="1"/>
  <c r="AQ7" i="69" a="1"/>
  <c r="AQ7" i="69" s="1"/>
  <c r="BA7" i="69" a="1"/>
  <c r="BA7" i="69" s="1"/>
  <c r="AQ21" i="72"/>
  <c r="F355" i="15" a="1"/>
  <c r="F355" i="15" s="1"/>
  <c r="H355" i="15" a="1"/>
  <c r="H355" i="15" s="1"/>
  <c r="K31" i="69" a="1"/>
  <c r="K31" i="69" s="1"/>
  <c r="BE31" i="69"/>
  <c r="BF31" i="69"/>
  <c r="I574" i="15" a="1"/>
  <c r="I574" i="15" s="1"/>
  <c r="DD81" i="4" a="1"/>
  <c r="DD81" i="4" s="1"/>
  <c r="AT21" i="69" a="1"/>
  <c r="AT21" i="69" s="1"/>
  <c r="BV21" i="69"/>
  <c r="I283" i="15" a="1"/>
  <c r="I283" i="15" s="1"/>
  <c r="AG20" i="72"/>
  <c r="BA20" i="69" a="1"/>
  <c r="BA20" i="69" s="1"/>
  <c r="AZ20" i="69" a="1"/>
  <c r="AZ20" i="69" s="1"/>
  <c r="AU20" i="69" a="1"/>
  <c r="AU20" i="69" s="1"/>
  <c r="AO20" i="69" a="1"/>
  <c r="AO20" i="69" s="1"/>
  <c r="AQ20" i="69" a="1"/>
  <c r="AQ20" i="69" s="1"/>
  <c r="L20" i="69"/>
  <c r="BT20" i="69"/>
  <c r="BD20" i="69"/>
  <c r="R20" i="69"/>
  <c r="BM20" i="69" a="1"/>
  <c r="BM20" i="69" s="1"/>
  <c r="BN20" i="69" a="1"/>
  <c r="BN20" i="69" s="1"/>
  <c r="BG20" i="69"/>
  <c r="AW20" i="69" s="1" a="1"/>
  <c r="AW20" i="69" s="1"/>
  <c r="AP20" i="69" a="1"/>
  <c r="AP20" i="69" s="1"/>
  <c r="A1540" i="13"/>
  <c r="AX1441" i="13"/>
  <c r="Z1545" i="13"/>
  <c r="AV1441" i="13"/>
  <c r="AG83" i="72"/>
  <c r="BV63" i="69"/>
  <c r="BU88" i="72" a="1"/>
  <c r="BU88" i="72" s="1"/>
  <c r="BX88" i="72"/>
  <c r="BK88" i="72"/>
  <c r="BA88" i="72" s="1" a="1"/>
  <c r="BA88" i="72" s="1"/>
  <c r="AR88" i="72"/>
  <c r="BR88" i="72" a="1"/>
  <c r="BR88" i="72" s="1"/>
  <c r="AT88" i="72" a="1"/>
  <c r="AT88" i="72" s="1"/>
  <c r="R88" i="72"/>
  <c r="AS88" i="72" s="1" a="1"/>
  <c r="AS88" i="72" s="1"/>
  <c r="BH88" i="72"/>
  <c r="BQ88" i="72" a="1"/>
  <c r="BQ88" i="72" s="1"/>
  <c r="BZ44" i="72"/>
  <c r="AX44" i="72" a="1"/>
  <c r="AX44" i="72" s="1"/>
  <c r="AH34" i="72" a="1"/>
  <c r="AH34" i="72" s="1"/>
  <c r="AN34" i="72" a="1"/>
  <c r="AN34" i="72" s="1"/>
  <c r="AU34" i="72" a="1"/>
  <c r="AU34" i="72" s="1"/>
  <c r="BE34" i="72" a="1"/>
  <c r="BE34" i="72" s="1"/>
  <c r="AY34" i="72" a="1"/>
  <c r="AY34" i="72" s="1"/>
  <c r="BD34" i="72" a="1"/>
  <c r="BD34" i="72" s="1"/>
  <c r="BJ34" i="72"/>
  <c r="BI34" i="72"/>
  <c r="BS34" i="72"/>
  <c r="BV34" i="72" s="1"/>
  <c r="BZ34" i="72"/>
  <c r="AX34" i="72" a="1"/>
  <c r="AX34" i="72" s="1"/>
  <c r="BS80" i="69"/>
  <c r="I625" i="15" a="1"/>
  <c r="I625" i="15" s="1"/>
  <c r="H265" i="15" a="1"/>
  <c r="H265" i="15" s="1"/>
  <c r="X25" i="4"/>
  <c r="BD83" i="69"/>
  <c r="BM83" i="69" a="1"/>
  <c r="BM83" i="69" s="1"/>
  <c r="BN83" i="69" a="1"/>
  <c r="BN83" i="69" s="1"/>
  <c r="AP83" i="69" a="1"/>
  <c r="AP83" i="69" s="1"/>
  <c r="BT83" i="69"/>
  <c r="BG83" i="69"/>
  <c r="AV83" i="69" s="1" a="1"/>
  <c r="AV83" i="69" s="1"/>
  <c r="R83" i="69"/>
  <c r="F82" i="69"/>
  <c r="F82" i="72"/>
  <c r="AX11" i="69" a="1"/>
  <c r="AX11" i="69" s="1"/>
  <c r="AU11" i="69" a="1"/>
  <c r="AU11" i="69" s="1"/>
  <c r="AZ11" i="69" a="1"/>
  <c r="AZ11" i="69" s="1"/>
  <c r="BA11" i="69" a="1"/>
  <c r="BA11" i="69" s="1"/>
  <c r="AQ11" i="69" a="1"/>
  <c r="AQ11" i="69" s="1"/>
  <c r="BW52" i="72"/>
  <c r="BQ44" i="69" a="1"/>
  <c r="BQ44" i="69" s="1"/>
  <c r="BD44" i="69"/>
  <c r="BM44" i="69" a="1"/>
  <c r="BM44" i="69" s="1"/>
  <c r="BT44" i="69"/>
  <c r="BG44" i="69"/>
  <c r="R44" i="69"/>
  <c r="AU69" i="69" a="1"/>
  <c r="AU69" i="69" s="1"/>
  <c r="AZ69" i="69" a="1"/>
  <c r="AZ69" i="69" s="1"/>
  <c r="BA69" i="69" a="1"/>
  <c r="BA69" i="69" s="1"/>
  <c r="AQ69" i="69" a="1"/>
  <c r="AQ69" i="69" s="1"/>
  <c r="S66" i="69"/>
  <c r="BQ43" i="69" a="1"/>
  <c r="BQ43" i="69" s="1"/>
  <c r="BG43" i="69"/>
  <c r="BM43" i="69" a="1"/>
  <c r="BM43" i="69" s="1"/>
  <c r="BD43" i="69"/>
  <c r="BT43" i="69"/>
  <c r="R43" i="69"/>
  <c r="BI80" i="72"/>
  <c r="BJ80" i="72"/>
  <c r="BS80" i="72"/>
  <c r="BV80" i="72" s="1"/>
  <c r="AQ74" i="72"/>
  <c r="CA31" i="4"/>
  <c r="AU31" i="4"/>
  <c r="Y31" i="4"/>
  <c r="AT31" i="4" a="1"/>
  <c r="AT31" i="4" s="1"/>
  <c r="AV31" i="4" a="1"/>
  <c r="AV31" i="4" s="1"/>
  <c r="CY31" i="4"/>
  <c r="CZ31" i="4" s="1"/>
  <c r="BQ31" i="4"/>
  <c r="AD50" i="69"/>
  <c r="AX1482" i="13"/>
  <c r="Z1586" i="13"/>
  <c r="A1581" i="13"/>
  <c r="AE52" i="69" a="1"/>
  <c r="AE52" i="69" s="1"/>
  <c r="BI52" i="69"/>
  <c r="AG38" i="72"/>
  <c r="AQ38" i="72"/>
  <c r="U78" i="69" a="1"/>
  <c r="U78" i="69" s="1"/>
  <c r="I615" i="15" a="1"/>
  <c r="I615" i="15" s="1"/>
  <c r="BE70" i="69"/>
  <c r="AG70" i="69" s="1" a="1"/>
  <c r="AG70" i="69" s="1"/>
  <c r="BF70" i="69"/>
  <c r="DD66" i="4" a="1"/>
  <c r="DD66" i="4" s="1"/>
  <c r="AY86" i="69" a="1"/>
  <c r="AY86" i="69" s="1"/>
  <c r="B86" i="69"/>
  <c r="BC43" i="72" a="1"/>
  <c r="BC43" i="72" s="1"/>
  <c r="BS16" i="72"/>
  <c r="BV16" i="72" s="1"/>
  <c r="BJ16" i="72"/>
  <c r="BI16" i="72"/>
  <c r="BI50" i="72"/>
  <c r="BJ50" i="72"/>
  <c r="D47" i="72" a="1"/>
  <c r="D47" i="72" s="1"/>
  <c r="C38" i="69"/>
  <c r="D38" i="69" s="1" a="1"/>
  <c r="D38" i="69" s="1"/>
  <c r="F68" i="69"/>
  <c r="F68" i="72"/>
  <c r="AY64" i="69" a="1"/>
  <c r="AY64" i="69" s="1"/>
  <c r="BQ64" i="69" a="1"/>
  <c r="BQ64" i="69" s="1"/>
  <c r="BM64" i="69" a="1"/>
  <c r="BM64" i="69" s="1"/>
  <c r="BT64" i="69"/>
  <c r="AP64" i="69" a="1"/>
  <c r="AP64" i="69" s="1"/>
  <c r="BG64" i="69"/>
  <c r="AW64" i="69" s="1" a="1"/>
  <c r="AW64" i="69" s="1"/>
  <c r="R64" i="69"/>
  <c r="BN64" i="69" a="1"/>
  <c r="BN64" i="69" s="1"/>
  <c r="BD64" i="69"/>
  <c r="BI35" i="69"/>
  <c r="BT35" i="69"/>
  <c r="BM35" i="69" a="1"/>
  <c r="BM35" i="69" s="1"/>
  <c r="R35" i="69"/>
  <c r="BD35" i="69"/>
  <c r="BG35" i="69"/>
  <c r="BT58" i="69"/>
  <c r="BI46" i="69"/>
  <c r="BQ46" i="69" a="1"/>
  <c r="BQ46" i="69" s="1"/>
  <c r="R46" i="69"/>
  <c r="BM46" i="69" a="1"/>
  <c r="BM46" i="69" s="1"/>
  <c r="BG46" i="69"/>
  <c r="BD46" i="69"/>
  <c r="BT46" i="69"/>
  <c r="DD59" i="4" a="1"/>
  <c r="DD59" i="4" s="1"/>
  <c r="AF90" i="72" a="1"/>
  <c r="AF90" i="72" s="1"/>
  <c r="AJ90" i="72" s="1" a="1"/>
  <c r="AJ90" i="72" s="1"/>
  <c r="AV96" i="69" a="1"/>
  <c r="AV96" i="69" s="1"/>
  <c r="BH73" i="4"/>
  <c r="BH92" i="4"/>
  <c r="L69" i="4"/>
  <c r="BG69" i="4"/>
  <c r="AV1167" i="13" s="1"/>
  <c r="X72" i="4"/>
  <c r="BG72" i="4"/>
  <c r="AV1170" i="13" s="1"/>
  <c r="L72" i="4"/>
  <c r="BF93" i="4"/>
  <c r="BG96" i="4"/>
  <c r="AV1194" i="13" s="1"/>
  <c r="L96" i="4"/>
  <c r="BR87" i="4"/>
  <c r="X87" i="4"/>
  <c r="BG87" i="4"/>
  <c r="AV1185" i="13" s="1"/>
  <c r="L87" i="4"/>
  <c r="BF83" i="4"/>
  <c r="BF77" i="4"/>
  <c r="AV574" i="13"/>
  <c r="DV72" i="4"/>
  <c r="BH72" i="4"/>
  <c r="AT8" i="4" a="1"/>
  <c r="AT8" i="4" s="1"/>
  <c r="Y8" i="4"/>
  <c r="AU8" i="4"/>
  <c r="AV8" i="4" a="1"/>
  <c r="AV8" i="4" s="1"/>
  <c r="CY8" i="4"/>
  <c r="CZ8" i="4" s="1"/>
  <c r="BQ8" i="4"/>
  <c r="CA8" i="4"/>
  <c r="AQ64" i="72"/>
  <c r="S73" i="72"/>
  <c r="AG46" i="72"/>
  <c r="BZ46" i="72"/>
  <c r="AX46" i="72" a="1"/>
  <c r="AX46" i="72" s="1"/>
  <c r="I419" i="15" a="1"/>
  <c r="I419" i="15" s="1"/>
  <c r="AU43" i="4"/>
  <c r="AT43" i="4" a="1"/>
  <c r="AT43" i="4" s="1"/>
  <c r="Y43" i="4"/>
  <c r="AV43" i="4" a="1"/>
  <c r="AV43" i="4" s="1"/>
  <c r="BQ43" i="4"/>
  <c r="CA43" i="4"/>
  <c r="BJ61" i="72"/>
  <c r="BS61" i="72"/>
  <c r="BV61" i="72" s="1"/>
  <c r="BI61" i="72"/>
  <c r="AQ85" i="72"/>
  <c r="BZ85" i="72"/>
  <c r="BH71" i="4"/>
  <c r="AV573" i="13"/>
  <c r="DV71" i="4"/>
  <c r="BV49" i="69"/>
  <c r="AT49" i="69" a="1"/>
  <c r="AT49" i="69" s="1"/>
  <c r="AQ5" i="4"/>
  <c r="AR5" i="4"/>
  <c r="AY507" i="13"/>
  <c r="BA1770" i="13"/>
  <c r="BF1766" i="13"/>
  <c r="AQ8" i="72"/>
  <c r="AQ89" i="72"/>
  <c r="BQ77" i="69" a="1"/>
  <c r="BQ77" i="69" s="1"/>
  <c r="BJ73" i="72"/>
  <c r="BI73" i="72"/>
  <c r="I228" i="15" a="1"/>
  <c r="I228" i="15" s="1"/>
  <c r="AY546" i="13"/>
  <c r="AR46" i="4"/>
  <c r="AQ46" i="4"/>
  <c r="BL59" i="72"/>
  <c r="E59" i="72"/>
  <c r="I102" i="15" a="1"/>
  <c r="I102" i="15" s="1"/>
  <c r="BH42" i="69"/>
  <c r="BQ42" i="69" a="1"/>
  <c r="BQ42" i="69" s="1"/>
  <c r="AP42" i="69" a="1"/>
  <c r="AP42" i="69" s="1"/>
  <c r="BD42" i="69"/>
  <c r="AO42" i="69" s="1" a="1"/>
  <c r="AO42" i="69" s="1"/>
  <c r="R42" i="69"/>
  <c r="BN42" i="69" a="1"/>
  <c r="BN42" i="69" s="1"/>
  <c r="BG42" i="69"/>
  <c r="AV42" i="69" s="1" a="1"/>
  <c r="AV42" i="69" s="1"/>
  <c r="BT42" i="69"/>
  <c r="BM42" i="69" a="1"/>
  <c r="BM42" i="69" s="1"/>
  <c r="CA42" i="4"/>
  <c r="AV42" i="4" a="1"/>
  <c r="AV42" i="4" s="1"/>
  <c r="Y42" i="4"/>
  <c r="AU42" i="4"/>
  <c r="AT42" i="4" a="1"/>
  <c r="AT42" i="4" s="1"/>
  <c r="BQ42" i="4"/>
  <c r="BC49" i="72" a="1"/>
  <c r="BC49" i="72" s="1"/>
  <c r="BZ49" i="72"/>
  <c r="E49" i="72"/>
  <c r="AV561" i="13"/>
  <c r="BH59" i="4"/>
  <c r="DV59" i="4"/>
  <c r="I654" i="15" a="1"/>
  <c r="I654" i="15" s="1"/>
  <c r="BJ85" i="72"/>
  <c r="BI85" i="72"/>
  <c r="BP89" i="69"/>
  <c r="BO89" i="69" s="1"/>
  <c r="BR89" i="69" s="1"/>
  <c r="BM89" i="69" a="1"/>
  <c r="BM89" i="69" s="1"/>
  <c r="AP89" i="69" a="1"/>
  <c r="AP89" i="69" s="1"/>
  <c r="BD89" i="69"/>
  <c r="R89" i="69"/>
  <c r="BG89" i="69"/>
  <c r="AV89" i="69" s="1" a="1"/>
  <c r="AV89" i="69" s="1"/>
  <c r="BN89" i="69" a="1"/>
  <c r="BN89" i="69" s="1"/>
  <c r="BT89" i="69"/>
  <c r="BT77" i="72"/>
  <c r="BS77" i="72" s="1"/>
  <c r="BV77" i="72" s="1"/>
  <c r="AE73" i="69" a="1"/>
  <c r="AE73" i="69" s="1"/>
  <c r="B73" i="69"/>
  <c r="BM82" i="72"/>
  <c r="I623" i="15" a="1"/>
  <c r="I623" i="15" s="1"/>
  <c r="BW87" i="72"/>
  <c r="AG87" i="72"/>
  <c r="BV59" i="69"/>
  <c r="AT59" i="69" a="1"/>
  <c r="AT59" i="69" s="1"/>
  <c r="I226" i="15" a="1"/>
  <c r="I226" i="15" s="1"/>
  <c r="AG54" i="72"/>
  <c r="Z1580" i="13"/>
  <c r="AX1476" i="13"/>
  <c r="A1575" i="13"/>
  <c r="U62" i="69" a="1"/>
  <c r="U62" i="69" s="1"/>
  <c r="BE61" i="69"/>
  <c r="AG61" i="69" s="1" a="1"/>
  <c r="AG61" i="69" s="1"/>
  <c r="BO61" i="69"/>
  <c r="BR61" i="69" s="1"/>
  <c r="BF61" i="69"/>
  <c r="I256" i="15" a="1"/>
  <c r="I256" i="15" s="1"/>
  <c r="BV26" i="69"/>
  <c r="AT26" i="69" a="1"/>
  <c r="AT26" i="69" s="1"/>
  <c r="BQ85" i="69" a="1"/>
  <c r="BQ85" i="69" s="1"/>
  <c r="BJ24" i="72"/>
  <c r="BI24" i="72"/>
  <c r="BS24" i="72"/>
  <c r="BV24" i="72" s="1"/>
  <c r="C12" i="69"/>
  <c r="D12" i="69" s="1" a="1"/>
  <c r="D12" i="69" s="1"/>
  <c r="B76" i="72"/>
  <c r="BL37" i="72"/>
  <c r="BP87" i="69"/>
  <c r="BO87" i="69" s="1"/>
  <c r="BR87" i="69" s="1"/>
  <c r="BF67" i="69"/>
  <c r="BE67" i="69"/>
  <c r="AN67" i="69" s="1" a="1"/>
  <c r="AN67" i="69" s="1"/>
  <c r="BK51" i="69"/>
  <c r="BI48" i="72"/>
  <c r="BJ48" i="72"/>
  <c r="CA51" i="4"/>
  <c r="AV51" i="4" a="1"/>
  <c r="AV51" i="4" s="1"/>
  <c r="AT51" i="4" a="1"/>
  <c r="AT51" i="4" s="1"/>
  <c r="Y51" i="4"/>
  <c r="AU51" i="4"/>
  <c r="CY51" i="4"/>
  <c r="CZ51" i="4" s="1"/>
  <c r="P53" i="9" s="1"/>
  <c r="BQ51" i="4"/>
  <c r="Z1565" i="13"/>
  <c r="AX1461" i="13"/>
  <c r="AV1461" i="13"/>
  <c r="A1560" i="13"/>
  <c r="BJ62" i="72"/>
  <c r="BI62" i="72"/>
  <c r="BS62" i="72"/>
  <c r="BV62" i="72" s="1"/>
  <c r="BU62" i="72" a="1"/>
  <c r="BU62" i="72" s="1"/>
  <c r="AT62" i="72" a="1"/>
  <c r="AT62" i="72" s="1"/>
  <c r="R62" i="72"/>
  <c r="BQ62" i="72" a="1"/>
  <c r="BQ62" i="72" s="1"/>
  <c r="AR62" i="72"/>
  <c r="BK62" i="72"/>
  <c r="AZ62" i="72" s="1" a="1"/>
  <c r="AZ62" i="72" s="1"/>
  <c r="BH62" i="72"/>
  <c r="AS62" i="72" s="1" a="1"/>
  <c r="AS62" i="72" s="1"/>
  <c r="BX62" i="72"/>
  <c r="BR62" i="72" a="1"/>
  <c r="BR62" i="72" s="1"/>
  <c r="BJ17" i="72"/>
  <c r="BI17" i="72"/>
  <c r="BW19" i="72"/>
  <c r="L19" i="72"/>
  <c r="BX19" i="72"/>
  <c r="BQ19" i="72" a="1"/>
  <c r="BQ19" i="72" s="1"/>
  <c r="R19" i="72"/>
  <c r="BK19" i="72"/>
  <c r="BA19" i="72" s="1" a="1"/>
  <c r="BA19" i="72" s="1"/>
  <c r="AT19" i="72" a="1"/>
  <c r="AT19" i="72" s="1"/>
  <c r="BR19" i="72" a="1"/>
  <c r="BR19" i="72" s="1"/>
  <c r="BH19" i="72"/>
  <c r="AS19" i="72" s="1" a="1"/>
  <c r="AS19" i="72" s="1"/>
  <c r="AR19" i="72"/>
  <c r="BQ24" i="69" a="1"/>
  <c r="BQ24" i="69" s="1"/>
  <c r="BM12" i="72"/>
  <c r="AX1408" i="13"/>
  <c r="AV1408" i="13"/>
  <c r="A1507" i="13"/>
  <c r="Z1512" i="13"/>
  <c r="AE6" i="69" a="1"/>
  <c r="AE6" i="69" s="1"/>
  <c r="B76" i="69"/>
  <c r="BM36" i="72"/>
  <c r="O39" i="69"/>
  <c r="BQ39" i="69" a="1"/>
  <c r="BQ39" i="69" s="1"/>
  <c r="R39" i="69"/>
  <c r="BN39" i="69" a="1"/>
  <c r="BN39" i="69" s="1"/>
  <c r="BT39" i="69"/>
  <c r="BM39" i="69" a="1"/>
  <c r="BM39" i="69" s="1"/>
  <c r="BG39" i="69"/>
  <c r="AW39" i="69" s="1" a="1"/>
  <c r="AW39" i="69" s="1"/>
  <c r="BD39" i="69"/>
  <c r="AP39" i="69" a="1"/>
  <c r="AP39" i="69" s="1"/>
  <c r="AQ92" i="4"/>
  <c r="AY592" i="13"/>
  <c r="AR92" i="4"/>
  <c r="I560" i="15" a="1"/>
  <c r="I560" i="15" s="1"/>
  <c r="BT51" i="72"/>
  <c r="BS51" i="72" s="1"/>
  <c r="BV51" i="72" s="1"/>
  <c r="AD33" i="69"/>
  <c r="AG56" i="72"/>
  <c r="E14" i="72"/>
  <c r="BQ57" i="69" a="1"/>
  <c r="BQ57" i="69" s="1"/>
  <c r="L27" i="72"/>
  <c r="BP17" i="69"/>
  <c r="BO17" i="69" s="1"/>
  <c r="BR17" i="69" s="1"/>
  <c r="BO40" i="69"/>
  <c r="BR40" i="69" s="1"/>
  <c r="BQ40" i="69" a="1"/>
  <c r="BQ40" i="69" s="1"/>
  <c r="BN40" i="69" a="1"/>
  <c r="BN40" i="69" s="1"/>
  <c r="BG40" i="69"/>
  <c r="AW40" i="69" s="1" a="1"/>
  <c r="AW40" i="69" s="1"/>
  <c r="BT40" i="69"/>
  <c r="BM40" i="69" a="1"/>
  <c r="BM40" i="69" s="1"/>
  <c r="R40" i="69"/>
  <c r="BD40" i="69"/>
  <c r="AP40" i="69" a="1"/>
  <c r="AP40" i="69" s="1"/>
  <c r="BS19" i="69"/>
  <c r="BN19" i="69" a="1"/>
  <c r="BN19" i="69" s="1"/>
  <c r="BD19" i="69"/>
  <c r="AO19" i="69" s="1" a="1"/>
  <c r="AO19" i="69" s="1"/>
  <c r="BM19" i="69" a="1"/>
  <c r="BM19" i="69" s="1"/>
  <c r="R19" i="69"/>
  <c r="BG19" i="69"/>
  <c r="AV19" i="69" s="1" a="1"/>
  <c r="AV19" i="69" s="1"/>
  <c r="BT19" i="69"/>
  <c r="AP19" i="69" a="1"/>
  <c r="AP19" i="69" s="1"/>
  <c r="AV1451" i="13"/>
  <c r="A1550" i="13"/>
  <c r="Z1555" i="13"/>
  <c r="AX1451" i="13"/>
  <c r="E79" i="69"/>
  <c r="BE79" i="69"/>
  <c r="AG79" i="69" s="1" a="1"/>
  <c r="AG79" i="69" s="1"/>
  <c r="BF79" i="69"/>
  <c r="I653" i="15" a="1"/>
  <c r="I653" i="15" s="1"/>
  <c r="BL39" i="72"/>
  <c r="BZ39" i="72"/>
  <c r="BO5" i="72"/>
  <c r="E5" i="72"/>
  <c r="O47" i="69"/>
  <c r="L16" i="69"/>
  <c r="BL91" i="72"/>
  <c r="O41" i="72"/>
  <c r="BS40" i="72"/>
  <c r="BV40" i="72" s="1"/>
  <c r="I258" i="15" a="1"/>
  <c r="I258" i="15" s="1"/>
  <c r="B68" i="69"/>
  <c r="BO68" i="69"/>
  <c r="BR68" i="69" s="1"/>
  <c r="BE68" i="69"/>
  <c r="AG68" i="69" s="1" a="1"/>
  <c r="AG68" i="69" s="1"/>
  <c r="BF68" i="69"/>
  <c r="Z1553" i="13"/>
  <c r="AV1449" i="13"/>
  <c r="A1548" i="13"/>
  <c r="AX1449" i="13"/>
  <c r="AF7" i="72" a="1"/>
  <c r="AF7" i="72" s="1"/>
  <c r="AJ7" i="72" s="1" a="1"/>
  <c r="AJ7" i="72" s="1"/>
  <c r="AG7" i="72"/>
  <c r="BF45" i="69"/>
  <c r="BE45" i="69"/>
  <c r="AG45" i="69" s="1" a="1"/>
  <c r="AG45" i="69" s="1"/>
  <c r="E5" i="69"/>
  <c r="BM47" i="72"/>
  <c r="AT72" i="69" a="1"/>
  <c r="AT72" i="69" s="1"/>
  <c r="BV72" i="69"/>
  <c r="BV28" i="69"/>
  <c r="AT28" i="69" a="1"/>
  <c r="AT28" i="69" s="1"/>
  <c r="BL57" i="72"/>
  <c r="L57" i="72"/>
  <c r="AT57" i="72" a="1"/>
  <c r="AT57" i="72" s="1"/>
  <c r="BX57" i="72"/>
  <c r="BQ57" i="72" a="1"/>
  <c r="BQ57" i="72" s="1"/>
  <c r="AR57" i="72"/>
  <c r="BK57" i="72"/>
  <c r="AZ57" i="72" s="1" a="1"/>
  <c r="AZ57" i="72" s="1"/>
  <c r="BH57" i="72"/>
  <c r="BR57" i="72" a="1"/>
  <c r="BR57" i="72" s="1"/>
  <c r="R57" i="72"/>
  <c r="BS92" i="72"/>
  <c r="BV92" i="72" s="1"/>
  <c r="AU48" i="4"/>
  <c r="Y48" i="4"/>
  <c r="AV48" i="4" a="1"/>
  <c r="AV48" i="4" s="1"/>
  <c r="AT48" i="4" a="1"/>
  <c r="AT48" i="4" s="1"/>
  <c r="BQ48" i="4"/>
  <c r="CA48" i="4"/>
  <c r="BP53" i="69"/>
  <c r="BO53" i="69" s="1"/>
  <c r="BR53" i="69" s="1"/>
  <c r="R53" i="69"/>
  <c r="AO53" i="69" s="1" a="1"/>
  <c r="AO53" i="69" s="1"/>
  <c r="BM53" i="69" a="1"/>
  <c r="BM53" i="69" s="1"/>
  <c r="BT53" i="69"/>
  <c r="AP53" i="69" a="1"/>
  <c r="AP53" i="69" s="1"/>
  <c r="BD53" i="69"/>
  <c r="BG53" i="69"/>
  <c r="AW53" i="69" s="1" a="1"/>
  <c r="AW53" i="69" s="1"/>
  <c r="BN53" i="69" a="1"/>
  <c r="BN53" i="69" s="1"/>
  <c r="AX99" i="4"/>
  <c r="BM31" i="72"/>
  <c r="L68" i="72"/>
  <c r="I395" i="15" a="1"/>
  <c r="I395" i="15" s="1"/>
  <c r="BN84" i="69" a="1"/>
  <c r="BN84" i="69" s="1"/>
  <c r="AP84" i="69" a="1"/>
  <c r="AP84" i="69" s="1"/>
  <c r="BG84" i="69"/>
  <c r="AV84" i="69" s="1" a="1"/>
  <c r="AV84" i="69" s="1"/>
  <c r="R84" i="69"/>
  <c r="AO84" i="69" s="1" a="1"/>
  <c r="AO84" i="69" s="1"/>
  <c r="BM84" i="69" a="1"/>
  <c r="BM84" i="69" s="1"/>
  <c r="BD84" i="69"/>
  <c r="BT84" i="69"/>
  <c r="BZ21" i="72"/>
  <c r="AX21" i="72" a="1"/>
  <c r="AX21" i="72" s="1"/>
  <c r="BJ72" i="72"/>
  <c r="BI72" i="72"/>
  <c r="BZ72" i="72"/>
  <c r="AX72" i="72" a="1"/>
  <c r="AX72" i="72" s="1"/>
  <c r="CA46" i="4"/>
  <c r="Y46" i="4"/>
  <c r="AT46" i="4" a="1"/>
  <c r="AT46" i="4" s="1"/>
  <c r="H46" i="69" s="1"/>
  <c r="AU46" i="4"/>
  <c r="AV46" i="4" a="1"/>
  <c r="AV46" i="4" s="1"/>
  <c r="BQ46" i="4"/>
  <c r="CY46" i="4"/>
  <c r="CZ46" i="4" s="1"/>
  <c r="H594" i="15" a="1"/>
  <c r="H594" i="15" s="1"/>
  <c r="A1583" i="13"/>
  <c r="AX1484" i="13"/>
  <c r="Z1588" i="13"/>
  <c r="BU71" i="72" a="1"/>
  <c r="BU71" i="72" s="1"/>
  <c r="G71" i="72"/>
  <c r="I519" i="15" a="1"/>
  <c r="I519" i="15" s="1"/>
  <c r="DV67" i="4"/>
  <c r="AV569" i="13"/>
  <c r="BH67" i="4"/>
  <c r="BL65" i="72"/>
  <c r="BS84" i="72"/>
  <c r="BV84" i="72" s="1"/>
  <c r="BJ84" i="72"/>
  <c r="BI84" i="72"/>
  <c r="I479" i="15" a="1"/>
  <c r="I479" i="15" s="1"/>
  <c r="K28" i="72" a="1"/>
  <c r="K28" i="72" s="1"/>
  <c r="AG28" i="72"/>
  <c r="K25" i="69" a="1"/>
  <c r="K25" i="69" s="1"/>
  <c r="BP20" i="69"/>
  <c r="BH92" i="69"/>
  <c r="BR20" i="4"/>
  <c r="AE20" i="72" s="1"/>
  <c r="F80" i="69"/>
  <c r="F80" i="72"/>
  <c r="BC83" i="72" a="1"/>
  <c r="BC83" i="72" s="1"/>
  <c r="BM11" i="72"/>
  <c r="C11" i="72"/>
  <c r="D11" i="72" s="1" a="1"/>
  <c r="D11" i="72" s="1"/>
  <c r="G63" i="69"/>
  <c r="E88" i="72"/>
  <c r="AY591" i="13"/>
  <c r="AR91" i="4"/>
  <c r="AQ91" i="4"/>
  <c r="D53" i="69" a="1"/>
  <c r="D53" i="69" s="1"/>
  <c r="I360" i="15" a="1"/>
  <c r="I360" i="15" s="1"/>
  <c r="DD83" i="4" a="1"/>
  <c r="DD83" i="4" s="1"/>
  <c r="BO34" i="72"/>
  <c r="AQ34" i="72"/>
  <c r="BL18" i="72"/>
  <c r="BD70" i="4"/>
  <c r="BR70" i="4" s="1"/>
  <c r="AE70" i="72" s="1"/>
  <c r="AQ66" i="72"/>
  <c r="I265" i="15" a="1"/>
  <c r="I265" i="15" s="1"/>
  <c r="BS25" i="72"/>
  <c r="BV25" i="72" s="1"/>
  <c r="I442" i="15" a="1"/>
  <c r="I442" i="15" s="1"/>
  <c r="U83" i="69" a="1"/>
  <c r="U83" i="69" s="1"/>
  <c r="BF11" i="69"/>
  <c r="BE11" i="69"/>
  <c r="AN11" i="69" s="1" a="1"/>
  <c r="AN11" i="69" s="1"/>
  <c r="AG63" i="72"/>
  <c r="BZ63" i="72"/>
  <c r="AX63" i="72" a="1"/>
  <c r="AX63" i="72" s="1"/>
  <c r="BC52" i="72" a="1"/>
  <c r="BC52" i="72" s="1"/>
  <c r="AG81" i="72"/>
  <c r="H55" i="15" a="1"/>
  <c r="H55" i="15" s="1"/>
  <c r="BI88" i="69"/>
  <c r="AF78" i="72" a="1"/>
  <c r="AF78" i="72" s="1"/>
  <c r="AJ78" i="72" s="1" a="1"/>
  <c r="AJ78" i="72" s="1"/>
  <c r="BI44" i="69"/>
  <c r="BT83" i="4"/>
  <c r="BD83" i="4"/>
  <c r="BR83" i="4" s="1"/>
  <c r="K34" i="69" a="1"/>
  <c r="K34" i="69" s="1"/>
  <c r="BV66" i="69"/>
  <c r="AT66" i="69" a="1"/>
  <c r="AT66" i="69" s="1"/>
  <c r="K43" i="69" a="1"/>
  <c r="K43" i="69" s="1"/>
  <c r="BD77" i="4"/>
  <c r="BR77" i="4" s="1"/>
  <c r="AE77" i="72" s="1"/>
  <c r="BJ74" i="72"/>
  <c r="BI74" i="72"/>
  <c r="AZ93" i="69" a="1"/>
  <c r="AZ93" i="69" s="1"/>
  <c r="BA93" i="69" a="1"/>
  <c r="BA93" i="69" s="1"/>
  <c r="AU93" i="69" a="1"/>
  <c r="AU93" i="69" s="1"/>
  <c r="AO93" i="69" a="1"/>
  <c r="AO93" i="69" s="1"/>
  <c r="AQ93" i="69" a="1"/>
  <c r="AQ93" i="69" s="1"/>
  <c r="O50" i="69"/>
  <c r="BQ50" i="69" a="1"/>
  <c r="BQ50" i="69" s="1"/>
  <c r="BD50" i="69"/>
  <c r="AO50" i="69" s="1" a="1"/>
  <c r="AO50" i="69" s="1"/>
  <c r="BM50" i="69" a="1"/>
  <c r="BM50" i="69" s="1"/>
  <c r="R50" i="69"/>
  <c r="BN50" i="69" a="1"/>
  <c r="BN50" i="69" s="1"/>
  <c r="BG50" i="69"/>
  <c r="AV50" i="69" s="1" a="1"/>
  <c r="AV50" i="69" s="1"/>
  <c r="AP50" i="69" a="1"/>
  <c r="AP50" i="69" s="1"/>
  <c r="BT50" i="69"/>
  <c r="BI50" i="69"/>
  <c r="I242" i="15" a="1"/>
  <c r="I242" i="15" s="1"/>
  <c r="Z1520" i="13"/>
  <c r="A1515" i="13"/>
  <c r="AX1416" i="13"/>
  <c r="AV1416" i="13"/>
  <c r="BS38" i="72"/>
  <c r="BV38" i="72" s="1"/>
  <c r="BI38" i="72"/>
  <c r="BJ38" i="72"/>
  <c r="G78" i="69"/>
  <c r="G69" i="72"/>
  <c r="S86" i="69"/>
  <c r="BI43" i="72"/>
  <c r="BJ43" i="72"/>
  <c r="BI30" i="69"/>
  <c r="F110" i="15" a="1"/>
  <c r="F110" i="15" s="1"/>
  <c r="BW16" i="72"/>
  <c r="AQ16" i="72"/>
  <c r="AX1422" i="13"/>
  <c r="Z1526" i="13"/>
  <c r="AV1422" i="13"/>
  <c r="A1521" i="13"/>
  <c r="BI38" i="69"/>
  <c r="BI64" i="69"/>
  <c r="BE29" i="69"/>
  <c r="AG29" i="69" s="1" a="1"/>
  <c r="AG29" i="69" s="1"/>
  <c r="BF29" i="69"/>
  <c r="BO29" i="69"/>
  <c r="BR29" i="69" s="1"/>
  <c r="DD56" i="4" a="1"/>
  <c r="DD56" i="4" s="1"/>
  <c r="C30" i="72"/>
  <c r="D30" i="72" s="1" a="1"/>
  <c r="D30" i="72" s="1"/>
  <c r="BD76" i="4"/>
  <c r="DI3" i="4" a="1"/>
  <c r="BH91" i="4"/>
  <c r="AW58" i="69" a="1"/>
  <c r="AW58" i="69" s="1"/>
  <c r="AR75" i="4"/>
  <c r="AQ75" i="4"/>
  <c r="AY575" i="13"/>
  <c r="I233" i="15" a="1"/>
  <c r="I233" i="15" s="1"/>
  <c r="X60" i="4"/>
  <c r="BG60" i="4"/>
  <c r="AV1158" i="13" s="1"/>
  <c r="BR60" i="4"/>
  <c r="BK60" i="69" s="1"/>
  <c r="BF61" i="4"/>
  <c r="BF68" i="4"/>
  <c r="BG83" i="4"/>
  <c r="AV1181" i="13" s="1"/>
  <c r="L83" i="4"/>
  <c r="BR85" i="4"/>
  <c r="AE85" i="72" s="1"/>
  <c r="X85" i="4"/>
  <c r="BG85" i="4"/>
  <c r="AV1183" i="13" s="1"/>
  <c r="L85" i="4"/>
  <c r="BT69" i="4"/>
  <c r="BD69" i="4"/>
  <c r="BR69" i="4" s="1"/>
  <c r="Z1556" i="13"/>
  <c r="AX1452" i="13"/>
  <c r="A1551" i="13"/>
  <c r="BH49" i="72"/>
  <c r="BK49" i="72"/>
  <c r="AR49" i="72"/>
  <c r="BX49" i="72"/>
  <c r="R49" i="72"/>
  <c r="BQ49" i="72" a="1"/>
  <c r="BQ49" i="72" s="1"/>
  <c r="AG61" i="72"/>
  <c r="DV96" i="4"/>
  <c r="AV598" i="13"/>
  <c r="AY598" i="13" s="1"/>
  <c r="BH96" i="4"/>
  <c r="AG85" i="72"/>
  <c r="BC77" i="72" a="1"/>
  <c r="BC77" i="72" s="1"/>
  <c r="AX82" i="72" a="1"/>
  <c r="AX82" i="72" s="1"/>
  <c r="BZ82" i="72"/>
  <c r="AV585" i="13"/>
  <c r="BH83" i="4"/>
  <c r="DV83" i="4"/>
  <c r="AQ22" i="72"/>
  <c r="AX1431" i="13"/>
  <c r="AV1431" i="13"/>
  <c r="Z1535" i="13"/>
  <c r="A1530" i="13"/>
  <c r="I223" i="15" a="1"/>
  <c r="I223" i="15" s="1"/>
  <c r="BO42" i="72"/>
  <c r="I428" i="15" a="1"/>
  <c r="I428" i="15" s="1"/>
  <c r="C4" i="69"/>
  <c r="D4" i="69" s="1" a="1"/>
  <c r="D4" i="69" s="1"/>
  <c r="C4" i="72"/>
  <c r="D4" i="72" s="1" a="1"/>
  <c r="D4" i="72" s="1"/>
  <c r="AX26" i="69" a="1"/>
  <c r="AX26" i="69" s="1"/>
  <c r="AZ26" i="69" a="1"/>
  <c r="AZ26" i="69" s="1"/>
  <c r="AQ26" i="69" a="1"/>
  <c r="AQ26" i="69" s="1"/>
  <c r="BA26" i="69" a="1"/>
  <c r="BA26" i="69" s="1"/>
  <c r="AU26" i="69" a="1"/>
  <c r="AU26" i="69" s="1"/>
  <c r="AG26" i="69" a="1"/>
  <c r="AG26" i="69" s="1"/>
  <c r="BT26" i="69"/>
  <c r="BN26" i="69" a="1"/>
  <c r="BN26" i="69" s="1"/>
  <c r="BG26" i="69"/>
  <c r="AW26" i="69" s="1" a="1"/>
  <c r="AW26" i="69" s="1"/>
  <c r="BM26" i="69" a="1"/>
  <c r="BM26" i="69" s="1"/>
  <c r="BD26" i="69"/>
  <c r="AO26" i="69" s="1" a="1"/>
  <c r="AO26" i="69" s="1"/>
  <c r="R26" i="69"/>
  <c r="AP26" i="69" a="1"/>
  <c r="AP26" i="69" s="1"/>
  <c r="AZ85" i="69" a="1"/>
  <c r="AZ85" i="69" s="1"/>
  <c r="AO85" i="69" a="1"/>
  <c r="AO85" i="69" s="1"/>
  <c r="BA85" i="69" a="1"/>
  <c r="BA85" i="69" s="1"/>
  <c r="AV85" i="69" a="1"/>
  <c r="AV85" i="69" s="1"/>
  <c r="AU85" i="69" a="1"/>
  <c r="AU85" i="69" s="1"/>
  <c r="AQ85" i="69" a="1"/>
  <c r="AQ85" i="69" s="1"/>
  <c r="AN85" i="69" a="1"/>
  <c r="AN85" i="69" s="1"/>
  <c r="Z1583" i="13"/>
  <c r="A1578" i="13"/>
  <c r="AX1479" i="13"/>
  <c r="AF24" i="72" a="1"/>
  <c r="AF24" i="72" s="1"/>
  <c r="AJ24" i="72" s="1" a="1"/>
  <c r="AJ24" i="72" s="1"/>
  <c r="BP12" i="69"/>
  <c r="BO12" i="69" s="1"/>
  <c r="BR12" i="69" s="1"/>
  <c r="BG12" i="69"/>
  <c r="AW12" i="69" s="1" a="1"/>
  <c r="AW12" i="69" s="1"/>
  <c r="BT12" i="69"/>
  <c r="AP12" i="69" a="1"/>
  <c r="AP12" i="69" s="1"/>
  <c r="R12" i="69"/>
  <c r="BD12" i="69"/>
  <c r="BM12" i="69" a="1"/>
  <c r="BM12" i="69" s="1"/>
  <c r="BN12" i="69" a="1"/>
  <c r="BN12" i="69" s="1"/>
  <c r="BO37" i="72"/>
  <c r="BJ37" i="72"/>
  <c r="BI37" i="72"/>
  <c r="AM37" i="72" s="1" a="1"/>
  <c r="AM37" i="72" s="1"/>
  <c r="BQ87" i="69" a="1"/>
  <c r="BQ87" i="69" s="1"/>
  <c r="BF87" i="69"/>
  <c r="BE87" i="69"/>
  <c r="AG87" i="69" s="1" a="1"/>
  <c r="AG87" i="69" s="1"/>
  <c r="AN94" i="72" a="1"/>
  <c r="AN94" i="72" s="1"/>
  <c r="BD94" i="72" a="1"/>
  <c r="BD94" i="72" s="1"/>
  <c r="AM94" i="72" a="1"/>
  <c r="AM94" i="72" s="1"/>
  <c r="BE94" i="72" a="1"/>
  <c r="BE94" i="72" s="1"/>
  <c r="AU94" i="72" a="1"/>
  <c r="AU94" i="72" s="1"/>
  <c r="AY94" i="72" a="1"/>
  <c r="AY94" i="72" s="1"/>
  <c r="BA94" i="72" a="1"/>
  <c r="BA94" i="72" s="1"/>
  <c r="BB94" i="72" a="1"/>
  <c r="BB94" i="72" s="1"/>
  <c r="BP51" i="69"/>
  <c r="BO51" i="69" s="1"/>
  <c r="BR51" i="69" s="1"/>
  <c r="F92" i="69"/>
  <c r="F92" i="72"/>
  <c r="AD15" i="69"/>
  <c r="BF15" i="69"/>
  <c r="BE15" i="69"/>
  <c r="AG15" i="69" s="1" a="1"/>
  <c r="AG15" i="69" s="1"/>
  <c r="AY551" i="13"/>
  <c r="AQ51" i="4"/>
  <c r="AR51" i="4"/>
  <c r="AG19" i="72"/>
  <c r="AQ24" i="69" a="1"/>
  <c r="AQ24" i="69" s="1"/>
  <c r="AU24" i="69" a="1"/>
  <c r="AU24" i="69" s="1"/>
  <c r="BA24" i="69" a="1"/>
  <c r="BA24" i="69" s="1"/>
  <c r="AZ24" i="69" a="1"/>
  <c r="AZ24" i="69" s="1"/>
  <c r="DV93" i="4"/>
  <c r="AV595" i="13"/>
  <c r="BH93" i="4"/>
  <c r="BQ6" i="69" a="1"/>
  <c r="BQ6" i="69" s="1"/>
  <c r="BG6" i="69"/>
  <c r="BT6" i="69"/>
  <c r="R6" i="69"/>
  <c r="BD6" i="69"/>
  <c r="BM6" i="69" a="1"/>
  <c r="BM6" i="69" s="1"/>
  <c r="BF76" i="69"/>
  <c r="BE76" i="69"/>
  <c r="BV76" i="69"/>
  <c r="AH36" i="72" a="1"/>
  <c r="AH36" i="72" s="1"/>
  <c r="BE36" i="72" a="1"/>
  <c r="BE36" i="72" s="1"/>
  <c r="AU36" i="72" a="1"/>
  <c r="AU36" i="72" s="1"/>
  <c r="AN36" i="72" a="1"/>
  <c r="AN36" i="72" s="1"/>
  <c r="BD36" i="72" a="1"/>
  <c r="BD36" i="72" s="1"/>
  <c r="AY36" i="72" a="1"/>
  <c r="AY36" i="72" s="1"/>
  <c r="BZ36" i="72"/>
  <c r="AX36" i="72" a="1"/>
  <c r="AX36" i="72" s="1"/>
  <c r="BE39" i="69"/>
  <c r="AG39" i="69" s="1" a="1"/>
  <c r="AG39" i="69" s="1"/>
  <c r="BF39" i="69"/>
  <c r="BS67" i="72"/>
  <c r="BV67" i="72" s="1"/>
  <c r="BJ67" i="72"/>
  <c r="BI67" i="72"/>
  <c r="BV33" i="69"/>
  <c r="BE33" i="69"/>
  <c r="BF33" i="69"/>
  <c r="AX1488" i="13"/>
  <c r="A1587" i="13"/>
  <c r="AV1488" i="13"/>
  <c r="BU56" i="72" a="1"/>
  <c r="BU56" i="72" s="1"/>
  <c r="BX56" i="72"/>
  <c r="BH56" i="72"/>
  <c r="BK56" i="72"/>
  <c r="BQ56" i="72" a="1"/>
  <c r="BQ56" i="72" s="1"/>
  <c r="R56" i="72"/>
  <c r="AR56" i="72"/>
  <c r="F66" i="72"/>
  <c r="F66" i="69"/>
  <c r="X21" i="4"/>
  <c r="AO41" i="69" a="1"/>
  <c r="AO41" i="69" s="1"/>
  <c r="BA41" i="69" a="1"/>
  <c r="BA41" i="69" s="1"/>
  <c r="AW41" i="69" a="1"/>
  <c r="AW41" i="69" s="1"/>
  <c r="AZ41" i="69" a="1"/>
  <c r="AZ41" i="69" s="1"/>
  <c r="AU41" i="69" a="1"/>
  <c r="AU41" i="69" s="1"/>
  <c r="AQ41" i="69" a="1"/>
  <c r="AQ41" i="69" s="1"/>
  <c r="BF41" i="69"/>
  <c r="BE41" i="69"/>
  <c r="AN41" i="69" s="1" a="1"/>
  <c r="AN41" i="69" s="1"/>
  <c r="AR31" i="4"/>
  <c r="AY531" i="13"/>
  <c r="AQ31" i="4"/>
  <c r="I268" i="15" a="1"/>
  <c r="I268" i="15" s="1"/>
  <c r="AX19" i="69" a="1"/>
  <c r="AX19" i="69" s="1"/>
  <c r="BA19" i="69" a="1"/>
  <c r="BA19" i="69" s="1"/>
  <c r="AQ19" i="69" a="1"/>
  <c r="AQ19" i="69" s="1"/>
  <c r="AZ19" i="69" a="1"/>
  <c r="AZ19" i="69" s="1"/>
  <c r="AU19" i="69" a="1"/>
  <c r="AU19" i="69" s="1"/>
  <c r="F97" i="1"/>
  <c r="E3" i="1"/>
  <c r="E101" i="1" s="1"/>
  <c r="AG13" i="72"/>
  <c r="AQ45" i="72"/>
  <c r="AT79" i="69" a="1"/>
  <c r="AT79" i="69" s="1"/>
  <c r="BV79" i="69"/>
  <c r="AG39" i="72"/>
  <c r="BI5" i="72"/>
  <c r="BJ5" i="72"/>
  <c r="BM5" i="72"/>
  <c r="E169" i="15"/>
  <c r="E164" i="15"/>
  <c r="E197" i="15"/>
  <c r="E143" i="15"/>
  <c r="E427" i="15"/>
  <c r="F81" i="15" a="1"/>
  <c r="F81" i="15" s="1"/>
  <c r="G91" i="15" s="1"/>
  <c r="H81" i="15" a="1"/>
  <c r="H81" i="15" s="1"/>
  <c r="H71" i="15" a="1"/>
  <c r="H71" i="15" s="1"/>
  <c r="I327" i="15" a="1"/>
  <c r="I327" i="15" s="1"/>
  <c r="BP16" i="69"/>
  <c r="BO16" i="69" s="1"/>
  <c r="BR16" i="69" s="1"/>
  <c r="I336" i="15" a="1"/>
  <c r="I336" i="15" s="1"/>
  <c r="BZ53" i="72"/>
  <c r="AX53" i="72" a="1"/>
  <c r="AX53" i="72" s="1"/>
  <c r="BJ40" i="72"/>
  <c r="BI40" i="72"/>
  <c r="BF13" i="69"/>
  <c r="BE13" i="69"/>
  <c r="AG13" i="69" s="1" a="1"/>
  <c r="AG13" i="69" s="1"/>
  <c r="BP45" i="69"/>
  <c r="BO45" i="69" s="1"/>
  <c r="BR45" i="69" s="1"/>
  <c r="BM45" i="69" a="1"/>
  <c r="BM45" i="69" s="1"/>
  <c r="AP45" i="69" a="1"/>
  <c r="AP45" i="69" s="1"/>
  <c r="BD45" i="69"/>
  <c r="AO45" i="69" s="1" a="1"/>
  <c r="AO45" i="69" s="1"/>
  <c r="BT45" i="69"/>
  <c r="R45" i="69"/>
  <c r="BG45" i="69"/>
  <c r="AW45" i="69" s="1" a="1"/>
  <c r="AW45" i="69" s="1"/>
  <c r="BN45" i="69" a="1"/>
  <c r="BN45" i="69" s="1"/>
  <c r="AV1429" i="13"/>
  <c r="Z1533" i="13"/>
  <c r="AX1429" i="13"/>
  <c r="A1528" i="13"/>
  <c r="F78" i="72"/>
  <c r="F78" i="69"/>
  <c r="BO5" i="69"/>
  <c r="BR5" i="69" s="1"/>
  <c r="BC47" i="72" a="1"/>
  <c r="BC47" i="72" s="1"/>
  <c r="AQ47" i="72"/>
  <c r="G56" i="69"/>
  <c r="AX72" i="69" a="1"/>
  <c r="AX72" i="69" s="1"/>
  <c r="AU72" i="69" a="1"/>
  <c r="AU72" i="69" s="1"/>
  <c r="BA72" i="69" a="1"/>
  <c r="BA72" i="69" s="1"/>
  <c r="AO72" i="69" a="1"/>
  <c r="AO72" i="69" s="1"/>
  <c r="AQ72" i="69" a="1"/>
  <c r="AQ72" i="69" s="1"/>
  <c r="AZ72" i="69" a="1"/>
  <c r="AZ72" i="69" s="1"/>
  <c r="AQ92" i="72"/>
  <c r="AX1428" i="13"/>
  <c r="A1527" i="13"/>
  <c r="Z1532" i="13"/>
  <c r="AV1428" i="13"/>
  <c r="I80" i="69"/>
  <c r="I80" i="72"/>
  <c r="AG31" i="72"/>
  <c r="BZ68" i="72"/>
  <c r="AX7" i="69" a="1"/>
  <c r="AX7" i="69" s="1"/>
  <c r="AN75" i="72" a="1"/>
  <c r="AN75" i="72" s="1"/>
  <c r="AH75" i="72" a="1"/>
  <c r="AH75" i="72" s="1"/>
  <c r="AY75" i="72" a="1"/>
  <c r="AY75" i="72" s="1"/>
  <c r="AS75" i="72" a="1"/>
  <c r="AS75" i="72" s="1"/>
  <c r="BE75" i="72" a="1"/>
  <c r="BE75" i="72" s="1"/>
  <c r="AU75" i="72" a="1"/>
  <c r="AU75" i="72" s="1"/>
  <c r="BD75" i="72" a="1"/>
  <c r="BD75" i="72" s="1"/>
  <c r="BI21" i="72"/>
  <c r="BJ21" i="72"/>
  <c r="AQ72" i="72"/>
  <c r="L27" i="69"/>
  <c r="BM27" i="69" a="1"/>
  <c r="BM27" i="69" s="1"/>
  <c r="BT27" i="69"/>
  <c r="R27" i="69"/>
  <c r="BD27" i="69"/>
  <c r="BG27" i="69"/>
  <c r="AW27" i="69" s="1" a="1"/>
  <c r="AW27" i="69" s="1"/>
  <c r="AP27" i="69" a="1"/>
  <c r="AP27" i="69" s="1"/>
  <c r="BN27" i="69" a="1"/>
  <c r="BN27" i="69" s="1"/>
  <c r="AY515" i="13"/>
  <c r="AR15" i="4"/>
  <c r="AQ15" i="4"/>
  <c r="AV1448" i="13"/>
  <c r="AX1448" i="13"/>
  <c r="Z1552" i="13"/>
  <c r="A1547" i="13"/>
  <c r="I632" i="15" a="1"/>
  <c r="I632" i="15" s="1"/>
  <c r="AY549" i="13"/>
  <c r="AR49" i="4"/>
  <c r="AQ49" i="4"/>
  <c r="I594" i="15" a="1"/>
  <c r="I594" i="15" s="1"/>
  <c r="H299" i="15" a="1"/>
  <c r="H299" i="15" s="1"/>
  <c r="BO21" i="69"/>
  <c r="BR21" i="69" s="1"/>
  <c r="BF21" i="69"/>
  <c r="BE21" i="69"/>
  <c r="AG21" i="69" s="1" a="1"/>
  <c r="AG21" i="69" s="1"/>
  <c r="I432" i="15" a="1"/>
  <c r="I432" i="15" s="1"/>
  <c r="BO28" i="72"/>
  <c r="BZ28" i="72"/>
  <c r="AF20" i="72" a="1"/>
  <c r="AF20" i="72" s="1"/>
  <c r="AJ20" i="72" s="1" a="1"/>
  <c r="AJ20" i="72" s="1"/>
  <c r="E20" i="69"/>
  <c r="AQ26" i="4"/>
  <c r="AR26" i="4"/>
  <c r="AY526" i="13"/>
  <c r="AE63" i="69" a="1"/>
  <c r="AE63" i="69" s="1"/>
  <c r="AP63" i="69" s="1" a="1"/>
  <c r="AP63" i="69" s="1"/>
  <c r="BF63" i="69"/>
  <c r="BE63" i="69"/>
  <c r="AG88" i="72"/>
  <c r="K44" i="72" a="1"/>
  <c r="K44" i="72" s="1"/>
  <c r="AQ44" i="72"/>
  <c r="DD67" i="4" a="1"/>
  <c r="DD67" i="4" s="1"/>
  <c r="K34" i="72" a="1"/>
  <c r="K34" i="72" s="1"/>
  <c r="BM18" i="72"/>
  <c r="BP80" i="69"/>
  <c r="BO80" i="69" s="1"/>
  <c r="BR80" i="69" s="1"/>
  <c r="AP80" i="69" a="1"/>
  <c r="AP80" i="69" s="1"/>
  <c r="BT80" i="69"/>
  <c r="BD80" i="69"/>
  <c r="BG80" i="69"/>
  <c r="AW80" i="69" s="1" a="1"/>
  <c r="AW80" i="69" s="1"/>
  <c r="R80" i="69"/>
  <c r="BM80" i="69" a="1"/>
  <c r="BM80" i="69" s="1"/>
  <c r="BN80" i="69" a="1"/>
  <c r="BN80" i="69" s="1"/>
  <c r="G83" i="69"/>
  <c r="BI11" i="69"/>
  <c r="AY530" i="13"/>
  <c r="AQ30" i="4"/>
  <c r="AR30" i="4"/>
  <c r="BU52" i="72" a="1"/>
  <c r="BU52" i="72" s="1"/>
  <c r="AD88" i="69"/>
  <c r="BH78" i="72"/>
  <c r="R78" i="72"/>
  <c r="AR78" i="72"/>
  <c r="BX78" i="72"/>
  <c r="BQ78" i="72" a="1"/>
  <c r="BQ78" i="72" s="1"/>
  <c r="BK78" i="72"/>
  <c r="BZ78" i="72"/>
  <c r="K44" i="69" a="1"/>
  <c r="K44" i="69" s="1"/>
  <c r="BF44" i="69"/>
  <c r="BE44" i="69"/>
  <c r="DD71" i="4" a="1"/>
  <c r="DD71" i="4" s="1"/>
  <c r="BP34" i="69"/>
  <c r="BO34" i="69" s="1"/>
  <c r="BR34" i="69" s="1"/>
  <c r="BG34" i="69"/>
  <c r="AW34" i="69" s="1" a="1"/>
  <c r="AW34" i="69" s="1"/>
  <c r="BT34" i="69"/>
  <c r="BM34" i="69" a="1"/>
  <c r="BM34" i="69" s="1"/>
  <c r="BN34" i="69" a="1"/>
  <c r="BN34" i="69" s="1"/>
  <c r="BD34" i="69"/>
  <c r="AP34" i="69" a="1"/>
  <c r="AP34" i="69" s="1"/>
  <c r="R34" i="69"/>
  <c r="AO34" i="69" s="1" a="1"/>
  <c r="AO34" i="69" s="1"/>
  <c r="E18" i="69"/>
  <c r="G66" i="69"/>
  <c r="BH43" i="69"/>
  <c r="I91" i="15" a="1"/>
  <c r="I91" i="15" s="1"/>
  <c r="BW74" i="72"/>
  <c r="BR64" i="4"/>
  <c r="AD64" i="69" s="1"/>
  <c r="BQ93" i="69" a="1"/>
  <c r="BQ93" i="69" s="1"/>
  <c r="BD93" i="69"/>
  <c r="R93" i="69"/>
  <c r="BN93" i="69" a="1"/>
  <c r="BN93" i="69" s="1"/>
  <c r="BM93" i="69" a="1"/>
  <c r="BM93" i="69" s="1"/>
  <c r="AP93" i="69" a="1"/>
  <c r="AP93" i="69" s="1"/>
  <c r="BT93" i="69"/>
  <c r="BG93" i="69"/>
  <c r="AW93" i="69" s="1" a="1"/>
  <c r="AW93" i="69" s="1"/>
  <c r="BK50" i="69"/>
  <c r="I261" i="15" a="1"/>
  <c r="I261" i="15" s="1"/>
  <c r="BV52" i="69"/>
  <c r="BU38" i="72" a="1"/>
  <c r="BU38" i="72" s="1"/>
  <c r="BH38" i="72"/>
  <c r="BR38" i="72" a="1"/>
  <c r="BR38" i="72" s="1"/>
  <c r="BK38" i="72"/>
  <c r="BA38" i="72" s="1" a="1"/>
  <c r="BA38" i="72" s="1"/>
  <c r="BQ38" i="72" a="1"/>
  <c r="BQ38" i="72" s="1"/>
  <c r="BX38" i="72"/>
  <c r="AR38" i="72"/>
  <c r="AT38" i="72" a="1"/>
  <c r="AT38" i="72" s="1"/>
  <c r="R38" i="72"/>
  <c r="BE78" i="69"/>
  <c r="BF78" i="69"/>
  <c r="BD62" i="4"/>
  <c r="BR62" i="4" s="1"/>
  <c r="BM35" i="72"/>
  <c r="E35" i="72"/>
  <c r="AZ70" i="69" a="1"/>
  <c r="AZ70" i="69" s="1"/>
  <c r="BA70" i="69" a="1"/>
  <c r="BA70" i="69" s="1"/>
  <c r="AQ70" i="69" a="1"/>
  <c r="AQ70" i="69" s="1"/>
  <c r="AO70" i="69" a="1"/>
  <c r="AO70" i="69" s="1"/>
  <c r="AU70" i="69" a="1"/>
  <c r="AU70" i="69" s="1"/>
  <c r="AV70" i="69" a="1"/>
  <c r="AV70" i="69" s="1"/>
  <c r="BV70" i="69"/>
  <c r="AT70" i="69" a="1"/>
  <c r="AT70" i="69" s="1"/>
  <c r="AX29" i="72" a="1"/>
  <c r="AX29" i="72" s="1"/>
  <c r="BZ29" i="72"/>
  <c r="DD94" i="4" a="1"/>
  <c r="DD94" i="4" s="1"/>
  <c r="G90" i="69"/>
  <c r="BO86" i="69"/>
  <c r="BR86" i="69" s="1"/>
  <c r="AQ43" i="72"/>
  <c r="BO43" i="72"/>
  <c r="K30" i="69" a="1"/>
  <c r="K30" i="69" s="1"/>
  <c r="BF30" i="69"/>
  <c r="BE30" i="69"/>
  <c r="AN30" i="69" s="1" a="1"/>
  <c r="AN30" i="69" s="1"/>
  <c r="BP74" i="69"/>
  <c r="BO74" i="69" s="1"/>
  <c r="BR74" i="69" s="1"/>
  <c r="BG74" i="69"/>
  <c r="AV74" i="69" s="1" a="1"/>
  <c r="AV74" i="69" s="1"/>
  <c r="R74" i="69"/>
  <c r="BT74" i="69"/>
  <c r="BN74" i="69" a="1"/>
  <c r="BN74" i="69" s="1"/>
  <c r="AP74" i="69" a="1"/>
  <c r="AP74" i="69" s="1"/>
  <c r="BD74" i="69"/>
  <c r="AO74" i="69" s="1" a="1"/>
  <c r="AO74" i="69" s="1"/>
  <c r="BM74" i="69" a="1"/>
  <c r="BM74" i="69" s="1"/>
  <c r="AV1456" i="13"/>
  <c r="A1555" i="13"/>
  <c r="AX1456" i="13"/>
  <c r="Z1560" i="13"/>
  <c r="BL16" i="72"/>
  <c r="BT57" i="4"/>
  <c r="BD57" i="4"/>
  <c r="X57" i="4" s="1"/>
  <c r="AE38" i="69" a="1"/>
  <c r="AE38" i="69" s="1"/>
  <c r="BE1769" i="13" a="1"/>
  <c r="BE1769" i="13" s="1"/>
  <c r="BF1769" i="13" s="1"/>
  <c r="BW90" i="72"/>
  <c r="E90" i="72"/>
  <c r="G86" i="72"/>
  <c r="S86" i="72"/>
  <c r="AH86" i="72" s="1" a="1"/>
  <c r="AH86" i="72" s="1"/>
  <c r="I63" i="72"/>
  <c r="I63" i="69"/>
  <c r="K30" i="72" a="1"/>
  <c r="K30" i="72" s="1"/>
  <c r="AG58" i="69" a="1"/>
  <c r="AG58" i="69" s="1"/>
  <c r="AV95" i="69" a="1"/>
  <c r="AV95" i="69" s="1"/>
  <c r="AQ94" i="4"/>
  <c r="AY594" i="13"/>
  <c r="AR94" i="4"/>
  <c r="BF90" i="4"/>
  <c r="BF87" i="4"/>
  <c r="BG68" i="4"/>
  <c r="AV1166" i="13" s="1"/>
  <c r="BR68" i="4"/>
  <c r="AE68" i="72" s="1"/>
  <c r="X68" i="4"/>
  <c r="L68" i="4"/>
  <c r="X70" i="4"/>
  <c r="BG70" i="4"/>
  <c r="AV1168" i="13" s="1"/>
  <c r="L70" i="4"/>
  <c r="BR78" i="4"/>
  <c r="AE78" i="72" s="1"/>
  <c r="BG78" i="4"/>
  <c r="AV1176" i="13" s="1"/>
  <c r="X78" i="4"/>
  <c r="L78" i="4"/>
  <c r="AH55" i="4"/>
  <c r="AV1351" i="13" s="1"/>
  <c r="BF85" i="4"/>
  <c r="I443" i="15" a="1"/>
  <c r="I443" i="15" s="1"/>
  <c r="E49" i="69"/>
  <c r="AG8" i="72"/>
  <c r="AF64" i="72" a="1"/>
  <c r="AF64" i="72" s="1"/>
  <c r="AJ64" i="72" s="1" a="1"/>
  <c r="AJ64" i="72" s="1"/>
  <c r="BC89" i="72" a="1"/>
  <c r="BC89" i="72" s="1"/>
  <c r="BH77" i="69"/>
  <c r="L73" i="72"/>
  <c r="AQ73" i="72"/>
  <c r="BT80" i="4"/>
  <c r="BD80" i="4"/>
  <c r="X80" i="4" s="1"/>
  <c r="BS82" i="69"/>
  <c r="BS42" i="69"/>
  <c r="AF49" i="72" a="1"/>
  <c r="AF49" i="72" s="1"/>
  <c r="AJ49" i="72" s="1" a="1"/>
  <c r="AJ49" i="72" s="1"/>
  <c r="AV576" i="13"/>
  <c r="DV74" i="4"/>
  <c r="BH74" i="4"/>
  <c r="AQ61" i="72"/>
  <c r="AY538" i="13"/>
  <c r="AR38" i="4"/>
  <c r="AQ38" i="4"/>
  <c r="O60" i="14"/>
  <c r="R60" i="14"/>
  <c r="Y60" i="14"/>
  <c r="N60" i="14"/>
  <c r="F60" i="14"/>
  <c r="W60" i="14"/>
  <c r="G60" i="14"/>
  <c r="H60" i="14"/>
  <c r="I60" i="14"/>
  <c r="Q60" i="14"/>
  <c r="U60" i="14"/>
  <c r="M60" i="14"/>
  <c r="K60" i="14"/>
  <c r="T60" i="14"/>
  <c r="E57" i="14"/>
  <c r="X60" i="14"/>
  <c r="Z60" i="14"/>
  <c r="J60" i="14"/>
  <c r="P60" i="14"/>
  <c r="V60" i="14"/>
  <c r="L60" i="14"/>
  <c r="S60" i="14"/>
  <c r="F36" i="14"/>
  <c r="Y36" i="14"/>
  <c r="G36" i="14"/>
  <c r="W36" i="14"/>
  <c r="P36" i="14"/>
  <c r="R36" i="14"/>
  <c r="U36" i="14"/>
  <c r="I36" i="14"/>
  <c r="S36" i="14"/>
  <c r="M36" i="14"/>
  <c r="N36" i="14"/>
  <c r="K36" i="14"/>
  <c r="J36" i="14"/>
  <c r="L36" i="14"/>
  <c r="V36" i="14"/>
  <c r="X36" i="14"/>
  <c r="O36" i="14"/>
  <c r="T36" i="14"/>
  <c r="H36" i="14"/>
  <c r="Q36" i="14"/>
  <c r="E8" i="69"/>
  <c r="BW77" i="72"/>
  <c r="BI77" i="72"/>
  <c r="BJ77" i="72"/>
  <c r="BE73" i="69"/>
  <c r="BF73" i="69"/>
  <c r="I583" i="15" a="1"/>
  <c r="I583" i="15" s="1"/>
  <c r="AF87" i="72" a="1"/>
  <c r="AF87" i="72" s="1"/>
  <c r="AJ87" i="72" s="1" a="1"/>
  <c r="AJ87" i="72" s="1"/>
  <c r="L59" i="69"/>
  <c r="BD59" i="69"/>
  <c r="BT59" i="69"/>
  <c r="R59" i="69"/>
  <c r="BG59" i="69"/>
  <c r="AV59" i="69" s="1" a="1"/>
  <c r="AV59" i="69" s="1"/>
  <c r="BM59" i="69" a="1"/>
  <c r="BM59" i="69" s="1"/>
  <c r="BN59" i="69" a="1"/>
  <c r="BN59" i="69" s="1"/>
  <c r="AP59" i="69" a="1"/>
  <c r="AP59" i="69" s="1"/>
  <c r="AQ42" i="72"/>
  <c r="BK54" i="72"/>
  <c r="AZ54" i="72" s="1" a="1"/>
  <c r="AZ54" i="72" s="1"/>
  <c r="BX54" i="72"/>
  <c r="BH54" i="72"/>
  <c r="BQ54" i="72" a="1"/>
  <c r="BQ54" i="72" s="1"/>
  <c r="R54" i="72"/>
  <c r="AR54" i="72"/>
  <c r="BR54" i="72" a="1"/>
  <c r="BR54" i="72" s="1"/>
  <c r="AT54" i="72" a="1"/>
  <c r="AT54" i="72" s="1"/>
  <c r="BQ48" i="69" a="1"/>
  <c r="BQ48" i="69" s="1"/>
  <c r="BS48" i="69"/>
  <c r="BE48" i="69"/>
  <c r="AN48" i="69" s="1" a="1"/>
  <c r="AN48" i="69" s="1"/>
  <c r="BF48" i="69"/>
  <c r="BV54" i="69"/>
  <c r="AT54" i="69" a="1"/>
  <c r="AT54" i="69" s="1"/>
  <c r="AV588" i="13"/>
  <c r="DV86" i="4"/>
  <c r="BH86" i="4"/>
  <c r="AY565" i="13"/>
  <c r="AQ65" i="4"/>
  <c r="AR65" i="4"/>
  <c r="F93" i="72"/>
  <c r="F93" i="69"/>
  <c r="BF62" i="69"/>
  <c r="BE62" i="69"/>
  <c r="AG62" i="69" s="1" a="1"/>
  <c r="AG62" i="69" s="1"/>
  <c r="I478" i="15" a="1"/>
  <c r="I478" i="15" s="1"/>
  <c r="I79" i="72"/>
  <c r="I79" i="69"/>
  <c r="BV85" i="69"/>
  <c r="AT85" i="69" a="1"/>
  <c r="AT85" i="69" s="1"/>
  <c r="DD91" i="4" a="1"/>
  <c r="DD91" i="4" s="1"/>
  <c r="O37" i="72"/>
  <c r="BZ37" i="72"/>
  <c r="AX37" i="72" a="1"/>
  <c r="AX37" i="72" s="1"/>
  <c r="AY87" i="69" a="1"/>
  <c r="AY87" i="69" s="1"/>
  <c r="BO67" i="69"/>
  <c r="BR67" i="69" s="1"/>
  <c r="BQ67" i="69" a="1"/>
  <c r="BQ67" i="69" s="1"/>
  <c r="BN67" i="69" a="1"/>
  <c r="BN67" i="69" s="1"/>
  <c r="AP67" i="69" a="1"/>
  <c r="AP67" i="69" s="1"/>
  <c r="BT67" i="69"/>
  <c r="BG67" i="69"/>
  <c r="AW67" i="69" s="1" a="1"/>
  <c r="AW67" i="69" s="1"/>
  <c r="BM67" i="69" a="1"/>
  <c r="BM67" i="69" s="1"/>
  <c r="R67" i="69"/>
  <c r="BD67" i="69"/>
  <c r="AO67" i="69" s="1" a="1"/>
  <c r="AO67" i="69" s="1"/>
  <c r="I326" i="15" a="1"/>
  <c r="I326" i="15" s="1"/>
  <c r="BQ51" i="69" a="1"/>
  <c r="BQ51" i="69" s="1"/>
  <c r="AQ14" i="4"/>
  <c r="AY514" i="13"/>
  <c r="AR14" i="4"/>
  <c r="AG48" i="72"/>
  <c r="CA27" i="4"/>
  <c r="AV27" i="4" a="1"/>
  <c r="AV27" i="4" s="1"/>
  <c r="AT27" i="4" a="1"/>
  <c r="AT27" i="4" s="1"/>
  <c r="AU27" i="4"/>
  <c r="Y27" i="4"/>
  <c r="BQ27" i="4"/>
  <c r="CY27" i="4"/>
  <c r="CZ27" i="4" s="1"/>
  <c r="AY62" i="72" a="1"/>
  <c r="AY62" i="72" s="1"/>
  <c r="BE62" i="72" a="1"/>
  <c r="BE62" i="72" s="1"/>
  <c r="BD62" i="72" a="1"/>
  <c r="BD62" i="72" s="1"/>
  <c r="AU62" i="72" a="1"/>
  <c r="AU62" i="72" s="1"/>
  <c r="AH62" i="72" a="1"/>
  <c r="AH62" i="72" s="1"/>
  <c r="AN62" i="72" a="1"/>
  <c r="AN62" i="72" s="1"/>
  <c r="I90" i="69"/>
  <c r="I90" i="72"/>
  <c r="BU17" i="72" a="1"/>
  <c r="BU17" i="72" s="1"/>
  <c r="BH17" i="72"/>
  <c r="AR17" i="72"/>
  <c r="BR17" i="72" a="1"/>
  <c r="BR17" i="72" s="1"/>
  <c r="R17" i="72"/>
  <c r="BX17" i="72"/>
  <c r="BQ17" i="72" a="1"/>
  <c r="BQ17" i="72" s="1"/>
  <c r="BK17" i="72"/>
  <c r="BA17" i="72" s="1" a="1"/>
  <c r="BA17" i="72" s="1"/>
  <c r="AT17" i="72" a="1"/>
  <c r="AT17" i="72" s="1"/>
  <c r="BK15" i="69"/>
  <c r="BQ15" i="69" a="1"/>
  <c r="BQ15" i="69" s="1"/>
  <c r="BD15" i="69"/>
  <c r="R15" i="69"/>
  <c r="BG15" i="69"/>
  <c r="AV15" i="69" s="1" a="1"/>
  <c r="AV15" i="69" s="1"/>
  <c r="BM15" i="69" a="1"/>
  <c r="BM15" i="69" s="1"/>
  <c r="BT15" i="69"/>
  <c r="BN15" i="69" a="1"/>
  <c r="BN15" i="69" s="1"/>
  <c r="AP15" i="69" a="1"/>
  <c r="AP15" i="69" s="1"/>
  <c r="BC26" i="72" a="1"/>
  <c r="BC26" i="72" s="1"/>
  <c r="BS24" i="69"/>
  <c r="BU12" i="72" a="1"/>
  <c r="BU12" i="72" s="1"/>
  <c r="AQ12" i="72"/>
  <c r="E12" i="72"/>
  <c r="E6" i="69"/>
  <c r="BI36" i="72"/>
  <c r="BJ36" i="72"/>
  <c r="AG36" i="72"/>
  <c r="AD39" i="69"/>
  <c r="AG67" i="72"/>
  <c r="I608" i="15" a="1"/>
  <c r="I608" i="15" s="1"/>
  <c r="AQ51" i="72"/>
  <c r="A1534" i="13"/>
  <c r="Z1539" i="13"/>
  <c r="AV1435" i="13"/>
  <c r="AX1435" i="13"/>
  <c r="BC33" i="72" a="1"/>
  <c r="BC33" i="72" s="1"/>
  <c r="BL27" i="72"/>
  <c r="BJ27" i="72"/>
  <c r="BI27" i="72"/>
  <c r="AQ29" i="4"/>
  <c r="AY529" i="13"/>
  <c r="AR29" i="4"/>
  <c r="AV1472" i="13"/>
  <c r="Z1576" i="13"/>
  <c r="AX1472" i="13"/>
  <c r="A1571" i="13"/>
  <c r="AQ45" i="4"/>
  <c r="AR45" i="4"/>
  <c r="AY545" i="13"/>
  <c r="AV582" i="13"/>
  <c r="BH80" i="4"/>
  <c r="DV80" i="4"/>
  <c r="AF13" i="72" a="1"/>
  <c r="AF13" i="72" s="1"/>
  <c r="AJ13" i="72" s="1" a="1"/>
  <c r="AJ13" i="72" s="1"/>
  <c r="DD70" i="4" a="1"/>
  <c r="DD70" i="4" s="1"/>
  <c r="AV1473" i="13"/>
  <c r="Z1577" i="13"/>
  <c r="A1572" i="13"/>
  <c r="AX1473" i="13"/>
  <c r="AF39" i="72" a="1"/>
  <c r="AF39" i="72" s="1"/>
  <c r="AJ39" i="72" s="1" a="1"/>
  <c r="AJ39" i="72" s="1"/>
  <c r="AQ39" i="72"/>
  <c r="BS5" i="72"/>
  <c r="BV5" i="72" s="1"/>
  <c r="L5" i="72"/>
  <c r="BR5" i="72" a="1"/>
  <c r="BR5" i="72" s="1"/>
  <c r="BX5" i="72"/>
  <c r="R5" i="72"/>
  <c r="AT5" i="72" a="1"/>
  <c r="AT5" i="72" s="1"/>
  <c r="BH5" i="72"/>
  <c r="BK5" i="72"/>
  <c r="BA5" i="72" s="1" a="1"/>
  <c r="BA5" i="72" s="1"/>
  <c r="BQ5" i="72" a="1"/>
  <c r="BQ5" i="72" s="1"/>
  <c r="AR5" i="72"/>
  <c r="BS47" i="69"/>
  <c r="BV14" i="69"/>
  <c r="AT14" i="69" a="1"/>
  <c r="AT14" i="69" s="1"/>
  <c r="I629" i="15" a="1"/>
  <c r="I629" i="15" s="1"/>
  <c r="BH16" i="69"/>
  <c r="X22" i="4"/>
  <c r="BW91" i="72"/>
  <c r="AQ91" i="72"/>
  <c r="BO41" i="72"/>
  <c r="BS53" i="72"/>
  <c r="BV53" i="72" s="1"/>
  <c r="BZ32" i="72"/>
  <c r="AX32" i="72" a="1"/>
  <c r="AX32" i="72" s="1"/>
  <c r="BW40" i="72"/>
  <c r="AY68" i="69" a="1"/>
  <c r="AY68" i="69" s="1"/>
  <c r="I83" i="72"/>
  <c r="I83" i="69"/>
  <c r="AX45" i="69" a="1"/>
  <c r="AX45" i="69" s="1"/>
  <c r="AY56" i="69" a="1"/>
  <c r="AY56" i="69" s="1"/>
  <c r="BA28" i="69" a="1"/>
  <c r="BA28" i="69" s="1"/>
  <c r="AZ28" i="69" a="1"/>
  <c r="AZ28" i="69" s="1"/>
  <c r="AG28" i="69" a="1"/>
  <c r="AG28" i="69" s="1"/>
  <c r="AQ28" i="69" a="1"/>
  <c r="AQ28" i="69" s="1"/>
  <c r="AN28" i="69" a="1"/>
  <c r="AN28" i="69" s="1"/>
  <c r="AU28" i="69" a="1"/>
  <c r="AU28" i="69" s="1"/>
  <c r="AO28" i="69" a="1"/>
  <c r="AO28" i="69" s="1"/>
  <c r="AE91" i="69" a="1"/>
  <c r="AE91" i="69" s="1"/>
  <c r="E91" i="69"/>
  <c r="AQ53" i="69" a="1"/>
  <c r="AQ53" i="69" s="1"/>
  <c r="BA53" i="69" a="1"/>
  <c r="BA53" i="69" s="1"/>
  <c r="AU53" i="69" a="1"/>
  <c r="AU53" i="69" s="1"/>
  <c r="AZ53" i="69" a="1"/>
  <c r="AZ53" i="69" s="1"/>
  <c r="AF31" i="72" a="1"/>
  <c r="AF31" i="72" s="1"/>
  <c r="AJ31" i="72" s="1" a="1"/>
  <c r="AJ31" i="72" s="1"/>
  <c r="BJ31" i="72"/>
  <c r="BI31" i="72"/>
  <c r="S68" i="72"/>
  <c r="BS68" i="72"/>
  <c r="BV68" i="72" s="1"/>
  <c r="BI68" i="72"/>
  <c r="BJ68" i="72"/>
  <c r="BE7" i="69"/>
  <c r="AG7" i="69" s="1" a="1"/>
  <c r="AG7" i="69" s="1"/>
  <c r="BF7" i="69"/>
  <c r="AY517" i="13"/>
  <c r="AQ17" i="4"/>
  <c r="AR17" i="4"/>
  <c r="H16" i="27"/>
  <c r="A6" i="27" s="1" a="1"/>
  <c r="A6" i="27" s="1"/>
  <c r="F91" i="72"/>
  <c r="F91" i="69"/>
  <c r="BE84" i="69"/>
  <c r="AN84" i="69" s="1" a="1"/>
  <c r="AN84" i="69" s="1"/>
  <c r="BF84" i="69"/>
  <c r="BO84" i="69"/>
  <c r="BR84" i="69" s="1"/>
  <c r="BP27" i="69"/>
  <c r="BO27" i="69" s="1"/>
  <c r="BR27" i="69" s="1"/>
  <c r="I215" i="15" a="1"/>
  <c r="I215" i="15" s="1"/>
  <c r="AD31" i="69"/>
  <c r="I438" i="15" a="1"/>
  <c r="I438" i="15" s="1"/>
  <c r="I70" i="15" a="1"/>
  <c r="I70" i="15" s="1"/>
  <c r="G70" i="15"/>
  <c r="I299" i="15" a="1"/>
  <c r="I299" i="15" s="1"/>
  <c r="BS20" i="72"/>
  <c r="BV20" i="72" s="1"/>
  <c r="I23" i="72"/>
  <c r="BS83" i="72"/>
  <c r="BV83" i="72" s="1"/>
  <c r="BJ83" i="72"/>
  <c r="BI83" i="72"/>
  <c r="AF11" i="72" a="1"/>
  <c r="AF11" i="72" s="1"/>
  <c r="AJ11" i="72" s="1" a="1"/>
  <c r="AJ11" i="72" s="1"/>
  <c r="BS63" i="69"/>
  <c r="BV81" i="69"/>
  <c r="BI88" i="72"/>
  <c r="BJ88" i="72"/>
  <c r="BS88" i="72"/>
  <c r="BV88" i="72" s="1"/>
  <c r="BS44" i="72"/>
  <c r="BV44" i="72" s="1"/>
  <c r="AX66" i="72" a="1"/>
  <c r="AX66" i="72" s="1"/>
  <c r="BZ66" i="72"/>
  <c r="U80" i="69" a="1"/>
  <c r="U80" i="69" s="1"/>
  <c r="H25" i="72"/>
  <c r="AD11" i="69"/>
  <c r="BO52" i="72"/>
  <c r="BI81" i="72"/>
  <c r="BJ81" i="72"/>
  <c r="A1568" i="13"/>
  <c r="Z1573" i="13"/>
  <c r="AX1469" i="13"/>
  <c r="AQ88" i="69" a="1"/>
  <c r="AQ88" i="69" s="1"/>
  <c r="BA88" i="69" a="1"/>
  <c r="BA88" i="69" s="1"/>
  <c r="AU88" i="69" a="1"/>
  <c r="AU88" i="69" s="1"/>
  <c r="AZ88" i="69" a="1"/>
  <c r="AZ88" i="69" s="1"/>
  <c r="BV88" i="69"/>
  <c r="AT88" i="69" a="1"/>
  <c r="AT88" i="69" s="1"/>
  <c r="AE44" i="69" a="1"/>
  <c r="AE44" i="69" s="1"/>
  <c r="U69" i="69" a="1"/>
  <c r="U69" i="69" s="1"/>
  <c r="DD95" i="4" a="1"/>
  <c r="DD95" i="4" s="1"/>
  <c r="BE66" i="69"/>
  <c r="AG66" i="69" s="1" a="1"/>
  <c r="AG66" i="69" s="1"/>
  <c r="BF66" i="69"/>
  <c r="L43" i="69"/>
  <c r="E43" i="69"/>
  <c r="BE74" i="72" a="1"/>
  <c r="BE74" i="72" s="1"/>
  <c r="BD74" i="72" a="1"/>
  <c r="BD74" i="72" s="1"/>
  <c r="AY74" i="72" a="1"/>
  <c r="AY74" i="72" s="1"/>
  <c r="AH74" i="72" a="1"/>
  <c r="AH74" i="72" s="1"/>
  <c r="AU74" i="72" a="1"/>
  <c r="AU74" i="72" s="1"/>
  <c r="AN74" i="72" a="1"/>
  <c r="AN74" i="72" s="1"/>
  <c r="I141" i="15" a="1"/>
  <c r="I141" i="15" s="1"/>
  <c r="L52" i="69"/>
  <c r="BG52" i="69"/>
  <c r="BT52" i="69"/>
  <c r="BM52" i="69" a="1"/>
  <c r="BM52" i="69" s="1"/>
  <c r="BD52" i="69"/>
  <c r="R52" i="69"/>
  <c r="BP78" i="69"/>
  <c r="BO78" i="69" s="1"/>
  <c r="BR78" i="69" s="1"/>
  <c r="R78" i="69"/>
  <c r="BT78" i="69"/>
  <c r="BM78" i="69" a="1"/>
  <c r="BM78" i="69" s="1"/>
  <c r="BG78" i="69"/>
  <c r="BD78" i="69"/>
  <c r="BI29" i="72"/>
  <c r="BJ29" i="72"/>
  <c r="AG69" i="72"/>
  <c r="AQ53" i="4"/>
  <c r="AY553" i="13"/>
  <c r="AR53" i="4"/>
  <c r="AP90" i="69" a="1"/>
  <c r="AP90" i="69" s="1"/>
  <c r="AQ90" i="69" a="1"/>
  <c r="AQ90" i="69" s="1"/>
  <c r="AV90" i="69" a="1"/>
  <c r="AV90" i="69" s="1"/>
  <c r="AO90" i="69" a="1"/>
  <c r="AO90" i="69" s="1"/>
  <c r="BA90" i="69" a="1"/>
  <c r="BA90" i="69" s="1"/>
  <c r="AW90" i="69" a="1"/>
  <c r="AW90" i="69" s="1"/>
  <c r="AU90" i="69" a="1"/>
  <c r="AU90" i="69" s="1"/>
  <c r="AZ90" i="69" a="1"/>
  <c r="AZ90" i="69" s="1"/>
  <c r="AY536" i="13"/>
  <c r="AR36" i="4"/>
  <c r="AQ36" i="4"/>
  <c r="BM43" i="72"/>
  <c r="BV74" i="69"/>
  <c r="BC16" i="72" a="1"/>
  <c r="BC16" i="72" s="1"/>
  <c r="BO50" i="72"/>
  <c r="AX50" i="72" a="1"/>
  <c r="AX50" i="72" s="1"/>
  <c r="BZ50" i="72"/>
  <c r="F95" i="69"/>
  <c r="F95" i="72"/>
  <c r="BK38" i="69"/>
  <c r="F79" i="72"/>
  <c r="F79" i="69"/>
  <c r="BV35" i="69"/>
  <c r="BS29" i="69"/>
  <c r="K46" i="69" a="1"/>
  <c r="K46" i="69" s="1"/>
  <c r="BF46" i="69"/>
  <c r="BE46" i="69"/>
  <c r="DD74" i="4" a="1"/>
  <c r="DD74" i="4" s="1"/>
  <c r="BM30" i="72"/>
  <c r="AQ30" i="72"/>
  <c r="BA96" i="72" a="1"/>
  <c r="BA96" i="72" s="1"/>
  <c r="BF80" i="4"/>
  <c r="X59" i="4"/>
  <c r="BR59" i="4"/>
  <c r="BG59" i="4"/>
  <c r="AV1157" i="13" s="1"/>
  <c r="L59" i="4"/>
  <c r="BF63" i="4"/>
  <c r="X55" i="72"/>
  <c r="X55" i="69"/>
  <c r="AV1483" i="13" s="1"/>
  <c r="BG61" i="4"/>
  <c r="AV1159" i="13" s="1"/>
  <c r="X61" i="4"/>
  <c r="L61" i="4"/>
  <c r="BF96" i="4"/>
  <c r="BF70" i="4"/>
  <c r="AV1402" i="13"/>
  <c r="A1501" i="13"/>
  <c r="Z1506" i="13"/>
  <c r="AX1402" i="13"/>
  <c r="BH76" i="4"/>
  <c r="DV76" i="4"/>
  <c r="AV578" i="13"/>
  <c r="I571" i="15" a="1"/>
  <c r="I571" i="15" s="1"/>
  <c r="AV1478" i="13"/>
  <c r="AX1478" i="13"/>
  <c r="A1577" i="13"/>
  <c r="Z1582" i="13"/>
  <c r="AF89" i="72" a="1"/>
  <c r="AF89" i="72" s="1"/>
  <c r="AJ89" i="72" s="1" a="1"/>
  <c r="AJ89" i="72" s="1"/>
  <c r="BQ82" i="69" a="1"/>
  <c r="BQ82" i="69" s="1"/>
  <c r="DD75" i="4" a="1"/>
  <c r="DD75" i="4" s="1"/>
  <c r="BD73" i="4"/>
  <c r="BR73" i="4" s="1"/>
  <c r="AE73" i="72" s="1"/>
  <c r="BQ22" i="69" a="1"/>
  <c r="BQ22" i="69" s="1"/>
  <c r="R22" i="69"/>
  <c r="BM22" i="69" a="1"/>
  <c r="BM22" i="69" s="1"/>
  <c r="BG22" i="69"/>
  <c r="AW22" i="69" s="1" a="1"/>
  <c r="AW22" i="69" s="1"/>
  <c r="BD22" i="69"/>
  <c r="BT22" i="69"/>
  <c r="BN22" i="69" a="1"/>
  <c r="BN22" i="69" s="1"/>
  <c r="AP22" i="69" a="1"/>
  <c r="AP22" i="69" s="1"/>
  <c r="AX257" i="13"/>
  <c r="A357" i="13"/>
  <c r="AX357" i="13" s="1"/>
  <c r="BO42" i="69"/>
  <c r="BR42" i="69" s="1"/>
  <c r="AV1447" i="13"/>
  <c r="A1546" i="13"/>
  <c r="Z1551" i="13"/>
  <c r="AX1447" i="13"/>
  <c r="D49" i="72" a="1"/>
  <c r="D49" i="72" s="1"/>
  <c r="BZ61" i="72"/>
  <c r="AV1485" i="13"/>
  <c r="Z1589" i="13"/>
  <c r="Z1689" i="13" s="1"/>
  <c r="A1584" i="13"/>
  <c r="AX1485" i="13"/>
  <c r="DD88" i="4" a="1"/>
  <c r="DD88" i="4" s="1"/>
  <c r="E59" i="69"/>
  <c r="BI22" i="72"/>
  <c r="BJ22" i="72"/>
  <c r="BD55" i="4"/>
  <c r="BU42" i="72" a="1"/>
  <c r="BU42" i="72" s="1"/>
  <c r="AT42" i="72" a="1"/>
  <c r="AT42" i="72" s="1"/>
  <c r="BQ42" i="72" a="1"/>
  <c r="BQ42" i="72" s="1"/>
  <c r="BR42" i="72" a="1"/>
  <c r="BR42" i="72" s="1"/>
  <c r="BX42" i="72"/>
  <c r="BH42" i="72"/>
  <c r="AS42" i="72" s="1" a="1"/>
  <c r="AS42" i="72" s="1"/>
  <c r="AR42" i="72"/>
  <c r="BK42" i="72"/>
  <c r="AZ42" i="72" s="1" a="1"/>
  <c r="AZ42" i="72" s="1"/>
  <c r="R42" i="72"/>
  <c r="BT54" i="72"/>
  <c r="BS54" i="72" s="1"/>
  <c r="BV54" i="72" s="1"/>
  <c r="E54" i="69"/>
  <c r="Z1536" i="13"/>
  <c r="A1531" i="13"/>
  <c r="AX1432" i="13"/>
  <c r="AV1432" i="13"/>
  <c r="AX1552" i="13"/>
  <c r="A1651" i="13"/>
  <c r="AX1651" i="13" s="1"/>
  <c r="AV1552" i="13"/>
  <c r="AV1651" i="13" s="1"/>
  <c r="BQ61" i="69" a="1"/>
  <c r="BQ61" i="69" s="1"/>
  <c r="BZ15" i="72"/>
  <c r="AX15" i="72" a="1"/>
  <c r="AX15" i="72" s="1"/>
  <c r="BH85" i="69"/>
  <c r="BH81" i="4"/>
  <c r="AV583" i="13"/>
  <c r="DV81" i="4"/>
  <c r="BU24" i="72" a="1"/>
  <c r="BU24" i="72" s="1"/>
  <c r="AR24" i="72"/>
  <c r="BX24" i="72"/>
  <c r="R24" i="72"/>
  <c r="BQ24" i="72" a="1"/>
  <c r="BQ24" i="72" s="1"/>
  <c r="BK24" i="72"/>
  <c r="BH24" i="72"/>
  <c r="BE12" i="69"/>
  <c r="AG12" i="69" s="1" a="1"/>
  <c r="AG12" i="69" s="1"/>
  <c r="BF12" i="69"/>
  <c r="BV12" i="69"/>
  <c r="AT12" i="69" a="1"/>
  <c r="AT12" i="69" s="1"/>
  <c r="AQ6" i="72"/>
  <c r="E6" i="72"/>
  <c r="DD77" i="4" a="1"/>
  <c r="DD77" i="4" s="1"/>
  <c r="BB76" i="72" a="1"/>
  <c r="BB76" i="72" s="1"/>
  <c r="AG76" i="72"/>
  <c r="BC37" i="72" a="1"/>
  <c r="BC37" i="72" s="1"/>
  <c r="AD36" i="69"/>
  <c r="G76" i="15"/>
  <c r="BC48" i="72" a="1"/>
  <c r="BC48" i="72" s="1"/>
  <c r="AR48" i="72"/>
  <c r="BK48" i="72"/>
  <c r="BH48" i="72"/>
  <c r="BX48" i="72"/>
  <c r="BQ48" i="72" a="1"/>
  <c r="BQ48" i="72" s="1"/>
  <c r="R48" i="72"/>
  <c r="F56" i="69"/>
  <c r="F56" i="72"/>
  <c r="BL62" i="72"/>
  <c r="AG62" i="72"/>
  <c r="I62" i="69"/>
  <c r="I62" i="72"/>
  <c r="DV77" i="4"/>
  <c r="AV579" i="13"/>
  <c r="BH77" i="4"/>
  <c r="BP15" i="69"/>
  <c r="BO15" i="69" s="1"/>
  <c r="BR15" i="69" s="1"/>
  <c r="AV398" i="13"/>
  <c r="AV498" i="13" s="1"/>
  <c r="U96" i="69" a="1"/>
  <c r="U96" i="69" s="1"/>
  <c r="BW26" i="72"/>
  <c r="BO19" i="72"/>
  <c r="BH24" i="69"/>
  <c r="DD93" i="4" a="1"/>
  <c r="DD93" i="4" s="1"/>
  <c r="BM76" i="69" a="1"/>
  <c r="BM76" i="69" s="1"/>
  <c r="BG76" i="69"/>
  <c r="BD76" i="69"/>
  <c r="R76" i="69"/>
  <c r="BT76" i="69"/>
  <c r="BB79" i="72" a="1"/>
  <c r="BB79" i="72" s="1"/>
  <c r="AQ79" i="72"/>
  <c r="AQ36" i="72"/>
  <c r="BS39" i="69"/>
  <c r="BU67" i="72" a="1"/>
  <c r="BU67" i="72" s="1"/>
  <c r="BK67" i="72"/>
  <c r="BQ67" i="72" a="1"/>
  <c r="BQ67" i="72" s="1"/>
  <c r="R67" i="72"/>
  <c r="BH67" i="72"/>
  <c r="AR67" i="72"/>
  <c r="BX67" i="72"/>
  <c r="AG51" i="72"/>
  <c r="O33" i="69"/>
  <c r="E56" i="72"/>
  <c r="BD63" i="4"/>
  <c r="X63" i="4" s="1"/>
  <c r="O14" i="72"/>
  <c r="AG14" i="72"/>
  <c r="AG27" i="72"/>
  <c r="AU41" i="4"/>
  <c r="AT41" i="4" a="1"/>
  <c r="AT41" i="4" s="1"/>
  <c r="AV41" i="4" a="1"/>
  <c r="AV41" i="4" s="1"/>
  <c r="Y41" i="4"/>
  <c r="BQ41" i="4"/>
  <c r="CY41" i="4"/>
  <c r="CZ41" i="4" s="1"/>
  <c r="CA41" i="4"/>
  <c r="CA21" i="4"/>
  <c r="AU21" i="4"/>
  <c r="Y21" i="4"/>
  <c r="AT21" i="4" a="1"/>
  <c r="AT21" i="4" s="1"/>
  <c r="AV21" i="4" a="1"/>
  <c r="AV21" i="4" s="1"/>
  <c r="BQ21" i="4"/>
  <c r="BH41" i="69"/>
  <c r="AT17" i="69" a="1"/>
  <c r="AT17" i="69" s="1"/>
  <c r="BV17" i="69"/>
  <c r="AV1292" i="13"/>
  <c r="S95" i="72"/>
  <c r="S95" i="69"/>
  <c r="B95" i="72"/>
  <c r="B95" i="69"/>
  <c r="I74" i="69"/>
  <c r="I74" i="72"/>
  <c r="I249" i="15" a="1"/>
  <c r="I249" i="15" s="1"/>
  <c r="BT45" i="72"/>
  <c r="BS45" i="72" s="1"/>
  <c r="BV45" i="72" s="1"/>
  <c r="BH45" i="72"/>
  <c r="AS45" i="72" s="1" a="1"/>
  <c r="AS45" i="72" s="1"/>
  <c r="R45" i="72"/>
  <c r="BK45" i="72"/>
  <c r="AZ45" i="72" s="1" a="1"/>
  <c r="AZ45" i="72" s="1"/>
  <c r="BQ45" i="72" a="1"/>
  <c r="BQ45" i="72" s="1"/>
  <c r="BX45" i="72"/>
  <c r="AR45" i="72"/>
  <c r="AT45" i="72" a="1"/>
  <c r="AT45" i="72" s="1"/>
  <c r="BR45" i="72" a="1"/>
  <c r="BR45" i="72" s="1"/>
  <c r="L39" i="72"/>
  <c r="AD14" i="69"/>
  <c r="E14" i="69"/>
  <c r="CA28" i="4"/>
  <c r="AU28" i="4"/>
  <c r="AV28" i="4" a="1"/>
  <c r="AV28" i="4" s="1"/>
  <c r="AT28" i="4" a="1"/>
  <c r="AT28" i="4" s="1"/>
  <c r="Y28" i="4"/>
  <c r="BQ28" i="4"/>
  <c r="D37" i="69" a="1"/>
  <c r="D37" i="69" s="1"/>
  <c r="AG91" i="72"/>
  <c r="BB41" i="72" a="1"/>
  <c r="BB41" i="72" s="1"/>
  <c r="BT41" i="72"/>
  <c r="BS41" i="72" s="1"/>
  <c r="BV41" i="72" s="1"/>
  <c r="BK41" i="72"/>
  <c r="AZ41" i="72" s="1" a="1"/>
  <c r="AZ41" i="72" s="1"/>
  <c r="BR41" i="72" a="1"/>
  <c r="BR41" i="72" s="1"/>
  <c r="BQ41" i="72" a="1"/>
  <c r="BQ41" i="72" s="1"/>
  <c r="AT41" i="72" a="1"/>
  <c r="AT41" i="72" s="1"/>
  <c r="AR41" i="72"/>
  <c r="R41" i="72"/>
  <c r="BX41" i="72"/>
  <c r="BH41" i="72"/>
  <c r="BC53" i="72" a="1"/>
  <c r="BC53" i="72" s="1"/>
  <c r="R32" i="72"/>
  <c r="BK32" i="72"/>
  <c r="AZ32" i="72" s="1" a="1"/>
  <c r="AZ32" i="72" s="1"/>
  <c r="BR32" i="72" a="1"/>
  <c r="BR32" i="72" s="1"/>
  <c r="AT32" i="72" a="1"/>
  <c r="AT32" i="72" s="1"/>
  <c r="BH32" i="72"/>
  <c r="BQ32" i="72" a="1"/>
  <c r="BQ32" i="72" s="1"/>
  <c r="AR32" i="72"/>
  <c r="BX32" i="72"/>
  <c r="I61" i="69"/>
  <c r="I61" i="72"/>
  <c r="AG40" i="72"/>
  <c r="BU7" i="72" a="1"/>
  <c r="BU7" i="72" s="1"/>
  <c r="BX7" i="72"/>
  <c r="BK7" i="72"/>
  <c r="R7" i="72"/>
  <c r="AR7" i="72"/>
  <c r="BH7" i="72"/>
  <c r="BQ7" i="72" a="1"/>
  <c r="BQ7" i="72" s="1"/>
  <c r="I67" i="72"/>
  <c r="I67" i="69"/>
  <c r="BS45" i="69"/>
  <c r="DD65" i="4" a="1"/>
  <c r="DD65" i="4" s="1"/>
  <c r="BS5" i="69"/>
  <c r="AT5" i="69" a="1"/>
  <c r="AT5" i="69" s="1"/>
  <c r="BV5" i="69"/>
  <c r="W87" i="22"/>
  <c r="Y87" i="22" s="1"/>
  <c r="I490" i="15" a="1"/>
  <c r="I490" i="15" s="1"/>
  <c r="E56" i="69"/>
  <c r="BQ72" i="69" a="1"/>
  <c r="BQ72" i="69" s="1"/>
  <c r="R72" i="69"/>
  <c r="BN72" i="69" a="1"/>
  <c r="BN72" i="69" s="1"/>
  <c r="AP72" i="69" a="1"/>
  <c r="AP72" i="69" s="1"/>
  <c r="BM72" i="69" a="1"/>
  <c r="BM72" i="69" s="1"/>
  <c r="BD72" i="69"/>
  <c r="BG72" i="69"/>
  <c r="AV72" i="69" s="1" a="1"/>
  <c r="AV72" i="69" s="1"/>
  <c r="BT72" i="69"/>
  <c r="BS28" i="69"/>
  <c r="BW92" i="72"/>
  <c r="BU92" i="72" a="1"/>
  <c r="BU92" i="72" s="1"/>
  <c r="BH92" i="72"/>
  <c r="BK92" i="72"/>
  <c r="BA92" i="72" s="1" a="1"/>
  <c r="BA92" i="72" s="1"/>
  <c r="AR92" i="72"/>
  <c r="BQ92" i="72" a="1"/>
  <c r="BQ92" i="72" s="1"/>
  <c r="AT92" i="72" a="1"/>
  <c r="AT92" i="72" s="1"/>
  <c r="R92" i="72"/>
  <c r="BR92" i="72" a="1"/>
  <c r="BR92" i="72" s="1"/>
  <c r="BX92" i="72"/>
  <c r="K25" i="72" a="1"/>
  <c r="K25" i="72" s="1"/>
  <c r="AD23" i="72"/>
  <c r="K23" i="72" a="1"/>
  <c r="K23" i="72" s="1"/>
  <c r="AV23" i="72"/>
  <c r="W23" i="72"/>
  <c r="G23" i="72"/>
  <c r="AC23" i="72"/>
  <c r="J23" i="72"/>
  <c r="P23" i="72"/>
  <c r="AW23" i="72"/>
  <c r="BF23" i="72"/>
  <c r="BG23" i="72"/>
  <c r="T23" i="72"/>
  <c r="Z23" i="72"/>
  <c r="AB23" i="72" a="1"/>
  <c r="AB23" i="72" s="1"/>
  <c r="A23" i="72"/>
  <c r="S23" i="72"/>
  <c r="V23" i="72"/>
  <c r="B23" i="72" s="1"/>
  <c r="L23" i="72"/>
  <c r="M23" i="72"/>
  <c r="Q23" i="72"/>
  <c r="Y23" i="72"/>
  <c r="N23" i="72" a="1"/>
  <c r="N23" i="72" s="1"/>
  <c r="AA23" i="72"/>
  <c r="BY23" i="72"/>
  <c r="O23" i="72"/>
  <c r="DV85" i="4"/>
  <c r="AV587" i="13"/>
  <c r="BH85" i="4"/>
  <c r="BF53" i="69"/>
  <c r="BE53" i="69"/>
  <c r="AN53" i="69" s="1" a="1"/>
  <c r="AN53" i="69" s="1"/>
  <c r="BV32" i="69"/>
  <c r="AT32" i="69" a="1"/>
  <c r="AT32" i="69" s="1"/>
  <c r="K31" i="72" a="1"/>
  <c r="K31" i="72" s="1"/>
  <c r="E97" i="4"/>
  <c r="BB105" i="4" s="1"/>
  <c r="C1754" i="13" s="1"/>
  <c r="B68" i="72"/>
  <c r="BP7" i="69"/>
  <c r="BO7" i="69" s="1"/>
  <c r="BR7" i="69" s="1"/>
  <c r="BG7" i="69"/>
  <c r="AV7" i="69" s="1" a="1"/>
  <c r="AV7" i="69" s="1"/>
  <c r="BT7" i="69"/>
  <c r="BM7" i="69" a="1"/>
  <c r="BM7" i="69" s="1"/>
  <c r="BD7" i="69"/>
  <c r="R7" i="69"/>
  <c r="AP7" i="69" a="1"/>
  <c r="AP7" i="69" s="1"/>
  <c r="BN7" i="69" a="1"/>
  <c r="BN7" i="69" s="1"/>
  <c r="I486" i="15" a="1"/>
  <c r="I486" i="15" s="1"/>
  <c r="AV1403" i="13"/>
  <c r="AX1403" i="13"/>
  <c r="Z1507" i="13"/>
  <c r="A1502" i="13"/>
  <c r="AY84" i="69" a="1"/>
  <c r="AY84" i="69" s="1"/>
  <c r="BC21" i="72" a="1"/>
  <c r="BC21" i="72" s="1"/>
  <c r="BS72" i="72"/>
  <c r="BV72" i="72" s="1"/>
  <c r="BU72" i="72" a="1"/>
  <c r="BU72" i="72" s="1"/>
  <c r="BH72" i="72"/>
  <c r="AR72" i="72"/>
  <c r="BX72" i="72"/>
  <c r="BQ72" i="72" a="1"/>
  <c r="BQ72" i="72" s="1"/>
  <c r="BK72" i="72"/>
  <c r="BA72" i="72" s="1" a="1"/>
  <c r="BA72" i="72" s="1"/>
  <c r="R72" i="72"/>
  <c r="BR72" i="72" a="1"/>
  <c r="BR72" i="72" s="1"/>
  <c r="AT72" i="72" a="1"/>
  <c r="AT72" i="72" s="1"/>
  <c r="BH27" i="69"/>
  <c r="H215" i="15" a="1"/>
  <c r="H215" i="15" s="1"/>
  <c r="AR32" i="4"/>
  <c r="AQ32" i="4"/>
  <c r="AY532" i="13"/>
  <c r="BO9" i="72"/>
  <c r="O9" i="72"/>
  <c r="BK9" i="69"/>
  <c r="O9" i="69"/>
  <c r="BH65" i="72"/>
  <c r="R65" i="72"/>
  <c r="BX65" i="72"/>
  <c r="BQ65" i="72" a="1"/>
  <c r="BQ65" i="72" s="1"/>
  <c r="AR65" i="72"/>
  <c r="BK65" i="72"/>
  <c r="BA65" i="72" s="1" a="1"/>
  <c r="BA65" i="72" s="1"/>
  <c r="BR65" i="72" a="1"/>
  <c r="BR65" i="72" s="1"/>
  <c r="AT65" i="72" a="1"/>
  <c r="AT65" i="72" s="1"/>
  <c r="AQ65" i="72"/>
  <c r="BL84" i="72"/>
  <c r="H62" i="15" a="1"/>
  <c r="H62" i="15" s="1"/>
  <c r="BR94" i="72" a="1"/>
  <c r="BR94" i="72" s="1"/>
  <c r="BU28" i="72" a="1"/>
  <c r="BU28" i="72" s="1"/>
  <c r="DV23" i="4"/>
  <c r="BH23" i="4"/>
  <c r="AV525" i="13"/>
  <c r="BI23" i="69"/>
  <c r="BK25" i="69"/>
  <c r="AX20" i="69" a="1"/>
  <c r="AX20" i="69" s="1"/>
  <c r="D45" i="69" a="1"/>
  <c r="D45" i="69" s="1"/>
  <c r="BF92" i="69"/>
  <c r="BE92" i="69"/>
  <c r="AN92" i="69" s="1" a="1"/>
  <c r="AN92" i="69" s="1"/>
  <c r="AF83" i="72" a="1"/>
  <c r="AF83" i="72" s="1"/>
  <c r="AJ83" i="72" s="1" a="1"/>
  <c r="AJ83" i="72" s="1"/>
  <c r="AG44" i="72"/>
  <c r="BW34" i="72"/>
  <c r="AG18" i="72"/>
  <c r="F70" i="72"/>
  <c r="F70" i="69"/>
  <c r="E80" i="69"/>
  <c r="BC25" i="72" a="1"/>
  <c r="BC25" i="72" s="1"/>
  <c r="BK25" i="72"/>
  <c r="BA25" i="72" s="1" a="1"/>
  <c r="BA25" i="72" s="1"/>
  <c r="BQ25" i="72" a="1"/>
  <c r="BQ25" i="72" s="1"/>
  <c r="BX25" i="72"/>
  <c r="AR25" i="72"/>
  <c r="R25" i="72"/>
  <c r="BH25" i="72"/>
  <c r="AM25" i="72" s="1" a="1"/>
  <c r="AM25" i="72" s="1"/>
  <c r="BR25" i="72" a="1"/>
  <c r="BR25" i="72" s="1"/>
  <c r="AT25" i="72" a="1"/>
  <c r="AT25" i="72" s="1"/>
  <c r="CA24" i="4"/>
  <c r="AU24" i="4"/>
  <c r="Y24" i="4"/>
  <c r="AT24" i="4" a="1"/>
  <c r="AT24" i="4" s="1"/>
  <c r="AV24" i="4" a="1"/>
  <c r="AV24" i="4" s="1"/>
  <c r="BQ24" i="4"/>
  <c r="CY24" i="4"/>
  <c r="CZ24" i="4" s="1"/>
  <c r="CA52" i="4"/>
  <c r="AT52" i="4" a="1"/>
  <c r="AT52" i="4" s="1"/>
  <c r="AV52" i="4" a="1"/>
  <c r="AV52" i="4" s="1"/>
  <c r="AU52" i="4"/>
  <c r="Y52" i="4"/>
  <c r="BQ52" i="4"/>
  <c r="CY52" i="4"/>
  <c r="CZ52" i="4" s="1"/>
  <c r="AF93" i="72" a="1"/>
  <c r="AF93" i="72" s="1"/>
  <c r="AJ93" i="72" s="1" a="1"/>
  <c r="AJ93" i="72" s="1"/>
  <c r="BU93" i="72" a="1"/>
  <c r="BU93" i="72" s="1"/>
  <c r="BK93" i="72"/>
  <c r="BQ93" i="72" a="1"/>
  <c r="BQ93" i="72" s="1"/>
  <c r="BX93" i="72"/>
  <c r="AR93" i="72"/>
  <c r="R93" i="72"/>
  <c r="BH93" i="72"/>
  <c r="BE83" i="69"/>
  <c r="AN83" i="69" s="1" a="1"/>
  <c r="AN83" i="69" s="1"/>
  <c r="BF83" i="69"/>
  <c r="AG52" i="72"/>
  <c r="BC81" i="72" a="1"/>
  <c r="BC81" i="72" s="1"/>
  <c r="E88" i="69"/>
  <c r="BP88" i="69"/>
  <c r="BO88" i="69" s="1"/>
  <c r="BR88" i="69" s="1"/>
  <c r="BG88" i="69"/>
  <c r="AV88" i="69" s="1" a="1"/>
  <c r="AV88" i="69" s="1"/>
  <c r="AP88" i="69" a="1"/>
  <c r="AP88" i="69" s="1"/>
  <c r="R88" i="69"/>
  <c r="AO88" i="69" s="1" a="1"/>
  <c r="AO88" i="69" s="1"/>
  <c r="BT88" i="69"/>
  <c r="BM88" i="69" a="1"/>
  <c r="BM88" i="69" s="1"/>
  <c r="BN88" i="69" a="1"/>
  <c r="BN88" i="69" s="1"/>
  <c r="BD88" i="69"/>
  <c r="B78" i="72"/>
  <c r="AQ78" i="72"/>
  <c r="E44" i="69"/>
  <c r="I85" i="72"/>
  <c r="I85" i="69"/>
  <c r="BF69" i="69"/>
  <c r="BE69" i="69"/>
  <c r="AN69" i="69" s="1" a="1"/>
  <c r="AN69" i="69" s="1"/>
  <c r="L69" i="69"/>
  <c r="BT69" i="69"/>
  <c r="R69" i="69"/>
  <c r="BN69" i="69" a="1"/>
  <c r="BN69" i="69" s="1"/>
  <c r="BD69" i="69"/>
  <c r="AO69" i="69" s="1" a="1"/>
  <c r="AO69" i="69" s="1"/>
  <c r="BM69" i="69" a="1"/>
  <c r="BM69" i="69" s="1"/>
  <c r="BG69" i="69"/>
  <c r="AW69" i="69" s="1" a="1"/>
  <c r="AW69" i="69" s="1"/>
  <c r="AP69" i="69" a="1"/>
  <c r="AP69" i="69" s="1"/>
  <c r="DD78" i="4" a="1"/>
  <c r="DD78" i="4" s="1"/>
  <c r="C34" i="69"/>
  <c r="D34" i="69" s="1" a="1"/>
  <c r="D34" i="69" s="1"/>
  <c r="BV34" i="69"/>
  <c r="AT34" i="69" a="1"/>
  <c r="AT34" i="69" s="1"/>
  <c r="AD18" i="69"/>
  <c r="BH66" i="69"/>
  <c r="BI43" i="69"/>
  <c r="AV1255" i="13"/>
  <c r="B58" i="69"/>
  <c r="S58" i="69"/>
  <c r="S58" i="72"/>
  <c r="B58" i="72"/>
  <c r="F60" i="72"/>
  <c r="CA54" i="4"/>
  <c r="AU54" i="4"/>
  <c r="AV54" i="4" a="1"/>
  <c r="AV54" i="4" s="1"/>
  <c r="Y54" i="4"/>
  <c r="AT54" i="4" a="1"/>
  <c r="AT54" i="4" s="1"/>
  <c r="BQ54" i="4"/>
  <c r="BS50" i="69"/>
  <c r="BV50" i="69"/>
  <c r="AT50" i="69" a="1"/>
  <c r="AT50" i="69" s="1"/>
  <c r="BK52" i="69"/>
  <c r="K38" i="72" a="1"/>
  <c r="K38" i="72" s="1"/>
  <c r="BV78" i="69"/>
  <c r="AT78" i="69" a="1"/>
  <c r="AT78" i="69" s="1"/>
  <c r="O35" i="72"/>
  <c r="AQ35" i="72"/>
  <c r="U70" i="69" a="1"/>
  <c r="U70" i="69" s="1"/>
  <c r="BO29" i="72"/>
  <c r="AG29" i="72"/>
  <c r="AQ29" i="72"/>
  <c r="AF69" i="72" a="1"/>
  <c r="AF69" i="72" s="1"/>
  <c r="AJ69" i="72" s="1" a="1"/>
  <c r="AJ69" i="72" s="1"/>
  <c r="BF90" i="69"/>
  <c r="BE90" i="69"/>
  <c r="AG90" i="69" s="1" a="1"/>
  <c r="AG90" i="69" s="1"/>
  <c r="BH86" i="69"/>
  <c r="BE86" i="69"/>
  <c r="BF86" i="69"/>
  <c r="BS30" i="69"/>
  <c r="BQ30" i="69" a="1"/>
  <c r="BQ30" i="69" s="1"/>
  <c r="AP30" i="69" a="1"/>
  <c r="AP30" i="69" s="1"/>
  <c r="BM30" i="69" a="1"/>
  <c r="BM30" i="69" s="1"/>
  <c r="BN30" i="69" a="1"/>
  <c r="BN30" i="69" s="1"/>
  <c r="R30" i="69"/>
  <c r="BT30" i="69"/>
  <c r="BD30" i="69"/>
  <c r="BG30" i="69"/>
  <c r="AV30" i="69" s="1" a="1"/>
  <c r="AV30" i="69" s="1"/>
  <c r="BM50" i="72"/>
  <c r="AY519" i="13"/>
  <c r="AQ19" i="4"/>
  <c r="AR19" i="4"/>
  <c r="I57" i="69"/>
  <c r="I57" i="72"/>
  <c r="R38" i="69"/>
  <c r="BD38" i="69"/>
  <c r="BT38" i="69"/>
  <c r="BG38" i="69"/>
  <c r="BM38" i="69" a="1"/>
  <c r="BM38" i="69" s="1"/>
  <c r="O38" i="69"/>
  <c r="BF64" i="69"/>
  <c r="BE64" i="69"/>
  <c r="AN64" i="69" s="1" a="1"/>
  <c r="AN64" i="69" s="1"/>
  <c r="BP46" i="69"/>
  <c r="BO46" i="69" s="1"/>
  <c r="BR46" i="69" s="1"/>
  <c r="G90" i="72"/>
  <c r="BL86" i="72"/>
  <c r="BU86" i="72" a="1"/>
  <c r="BU86" i="72" s="1"/>
  <c r="AR86" i="72"/>
  <c r="R86" i="72"/>
  <c r="AS86" i="72" s="1" a="1"/>
  <c r="AS86" i="72" s="1"/>
  <c r="BH86" i="72"/>
  <c r="BX86" i="72"/>
  <c r="BQ86" i="72" a="1"/>
  <c r="BQ86" i="72" s="1"/>
  <c r="BK86" i="72"/>
  <c r="BA86" i="72" s="1" a="1"/>
  <c r="BA86" i="72" s="1"/>
  <c r="AT86" i="72" a="1"/>
  <c r="AT86" i="72" s="1"/>
  <c r="BR86" i="72" a="1"/>
  <c r="BR86" i="72" s="1"/>
  <c r="BJ86" i="72"/>
  <c r="BI86" i="72"/>
  <c r="BC30" i="72" a="1"/>
  <c r="BC30" i="72" s="1"/>
  <c r="AY593" i="13"/>
  <c r="AR93" i="4"/>
  <c r="AQ93" i="4"/>
  <c r="BD96" i="4"/>
  <c r="X96" i="4" s="1"/>
  <c r="BH79" i="4"/>
  <c r="AE75" i="72"/>
  <c r="BG75" i="4"/>
  <c r="AV1173" i="13" s="1"/>
  <c r="X75" i="4"/>
  <c r="L75" i="4"/>
  <c r="BF59" i="4"/>
  <c r="BF79" i="4"/>
  <c r="Z55" i="4"/>
  <c r="BF81" i="4"/>
  <c r="BG65" i="4"/>
  <c r="AV1163" i="13" s="1"/>
  <c r="BR65" i="4"/>
  <c r="AE65" i="72" s="1"/>
  <c r="L65" i="4"/>
  <c r="BF86" i="4"/>
  <c r="BF74" i="4"/>
  <c r="BG56" i="4"/>
  <c r="AV1154" i="13" s="1"/>
  <c r="L56" i="4"/>
  <c r="BF78" i="4"/>
  <c r="X82" i="4"/>
  <c r="BG82" i="4"/>
  <c r="AV1180" i="13" s="1"/>
  <c r="L82" i="4"/>
  <c r="BF57" i="4"/>
  <c r="BT64" i="72"/>
  <c r="BS64" i="72" s="1"/>
  <c r="BV64" i="72" s="1"/>
  <c r="AR64" i="72"/>
  <c r="BH64" i="72"/>
  <c r="BK64" i="72"/>
  <c r="BX64" i="72"/>
  <c r="R64" i="72"/>
  <c r="BQ64" i="72" a="1"/>
  <c r="BQ64" i="72" s="1"/>
  <c r="BS77" i="69"/>
  <c r="I421" i="15" a="1"/>
  <c r="I421" i="15" s="1"/>
  <c r="BH37" i="69"/>
  <c r="AG42" i="72"/>
  <c r="AQ54" i="72"/>
  <c r="AX1454" i="13"/>
  <c r="A1553" i="13"/>
  <c r="Z1558" i="13"/>
  <c r="BP62" i="69"/>
  <c r="BO62" i="69" s="1"/>
  <c r="BR62" i="69" s="1"/>
  <c r="BG62" i="69"/>
  <c r="AV62" i="69" s="1" a="1"/>
  <c r="AV62" i="69" s="1"/>
  <c r="BT62" i="69"/>
  <c r="BM62" i="69" a="1"/>
  <c r="BM62" i="69" s="1"/>
  <c r="R62" i="69"/>
  <c r="BD62" i="69"/>
  <c r="AP62" i="69" a="1"/>
  <c r="AP62" i="69" s="1"/>
  <c r="BS15" i="72"/>
  <c r="BV15" i="72" s="1"/>
  <c r="BI15" i="72"/>
  <c r="BJ15" i="72"/>
  <c r="BP26" i="69"/>
  <c r="BO26" i="69" s="1"/>
  <c r="BR26" i="69" s="1"/>
  <c r="AY85" i="69" a="1"/>
  <c r="AY85" i="69" s="1"/>
  <c r="AX1487" i="13"/>
  <c r="A1586" i="13"/>
  <c r="AV1487" i="13"/>
  <c r="I86" i="69"/>
  <c r="I86" i="72"/>
  <c r="BQ12" i="69" a="1"/>
  <c r="BQ12" i="69" s="1"/>
  <c r="D6" i="72" a="1"/>
  <c r="D6" i="72" s="1"/>
  <c r="A1418" i="13"/>
  <c r="AX1319" i="13"/>
  <c r="DD86" i="4" a="1"/>
  <c r="DD86" i="4" s="1"/>
  <c r="BS37" i="72"/>
  <c r="BV37" i="72" s="1"/>
  <c r="DV87" i="4"/>
  <c r="AE87" i="72"/>
  <c r="AV589" i="13"/>
  <c r="BH87" i="4"/>
  <c r="I400" i="15" a="1"/>
  <c r="I400" i="15" s="1"/>
  <c r="AE51" i="69" a="1"/>
  <c r="AE51" i="69" s="1"/>
  <c r="E51" i="69"/>
  <c r="AO15" i="69" a="1"/>
  <c r="AO15" i="69" s="1"/>
  <c r="AQ15" i="69" a="1"/>
  <c r="AQ15" i="69" s="1"/>
  <c r="AZ15" i="69" a="1"/>
  <c r="AZ15" i="69" s="1"/>
  <c r="AU15" i="69" a="1"/>
  <c r="AU15" i="69" s="1"/>
  <c r="BA15" i="69" a="1"/>
  <c r="BA15" i="69" s="1"/>
  <c r="F77" i="72"/>
  <c r="F77" i="69"/>
  <c r="AQ26" i="72"/>
  <c r="AQ19" i="72"/>
  <c r="BO24" i="69"/>
  <c r="BR24" i="69" s="1"/>
  <c r="BE24" i="69"/>
  <c r="AN24" i="69" s="1" a="1"/>
  <c r="AN24" i="69" s="1"/>
  <c r="BF24" i="69"/>
  <c r="AF12" i="72" a="1"/>
  <c r="AF12" i="72" s="1"/>
  <c r="AJ12" i="72" s="1" a="1"/>
  <c r="AJ12" i="72" s="1"/>
  <c r="DD96" i="4" a="1"/>
  <c r="DD96" i="4" s="1"/>
  <c r="BZ79" i="72"/>
  <c r="AX79" i="72" a="1"/>
  <c r="AX79" i="72" s="1"/>
  <c r="BT36" i="72"/>
  <c r="BS36" i="72" s="1"/>
  <c r="BV36" i="72" s="1"/>
  <c r="AR36" i="72"/>
  <c r="BK36" i="72"/>
  <c r="AZ36" i="72" s="1" a="1"/>
  <c r="AZ36" i="72" s="1"/>
  <c r="BH36" i="72"/>
  <c r="AS36" i="72" s="1" a="1"/>
  <c r="AS36" i="72" s="1"/>
  <c r="BX36" i="72"/>
  <c r="BQ36" i="72" a="1"/>
  <c r="BQ36" i="72" s="1"/>
  <c r="R36" i="72"/>
  <c r="BR36" i="72" a="1"/>
  <c r="BR36" i="72" s="1"/>
  <c r="AT36" i="72" a="1"/>
  <c r="AT36" i="72" s="1"/>
  <c r="AQ54" i="4"/>
  <c r="AR54" i="4"/>
  <c r="AY554" i="13"/>
  <c r="AE21" i="27"/>
  <c r="BO33" i="69"/>
  <c r="BR33" i="69" s="1"/>
  <c r="BM33" i="72"/>
  <c r="AQ33" i="72"/>
  <c r="D14" i="72" a="1"/>
  <c r="D14" i="72" s="1"/>
  <c r="BG57" i="69"/>
  <c r="AW57" i="69" s="1" a="1"/>
  <c r="AW57" i="69" s="1"/>
  <c r="R57" i="69"/>
  <c r="BT57" i="69"/>
  <c r="BD57" i="69"/>
  <c r="BM57" i="69" a="1"/>
  <c r="BM57" i="69" s="1"/>
  <c r="BN57" i="69" a="1"/>
  <c r="BN57" i="69" s="1"/>
  <c r="AP57" i="69" a="1"/>
  <c r="AP57" i="69" s="1"/>
  <c r="O27" i="72"/>
  <c r="BK41" i="69"/>
  <c r="BF17" i="69"/>
  <c r="BE17" i="69"/>
  <c r="AN17" i="69" s="1" a="1"/>
  <c r="AN17" i="69" s="1"/>
  <c r="BZ13" i="72"/>
  <c r="BB45" i="72" a="1"/>
  <c r="BB45" i="72" s="1"/>
  <c r="AY79" i="69" a="1"/>
  <c r="AY79" i="69" s="1"/>
  <c r="BU5" i="72" a="1"/>
  <c r="BU5" i="72" s="1"/>
  <c r="BV47" i="69"/>
  <c r="AT47" i="69" a="1"/>
  <c r="AT47" i="69" s="1"/>
  <c r="O14" i="69"/>
  <c r="R14" i="69"/>
  <c r="BT14" i="69"/>
  <c r="BG14" i="69"/>
  <c r="AW14" i="69" s="1" a="1"/>
  <c r="AW14" i="69" s="1"/>
  <c r="BN14" i="69" a="1"/>
  <c r="BN14" i="69" s="1"/>
  <c r="BD14" i="69"/>
  <c r="AP14" i="69" a="1"/>
  <c r="AP14" i="69" s="1"/>
  <c r="BM14" i="69" a="1"/>
  <c r="BM14" i="69" s="1"/>
  <c r="BF14" i="69"/>
  <c r="BE14" i="69"/>
  <c r="AG14" i="69" s="1" a="1"/>
  <c r="AG14" i="69" s="1"/>
  <c r="AE16" i="69" a="1"/>
  <c r="AE16" i="69" s="1"/>
  <c r="AF91" i="72" a="1"/>
  <c r="AF91" i="72" s="1"/>
  <c r="AJ91" i="72" s="1" a="1"/>
  <c r="AJ91" i="72" s="1"/>
  <c r="BC41" i="72" a="1"/>
  <c r="BC41" i="72" s="1"/>
  <c r="AQ41" i="72"/>
  <c r="AR7" i="4"/>
  <c r="AY509" i="13"/>
  <c r="AQ7" i="4"/>
  <c r="L53" i="72"/>
  <c r="AT53" i="72" a="1"/>
  <c r="AT53" i="72" s="1"/>
  <c r="BH53" i="72"/>
  <c r="BX53" i="72"/>
  <c r="BR53" i="72" a="1"/>
  <c r="BR53" i="72" s="1"/>
  <c r="AR53" i="72"/>
  <c r="R53" i="72"/>
  <c r="AS53" i="72" s="1" a="1"/>
  <c r="AS53" i="72" s="1"/>
  <c r="BQ53" i="72" a="1"/>
  <c r="BQ53" i="72" s="1"/>
  <c r="BK53" i="72"/>
  <c r="AZ53" i="72" s="1" a="1"/>
  <c r="AZ53" i="72" s="1"/>
  <c r="BB32" i="72" a="1"/>
  <c r="BB32" i="72" s="1"/>
  <c r="BI32" i="72"/>
  <c r="BJ32" i="72"/>
  <c r="BS13" i="69"/>
  <c r="DD61" i="4" a="1"/>
  <c r="DD61" i="4" s="1"/>
  <c r="B5" i="69"/>
  <c r="DD55" i="4" a="1"/>
  <c r="DD55" i="4" s="1"/>
  <c r="BG56" i="69"/>
  <c r="BT56" i="69"/>
  <c r="R56" i="69"/>
  <c r="BD56" i="69"/>
  <c r="BM56" i="69" a="1"/>
  <c r="BM56" i="69" s="1"/>
  <c r="BN56" i="69" a="1"/>
  <c r="BN56" i="69" s="1"/>
  <c r="AP56" i="69" a="1"/>
  <c r="AP56" i="69" s="1"/>
  <c r="AX1481" i="13"/>
  <c r="A1580" i="13"/>
  <c r="AV1481" i="13"/>
  <c r="Z1585" i="13"/>
  <c r="AY28" i="69" a="1"/>
  <c r="AY28" i="69" s="1"/>
  <c r="AG57" i="72"/>
  <c r="K27" i="69" a="1"/>
  <c r="K27" i="69" s="1"/>
  <c r="AC23" i="69"/>
  <c r="G23" i="69"/>
  <c r="J23" i="69"/>
  <c r="Q23" i="69"/>
  <c r="Y23" i="69"/>
  <c r="BU23" i="69"/>
  <c r="Z23" i="69"/>
  <c r="W23" i="69"/>
  <c r="BP23" i="69" s="1"/>
  <c r="AR23" i="69"/>
  <c r="M23" i="69"/>
  <c r="AA23" i="69"/>
  <c r="N23" i="69" a="1"/>
  <c r="N23" i="69" s="1"/>
  <c r="BB23" i="69"/>
  <c r="O23" i="69"/>
  <c r="BK23" i="69"/>
  <c r="L23" i="69"/>
  <c r="T23" i="69"/>
  <c r="AB23" i="69" a="1"/>
  <c r="AB23" i="69" s="1"/>
  <c r="P23" i="69"/>
  <c r="A23" i="69"/>
  <c r="S23" i="69"/>
  <c r="U23" i="69" a="1"/>
  <c r="U23" i="69" s="1"/>
  <c r="K23" i="69" a="1"/>
  <c r="K23" i="69" s="1"/>
  <c r="V23" i="69"/>
  <c r="B23" i="69" s="1"/>
  <c r="AS23" i="69"/>
  <c r="BC23" i="69"/>
  <c r="BH91" i="69"/>
  <c r="AV570" i="13"/>
  <c r="DV68" i="4"/>
  <c r="BH68" i="4"/>
  <c r="A1557" i="13"/>
  <c r="Z1562" i="13"/>
  <c r="AX1458" i="13"/>
  <c r="AV1458" i="13"/>
  <c r="AQ31" i="72"/>
  <c r="E31" i="72"/>
  <c r="BQ71" i="69" a="1"/>
  <c r="BQ71" i="69" s="1"/>
  <c r="BM71" i="69" a="1"/>
  <c r="BM71" i="69" s="1"/>
  <c r="BG71" i="69"/>
  <c r="AV71" i="69" s="1" a="1"/>
  <c r="AV71" i="69" s="1"/>
  <c r="R71" i="69"/>
  <c r="BT71" i="69"/>
  <c r="BD71" i="69"/>
  <c r="BN71" i="69" a="1"/>
  <c r="BN71" i="69" s="1"/>
  <c r="BT75" i="72"/>
  <c r="BS75" i="72" s="1"/>
  <c r="BV75" i="72" s="1"/>
  <c r="BQ75" i="72" a="1"/>
  <c r="BQ75" i="72" s="1"/>
  <c r="R75" i="72"/>
  <c r="AR75" i="72"/>
  <c r="BH75" i="72"/>
  <c r="BK75" i="72"/>
  <c r="BA75" i="72" s="1" a="1"/>
  <c r="BA75" i="72" s="1"/>
  <c r="BX75" i="72"/>
  <c r="BR75" i="72" a="1"/>
  <c r="BR75" i="72" s="1"/>
  <c r="AT75" i="72" a="1"/>
  <c r="AT75" i="72" s="1"/>
  <c r="AR21" i="72"/>
  <c r="BK21" i="72"/>
  <c r="AZ21" i="72" s="1" a="1"/>
  <c r="AZ21" i="72" s="1"/>
  <c r="BH21" i="72"/>
  <c r="BX21" i="72"/>
  <c r="R21" i="72"/>
  <c r="BQ21" i="72" a="1"/>
  <c r="BQ21" i="72" s="1"/>
  <c r="AT21" i="72" a="1"/>
  <c r="AT21" i="72" s="1"/>
  <c r="BR21" i="72" a="1"/>
  <c r="BR21" i="72" s="1"/>
  <c r="BK27" i="69"/>
  <c r="BE27" i="69"/>
  <c r="AN27" i="69" s="1" a="1"/>
  <c r="AN27" i="69" s="1"/>
  <c r="BF27" i="69"/>
  <c r="BR53" i="4"/>
  <c r="AE53" i="72" s="1"/>
  <c r="BH31" i="69"/>
  <c r="BG31" i="69"/>
  <c r="BD31" i="69"/>
  <c r="R31" i="69"/>
  <c r="BT31" i="69"/>
  <c r="BM31" i="69" a="1"/>
  <c r="BM31" i="69" s="1"/>
  <c r="BN31" i="69" a="1"/>
  <c r="BN31" i="69" s="1"/>
  <c r="AP31" i="69" a="1"/>
  <c r="AP31" i="69" s="1"/>
  <c r="I461" i="15" a="1"/>
  <c r="I461" i="15" s="1"/>
  <c r="BD71" i="72" a="1"/>
  <c r="BD71" i="72" s="1"/>
  <c r="AS71" i="72" a="1"/>
  <c r="AS71" i="72" s="1"/>
  <c r="AY71" i="72" a="1"/>
  <c r="AY71" i="72" s="1"/>
  <c r="BE71" i="72" a="1"/>
  <c r="BE71" i="72" s="1"/>
  <c r="AN71" i="72" a="1"/>
  <c r="AN71" i="72" s="1"/>
  <c r="AM71" i="72" a="1"/>
  <c r="AM71" i="72" s="1"/>
  <c r="AH71" i="72" a="1"/>
  <c r="AH71" i="72" s="1"/>
  <c r="AU71" i="72" a="1"/>
  <c r="AU71" i="72" s="1"/>
  <c r="BA71" i="72" a="1"/>
  <c r="BA71" i="72" s="1"/>
  <c r="E71" i="72"/>
  <c r="H598" i="15" a="1"/>
  <c r="H598" i="15" s="1"/>
  <c r="BE75" i="69"/>
  <c r="AG75" i="69" s="1" a="1"/>
  <c r="AG75" i="69" s="1"/>
  <c r="BF75" i="69"/>
  <c r="BO75" i="69"/>
  <c r="BR75" i="69" s="1"/>
  <c r="AG65" i="72"/>
  <c r="AQ84" i="72"/>
  <c r="AX1417" i="13"/>
  <c r="A1516" i="13"/>
  <c r="AV1417" i="13"/>
  <c r="Z1521" i="13"/>
  <c r="AT94" i="72" a="1"/>
  <c r="AT94" i="72" s="1"/>
  <c r="CA23" i="4"/>
  <c r="AT23" i="4" a="1"/>
  <c r="AT23" i="4" s="1"/>
  <c r="H23" i="69" s="1"/>
  <c r="AV23" i="4" a="1"/>
  <c r="AV23" i="4" s="1"/>
  <c r="C23" i="69" s="1"/>
  <c r="Y23" i="4"/>
  <c r="AU23" i="4"/>
  <c r="BQ23" i="4"/>
  <c r="CY23" i="4"/>
  <c r="CZ23" i="4" s="1"/>
  <c r="BC20" i="72" a="1"/>
  <c r="BC20" i="72" s="1"/>
  <c r="BJ20" i="72"/>
  <c r="BI20" i="72"/>
  <c r="BR46" i="4"/>
  <c r="AE46" i="72" s="1"/>
  <c r="I284" i="15" a="1"/>
  <c r="I284" i="15" s="1"/>
  <c r="BI11" i="72"/>
  <c r="BS11" i="72"/>
  <c r="BV11" i="72" s="1"/>
  <c r="BJ11" i="72"/>
  <c r="AT81" i="69" a="1"/>
  <c r="AT81" i="69" s="1"/>
  <c r="AO81" i="69" a="1"/>
  <c r="AO81" i="69" s="1"/>
  <c r="AZ81" i="69" a="1"/>
  <c r="AZ81" i="69" s="1"/>
  <c r="BA81" i="69" a="1"/>
  <c r="BA81" i="69" s="1"/>
  <c r="AU81" i="69" a="1"/>
  <c r="AU81" i="69" s="1"/>
  <c r="AQ81" i="69" a="1"/>
  <c r="AQ81" i="69" s="1"/>
  <c r="BP81" i="69"/>
  <c r="BO81" i="69" s="1"/>
  <c r="BR81" i="69" s="1"/>
  <c r="BM81" i="69" a="1"/>
  <c r="BM81" i="69" s="1"/>
  <c r="BT81" i="69"/>
  <c r="BG81" i="69"/>
  <c r="AV81" i="69" s="1" a="1"/>
  <c r="AV81" i="69" s="1"/>
  <c r="R81" i="69"/>
  <c r="BD81" i="69"/>
  <c r="AP81" i="69" a="1"/>
  <c r="AP81" i="69" s="1"/>
  <c r="BN81" i="69" a="1"/>
  <c r="BN81" i="69" s="1"/>
  <c r="L88" i="72"/>
  <c r="BI44" i="72"/>
  <c r="BJ44" i="72"/>
  <c r="I209" i="15" a="1"/>
  <c r="I209" i="15" s="1"/>
  <c r="C25" i="72"/>
  <c r="D25" i="72" s="1" a="1"/>
  <c r="D25" i="72" s="1"/>
  <c r="AQ63" i="72"/>
  <c r="BM28" i="72"/>
  <c r="BM28" i="4"/>
  <c r="BE28" i="4" s="1" a="1"/>
  <c r="BE28" i="4" s="1"/>
  <c r="L52" i="72"/>
  <c r="BH52" i="72"/>
  <c r="BQ52" i="72" a="1"/>
  <c r="BQ52" i="72" s="1"/>
  <c r="BK52" i="72"/>
  <c r="AR52" i="72"/>
  <c r="R52" i="72"/>
  <c r="BX52" i="72"/>
  <c r="E52" i="72"/>
  <c r="BQ81" i="72" a="1"/>
  <c r="BQ81" i="72" s="1"/>
  <c r="BK81" i="72"/>
  <c r="AZ81" i="72" s="1" a="1"/>
  <c r="AZ81" i="72" s="1"/>
  <c r="BH81" i="72"/>
  <c r="R81" i="72"/>
  <c r="AR81" i="72"/>
  <c r="BX81" i="72"/>
  <c r="BR81" i="72" a="1"/>
  <c r="BR81" i="72" s="1"/>
  <c r="AT81" i="72" a="1"/>
  <c r="AT81" i="72" s="1"/>
  <c r="AV1392" i="13"/>
  <c r="G96" i="72"/>
  <c r="S78" i="72"/>
  <c r="BH44" i="69"/>
  <c r="BV44" i="69"/>
  <c r="BH34" i="69"/>
  <c r="AQ40" i="4"/>
  <c r="AY540" i="13"/>
  <c r="AR40" i="4"/>
  <c r="AD43" i="69"/>
  <c r="F58" i="69"/>
  <c r="F58" i="72"/>
  <c r="G71" i="15"/>
  <c r="AD6" i="69"/>
  <c r="DD60" i="4" a="1"/>
  <c r="DD60" i="4" s="1"/>
  <c r="BF93" i="69"/>
  <c r="BE93" i="69"/>
  <c r="AN93" i="69" s="1" a="1"/>
  <c r="AN93" i="69" s="1"/>
  <c r="BH52" i="69"/>
  <c r="BZ38" i="72"/>
  <c r="AX38" i="72" a="1"/>
  <c r="AX38" i="72" s="1"/>
  <c r="K35" i="72" a="1"/>
  <c r="K35" i="72" s="1"/>
  <c r="BS29" i="72"/>
  <c r="BV29" i="72" s="1"/>
  <c r="BU29" i="72" a="1"/>
  <c r="BU29" i="72" s="1"/>
  <c r="BK29" i="72"/>
  <c r="BA29" i="72" s="1" a="1"/>
  <c r="BA29" i="72" s="1"/>
  <c r="AR29" i="72"/>
  <c r="AT29" i="72" a="1"/>
  <c r="AT29" i="72" s="1"/>
  <c r="BQ29" i="72" a="1"/>
  <c r="BQ29" i="72" s="1"/>
  <c r="R29" i="72"/>
  <c r="BX29" i="72"/>
  <c r="BR29" i="72" a="1"/>
  <c r="BR29" i="72" s="1"/>
  <c r="BH29" i="72"/>
  <c r="E29" i="72"/>
  <c r="BC69" i="72" a="1"/>
  <c r="BC69" i="72" s="1"/>
  <c r="L69" i="72"/>
  <c r="R69" i="72"/>
  <c r="BK69" i="72"/>
  <c r="BX69" i="72"/>
  <c r="BH69" i="72"/>
  <c r="BQ69" i="72" a="1"/>
  <c r="BQ69" i="72" s="1"/>
  <c r="AR69" i="72"/>
  <c r="F63" i="69"/>
  <c r="F63" i="72"/>
  <c r="I402" i="15" a="1"/>
  <c r="I402" i="15" s="1"/>
  <c r="AQ50" i="72"/>
  <c r="AQ70" i="72"/>
  <c r="AD29" i="69"/>
  <c r="BI29" i="69"/>
  <c r="L46" i="69"/>
  <c r="BM90" i="72"/>
  <c r="B86" i="72"/>
  <c r="L30" i="72"/>
  <c r="BH30" i="72"/>
  <c r="BQ30" i="72" a="1"/>
  <c r="BQ30" i="72" s="1"/>
  <c r="BX30" i="72"/>
  <c r="BK30" i="72"/>
  <c r="R30" i="72"/>
  <c r="AR30" i="72"/>
  <c r="BR30" i="72" a="1"/>
  <c r="BR30" i="72" s="1"/>
  <c r="AT30" i="72" a="1"/>
  <c r="AT30" i="72" s="1"/>
  <c r="I399" i="15" a="1"/>
  <c r="I399" i="15" s="1"/>
  <c r="BH70" i="4"/>
  <c r="BF75" i="4"/>
  <c r="BG80" i="4"/>
  <c r="AV1178" i="13" s="1"/>
  <c r="BR80" i="4"/>
  <c r="L80" i="4"/>
  <c r="BR86" i="4"/>
  <c r="BG86" i="4"/>
  <c r="AV1184" i="13" s="1"/>
  <c r="X86" i="4"/>
  <c r="L86" i="4"/>
  <c r="BG74" i="4"/>
  <c r="AV1172" i="13" s="1"/>
  <c r="BR74" i="4"/>
  <c r="L74" i="4"/>
  <c r="BF82" i="4"/>
  <c r="BF76" i="4"/>
  <c r="I241" i="15" a="1"/>
  <c r="I241" i="15" s="1"/>
  <c r="BV82" i="69"/>
  <c r="AT82" i="69" a="1"/>
  <c r="AT82" i="69" s="1"/>
  <c r="AV1465" i="13"/>
  <c r="AX1465" i="13"/>
  <c r="Z1569" i="13"/>
  <c r="A1564" i="13"/>
  <c r="BB1770" i="13"/>
  <c r="E64" i="72"/>
  <c r="BW73" i="72"/>
  <c r="BZ73" i="72"/>
  <c r="AX73" i="72" a="1"/>
  <c r="AX73" i="72" s="1"/>
  <c r="BC46" i="72" a="1"/>
  <c r="BC46" i="72" s="1"/>
  <c r="E46" i="72"/>
  <c r="BO22" i="69"/>
  <c r="BR22" i="69" s="1"/>
  <c r="AT22" i="69" a="1"/>
  <c r="AT22" i="69" s="1"/>
  <c r="BV22" i="69"/>
  <c r="AX42" i="69" a="1"/>
  <c r="AX42" i="69" s="1"/>
  <c r="AZ42" i="69" a="1"/>
  <c r="AZ42" i="69" s="1"/>
  <c r="AQ42" i="69" a="1"/>
  <c r="AQ42" i="69" s="1"/>
  <c r="AW42" i="69" a="1"/>
  <c r="AW42" i="69" s="1"/>
  <c r="BA42" i="69" a="1"/>
  <c r="BA42" i="69" s="1"/>
  <c r="AU42" i="69" a="1"/>
  <c r="AU42" i="69" s="1"/>
  <c r="AG42" i="69" a="1"/>
  <c r="AG42" i="69" s="1"/>
  <c r="C36" i="23"/>
  <c r="B36" i="23"/>
  <c r="AF61" i="72" a="1"/>
  <c r="AF61" i="72" s="1"/>
  <c r="AJ61" i="72" s="1" a="1"/>
  <c r="AJ61" i="72" s="1"/>
  <c r="AF85" i="72" a="1"/>
  <c r="AF85" i="72" s="1"/>
  <c r="AJ85" i="72" s="1" a="1"/>
  <c r="AJ85" i="72" s="1"/>
  <c r="BU85" i="72" a="1"/>
  <c r="BU85" i="72" s="1"/>
  <c r="BH85" i="72"/>
  <c r="BK85" i="72"/>
  <c r="BX85" i="72"/>
  <c r="BQ85" i="72" a="1"/>
  <c r="BQ85" i="72" s="1"/>
  <c r="R85" i="72"/>
  <c r="AR85" i="72"/>
  <c r="AG77" i="72"/>
  <c r="DD64" i="4" a="1"/>
  <c r="DD64" i="4" s="1"/>
  <c r="BF37" i="69"/>
  <c r="BE37" i="69"/>
  <c r="AR33" i="4"/>
  <c r="AQ33" i="4"/>
  <c r="AY533" i="13"/>
  <c r="BC22" i="72" a="1"/>
  <c r="BC22" i="72" s="1"/>
  <c r="R48" i="69"/>
  <c r="BM48" i="69" a="1"/>
  <c r="BM48" i="69" s="1"/>
  <c r="BD48" i="69"/>
  <c r="BG48" i="69"/>
  <c r="AV48" i="69" s="1" a="1"/>
  <c r="AV48" i="69" s="1"/>
  <c r="BT48" i="69"/>
  <c r="AP48" i="69" a="1"/>
  <c r="AP48" i="69" s="1"/>
  <c r="BN48" i="69" a="1"/>
  <c r="BN48" i="69" s="1"/>
  <c r="Z1531" i="13"/>
  <c r="AX1427" i="13"/>
  <c r="A1526" i="13"/>
  <c r="AV1427" i="13"/>
  <c r="AV1414" i="13"/>
  <c r="AX1414" i="13"/>
  <c r="A1513" i="13"/>
  <c r="Z1518" i="13"/>
  <c r="AY62" i="69" a="1"/>
  <c r="AY62" i="69" s="1"/>
  <c r="AY510" i="13"/>
  <c r="AR8" i="4"/>
  <c r="AQ8" i="4"/>
  <c r="AR66" i="4"/>
  <c r="AQ66" i="4"/>
  <c r="AY566" i="13"/>
  <c r="BQ26" i="69" a="1"/>
  <c r="BQ26" i="69" s="1"/>
  <c r="E12" i="69"/>
  <c r="BS6" i="72"/>
  <c r="BV6" i="72" s="1"/>
  <c r="BI6" i="72"/>
  <c r="BJ6" i="72"/>
  <c r="I76" i="72"/>
  <c r="I76" i="69"/>
  <c r="BT36" i="69"/>
  <c r="R36" i="69"/>
  <c r="BD36" i="69"/>
  <c r="AO36" i="69" s="1" a="1"/>
  <c r="AO36" i="69" s="1"/>
  <c r="BM36" i="69" a="1"/>
  <c r="BM36" i="69" s="1"/>
  <c r="BG36" i="69"/>
  <c r="AV36" i="69" s="1" a="1"/>
  <c r="AV36" i="69" s="1"/>
  <c r="BN36" i="69" a="1"/>
  <c r="BN36" i="69" s="1"/>
  <c r="AP36" i="69" a="1"/>
  <c r="AP36" i="69" s="1"/>
  <c r="BV36" i="69"/>
  <c r="AT36" i="69" a="1"/>
  <c r="AT36" i="69" s="1"/>
  <c r="BH51" i="69"/>
  <c r="BZ48" i="72"/>
  <c r="Z1514" i="13"/>
  <c r="A1509" i="13"/>
  <c r="AV1410" i="13"/>
  <c r="AX1410" i="13"/>
  <c r="AV33" i="4" a="1"/>
  <c r="AV33" i="4" s="1"/>
  <c r="Y33" i="4"/>
  <c r="AU33" i="4"/>
  <c r="AT33" i="4" a="1"/>
  <c r="AT33" i="4" s="1"/>
  <c r="CY33" i="4"/>
  <c r="CZ33" i="4" s="1"/>
  <c r="P35" i="9" s="1"/>
  <c r="BQ33" i="4"/>
  <c r="CA33" i="4"/>
  <c r="I641" i="15" a="1"/>
  <c r="I641" i="15" s="1"/>
  <c r="AG12" i="72"/>
  <c r="DD92" i="4" a="1"/>
  <c r="DD92" i="4" s="1"/>
  <c r="AE76" i="69" a="1"/>
  <c r="AE76" i="69" s="1"/>
  <c r="BJ79" i="72"/>
  <c r="BI79" i="72"/>
  <c r="BS79" i="72"/>
  <c r="BV79" i="72" s="1"/>
  <c r="AF67" i="72" a="1"/>
  <c r="AF67" i="72" s="1"/>
  <c r="AJ67" i="72" s="1" a="1"/>
  <c r="AJ67" i="72" s="1"/>
  <c r="H270" i="15" a="1"/>
  <c r="H270" i="15" s="1"/>
  <c r="F270" i="15" a="1"/>
  <c r="F270" i="15" s="1"/>
  <c r="H268" i="15" a="1"/>
  <c r="H268" i="15" s="1"/>
  <c r="BL51" i="72"/>
  <c r="AF56" i="72" a="1"/>
  <c r="AF56" i="72" s="1"/>
  <c r="AJ56" i="72" s="1" a="1"/>
  <c r="AJ56" i="72" s="1"/>
  <c r="BI56" i="72"/>
  <c r="BJ56" i="72"/>
  <c r="BQ33" i="72" a="1"/>
  <c r="BQ33" i="72" s="1"/>
  <c r="AR33" i="72"/>
  <c r="BH33" i="72"/>
  <c r="R33" i="72"/>
  <c r="BX33" i="72"/>
  <c r="BK33" i="72"/>
  <c r="AZ33" i="72" s="1" a="1"/>
  <c r="AZ33" i="72" s="1"/>
  <c r="BR33" i="72" a="1"/>
  <c r="BR33" i="72" s="1"/>
  <c r="AT33" i="72" a="1"/>
  <c r="AT33" i="72" s="1"/>
  <c r="BC14" i="72" a="1"/>
  <c r="BC14" i="72" s="1"/>
  <c r="AF27" i="72" a="1"/>
  <c r="AF27" i="72" s="1"/>
  <c r="AJ27" i="72" s="1" a="1"/>
  <c r="AJ27" i="72" s="1"/>
  <c r="X74" i="4"/>
  <c r="F87" i="69"/>
  <c r="F87" i="72"/>
  <c r="AU40" i="69" a="1"/>
  <c r="AU40" i="69" s="1"/>
  <c r="AZ40" i="69" a="1"/>
  <c r="AZ40" i="69" s="1"/>
  <c r="AQ40" i="69" a="1"/>
  <c r="AQ40" i="69" s="1"/>
  <c r="AO40" i="69" a="1"/>
  <c r="AO40" i="69" s="1"/>
  <c r="BA40" i="69" a="1"/>
  <c r="BA40" i="69" s="1"/>
  <c r="AG40" i="69" a="1"/>
  <c r="AG40" i="69" s="1"/>
  <c r="AV40" i="69" a="1"/>
  <c r="AV40" i="69" s="1"/>
  <c r="BK19" i="69"/>
  <c r="BC13" i="72" a="1"/>
  <c r="BC13" i="72" s="1"/>
  <c r="DD84" i="4" a="1"/>
  <c r="DD84" i="4" s="1"/>
  <c r="BO39" i="72"/>
  <c r="BW5" i="72"/>
  <c r="AX5" i="72" a="1"/>
  <c r="AX5" i="72" s="1"/>
  <c r="BZ5" i="72"/>
  <c r="BQ47" i="69" a="1"/>
  <c r="BQ47" i="69" s="1"/>
  <c r="E47" i="69"/>
  <c r="BK14" i="69"/>
  <c r="AY537" i="13"/>
  <c r="AR37" i="4"/>
  <c r="AQ37" i="4"/>
  <c r="BQ16" i="69" a="1"/>
  <c r="BQ16" i="69" s="1"/>
  <c r="AT22" i="4" a="1"/>
  <c r="AT22" i="4" s="1"/>
  <c r="AV22" i="4" a="1"/>
  <c r="AV22" i="4" s="1"/>
  <c r="AU22" i="4"/>
  <c r="Y22" i="4"/>
  <c r="BQ22" i="4"/>
  <c r="CA22" i="4"/>
  <c r="AG41" i="72"/>
  <c r="AX41" i="72" a="1"/>
  <c r="AX41" i="72" s="1"/>
  <c r="BZ41" i="72"/>
  <c r="AD7" i="69"/>
  <c r="BM7" i="4"/>
  <c r="BE7" i="4" s="1" a="1"/>
  <c r="BE7" i="4" s="1"/>
  <c r="D53" i="72" a="1"/>
  <c r="D53" i="72" s="1"/>
  <c r="E53" i="72"/>
  <c r="BS32" i="72"/>
  <c r="BV32" i="72" s="1"/>
  <c r="AQ32" i="72"/>
  <c r="BQ68" i="69" a="1"/>
  <c r="BQ68" i="69" s="1"/>
  <c r="AP68" i="69" a="1"/>
  <c r="AP68" i="69" s="1"/>
  <c r="BM68" i="69" a="1"/>
  <c r="BM68" i="69" s="1"/>
  <c r="BD68" i="69"/>
  <c r="BG68" i="69"/>
  <c r="AW68" i="69" s="1" a="1"/>
  <c r="AW68" i="69" s="1"/>
  <c r="BT68" i="69"/>
  <c r="BN68" i="69" a="1"/>
  <c r="BN68" i="69" s="1"/>
  <c r="R68" i="69"/>
  <c r="BC7" i="72" a="1"/>
  <c r="BC7" i="72" s="1"/>
  <c r="AQ7" i="72"/>
  <c r="BQ45" i="69" a="1"/>
  <c r="BQ45" i="69" s="1"/>
  <c r="DD90" i="4" a="1"/>
  <c r="DD90" i="4" s="1"/>
  <c r="I337" i="15" a="1"/>
  <c r="I337" i="15" s="1"/>
  <c r="BH28" i="69"/>
  <c r="BN28" i="69" a="1"/>
  <c r="BN28" i="69" s="1"/>
  <c r="AP28" i="69" a="1"/>
  <c r="AP28" i="69" s="1"/>
  <c r="BM28" i="69" a="1"/>
  <c r="BM28" i="69" s="1"/>
  <c r="BG28" i="69"/>
  <c r="AW28" i="69" s="1" a="1"/>
  <c r="AW28" i="69" s="1"/>
  <c r="BD28" i="69"/>
  <c r="R28" i="69"/>
  <c r="BT28" i="69"/>
  <c r="BP91" i="69"/>
  <c r="BO91" i="69" s="1"/>
  <c r="BR91" i="69" s="1"/>
  <c r="BR61" i="4"/>
  <c r="BT31" i="72"/>
  <c r="BS31" i="72" s="1"/>
  <c r="BV31" i="72" s="1"/>
  <c r="AF68" i="72" a="1"/>
  <c r="AF68" i="72" s="1"/>
  <c r="AJ68" i="72" s="1" a="1"/>
  <c r="AJ68" i="72" s="1"/>
  <c r="BV7" i="69"/>
  <c r="AT7" i="69" a="1"/>
  <c r="AT7" i="69" s="1"/>
  <c r="G71" i="69"/>
  <c r="I516" i="15" a="1"/>
  <c r="I516" i="15" s="1"/>
  <c r="AX58" i="72" a="1"/>
  <c r="AX58" i="72" s="1"/>
  <c r="L75" i="72"/>
  <c r="BI75" i="72"/>
  <c r="BJ75" i="72"/>
  <c r="I665" i="15" a="1"/>
  <c r="I665" i="15" s="1"/>
  <c r="G665" i="15"/>
  <c r="BS27" i="69"/>
  <c r="AX1356" i="13"/>
  <c r="A1455" i="13"/>
  <c r="BV31" i="69"/>
  <c r="AT31" i="69" a="1"/>
  <c r="AT31" i="69" s="1"/>
  <c r="AR23" i="4"/>
  <c r="AQ23" i="4"/>
  <c r="AY523" i="13"/>
  <c r="BB71" i="72" a="1"/>
  <c r="BB71" i="72" s="1"/>
  <c r="BZ71" i="72"/>
  <c r="AX71" i="72" a="1"/>
  <c r="AX71" i="72" s="1"/>
  <c r="F598" i="15" a="1"/>
  <c r="F598" i="15" s="1"/>
  <c r="BH75" i="69"/>
  <c r="BQ75" i="69" a="1"/>
  <c r="BQ75" i="69" s="1"/>
  <c r="BD75" i="69"/>
  <c r="BG75" i="69"/>
  <c r="AV75" i="69" s="1" a="1"/>
  <c r="AV75" i="69" s="1"/>
  <c r="R75" i="69"/>
  <c r="BT75" i="69"/>
  <c r="BM75" i="69" a="1"/>
  <c r="BM75" i="69" s="1"/>
  <c r="BN75" i="69" a="1"/>
  <c r="BN75" i="69" s="1"/>
  <c r="AP75" i="69" a="1"/>
  <c r="AP75" i="69" s="1"/>
  <c r="BZ84" i="72"/>
  <c r="AX84" i="72" a="1"/>
  <c r="AX84" i="72" s="1"/>
  <c r="AS94" i="72" a="1"/>
  <c r="AS94" i="72" s="1"/>
  <c r="AF28" i="72" a="1"/>
  <c r="AF28" i="72" s="1"/>
  <c r="AJ28" i="72" s="1" a="1"/>
  <c r="AJ28" i="72" s="1"/>
  <c r="BI28" i="72"/>
  <c r="BJ28" i="72"/>
  <c r="BF25" i="69"/>
  <c r="BO25" i="69"/>
  <c r="BR25" i="69" s="1"/>
  <c r="BE25" i="69"/>
  <c r="AN25" i="69" s="1" a="1"/>
  <c r="AN25" i="69" s="1"/>
  <c r="A1573" i="13"/>
  <c r="Z1578" i="13"/>
  <c r="AX1474" i="13"/>
  <c r="BZ11" i="72"/>
  <c r="BQ81" i="69" a="1"/>
  <c r="BQ81" i="69" s="1"/>
  <c r="BF81" i="69"/>
  <c r="BE81" i="69"/>
  <c r="AG81" i="69" s="1" a="1"/>
  <c r="AG81" i="69" s="1"/>
  <c r="BC88" i="72" a="1"/>
  <c r="BC88" i="72" s="1"/>
  <c r="BT94" i="4"/>
  <c r="BD94" i="4"/>
  <c r="BR94" i="4" s="1"/>
  <c r="AE94" i="72" s="1"/>
  <c r="AG34" i="72"/>
  <c r="BU34" i="72" a="1"/>
  <c r="BU34" i="72" s="1"/>
  <c r="BQ34" i="72" a="1"/>
  <c r="BQ34" i="72" s="1"/>
  <c r="BH34" i="72"/>
  <c r="AM34" i="72" s="1" a="1"/>
  <c r="AM34" i="72" s="1"/>
  <c r="BK34" i="72"/>
  <c r="AZ34" i="72" s="1" a="1"/>
  <c r="AZ34" i="72" s="1"/>
  <c r="BX34" i="72"/>
  <c r="AR34" i="72"/>
  <c r="R34" i="72"/>
  <c r="AS34" i="72" s="1" a="1"/>
  <c r="AS34" i="72" s="1"/>
  <c r="AT34" i="72" a="1"/>
  <c r="AT34" i="72" s="1"/>
  <c r="BR34" i="72" a="1"/>
  <c r="BR34" i="72" s="1"/>
  <c r="AQ18" i="72"/>
  <c r="I581" i="15" a="1"/>
  <c r="I581" i="15" s="1"/>
  <c r="AG66" i="72"/>
  <c r="I340" i="15" a="1"/>
  <c r="I340" i="15" s="1"/>
  <c r="BW25" i="72"/>
  <c r="BR16" i="4"/>
  <c r="AE16" i="72" s="1"/>
  <c r="BJ93" i="72"/>
  <c r="BI93" i="72"/>
  <c r="E83" i="69"/>
  <c r="G63" i="72"/>
  <c r="K52" i="72" a="1"/>
  <c r="K52" i="72" s="1"/>
  <c r="BJ52" i="72"/>
  <c r="BI52" i="72"/>
  <c r="BW81" i="72"/>
  <c r="AQ81" i="72"/>
  <c r="BZ81" i="72"/>
  <c r="AX81" i="72" a="1"/>
  <c r="AX81" i="72" s="1"/>
  <c r="AY88" i="69" a="1"/>
  <c r="AY88" i="69" s="1"/>
  <c r="BE88" i="69"/>
  <c r="AN88" i="69" s="1" a="1"/>
  <c r="AN88" i="69" s="1"/>
  <c r="BF88" i="69"/>
  <c r="C10" i="69"/>
  <c r="D10" i="69" s="1" a="1"/>
  <c r="D10" i="69" s="1"/>
  <c r="C10" i="72"/>
  <c r="D10" i="72" s="1" a="1"/>
  <c r="D10" i="72" s="1"/>
  <c r="AD44" i="69"/>
  <c r="BV69" i="69"/>
  <c r="AT69" i="69" a="1"/>
  <c r="AT69" i="69" s="1"/>
  <c r="BR58" i="72" a="1"/>
  <c r="BR58" i="72" s="1"/>
  <c r="BK58" i="69"/>
  <c r="O58" i="69"/>
  <c r="BO58" i="72"/>
  <c r="O58" i="72"/>
  <c r="AZ34" i="69" a="1"/>
  <c r="AZ34" i="69" s="1"/>
  <c r="BA34" i="69" a="1"/>
  <c r="BA34" i="69" s="1"/>
  <c r="AG34" i="69" a="1"/>
  <c r="AG34" i="69" s="1"/>
  <c r="AQ34" i="69" a="1"/>
  <c r="AQ34" i="69" s="1"/>
  <c r="AU34" i="69" a="1"/>
  <c r="AU34" i="69" s="1"/>
  <c r="BP18" i="69"/>
  <c r="BO18" i="69" s="1"/>
  <c r="BR18" i="69" s="1"/>
  <c r="BM18" i="69" a="1"/>
  <c r="BM18" i="69" s="1"/>
  <c r="R18" i="69"/>
  <c r="BG18" i="69"/>
  <c r="AW18" i="69" s="1" a="1"/>
  <c r="AW18" i="69" s="1"/>
  <c r="BT18" i="69"/>
  <c r="BD18" i="69"/>
  <c r="AO18" i="69" s="1" a="1"/>
  <c r="AO18" i="69" s="1"/>
  <c r="AP18" i="69" a="1"/>
  <c r="AP18" i="69" s="1"/>
  <c r="BN18" i="69" a="1"/>
  <c r="BN18" i="69" s="1"/>
  <c r="AO66" i="69" a="1"/>
  <c r="AO66" i="69" s="1"/>
  <c r="AU66" i="69" a="1"/>
  <c r="AU66" i="69" s="1"/>
  <c r="AQ66" i="69" a="1"/>
  <c r="AQ66" i="69" s="1"/>
  <c r="AZ66" i="69" a="1"/>
  <c r="AZ66" i="69" s="1"/>
  <c r="BA66" i="69" a="1"/>
  <c r="BA66" i="69" s="1"/>
  <c r="AV66" i="69" a="1"/>
  <c r="AV66" i="69" s="1"/>
  <c r="B66" i="69"/>
  <c r="AE43" i="69" a="1"/>
  <c r="AE43" i="69" s="1"/>
  <c r="BV43" i="69"/>
  <c r="BZ80" i="72"/>
  <c r="AX80" i="72" a="1"/>
  <c r="AX80" i="72" s="1"/>
  <c r="I58" i="69"/>
  <c r="I58" i="72"/>
  <c r="AG74" i="72"/>
  <c r="AQ16" i="4"/>
  <c r="AY516" i="13"/>
  <c r="AR16" i="4"/>
  <c r="BQ52" i="69" a="1"/>
  <c r="BQ52" i="69" s="1"/>
  <c r="H35" i="72"/>
  <c r="BK35" i="72"/>
  <c r="AZ35" i="72" s="1" a="1"/>
  <c r="AZ35" i="72" s="1"/>
  <c r="BX35" i="72"/>
  <c r="BH35" i="72"/>
  <c r="AR35" i="72"/>
  <c r="R35" i="72"/>
  <c r="BQ35" i="72" a="1"/>
  <c r="BQ35" i="72" s="1"/>
  <c r="AT35" i="72" a="1"/>
  <c r="AT35" i="72" s="1"/>
  <c r="BR35" i="72" a="1"/>
  <c r="BR35" i="72" s="1"/>
  <c r="K29" i="72" a="1"/>
  <c r="K29" i="72" s="1"/>
  <c r="D16" i="69" a="1"/>
  <c r="D16" i="69" s="1"/>
  <c r="D44" i="69" a="1"/>
  <c r="D44" i="69" s="1"/>
  <c r="L43" i="72"/>
  <c r="AT43" i="72" a="1"/>
  <c r="AT43" i="72" s="1"/>
  <c r="R43" i="72"/>
  <c r="BR43" i="72" a="1"/>
  <c r="BR43" i="72" s="1"/>
  <c r="BH43" i="72"/>
  <c r="AR43" i="72"/>
  <c r="BX43" i="72"/>
  <c r="BQ43" i="72" a="1"/>
  <c r="BQ43" i="72" s="1"/>
  <c r="BK43" i="72"/>
  <c r="BA43" i="72" s="1" a="1"/>
  <c r="BA43" i="72" s="1"/>
  <c r="BV30" i="69"/>
  <c r="AT30" i="69" a="1"/>
  <c r="AT30" i="69" s="1"/>
  <c r="I390" i="15" a="1"/>
  <c r="I390" i="15" s="1"/>
  <c r="H474" i="15" a="1"/>
  <c r="H474" i="15" s="1"/>
  <c r="U74" i="69" a="1"/>
  <c r="U74" i="69" s="1"/>
  <c r="L16" i="72"/>
  <c r="AR16" i="72"/>
  <c r="BX16" i="72"/>
  <c r="BK16" i="72"/>
  <c r="BQ16" i="72" a="1"/>
  <c r="BQ16" i="72" s="1"/>
  <c r="R16" i="72"/>
  <c r="BH16" i="72"/>
  <c r="BR16" i="72" a="1"/>
  <c r="BR16" i="72" s="1"/>
  <c r="AT16" i="72" a="1"/>
  <c r="AT16" i="72" s="1"/>
  <c r="K50" i="72" a="1"/>
  <c r="K50" i="72" s="1"/>
  <c r="Z1523" i="13"/>
  <c r="AX1419" i="13"/>
  <c r="A1518" i="13"/>
  <c r="AV1419" i="13"/>
  <c r="Z1570" i="13"/>
  <c r="AV1466" i="13"/>
  <c r="AX1466" i="13"/>
  <c r="A1565" i="13"/>
  <c r="AX1424" i="13"/>
  <c r="Z1528" i="13"/>
  <c r="AV1424" i="13"/>
  <c r="A1523" i="13"/>
  <c r="AE46" i="69" a="1"/>
  <c r="AE46" i="69" s="1"/>
  <c r="BU90" i="72" a="1"/>
  <c r="BU90" i="72" s="1"/>
  <c r="BK90" i="72"/>
  <c r="BQ90" i="72" a="1"/>
  <c r="BQ90" i="72" s="1"/>
  <c r="R90" i="72"/>
  <c r="BX90" i="72"/>
  <c r="AR90" i="72"/>
  <c r="AT90" i="72" a="1"/>
  <c r="AT90" i="72" s="1"/>
  <c r="BH90" i="72"/>
  <c r="BR90" i="72" a="1"/>
  <c r="BR90" i="72" s="1"/>
  <c r="BS90" i="72"/>
  <c r="BV90" i="72" s="1"/>
  <c r="BJ90" i="72"/>
  <c r="BI90" i="72"/>
  <c r="AG86" i="72"/>
  <c r="BR79" i="4"/>
  <c r="AE79" i="72" s="1"/>
  <c r="BG79" i="4"/>
  <c r="AV1177" i="13" s="1"/>
  <c r="L79" i="4"/>
  <c r="BG63" i="4"/>
  <c r="AV1161" i="13" s="1"/>
  <c r="BR63" i="4"/>
  <c r="AE63" i="72" s="1"/>
  <c r="L63" i="4"/>
  <c r="X81" i="4"/>
  <c r="BG81" i="4"/>
  <c r="AV1179" i="13" s="1"/>
  <c r="L81" i="4"/>
  <c r="BF56" i="4"/>
  <c r="BG57" i="4"/>
  <c r="AV1155" i="13" s="1"/>
  <c r="BR57" i="4"/>
  <c r="AE57" i="72" s="1"/>
  <c r="L57" i="4"/>
  <c r="BI89" i="72"/>
  <c r="BJ89" i="72"/>
  <c r="BT77" i="69"/>
  <c r="BG77" i="69"/>
  <c r="R77" i="69"/>
  <c r="BD77" i="69"/>
  <c r="BM77" i="69" a="1"/>
  <c r="BM77" i="69" s="1"/>
  <c r="BN77" i="69" a="1"/>
  <c r="BN77" i="69" s="1"/>
  <c r="AX1440" i="13"/>
  <c r="Z1544" i="13"/>
  <c r="A1539" i="13"/>
  <c r="AV1440" i="13"/>
  <c r="BZ8" i="72"/>
  <c r="E77" i="69"/>
  <c r="AQ46" i="72"/>
  <c r="BF60" i="72"/>
  <c r="M60" i="72"/>
  <c r="G60" i="72"/>
  <c r="Z60" i="72"/>
  <c r="S60" i="72"/>
  <c r="BM60" i="72"/>
  <c r="AB60" i="72" a="1"/>
  <c r="AB60" i="72" s="1"/>
  <c r="O60" i="72"/>
  <c r="W60" i="72"/>
  <c r="BT60" i="72" s="1"/>
  <c r="AA60" i="72"/>
  <c r="AV60" i="72"/>
  <c r="C60" i="72"/>
  <c r="AD60" i="72"/>
  <c r="BG60" i="72"/>
  <c r="T60" i="72"/>
  <c r="Q60" i="72"/>
  <c r="V60" i="72"/>
  <c r="B60" i="72" s="1"/>
  <c r="N60" i="72" a="1"/>
  <c r="N60" i="72" s="1"/>
  <c r="AW60" i="72"/>
  <c r="J60" i="72"/>
  <c r="P60" i="72"/>
  <c r="A60" i="72"/>
  <c r="AC60" i="72"/>
  <c r="Y60" i="72"/>
  <c r="BY60" i="72"/>
  <c r="AP49" i="69" a="1"/>
  <c r="AP49" i="69" s="1"/>
  <c r="BG49" i="69"/>
  <c r="AW49" i="69" s="1" a="1"/>
  <c r="AW49" i="69" s="1"/>
  <c r="BM49" i="69" a="1"/>
  <c r="BM49" i="69" s="1"/>
  <c r="R49" i="69"/>
  <c r="AO49" i="69" s="1" a="1"/>
  <c r="AO49" i="69" s="1"/>
  <c r="BD49" i="69"/>
  <c r="BT49" i="69"/>
  <c r="BN49" i="69" a="1"/>
  <c r="BN49" i="69" s="1"/>
  <c r="AR67" i="4"/>
  <c r="AQ67" i="4"/>
  <c r="AY567" i="13"/>
  <c r="AF8" i="72" a="1"/>
  <c r="AF8" i="72" s="1"/>
  <c r="AJ8" i="72" s="1" a="1"/>
  <c r="AJ8" i="72" s="1"/>
  <c r="BI64" i="72"/>
  <c r="BJ64" i="72"/>
  <c r="BW89" i="72"/>
  <c r="L89" i="72"/>
  <c r="AR89" i="72"/>
  <c r="BQ89" i="72" a="1"/>
  <c r="BQ89" i="72" s="1"/>
  <c r="BK89" i="72"/>
  <c r="BH89" i="72"/>
  <c r="BX89" i="72"/>
  <c r="R89" i="72"/>
  <c r="B73" i="72"/>
  <c r="AV580" i="13"/>
  <c r="BH78" i="4"/>
  <c r="DV78" i="4"/>
  <c r="BS46" i="72"/>
  <c r="BV46" i="72" s="1"/>
  <c r="BJ46" i="72"/>
  <c r="BI46" i="72"/>
  <c r="AM46" i="72" s="1" a="1"/>
  <c r="AM46" i="72" s="1"/>
  <c r="DD58" i="4" a="1"/>
  <c r="DD58" i="4" s="1"/>
  <c r="F73" i="72"/>
  <c r="F73" i="69"/>
  <c r="BB59" i="72" a="1"/>
  <c r="BB59" i="72" s="1"/>
  <c r="AG59" i="72"/>
  <c r="I240" i="15" a="1"/>
  <c r="I240" i="15" s="1"/>
  <c r="O42" i="69"/>
  <c r="BV42" i="69"/>
  <c r="AT42" i="69" a="1"/>
  <c r="AT42" i="69" s="1"/>
  <c r="I628" i="15" a="1"/>
  <c r="I628" i="15" s="1"/>
  <c r="AY55" i="4"/>
  <c r="AW55" i="4"/>
  <c r="AV57" i="13"/>
  <c r="Z1351" i="13"/>
  <c r="F55" i="4"/>
  <c r="BL55" i="4" s="1"/>
  <c r="AP55" i="4"/>
  <c r="AV357" i="13" s="1"/>
  <c r="I120" i="15" a="1"/>
  <c r="I120" i="15" s="1"/>
  <c r="G120" i="15"/>
  <c r="BC61" i="72" a="1"/>
  <c r="BC61" i="72" s="1"/>
  <c r="BH8" i="69"/>
  <c r="BW85" i="72"/>
  <c r="BV89" i="69"/>
  <c r="AT89" i="69" a="1"/>
  <c r="AT89" i="69" s="1"/>
  <c r="AT73" i="69" a="1"/>
  <c r="AT73" i="69" s="1"/>
  <c r="BV73" i="69"/>
  <c r="AV1436" i="13"/>
  <c r="Z1540" i="13"/>
  <c r="A1535" i="13"/>
  <c r="AX1436" i="13"/>
  <c r="AG82" i="72"/>
  <c r="BS82" i="72"/>
  <c r="BV82" i="72" s="1"/>
  <c r="BJ82" i="72"/>
  <c r="BI82" i="72"/>
  <c r="AM82" i="72" s="1" a="1"/>
  <c r="AM82" i="72" s="1"/>
  <c r="BQ59" i="69" a="1"/>
  <c r="BQ59" i="69" s="1"/>
  <c r="AF22" i="72" a="1"/>
  <c r="AF22" i="72" s="1"/>
  <c r="AJ22" i="72" s="1" a="1"/>
  <c r="AJ22" i="72" s="1"/>
  <c r="BT22" i="72"/>
  <c r="BS22" i="72" s="1"/>
  <c r="BV22" i="72" s="1"/>
  <c r="BH22" i="72"/>
  <c r="BK22" i="72"/>
  <c r="BQ22" i="72" a="1"/>
  <c r="BQ22" i="72" s="1"/>
  <c r="R22" i="72"/>
  <c r="BX22" i="72"/>
  <c r="AR22" i="72"/>
  <c r="BV48" i="69"/>
  <c r="BS62" i="69"/>
  <c r="I274" i="15" a="1"/>
  <c r="I274" i="15" s="1"/>
  <c r="T65" i="4"/>
  <c r="Z1657" i="13"/>
  <c r="S65" i="4"/>
  <c r="AT61" i="69" a="1"/>
  <c r="AT61" i="69" s="1"/>
  <c r="BV61" i="69"/>
  <c r="BO15" i="72"/>
  <c r="BH15" i="72"/>
  <c r="AR15" i="72"/>
  <c r="R15" i="72"/>
  <c r="BQ15" i="72" a="1"/>
  <c r="BQ15" i="72" s="1"/>
  <c r="BX15" i="72"/>
  <c r="BK15" i="72"/>
  <c r="AZ15" i="72" s="1" a="1"/>
  <c r="AZ15" i="72" s="1"/>
  <c r="AT15" i="72" a="1"/>
  <c r="AT15" i="72" s="1"/>
  <c r="BR15" i="72" a="1"/>
  <c r="BR15" i="72" s="1"/>
  <c r="AG15" i="72"/>
  <c r="BC24" i="72" a="1"/>
  <c r="BC24" i="72" s="1"/>
  <c r="E24" i="72"/>
  <c r="I436" i="15" a="1"/>
  <c r="I436" i="15" s="1"/>
  <c r="S76" i="72"/>
  <c r="L76" i="72"/>
  <c r="BQ76" i="72" a="1"/>
  <c r="BQ76" i="72" s="1"/>
  <c r="R76" i="72"/>
  <c r="BH76" i="72"/>
  <c r="AS76" i="72" s="1" a="1"/>
  <c r="AS76" i="72" s="1"/>
  <c r="BX76" i="72"/>
  <c r="BK76" i="72"/>
  <c r="BA76" i="72" s="1" a="1"/>
  <c r="BA76" i="72" s="1"/>
  <c r="AR76" i="72"/>
  <c r="BR76" i="72" a="1"/>
  <c r="BR76" i="72" s="1"/>
  <c r="AT76" i="72" a="1"/>
  <c r="AT76" i="72" s="1"/>
  <c r="D37" i="72" a="1"/>
  <c r="D37" i="72" s="1"/>
  <c r="BH87" i="69"/>
  <c r="E36" i="69"/>
  <c r="H223" i="15" a="1"/>
  <c r="H223" i="15" s="1"/>
  <c r="E67" i="69"/>
  <c r="I433" i="15" a="1"/>
  <c r="I433" i="15" s="1"/>
  <c r="BS51" i="69"/>
  <c r="AF48" i="72" a="1"/>
  <c r="AF48" i="72" s="1"/>
  <c r="AJ48" i="72" s="1" a="1"/>
  <c r="AJ48" i="72" s="1"/>
  <c r="I404" i="15" a="1"/>
  <c r="I404" i="15" s="1"/>
  <c r="L17" i="72"/>
  <c r="O15" i="69"/>
  <c r="BT26" i="72"/>
  <c r="BS26" i="72" s="1"/>
  <c r="BV26" i="72" s="1"/>
  <c r="BX26" i="72"/>
  <c r="BH26" i="72"/>
  <c r="R26" i="72"/>
  <c r="AR26" i="72"/>
  <c r="BK26" i="72"/>
  <c r="BQ26" i="72" a="1"/>
  <c r="BQ26" i="72" s="1"/>
  <c r="BR26" i="72" a="1"/>
  <c r="BR26" i="72" s="1"/>
  <c r="AT26" i="72" a="1"/>
  <c r="AT26" i="72" s="1"/>
  <c r="BL19" i="72"/>
  <c r="BZ19" i="72"/>
  <c r="AX19" i="72" a="1"/>
  <c r="AX19" i="72" s="1"/>
  <c r="AQ20" i="4"/>
  <c r="AR20" i="4"/>
  <c r="AY520" i="13"/>
  <c r="BV24" i="69"/>
  <c r="AT24" i="69" a="1"/>
  <c r="AT24" i="69" s="1"/>
  <c r="BL12" i="72"/>
  <c r="BZ12" i="72"/>
  <c r="BS12" i="72"/>
  <c r="BV12" i="72" s="1"/>
  <c r="BJ12" i="72"/>
  <c r="BI12" i="72"/>
  <c r="DD57" i="4" a="1"/>
  <c r="DD57" i="4" s="1"/>
  <c r="L79" i="72"/>
  <c r="BX79" i="72"/>
  <c r="R79" i="72"/>
  <c r="BQ79" i="72" a="1"/>
  <c r="BQ79" i="72" s="1"/>
  <c r="AR79" i="72"/>
  <c r="BH79" i="72"/>
  <c r="BK79" i="72"/>
  <c r="AZ79" i="72" s="1" a="1"/>
  <c r="AZ79" i="72" s="1"/>
  <c r="BR79" i="72" a="1"/>
  <c r="BR79" i="72" s="1"/>
  <c r="AT79" i="72" a="1"/>
  <c r="AT79" i="72" s="1"/>
  <c r="E79" i="72"/>
  <c r="BB36" i="72" a="1"/>
  <c r="BB36" i="72" s="1"/>
  <c r="I634" i="15" a="1"/>
  <c r="I634" i="15" s="1"/>
  <c r="E67" i="72"/>
  <c r="I191" i="15" a="1"/>
  <c r="I191" i="15" s="1"/>
  <c r="BW51" i="72"/>
  <c r="AX51" i="72" a="1"/>
  <c r="AX51" i="72" s="1"/>
  <c r="BZ51" i="72"/>
  <c r="E33" i="69"/>
  <c r="Z1575" i="13"/>
  <c r="AX1471" i="13"/>
  <c r="A1570" i="13"/>
  <c r="BL56" i="72"/>
  <c r="AF14" i="72" a="1"/>
  <c r="AF14" i="72" s="1"/>
  <c r="AJ14" i="72" s="1" a="1"/>
  <c r="AJ14" i="72" s="1"/>
  <c r="E57" i="69"/>
  <c r="BO27" i="72"/>
  <c r="AX41" i="69" a="1"/>
  <c r="AX41" i="69" s="1"/>
  <c r="BQ17" i="69" a="1"/>
  <c r="BQ17" i="69" s="1"/>
  <c r="BG17" i="69"/>
  <c r="AW17" i="69" s="1" a="1"/>
  <c r="AW17" i="69" s="1"/>
  <c r="BD17" i="69"/>
  <c r="BM17" i="69" a="1"/>
  <c r="BM17" i="69" s="1"/>
  <c r="R17" i="69"/>
  <c r="AP17" i="69" a="1"/>
  <c r="AP17" i="69" s="1"/>
  <c r="BT17" i="69"/>
  <c r="BN17" i="69" a="1"/>
  <c r="BN17" i="69" s="1"/>
  <c r="O19" i="69"/>
  <c r="I480" i="15" a="1"/>
  <c r="I480" i="15" s="1"/>
  <c r="BW45" i="72"/>
  <c r="O39" i="72"/>
  <c r="BJ39" i="72"/>
  <c r="BS39" i="72"/>
  <c r="BV39" i="72" s="1"/>
  <c r="BI39" i="72"/>
  <c r="BC5" i="72" a="1"/>
  <c r="BC5" i="72" s="1"/>
  <c r="AG5" i="72"/>
  <c r="F86" i="69"/>
  <c r="F86" i="72"/>
  <c r="BV16" i="69"/>
  <c r="BF16" i="69"/>
  <c r="BE16" i="69"/>
  <c r="BC91" i="72" a="1"/>
  <c r="BC91" i="72" s="1"/>
  <c r="BJ91" i="72"/>
  <c r="BI91" i="72"/>
  <c r="BS91" i="72"/>
  <c r="BV91" i="72" s="1"/>
  <c r="BU53" i="72" a="1"/>
  <c r="BU53" i="72" s="1"/>
  <c r="BC32" i="72" a="1"/>
  <c r="BC32" i="72" s="1"/>
  <c r="AV586" i="13"/>
  <c r="DV84" i="4"/>
  <c r="BH84" i="4"/>
  <c r="BZ40" i="72"/>
  <c r="AX40" i="72" a="1"/>
  <c r="AX40" i="72" s="1"/>
  <c r="AQ40" i="72"/>
  <c r="BO13" i="69"/>
  <c r="BR13" i="69" s="1"/>
  <c r="BV45" i="69"/>
  <c r="AT45" i="69" a="1"/>
  <c r="AT45" i="69" s="1"/>
  <c r="DD72" i="4" a="1"/>
  <c r="DD72" i="4" s="1"/>
  <c r="BQ5" i="69" a="1"/>
  <c r="BQ5" i="69" s="1"/>
  <c r="BD5" i="69"/>
  <c r="BT5" i="69"/>
  <c r="BG5" i="69"/>
  <c r="AW5" i="69" s="1" a="1"/>
  <c r="AW5" i="69" s="1"/>
  <c r="BN5" i="69" a="1"/>
  <c r="BN5" i="69" s="1"/>
  <c r="AP5" i="69" a="1"/>
  <c r="AP5" i="69" s="1"/>
  <c r="R5" i="69"/>
  <c r="AO5" i="69" s="1" a="1"/>
  <c r="AO5" i="69" s="1"/>
  <c r="BM5" i="69" a="1"/>
  <c r="BM5" i="69" s="1"/>
  <c r="AF47" i="72" a="1"/>
  <c r="AF47" i="72" s="1"/>
  <c r="AJ47" i="72" s="1" a="1"/>
  <c r="AJ47" i="72" s="1"/>
  <c r="BT47" i="72"/>
  <c r="BS47" i="72" s="1"/>
  <c r="BV47" i="72" s="1"/>
  <c r="AR47" i="72"/>
  <c r="BQ47" i="72" a="1"/>
  <c r="BQ47" i="72" s="1"/>
  <c r="BK47" i="72"/>
  <c r="R47" i="72"/>
  <c r="BH47" i="72"/>
  <c r="BX47" i="72"/>
  <c r="F603" i="15" a="1"/>
  <c r="F603" i="15" s="1"/>
  <c r="H603" i="15" a="1"/>
  <c r="H603" i="15" s="1"/>
  <c r="BF56" i="69"/>
  <c r="BE56" i="69"/>
  <c r="BS72" i="69"/>
  <c r="BB57" i="72" a="1"/>
  <c r="BB57" i="72" s="1"/>
  <c r="BZ92" i="72"/>
  <c r="AX92" i="72" a="1"/>
  <c r="AX92" i="72" s="1"/>
  <c r="BS91" i="69"/>
  <c r="I397" i="15" a="1"/>
  <c r="I397" i="15" s="1"/>
  <c r="K32" i="69" a="1"/>
  <c r="K32" i="69" s="1"/>
  <c r="BZ31" i="72"/>
  <c r="AY521" i="13"/>
  <c r="AR21" i="4"/>
  <c r="AQ21" i="4"/>
  <c r="BW68" i="72"/>
  <c r="BI7" i="69"/>
  <c r="BP71" i="69"/>
  <c r="BO71" i="69" s="1"/>
  <c r="BR71" i="69" s="1"/>
  <c r="Z1525" i="13"/>
  <c r="AV1421" i="13"/>
  <c r="AX1421" i="13"/>
  <c r="A1520" i="13"/>
  <c r="AG75" i="72"/>
  <c r="BH84" i="69"/>
  <c r="AG72" i="72"/>
  <c r="AD27" i="69"/>
  <c r="AG71" i="72"/>
  <c r="BD71" i="4"/>
  <c r="X71" i="4" s="1"/>
  <c r="BS75" i="69"/>
  <c r="BM65" i="72"/>
  <c r="BC84" i="72" a="1"/>
  <c r="BC84" i="72" s="1"/>
  <c r="E21" i="69"/>
  <c r="AV657" i="13"/>
  <c r="AS97" i="4"/>
  <c r="BM58" i="4"/>
  <c r="BE58" i="4" s="1" a="1"/>
  <c r="BE58" i="4" s="1"/>
  <c r="BM58" i="72"/>
  <c r="AD58" i="69"/>
  <c r="BI58" i="69"/>
  <c r="BW28" i="72"/>
  <c r="BQ25" i="69" a="1"/>
  <c r="BQ25" i="69" s="1"/>
  <c r="BG25" i="69"/>
  <c r="AW25" i="69" s="1" a="1"/>
  <c r="AW25" i="69" s="1"/>
  <c r="BM25" i="69" a="1"/>
  <c r="BM25" i="69" s="1"/>
  <c r="BD25" i="69"/>
  <c r="BT25" i="69"/>
  <c r="AP25" i="69" a="1"/>
  <c r="AP25" i="69" s="1"/>
  <c r="R25" i="69"/>
  <c r="BN25" i="69" a="1"/>
  <c r="BN25" i="69" s="1"/>
  <c r="BI20" i="69"/>
  <c r="BE20" i="69"/>
  <c r="AN20" i="69" s="1" a="1"/>
  <c r="AN20" i="69" s="1"/>
  <c r="BO20" i="69"/>
  <c r="BR20" i="69" s="1"/>
  <c r="BF20" i="69"/>
  <c r="D20" i="69" a="1"/>
  <c r="D20" i="69" s="1"/>
  <c r="AR11" i="72"/>
  <c r="R11" i="72"/>
  <c r="BQ11" i="72" a="1"/>
  <c r="BQ11" i="72" s="1"/>
  <c r="BK11" i="72"/>
  <c r="BX11" i="72"/>
  <c r="BH11" i="72"/>
  <c r="BP63" i="69"/>
  <c r="BO63" i="69" s="1"/>
  <c r="BR63" i="69" s="1"/>
  <c r="BN63" i="69" a="1"/>
  <c r="BN63" i="69" s="1"/>
  <c r="BG63" i="69"/>
  <c r="BT63" i="69"/>
  <c r="R63" i="69"/>
  <c r="BD63" i="69"/>
  <c r="BM63" i="69" a="1"/>
  <c r="BM63" i="69" s="1"/>
  <c r="AV1401" i="13"/>
  <c r="Z1505" i="13"/>
  <c r="AX1401" i="13"/>
  <c r="A1500" i="13"/>
  <c r="BH81" i="69"/>
  <c r="BW88" i="72"/>
  <c r="BZ88" i="72"/>
  <c r="AX88" i="72" a="1"/>
  <c r="AX88" i="72" s="1"/>
  <c r="AL97" i="4"/>
  <c r="AR44" i="72"/>
  <c r="R44" i="72"/>
  <c r="BQ44" i="72" a="1"/>
  <c r="BQ44" i="72" s="1"/>
  <c r="BH44" i="72"/>
  <c r="AS44" i="72" s="1" a="1"/>
  <c r="AS44" i="72" s="1"/>
  <c r="BK44" i="72"/>
  <c r="AZ44" i="72" s="1" a="1"/>
  <c r="AZ44" i="72" s="1"/>
  <c r="BX44" i="72"/>
  <c r="AT44" i="72" a="1"/>
  <c r="AT44" i="72" s="1"/>
  <c r="BR44" i="72" a="1"/>
  <c r="BR44" i="72" s="1"/>
  <c r="AY518" i="13"/>
  <c r="AQ18" i="4"/>
  <c r="AR18" i="4"/>
  <c r="BL34" i="72"/>
  <c r="BD56" i="4"/>
  <c r="X56" i="4" s="1"/>
  <c r="BE65" i="69"/>
  <c r="AG65" i="69" s="1" a="1"/>
  <c r="AG65" i="69" s="1"/>
  <c r="BF65" i="69"/>
  <c r="BP65" i="69"/>
  <c r="BO65" i="69" s="1"/>
  <c r="BR65" i="69" s="1"/>
  <c r="BG65" i="69"/>
  <c r="AW65" i="69" s="1" a="1"/>
  <c r="AW65" i="69" s="1"/>
  <c r="BT65" i="69"/>
  <c r="BM65" i="69" a="1"/>
  <c r="BM65" i="69" s="1"/>
  <c r="BD65" i="69"/>
  <c r="R65" i="69"/>
  <c r="BN65" i="69" a="1"/>
  <c r="BN65" i="69" s="1"/>
  <c r="BC66" i="72" a="1"/>
  <c r="BC66" i="72" s="1"/>
  <c r="BJ66" i="72"/>
  <c r="BI66" i="72"/>
  <c r="AM66" i="72" s="1" a="1"/>
  <c r="AM66" i="72" s="1"/>
  <c r="BS66" i="72"/>
  <c r="BV66" i="72" s="1"/>
  <c r="BV80" i="69"/>
  <c r="AT80" i="69" a="1"/>
  <c r="AT80" i="69" s="1"/>
  <c r="BB25" i="72" a="1"/>
  <c r="BB25" i="72" s="1"/>
  <c r="O25" i="72"/>
  <c r="BZ93" i="72"/>
  <c r="AV564" i="13"/>
  <c r="AE62" i="72"/>
  <c r="DV62" i="4"/>
  <c r="BH62" i="4"/>
  <c r="BV11" i="69"/>
  <c r="AT11" i="69" a="1"/>
  <c r="AT11" i="69" s="1"/>
  <c r="BM63" i="72"/>
  <c r="BU63" i="72" a="1"/>
  <c r="BU63" i="72" s="1"/>
  <c r="BK63" i="72"/>
  <c r="BA63" i="72" s="1" a="1"/>
  <c r="BA63" i="72" s="1"/>
  <c r="AR63" i="72"/>
  <c r="AT63" i="72" a="1"/>
  <c r="AT63" i="72" s="1"/>
  <c r="BR63" i="72" a="1"/>
  <c r="BR63" i="72" s="1"/>
  <c r="R63" i="72"/>
  <c r="BH63" i="72"/>
  <c r="BX63" i="72"/>
  <c r="BQ63" i="72" a="1"/>
  <c r="BQ63" i="72" s="1"/>
  <c r="AF52" i="72" a="1"/>
  <c r="AF52" i="72" s="1"/>
  <c r="AJ52" i="72" s="1" a="1"/>
  <c r="AJ52" i="72" s="1"/>
  <c r="BM52" i="72"/>
  <c r="BT81" i="72"/>
  <c r="BS81" i="72" s="1"/>
  <c r="BV81" i="72" s="1"/>
  <c r="AV1477" i="13"/>
  <c r="A1576" i="13"/>
  <c r="AX1477" i="13"/>
  <c r="Z1581" i="13"/>
  <c r="BT78" i="72"/>
  <c r="BS78" i="72" s="1"/>
  <c r="BV78" i="72" s="1"/>
  <c r="H10" i="72"/>
  <c r="H10" i="69"/>
  <c r="AT58" i="72" a="1"/>
  <c r="AT58" i="72" s="1"/>
  <c r="AX34" i="69" a="1"/>
  <c r="AX34" i="69" s="1"/>
  <c r="BI18" i="69"/>
  <c r="I440" i="15" a="1"/>
  <c r="I440" i="15" s="1"/>
  <c r="AG80" i="72"/>
  <c r="AV1354" i="13"/>
  <c r="AV1296" i="13" s="1" a="1"/>
  <c r="AV1296" i="13" s="1"/>
  <c r="G58" i="72"/>
  <c r="G58" i="69"/>
  <c r="AX94" i="72" a="1"/>
  <c r="AX94" i="72" s="1"/>
  <c r="B74" i="72"/>
  <c r="BU74" i="72" a="1"/>
  <c r="BU74" i="72" s="1"/>
  <c r="BH74" i="72"/>
  <c r="AS74" i="72" s="1" a="1"/>
  <c r="AS74" i="72" s="1"/>
  <c r="BK74" i="72"/>
  <c r="BA74" i="72" s="1" a="1"/>
  <c r="BA74" i="72" s="1"/>
  <c r="AR74" i="72"/>
  <c r="AT74" i="72" a="1"/>
  <c r="AT74" i="72" s="1"/>
  <c r="BQ74" i="72" a="1"/>
  <c r="BQ74" i="72" s="1"/>
  <c r="R74" i="72"/>
  <c r="BX74" i="72"/>
  <c r="BR74" i="72" a="1"/>
  <c r="BR74" i="72" s="1"/>
  <c r="AX93" i="69" a="1"/>
  <c r="AX93" i="69" s="1"/>
  <c r="AT93" i="69" a="1"/>
  <c r="AT93" i="69" s="1"/>
  <c r="BV93" i="69"/>
  <c r="AD52" i="69"/>
  <c r="E52" i="69"/>
  <c r="BM38" i="72"/>
  <c r="BO38" i="72"/>
  <c r="S78" i="69"/>
  <c r="AE17" i="27"/>
  <c r="K16" i="27"/>
  <c r="BT35" i="72"/>
  <c r="BS35" i="72" s="1"/>
  <c r="BV35" i="72" s="1"/>
  <c r="AX70" i="69" a="1"/>
  <c r="AX70" i="69" s="1"/>
  <c r="BL29" i="72"/>
  <c r="BT69" i="72"/>
  <c r="BS69" i="72" s="1"/>
  <c r="BV69" i="72" s="1"/>
  <c r="G86" i="69"/>
  <c r="K43" i="72" a="1"/>
  <c r="K43" i="72" s="1"/>
  <c r="BK30" i="69"/>
  <c r="I474" i="15" a="1"/>
  <c r="I474" i="15" s="1"/>
  <c r="S74" i="69"/>
  <c r="E74" i="69"/>
  <c r="BZ16" i="72"/>
  <c r="AX16" i="72" a="1"/>
  <c r="AX16" i="72" s="1"/>
  <c r="AV1434" i="13"/>
  <c r="Z1538" i="13"/>
  <c r="A1533" i="13"/>
  <c r="AX1434" i="13"/>
  <c r="BS50" i="72"/>
  <c r="BV50" i="72" s="1"/>
  <c r="O35" i="69"/>
  <c r="AY46" i="69" a="1"/>
  <c r="AY46" i="69" s="1"/>
  <c r="I471" i="15" a="1"/>
  <c r="I471" i="15" s="1"/>
  <c r="I540" i="15" a="1"/>
  <c r="I540" i="15" s="1"/>
  <c r="BO30" i="72"/>
  <c r="AY572" i="13"/>
  <c r="AQ72" i="4"/>
  <c r="AR72" i="4"/>
  <c r="AR81" i="4"/>
  <c r="AQ81" i="4"/>
  <c r="AY581" i="13"/>
  <c r="BF73" i="4"/>
  <c r="BG92" i="4"/>
  <c r="AV1190" i="13" s="1"/>
  <c r="X92" i="4"/>
  <c r="BR92" i="4"/>
  <c r="AE92" i="72" s="1"/>
  <c r="L92" i="4"/>
  <c r="AD55" i="4"/>
  <c r="AD97" i="4" s="1"/>
  <c r="BF65" i="4"/>
  <c r="BG58" i="4"/>
  <c r="AV1156" i="13" s="1"/>
  <c r="X58" i="4"/>
  <c r="L58" i="4"/>
  <c r="X76" i="4"/>
  <c r="BG76" i="4"/>
  <c r="AV1174" i="13" s="1"/>
  <c r="BR76" i="4"/>
  <c r="L76" i="4"/>
  <c r="BE44" i="72" l="1" a="1"/>
  <c r="BE44" i="72" s="1"/>
  <c r="AT73" i="72" a="1"/>
  <c r="AT73" i="72" s="1"/>
  <c r="AX42" i="72" a="1"/>
  <c r="AX42" i="72" s="1"/>
  <c r="BE77" i="72" a="1"/>
  <c r="BE77" i="72" s="1"/>
  <c r="G141" i="15"/>
  <c r="BK6" i="69"/>
  <c r="BO6" i="72"/>
  <c r="O6" i="69"/>
  <c r="O6" i="72"/>
  <c r="AW63" i="69" a="1"/>
  <c r="AW63" i="69" s="1"/>
  <c r="O82" i="69"/>
  <c r="BO82" i="72"/>
  <c r="BK82" i="69"/>
  <c r="O82" i="72"/>
  <c r="BE63" i="72" a="1"/>
  <c r="BE63" i="72" s="1"/>
  <c r="AM57" i="72" a="1"/>
  <c r="AM57" i="72" s="1"/>
  <c r="BB42" i="72" a="1"/>
  <c r="BB42" i="72" s="1"/>
  <c r="AT82" i="72" a="1"/>
  <c r="AT82" i="72" s="1"/>
  <c r="AV86" i="69" a="1"/>
  <c r="AV86" i="69" s="1"/>
  <c r="AQ64" i="69" a="1"/>
  <c r="AQ64" i="69" s="1"/>
  <c r="AT48" i="69" a="1"/>
  <c r="AT48" i="69" s="1"/>
  <c r="AH84" i="72" a="1"/>
  <c r="AH84" i="72" s="1"/>
  <c r="BE84" i="72" a="1"/>
  <c r="BE84" i="72" s="1"/>
  <c r="AY54" i="72" a="1"/>
  <c r="AY54" i="72" s="1"/>
  <c r="BR50" i="72" a="1"/>
  <c r="BR50" i="72" s="1"/>
  <c r="AX64" i="69" a="1"/>
  <c r="AX64" i="69" s="1"/>
  <c r="AQ48" i="69" a="1"/>
  <c r="AQ48" i="69" s="1"/>
  <c r="AY63" i="72" a="1"/>
  <c r="AY63" i="72" s="1"/>
  <c r="AU42" i="72" a="1"/>
  <c r="AU42" i="72" s="1"/>
  <c r="BB77" i="72" a="1"/>
  <c r="BB77" i="72" s="1"/>
  <c r="AE67" i="72"/>
  <c r="BA64" i="69" a="1"/>
  <c r="BA64" i="69" s="1"/>
  <c r="AE86" i="72"/>
  <c r="AE80" i="72"/>
  <c r="AE83" i="72"/>
  <c r="AE95" i="72"/>
  <c r="AE64" i="72"/>
  <c r="AE74" i="72"/>
  <c r="AE84" i="72"/>
  <c r="AE61" i="72"/>
  <c r="AE59" i="72"/>
  <c r="AE23" i="72"/>
  <c r="AE76" i="72"/>
  <c r="AE69" i="72"/>
  <c r="AE60" i="72"/>
  <c r="BA90" i="72" a="1"/>
  <c r="BA90" i="72" s="1"/>
  <c r="AM73" i="72" a="1"/>
  <c r="AM73" i="72" s="1"/>
  <c r="AH42" i="72" a="1"/>
  <c r="AH42" i="72" s="1"/>
  <c r="AN42" i="72" a="1"/>
  <c r="AN42" i="72" s="1"/>
  <c r="U55" i="72" a="1"/>
  <c r="U55" i="72" s="1"/>
  <c r="AX31" i="72" a="1"/>
  <c r="AX31" i="72" s="1"/>
  <c r="AT11" i="72" a="1"/>
  <c r="AT11" i="72" s="1"/>
  <c r="K74" i="72" a="1"/>
  <c r="K74" i="72" s="1"/>
  <c r="BK97" i="4"/>
  <c r="BC106" i="4" s="1"/>
  <c r="AY42" i="72" a="1"/>
  <c r="AY42" i="72" s="1"/>
  <c r="BR11" i="72" a="1"/>
  <c r="BR11" i="72" s="1"/>
  <c r="AS82" i="72" a="1"/>
  <c r="AS82" i="72" s="1"/>
  <c r="BE42" i="72" a="1"/>
  <c r="BE42" i="72" s="1"/>
  <c r="AU54" i="72" a="1"/>
  <c r="AU54" i="72" s="1"/>
  <c r="BE92" i="72" a="1"/>
  <c r="BE92" i="72" s="1"/>
  <c r="AJ92" i="72" a="1"/>
  <c r="AJ92" i="72" s="1"/>
  <c r="AY84" i="72" a="1"/>
  <c r="AY84" i="72" s="1"/>
  <c r="AH92" i="72" a="1"/>
  <c r="AH92" i="72" s="1"/>
  <c r="AP70" i="69" a="1"/>
  <c r="AP70" i="69" s="1"/>
  <c r="AS50" i="72" a="1"/>
  <c r="AS50" i="72" s="1"/>
  <c r="AO86" i="69" a="1"/>
  <c r="AO86" i="69" s="1"/>
  <c r="AP27" i="72" a="1"/>
  <c r="AP27" i="72" s="1"/>
  <c r="AO27" i="72" a="1"/>
  <c r="AO27" i="72" s="1"/>
  <c r="AP56" i="72" a="1"/>
  <c r="AP56" i="72" s="1"/>
  <c r="AO56" i="72" a="1"/>
  <c r="AO56" i="72" s="1"/>
  <c r="AP82" i="72" a="1"/>
  <c r="AP82" i="72" s="1"/>
  <c r="AO82" i="72" a="1"/>
  <c r="AO82" i="72" s="1"/>
  <c r="AP72" i="72" a="1"/>
  <c r="AP72" i="72" s="1"/>
  <c r="AO72" i="72" a="1"/>
  <c r="AO72" i="72" s="1"/>
  <c r="AP84" i="72" a="1"/>
  <c r="AP84" i="72" s="1"/>
  <c r="AO84" i="72" a="1"/>
  <c r="AO84" i="72" s="1"/>
  <c r="AP42" i="72" a="1"/>
  <c r="AP42" i="72" s="1"/>
  <c r="AO42" i="72" a="1"/>
  <c r="AO42" i="72" s="1"/>
  <c r="AP77" i="72" a="1"/>
  <c r="AP77" i="72" s="1"/>
  <c r="AO77" i="72" a="1"/>
  <c r="AO77" i="72" s="1"/>
  <c r="AP57" i="72" a="1"/>
  <c r="AP57" i="72" s="1"/>
  <c r="AO57" i="72" a="1"/>
  <c r="AO57" i="72" s="1"/>
  <c r="AP15" i="72" a="1"/>
  <c r="AP15" i="72" s="1"/>
  <c r="AO15" i="72" a="1"/>
  <c r="AO15" i="72" s="1"/>
  <c r="AP14" i="72" a="1"/>
  <c r="AP14" i="72" s="1"/>
  <c r="AO14" i="72" a="1"/>
  <c r="AO14" i="72" s="1"/>
  <c r="AP16" i="72" a="1"/>
  <c r="AP16" i="72" s="1"/>
  <c r="AO16" i="72" a="1"/>
  <c r="AO16" i="72" s="1"/>
  <c r="AP30" i="72" a="1"/>
  <c r="AP30" i="72" s="1"/>
  <c r="AO30" i="72" a="1"/>
  <c r="AO30" i="72" s="1"/>
  <c r="AP73" i="72" a="1"/>
  <c r="AP73" i="72" s="1"/>
  <c r="AO73" i="72" a="1"/>
  <c r="AO73" i="72" s="1"/>
  <c r="AP92" i="72" a="1"/>
  <c r="AP92" i="72" s="1"/>
  <c r="AO92" i="72" a="1"/>
  <c r="AO92" i="72" s="1"/>
  <c r="AP11" i="72" a="1"/>
  <c r="AP11" i="72" s="1"/>
  <c r="AO11" i="72" a="1"/>
  <c r="AO11" i="72" s="1"/>
  <c r="AP49" i="72" a="1"/>
  <c r="AP49" i="72" s="1"/>
  <c r="AO49" i="72" a="1"/>
  <c r="AO49" i="72" s="1"/>
  <c r="AP20" i="72" a="1"/>
  <c r="AP20" i="72" s="1"/>
  <c r="AO20" i="72" a="1"/>
  <c r="AO20" i="72" s="1"/>
  <c r="AP38" i="72" a="1"/>
  <c r="AP38" i="72" s="1"/>
  <c r="AO38" i="72" a="1"/>
  <c r="AO38" i="72" s="1"/>
  <c r="AP19" i="72" a="1"/>
  <c r="AP19" i="72" s="1"/>
  <c r="AO19" i="72" a="1"/>
  <c r="AO19" i="72" s="1"/>
  <c r="AP88" i="72" a="1"/>
  <c r="AP88" i="72" s="1"/>
  <c r="AO88" i="72" a="1"/>
  <c r="AO88" i="72" s="1"/>
  <c r="AP50" i="72" a="1"/>
  <c r="AP50" i="72" s="1"/>
  <c r="AO50" i="72" a="1"/>
  <c r="AO50" i="72" s="1"/>
  <c r="AP5" i="72" a="1"/>
  <c r="AP5" i="72" s="1"/>
  <c r="AO5" i="72" a="1"/>
  <c r="AO5" i="72" s="1"/>
  <c r="AP59" i="72" a="1"/>
  <c r="AP59" i="72" s="1"/>
  <c r="AO59" i="72" a="1"/>
  <c r="AO59" i="72" s="1"/>
  <c r="AP74" i="72" a="1"/>
  <c r="AP74" i="72" s="1"/>
  <c r="AO74" i="72" a="1"/>
  <c r="AO74" i="72" s="1"/>
  <c r="AP39" i="72" a="1"/>
  <c r="AP39" i="72" s="1"/>
  <c r="AO39" i="72" a="1"/>
  <c r="AO39" i="72" s="1"/>
  <c r="AP90" i="72" a="1"/>
  <c r="AP90" i="72" s="1"/>
  <c r="AO90" i="72" a="1"/>
  <c r="AO90" i="72" s="1"/>
  <c r="AP43" i="72" a="1"/>
  <c r="AP43" i="72" s="1"/>
  <c r="AO43" i="72" a="1"/>
  <c r="AO43" i="72" s="1"/>
  <c r="AP86" i="72" a="1"/>
  <c r="AP86" i="72" s="1"/>
  <c r="AO86" i="72" a="1"/>
  <c r="AO86" i="72" s="1"/>
  <c r="AP81" i="72" a="1"/>
  <c r="AP81" i="72" s="1"/>
  <c r="AO81" i="72" a="1"/>
  <c r="AO81" i="72" s="1"/>
  <c r="AP80" i="72" a="1"/>
  <c r="AP80" i="72" s="1"/>
  <c r="AO80" i="72" a="1"/>
  <c r="AO80" i="72" s="1"/>
  <c r="AP51" i="72" a="1"/>
  <c r="AP51" i="72" s="1"/>
  <c r="AO51" i="72" a="1"/>
  <c r="AO51" i="72" s="1"/>
  <c r="AP87" i="72" a="1"/>
  <c r="AP87" i="72" s="1"/>
  <c r="AO87" i="72" a="1"/>
  <c r="AO87" i="72" s="1"/>
  <c r="AP78" i="72" a="1"/>
  <c r="AP78" i="72" s="1"/>
  <c r="AO78" i="72" a="1"/>
  <c r="AO78" i="72" s="1"/>
  <c r="AP41" i="72" a="1"/>
  <c r="AP41" i="72" s="1"/>
  <c r="AO41" i="72" a="1"/>
  <c r="AO41" i="72" s="1"/>
  <c r="AP48" i="72" a="1"/>
  <c r="AP48" i="72" s="1"/>
  <c r="AO48" i="72" a="1"/>
  <c r="AO48" i="72" s="1"/>
  <c r="AP67" i="72" a="1"/>
  <c r="AP67" i="72" s="1"/>
  <c r="AO67" i="72" a="1"/>
  <c r="AO67" i="72" s="1"/>
  <c r="AP93" i="72" a="1"/>
  <c r="AP93" i="72" s="1"/>
  <c r="AO93" i="72" a="1"/>
  <c r="AO93" i="72" s="1"/>
  <c r="AP26" i="72" a="1"/>
  <c r="AP26" i="72" s="1"/>
  <c r="AO26" i="72" a="1"/>
  <c r="AO26" i="72" s="1"/>
  <c r="AP66" i="72" a="1"/>
  <c r="AP66" i="72" s="1"/>
  <c r="AO66" i="72" a="1"/>
  <c r="AO66" i="72" s="1"/>
  <c r="AP21" i="72" a="1"/>
  <c r="AP21" i="72" s="1"/>
  <c r="AO21" i="72" a="1"/>
  <c r="AO21" i="72" s="1"/>
  <c r="AP44" i="72" a="1"/>
  <c r="AP44" i="72" s="1"/>
  <c r="AO44" i="72" a="1"/>
  <c r="AO44" i="72" s="1"/>
  <c r="AP70" i="72" a="1"/>
  <c r="AP70" i="72" s="1"/>
  <c r="AO70" i="72" a="1"/>
  <c r="AO70" i="72" s="1"/>
  <c r="AP75" i="72" a="1"/>
  <c r="AP75" i="72" s="1"/>
  <c r="AO75" i="72" a="1"/>
  <c r="AO75" i="72" s="1"/>
  <c r="AP89" i="72" a="1"/>
  <c r="AP89" i="72" s="1"/>
  <c r="AO89" i="72" a="1"/>
  <c r="AO89" i="72" s="1"/>
  <c r="AP63" i="72" a="1"/>
  <c r="AP63" i="72" s="1"/>
  <c r="AO63" i="72" a="1"/>
  <c r="AO63" i="72" s="1"/>
  <c r="AP52" i="72" a="1"/>
  <c r="AP52" i="72" s="1"/>
  <c r="AO52" i="72" a="1"/>
  <c r="AO52" i="72" s="1"/>
  <c r="AP85" i="72" a="1"/>
  <c r="AP85" i="72" s="1"/>
  <c r="AO85" i="72" a="1"/>
  <c r="AO85" i="72" s="1"/>
  <c r="AP24" i="72" a="1"/>
  <c r="AP24" i="72" s="1"/>
  <c r="AO24" i="72" a="1"/>
  <c r="AO24" i="72" s="1"/>
  <c r="AP36" i="72" a="1"/>
  <c r="AP36" i="72" s="1"/>
  <c r="AO36" i="72" a="1"/>
  <c r="AO36" i="72" s="1"/>
  <c r="AP25" i="72" a="1"/>
  <c r="AP25" i="72" s="1"/>
  <c r="AO25" i="72" a="1"/>
  <c r="AO25" i="72" s="1"/>
  <c r="AP65" i="72" a="1"/>
  <c r="AP65" i="72" s="1"/>
  <c r="AO65" i="72" a="1"/>
  <c r="AO65" i="72" s="1"/>
  <c r="AP17" i="72" a="1"/>
  <c r="AP17" i="72" s="1"/>
  <c r="AO17" i="72" a="1"/>
  <c r="AO17" i="72" s="1"/>
  <c r="AP53" i="72" a="1"/>
  <c r="AP53" i="72" s="1"/>
  <c r="AO53" i="72" a="1"/>
  <c r="AO53" i="72" s="1"/>
  <c r="AP8" i="72" a="1"/>
  <c r="AP8" i="72" s="1"/>
  <c r="AO8" i="72" a="1"/>
  <c r="AO8" i="72" s="1"/>
  <c r="AP28" i="72" a="1"/>
  <c r="AP28" i="72" s="1"/>
  <c r="AO28" i="72" a="1"/>
  <c r="AO28" i="72" s="1"/>
  <c r="AP68" i="72" a="1"/>
  <c r="AP68" i="72" s="1"/>
  <c r="AO68" i="72" a="1"/>
  <c r="AO68" i="72" s="1"/>
  <c r="AP61" i="72" a="1"/>
  <c r="AP61" i="72" s="1"/>
  <c r="AO61" i="72" a="1"/>
  <c r="AO61" i="72" s="1"/>
  <c r="AP91" i="72" a="1"/>
  <c r="AP91" i="72" s="1"/>
  <c r="AO91" i="72" a="1"/>
  <c r="AO91" i="72" s="1"/>
  <c r="AP69" i="72" a="1"/>
  <c r="AP69" i="72" s="1"/>
  <c r="AO69" i="72" a="1"/>
  <c r="AO69" i="72" s="1"/>
  <c r="AP31" i="72" a="1"/>
  <c r="AP31" i="72" s="1"/>
  <c r="AO31" i="72" a="1"/>
  <c r="AO31" i="72" s="1"/>
  <c r="AP32" i="72" a="1"/>
  <c r="AP32" i="72" s="1"/>
  <c r="AO32" i="72" a="1"/>
  <c r="AO32" i="72" s="1"/>
  <c r="AP22" i="72" a="1"/>
  <c r="AP22" i="72" s="1"/>
  <c r="AO22" i="72" a="1"/>
  <c r="AO22" i="72" s="1"/>
  <c r="AP13" i="72" a="1"/>
  <c r="AP13" i="72" s="1"/>
  <c r="AO13" i="72" a="1"/>
  <c r="AO13" i="72" s="1"/>
  <c r="AP6" i="72" a="1"/>
  <c r="AP6" i="72" s="1"/>
  <c r="AO6" i="72" a="1"/>
  <c r="AO6" i="72" s="1"/>
  <c r="AP76" i="72" a="1"/>
  <c r="AP76" i="72" s="1"/>
  <c r="AO76" i="72" a="1"/>
  <c r="AO76" i="72" s="1"/>
  <c r="AP40" i="72" a="1"/>
  <c r="AP40" i="72" s="1"/>
  <c r="AO40" i="72" a="1"/>
  <c r="AO40" i="72" s="1"/>
  <c r="AP37" i="72" a="1"/>
  <c r="AP37" i="72" s="1"/>
  <c r="AO37" i="72" a="1"/>
  <c r="AO37" i="72" s="1"/>
  <c r="AP29" i="72" a="1"/>
  <c r="AP29" i="72" s="1"/>
  <c r="AO29" i="72" a="1"/>
  <c r="AO29" i="72" s="1"/>
  <c r="AP71" i="72" a="1"/>
  <c r="AP71" i="72" s="1"/>
  <c r="AO71" i="72" a="1"/>
  <c r="AO71" i="72" s="1"/>
  <c r="AP47" i="72" a="1"/>
  <c r="AP47" i="72" s="1"/>
  <c r="AO47" i="72" a="1"/>
  <c r="AO47" i="72" s="1"/>
  <c r="AP12" i="72" a="1"/>
  <c r="AP12" i="72" s="1"/>
  <c r="AO12" i="72" a="1"/>
  <c r="AO12" i="72" s="1"/>
  <c r="AP7" i="72" a="1"/>
  <c r="AP7" i="72" s="1"/>
  <c r="AO7" i="72" a="1"/>
  <c r="AO7" i="72" s="1"/>
  <c r="AP33" i="72" a="1"/>
  <c r="AP33" i="72" s="1"/>
  <c r="AO33" i="72" a="1"/>
  <c r="AO33" i="72" s="1"/>
  <c r="AP35" i="72" a="1"/>
  <c r="AP35" i="72" s="1"/>
  <c r="AO35" i="72" a="1"/>
  <c r="AO35" i="72" s="1"/>
  <c r="AP54" i="72" a="1"/>
  <c r="AP54" i="72" s="1"/>
  <c r="AO54" i="72" a="1"/>
  <c r="AO54" i="72" s="1"/>
  <c r="AP62" i="72" a="1"/>
  <c r="AP62" i="72" s="1"/>
  <c r="AO62" i="72" a="1"/>
  <c r="AO62" i="72" s="1"/>
  <c r="AP45" i="72" a="1"/>
  <c r="AP45" i="72" s="1"/>
  <c r="AO45" i="72" a="1"/>
  <c r="AO45" i="72" s="1"/>
  <c r="AP34" i="72" a="1"/>
  <c r="AP34" i="72" s="1"/>
  <c r="AO34" i="72" a="1"/>
  <c r="AO34" i="72" s="1"/>
  <c r="AP83" i="72" a="1"/>
  <c r="AP83" i="72" s="1"/>
  <c r="AO83" i="72" a="1"/>
  <c r="AO83" i="72" s="1"/>
  <c r="AP64" i="72" a="1"/>
  <c r="AP64" i="72" s="1"/>
  <c r="AO64" i="72" a="1"/>
  <c r="AO64" i="72" s="1"/>
  <c r="AP46" i="72" a="1"/>
  <c r="AP46" i="72" s="1"/>
  <c r="AO46" i="72" a="1"/>
  <c r="AO46" i="72" s="1"/>
  <c r="AP18" i="72" a="1"/>
  <c r="AP18" i="72" s="1"/>
  <c r="AO18" i="72" a="1"/>
  <c r="AO18" i="72" s="1"/>
  <c r="AP79" i="72" a="1"/>
  <c r="AP79" i="72" s="1"/>
  <c r="AO79" i="72" a="1"/>
  <c r="AO79" i="72" s="1"/>
  <c r="AN73" i="72" a="1"/>
  <c r="AN73" i="72" s="1"/>
  <c r="BD35" i="72" a="1"/>
  <c r="BD35" i="72" s="1"/>
  <c r="AT89" i="72" a="1"/>
  <c r="AT89" i="72" s="1"/>
  <c r="AH44" i="72" a="1"/>
  <c r="AH44" i="72" s="1"/>
  <c r="AS54" i="72" a="1"/>
  <c r="AS54" i="72" s="1"/>
  <c r="AI77" i="72" a="1"/>
  <c r="AI77" i="72" s="1"/>
  <c r="AT50" i="72" a="1"/>
  <c r="AT50" i="72" s="1"/>
  <c r="AL60" i="72"/>
  <c r="AL23" i="72"/>
  <c r="BA50" i="72" a="1"/>
  <c r="BA50" i="72" s="1"/>
  <c r="BA66" i="72" a="1"/>
  <c r="BA66" i="72" s="1"/>
  <c r="K58" i="69" a="1"/>
  <c r="K58" i="69" s="1"/>
  <c r="AK11" i="72" a="1"/>
  <c r="AK11" i="72" s="1"/>
  <c r="AI11" i="72" a="1"/>
  <c r="AI11" i="72" s="1"/>
  <c r="AK26" i="72" a="1"/>
  <c r="AK26" i="72" s="1"/>
  <c r="AI26" i="72" a="1"/>
  <c r="AI26" i="72" s="1"/>
  <c r="AK43" i="72" a="1"/>
  <c r="AK43" i="72" s="1"/>
  <c r="AI43" i="72" a="1"/>
  <c r="AI43" i="72" s="1"/>
  <c r="AK86" i="72" a="1"/>
  <c r="AK86" i="72" s="1"/>
  <c r="AI86" i="72" a="1"/>
  <c r="AI86" i="72" s="1"/>
  <c r="AK81" i="72" a="1"/>
  <c r="AK81" i="72" s="1"/>
  <c r="AI81" i="72" a="1"/>
  <c r="AI81" i="72" s="1"/>
  <c r="AK80" i="72" a="1"/>
  <c r="AK80" i="72" s="1"/>
  <c r="AI80" i="72" a="1"/>
  <c r="AI80" i="72" s="1"/>
  <c r="AK51" i="72" a="1"/>
  <c r="AK51" i="72" s="1"/>
  <c r="AI51" i="72" a="1"/>
  <c r="AI51" i="72" s="1"/>
  <c r="AK68" i="72" a="1"/>
  <c r="AK68" i="72" s="1"/>
  <c r="AI68" i="72" a="1"/>
  <c r="AI68" i="72" s="1"/>
  <c r="AK67" i="72" a="1"/>
  <c r="AK67" i="72" s="1"/>
  <c r="AI67" i="72" a="1"/>
  <c r="AI67" i="72" s="1"/>
  <c r="AK89" i="72" a="1"/>
  <c r="AK89" i="72" s="1"/>
  <c r="AI89" i="72" a="1"/>
  <c r="AI89" i="72" s="1"/>
  <c r="AK41" i="72" a="1"/>
  <c r="AK41" i="72" s="1"/>
  <c r="AI41" i="72" a="1"/>
  <c r="AI41" i="72" s="1"/>
  <c r="AK28" i="72" a="1"/>
  <c r="AK28" i="72" s="1"/>
  <c r="AI28" i="72" a="1"/>
  <c r="AI28" i="72" s="1"/>
  <c r="AK66" i="72" a="1"/>
  <c r="AK66" i="72" s="1"/>
  <c r="AI66" i="72" a="1"/>
  <c r="AI66" i="72" s="1"/>
  <c r="AK21" i="72" a="1"/>
  <c r="AK21" i="72" s="1"/>
  <c r="AI21" i="72" a="1"/>
  <c r="AI21" i="72" s="1"/>
  <c r="AK44" i="72" a="1"/>
  <c r="AK44" i="72" s="1"/>
  <c r="AI44" i="72" a="1"/>
  <c r="AI44" i="72" s="1"/>
  <c r="AK70" i="72" a="1"/>
  <c r="AK70" i="72" s="1"/>
  <c r="AI70" i="72" a="1"/>
  <c r="AI70" i="72" s="1"/>
  <c r="AK75" i="72" a="1"/>
  <c r="AK75" i="72" s="1"/>
  <c r="AI75" i="72" a="1"/>
  <c r="AI75" i="72" s="1"/>
  <c r="AK91" i="72" a="1"/>
  <c r="AK91" i="72" s="1"/>
  <c r="AI91" i="72" a="1"/>
  <c r="AI91" i="72" s="1"/>
  <c r="AK39" i="72" a="1"/>
  <c r="AK39" i="72" s="1"/>
  <c r="AI39" i="72" a="1"/>
  <c r="AI39" i="72" s="1"/>
  <c r="AK20" i="72" a="1"/>
  <c r="AK20" i="72" s="1"/>
  <c r="AI20" i="72" a="1"/>
  <c r="AI20" i="72" s="1"/>
  <c r="AK16" i="72" a="1"/>
  <c r="AK16" i="72" s="1"/>
  <c r="AI16" i="72" a="1"/>
  <c r="AI16" i="72" s="1"/>
  <c r="AK63" i="72" a="1"/>
  <c r="AK63" i="72" s="1"/>
  <c r="AI63" i="72" a="1"/>
  <c r="AI63" i="72" s="1"/>
  <c r="AK36" i="72" a="1"/>
  <c r="AK36" i="72" s="1"/>
  <c r="AI36" i="72" a="1"/>
  <c r="AI36" i="72" s="1"/>
  <c r="AK25" i="72" a="1"/>
  <c r="AK25" i="72" s="1"/>
  <c r="AI25" i="72" a="1"/>
  <c r="AI25" i="72" s="1"/>
  <c r="AK65" i="72" a="1"/>
  <c r="AK65" i="72" s="1"/>
  <c r="AI65" i="72" a="1"/>
  <c r="AI65" i="72" s="1"/>
  <c r="AK17" i="72" a="1"/>
  <c r="AK17" i="72" s="1"/>
  <c r="AI17" i="72" a="1"/>
  <c r="AI17" i="72" s="1"/>
  <c r="AK53" i="72" a="1"/>
  <c r="AK53" i="72" s="1"/>
  <c r="AI53" i="72" a="1"/>
  <c r="AI53" i="72" s="1"/>
  <c r="AK8" i="72" a="1"/>
  <c r="AK8" i="72" s="1"/>
  <c r="AI8" i="72" a="1"/>
  <c r="AI8" i="72" s="1"/>
  <c r="AK85" i="72" a="1"/>
  <c r="AK85" i="72" s="1"/>
  <c r="AI85" i="72" a="1"/>
  <c r="AI85" i="72" s="1"/>
  <c r="AK32" i="72" a="1"/>
  <c r="AK32" i="72" s="1"/>
  <c r="AI32" i="72" a="1"/>
  <c r="AI32" i="72" s="1"/>
  <c r="AK14" i="72" a="1"/>
  <c r="AK14" i="72" s="1"/>
  <c r="AI14" i="72" a="1"/>
  <c r="AI14" i="72" s="1"/>
  <c r="AK61" i="72" a="1"/>
  <c r="AK61" i="72" s="1"/>
  <c r="AI61" i="72" a="1"/>
  <c r="AI61" i="72" s="1"/>
  <c r="AK31" i="72" a="1"/>
  <c r="AK31" i="72" s="1"/>
  <c r="AI31" i="72" a="1"/>
  <c r="AI31" i="72" s="1"/>
  <c r="AK6" i="72" a="1"/>
  <c r="AK6" i="72" s="1"/>
  <c r="AI6" i="72" a="1"/>
  <c r="AI6" i="72" s="1"/>
  <c r="AK38" i="72" a="1"/>
  <c r="AK38" i="72" s="1"/>
  <c r="AI38" i="72" a="1"/>
  <c r="AI38" i="72" s="1"/>
  <c r="AK76" i="72" a="1"/>
  <c r="AK76" i="72" s="1"/>
  <c r="AI76" i="72" a="1"/>
  <c r="AI76" i="72" s="1"/>
  <c r="AK40" i="72" a="1"/>
  <c r="AK40" i="72" s="1"/>
  <c r="AI40" i="72" a="1"/>
  <c r="AI40" i="72" s="1"/>
  <c r="AK37" i="72" a="1"/>
  <c r="AK37" i="72" s="1"/>
  <c r="AI37" i="72" a="1"/>
  <c r="AI37" i="72" s="1"/>
  <c r="AK29" i="72" a="1"/>
  <c r="AK29" i="72" s="1"/>
  <c r="AI29" i="72" a="1"/>
  <c r="AI29" i="72" s="1"/>
  <c r="AK71" i="72" a="1"/>
  <c r="AK71" i="72" s="1"/>
  <c r="AI71" i="72" a="1"/>
  <c r="AI71" i="72" s="1"/>
  <c r="AK47" i="72" a="1"/>
  <c r="AK47" i="72" s="1"/>
  <c r="AI47" i="72" a="1"/>
  <c r="AI47" i="72" s="1"/>
  <c r="AK12" i="72" a="1"/>
  <c r="AK12" i="72" s="1"/>
  <c r="AI12" i="72" a="1"/>
  <c r="AI12" i="72" s="1"/>
  <c r="AK83" i="72" a="1"/>
  <c r="AK83" i="72" s="1"/>
  <c r="AI83" i="72" a="1"/>
  <c r="AI83" i="72" s="1"/>
  <c r="AK24" i="72" a="1"/>
  <c r="AK24" i="72" s="1"/>
  <c r="AI24" i="72" a="1"/>
  <c r="AI24" i="72" s="1"/>
  <c r="AK33" i="72" a="1"/>
  <c r="AK33" i="72" s="1"/>
  <c r="AI33" i="72" a="1"/>
  <c r="AI33" i="72" s="1"/>
  <c r="AK35" i="72" a="1"/>
  <c r="AK35" i="72" s="1"/>
  <c r="AI35" i="72" a="1"/>
  <c r="AI35" i="72" s="1"/>
  <c r="AK54" i="72" a="1"/>
  <c r="AK54" i="72" s="1"/>
  <c r="AI54" i="72" a="1"/>
  <c r="AI54" i="72" s="1"/>
  <c r="AK62" i="72" a="1"/>
  <c r="AK62" i="72" s="1"/>
  <c r="AI62" i="72" a="1"/>
  <c r="AI62" i="72" s="1"/>
  <c r="AK45" i="72" a="1"/>
  <c r="AK45" i="72" s="1"/>
  <c r="AI45" i="72" a="1"/>
  <c r="AI45" i="72" s="1"/>
  <c r="AK34" i="72" a="1"/>
  <c r="AK34" i="72" s="1"/>
  <c r="AI34" i="72" a="1"/>
  <c r="AI34" i="72" s="1"/>
  <c r="AK52" i="72" a="1"/>
  <c r="AK52" i="72" s="1"/>
  <c r="AI52" i="72" a="1"/>
  <c r="AI52" i="72" s="1"/>
  <c r="AK64" i="72" a="1"/>
  <c r="AK64" i="72" s="1"/>
  <c r="AI64" i="72" a="1"/>
  <c r="AI64" i="72" s="1"/>
  <c r="AK78" i="72" a="1"/>
  <c r="AK78" i="72" s="1"/>
  <c r="AI78" i="72" a="1"/>
  <c r="AI78" i="72" s="1"/>
  <c r="AK7" i="72" a="1"/>
  <c r="AK7" i="72" s="1"/>
  <c r="AI7" i="72" a="1"/>
  <c r="AI7" i="72" s="1"/>
  <c r="AK30" i="72" a="1"/>
  <c r="AK30" i="72" s="1"/>
  <c r="AI30" i="72" a="1"/>
  <c r="AI30" i="72" s="1"/>
  <c r="AK46" i="72" a="1"/>
  <c r="AK46" i="72" s="1"/>
  <c r="AI46" i="72" a="1"/>
  <c r="AI46" i="72" s="1"/>
  <c r="AK18" i="72" a="1"/>
  <c r="AK18" i="72" s="1"/>
  <c r="AI18" i="72" a="1"/>
  <c r="AI18" i="72" s="1"/>
  <c r="AK79" i="72" a="1"/>
  <c r="AK79" i="72" s="1"/>
  <c r="AI79" i="72" a="1"/>
  <c r="AI79" i="72" s="1"/>
  <c r="AK27" i="72" a="1"/>
  <c r="AK27" i="72" s="1"/>
  <c r="AI27" i="72" a="1"/>
  <c r="AI27" i="72" s="1"/>
  <c r="AK48" i="72" a="1"/>
  <c r="AK48" i="72" s="1"/>
  <c r="AI48" i="72" a="1"/>
  <c r="AI48" i="72" s="1"/>
  <c r="AK22" i="72" a="1"/>
  <c r="AK22" i="72" s="1"/>
  <c r="AI22" i="72" a="1"/>
  <c r="AI22" i="72" s="1"/>
  <c r="AK69" i="72" a="1"/>
  <c r="AK69" i="72" s="1"/>
  <c r="AI69" i="72" a="1"/>
  <c r="AI69" i="72" s="1"/>
  <c r="AK13" i="72" a="1"/>
  <c r="AK13" i="72" s="1"/>
  <c r="AI13" i="72" a="1"/>
  <c r="AI13" i="72" s="1"/>
  <c r="AK90" i="72" a="1"/>
  <c r="AK90" i="72" s="1"/>
  <c r="AI90" i="72" a="1"/>
  <c r="AI90" i="72" s="1"/>
  <c r="AK82" i="72" a="1"/>
  <c r="AK82" i="72" s="1"/>
  <c r="AI82" i="72" a="1"/>
  <c r="AI82" i="72" s="1"/>
  <c r="AK72" i="72" a="1"/>
  <c r="AK72" i="72" s="1"/>
  <c r="AI72" i="72" a="1"/>
  <c r="AI72" i="72" s="1"/>
  <c r="AK84" i="72" a="1"/>
  <c r="AK84" i="72" s="1"/>
  <c r="AI84" i="72" a="1"/>
  <c r="AI84" i="72" s="1"/>
  <c r="AK42" i="72" a="1"/>
  <c r="AK42" i="72" s="1"/>
  <c r="AI42" i="72" a="1"/>
  <c r="AI42" i="72" s="1"/>
  <c r="AK57" i="72" a="1"/>
  <c r="AK57" i="72" s="1"/>
  <c r="AI57" i="72" a="1"/>
  <c r="AI57" i="72" s="1"/>
  <c r="AK15" i="72" a="1"/>
  <c r="AK15" i="72" s="1"/>
  <c r="AI15" i="72" a="1"/>
  <c r="AI15" i="72" s="1"/>
  <c r="AK49" i="72" a="1"/>
  <c r="AK49" i="72" s="1"/>
  <c r="AI49" i="72" a="1"/>
  <c r="AI49" i="72" s="1"/>
  <c r="AK73" i="72" a="1"/>
  <c r="AK73" i="72" s="1"/>
  <c r="AI73" i="72" a="1"/>
  <c r="AI73" i="72" s="1"/>
  <c r="AK92" i="72" a="1"/>
  <c r="AK92" i="72" s="1"/>
  <c r="AI92" i="72" a="1"/>
  <c r="AI92" i="72" s="1"/>
  <c r="AK56" i="72" a="1"/>
  <c r="AK56" i="72" s="1"/>
  <c r="AI56" i="72" a="1"/>
  <c r="AI56" i="72" s="1"/>
  <c r="AK93" i="72" a="1"/>
  <c r="AK93" i="72" s="1"/>
  <c r="AI93" i="72" a="1"/>
  <c r="AI93" i="72" s="1"/>
  <c r="AK87" i="72" a="1"/>
  <c r="AK87" i="72" s="1"/>
  <c r="AI87" i="72" a="1"/>
  <c r="AI87" i="72" s="1"/>
  <c r="AK19" i="72" a="1"/>
  <c r="AK19" i="72" s="1"/>
  <c r="AI19" i="72" a="1"/>
  <c r="AI19" i="72" s="1"/>
  <c r="AK88" i="72" a="1"/>
  <c r="AK88" i="72" s="1"/>
  <c r="AI88" i="72" a="1"/>
  <c r="AI88" i="72" s="1"/>
  <c r="AK50" i="72" a="1"/>
  <c r="AK50" i="72" s="1"/>
  <c r="AI50" i="72" a="1"/>
  <c r="AI50" i="72" s="1"/>
  <c r="AK5" i="72" a="1"/>
  <c r="AK5" i="72" s="1"/>
  <c r="AI5" i="72" a="1"/>
  <c r="AI5" i="72" s="1"/>
  <c r="AK59" i="72" a="1"/>
  <c r="AK59" i="72" s="1"/>
  <c r="AI59" i="72" a="1"/>
  <c r="AI59" i="72" s="1"/>
  <c r="AK74" i="72" a="1"/>
  <c r="AK74" i="72" s="1"/>
  <c r="AI74" i="72" a="1"/>
  <c r="AI74" i="72" s="1"/>
  <c r="K80" i="72" a="1"/>
  <c r="K80" i="72" s="1"/>
  <c r="AN77" i="72" a="1"/>
  <c r="AN77" i="72" s="1"/>
  <c r="AK77" i="72" a="1"/>
  <c r="AK77" i="72" s="1"/>
  <c r="K93" i="72" a="1"/>
  <c r="K93" i="72" s="1"/>
  <c r="BD54" i="72" a="1"/>
  <c r="BD54" i="72" s="1"/>
  <c r="BD84" i="72" a="1"/>
  <c r="BD84" i="72" s="1"/>
  <c r="BR6" i="72" a="1"/>
  <c r="BR6" i="72" s="1"/>
  <c r="BE82" i="72" a="1"/>
  <c r="BE82" i="72" s="1"/>
  <c r="BB72" i="72" a="1"/>
  <c r="BB72" i="72" s="1"/>
  <c r="BD42" i="72" a="1"/>
  <c r="BD42" i="72" s="1"/>
  <c r="AX47" i="72" a="1"/>
  <c r="AX47" i="72" s="1"/>
  <c r="AT28" i="72" a="1"/>
  <c r="AT28" i="72" s="1"/>
  <c r="AX67" i="72" a="1"/>
  <c r="AX67" i="72" s="1"/>
  <c r="BR93" i="72" a="1"/>
  <c r="BR93" i="72" s="1"/>
  <c r="AX13" i="72" a="1"/>
  <c r="AX13" i="72" s="1"/>
  <c r="AN92" i="72" a="1"/>
  <c r="AN92" i="72" s="1"/>
  <c r="BR64" i="72" a="1"/>
  <c r="BR64" i="72" s="1"/>
  <c r="AN19" i="72" a="1"/>
  <c r="AN19" i="72" s="1"/>
  <c r="AH50" i="72" a="1"/>
  <c r="AH50" i="72" s="1"/>
  <c r="AN5" i="72" a="1"/>
  <c r="AN5" i="72" s="1"/>
  <c r="AX89" i="72" a="1"/>
  <c r="AX89" i="72" s="1"/>
  <c r="BE43" i="72" a="1"/>
  <c r="BE43" i="72" s="1"/>
  <c r="AY86" i="72" a="1"/>
  <c r="AY86" i="72" s="1"/>
  <c r="AH81" i="72" a="1"/>
  <c r="AH81" i="72" s="1"/>
  <c r="AY80" i="72" a="1"/>
  <c r="AY80" i="72" s="1"/>
  <c r="BB74" i="72" a="1"/>
  <c r="BB74" i="72" s="1"/>
  <c r="AX11" i="72" a="1"/>
  <c r="AX11" i="72" s="1"/>
  <c r="AT49" i="72" a="1"/>
  <c r="AT49" i="72" s="1"/>
  <c r="BB51" i="72" a="1"/>
  <c r="BB51" i="72" s="1"/>
  <c r="AT8" i="72" a="1"/>
  <c r="AT8" i="72" s="1"/>
  <c r="AT85" i="72" a="1"/>
  <c r="AT85" i="72" s="1"/>
  <c r="AT91" i="72" a="1"/>
  <c r="AT91" i="72" s="1"/>
  <c r="AH66" i="72" a="1"/>
  <c r="AH66" i="72" s="1"/>
  <c r="BB21" i="72" a="1"/>
  <c r="BB21" i="72" s="1"/>
  <c r="AU44" i="72" a="1"/>
  <c r="AU44" i="72" s="1"/>
  <c r="BB70" i="72" a="1"/>
  <c r="BB70" i="72" s="1"/>
  <c r="BB75" i="72" a="1"/>
  <c r="BB75" i="72" s="1"/>
  <c r="AX39" i="72" a="1"/>
  <c r="AX39" i="72" s="1"/>
  <c r="AX24" i="72" a="1"/>
  <c r="AX24" i="72" s="1"/>
  <c r="AU53" i="72" a="1"/>
  <c r="AU53" i="72" s="1"/>
  <c r="BR27" i="72" a="1"/>
  <c r="BR27" i="72" s="1"/>
  <c r="AT56" i="72" a="1"/>
  <c r="AT56" i="72" s="1"/>
  <c r="AX78" i="72" a="1"/>
  <c r="AX78" i="72" s="1"/>
  <c r="BR7" i="72" a="1"/>
  <c r="BR7" i="72" s="1"/>
  <c r="AT48" i="72" a="1"/>
  <c r="AT48" i="72" s="1"/>
  <c r="BR22" i="72" a="1"/>
  <c r="BR22" i="72" s="1"/>
  <c r="AX12" i="72" a="1"/>
  <c r="AX12" i="72" s="1"/>
  <c r="AX83" i="72" a="1"/>
  <c r="AX83" i="72" s="1"/>
  <c r="AT20" i="72" a="1"/>
  <c r="AT20" i="72" s="1"/>
  <c r="AX90" i="72" a="1"/>
  <c r="AX90" i="72" s="1"/>
  <c r="AX76" i="72" a="1"/>
  <c r="AX76" i="72" s="1"/>
  <c r="BB37" i="72" a="1"/>
  <c r="BB37" i="72" s="1"/>
  <c r="AX26" i="72" a="1"/>
  <c r="AX26" i="72" s="1"/>
  <c r="BE35" i="72" a="1"/>
  <c r="BE35" i="72" s="1"/>
  <c r="BB62" i="72" a="1"/>
  <c r="BB62" i="72" s="1"/>
  <c r="AX69" i="72" a="1"/>
  <c r="AX69" i="72" s="1"/>
  <c r="BD18" i="72" a="1"/>
  <c r="BD18" i="72" s="1"/>
  <c r="BB34" i="72" a="1"/>
  <c r="BB34" i="72" s="1"/>
  <c r="AH33" i="72" a="1"/>
  <c r="AH33" i="72" s="1"/>
  <c r="BB54" i="72" a="1"/>
  <c r="BB54" i="72" s="1"/>
  <c r="AS35" i="72" a="1"/>
  <c r="AS35" i="72" s="1"/>
  <c r="AN44" i="72" a="1"/>
  <c r="AN44" i="72" s="1"/>
  <c r="BB73" i="72" a="1"/>
  <c r="BB73" i="72" s="1"/>
  <c r="BB80" i="72" a="1"/>
  <c r="BB80" i="72" s="1"/>
  <c r="BE33" i="72" a="1"/>
  <c r="BE33" i="72" s="1"/>
  <c r="BR66" i="72" a="1"/>
  <c r="BR66" i="72" s="1"/>
  <c r="AN33" i="72" a="1"/>
  <c r="AN33" i="72" s="1"/>
  <c r="BB44" i="72" a="1"/>
  <c r="BB44" i="72" s="1"/>
  <c r="AT66" i="72" a="1"/>
  <c r="AT66" i="72" s="1"/>
  <c r="AU65" i="69" a="1"/>
  <c r="AU65" i="69" s="1"/>
  <c r="BE73" i="72" a="1"/>
  <c r="BE73" i="72" s="1"/>
  <c r="AN54" i="72" a="1"/>
  <c r="AN54" i="72" s="1"/>
  <c r="AN84" i="72" a="1"/>
  <c r="AN84" i="72" s="1"/>
  <c r="AS33" i="72" a="1"/>
  <c r="AS33" i="72" s="1"/>
  <c r="AM50" i="72" a="1"/>
  <c r="AM50" i="72" s="1"/>
  <c r="BB35" i="72" a="1"/>
  <c r="BB35" i="72" s="1"/>
  <c r="AH54" i="72" a="1"/>
  <c r="AH54" i="72" s="1"/>
  <c r="AU84" i="72" a="1"/>
  <c r="AU84" i="72" s="1"/>
  <c r="AY35" i="72" a="1"/>
  <c r="AY35" i="72" s="1"/>
  <c r="AH35" i="72" a="1"/>
  <c r="AH35" i="72" s="1"/>
  <c r="AN35" i="72" a="1"/>
  <c r="AN35" i="72" s="1"/>
  <c r="BD33" i="72" a="1"/>
  <c r="BD33" i="72" s="1"/>
  <c r="AT46" i="72" a="1"/>
  <c r="AT46" i="72" s="1"/>
  <c r="AY76" i="72" a="1"/>
  <c r="AY76" i="72" s="1"/>
  <c r="BD76" i="72" a="1"/>
  <c r="BD76" i="72" s="1"/>
  <c r="BR46" i="72" a="1"/>
  <c r="BR46" i="72" s="1"/>
  <c r="K70" i="72" a="1"/>
  <c r="K70" i="72" s="1"/>
  <c r="AZ47" i="69" a="1"/>
  <c r="AZ47" i="69" s="1"/>
  <c r="AO47" i="69" a="1"/>
  <c r="AO47" i="69" s="1"/>
  <c r="AY92" i="72" a="1"/>
  <c r="AY92" i="72" s="1"/>
  <c r="BH101" i="4"/>
  <c r="B7" i="27"/>
  <c r="AM59" i="72" a="1"/>
  <c r="AM59" i="72" s="1"/>
  <c r="AH17" i="72" a="1"/>
  <c r="AH17" i="72" s="1"/>
  <c r="AF16" i="69" a="1"/>
  <c r="AF16" i="69" s="1"/>
  <c r="AH16" i="69" a="1"/>
  <c r="AH16" i="69" s="1"/>
  <c r="AF35" i="69" a="1"/>
  <c r="AF35" i="69" s="1"/>
  <c r="AH35" i="69" a="1"/>
  <c r="AH35" i="69" s="1"/>
  <c r="AF13" i="69" a="1"/>
  <c r="AF13" i="69" s="1"/>
  <c r="AH13" i="69" a="1"/>
  <c r="AH13" i="69" s="1"/>
  <c r="AF84" i="69" a="1"/>
  <c r="AF84" i="69" s="1"/>
  <c r="AH84" i="69" a="1"/>
  <c r="AH84" i="69" s="1"/>
  <c r="AF29" i="69" a="1"/>
  <c r="AF29" i="69" s="1"/>
  <c r="AH29" i="69" a="1"/>
  <c r="AH29" i="69" s="1"/>
  <c r="AF39" i="69" a="1"/>
  <c r="AF39" i="69" s="1"/>
  <c r="AH39" i="69" a="1"/>
  <c r="AH39" i="69" s="1"/>
  <c r="AF49" i="69" a="1"/>
  <c r="AF49" i="69" s="1"/>
  <c r="AH49" i="69" a="1"/>
  <c r="AH49" i="69" s="1"/>
  <c r="AF92" i="69" a="1"/>
  <c r="AF92" i="69" s="1"/>
  <c r="AH92" i="69" a="1"/>
  <c r="AH92" i="69" s="1"/>
  <c r="AF26" i="69" a="1"/>
  <c r="AF26" i="69" s="1"/>
  <c r="AH26" i="69" a="1"/>
  <c r="AH26" i="69" s="1"/>
  <c r="AF82" i="69" a="1"/>
  <c r="AF82" i="69" s="1"/>
  <c r="AH82" i="69" a="1"/>
  <c r="AH82" i="69" s="1"/>
  <c r="AF78" i="69" a="1"/>
  <c r="AF78" i="69" s="1"/>
  <c r="AH78" i="69" a="1"/>
  <c r="AH78" i="69" s="1"/>
  <c r="AF20" i="69" a="1"/>
  <c r="AF20" i="69" s="1"/>
  <c r="AH20" i="69" a="1"/>
  <c r="AH20" i="69" s="1"/>
  <c r="AF36" i="69" a="1"/>
  <c r="AF36" i="69" s="1"/>
  <c r="AH36" i="69" a="1"/>
  <c r="AH36" i="69" s="1"/>
  <c r="AF89" i="69" a="1"/>
  <c r="AF89" i="69" s="1"/>
  <c r="AH89" i="69" a="1"/>
  <c r="AH89" i="69" s="1"/>
  <c r="AF66" i="69" a="1"/>
  <c r="AF66" i="69" s="1"/>
  <c r="AH66" i="69" a="1"/>
  <c r="AH66" i="69" s="1"/>
  <c r="AF11" i="69" a="1"/>
  <c r="AF11" i="69" s="1"/>
  <c r="AH11" i="69" a="1"/>
  <c r="AH11" i="69" s="1"/>
  <c r="AF62" i="69" a="1"/>
  <c r="AF62" i="69" s="1"/>
  <c r="AH62" i="69" a="1"/>
  <c r="AH62" i="69" s="1"/>
  <c r="AF73" i="69" a="1"/>
  <c r="AF73" i="69" s="1"/>
  <c r="AH73" i="69" a="1"/>
  <c r="AH73" i="69" s="1"/>
  <c r="AF52" i="69" a="1"/>
  <c r="AF52" i="69" s="1"/>
  <c r="AH52" i="69" a="1"/>
  <c r="AH52" i="69" s="1"/>
  <c r="AF77" i="69" a="1"/>
  <c r="AF77" i="69" s="1"/>
  <c r="AH77" i="69" a="1"/>
  <c r="AH77" i="69" s="1"/>
  <c r="AF33" i="69" a="1"/>
  <c r="AF33" i="69" s="1"/>
  <c r="AH33" i="69" a="1"/>
  <c r="AH33" i="69" s="1"/>
  <c r="AF54" i="69" a="1"/>
  <c r="AF54" i="69" s="1"/>
  <c r="AH54" i="69" a="1"/>
  <c r="AH54" i="69" s="1"/>
  <c r="AF80" i="69" a="1"/>
  <c r="AF80" i="69" s="1"/>
  <c r="AH80" i="69" a="1"/>
  <c r="AH80" i="69" s="1"/>
  <c r="AF93" i="69" a="1"/>
  <c r="AF93" i="69" s="1"/>
  <c r="AH93" i="69" a="1"/>
  <c r="AH93" i="69" s="1"/>
  <c r="AF86" i="69" a="1"/>
  <c r="AF86" i="69" s="1"/>
  <c r="AH86" i="69" a="1"/>
  <c r="AH86" i="69" s="1"/>
  <c r="AF32" i="69" a="1"/>
  <c r="AF32" i="69" s="1"/>
  <c r="AH32" i="69" a="1"/>
  <c r="AH32" i="69" s="1"/>
  <c r="AF87" i="69" a="1"/>
  <c r="AF87" i="69" s="1"/>
  <c r="AH87" i="69" a="1"/>
  <c r="AH87" i="69" s="1"/>
  <c r="AF5" i="69" a="1"/>
  <c r="AF5" i="69" s="1"/>
  <c r="AH5" i="69" a="1"/>
  <c r="AH5" i="69" s="1"/>
  <c r="AF75" i="69" a="1"/>
  <c r="AF75" i="69" s="1"/>
  <c r="AH75" i="69" a="1"/>
  <c r="AH75" i="69" s="1"/>
  <c r="AF48" i="69" a="1"/>
  <c r="AF48" i="69" s="1"/>
  <c r="AH48" i="69" a="1"/>
  <c r="AH48" i="69" s="1"/>
  <c r="AF69" i="69" a="1"/>
  <c r="AF69" i="69" s="1"/>
  <c r="AH69" i="69" a="1"/>
  <c r="AH69" i="69" s="1"/>
  <c r="AF12" i="69" a="1"/>
  <c r="AF12" i="69" s="1"/>
  <c r="AH12" i="69" a="1"/>
  <c r="AH12" i="69" s="1"/>
  <c r="AF83" i="69" a="1"/>
  <c r="AF83" i="69" s="1"/>
  <c r="AH83" i="69" a="1"/>
  <c r="AH83" i="69" s="1"/>
  <c r="AF15" i="69" a="1"/>
  <c r="AF15" i="69" s="1"/>
  <c r="AH15" i="69" a="1"/>
  <c r="AH15" i="69" s="1"/>
  <c r="AF67" i="69" a="1"/>
  <c r="AF67" i="69" s="1"/>
  <c r="AH67" i="69" a="1"/>
  <c r="AH67" i="69" s="1"/>
  <c r="AF28" i="69" a="1"/>
  <c r="AF28" i="69" s="1"/>
  <c r="AH28" i="69" a="1"/>
  <c r="AH28" i="69" s="1"/>
  <c r="AF72" i="69" a="1"/>
  <c r="AF72" i="69" s="1"/>
  <c r="AH72" i="69" a="1"/>
  <c r="AH72" i="69" s="1"/>
  <c r="AF30" i="69" a="1"/>
  <c r="AF30" i="69" s="1"/>
  <c r="AH30" i="69" a="1"/>
  <c r="AH30" i="69" s="1"/>
  <c r="AF42" i="69" a="1"/>
  <c r="AF42" i="69" s="1"/>
  <c r="AH42" i="69" a="1"/>
  <c r="AH42" i="69" s="1"/>
  <c r="AF31" i="69" a="1"/>
  <c r="AF31" i="69" s="1"/>
  <c r="AH31" i="69" a="1"/>
  <c r="AH31" i="69" s="1"/>
  <c r="AF41" i="69" a="1"/>
  <c r="AF41" i="69" s="1"/>
  <c r="AH41" i="69" a="1"/>
  <c r="AH41" i="69" s="1"/>
  <c r="AF68" i="69" a="1"/>
  <c r="AF68" i="69" s="1"/>
  <c r="AH68" i="69" a="1"/>
  <c r="AH68" i="69" s="1"/>
  <c r="AF38" i="69" a="1"/>
  <c r="AF38" i="69" s="1"/>
  <c r="AH38" i="69" a="1"/>
  <c r="AH38" i="69" s="1"/>
  <c r="AF56" i="69" a="1"/>
  <c r="AF56" i="69" s="1"/>
  <c r="AH56" i="69" a="1"/>
  <c r="AH56" i="69" s="1"/>
  <c r="AF90" i="69" a="1"/>
  <c r="AF90" i="69" s="1"/>
  <c r="AH90" i="69" a="1"/>
  <c r="AH90" i="69" s="1"/>
  <c r="AF34" i="69" a="1"/>
  <c r="AF34" i="69" s="1"/>
  <c r="AH34" i="69" a="1"/>
  <c r="AH34" i="69" s="1"/>
  <c r="AF65" i="69" a="1"/>
  <c r="AF65" i="69" s="1"/>
  <c r="AH65" i="69" a="1"/>
  <c r="AH65" i="69" s="1"/>
  <c r="AF47" i="69" a="1"/>
  <c r="AF47" i="69" s="1"/>
  <c r="AH47" i="69" a="1"/>
  <c r="AH47" i="69" s="1"/>
  <c r="AF64" i="69" a="1"/>
  <c r="AF64" i="69" s="1"/>
  <c r="AH64" i="69" a="1"/>
  <c r="AH64" i="69" s="1"/>
  <c r="AF88" i="69" a="1"/>
  <c r="AF88" i="69" s="1"/>
  <c r="AH88" i="69" a="1"/>
  <c r="AH88" i="69" s="1"/>
  <c r="AF59" i="69" a="1"/>
  <c r="AF59" i="69" s="1"/>
  <c r="AH59" i="69" a="1"/>
  <c r="AH59" i="69" s="1"/>
  <c r="AF14" i="69" a="1"/>
  <c r="AF14" i="69" s="1"/>
  <c r="AH14" i="69" a="1"/>
  <c r="AH14" i="69" s="1"/>
  <c r="AF53" i="69" a="1"/>
  <c r="AF53" i="69" s="1"/>
  <c r="AH53" i="69" a="1"/>
  <c r="AH53" i="69" s="1"/>
  <c r="AF19" i="69" a="1"/>
  <c r="AF19" i="69" s="1"/>
  <c r="AH19" i="69" a="1"/>
  <c r="AH19" i="69" s="1"/>
  <c r="AF51" i="69" a="1"/>
  <c r="AF51" i="69" s="1"/>
  <c r="AH51" i="69" a="1"/>
  <c r="AH51" i="69" s="1"/>
  <c r="AF18" i="69" a="1"/>
  <c r="AF18" i="69" s="1"/>
  <c r="AH18" i="69" a="1"/>
  <c r="AH18" i="69" s="1"/>
  <c r="AF81" i="69" a="1"/>
  <c r="AF81" i="69" s="1"/>
  <c r="AH81" i="69" a="1"/>
  <c r="AH81" i="69" s="1"/>
  <c r="AF24" i="69" a="1"/>
  <c r="AF24" i="69" s="1"/>
  <c r="AH24" i="69" a="1"/>
  <c r="AH24" i="69" s="1"/>
  <c r="AF40" i="69" a="1"/>
  <c r="AF40" i="69" s="1"/>
  <c r="AH40" i="69" a="1"/>
  <c r="AH40" i="69" s="1"/>
  <c r="AF45" i="69" a="1"/>
  <c r="AF45" i="69" s="1"/>
  <c r="AH45" i="69" a="1"/>
  <c r="AH45" i="69" s="1"/>
  <c r="AF37" i="69" a="1"/>
  <c r="AF37" i="69" s="1"/>
  <c r="AH37" i="69" a="1"/>
  <c r="AH37" i="69" s="1"/>
  <c r="AF17" i="69" a="1"/>
  <c r="AF17" i="69" s="1"/>
  <c r="AH17" i="69" a="1"/>
  <c r="AH17" i="69" s="1"/>
  <c r="AF74" i="69" a="1"/>
  <c r="AF74" i="69" s="1"/>
  <c r="AH74" i="69" a="1"/>
  <c r="AH74" i="69" s="1"/>
  <c r="AF25" i="69" a="1"/>
  <c r="AF25" i="69" s="1"/>
  <c r="AH25" i="69" a="1"/>
  <c r="AH25" i="69" s="1"/>
  <c r="AF71" i="69" a="1"/>
  <c r="AF71" i="69" s="1"/>
  <c r="AH71" i="69" a="1"/>
  <c r="AH71" i="69" s="1"/>
  <c r="AF44" i="69" a="1"/>
  <c r="AF44" i="69" s="1"/>
  <c r="AH44" i="69" a="1"/>
  <c r="AH44" i="69" s="1"/>
  <c r="AF6" i="69" a="1"/>
  <c r="AF6" i="69" s="1"/>
  <c r="AH6" i="69" a="1"/>
  <c r="AH6" i="69" s="1"/>
  <c r="AF22" i="69" a="1"/>
  <c r="AF22" i="69" s="1"/>
  <c r="AH22" i="69" a="1"/>
  <c r="AH22" i="69" s="1"/>
  <c r="AF27" i="69" a="1"/>
  <c r="AF27" i="69" s="1"/>
  <c r="AH27" i="69" a="1"/>
  <c r="AH27" i="69" s="1"/>
  <c r="AF85" i="69" a="1"/>
  <c r="AF85" i="69" s="1"/>
  <c r="AH85" i="69" a="1"/>
  <c r="AH85" i="69" s="1"/>
  <c r="AF7" i="69" a="1"/>
  <c r="AF7" i="69" s="1"/>
  <c r="AH7" i="69" a="1"/>
  <c r="AH7" i="69" s="1"/>
  <c r="AF79" i="69" a="1"/>
  <c r="AF79" i="69" s="1"/>
  <c r="AH79" i="69" a="1"/>
  <c r="AH79" i="69" s="1"/>
  <c r="AF46" i="69" a="1"/>
  <c r="AF46" i="69" s="1"/>
  <c r="AH46" i="69" a="1"/>
  <c r="AH46" i="69" s="1"/>
  <c r="AF43" i="69" a="1"/>
  <c r="AF43" i="69" s="1"/>
  <c r="AH43" i="69" a="1"/>
  <c r="AH43" i="69" s="1"/>
  <c r="AF91" i="69" a="1"/>
  <c r="AF91" i="69" s="1"/>
  <c r="AH91" i="69" a="1"/>
  <c r="AH91" i="69" s="1"/>
  <c r="AF63" i="69" a="1"/>
  <c r="AF63" i="69" s="1"/>
  <c r="AH63" i="69" a="1"/>
  <c r="AH63" i="69" s="1"/>
  <c r="AF70" i="69" a="1"/>
  <c r="AF70" i="69" s="1"/>
  <c r="AH70" i="69" a="1"/>
  <c r="AH70" i="69" s="1"/>
  <c r="AF8" i="69" a="1"/>
  <c r="AF8" i="69" s="1"/>
  <c r="AH8" i="69" a="1"/>
  <c r="AH8" i="69" s="1"/>
  <c r="AF57" i="69" a="1"/>
  <c r="AF57" i="69" s="1"/>
  <c r="AH57" i="69" a="1"/>
  <c r="AH57" i="69" s="1"/>
  <c r="AF50" i="69" a="1"/>
  <c r="AF50" i="69" s="1"/>
  <c r="AH50" i="69" a="1"/>
  <c r="AH50" i="69" s="1"/>
  <c r="AF76" i="69" a="1"/>
  <c r="AF76" i="69" s="1"/>
  <c r="AH76" i="69" a="1"/>
  <c r="AH76" i="69" s="1"/>
  <c r="AU35" i="72" a="1"/>
  <c r="AU35" i="72" s="1"/>
  <c r="AF21" i="69" a="1"/>
  <c r="AF21" i="69" s="1"/>
  <c r="AH21" i="69" a="1"/>
  <c r="AH21" i="69" s="1"/>
  <c r="AF61" i="69" a="1"/>
  <c r="AF61" i="69" s="1"/>
  <c r="AH61" i="69" a="1"/>
  <c r="AH61" i="69" s="1"/>
  <c r="BE46" i="72" a="1"/>
  <c r="BE46" i="72" s="1"/>
  <c r="BE80" i="72" a="1"/>
  <c r="BE80" i="72" s="1"/>
  <c r="AX89" i="69" a="1"/>
  <c r="AX89" i="69" s="1"/>
  <c r="AT87" i="69" a="1"/>
  <c r="AT87" i="69" s="1"/>
  <c r="AU14" i="69" a="1"/>
  <c r="AU14" i="69" s="1"/>
  <c r="BB84" i="72" a="1"/>
  <c r="BB84" i="72" s="1"/>
  <c r="AU33" i="72" a="1"/>
  <c r="AU33" i="72" s="1"/>
  <c r="AT15" i="69" a="1"/>
  <c r="AT15" i="69" s="1"/>
  <c r="AT67" i="69" a="1"/>
  <c r="AT67" i="69" s="1"/>
  <c r="AY44" i="72" a="1"/>
  <c r="AY44" i="72" s="1"/>
  <c r="BD44" i="72" a="1"/>
  <c r="BD44" i="72" s="1"/>
  <c r="AO59" i="69" a="1"/>
  <c r="AO59" i="69" s="1"/>
  <c r="BO60" i="72"/>
  <c r="AT8" i="69" a="1"/>
  <c r="AT8" i="69" s="1"/>
  <c r="AY33" i="72" a="1"/>
  <c r="AY33" i="72" s="1"/>
  <c r="BE54" i="72" a="1"/>
  <c r="BE54" i="72" s="1"/>
  <c r="BA36" i="69" a="1"/>
  <c r="BA36" i="69" s="1"/>
  <c r="AS80" i="72" a="1"/>
  <c r="AS80" i="72" s="1"/>
  <c r="AU67" i="69" a="1"/>
  <c r="AU67" i="69" s="1"/>
  <c r="AI27" i="69" a="1"/>
  <c r="AI27" i="69" s="1"/>
  <c r="AI85" i="69" a="1"/>
  <c r="AI85" i="69" s="1"/>
  <c r="AI51" i="69" a="1"/>
  <c r="AI51" i="69" s="1"/>
  <c r="AI18" i="69" a="1"/>
  <c r="AI18" i="69" s="1"/>
  <c r="AI46" i="69" a="1"/>
  <c r="AI46" i="69" s="1"/>
  <c r="AI61" i="69" a="1"/>
  <c r="AI61" i="69" s="1"/>
  <c r="AI6" i="69" a="1"/>
  <c r="AI6" i="69" s="1"/>
  <c r="AY21" i="72" a="1"/>
  <c r="AY21" i="72" s="1"/>
  <c r="AI13" i="69" a="1"/>
  <c r="AI13" i="69" s="1"/>
  <c r="AI92" i="69" a="1"/>
  <c r="AI92" i="69" s="1"/>
  <c r="AI43" i="69" a="1"/>
  <c r="AI43" i="69" s="1"/>
  <c r="AI91" i="69" a="1"/>
  <c r="AI91" i="69" s="1"/>
  <c r="AI63" i="69" a="1"/>
  <c r="AI63" i="69" s="1"/>
  <c r="AU89" i="69" a="1"/>
  <c r="AU89" i="69" s="1"/>
  <c r="AI66" i="69" a="1"/>
  <c r="AI66" i="69" s="1"/>
  <c r="AI76" i="69" a="1"/>
  <c r="AI76" i="69" s="1"/>
  <c r="AI86" i="69" a="1"/>
  <c r="AI86" i="69" s="1"/>
  <c r="AI5" i="69" a="1"/>
  <c r="AI5" i="69" s="1"/>
  <c r="AI75" i="69" a="1"/>
  <c r="AI75" i="69" s="1"/>
  <c r="AI69" i="69" a="1"/>
  <c r="AI69" i="69" s="1"/>
  <c r="AI16" i="69" a="1"/>
  <c r="AI16" i="69" s="1"/>
  <c r="AI12" i="69" a="1"/>
  <c r="AI12" i="69" s="1"/>
  <c r="AI15" i="69" a="1"/>
  <c r="AI15" i="69" s="1"/>
  <c r="AI28" i="69" a="1"/>
  <c r="AI28" i="69" s="1"/>
  <c r="AI82" i="69" a="1"/>
  <c r="AI82" i="69" s="1"/>
  <c r="AI73" i="69" a="1"/>
  <c r="AI73" i="69" s="1"/>
  <c r="AI77" i="69" a="1"/>
  <c r="AI77" i="69" s="1"/>
  <c r="AI90" i="69" a="1"/>
  <c r="AI90" i="69" s="1"/>
  <c r="AX65" i="69" a="1"/>
  <c r="AX65" i="69" s="1"/>
  <c r="AI88" i="69" a="1"/>
  <c r="AI88" i="69" s="1"/>
  <c r="AI53" i="69" a="1"/>
  <c r="AI53" i="69" s="1"/>
  <c r="AI81" i="69" a="1"/>
  <c r="AI81" i="69" s="1"/>
  <c r="AI24" i="69" a="1"/>
  <c r="AI24" i="69" s="1"/>
  <c r="AI40" i="69" a="1"/>
  <c r="AI40" i="69" s="1"/>
  <c r="AI38" i="69" a="1"/>
  <c r="AI38" i="69" s="1"/>
  <c r="AI17" i="69" a="1"/>
  <c r="AI17" i="69" s="1"/>
  <c r="AZ65" i="69" a="1"/>
  <c r="AZ65" i="69" s="1"/>
  <c r="BB17" i="72" a="1"/>
  <c r="BB17" i="72" s="1"/>
  <c r="AV52" i="69" a="1"/>
  <c r="AV52" i="69" s="1"/>
  <c r="BB53" i="72" a="1"/>
  <c r="BB53" i="72" s="1"/>
  <c r="BD46" i="72" a="1"/>
  <c r="BD46" i="72" s="1"/>
  <c r="AU76" i="72" a="1"/>
  <c r="AU76" i="72" s="1"/>
  <c r="AN76" i="72" a="1"/>
  <c r="AN76" i="72" s="1"/>
  <c r="AS46" i="72" a="1"/>
  <c r="AS46" i="72" s="1"/>
  <c r="AI56" i="69" a="1"/>
  <c r="AI56" i="69" s="1"/>
  <c r="AI54" i="69" a="1"/>
  <c r="AI54" i="69" s="1"/>
  <c r="AI45" i="69" a="1"/>
  <c r="AI45" i="69" s="1"/>
  <c r="AI80" i="69" a="1"/>
  <c r="AI80" i="69" s="1"/>
  <c r="AI74" i="69" a="1"/>
  <c r="AI74" i="69" s="1"/>
  <c r="AI25" i="69" a="1"/>
  <c r="AI25" i="69" s="1"/>
  <c r="AI71" i="69" a="1"/>
  <c r="AI71" i="69" s="1"/>
  <c r="AI7" i="69" a="1"/>
  <c r="AI7" i="69" s="1"/>
  <c r="AI79" i="69" a="1"/>
  <c r="AI79" i="69" s="1"/>
  <c r="AI44" i="69" a="1"/>
  <c r="AI44" i="69" s="1"/>
  <c r="AI70" i="69" a="1"/>
  <c r="AI70" i="69" s="1"/>
  <c r="AI8" i="69" a="1"/>
  <c r="AI8" i="69" s="1"/>
  <c r="AI57" i="69" a="1"/>
  <c r="AI57" i="69" s="1"/>
  <c r="AI50" i="69" a="1"/>
  <c r="AI50" i="69" s="1"/>
  <c r="AI21" i="69" a="1"/>
  <c r="AI21" i="69" s="1"/>
  <c r="AI84" i="69" a="1"/>
  <c r="AI84" i="69" s="1"/>
  <c r="AI29" i="69" a="1"/>
  <c r="AI29" i="69" s="1"/>
  <c r="AI39" i="69" a="1"/>
  <c r="AI39" i="69" s="1"/>
  <c r="AI49" i="69" a="1"/>
  <c r="AI49" i="69" s="1"/>
  <c r="AI26" i="69" a="1"/>
  <c r="AI26" i="69" s="1"/>
  <c r="AI20" i="69" a="1"/>
  <c r="AI20" i="69" s="1"/>
  <c r="AQ36" i="69" a="1"/>
  <c r="AQ36" i="69" s="1"/>
  <c r="AI36" i="69" a="1"/>
  <c r="AI36" i="69" s="1"/>
  <c r="AI89" i="69" a="1"/>
  <c r="AI89" i="69" s="1"/>
  <c r="AI11" i="69" a="1"/>
  <c r="AI11" i="69" s="1"/>
  <c r="AI62" i="69" a="1"/>
  <c r="AI62" i="69" s="1"/>
  <c r="AI35" i="69" a="1"/>
  <c r="AI35" i="69" s="1"/>
  <c r="AI93" i="69" a="1"/>
  <c r="AI93" i="69" s="1"/>
  <c r="AI32" i="69" a="1"/>
  <c r="AI32" i="69" s="1"/>
  <c r="AI87" i="69" a="1"/>
  <c r="AI87" i="69" s="1"/>
  <c r="AI48" i="69" a="1"/>
  <c r="AI48" i="69" s="1"/>
  <c r="AI78" i="69" a="1"/>
  <c r="AI78" i="69" s="1"/>
  <c r="AI83" i="69" a="1"/>
  <c r="AI83" i="69" s="1"/>
  <c r="AI67" i="69" a="1"/>
  <c r="AI67" i="69" s="1"/>
  <c r="AI72" i="69" a="1"/>
  <c r="AI72" i="69" s="1"/>
  <c r="AI30" i="69" a="1"/>
  <c r="AI30" i="69" s="1"/>
  <c r="AI42" i="69" a="1"/>
  <c r="AI42" i="69" s="1"/>
  <c r="AI52" i="69" a="1"/>
  <c r="AI52" i="69" s="1"/>
  <c r="AI33" i="69" a="1"/>
  <c r="AI33" i="69" s="1"/>
  <c r="AI37" i="69" a="1"/>
  <c r="AI37" i="69" s="1"/>
  <c r="AI41" i="69" a="1"/>
  <c r="AI41" i="69" s="1"/>
  <c r="AI68" i="69" a="1"/>
  <c r="AI68" i="69" s="1"/>
  <c r="AI22" i="69" a="1"/>
  <c r="AI22" i="69" s="1"/>
  <c r="AI34" i="69" a="1"/>
  <c r="AI34" i="69" s="1"/>
  <c r="AI65" i="69" a="1"/>
  <c r="AI65" i="69" s="1"/>
  <c r="AI47" i="69" a="1"/>
  <c r="AI47" i="69" s="1"/>
  <c r="AI64" i="69" a="1"/>
  <c r="AI64" i="69" s="1"/>
  <c r="AI31" i="69" a="1"/>
  <c r="AI31" i="69" s="1"/>
  <c r="AI59" i="69" a="1"/>
  <c r="AI59" i="69" s="1"/>
  <c r="AI14" i="69" a="1"/>
  <c r="AI14" i="69" s="1"/>
  <c r="AI19" i="69" a="1"/>
  <c r="AI19" i="69" s="1"/>
  <c r="AN65" i="72" a="1"/>
  <c r="AN65" i="72" s="1"/>
  <c r="BD65" i="72" a="1"/>
  <c r="BD65" i="72" s="1"/>
  <c r="AN53" i="72" a="1"/>
  <c r="AN53" i="72" s="1"/>
  <c r="BE65" i="72" a="1"/>
  <c r="BE65" i="72" s="1"/>
  <c r="AU17" i="72" a="1"/>
  <c r="AU17" i="72" s="1"/>
  <c r="AG89" i="69" a="1"/>
  <c r="AG89" i="69" s="1"/>
  <c r="AU36" i="69" a="1"/>
  <c r="AU36" i="69" s="1"/>
  <c r="AH80" i="72" a="1"/>
  <c r="AH80" i="72" s="1"/>
  <c r="AZ89" i="69" a="1"/>
  <c r="AZ89" i="69" s="1"/>
  <c r="AK73" i="69" a="1"/>
  <c r="AK73" i="69" s="1"/>
  <c r="AK77" i="69" a="1"/>
  <c r="AK77" i="69" s="1"/>
  <c r="AK90" i="69" a="1"/>
  <c r="AK90" i="69" s="1"/>
  <c r="AK88" i="69" a="1"/>
  <c r="AK88" i="69" s="1"/>
  <c r="AK53" i="69" a="1"/>
  <c r="AK53" i="69" s="1"/>
  <c r="AK81" i="69" a="1"/>
  <c r="AK81" i="69" s="1"/>
  <c r="AK24" i="69" a="1"/>
  <c r="AK24" i="69" s="1"/>
  <c r="AK40" i="69" a="1"/>
  <c r="AK40" i="69" s="1"/>
  <c r="AK38" i="69" a="1"/>
  <c r="AK38" i="69" s="1"/>
  <c r="AK17" i="69" a="1"/>
  <c r="AK17" i="69" s="1"/>
  <c r="AK51" i="69" a="1"/>
  <c r="AK51" i="69" s="1"/>
  <c r="AK27" i="69" a="1"/>
  <c r="AK27" i="69" s="1"/>
  <c r="AK85" i="69" a="1"/>
  <c r="AK85" i="69" s="1"/>
  <c r="AK46" i="69" a="1"/>
  <c r="AK46" i="69" s="1"/>
  <c r="AK18" i="69" a="1"/>
  <c r="AK18" i="69" s="1"/>
  <c r="AK61" i="69" a="1"/>
  <c r="AK61" i="69" s="1"/>
  <c r="AK91" i="69" a="1"/>
  <c r="AK91" i="69" s="1"/>
  <c r="AK6" i="69" a="1"/>
  <c r="AK6" i="69" s="1"/>
  <c r="AK13" i="69" a="1"/>
  <c r="AK13" i="69" s="1"/>
  <c r="AK92" i="69" a="1"/>
  <c r="AK92" i="69" s="1"/>
  <c r="AK43" i="69" a="1"/>
  <c r="AK43" i="69" s="1"/>
  <c r="AK76" i="69" a="1"/>
  <c r="AK76" i="69" s="1"/>
  <c r="AK63" i="69" a="1"/>
  <c r="AK63" i="69" s="1"/>
  <c r="AX36" i="69" a="1"/>
  <c r="AX36" i="69" s="1"/>
  <c r="AK66" i="69" a="1"/>
  <c r="AK66" i="69" s="1"/>
  <c r="AK16" i="69" a="1"/>
  <c r="AK16" i="69" s="1"/>
  <c r="AK86" i="69" a="1"/>
  <c r="AK86" i="69" s="1"/>
  <c r="AU5" i="69" a="1"/>
  <c r="AU5" i="69" s="1"/>
  <c r="AZ75" i="69" a="1"/>
  <c r="AZ75" i="69" s="1"/>
  <c r="AK69" i="69" a="1"/>
  <c r="AK69" i="69" s="1"/>
  <c r="AK12" i="69" a="1"/>
  <c r="AK12" i="69" s="1"/>
  <c r="AK15" i="69" a="1"/>
  <c r="AK15" i="69" s="1"/>
  <c r="AK28" i="69" a="1"/>
  <c r="AK28" i="69" s="1"/>
  <c r="AK82" i="69" a="1"/>
  <c r="AK82" i="69" s="1"/>
  <c r="AH21" i="72" a="1"/>
  <c r="AH21" i="72" s="1"/>
  <c r="AS73" i="72" a="1"/>
  <c r="AS73" i="72" s="1"/>
  <c r="AX75" i="69" a="1"/>
  <c r="AX75" i="69" s="1"/>
  <c r="AK31" i="69" a="1"/>
  <c r="AK31" i="69" s="1"/>
  <c r="AK22" i="69" a="1"/>
  <c r="AK22" i="69" s="1"/>
  <c r="AZ83" i="69" a="1"/>
  <c r="AZ83" i="69" s="1"/>
  <c r="AK83" i="69" a="1"/>
  <c r="AK83" i="69" s="1"/>
  <c r="AK67" i="69" a="1"/>
  <c r="AK67" i="69" s="1"/>
  <c r="AK72" i="69" a="1"/>
  <c r="AK72" i="69" s="1"/>
  <c r="AK30" i="69" a="1"/>
  <c r="AK30" i="69" s="1"/>
  <c r="AK42" i="69" a="1"/>
  <c r="AK42" i="69" s="1"/>
  <c r="AK41" i="69" a="1"/>
  <c r="AK41" i="69" s="1"/>
  <c r="AK68" i="69" a="1"/>
  <c r="AK68" i="69" s="1"/>
  <c r="AK54" i="69" a="1"/>
  <c r="AK54" i="69" s="1"/>
  <c r="AK34" i="69" a="1"/>
  <c r="AK34" i="69" s="1"/>
  <c r="AK65" i="69" a="1"/>
  <c r="AK65" i="69" s="1"/>
  <c r="AK47" i="69" a="1"/>
  <c r="AK47" i="69" s="1"/>
  <c r="AK64" i="69" a="1"/>
  <c r="AK64" i="69" s="1"/>
  <c r="BN52" i="69" a="1"/>
  <c r="BN52" i="69" s="1"/>
  <c r="AK52" i="69" a="1"/>
  <c r="AK52" i="69" s="1"/>
  <c r="AK80" i="69" a="1"/>
  <c r="AK80" i="69" s="1"/>
  <c r="AK59" i="69" a="1"/>
  <c r="AK59" i="69" s="1"/>
  <c r="AO14" i="69" a="1"/>
  <c r="AO14" i="69" s="1"/>
  <c r="AK14" i="69" a="1"/>
  <c r="AK14" i="69" s="1"/>
  <c r="AK19" i="69" a="1"/>
  <c r="AK19" i="69" s="1"/>
  <c r="AK45" i="69" a="1"/>
  <c r="AK45" i="69" s="1"/>
  <c r="AT35" i="69" a="1"/>
  <c r="AT35" i="69" s="1"/>
  <c r="AK35" i="69" a="1"/>
  <c r="AK35" i="69" s="1"/>
  <c r="AK74" i="69" a="1"/>
  <c r="AK74" i="69" s="1"/>
  <c r="AK25" i="69" a="1"/>
  <c r="AK25" i="69" s="1"/>
  <c r="AK71" i="69" a="1"/>
  <c r="AK71" i="69" s="1"/>
  <c r="AK78" i="69" a="1"/>
  <c r="AK78" i="69" s="1"/>
  <c r="AK7" i="69" a="1"/>
  <c r="AK7" i="69" s="1"/>
  <c r="AK70" i="69" a="1"/>
  <c r="AK70" i="69" s="1"/>
  <c r="AK8" i="69" a="1"/>
  <c r="AK8" i="69" s="1"/>
  <c r="AO57" i="69" a="1"/>
  <c r="AO57" i="69" s="1"/>
  <c r="AK57" i="69" a="1"/>
  <c r="AK57" i="69" s="1"/>
  <c r="AZ50" i="69" a="1"/>
  <c r="AZ50" i="69" s="1"/>
  <c r="AK50" i="69" a="1"/>
  <c r="AK50" i="69" s="1"/>
  <c r="AK79" i="69" a="1"/>
  <c r="AK79" i="69" s="1"/>
  <c r="AK21" i="69" a="1"/>
  <c r="AK21" i="69" s="1"/>
  <c r="AK33" i="69" a="1"/>
  <c r="AK33" i="69" s="1"/>
  <c r="AX84" i="69" a="1"/>
  <c r="AX84" i="69" s="1"/>
  <c r="AK84" i="69" a="1"/>
  <c r="AK84" i="69" s="1"/>
  <c r="AO29" i="69" a="1"/>
  <c r="AO29" i="69" s="1"/>
  <c r="AK29" i="69" a="1"/>
  <c r="AK29" i="69" s="1"/>
  <c r="AZ39" i="69" a="1"/>
  <c r="AZ39" i="69" s="1"/>
  <c r="AK39" i="69" a="1"/>
  <c r="AK39" i="69" s="1"/>
  <c r="AX49" i="69" a="1"/>
  <c r="AX49" i="69" s="1"/>
  <c r="AK49" i="69" a="1"/>
  <c r="AK49" i="69" s="1"/>
  <c r="AK26" i="69" a="1"/>
  <c r="AK26" i="69" s="1"/>
  <c r="AK44" i="69" a="1"/>
  <c r="AK44" i="69" s="1"/>
  <c r="AK20" i="69" a="1"/>
  <c r="AK20" i="69" s="1"/>
  <c r="AK36" i="69" a="1"/>
  <c r="AK36" i="69" s="1"/>
  <c r="BA89" i="69" a="1"/>
  <c r="BA89" i="69" s="1"/>
  <c r="AK89" i="69" a="1"/>
  <c r="AK89" i="69" s="1"/>
  <c r="AK11" i="69" a="1"/>
  <c r="AK11" i="69" s="1"/>
  <c r="AK62" i="69" a="1"/>
  <c r="AK62" i="69" s="1"/>
  <c r="AK56" i="69" a="1"/>
  <c r="AK56" i="69" s="1"/>
  <c r="AK37" i="69" a="1"/>
  <c r="AK37" i="69" s="1"/>
  <c r="AK93" i="69" a="1"/>
  <c r="AK93" i="69" s="1"/>
  <c r="AU32" i="69" a="1"/>
  <c r="AU32" i="69" s="1"/>
  <c r="AK32" i="69" a="1"/>
  <c r="AK32" i="69" s="1"/>
  <c r="AU87" i="69" a="1"/>
  <c r="AU87" i="69" s="1"/>
  <c r="AK87" i="69" a="1"/>
  <c r="AK87" i="69" s="1"/>
  <c r="AQ5" i="69" a="1"/>
  <c r="AQ5" i="69" s="1"/>
  <c r="AK5" i="69" a="1"/>
  <c r="AK5" i="69" s="1"/>
  <c r="AU75" i="69" a="1"/>
  <c r="AU75" i="69" s="1"/>
  <c r="AK75" i="69" a="1"/>
  <c r="AK75" i="69" s="1"/>
  <c r="AK48" i="69" a="1"/>
  <c r="AK48" i="69" s="1"/>
  <c r="AH73" i="72" a="1"/>
  <c r="AH73" i="72" s="1"/>
  <c r="AN21" i="72" a="1"/>
  <c r="AN21" i="72" s="1"/>
  <c r="AX5" i="69" a="1"/>
  <c r="AX5" i="69" s="1"/>
  <c r="AS81" i="72" a="1"/>
  <c r="AS81" i="72" s="1"/>
  <c r="AQ89" i="69" a="1"/>
  <c r="AQ89" i="69" s="1"/>
  <c r="BD80" i="72" a="1"/>
  <c r="BD80" i="72" s="1"/>
  <c r="AO65" i="69" a="1"/>
  <c r="AO65" i="69" s="1"/>
  <c r="AX29" i="69" a="1"/>
  <c r="AX29" i="69" s="1"/>
  <c r="BE21" i="72" a="1"/>
  <c r="BE21" i="72" s="1"/>
  <c r="BB65" i="72" a="1"/>
  <c r="BB65" i="72" s="1"/>
  <c r="AZ59" i="69" a="1"/>
  <c r="AZ59" i="69" s="1"/>
  <c r="AQ49" i="69" a="1"/>
  <c r="AQ49" i="69" s="1"/>
  <c r="BE76" i="72" a="1"/>
  <c r="BE76" i="72" s="1"/>
  <c r="AT83" i="69" a="1"/>
  <c r="AT83" i="69" s="1"/>
  <c r="AZ46" i="72" a="1"/>
  <c r="AZ46" i="72" s="1"/>
  <c r="BA67" i="69" a="1"/>
  <c r="BA67" i="69" s="1"/>
  <c r="AX39" i="69" a="1"/>
  <c r="AX39" i="69" s="1"/>
  <c r="BA49" i="69" a="1"/>
  <c r="BA49" i="69" s="1"/>
  <c r="AU80" i="72" a="1"/>
  <c r="AU80" i="72" s="1"/>
  <c r="AU46" i="72" a="1"/>
  <c r="AU46" i="72" s="1"/>
  <c r="BN37" i="69" a="1"/>
  <c r="BN37" i="69" s="1"/>
  <c r="BD21" i="72" a="1"/>
  <c r="BD21" i="72" s="1"/>
  <c r="AY17" i="72" a="1"/>
  <c r="AY17" i="72" s="1"/>
  <c r="BA65" i="69" a="1"/>
  <c r="BA65" i="69" s="1"/>
  <c r="AQ39" i="69" a="1"/>
  <c r="AQ39" i="69" s="1"/>
  <c r="AQ47" i="69" a="1"/>
  <c r="AQ47" i="69" s="1"/>
  <c r="AP65" i="69" a="1"/>
  <c r="AP65" i="69" s="1"/>
  <c r="AY53" i="72" a="1"/>
  <c r="AY53" i="72" s="1"/>
  <c r="AX14" i="69" a="1"/>
  <c r="AX14" i="69" s="1"/>
  <c r="AU50" i="69" a="1"/>
  <c r="AU50" i="69" s="1"/>
  <c r="BA59" i="69" a="1"/>
  <c r="BA59" i="69" s="1"/>
  <c r="AQ59" i="69" a="1"/>
  <c r="AQ59" i="69" s="1"/>
  <c r="AQ14" i="69" a="1"/>
  <c r="AQ14" i="69" s="1"/>
  <c r="AM40" i="72" a="1"/>
  <c r="AM40" i="72" s="1"/>
  <c r="BD81" i="72" a="1"/>
  <c r="BD81" i="72" s="1"/>
  <c r="AS21" i="72" a="1"/>
  <c r="AS21" i="72" s="1"/>
  <c r="BD73" i="72" a="1"/>
  <c r="BD73" i="72" s="1"/>
  <c r="AU92" i="72" a="1"/>
  <c r="AU92" i="72" s="1"/>
  <c r="D60" i="69" a="1"/>
  <c r="D60" i="69" s="1"/>
  <c r="AU59" i="69" a="1"/>
  <c r="AU59" i="69" s="1"/>
  <c r="BB33" i="72" a="1"/>
  <c r="BB33" i="72" s="1"/>
  <c r="AO75" i="69" a="1"/>
  <c r="AO75" i="69" s="1"/>
  <c r="BA87" i="69" a="1"/>
  <c r="BA87" i="69" s="1"/>
  <c r="AN86" i="72" a="1"/>
  <c r="AN86" i="72" s="1"/>
  <c r="AU5" i="72" a="1"/>
  <c r="AU5" i="72" s="1"/>
  <c r="AN66" i="69" a="1"/>
  <c r="AN66" i="69" s="1"/>
  <c r="BB86" i="72" a="1"/>
  <c r="BB86" i="72" s="1"/>
  <c r="AU81" i="72" a="1"/>
  <c r="AU81" i="72" s="1"/>
  <c r="BA50" i="69" a="1"/>
  <c r="BA50" i="69" s="1"/>
  <c r="AZ67" i="69" a="1"/>
  <c r="AZ67" i="69" s="1"/>
  <c r="AX83" i="69" a="1"/>
  <c r="AX83" i="69" s="1"/>
  <c r="AQ67" i="69" a="1"/>
  <c r="AQ67" i="69" s="1"/>
  <c r="AX67" i="69" a="1"/>
  <c r="AX67" i="69" s="1"/>
  <c r="BD66" i="72" a="1"/>
  <c r="BD66" i="72" s="1"/>
  <c r="AU21" i="72" a="1"/>
  <c r="AU21" i="72" s="1"/>
  <c r="AO83" i="69" a="1"/>
  <c r="AO83" i="69" s="1"/>
  <c r="AW70" i="69" a="1"/>
  <c r="AW70" i="69" s="1"/>
  <c r="BB82" i="72" a="1"/>
  <c r="BB82" i="72" s="1"/>
  <c r="AH46" i="72" a="1"/>
  <c r="AH46" i="72" s="1"/>
  <c r="AQ50" i="69" a="1"/>
  <c r="AQ50" i="69" s="1"/>
  <c r="AN46" i="72" a="1"/>
  <c r="AN46" i="72" s="1"/>
  <c r="BB81" i="72" a="1"/>
  <c r="BB81" i="72" s="1"/>
  <c r="AX59" i="69" a="1"/>
  <c r="AX59" i="69" s="1"/>
  <c r="BB46" i="72" a="1"/>
  <c r="BB46" i="72" s="1"/>
  <c r="AT7" i="72" a="1"/>
  <c r="AT7" i="72" s="1"/>
  <c r="AN81" i="72" a="1"/>
  <c r="AN81" i="72" s="1"/>
  <c r="AY46" i="72" a="1"/>
  <c r="AY46" i="72" s="1"/>
  <c r="AN66" i="72" a="1"/>
  <c r="AN66" i="72" s="1"/>
  <c r="AQ32" i="69" a="1"/>
  <c r="AQ32" i="69" s="1"/>
  <c r="AZ5" i="69" a="1"/>
  <c r="AZ5" i="69" s="1"/>
  <c r="AZ74" i="69" a="1"/>
  <c r="AZ74" i="69" s="1"/>
  <c r="AP52" i="69" a="1"/>
  <c r="AP52" i="69" s="1"/>
  <c r="BA37" i="72" a="1"/>
  <c r="BA37" i="72" s="1"/>
  <c r="AV34" i="69" a="1"/>
  <c r="AV34" i="69" s="1"/>
  <c r="AP54" i="69" a="1"/>
  <c r="AP54" i="69" s="1"/>
  <c r="AY65" i="72" a="1"/>
  <c r="AY65" i="72" s="1"/>
  <c r="AN17" i="72" a="1"/>
  <c r="AN17" i="72" s="1"/>
  <c r="BD53" i="72" a="1"/>
  <c r="BD53" i="72" s="1"/>
  <c r="AU65" i="72" a="1"/>
  <c r="AU65" i="72" s="1"/>
  <c r="BE53" i="72" a="1"/>
  <c r="BE53" i="72" s="1"/>
  <c r="AS17" i="72" a="1"/>
  <c r="AS17" i="72" s="1"/>
  <c r="AH53" i="72" a="1"/>
  <c r="AH53" i="72" s="1"/>
  <c r="AZ57" i="69" a="1"/>
  <c r="AZ57" i="69" s="1"/>
  <c r="AO32" i="69" a="1"/>
  <c r="AO32" i="69" s="1"/>
  <c r="BA62" i="72" a="1"/>
  <c r="BA62" i="72" s="1"/>
  <c r="AX87" i="69" a="1"/>
  <c r="AX87" i="69" s="1"/>
  <c r="AM84" i="72" a="1"/>
  <c r="AM84" i="72" s="1"/>
  <c r="AH65" i="72" a="1"/>
  <c r="AH65" i="72" s="1"/>
  <c r="AQ57" i="69" a="1"/>
  <c r="AQ57" i="69" s="1"/>
  <c r="AS65" i="72" a="1"/>
  <c r="AS65" i="72" s="1"/>
  <c r="BD17" i="72" a="1"/>
  <c r="BD17" i="72" s="1"/>
  <c r="AU66" i="72" a="1"/>
  <c r="AU66" i="72" s="1"/>
  <c r="BB92" i="72" a="1"/>
  <c r="BB92" i="72" s="1"/>
  <c r="AX47" i="69" a="1"/>
  <c r="AX47" i="69" s="1"/>
  <c r="AT74" i="69" a="1"/>
  <c r="AT74" i="69" s="1"/>
  <c r="AS66" i="72" a="1"/>
  <c r="AS66" i="72" s="1"/>
  <c r="BE5" i="72" a="1"/>
  <c r="BE5" i="72" s="1"/>
  <c r="AY81" i="72" a="1"/>
  <c r="AY81" i="72" s="1"/>
  <c r="BB5" i="72" a="1"/>
  <c r="BB5" i="72" s="1"/>
  <c r="AU39" i="69" a="1"/>
  <c r="AU39" i="69" s="1"/>
  <c r="BN32" i="69" a="1"/>
  <c r="BN32" i="69" s="1"/>
  <c r="AN80" i="72" a="1"/>
  <c r="AN80" i="72" s="1"/>
  <c r="AW24" i="69" a="1"/>
  <c r="AW24" i="69" s="1"/>
  <c r="AY73" i="72" a="1"/>
  <c r="AY73" i="72" s="1"/>
  <c r="BA74" i="69" a="1"/>
  <c r="BA74" i="69" s="1"/>
  <c r="AG22" i="69" a="1"/>
  <c r="AG22" i="69" s="1"/>
  <c r="AZ29" i="69" a="1"/>
  <c r="AZ29" i="69" s="1"/>
  <c r="AU74" i="69" a="1"/>
  <c r="AU74" i="69" s="1"/>
  <c r="AN40" i="72" a="1"/>
  <c r="AN40" i="72" s="1"/>
  <c r="BN78" i="69" a="1"/>
  <c r="BN78" i="69" s="1"/>
  <c r="AX32" i="69" a="1"/>
  <c r="AX32" i="69" s="1"/>
  <c r="BD92" i="72" a="1"/>
  <c r="BD92" i="72" s="1"/>
  <c r="BA75" i="69" a="1"/>
  <c r="BA75" i="69" s="1"/>
  <c r="AP78" i="69" a="1"/>
  <c r="AP78" i="69" s="1"/>
  <c r="AN78" i="69" a="1"/>
  <c r="AN78" i="69" s="1"/>
  <c r="BA29" i="69" a="1"/>
  <c r="BA29" i="69" s="1"/>
  <c r="AQ87" i="69" a="1"/>
  <c r="AQ87" i="69" s="1"/>
  <c r="K92" i="69" a="1"/>
  <c r="K92" i="69" s="1"/>
  <c r="BE40" i="72" a="1"/>
  <c r="BE40" i="72" s="1"/>
  <c r="BA57" i="69" a="1"/>
  <c r="BA57" i="69" s="1"/>
  <c r="AP37" i="69" a="1"/>
  <c r="AP37" i="69" s="1"/>
  <c r="AO87" i="69" a="1"/>
  <c r="AO87" i="69" s="1"/>
  <c r="K86" i="72" a="1"/>
  <c r="K86" i="72" s="1"/>
  <c r="AN86" i="69" a="1"/>
  <c r="AN86" i="69" s="1"/>
  <c r="AZ32" i="69" a="1"/>
  <c r="AZ32" i="69" s="1"/>
  <c r="AH76" i="72" a="1"/>
  <c r="AH76" i="72" s="1"/>
  <c r="AV1474" i="13"/>
  <c r="BE17" i="72" a="1"/>
  <c r="BE17" i="72" s="1"/>
  <c r="AU47" i="69" a="1"/>
  <c r="AU47" i="69" s="1"/>
  <c r="K72" i="69" a="1"/>
  <c r="K72" i="69" s="1"/>
  <c r="K83" i="69" a="1"/>
  <c r="K83" i="69" s="1"/>
  <c r="K74" i="69" a="1"/>
  <c r="K74" i="69" s="1"/>
  <c r="K60" i="72" a="1"/>
  <c r="K60" i="72" s="1"/>
  <c r="AZ24" i="72" a="1"/>
  <c r="AZ24" i="72" s="1"/>
  <c r="AS92" i="72" a="1"/>
  <c r="AS92" i="72" s="1"/>
  <c r="K83" i="72" a="1"/>
  <c r="K83" i="72" s="1"/>
  <c r="AV1471" i="13"/>
  <c r="AT76" i="69" a="1"/>
  <c r="AT76" i="69" s="1"/>
  <c r="AX90" i="69" a="1"/>
  <c r="AX90" i="69" s="1"/>
  <c r="AX88" i="69" a="1"/>
  <c r="AX88" i="69" s="1"/>
  <c r="K65" i="69" a="1"/>
  <c r="K65" i="69" s="1"/>
  <c r="AP35" i="69" a="1"/>
  <c r="AP35" i="69" s="1"/>
  <c r="AZ14" i="69" a="1"/>
  <c r="AZ14" i="69" s="1"/>
  <c r="AX53" i="69" a="1"/>
  <c r="AX53" i="69" s="1"/>
  <c r="AP82" i="69" a="1"/>
  <c r="AP82" i="69" s="1"/>
  <c r="AX81" i="69" a="1"/>
  <c r="AX81" i="69" s="1"/>
  <c r="AX24" i="69" a="1"/>
  <c r="AX24" i="69" s="1"/>
  <c r="AX40" i="69" a="1"/>
  <c r="AX40" i="69" s="1"/>
  <c r="AT77" i="69" a="1"/>
  <c r="AT77" i="69" s="1"/>
  <c r="AU17" i="69" a="1"/>
  <c r="AU17" i="69" s="1"/>
  <c r="AX74" i="69" a="1"/>
  <c r="AX74" i="69" s="1"/>
  <c r="BN38" i="69" a="1"/>
  <c r="BN38" i="69" s="1"/>
  <c r="AO27" i="69" a="1"/>
  <c r="AO27" i="69" s="1"/>
  <c r="AX85" i="69" a="1"/>
  <c r="AX85" i="69" s="1"/>
  <c r="BN51" i="69" a="1"/>
  <c r="BN51" i="69" s="1"/>
  <c r="BN46" i="69" a="1"/>
  <c r="BN46" i="69" s="1"/>
  <c r="BN91" i="69" a="1"/>
  <c r="BN91" i="69" s="1"/>
  <c r="AT6" i="69" a="1"/>
  <c r="AT6" i="69" s="1"/>
  <c r="AZ21" i="69" a="1"/>
  <c r="AZ21" i="69" s="1"/>
  <c r="AX61" i="69" a="1"/>
  <c r="AX61" i="69" s="1"/>
  <c r="AT13" i="69" a="1"/>
  <c r="AT13" i="69" s="1"/>
  <c r="BA84" i="69" a="1"/>
  <c r="BA84" i="69" s="1"/>
  <c r="AU29" i="69" a="1"/>
  <c r="AU29" i="69" s="1"/>
  <c r="BA39" i="69" a="1"/>
  <c r="BA39" i="69" s="1"/>
  <c r="AZ49" i="69" a="1"/>
  <c r="AZ49" i="69" s="1"/>
  <c r="AX92" i="69" a="1"/>
  <c r="AX92" i="69" s="1"/>
  <c r="AP43" i="69" a="1"/>
  <c r="AP43" i="69" s="1"/>
  <c r="AT18" i="69" a="1"/>
  <c r="AT18" i="69" s="1"/>
  <c r="AZ36" i="69" a="1"/>
  <c r="AZ36" i="69" s="1"/>
  <c r="AO89" i="69" a="1"/>
  <c r="AO89" i="69" s="1"/>
  <c r="AX66" i="69" a="1"/>
  <c r="AX66" i="69" s="1"/>
  <c r="AP16" i="69" a="1"/>
  <c r="AP16" i="69" s="1"/>
  <c r="AU86" i="69" a="1"/>
  <c r="AU86" i="69" s="1"/>
  <c r="BA32" i="69" a="1"/>
  <c r="BA32" i="69" s="1"/>
  <c r="AZ87" i="69" a="1"/>
  <c r="AZ87" i="69" s="1"/>
  <c r="BA5" i="69" a="1"/>
  <c r="BA5" i="69" s="1"/>
  <c r="AX69" i="69" a="1"/>
  <c r="AX69" i="69" s="1"/>
  <c r="AT63" i="69" a="1"/>
  <c r="AT63" i="69" s="1"/>
  <c r="AU12" i="69" a="1"/>
  <c r="AU12" i="69" s="1"/>
  <c r="AX15" i="69" a="1"/>
  <c r="AX15" i="69" s="1"/>
  <c r="AX28" i="69" a="1"/>
  <c r="AX28" i="69" s="1"/>
  <c r="AP73" i="69" a="1"/>
  <c r="AP73" i="69" s="1"/>
  <c r="AT52" i="69" a="1"/>
  <c r="AT52" i="69" s="1"/>
  <c r="AH82" i="72" a="1"/>
  <c r="AH82" i="72" s="1"/>
  <c r="AU57" i="69" a="1"/>
  <c r="AU57" i="69" s="1"/>
  <c r="BD82" i="72" a="1"/>
  <c r="BD82" i="72" s="1"/>
  <c r="AT57" i="69" a="1"/>
  <c r="AT57" i="69" s="1"/>
  <c r="AY82" i="72" a="1"/>
  <c r="AY82" i="72" s="1"/>
  <c r="AP38" i="69" a="1"/>
  <c r="AP38" i="69" s="1"/>
  <c r="AZ89" i="72" a="1"/>
  <c r="AZ89" i="72" s="1"/>
  <c r="AU86" i="72" a="1"/>
  <c r="AU86" i="72" s="1"/>
  <c r="BD40" i="72" a="1"/>
  <c r="BD40" i="72" s="1"/>
  <c r="AU73" i="72" a="1"/>
  <c r="AU73" i="72" s="1"/>
  <c r="AV8" i="69" a="1"/>
  <c r="AV8" i="69" s="1"/>
  <c r="AN88" i="72" a="1"/>
  <c r="AN88" i="72" s="1"/>
  <c r="AM77" i="72" a="1"/>
  <c r="AM77" i="72" s="1"/>
  <c r="AS5" i="72" a="1"/>
  <c r="AS5" i="72" s="1"/>
  <c r="AO39" i="69" a="1"/>
  <c r="AO39" i="69" s="1"/>
  <c r="AY88" i="72" a="1"/>
  <c r="AY88" i="72" s="1"/>
  <c r="AH19" i="72" a="1"/>
  <c r="AH19" i="72" s="1"/>
  <c r="BE86" i="72" a="1"/>
  <c r="BE86" i="72" s="1"/>
  <c r="AU84" i="69" a="1"/>
  <c r="AU84" i="69" s="1"/>
  <c r="BD5" i="72" a="1"/>
  <c r="BD5" i="72" s="1"/>
  <c r="K63" i="72" a="1"/>
  <c r="K63" i="72" s="1"/>
  <c r="AN15" i="69" a="1"/>
  <c r="AN15" i="69" s="1"/>
  <c r="AY66" i="72" a="1"/>
  <c r="AY66" i="72" s="1"/>
  <c r="AS24" i="72" a="1"/>
  <c r="AS24" i="72" s="1"/>
  <c r="AQ74" i="69" a="1"/>
  <c r="AQ74" i="69" s="1"/>
  <c r="BB66" i="72" a="1"/>
  <c r="BB66" i="72" s="1"/>
  <c r="AG80" i="69" a="1"/>
  <c r="AG80" i="69" s="1"/>
  <c r="K80" i="69" a="1"/>
  <c r="K80" i="69" s="1"/>
  <c r="AT27" i="69" a="1"/>
  <c r="AT27" i="69" s="1"/>
  <c r="AM62" i="72" a="1"/>
  <c r="AM62" i="72" s="1"/>
  <c r="AN82" i="72" a="1"/>
  <c r="AN82" i="72" s="1"/>
  <c r="AW15" i="69" a="1"/>
  <c r="AW15" i="69" s="1"/>
  <c r="AU82" i="72" a="1"/>
  <c r="AU82" i="72" s="1"/>
  <c r="AX57" i="69" a="1"/>
  <c r="AX57" i="69" s="1"/>
  <c r="BD19" i="72" a="1"/>
  <c r="BD19" i="72" s="1"/>
  <c r="BT97" i="4"/>
  <c r="AQ84" i="69" a="1"/>
  <c r="AQ84" i="69" s="1"/>
  <c r="AV1454" i="13"/>
  <c r="AZ84" i="69" a="1"/>
  <c r="AZ84" i="69" s="1"/>
  <c r="K94" i="69" a="1"/>
  <c r="K94" i="69" s="1"/>
  <c r="K69" i="69" a="1"/>
  <c r="K69" i="69" s="1"/>
  <c r="BS107" i="4"/>
  <c r="AQ83" i="69" a="1"/>
  <c r="AQ83" i="69" s="1"/>
  <c r="AT64" i="72" a="1"/>
  <c r="AT64" i="72" s="1"/>
  <c r="AG73" i="69" a="1"/>
  <c r="AG73" i="69" s="1"/>
  <c r="AP8" i="69" a="1"/>
  <c r="AP8" i="69" s="1"/>
  <c r="BE81" i="72" a="1"/>
  <c r="BE81" i="72" s="1"/>
  <c r="AH5" i="72" a="1"/>
  <c r="AH5" i="72" s="1"/>
  <c r="BE66" i="72" a="1"/>
  <c r="BE66" i="72" s="1"/>
  <c r="AT16" i="69" a="1"/>
  <c r="AT16" i="69" s="1"/>
  <c r="AV11" i="69" a="1"/>
  <c r="AV11" i="69" s="1"/>
  <c r="AY40" i="72" a="1"/>
  <c r="AY40" i="72" s="1"/>
  <c r="AH88" i="72" a="1"/>
  <c r="AH88" i="72" s="1"/>
  <c r="BB40" i="72" a="1"/>
  <c r="BB40" i="72" s="1"/>
  <c r="AU40" i="72" a="1"/>
  <c r="AU40" i="72" s="1"/>
  <c r="AY5" i="72" a="1"/>
  <c r="AY5" i="72" s="1"/>
  <c r="AQ29" i="69" a="1"/>
  <c r="AQ29" i="69" s="1"/>
  <c r="BD86" i="72" a="1"/>
  <c r="BD86" i="72" s="1"/>
  <c r="AU83" i="69" a="1"/>
  <c r="AU83" i="69" s="1"/>
  <c r="AS40" i="72" a="1"/>
  <c r="AS40" i="72" s="1"/>
  <c r="BA86" i="69" a="1"/>
  <c r="BA86" i="69" s="1"/>
  <c r="AT78" i="72" a="1"/>
  <c r="AT78" i="72" s="1"/>
  <c r="AV61" i="69" a="1"/>
  <c r="AV61" i="69" s="1"/>
  <c r="AH40" i="72" a="1"/>
  <c r="AH40" i="72" s="1"/>
  <c r="AZ86" i="69" a="1"/>
  <c r="AZ86" i="69" s="1"/>
  <c r="AX86" i="69" a="1"/>
  <c r="AX86" i="69" s="1"/>
  <c r="AM80" i="72" a="1"/>
  <c r="AM80" i="72" s="1"/>
  <c r="K90" i="72" a="1"/>
  <c r="K90" i="72" s="1"/>
  <c r="AQ8" i="69" a="1"/>
  <c r="AQ8" i="69" s="1"/>
  <c r="AN19" i="69" a="1"/>
  <c r="AN19" i="69" s="1"/>
  <c r="BA13" i="69" a="1"/>
  <c r="BA13" i="69" s="1"/>
  <c r="AQ17" i="69" a="1"/>
  <c r="AQ17" i="69" s="1"/>
  <c r="AD23" i="69"/>
  <c r="AX17" i="69" a="1"/>
  <c r="AX17" i="69" s="1"/>
  <c r="AY50" i="72" a="1"/>
  <c r="AY50" i="72" s="1"/>
  <c r="K70" i="69" a="1"/>
  <c r="K70" i="69" s="1"/>
  <c r="AX93" i="72" a="1"/>
  <c r="AX93" i="72" s="1"/>
  <c r="AM18" i="72" a="1"/>
  <c r="AM18" i="72" s="1"/>
  <c r="BR89" i="72" a="1"/>
  <c r="BR89" i="72" s="1"/>
  <c r="AQ86" i="69" a="1"/>
  <c r="AQ86" i="69" s="1"/>
  <c r="AQ13" i="69" a="1"/>
  <c r="AQ13" i="69" s="1"/>
  <c r="AM88" i="72" a="1"/>
  <c r="AM88" i="72" s="1"/>
  <c r="AN70" i="69" a="1"/>
  <c r="AN70" i="69" s="1"/>
  <c r="BD50" i="72" a="1"/>
  <c r="BD50" i="72" s="1"/>
  <c r="AW19" i="69" a="1"/>
  <c r="AW19" i="69" s="1"/>
  <c r="AZ7" i="72" a="1"/>
  <c r="AZ7" i="72" s="1"/>
  <c r="BB19" i="72" a="1"/>
  <c r="BB19" i="72" s="1"/>
  <c r="AY19" i="72" a="1"/>
  <c r="AY19" i="72" s="1"/>
  <c r="AG41" i="69" a="1"/>
  <c r="AG41" i="69" s="1"/>
  <c r="BB88" i="72" a="1"/>
  <c r="BB88" i="72" s="1"/>
  <c r="AM32" i="72" a="1"/>
  <c r="AM32" i="72" s="1"/>
  <c r="BE19" i="72" a="1"/>
  <c r="BE19" i="72" s="1"/>
  <c r="AU88" i="72" a="1"/>
  <c r="AU88" i="72" s="1"/>
  <c r="AU19" i="72" a="1"/>
  <c r="AU19" i="72" s="1"/>
  <c r="AX27" i="69" a="1"/>
  <c r="AX27" i="69" s="1"/>
  <c r="AO13" i="69" a="1"/>
  <c r="AO13" i="69" s="1"/>
  <c r="AZ27" i="69" a="1"/>
  <c r="AZ27" i="69" s="1"/>
  <c r="AZ12" i="69" a="1"/>
  <c r="AZ12" i="69" s="1"/>
  <c r="BE88" i="72" a="1"/>
  <c r="BE88" i="72" s="1"/>
  <c r="BB50" i="72" a="1"/>
  <c r="BB50" i="72" s="1"/>
  <c r="BN8" i="69" a="1"/>
  <c r="BN8" i="69" s="1"/>
  <c r="BA83" i="69" a="1"/>
  <c r="BA83" i="69" s="1"/>
  <c r="AO8" i="69" a="1"/>
  <c r="AO8" i="69" s="1"/>
  <c r="BA27" i="69" a="1"/>
  <c r="BA27" i="69" s="1"/>
  <c r="AZ13" i="69" a="1"/>
  <c r="AZ13" i="69" s="1"/>
  <c r="AX8" i="69" a="1"/>
  <c r="AX8" i="69" s="1"/>
  <c r="AZ8" i="69" a="1"/>
  <c r="AZ8" i="69" s="1"/>
  <c r="AV53" i="69" a="1"/>
  <c r="AV53" i="69" s="1"/>
  <c r="AQ12" i="69" a="1"/>
  <c r="AQ12" i="69" s="1"/>
  <c r="AU8" i="69" a="1"/>
  <c r="AU8" i="69" s="1"/>
  <c r="AO12" i="69" a="1"/>
  <c r="AO12" i="69" s="1"/>
  <c r="BB43" i="72" a="1"/>
  <c r="BB43" i="72" s="1"/>
  <c r="AG72" i="69" a="1"/>
  <c r="AG72" i="69" s="1"/>
  <c r="BD88" i="72" a="1"/>
  <c r="BD88" i="72" s="1"/>
  <c r="E60" i="72"/>
  <c r="AZ78" i="72" a="1"/>
  <c r="AZ78" i="72" s="1"/>
  <c r="AX12" i="69" a="1"/>
  <c r="AX12" i="69" s="1"/>
  <c r="AZ17" i="69" a="1"/>
  <c r="AZ17" i="69" s="1"/>
  <c r="AU43" i="72" a="1"/>
  <c r="AU43" i="72" s="1"/>
  <c r="AU13" i="69" a="1"/>
  <c r="AU13" i="69" s="1"/>
  <c r="K78" i="72" a="1"/>
  <c r="K78" i="72" s="1"/>
  <c r="BR78" i="72" a="1"/>
  <c r="BR78" i="72" s="1"/>
  <c r="E60" i="69"/>
  <c r="AE60" i="69" a="1"/>
  <c r="AE60" i="69" s="1"/>
  <c r="BN60" i="69" s="1" a="1"/>
  <c r="BN60" i="69" s="1"/>
  <c r="BR24" i="72" a="1"/>
  <c r="BR24" i="72" s="1"/>
  <c r="AU27" i="69" a="1"/>
  <c r="AU27" i="69" s="1"/>
  <c r="BA8" i="69" a="1"/>
  <c r="BA8" i="69" s="1"/>
  <c r="AN50" i="72" a="1"/>
  <c r="AN50" i="72" s="1"/>
  <c r="AX13" i="69" a="1"/>
  <c r="AX13" i="69" s="1"/>
  <c r="AQ27" i="69" a="1"/>
  <c r="AQ27" i="69" s="1"/>
  <c r="AW81" i="69" a="1"/>
  <c r="AW81" i="69" s="1"/>
  <c r="BS193" i="4"/>
  <c r="F55" i="69"/>
  <c r="K64" i="69" a="1"/>
  <c r="K64" i="69" s="1"/>
  <c r="AM72" i="72" a="1"/>
  <c r="AM72" i="72" s="1"/>
  <c r="AO17" i="69" a="1"/>
  <c r="AO17" i="69" s="1"/>
  <c r="AU50" i="72" a="1"/>
  <c r="AU50" i="72" s="1"/>
  <c r="AT22" i="72" a="1"/>
  <c r="AT22" i="72" s="1"/>
  <c r="D23" i="69" a="1"/>
  <c r="D23" i="69" s="1"/>
  <c r="BJ103" i="4"/>
  <c r="BN35" i="69" a="1"/>
  <c r="BN35" i="69" s="1"/>
  <c r="AM51" i="72" a="1"/>
  <c r="AM51" i="72" s="1"/>
  <c r="BA17" i="69" a="1"/>
  <c r="BA17" i="69" s="1"/>
  <c r="BE50" i="72" a="1"/>
  <c r="BE50" i="72" s="1"/>
  <c r="BH23" i="69"/>
  <c r="AT47" i="72" a="1"/>
  <c r="AT47" i="72" s="1"/>
  <c r="BC23" i="72" a="1"/>
  <c r="BC23" i="72" s="1"/>
  <c r="K81" i="69" a="1"/>
  <c r="K81" i="69" s="1"/>
  <c r="AM86" i="72" a="1"/>
  <c r="AM86" i="72" s="1"/>
  <c r="K65" i="72" a="1"/>
  <c r="K65" i="72" s="1"/>
  <c r="H23" i="72"/>
  <c r="AV1469" i="13"/>
  <c r="AM5" i="72" a="1"/>
  <c r="AM5" i="72" s="1"/>
  <c r="BN6" i="69" a="1"/>
  <c r="BN6" i="69" s="1"/>
  <c r="AV26" i="69" a="1"/>
  <c r="AV26" i="69" s="1"/>
  <c r="BD43" i="72" a="1"/>
  <c r="BD43" i="72" s="1"/>
  <c r="AM19" i="72" a="1"/>
  <c r="AM19" i="72" s="1"/>
  <c r="AH43" i="72" a="1"/>
  <c r="AH43" i="72" s="1"/>
  <c r="AM29" i="72" a="1"/>
  <c r="AM29" i="72" s="1"/>
  <c r="AM21" i="72" a="1"/>
  <c r="AM21" i="72" s="1"/>
  <c r="BT107" i="4"/>
  <c r="AM65" i="72" a="1"/>
  <c r="AM65" i="72" s="1"/>
  <c r="AM43" i="72" a="1"/>
  <c r="AM43" i="72" s="1"/>
  <c r="AM33" i="72" a="1"/>
  <c r="AM33" i="72" s="1"/>
  <c r="BS108" i="4"/>
  <c r="AM15" i="72" a="1"/>
  <c r="AM15" i="72" s="1"/>
  <c r="AP6" i="69" a="1"/>
  <c r="AP6" i="69" s="1"/>
  <c r="AM45" i="72" a="1"/>
  <c r="AM45" i="72" s="1"/>
  <c r="BA64" i="72" a="1"/>
  <c r="BA64" i="72" s="1"/>
  <c r="K95" i="69" a="1"/>
  <c r="K95" i="69" s="1"/>
  <c r="AT24" i="72" a="1"/>
  <c r="AT24" i="72" s="1"/>
  <c r="AM81" i="72" a="1"/>
  <c r="AM81" i="72" s="1"/>
  <c r="K93" i="69" a="1"/>
  <c r="K93" i="69" s="1"/>
  <c r="AW6" i="69" a="1"/>
  <c r="AW6" i="69" s="1"/>
  <c r="AM70" i="72" a="1"/>
  <c r="AM70" i="72" s="1"/>
  <c r="BA12" i="69" a="1"/>
  <c r="BA12" i="69" s="1"/>
  <c r="AY43" i="72" a="1"/>
  <c r="AY43" i="72" s="1"/>
  <c r="AT43" i="69" a="1"/>
  <c r="AT43" i="69" s="1"/>
  <c r="BR85" i="72" a="1"/>
  <c r="BR85" i="72" s="1"/>
  <c r="AM44" i="72" a="1"/>
  <c r="AM44" i="72" s="1"/>
  <c r="AM76" i="72" a="1"/>
  <c r="AM76" i="72" s="1"/>
  <c r="AM35" i="72" a="1"/>
  <c r="AM35" i="72" s="1"/>
  <c r="F55" i="72"/>
  <c r="AM36" i="72" a="1"/>
  <c r="AM36" i="72" s="1"/>
  <c r="BE1770" i="13"/>
  <c r="AM54" i="72" a="1"/>
  <c r="AM54" i="72" s="1"/>
  <c r="AM17" i="72" a="1"/>
  <c r="AM17" i="72" s="1"/>
  <c r="AM53" i="72" a="1"/>
  <c r="AM53" i="72" s="1"/>
  <c r="AM63" i="72" a="1"/>
  <c r="AM63" i="72" s="1"/>
  <c r="BS60" i="69"/>
  <c r="AS43" i="72" a="1"/>
  <c r="AS43" i="72" s="1"/>
  <c r="BC60" i="72" a="1"/>
  <c r="BC60" i="72" s="1"/>
  <c r="AM75" i="72" a="1"/>
  <c r="AM75" i="72" s="1"/>
  <c r="AI3" i="1" a="1"/>
  <c r="AI3" i="1" s="1"/>
  <c r="AI101" i="1" s="1"/>
  <c r="I55" i="69"/>
  <c r="AM92" i="72" a="1"/>
  <c r="AM92" i="72" s="1"/>
  <c r="AN43" i="72" a="1"/>
  <c r="AN43" i="72" s="1"/>
  <c r="AY23" i="69" a="1"/>
  <c r="AY23" i="69" s="1"/>
  <c r="AY60" i="69" a="1"/>
  <c r="AY60" i="69" s="1"/>
  <c r="AM79" i="72" a="1"/>
  <c r="AM79" i="72" s="1"/>
  <c r="AE23" i="69" a="1"/>
  <c r="AE23" i="69" s="1"/>
  <c r="AT23" i="69" s="1" a="1"/>
  <c r="AT23" i="69" s="1"/>
  <c r="AF23" i="72" a="1"/>
  <c r="AF23" i="72" s="1"/>
  <c r="AJ23" i="72" s="1" a="1"/>
  <c r="AJ23" i="72" s="1"/>
  <c r="AM41" i="72" a="1"/>
  <c r="AM41" i="72" s="1"/>
  <c r="AM42" i="72" a="1"/>
  <c r="AM42" i="72" s="1"/>
  <c r="AD70" i="69"/>
  <c r="BK70" i="69"/>
  <c r="O70" i="69"/>
  <c r="BO70" i="72"/>
  <c r="O70" i="72"/>
  <c r="O73" i="69"/>
  <c r="BK73" i="69"/>
  <c r="O73" i="72"/>
  <c r="AD73" i="69"/>
  <c r="BO73" i="72"/>
  <c r="O69" i="69"/>
  <c r="BK69" i="69"/>
  <c r="O69" i="72"/>
  <c r="BO69" i="72"/>
  <c r="S31" i="4"/>
  <c r="T31" i="4"/>
  <c r="Z1623" i="13"/>
  <c r="AV457" i="13"/>
  <c r="U3" i="1" s="1" a="1"/>
  <c r="U3" i="1" s="1"/>
  <c r="U101" i="1" s="1"/>
  <c r="S3" i="1" a="1"/>
  <c r="S3" i="1" s="1"/>
  <c r="S101" i="1" s="1"/>
  <c r="AF60" i="72" a="1"/>
  <c r="AF60" i="72" s="1"/>
  <c r="AJ60" i="72" s="1" a="1"/>
  <c r="AJ60" i="72" s="1"/>
  <c r="BZ60" i="72"/>
  <c r="AX1539" i="13"/>
  <c r="AV1539" i="13"/>
  <c r="AV1638" i="13" s="1"/>
  <c r="A1638" i="13"/>
  <c r="AX1638" i="13" s="1"/>
  <c r="AV1565" i="13"/>
  <c r="AV1664" i="13" s="1"/>
  <c r="AX1565" i="13"/>
  <c r="A1664" i="13"/>
  <c r="AX1664" i="13" s="1"/>
  <c r="AY68" i="72" a="1"/>
  <c r="AY68" i="72" s="1"/>
  <c r="AU68" i="72" a="1"/>
  <c r="AU68" i="72" s="1"/>
  <c r="BE68" i="72" a="1"/>
  <c r="BE68" i="72" s="1"/>
  <c r="BD68" i="72" a="1"/>
  <c r="BD68" i="72" s="1"/>
  <c r="AN68" i="72" a="1"/>
  <c r="AN68" i="72" s="1"/>
  <c r="AM68" i="72" a="1"/>
  <c r="AM68" i="72" s="1"/>
  <c r="BA68" i="72" a="1"/>
  <c r="BA68" i="72" s="1"/>
  <c r="AH68" i="72" a="1"/>
  <c r="AH68" i="72" s="1"/>
  <c r="AS68" i="72" a="1"/>
  <c r="AS68" i="72" s="1"/>
  <c r="BB68" i="72" a="1"/>
  <c r="BB68" i="72" s="1"/>
  <c r="BE61" i="72" a="1"/>
  <c r="BE61" i="72" s="1"/>
  <c r="AS61" i="72" a="1"/>
  <c r="AS61" i="72" s="1"/>
  <c r="AY61" i="72" a="1"/>
  <c r="AY61" i="72" s="1"/>
  <c r="AH61" i="72" a="1"/>
  <c r="AH61" i="72" s="1"/>
  <c r="AN61" i="72" a="1"/>
  <c r="AN61" i="72" s="1"/>
  <c r="AM61" i="72" a="1"/>
  <c r="AM61" i="72" s="1"/>
  <c r="AU61" i="72" a="1"/>
  <c r="AU61" i="72" s="1"/>
  <c r="AZ61" i="72" a="1"/>
  <c r="AZ61" i="72" s="1"/>
  <c r="BA61" i="72" a="1"/>
  <c r="BA61" i="72" s="1"/>
  <c r="BD61" i="72" a="1"/>
  <c r="BD61" i="72" s="1"/>
  <c r="BB61" i="72" a="1"/>
  <c r="BB61" i="72" s="1"/>
  <c r="BR69" i="72" a="1"/>
  <c r="BR69" i="72" s="1"/>
  <c r="BM75" i="4"/>
  <c r="BE75" i="4" s="1" a="1"/>
  <c r="BE75" i="4" s="1"/>
  <c r="AD75" i="69"/>
  <c r="BM75" i="72"/>
  <c r="BI75" i="69"/>
  <c r="AM93" i="72" a="1"/>
  <c r="AM93" i="72" s="1"/>
  <c r="AU93" i="72" a="1"/>
  <c r="AU93" i="72" s="1"/>
  <c r="BE93" i="72" a="1"/>
  <c r="BE93" i="72" s="1"/>
  <c r="AH93" i="72" a="1"/>
  <c r="AH93" i="72" s="1"/>
  <c r="BD93" i="72" a="1"/>
  <c r="BD93" i="72" s="1"/>
  <c r="AS93" i="72" a="1"/>
  <c r="AS93" i="72" s="1"/>
  <c r="AY93" i="72" a="1"/>
  <c r="AY93" i="72" s="1"/>
  <c r="AN93" i="72" a="1"/>
  <c r="AN93" i="72" s="1"/>
  <c r="BA93" i="72" a="1"/>
  <c r="BA93" i="72" s="1"/>
  <c r="BB93" i="72" a="1"/>
  <c r="BB93" i="72" s="1"/>
  <c r="BU23" i="72" a="1"/>
  <c r="BU23" i="72" s="1"/>
  <c r="BJ23" i="72"/>
  <c r="BI23" i="72"/>
  <c r="AT67" i="72" a="1"/>
  <c r="AT67" i="72" s="1"/>
  <c r="Z1682" i="13"/>
  <c r="S90" i="4"/>
  <c r="T90" i="4"/>
  <c r="S14" i="4"/>
  <c r="Z1606" i="13"/>
  <c r="T14" i="4"/>
  <c r="AZ74" i="72" a="1"/>
  <c r="AZ74" i="72" s="1"/>
  <c r="AH31" i="72" a="1"/>
  <c r="AH31" i="72" s="1"/>
  <c r="BD31" i="72" a="1"/>
  <c r="BD31" i="72" s="1"/>
  <c r="AY31" i="72" a="1"/>
  <c r="AY31" i="72" s="1"/>
  <c r="AS31" i="72" a="1"/>
  <c r="AS31" i="72" s="1"/>
  <c r="AN31" i="72" a="1"/>
  <c r="AN31" i="72" s="1"/>
  <c r="AM31" i="72" a="1"/>
  <c r="AM31" i="72" s="1"/>
  <c r="BE31" i="72" a="1"/>
  <c r="BE31" i="72" s="1"/>
  <c r="AU31" i="72" a="1"/>
  <c r="AU31" i="72" s="1"/>
  <c r="BA31" i="72" a="1"/>
  <c r="BA31" i="72" s="1"/>
  <c r="BB31" i="72" a="1"/>
  <c r="BB31" i="72" s="1"/>
  <c r="AN13" i="72" a="1"/>
  <c r="AN13" i="72" s="1"/>
  <c r="AM13" i="72" a="1"/>
  <c r="AM13" i="72" s="1"/>
  <c r="AU13" i="72" a="1"/>
  <c r="AU13" i="72" s="1"/>
  <c r="AZ13" i="72" a="1"/>
  <c r="AZ13" i="72" s="1"/>
  <c r="AY13" i="72" a="1"/>
  <c r="AY13" i="72" s="1"/>
  <c r="AH13" i="72" a="1"/>
  <c r="AH13" i="72" s="1"/>
  <c r="AS13" i="72" a="1"/>
  <c r="AS13" i="72" s="1"/>
  <c r="BE13" i="72" a="1"/>
  <c r="BE13" i="72" s="1"/>
  <c r="BD13" i="72" a="1"/>
  <c r="BD13" i="72" s="1"/>
  <c r="BB13" i="72" a="1"/>
  <c r="BB13" i="72" s="1"/>
  <c r="A1633" i="13"/>
  <c r="AX1633" i="13" s="1"/>
  <c r="AV1534" i="13"/>
  <c r="AV1633" i="13" s="1"/>
  <c r="AX1534" i="13"/>
  <c r="AY588" i="13"/>
  <c r="AR88" i="4"/>
  <c r="AQ88" i="4"/>
  <c r="BM74" i="4"/>
  <c r="BE74" i="4" s="1" a="1"/>
  <c r="BE74" i="4" s="1"/>
  <c r="AD74" i="69"/>
  <c r="BM74" i="72"/>
  <c r="BI74" i="69"/>
  <c r="AS64" i="72" a="1"/>
  <c r="AS64" i="72" s="1"/>
  <c r="AU64" i="72" a="1"/>
  <c r="AU64" i="72" s="1"/>
  <c r="BD64" i="72" a="1"/>
  <c r="BD64" i="72" s="1"/>
  <c r="BE64" i="72" a="1"/>
  <c r="BE64" i="72" s="1"/>
  <c r="AY64" i="72" a="1"/>
  <c r="AY64" i="72" s="1"/>
  <c r="AH64" i="72" a="1"/>
  <c r="AH64" i="72" s="1"/>
  <c r="AN64" i="72" a="1"/>
  <c r="AN64" i="72" s="1"/>
  <c r="AM64" i="72" a="1"/>
  <c r="AM64" i="72" s="1"/>
  <c r="AZ64" i="72" a="1"/>
  <c r="AZ64" i="72" s="1"/>
  <c r="BB64" i="72" a="1"/>
  <c r="BB64" i="72" s="1"/>
  <c r="AU70" i="4"/>
  <c r="AV70" i="4" a="1"/>
  <c r="AV70" i="4" s="1"/>
  <c r="AT70" i="4" a="1"/>
  <c r="AT70" i="4" s="1"/>
  <c r="Y70" i="4"/>
  <c r="BQ70" i="4"/>
  <c r="CA70" i="4"/>
  <c r="AT38" i="69" a="1"/>
  <c r="AT38" i="69" s="1"/>
  <c r="AQ38" i="69" a="1"/>
  <c r="AQ38" i="69" s="1"/>
  <c r="BA38" i="69" a="1"/>
  <c r="BA38" i="69" s="1"/>
  <c r="AO38" i="69" a="1"/>
  <c r="AO38" i="69" s="1"/>
  <c r="AU38" i="69" a="1"/>
  <c r="AU38" i="69" s="1"/>
  <c r="AW38" i="69" a="1"/>
  <c r="AW38" i="69" s="1"/>
  <c r="AZ38" i="69" a="1"/>
  <c r="AZ38" i="69" s="1"/>
  <c r="AN38" i="69" a="1"/>
  <c r="AN38" i="69" s="1"/>
  <c r="AV38" i="69" a="1"/>
  <c r="AV38" i="69" s="1"/>
  <c r="AX38" i="69" a="1"/>
  <c r="AX38" i="69" s="1"/>
  <c r="AX28" i="72" a="1"/>
  <c r="AX28" i="72" s="1"/>
  <c r="F166" i="15" a="1"/>
  <c r="F166" i="15" s="1"/>
  <c r="H166" i="15" a="1"/>
  <c r="H166" i="15" s="1"/>
  <c r="AG24" i="69" a="1"/>
  <c r="AG24" i="69" s="1"/>
  <c r="AV1479" i="13"/>
  <c r="AT85" i="4" a="1"/>
  <c r="AT85" i="4" s="1"/>
  <c r="AU85" i="4"/>
  <c r="Y85" i="4"/>
  <c r="AV85" i="4" a="1"/>
  <c r="AV85" i="4" s="1"/>
  <c r="CA85" i="4"/>
  <c r="BQ85" i="4"/>
  <c r="AV1515" i="13"/>
  <c r="AV1614" i="13" s="1"/>
  <c r="A1614" i="13"/>
  <c r="AX1614" i="13" s="1"/>
  <c r="AX1515" i="13"/>
  <c r="AV1484" i="13"/>
  <c r="AY561" i="13"/>
  <c r="AQ61" i="4"/>
  <c r="AR61" i="4"/>
  <c r="BF1765" i="13"/>
  <c r="C8" i="69"/>
  <c r="D8" i="69" s="1" a="1"/>
  <c r="D8" i="69" s="1"/>
  <c r="C8" i="72"/>
  <c r="D8" i="72" s="1" a="1"/>
  <c r="D8" i="72" s="1"/>
  <c r="BK87" i="69"/>
  <c r="BO87" i="72"/>
  <c r="O87" i="69"/>
  <c r="O87" i="72"/>
  <c r="X69" i="4"/>
  <c r="AV1581" i="13"/>
  <c r="AV1680" i="13" s="1"/>
  <c r="AX1581" i="13"/>
  <c r="A1680" i="13"/>
  <c r="AX1680" i="13" s="1"/>
  <c r="BA57" i="72" a="1"/>
  <c r="BA57" i="72" s="1"/>
  <c r="BT106" i="4"/>
  <c r="AD67" i="69"/>
  <c r="BK67" i="69"/>
  <c r="BO67" i="72"/>
  <c r="O67" i="72"/>
  <c r="O67" i="69"/>
  <c r="AT93" i="4" a="1"/>
  <c r="AT93" i="4" s="1"/>
  <c r="Y93" i="4"/>
  <c r="AU93" i="4"/>
  <c r="AV93" i="4" a="1"/>
  <c r="AV93" i="4" s="1"/>
  <c r="CA93" i="4"/>
  <c r="BQ93" i="4"/>
  <c r="CY93" i="4"/>
  <c r="CZ93" i="4" s="1"/>
  <c r="AX1543" i="13"/>
  <c r="AV1543" i="13"/>
  <c r="AV1642" i="13" s="1"/>
  <c r="A1642" i="13"/>
  <c r="AX1642" i="13" s="1"/>
  <c r="AZ31" i="72" a="1"/>
  <c r="AZ31" i="72" s="1"/>
  <c r="BR91" i="72" a="1"/>
  <c r="BR91" i="72" s="1"/>
  <c r="Z1627" i="13"/>
  <c r="T35" i="4"/>
  <c r="S35" i="4"/>
  <c r="AP51" i="69" a="1"/>
  <c r="AP51" i="69" s="1"/>
  <c r="AR63" i="4"/>
  <c r="AQ63" i="4"/>
  <c r="AY563" i="13"/>
  <c r="X77" i="4"/>
  <c r="K88" i="69" a="1"/>
  <c r="K88" i="69" s="1"/>
  <c r="K84" i="69" a="1"/>
  <c r="K84" i="69" s="1"/>
  <c r="AV1460" i="13"/>
  <c r="AN33" i="69" a="1"/>
  <c r="AN33" i="69" s="1"/>
  <c r="AZ33" i="69" a="1"/>
  <c r="AZ33" i="69" s="1"/>
  <c r="AG33" i="69" a="1"/>
  <c r="AG33" i="69" s="1"/>
  <c r="AU33" i="69" a="1"/>
  <c r="AU33" i="69" s="1"/>
  <c r="BA33" i="69" a="1"/>
  <c r="BA33" i="69" s="1"/>
  <c r="AO33" i="69" a="1"/>
  <c r="AO33" i="69" s="1"/>
  <c r="AV33" i="69" a="1"/>
  <c r="AV33" i="69" s="1"/>
  <c r="AQ33" i="69" a="1"/>
  <c r="AQ33" i="69" s="1"/>
  <c r="AX33" i="69" a="1"/>
  <c r="AX33" i="69" s="1"/>
  <c r="AY577" i="13"/>
  <c r="AQ77" i="4"/>
  <c r="AR77" i="4"/>
  <c r="O88" i="72"/>
  <c r="BK88" i="69"/>
  <c r="O88" i="69"/>
  <c r="BO88" i="72"/>
  <c r="O95" i="72"/>
  <c r="O95" i="69"/>
  <c r="BO95" i="72"/>
  <c r="BK95" i="69"/>
  <c r="AV92" i="69" a="1"/>
  <c r="AV92" i="69" s="1"/>
  <c r="AX91" i="72" a="1"/>
  <c r="AX91" i="72" s="1"/>
  <c r="T54" i="4"/>
  <c r="Z1646" i="13"/>
  <c r="S54" i="4"/>
  <c r="AT66" i="4" a="1"/>
  <c r="AT66" i="4" s="1"/>
  <c r="Y66" i="4"/>
  <c r="AU66" i="4"/>
  <c r="AV66" i="4" a="1"/>
  <c r="AV66" i="4" s="1"/>
  <c r="BQ66" i="4"/>
  <c r="CY66" i="4"/>
  <c r="CZ66" i="4" s="1"/>
  <c r="CA66" i="4"/>
  <c r="BR28" i="72" a="1"/>
  <c r="BR28" i="72" s="1"/>
  <c r="AV1748" i="13"/>
  <c r="Z1769" i="13"/>
  <c r="AB1748" i="13"/>
  <c r="H17" i="72"/>
  <c r="H17" i="69"/>
  <c r="AV1529" i="13"/>
  <c r="AV1628" i="13" s="1"/>
  <c r="A1628" i="13"/>
  <c r="AX1628" i="13" s="1"/>
  <c r="AX1529" i="13"/>
  <c r="H39" i="69"/>
  <c r="H39" i="72"/>
  <c r="BV60" i="69"/>
  <c r="AN32" i="69" a="1"/>
  <c r="AN32" i="69" s="1"/>
  <c r="BA81" i="72" a="1"/>
  <c r="BA81" i="72" s="1"/>
  <c r="AV29" i="69" a="1"/>
  <c r="AV29" i="69" s="1"/>
  <c r="AV64" i="69" a="1"/>
  <c r="AV64" i="69" s="1"/>
  <c r="AG36" i="69" a="1"/>
  <c r="AG36" i="69" s="1"/>
  <c r="AN87" i="69" a="1"/>
  <c r="AN87" i="69" s="1"/>
  <c r="AG48" i="69" a="1"/>
  <c r="AG48" i="69" s="1"/>
  <c r="AV5" i="69" a="1"/>
  <c r="AV5" i="69" s="1"/>
  <c r="AN65" i="69" a="1"/>
  <c r="AN65" i="69" s="1"/>
  <c r="AW75" i="69" a="1"/>
  <c r="AW75" i="69" s="1"/>
  <c r="BD97" i="4"/>
  <c r="AN21" i="69" a="1"/>
  <c r="AN21" i="69" s="1"/>
  <c r="AW13" i="69" a="1"/>
  <c r="AW13" i="69" s="1"/>
  <c r="BK63" i="69"/>
  <c r="O63" i="72"/>
  <c r="O63" i="69"/>
  <c r="BO63" i="72"/>
  <c r="Z1605" i="13"/>
  <c r="S13" i="4"/>
  <c r="T13" i="4"/>
  <c r="T48" i="4"/>
  <c r="S48" i="4"/>
  <c r="Z1640" i="13"/>
  <c r="BK57" i="69"/>
  <c r="AD57" i="69"/>
  <c r="O57" i="69"/>
  <c r="BO57" i="72"/>
  <c r="O57" i="72"/>
  <c r="Y92" i="4"/>
  <c r="AV92" i="4" a="1"/>
  <c r="AV92" i="4" s="1"/>
  <c r="AT92" i="4" a="1"/>
  <c r="AT92" i="4" s="1"/>
  <c r="AU92" i="4"/>
  <c r="CA92" i="4"/>
  <c r="BQ92" i="4"/>
  <c r="CY92" i="4"/>
  <c r="CZ92" i="4" s="1"/>
  <c r="P94" i="9" s="1"/>
  <c r="BE52" i="72" a="1"/>
  <c r="BE52" i="72" s="1"/>
  <c r="AH52" i="72" a="1"/>
  <c r="AH52" i="72" s="1"/>
  <c r="AY52" i="72" a="1"/>
  <c r="AY52" i="72" s="1"/>
  <c r="AN52" i="72" a="1"/>
  <c r="AN52" i="72" s="1"/>
  <c r="BA52" i="72" a="1"/>
  <c r="BA52" i="72" s="1"/>
  <c r="AM52" i="72" a="1"/>
  <c r="AM52" i="72" s="1"/>
  <c r="BD52" i="72" a="1"/>
  <c r="BD52" i="72" s="1"/>
  <c r="AU52" i="72" a="1"/>
  <c r="AU52" i="72" s="1"/>
  <c r="AS52" i="72" a="1"/>
  <c r="AS52" i="72" s="1"/>
  <c r="BB52" i="72" a="1"/>
  <c r="BB52" i="72" s="1"/>
  <c r="AS14" i="72" a="1"/>
  <c r="AS14" i="72" s="1"/>
  <c r="BE14" i="72" a="1"/>
  <c r="BE14" i="72" s="1"/>
  <c r="AN14" i="72" a="1"/>
  <c r="AN14" i="72" s="1"/>
  <c r="AM14" i="72" a="1"/>
  <c r="AM14" i="72" s="1"/>
  <c r="AY14" i="72" a="1"/>
  <c r="AY14" i="72" s="1"/>
  <c r="AH14" i="72" a="1"/>
  <c r="AH14" i="72" s="1"/>
  <c r="BA14" i="72" a="1"/>
  <c r="BA14" i="72" s="1"/>
  <c r="AU14" i="72" a="1"/>
  <c r="AU14" i="72" s="1"/>
  <c r="BD14" i="72" a="1"/>
  <c r="BD14" i="72" s="1"/>
  <c r="BB14" i="72" a="1"/>
  <c r="BB14" i="72" s="1"/>
  <c r="T52" i="4"/>
  <c r="Z1644" i="13"/>
  <c r="S52" i="4"/>
  <c r="BO79" i="72"/>
  <c r="BK79" i="69"/>
  <c r="O79" i="69"/>
  <c r="O79" i="72"/>
  <c r="AD79" i="69"/>
  <c r="AN67" i="72" a="1"/>
  <c r="AN67" i="72" s="1"/>
  <c r="AM67" i="72" a="1"/>
  <c r="AM67" i="72" s="1"/>
  <c r="AH67" i="72" a="1"/>
  <c r="AH67" i="72" s="1"/>
  <c r="AS67" i="72" a="1"/>
  <c r="AS67" i="72" s="1"/>
  <c r="BD67" i="72" a="1"/>
  <c r="BD67" i="72" s="1"/>
  <c r="BE67" i="72" a="1"/>
  <c r="BE67" i="72" s="1"/>
  <c r="AY67" i="72" a="1"/>
  <c r="AY67" i="72" s="1"/>
  <c r="BA67" i="72" a="1"/>
  <c r="BA67" i="72" s="1"/>
  <c r="AZ67" i="72" a="1"/>
  <c r="AZ67" i="72" s="1"/>
  <c r="AU67" i="72" a="1"/>
  <c r="AU67" i="72" s="1"/>
  <c r="BB67" i="72" a="1"/>
  <c r="BB67" i="72" s="1"/>
  <c r="A1679" i="13"/>
  <c r="AX1679" i="13" s="1"/>
  <c r="AV1580" i="13"/>
  <c r="AV1679" i="13" s="1"/>
  <c r="AX1580" i="13"/>
  <c r="K66" i="72" a="1"/>
  <c r="K66" i="72" s="1"/>
  <c r="BT23" i="72"/>
  <c r="BS23" i="72" s="1"/>
  <c r="BV23" i="72" s="1"/>
  <c r="BZ23" i="72"/>
  <c r="C21" i="69"/>
  <c r="D21" i="69" s="1" a="1"/>
  <c r="D21" i="69" s="1"/>
  <c r="C21" i="72"/>
  <c r="D21" i="72" s="1" a="1"/>
  <c r="D21" i="72" s="1"/>
  <c r="BR67" i="72" a="1"/>
  <c r="BR67" i="72" s="1"/>
  <c r="AX1577" i="13"/>
  <c r="AV1577" i="13"/>
  <c r="AV1676" i="13" s="1"/>
  <c r="A1676" i="13"/>
  <c r="AX1676" i="13" s="1"/>
  <c r="A1600" i="13"/>
  <c r="AX1600" i="13" s="1"/>
  <c r="AV1501" i="13"/>
  <c r="AX1501" i="13"/>
  <c r="O59" i="72"/>
  <c r="BK59" i="69"/>
  <c r="BO59" i="72"/>
  <c r="O59" i="69"/>
  <c r="AG53" i="69" a="1"/>
  <c r="AG53" i="69" s="1"/>
  <c r="AV28" i="69" a="1"/>
  <c r="AV28" i="69" s="1"/>
  <c r="AH97" i="4"/>
  <c r="AN87" i="72" a="1"/>
  <c r="AN87" i="72" s="1"/>
  <c r="AH87" i="72" a="1"/>
  <c r="AH87" i="72" s="1"/>
  <c r="BD87" i="72" a="1"/>
  <c r="BD87" i="72" s="1"/>
  <c r="AU87" i="72" a="1"/>
  <c r="AU87" i="72" s="1"/>
  <c r="AY87" i="72" a="1"/>
  <c r="AY87" i="72" s="1"/>
  <c r="AS87" i="72" a="1"/>
  <c r="AS87" i="72" s="1"/>
  <c r="BE87" i="72" a="1"/>
  <c r="BE87" i="72" s="1"/>
  <c r="AM87" i="72" a="1"/>
  <c r="AM87" i="72" s="1"/>
  <c r="BA87" i="72" a="1"/>
  <c r="BA87" i="72" s="1"/>
  <c r="AZ87" i="72" a="1"/>
  <c r="AZ87" i="72" s="1"/>
  <c r="BB87" i="72" a="1"/>
  <c r="BB87" i="72" s="1"/>
  <c r="AY576" i="13"/>
  <c r="AR76" i="4"/>
  <c r="AQ76" i="4"/>
  <c r="AW72" i="69" a="1"/>
  <c r="AW72" i="69" s="1"/>
  <c r="AS49" i="72" a="1"/>
  <c r="AS49" i="72" s="1"/>
  <c r="T28" i="4"/>
  <c r="Z1620" i="13"/>
  <c r="S28" i="4"/>
  <c r="BK77" i="69"/>
  <c r="O77" i="72"/>
  <c r="O77" i="69"/>
  <c r="BO77" i="72"/>
  <c r="Z1688" i="13"/>
  <c r="S96" i="4"/>
  <c r="T96" i="4"/>
  <c r="T61" i="4"/>
  <c r="S61" i="4"/>
  <c r="Z1653" i="13"/>
  <c r="T63" i="4"/>
  <c r="Z1655" i="13"/>
  <c r="S63" i="4"/>
  <c r="H51" i="69"/>
  <c r="H51" i="72"/>
  <c r="AV1476" i="13"/>
  <c r="AU96" i="4"/>
  <c r="Y96" i="4"/>
  <c r="AT96" i="4" a="1"/>
  <c r="AT96" i="4" s="1"/>
  <c r="H96" i="72" s="1"/>
  <c r="AV96" i="4" a="1"/>
  <c r="AV96" i="4" s="1"/>
  <c r="CA96" i="4"/>
  <c r="BQ96" i="4"/>
  <c r="CY96" i="4"/>
  <c r="CZ96" i="4" s="1"/>
  <c r="AT69" i="4" a="1"/>
  <c r="AT69" i="4" s="1"/>
  <c r="Y69" i="4"/>
  <c r="AV69" i="4" a="1"/>
  <c r="AV69" i="4" s="1"/>
  <c r="AU69" i="4"/>
  <c r="BQ69" i="4"/>
  <c r="CA69" i="4"/>
  <c r="Z1686" i="13"/>
  <c r="T94" i="4"/>
  <c r="S94" i="4"/>
  <c r="AG69" i="69" a="1"/>
  <c r="AG69" i="69" s="1"/>
  <c r="BA34" i="72" a="1"/>
  <c r="BA34" i="72" s="1"/>
  <c r="BJ104" i="4"/>
  <c r="BJ105" i="4" s="1"/>
  <c r="BE5" i="4" a="1"/>
  <c r="BE5" i="4" s="1"/>
  <c r="A1684" i="13"/>
  <c r="AX1684" i="13" s="1"/>
  <c r="AX1585" i="13"/>
  <c r="AV1585" i="13"/>
  <c r="AV1684" i="13" s="1"/>
  <c r="AZ72" i="72" a="1"/>
  <c r="AZ72" i="72" s="1"/>
  <c r="AW91" i="69" a="1"/>
  <c r="AW91" i="69" s="1"/>
  <c r="BM61" i="4"/>
  <c r="BE61" i="4" s="1" a="1"/>
  <c r="BE61" i="4" s="1"/>
  <c r="BM61" i="72"/>
  <c r="AD61" i="69"/>
  <c r="BI61" i="69"/>
  <c r="AT83" i="72" a="1"/>
  <c r="AT83" i="72" s="1"/>
  <c r="AX1559" i="13"/>
  <c r="A1658" i="13"/>
  <c r="AX1658" i="13" s="1"/>
  <c r="AV1559" i="13"/>
  <c r="AV1658" i="13" s="1"/>
  <c r="S32" i="4"/>
  <c r="T32" i="4"/>
  <c r="Z1624" i="13"/>
  <c r="BR8" i="72" a="1"/>
  <c r="BR8" i="72" s="1"/>
  <c r="AR62" i="4"/>
  <c r="AY562" i="13"/>
  <c r="AQ62" i="4"/>
  <c r="AX56" i="72" a="1"/>
  <c r="AX56" i="72" s="1"/>
  <c r="Y62" i="4"/>
  <c r="AU62" i="4"/>
  <c r="AT62" i="4" a="1"/>
  <c r="AT62" i="4" s="1"/>
  <c r="AV62" i="4" a="1"/>
  <c r="AV62" i="4" s="1"/>
  <c r="BQ62" i="4"/>
  <c r="CY62" i="4"/>
  <c r="CZ62" i="4" s="1"/>
  <c r="CA62" i="4"/>
  <c r="C39" i="69"/>
  <c r="D39" i="69" s="1" a="1"/>
  <c r="D39" i="69" s="1"/>
  <c r="C39" i="72"/>
  <c r="D39" i="72" s="1" a="1"/>
  <c r="D39" i="72" s="1"/>
  <c r="A1678" i="13"/>
  <c r="AX1678" i="13" s="1"/>
  <c r="AV1579" i="13"/>
  <c r="AV1678" i="13" s="1"/>
  <c r="AX1579" i="13"/>
  <c r="H60" i="69"/>
  <c r="AZ17" i="72" a="1"/>
  <c r="AZ17" i="72" s="1"/>
  <c r="AN29" i="69" a="1"/>
  <c r="AN29" i="69" s="1"/>
  <c r="AW36" i="69" a="1"/>
  <c r="AW36" i="69" s="1"/>
  <c r="AV65" i="69" a="1"/>
  <c r="AV65" i="69" s="1"/>
  <c r="BA15" i="72" a="1"/>
  <c r="BA15" i="72" s="1"/>
  <c r="AG27" i="69" a="1"/>
  <c r="AG27" i="69" s="1"/>
  <c r="AZ19" i="72" a="1"/>
  <c r="AZ19" i="72" s="1"/>
  <c r="AZ43" i="72" a="1"/>
  <c r="AZ43" i="72" s="1"/>
  <c r="DV55" i="4"/>
  <c r="AV557" i="13"/>
  <c r="BH55" i="4"/>
  <c r="BH97" i="4" s="1"/>
  <c r="BE108" i="4" s="1"/>
  <c r="F97" i="4"/>
  <c r="BC105" i="4" s="1"/>
  <c r="BC107" i="4" s="1"/>
  <c r="BF107" i="4" s="1"/>
  <c r="Z1678" i="13"/>
  <c r="S86" i="4"/>
  <c r="T86" i="4"/>
  <c r="BO61" i="72"/>
  <c r="O61" i="69"/>
  <c r="O61" i="72"/>
  <c r="BK61" i="69"/>
  <c r="Z1618" i="13"/>
  <c r="T26" i="4"/>
  <c r="S26" i="4"/>
  <c r="F40" i="23"/>
  <c r="P40" i="23" s="1"/>
  <c r="F43" i="23"/>
  <c r="P43" i="23" s="1"/>
  <c r="Z43" i="23" s="1"/>
  <c r="F42" i="23"/>
  <c r="P42" i="23" s="1"/>
  <c r="Z42" i="23" s="1"/>
  <c r="F41" i="23"/>
  <c r="P41" i="23" s="1"/>
  <c r="Z41" i="23" s="1"/>
  <c r="BK86" i="69"/>
  <c r="BO86" i="72"/>
  <c r="O86" i="72"/>
  <c r="O86" i="69"/>
  <c r="T70" i="4"/>
  <c r="S70" i="4"/>
  <c r="Z1662" i="13"/>
  <c r="AS12" i="72" a="1"/>
  <c r="AS12" i="72" s="1"/>
  <c r="AY12" i="72" a="1"/>
  <c r="AY12" i="72" s="1"/>
  <c r="BE12" i="72" a="1"/>
  <c r="BE12" i="72" s="1"/>
  <c r="BD12" i="72" a="1"/>
  <c r="BD12" i="72" s="1"/>
  <c r="AN12" i="72" a="1"/>
  <c r="AN12" i="72" s="1"/>
  <c r="AH12" i="72" a="1"/>
  <c r="AH12" i="72" s="1"/>
  <c r="AM12" i="72" a="1"/>
  <c r="AM12" i="72" s="1"/>
  <c r="AU12" i="72" a="1"/>
  <c r="AU12" i="72" s="1"/>
  <c r="BA12" i="72" a="1"/>
  <c r="BA12" i="72" s="1"/>
  <c r="BB12" i="72" a="1"/>
  <c r="BB12" i="72" s="1"/>
  <c r="AT65" i="4" a="1"/>
  <c r="AT65" i="4" s="1"/>
  <c r="AU65" i="4"/>
  <c r="Y65" i="4"/>
  <c r="AV65" i="4" a="1"/>
  <c r="AV65" i="4" s="1"/>
  <c r="BQ65" i="4"/>
  <c r="CA65" i="4"/>
  <c r="H54" i="69"/>
  <c r="H54" i="72"/>
  <c r="AG23" i="72"/>
  <c r="H21" i="69"/>
  <c r="H21" i="72"/>
  <c r="BM81" i="4"/>
  <c r="BE81" i="4" s="1" a="1"/>
  <c r="BE81" i="4" s="1"/>
  <c r="BI81" i="69"/>
  <c r="AD81" i="69"/>
  <c r="BM81" i="72"/>
  <c r="AV1531" i="13"/>
  <c r="AV1630" i="13" s="1"/>
  <c r="AX1531" i="13"/>
  <c r="A1630" i="13"/>
  <c r="AX1630" i="13" s="1"/>
  <c r="AX61" i="72" a="1"/>
  <c r="AX61" i="72" s="1"/>
  <c r="AN11" i="72" a="1"/>
  <c r="AN11" i="72" s="1"/>
  <c r="AM11" i="72" a="1"/>
  <c r="AM11" i="72" s="1"/>
  <c r="AH11" i="72" a="1"/>
  <c r="AH11" i="72" s="1"/>
  <c r="BA11" i="72" a="1"/>
  <c r="BA11" i="72" s="1"/>
  <c r="AU11" i="72" a="1"/>
  <c r="AU11" i="72" s="1"/>
  <c r="AS11" i="72" a="1"/>
  <c r="AS11" i="72" s="1"/>
  <c r="BD11" i="72" a="1"/>
  <c r="BD11" i="72" s="1"/>
  <c r="BE11" i="72" a="1"/>
  <c r="BE11" i="72" s="1"/>
  <c r="AZ11" i="72" a="1"/>
  <c r="AZ11" i="72" s="1"/>
  <c r="AY11" i="72" a="1"/>
  <c r="AY11" i="72" s="1"/>
  <c r="BB11" i="72" a="1"/>
  <c r="BB11" i="72" s="1"/>
  <c r="U35" i="14"/>
  <c r="N35" i="14"/>
  <c r="G35" i="14"/>
  <c r="Q35" i="14"/>
  <c r="I35" i="14"/>
  <c r="L35" i="14"/>
  <c r="V35" i="14"/>
  <c r="R35" i="14"/>
  <c r="F35" i="14"/>
  <c r="J35" i="14"/>
  <c r="K35" i="14"/>
  <c r="T35" i="14"/>
  <c r="H35" i="14"/>
  <c r="W35" i="14"/>
  <c r="Z35" i="14"/>
  <c r="P35" i="14"/>
  <c r="M35" i="14"/>
  <c r="S35" i="14"/>
  <c r="X35" i="14"/>
  <c r="Y35" i="14"/>
  <c r="O35" i="14"/>
  <c r="AY49" i="72" a="1"/>
  <c r="AY49" i="72" s="1"/>
  <c r="BD49" i="72" a="1"/>
  <c r="BD49" i="72" s="1"/>
  <c r="BE49" i="72" a="1"/>
  <c r="BE49" i="72" s="1"/>
  <c r="AU49" i="72" a="1"/>
  <c r="AU49" i="72" s="1"/>
  <c r="AH49" i="72" a="1"/>
  <c r="AH49" i="72" s="1"/>
  <c r="AN49" i="72" a="1"/>
  <c r="AN49" i="72" s="1"/>
  <c r="AM49" i="72" a="1"/>
  <c r="AM49" i="72" s="1"/>
  <c r="AZ49" i="72" a="1"/>
  <c r="AZ49" i="72" s="1"/>
  <c r="BB49" i="72" a="1"/>
  <c r="BB49" i="72" s="1"/>
  <c r="AN63" i="69" a="1"/>
  <c r="AN63" i="69" s="1"/>
  <c r="AX68" i="72" a="1"/>
  <c r="AX68" i="72" s="1"/>
  <c r="AV1578" i="13"/>
  <c r="AV1677" i="13" s="1"/>
  <c r="A1677" i="13"/>
  <c r="AX1677" i="13" s="1"/>
  <c r="AX1578" i="13"/>
  <c r="AX1530" i="13"/>
  <c r="AV1530" i="13"/>
  <c r="AV1629" i="13" s="1"/>
  <c r="A1629" i="13"/>
  <c r="AX1629" i="13" s="1"/>
  <c r="AV93" i="69" a="1"/>
  <c r="AV93" i="69" s="1"/>
  <c r="AD20" i="69"/>
  <c r="O20" i="69"/>
  <c r="BK20" i="69"/>
  <c r="O20" i="72"/>
  <c r="BO20" i="72"/>
  <c r="AV1550" i="13"/>
  <c r="AV1649" i="13" s="1"/>
  <c r="AX1550" i="13"/>
  <c r="A1649" i="13"/>
  <c r="AX1649" i="13" s="1"/>
  <c r="C51" i="69"/>
  <c r="D51" i="69" s="1" a="1"/>
  <c r="D51" i="69" s="1"/>
  <c r="C51" i="72"/>
  <c r="D51" i="72" s="1" a="1"/>
  <c r="D51" i="72" s="1"/>
  <c r="AX1575" i="13"/>
  <c r="A1674" i="13"/>
  <c r="AX1674" i="13" s="1"/>
  <c r="AV1575" i="13"/>
  <c r="AV1674" i="13" s="1"/>
  <c r="AX49" i="72" a="1"/>
  <c r="AX49" i="72" s="1"/>
  <c r="BR96" i="4"/>
  <c r="AE96" i="72" s="1"/>
  <c r="AV69" i="69" a="1"/>
  <c r="AV69" i="69" s="1"/>
  <c r="BM66" i="4"/>
  <c r="BE66" i="4" s="1" a="1"/>
  <c r="BE66" i="4" s="1"/>
  <c r="BI66" i="69"/>
  <c r="AD66" i="69"/>
  <c r="BM66" i="72"/>
  <c r="S38" i="4"/>
  <c r="Z1630" i="13"/>
  <c r="T38" i="4"/>
  <c r="AZ12" i="72" a="1"/>
  <c r="AZ12" i="72" s="1"/>
  <c r="BN82" i="69" a="1"/>
  <c r="BN82" i="69" s="1"/>
  <c r="AM16" i="72" a="1"/>
  <c r="AM16" i="72" s="1"/>
  <c r="BD16" i="72" a="1"/>
  <c r="BD16" i="72" s="1"/>
  <c r="BE16" i="72" a="1"/>
  <c r="BE16" i="72" s="1"/>
  <c r="BA16" i="72" a="1"/>
  <c r="BA16" i="72" s="1"/>
  <c r="AU16" i="72" a="1"/>
  <c r="AU16" i="72" s="1"/>
  <c r="AH16" i="72" a="1"/>
  <c r="AH16" i="72" s="1"/>
  <c r="AZ16" i="72" a="1"/>
  <c r="AZ16" i="72" s="1"/>
  <c r="AN16" i="72" a="1"/>
  <c r="AN16" i="72" s="1"/>
  <c r="AY16" i="72" a="1"/>
  <c r="AY16" i="72" s="1"/>
  <c r="AS16" i="72" a="1"/>
  <c r="AS16" i="72" s="1"/>
  <c r="BB16" i="72" a="1"/>
  <c r="BB16" i="72" s="1"/>
  <c r="AQ78" i="69" a="1"/>
  <c r="AQ78" i="69" s="1"/>
  <c r="AV78" i="69" a="1"/>
  <c r="AV78" i="69" s="1"/>
  <c r="AU78" i="69" a="1"/>
  <c r="AU78" i="69" s="1"/>
  <c r="AO78" i="69" a="1"/>
  <c r="AO78" i="69" s="1"/>
  <c r="AZ78" i="69" a="1"/>
  <c r="AZ78" i="69" s="1"/>
  <c r="BA78" i="69" a="1"/>
  <c r="BA78" i="69" s="1"/>
  <c r="AG78" i="69" a="1"/>
  <c r="AG78" i="69" s="1"/>
  <c r="AW78" i="69" a="1"/>
  <c r="AW78" i="69" s="1"/>
  <c r="AX78" i="69" a="1"/>
  <c r="AX78" i="69" s="1"/>
  <c r="AZ25" i="72" a="1"/>
  <c r="AZ25" i="72" s="1"/>
  <c r="AV1463" i="13"/>
  <c r="AV45" i="69" a="1"/>
  <c r="AV45" i="69" s="1"/>
  <c r="Y94" i="4"/>
  <c r="AU94" i="4"/>
  <c r="AV94" i="4" a="1"/>
  <c r="AV94" i="4" s="1"/>
  <c r="AT94" i="4" a="1"/>
  <c r="AT94" i="4" s="1"/>
  <c r="CA94" i="4"/>
  <c r="CY94" i="4"/>
  <c r="CZ94" i="4" s="1"/>
  <c r="BQ94" i="4"/>
  <c r="I377" i="15" a="1"/>
  <c r="I377" i="15" s="1"/>
  <c r="AX52" i="72" a="1"/>
  <c r="AX52" i="72" s="1"/>
  <c r="BR83" i="72" a="1"/>
  <c r="BR83" i="72" s="1"/>
  <c r="Z1664" i="13"/>
  <c r="T72" i="4"/>
  <c r="S72" i="4"/>
  <c r="BM95" i="4"/>
  <c r="BE95" i="4" s="1" a="1"/>
  <c r="BE95" i="4" s="1"/>
  <c r="BM95" i="72"/>
  <c r="BI95" i="69"/>
  <c r="AD95" i="69"/>
  <c r="AM38" i="72" a="1"/>
  <c r="AM38" i="72" s="1"/>
  <c r="BE38" i="72" a="1"/>
  <c r="BE38" i="72" s="1"/>
  <c r="AU38" i="72" a="1"/>
  <c r="AU38" i="72" s="1"/>
  <c r="AH38" i="72" a="1"/>
  <c r="AH38" i="72" s="1"/>
  <c r="AY38" i="72" a="1"/>
  <c r="AY38" i="72" s="1"/>
  <c r="AS38" i="72" a="1"/>
  <c r="AS38" i="72" s="1"/>
  <c r="BD38" i="72" a="1"/>
  <c r="BD38" i="72" s="1"/>
  <c r="AN38" i="72" a="1"/>
  <c r="AN38" i="72" s="1"/>
  <c r="AZ38" i="72" a="1"/>
  <c r="AZ38" i="72" s="1"/>
  <c r="BB38" i="72" a="1"/>
  <c r="BB38" i="72" s="1"/>
  <c r="AG43" i="69" a="1"/>
  <c r="AG43" i="69" s="1"/>
  <c r="AG5" i="69" a="1"/>
  <c r="AG5" i="69" s="1"/>
  <c r="X62" i="4"/>
  <c r="AT68" i="72" a="1"/>
  <c r="AT68" i="72" s="1"/>
  <c r="Z1619" i="13"/>
  <c r="S27" i="4"/>
  <c r="T27" i="4"/>
  <c r="AX1574" i="13"/>
  <c r="AV1574" i="13"/>
  <c r="AV1673" i="13" s="1"/>
  <c r="A1673" i="13"/>
  <c r="AX1673" i="13" s="1"/>
  <c r="AG74" i="69" a="1"/>
  <c r="AG74" i="69" s="1"/>
  <c r="AV79" i="69" a="1"/>
  <c r="AV79" i="69" s="1"/>
  <c r="BA54" i="72" a="1"/>
  <c r="BA54" i="72" s="1"/>
  <c r="AV68" i="69" a="1"/>
  <c r="AV68" i="69" s="1"/>
  <c r="BA18" i="72" a="1"/>
  <c r="BA18" i="72" s="1"/>
  <c r="AX1533" i="13"/>
  <c r="AV1533" i="13"/>
  <c r="AV1632" i="13" s="1"/>
  <c r="A1632" i="13"/>
  <c r="AX1632" i="13" s="1"/>
  <c r="AU22" i="72" a="1"/>
  <c r="AU22" i="72" s="1"/>
  <c r="AH22" i="72" a="1"/>
  <c r="AH22" i="72" s="1"/>
  <c r="AZ22" i="72" a="1"/>
  <c r="AZ22" i="72" s="1"/>
  <c r="AY22" i="72" a="1"/>
  <c r="AY22" i="72" s="1"/>
  <c r="AS22" i="72" a="1"/>
  <c r="AS22" i="72" s="1"/>
  <c r="AN22" i="72" a="1"/>
  <c r="AN22" i="72" s="1"/>
  <c r="BD22" i="72" a="1"/>
  <c r="BD22" i="72" s="1"/>
  <c r="AM22" i="72" a="1"/>
  <c r="AM22" i="72" s="1"/>
  <c r="BE22" i="72" a="1"/>
  <c r="BE22" i="72" s="1"/>
  <c r="BB22" i="72" a="1"/>
  <c r="BB22" i="72" s="1"/>
  <c r="AR80" i="4"/>
  <c r="AQ80" i="4"/>
  <c r="AY580" i="13"/>
  <c r="Y81" i="4"/>
  <c r="AT81" i="4" a="1"/>
  <c r="AT81" i="4" s="1"/>
  <c r="AU81" i="4"/>
  <c r="AV81" i="4" a="1"/>
  <c r="AV81" i="4" s="1"/>
  <c r="BQ81" i="4"/>
  <c r="CA81" i="4"/>
  <c r="S78" i="4"/>
  <c r="T78" i="4"/>
  <c r="Z1670" i="13"/>
  <c r="AX1573" i="13"/>
  <c r="AV1573" i="13"/>
  <c r="AV1672" i="13" s="1"/>
  <c r="A1672" i="13"/>
  <c r="AX1672" i="13" s="1"/>
  <c r="C22" i="72"/>
  <c r="D22" i="72" s="1" a="1"/>
  <c r="D22" i="72" s="1"/>
  <c r="C22" i="69"/>
  <c r="D22" i="69" s="1" a="1"/>
  <c r="D22" i="69" s="1"/>
  <c r="H33" i="72"/>
  <c r="H33" i="69"/>
  <c r="AX1513" i="13"/>
  <c r="AV1513" i="13"/>
  <c r="AV1612" i="13" s="1"/>
  <c r="A1612" i="13"/>
  <c r="AX1612" i="13" s="1"/>
  <c r="BM86" i="4"/>
  <c r="BE86" i="4" s="1" a="1"/>
  <c r="BE86" i="4" s="1"/>
  <c r="BI86" i="69"/>
  <c r="BM86" i="72"/>
  <c r="AD86" i="69"/>
  <c r="AX1557" i="13"/>
  <c r="AV1557" i="13"/>
  <c r="AV1656" i="13" s="1"/>
  <c r="A1656" i="13"/>
  <c r="AX1656" i="13" s="1"/>
  <c r="BO23" i="69"/>
  <c r="BR23" i="69" s="1"/>
  <c r="BV23" i="69"/>
  <c r="AR89" i="4"/>
  <c r="AQ89" i="4"/>
  <c r="AY589" i="13"/>
  <c r="AX1586" i="13"/>
  <c r="AV1586" i="13"/>
  <c r="AV1685" i="13" s="1"/>
  <c r="A1685" i="13"/>
  <c r="AX1685" i="13" s="1"/>
  <c r="O65" i="69"/>
  <c r="BK65" i="69"/>
  <c r="O65" i="72"/>
  <c r="BO65" i="72"/>
  <c r="AT93" i="72" a="1"/>
  <c r="AT93" i="72" s="1"/>
  <c r="BM23" i="4"/>
  <c r="BE23" i="4" s="1" a="1"/>
  <c r="BE23" i="4" s="1"/>
  <c r="BS103" i="4"/>
  <c r="Z1725" i="13" s="1"/>
  <c r="C23" i="72"/>
  <c r="D23" i="72" s="1" a="1"/>
  <c r="D23" i="72" s="1"/>
  <c r="BN76" i="69" a="1"/>
  <c r="BN76" i="69" s="1"/>
  <c r="AR83" i="4"/>
  <c r="AY583" i="13"/>
  <c r="AQ83" i="4"/>
  <c r="S44" i="4"/>
  <c r="Z1636" i="13"/>
  <c r="T44" i="4"/>
  <c r="BM80" i="4"/>
  <c r="BE80" i="4" s="1" a="1"/>
  <c r="BE80" i="4" s="1"/>
  <c r="BI80" i="69"/>
  <c r="BM80" i="72"/>
  <c r="AZ75" i="72" a="1"/>
  <c r="AZ75" i="72" s="1"/>
  <c r="S91" i="4"/>
  <c r="Z1683" i="13"/>
  <c r="T91" i="4"/>
  <c r="S43" i="4"/>
  <c r="Z1635" i="13"/>
  <c r="T43" i="4"/>
  <c r="BO85" i="72"/>
  <c r="O85" i="72"/>
  <c r="O85" i="69"/>
  <c r="BK85" i="69"/>
  <c r="AG93" i="69" a="1"/>
  <c r="AG93" i="69" s="1"/>
  <c r="K75" i="69" a="1"/>
  <c r="K75" i="69" s="1"/>
  <c r="AX1583" i="13"/>
  <c r="AV1583" i="13"/>
  <c r="AV1682" i="13" s="1"/>
  <c r="A1682" i="13"/>
  <c r="AX1682" i="13" s="1"/>
  <c r="K71" i="69" a="1"/>
  <c r="K71" i="69" s="1"/>
  <c r="H8" i="69"/>
  <c r="H8" i="72"/>
  <c r="AY568" i="13"/>
  <c r="AR68" i="4"/>
  <c r="AQ68" i="4"/>
  <c r="AO16" i="69" a="1"/>
  <c r="AO16" i="69" s="1"/>
  <c r="S18" i="4"/>
  <c r="Z1610" i="13"/>
  <c r="T18" i="4"/>
  <c r="T75" i="4"/>
  <c r="Z1667" i="13"/>
  <c r="S75" i="4"/>
  <c r="X94" i="4"/>
  <c r="BK84" i="69"/>
  <c r="O84" i="72"/>
  <c r="BO84" i="72"/>
  <c r="O84" i="69"/>
  <c r="AX14" i="72" a="1"/>
  <c r="AX14" i="72" s="1"/>
  <c r="AX1544" i="13"/>
  <c r="A1643" i="13"/>
  <c r="AX1643" i="13" s="1"/>
  <c r="AV1544" i="13"/>
  <c r="AV1643" i="13" s="1"/>
  <c r="AV1468" i="13"/>
  <c r="CY88" i="4"/>
  <c r="CZ88" i="4" s="1"/>
  <c r="AU88" i="4"/>
  <c r="AV88" i="4" a="1"/>
  <c r="AV88" i="4" s="1"/>
  <c r="AT88" i="4" a="1"/>
  <c r="AT88" i="4" s="1"/>
  <c r="Y88" i="4"/>
  <c r="BQ88" i="4"/>
  <c r="CA88" i="4"/>
  <c r="AG92" i="69" a="1"/>
  <c r="AG92" i="69" s="1"/>
  <c r="K71" i="72" a="1"/>
  <c r="K71" i="72" s="1"/>
  <c r="AZ76" i="72" a="1"/>
  <c r="AZ76" i="72" s="1"/>
  <c r="O72" i="72"/>
  <c r="BO72" i="72"/>
  <c r="O72" i="69"/>
  <c r="BK72" i="69"/>
  <c r="O66" i="69"/>
  <c r="BO66" i="72"/>
  <c r="O66" i="72"/>
  <c r="BK66" i="69"/>
  <c r="AW33" i="69" a="1"/>
  <c r="AW33" i="69" s="1"/>
  <c r="AX22" i="72" a="1"/>
  <c r="AX22" i="72" s="1"/>
  <c r="BN73" i="69" a="1"/>
  <c r="BN73" i="69" s="1"/>
  <c r="AX1514" i="13"/>
  <c r="AV1514" i="13"/>
  <c r="AV1613" i="13" s="1"/>
  <c r="A1613" i="13"/>
  <c r="AX1613" i="13" s="1"/>
  <c r="S87" i="4"/>
  <c r="Z1679" i="13"/>
  <c r="T87" i="4"/>
  <c r="T92" i="4"/>
  <c r="Z1684" i="13"/>
  <c r="S92" i="4"/>
  <c r="AZ86" i="72" a="1"/>
  <c r="AZ86" i="72" s="1"/>
  <c r="AW74" i="69" a="1"/>
  <c r="AW74" i="69" s="1"/>
  <c r="AW32" i="69" a="1"/>
  <c r="AW32" i="69" s="1"/>
  <c r="AZ40" i="72" a="1"/>
  <c r="AZ40" i="72" s="1"/>
  <c r="AZ77" i="72" a="1"/>
  <c r="AZ77" i="72" s="1"/>
  <c r="AV57" i="69" a="1"/>
  <c r="AV57" i="69" s="1"/>
  <c r="AW30" i="69" a="1"/>
  <c r="AW30" i="69" s="1"/>
  <c r="AN68" i="69" a="1"/>
  <c r="AN68" i="69" s="1"/>
  <c r="AV27" i="69" a="1"/>
  <c r="AV27" i="69" s="1"/>
  <c r="BM78" i="4"/>
  <c r="BE78" i="4" s="1" a="1"/>
  <c r="BE78" i="4" s="1"/>
  <c r="BI78" i="69"/>
  <c r="AD78" i="69"/>
  <c r="BM78" i="72"/>
  <c r="BO94" i="72"/>
  <c r="O94" i="69"/>
  <c r="O94" i="72"/>
  <c r="BK94" i="69"/>
  <c r="AU76" i="4"/>
  <c r="Y76" i="4"/>
  <c r="AV76" i="4" a="1"/>
  <c r="AV76" i="4" s="1"/>
  <c r="AT76" i="4" a="1"/>
  <c r="AT76" i="4" s="1"/>
  <c r="CA76" i="4"/>
  <c r="CY76" i="4"/>
  <c r="CZ76" i="4" s="1"/>
  <c r="BQ76" i="4"/>
  <c r="Z1638" i="13"/>
  <c r="S46" i="4"/>
  <c r="T46" i="4"/>
  <c r="BM62" i="4"/>
  <c r="BE62" i="4" s="1" a="1"/>
  <c r="BE62" i="4" s="1"/>
  <c r="BI62" i="69"/>
  <c r="BM62" i="72"/>
  <c r="AD62" i="69"/>
  <c r="BD47" i="72" a="1"/>
  <c r="BD47" i="72" s="1"/>
  <c r="AU47" i="72" a="1"/>
  <c r="AU47" i="72" s="1"/>
  <c r="AY47" i="72" a="1"/>
  <c r="AY47" i="72" s="1"/>
  <c r="BE47" i="72" a="1"/>
  <c r="BE47" i="72" s="1"/>
  <c r="AS47" i="72" a="1"/>
  <c r="AS47" i="72" s="1"/>
  <c r="AM47" i="72" a="1"/>
  <c r="AM47" i="72" s="1"/>
  <c r="AH47" i="72" a="1"/>
  <c r="AH47" i="72" s="1"/>
  <c r="AN47" i="72" a="1"/>
  <c r="AN47" i="72" s="1"/>
  <c r="AZ47" i="72" a="1"/>
  <c r="AZ47" i="72" s="1"/>
  <c r="BB47" i="72" a="1"/>
  <c r="BB47" i="72" s="1"/>
  <c r="AQ60" i="72"/>
  <c r="D60" i="72" a="1"/>
  <c r="D60" i="72" s="1"/>
  <c r="H22" i="72"/>
  <c r="H22" i="69"/>
  <c r="AV80" i="4" a="1"/>
  <c r="AV80" i="4" s="1"/>
  <c r="AU80" i="4"/>
  <c r="Y80" i="4"/>
  <c r="AT80" i="4" a="1"/>
  <c r="AT80" i="4" s="1"/>
  <c r="CA80" i="4"/>
  <c r="CY80" i="4"/>
  <c r="CZ80" i="4" s="1"/>
  <c r="BQ80" i="4"/>
  <c r="AT52" i="72" a="1"/>
  <c r="AT52" i="72" s="1"/>
  <c r="O46" i="69"/>
  <c r="O46" i="72"/>
  <c r="BK46" i="69"/>
  <c r="BO46" i="72"/>
  <c r="S29" i="4"/>
  <c r="Z1621" i="13"/>
  <c r="T29" i="4"/>
  <c r="O53" i="69"/>
  <c r="O53" i="72"/>
  <c r="BO53" i="72"/>
  <c r="BK53" i="69"/>
  <c r="AD53" i="69"/>
  <c r="BM87" i="4"/>
  <c r="BE87" i="4" s="1" a="1"/>
  <c r="BE87" i="4" s="1"/>
  <c r="BM87" i="72"/>
  <c r="AD87" i="69"/>
  <c r="BI87" i="69"/>
  <c r="C54" i="69"/>
  <c r="D54" i="69" s="1" a="1"/>
  <c r="D54" i="69" s="1"/>
  <c r="C54" i="72"/>
  <c r="D54" i="72" s="1" a="1"/>
  <c r="D54" i="72" s="1"/>
  <c r="AY525" i="13"/>
  <c r="AQ25" i="4"/>
  <c r="AR25" i="4"/>
  <c r="BL23" i="72"/>
  <c r="AQ23" i="72"/>
  <c r="BR48" i="72" a="1"/>
  <c r="BR48" i="72" s="1"/>
  <c r="AV68" i="4" a="1"/>
  <c r="AV68" i="4" s="1"/>
  <c r="AU68" i="4"/>
  <c r="AT68" i="4" a="1"/>
  <c r="AT68" i="4" s="1"/>
  <c r="Y68" i="4"/>
  <c r="CY68" i="4"/>
  <c r="CZ68" i="4" s="1"/>
  <c r="P70" i="9" s="1"/>
  <c r="BQ68" i="4"/>
  <c r="CA68" i="4"/>
  <c r="Z1660" i="13"/>
  <c r="T68" i="4"/>
  <c r="S68" i="4"/>
  <c r="O62" i="72"/>
  <c r="BO62" i="72"/>
  <c r="O62" i="69"/>
  <c r="BK62" i="69"/>
  <c r="AX1547" i="13"/>
  <c r="AV1547" i="13"/>
  <c r="AV1646" i="13" s="1"/>
  <c r="A1646" i="13"/>
  <c r="AX1646" i="13" s="1"/>
  <c r="A1686" i="13"/>
  <c r="AX1686" i="13" s="1"/>
  <c r="AV1587" i="13"/>
  <c r="AV1686" i="13" s="1"/>
  <c r="AX1587" i="13"/>
  <c r="BA49" i="72" a="1"/>
  <c r="BA49" i="72" s="1"/>
  <c r="Y83" i="4"/>
  <c r="AU83" i="4"/>
  <c r="AT83" i="4" a="1"/>
  <c r="AT83" i="4" s="1"/>
  <c r="AV83" i="4" a="1"/>
  <c r="AV83" i="4" s="1"/>
  <c r="CA83" i="4"/>
  <c r="BQ83" i="4"/>
  <c r="AX1521" i="13"/>
  <c r="AV1521" i="13"/>
  <c r="AV1620" i="13" s="1"/>
  <c r="A1620" i="13"/>
  <c r="AX1620" i="13" s="1"/>
  <c r="Z1680" i="13"/>
  <c r="T88" i="4"/>
  <c r="S88" i="4"/>
  <c r="BM96" i="4"/>
  <c r="BE96" i="4" s="1" a="1"/>
  <c r="BE96" i="4" s="1"/>
  <c r="BM96" i="72"/>
  <c r="I355" i="15" a="1"/>
  <c r="I355" i="15" s="1"/>
  <c r="BN16" i="69" a="1"/>
  <c r="BN16" i="69" s="1"/>
  <c r="AV1525" i="13"/>
  <c r="AV1624" i="13" s="1"/>
  <c r="AX1525" i="13"/>
  <c r="A1624" i="13"/>
  <c r="AX1624" i="13" s="1"/>
  <c r="AT12" i="72" a="1"/>
  <c r="AT12" i="72" s="1"/>
  <c r="Y84" i="4"/>
  <c r="AV84" i="4" a="1"/>
  <c r="AV84" i="4" s="1"/>
  <c r="AU84" i="4"/>
  <c r="AT84" i="4" a="1"/>
  <c r="AT84" i="4" s="1"/>
  <c r="BQ84" i="4"/>
  <c r="CA84" i="4"/>
  <c r="I549" i="15" a="1"/>
  <c r="I549" i="15" s="1"/>
  <c r="AV1562" i="13"/>
  <c r="AV1661" i="13" s="1"/>
  <c r="A1661" i="13"/>
  <c r="AX1661" i="13" s="1"/>
  <c r="AX1562" i="13"/>
  <c r="BA45" i="72" a="1"/>
  <c r="BA45" i="72" s="1"/>
  <c r="AT27" i="72" a="1"/>
  <c r="AT27" i="72" s="1"/>
  <c r="AD94" i="69"/>
  <c r="I306" i="15" a="1"/>
  <c r="I306" i="15" s="1"/>
  <c r="C5" i="69"/>
  <c r="D5" i="69" s="1" a="1"/>
  <c r="D5" i="69" s="1"/>
  <c r="C5" i="72"/>
  <c r="D5" i="72" s="1" a="1"/>
  <c r="D5" i="72" s="1"/>
  <c r="AX64" i="72" a="1"/>
  <c r="AX64" i="72" s="1"/>
  <c r="A1666" i="13"/>
  <c r="AX1666" i="13" s="1"/>
  <c r="AX1567" i="13"/>
  <c r="AV1567" i="13"/>
  <c r="AV1666" i="13" s="1"/>
  <c r="Y71" i="4"/>
  <c r="AV71" i="4" a="1"/>
  <c r="AV71" i="4" s="1"/>
  <c r="AU71" i="4"/>
  <c r="AT71" i="4" a="1"/>
  <c r="AT71" i="4" s="1"/>
  <c r="CY71" i="4"/>
  <c r="CZ71" i="4" s="1"/>
  <c r="CA71" i="4"/>
  <c r="BQ71" i="4"/>
  <c r="AG52" i="69" a="1"/>
  <c r="AG52" i="69" s="1"/>
  <c r="AQ80" i="69" a="1"/>
  <c r="AQ80" i="69" s="1"/>
  <c r="AU80" i="69" a="1"/>
  <c r="AU80" i="69" s="1"/>
  <c r="BA80" i="69" a="1"/>
  <c r="BA80" i="69" s="1"/>
  <c r="AO80" i="69" a="1"/>
  <c r="AO80" i="69" s="1"/>
  <c r="AZ80" i="69" a="1"/>
  <c r="AZ80" i="69" s="1"/>
  <c r="AN80" i="69" a="1"/>
  <c r="AN80" i="69" s="1"/>
  <c r="AV80" i="69" a="1"/>
  <c r="AV80" i="69" s="1"/>
  <c r="AX80" i="69" a="1"/>
  <c r="AX80" i="69" s="1"/>
  <c r="K56" i="69" a="1"/>
  <c r="K56" i="69" s="1"/>
  <c r="AP33" i="69" a="1"/>
  <c r="AP33" i="69" s="1"/>
  <c r="AT6" i="72" a="1"/>
  <c r="AT6" i="72" s="1"/>
  <c r="AX22" i="69" a="1"/>
  <c r="AX22" i="69" s="1"/>
  <c r="AZ22" i="69" a="1"/>
  <c r="AZ22" i="69" s="1"/>
  <c r="AU22" i="69" a="1"/>
  <c r="AU22" i="69" s="1"/>
  <c r="AO22" i="69" a="1"/>
  <c r="AO22" i="69" s="1"/>
  <c r="AQ22" i="69" a="1"/>
  <c r="AQ22" i="69" s="1"/>
  <c r="BA22" i="69" a="1"/>
  <c r="BA22" i="69" s="1"/>
  <c r="AV22" i="69" a="1"/>
  <c r="AV22" i="69" s="1"/>
  <c r="AN22" i="69" a="1"/>
  <c r="AN22" i="69" s="1"/>
  <c r="AG84" i="69" a="1"/>
  <c r="AG84" i="69" s="1"/>
  <c r="AZ65" i="72" a="1"/>
  <c r="AZ65" i="72" s="1"/>
  <c r="AZ82" i="72" a="1"/>
  <c r="AZ82" i="72" s="1"/>
  <c r="AV67" i="69" a="1"/>
  <c r="AV67" i="69" s="1"/>
  <c r="AN89" i="69" a="1"/>
  <c r="AN89" i="69" s="1"/>
  <c r="BA46" i="72" a="1"/>
  <c r="BA46" i="72" s="1"/>
  <c r="AN75" i="69" a="1"/>
  <c r="AN75" i="69" s="1"/>
  <c r="BA21" i="72" a="1"/>
  <c r="BA21" i="72" s="1"/>
  <c r="AN71" i="69" a="1"/>
  <c r="AN71" i="69" s="1"/>
  <c r="AD92" i="69"/>
  <c r="O92" i="72"/>
  <c r="O92" i="69"/>
  <c r="BK92" i="69"/>
  <c r="BO92" i="72"/>
  <c r="AY564" i="13"/>
  <c r="AQ64" i="4"/>
  <c r="AR64" i="4"/>
  <c r="AV1570" i="13"/>
  <c r="AV1669" i="13" s="1"/>
  <c r="A1669" i="13"/>
  <c r="AX1669" i="13" s="1"/>
  <c r="AX1570" i="13"/>
  <c r="BJ60" i="72"/>
  <c r="BI60" i="72"/>
  <c r="AZ46" i="69" a="1"/>
  <c r="AZ46" i="69" s="1"/>
  <c r="BA46" i="69" a="1"/>
  <c r="BA46" i="69" s="1"/>
  <c r="AU46" i="69" a="1"/>
  <c r="AU46" i="69" s="1"/>
  <c r="AQ46" i="69" a="1"/>
  <c r="AQ46" i="69" s="1"/>
  <c r="AN46" i="69" a="1"/>
  <c r="AN46" i="69" s="1"/>
  <c r="AV46" i="69" a="1"/>
  <c r="AV46" i="69" s="1"/>
  <c r="AX46" i="69" a="1"/>
  <c r="AX46" i="69" s="1"/>
  <c r="A1617" i="13"/>
  <c r="AX1617" i="13" s="1"/>
  <c r="AX1518" i="13"/>
  <c r="AV1518" i="13"/>
  <c r="AV1617" i="13" s="1"/>
  <c r="O16" i="69"/>
  <c r="BK16" i="69"/>
  <c r="AD16" i="69"/>
  <c r="O16" i="72"/>
  <c r="BO16" i="72"/>
  <c r="AD80" i="69"/>
  <c r="O80" i="72"/>
  <c r="BO80" i="72"/>
  <c r="BK80" i="69"/>
  <c r="O80" i="69"/>
  <c r="AN81" i="69" a="1"/>
  <c r="AN81" i="69" s="1"/>
  <c r="BM68" i="4"/>
  <c r="BE68" i="4" s="1" a="1"/>
  <c r="BE68" i="4" s="1"/>
  <c r="BM68" i="72"/>
  <c r="BI68" i="69"/>
  <c r="AD68" i="69"/>
  <c r="AU82" i="4"/>
  <c r="AV82" i="4" a="1"/>
  <c r="AV82" i="4" s="1"/>
  <c r="Y82" i="4"/>
  <c r="AT82" i="4" a="1"/>
  <c r="AT82" i="4" s="1"/>
  <c r="CA82" i="4"/>
  <c r="CY82" i="4"/>
  <c r="CZ82" i="4" s="1"/>
  <c r="BQ82" i="4"/>
  <c r="C52" i="69"/>
  <c r="D52" i="69" s="1" a="1"/>
  <c r="D52" i="69" s="1"/>
  <c r="C52" i="72"/>
  <c r="D52" i="72" s="1" a="1"/>
  <c r="D52" i="72" s="1"/>
  <c r="AU61" i="4"/>
  <c r="AT61" i="4" a="1"/>
  <c r="AT61" i="4" s="1"/>
  <c r="Y61" i="4"/>
  <c r="AV61" i="4" a="1"/>
  <c r="AV61" i="4" s="1"/>
  <c r="CA61" i="4"/>
  <c r="BQ61" i="4"/>
  <c r="CY61" i="4"/>
  <c r="CZ61" i="4" s="1"/>
  <c r="AT44" i="69" a="1"/>
  <c r="AT44" i="69" s="1"/>
  <c r="AV44" i="69" a="1"/>
  <c r="AV44" i="69" s="1"/>
  <c r="AO44" i="69" a="1"/>
  <c r="AO44" i="69" s="1"/>
  <c r="AG44" i="69" a="1"/>
  <c r="AG44" i="69" s="1"/>
  <c r="AZ44" i="69" a="1"/>
  <c r="AZ44" i="69" s="1"/>
  <c r="AQ44" i="69" a="1"/>
  <c r="AQ44" i="69" s="1"/>
  <c r="AW44" i="69" a="1"/>
  <c r="AW44" i="69" s="1"/>
  <c r="AN44" i="69" a="1"/>
  <c r="AN44" i="69" s="1"/>
  <c r="BA44" i="69" a="1"/>
  <c r="BA44" i="69" s="1"/>
  <c r="AU44" i="69" a="1"/>
  <c r="AU44" i="69" s="1"/>
  <c r="AX44" i="69" a="1"/>
  <c r="AX44" i="69" s="1"/>
  <c r="AY582" i="13"/>
  <c r="AR82" i="4"/>
  <c r="AQ82" i="4"/>
  <c r="AU63" i="69" a="1"/>
  <c r="AU63" i="69" s="1"/>
  <c r="AG63" i="69" a="1"/>
  <c r="AG63" i="69" s="1"/>
  <c r="AO63" i="69" a="1"/>
  <c r="AO63" i="69" s="1"/>
  <c r="AQ63" i="69" a="1"/>
  <c r="AQ63" i="69" s="1"/>
  <c r="AZ63" i="69" a="1"/>
  <c r="AZ63" i="69" s="1"/>
  <c r="BA63" i="69" a="1"/>
  <c r="BA63" i="69" s="1"/>
  <c r="AV63" i="69" a="1"/>
  <c r="AV63" i="69" s="1"/>
  <c r="AX63" i="69" a="1"/>
  <c r="AX63" i="69" s="1"/>
  <c r="Z1652" i="13"/>
  <c r="T60" i="4"/>
  <c r="S60" i="4"/>
  <c r="X83" i="4"/>
  <c r="AD65" i="69"/>
  <c r="AQ69" i="4"/>
  <c r="AY569" i="13"/>
  <c r="AR69" i="4"/>
  <c r="AV1560" i="13"/>
  <c r="AV1659" i="13" s="1"/>
  <c r="AX1560" i="13"/>
  <c r="A1659" i="13"/>
  <c r="AX1659" i="13" s="1"/>
  <c r="BE90" i="72" a="1"/>
  <c r="BE90" i="72" s="1"/>
  <c r="BD90" i="72" a="1"/>
  <c r="BD90" i="72" s="1"/>
  <c r="AY90" i="72" a="1"/>
  <c r="AY90" i="72" s="1"/>
  <c r="AS90" i="72" a="1"/>
  <c r="AS90" i="72" s="1"/>
  <c r="AU90" i="72" a="1"/>
  <c r="AU90" i="72" s="1"/>
  <c r="AM90" i="72" a="1"/>
  <c r="AM90" i="72" s="1"/>
  <c r="AZ90" i="72" a="1"/>
  <c r="AZ90" i="72" s="1"/>
  <c r="AH90" i="72" a="1"/>
  <c r="AH90" i="72" s="1"/>
  <c r="AN90" i="72" a="1"/>
  <c r="AN90" i="72" s="1"/>
  <c r="BB90" i="72" a="1"/>
  <c r="BB90" i="72" s="1"/>
  <c r="BN43" i="69" a="1"/>
  <c r="BN43" i="69" s="1"/>
  <c r="K81" i="72" a="1"/>
  <c r="K81" i="72" s="1"/>
  <c r="Z1650" i="13"/>
  <c r="S58" i="4"/>
  <c r="T58" i="4"/>
  <c r="AV1505" i="13"/>
  <c r="AV1604" i="13" s="1"/>
  <c r="A1604" i="13"/>
  <c r="AX1604" i="13" s="1"/>
  <c r="AX1505" i="13"/>
  <c r="BR14" i="72" a="1"/>
  <c r="BR14" i="72" s="1"/>
  <c r="BR12" i="72" a="1"/>
  <c r="BR12" i="72" s="1"/>
  <c r="AW35" i="69" a="1"/>
  <c r="AW35" i="69" s="1"/>
  <c r="AZ35" i="69" a="1"/>
  <c r="AZ35" i="69" s="1"/>
  <c r="AQ35" i="69" a="1"/>
  <c r="AQ35" i="69" s="1"/>
  <c r="BA35" i="69" a="1"/>
  <c r="BA35" i="69" s="1"/>
  <c r="AU35" i="69" a="1"/>
  <c r="AU35" i="69" s="1"/>
  <c r="AO35" i="69" a="1"/>
  <c r="AO35" i="69" s="1"/>
  <c r="AG35" i="69" a="1"/>
  <c r="AG35" i="69" s="1"/>
  <c r="AV35" i="69" a="1"/>
  <c r="AV35" i="69" s="1"/>
  <c r="AN35" i="69" a="1"/>
  <c r="AN35" i="69" s="1"/>
  <c r="AX35" i="69" a="1"/>
  <c r="AX35" i="69" s="1"/>
  <c r="AV1470" i="13"/>
  <c r="Z1649" i="13"/>
  <c r="T57" i="4"/>
  <c r="S57" i="4"/>
  <c r="H5" i="72"/>
  <c r="H5" i="69"/>
  <c r="Z1672" i="13"/>
  <c r="T80" i="4"/>
  <c r="S80" i="4"/>
  <c r="BR71" i="4"/>
  <c r="AE71" i="72" s="1"/>
  <c r="BA70" i="72" a="1"/>
  <c r="BA70" i="72" s="1"/>
  <c r="A1660" i="13"/>
  <c r="AX1660" i="13" s="1"/>
  <c r="AX1561" i="13"/>
  <c r="AV1561" i="13"/>
  <c r="AV1660" i="13" s="1"/>
  <c r="AU73" i="4"/>
  <c r="AT73" i="4" a="1"/>
  <c r="AT73" i="4" s="1"/>
  <c r="Y73" i="4"/>
  <c r="AV73" i="4" a="1"/>
  <c r="AV73" i="4" s="1"/>
  <c r="BQ73" i="4"/>
  <c r="CA73" i="4"/>
  <c r="BR68" i="72" a="1"/>
  <c r="BR68" i="72" s="1"/>
  <c r="BN33" i="69" a="1"/>
  <c r="BN33" i="69" s="1"/>
  <c r="BA6" i="72" a="1"/>
  <c r="BA6" i="72" s="1"/>
  <c r="K60" i="69" a="1"/>
  <c r="K60" i="69" s="1"/>
  <c r="R60" i="69"/>
  <c r="BM60" i="69" a="1"/>
  <c r="BM60" i="69" s="1"/>
  <c r="BG60" i="69"/>
  <c r="BT60" i="69"/>
  <c r="BD60" i="69"/>
  <c r="AP60" i="69" a="1"/>
  <c r="AP60" i="69" s="1"/>
  <c r="AW84" i="69" a="1"/>
  <c r="AW84" i="69" s="1"/>
  <c r="AW89" i="69" a="1"/>
  <c r="AW89" i="69" s="1"/>
  <c r="AV39" i="69" a="1"/>
  <c r="AV39" i="69" s="1"/>
  <c r="AN12" i="69" a="1"/>
  <c r="AN12" i="69" s="1"/>
  <c r="AP76" i="69" a="1"/>
  <c r="AP76" i="69" s="1"/>
  <c r="AN76" i="69" a="1"/>
  <c r="AN76" i="69" s="1"/>
  <c r="AU76" i="69" a="1"/>
  <c r="AU76" i="69" s="1"/>
  <c r="AG76" i="69" a="1"/>
  <c r="AG76" i="69" s="1"/>
  <c r="BA76" i="69" a="1"/>
  <c r="BA76" i="69" s="1"/>
  <c r="AQ76" i="69" a="1"/>
  <c r="AQ76" i="69" s="1"/>
  <c r="AZ76" i="69" a="1"/>
  <c r="AZ76" i="69" s="1"/>
  <c r="AV76" i="69" a="1"/>
  <c r="AV76" i="69" s="1"/>
  <c r="AO76" i="69" a="1"/>
  <c r="AO76" i="69" s="1"/>
  <c r="AW76" i="69" a="1"/>
  <c r="AW76" i="69" s="1"/>
  <c r="AX76" i="69" a="1"/>
  <c r="AX76" i="69" s="1"/>
  <c r="C33" i="72"/>
  <c r="D33" i="72" s="1" a="1"/>
  <c r="D33" i="72" s="1"/>
  <c r="C33" i="69"/>
  <c r="D33" i="69" s="1" a="1"/>
  <c r="D33" i="69" s="1"/>
  <c r="A1615" i="13"/>
  <c r="AX1615" i="13" s="1"/>
  <c r="AX1516" i="13"/>
  <c r="AV1516" i="13"/>
  <c r="AV1615" i="13" s="1"/>
  <c r="B10" i="27"/>
  <c r="BF23" i="69"/>
  <c r="BE23" i="69"/>
  <c r="AG23" i="69" s="1" a="1"/>
  <c r="AG23" i="69" s="1"/>
  <c r="AV1252" i="13"/>
  <c r="AG3" i="1" s="1" a="1"/>
  <c r="AG3" i="1" s="1"/>
  <c r="AG101" i="1" s="1"/>
  <c r="Z97" i="4"/>
  <c r="H52" i="69"/>
  <c r="H52" i="72"/>
  <c r="AR23" i="72"/>
  <c r="BQ23" i="72" a="1"/>
  <c r="BQ23" i="72" s="1"/>
  <c r="BK23" i="72"/>
  <c r="AZ23" i="72" s="1" a="1"/>
  <c r="AZ23" i="72" s="1"/>
  <c r="R23" i="72"/>
  <c r="BH23" i="72"/>
  <c r="BX23" i="72"/>
  <c r="AT23" i="72" a="1"/>
  <c r="AT23" i="72" s="1"/>
  <c r="BM77" i="4"/>
  <c r="BE77" i="4" s="1" a="1"/>
  <c r="BE77" i="4" s="1"/>
  <c r="AD77" i="69"/>
  <c r="BM77" i="72"/>
  <c r="BI77" i="69"/>
  <c r="T59" i="4"/>
  <c r="S59" i="4"/>
  <c r="Z1651" i="13"/>
  <c r="AU39" i="72" a="1"/>
  <c r="AU39" i="72" s="1"/>
  <c r="BE39" i="72" a="1"/>
  <c r="BE39" i="72" s="1"/>
  <c r="AS39" i="72" a="1"/>
  <c r="AS39" i="72" s="1"/>
  <c r="AY39" i="72" a="1"/>
  <c r="AY39" i="72" s="1"/>
  <c r="BD39" i="72" a="1"/>
  <c r="BD39" i="72" s="1"/>
  <c r="AN39" i="72" a="1"/>
  <c r="AN39" i="72" s="1"/>
  <c r="AH39" i="72" a="1"/>
  <c r="AH39" i="72" s="1"/>
  <c r="AM39" i="72" a="1"/>
  <c r="AM39" i="72" s="1"/>
  <c r="BA39" i="72" a="1"/>
  <c r="BA39" i="72" s="1"/>
  <c r="BB39" i="72" a="1"/>
  <c r="BB39" i="72" s="1"/>
  <c r="C36" i="14"/>
  <c r="B36" i="14"/>
  <c r="O68" i="72"/>
  <c r="BK68" i="69"/>
  <c r="O68" i="69"/>
  <c r="BO68" i="72"/>
  <c r="AX1555" i="13"/>
  <c r="AV1555" i="13"/>
  <c r="AV1654" i="13" s="1"/>
  <c r="A1654" i="13"/>
  <c r="AX1654" i="13" s="1"/>
  <c r="AD63" i="69"/>
  <c r="AV1528" i="13"/>
  <c r="AV1627" i="13" s="1"/>
  <c r="AX1528" i="13"/>
  <c r="A1627" i="13"/>
  <c r="AX1627" i="13" s="1"/>
  <c r="BR56" i="72" a="1"/>
  <c r="BR56" i="72" s="1"/>
  <c r="BA36" i="72" a="1"/>
  <c r="BA36" i="72" s="1"/>
  <c r="BM93" i="4"/>
  <c r="BE93" i="4" s="1" a="1"/>
  <c r="BE93" i="4" s="1"/>
  <c r="BM93" i="72"/>
  <c r="AD93" i="69"/>
  <c r="BI93" i="69"/>
  <c r="AV1452" i="13"/>
  <c r="Z1626" i="13"/>
  <c r="S34" i="4"/>
  <c r="T34" i="4"/>
  <c r="K78" i="69" a="1"/>
  <c r="K78" i="69" s="1"/>
  <c r="BO83" i="72"/>
  <c r="O83" i="69"/>
  <c r="O83" i="72"/>
  <c r="BK83" i="69"/>
  <c r="BM67" i="4"/>
  <c r="BE67" i="4" s="1" a="1"/>
  <c r="BE67" i="4" s="1"/>
  <c r="BM67" i="72"/>
  <c r="BI67" i="69"/>
  <c r="H48" i="72"/>
  <c r="H48" i="69"/>
  <c r="H42" i="72"/>
  <c r="H42" i="69"/>
  <c r="AQ74" i="4"/>
  <c r="AY574" i="13"/>
  <c r="AR74" i="4"/>
  <c r="AT72" i="4" a="1"/>
  <c r="AT72" i="4" s="1"/>
  <c r="AV72" i="4" a="1"/>
  <c r="AV72" i="4" s="1"/>
  <c r="Y72" i="4"/>
  <c r="AU72" i="4"/>
  <c r="CA72" i="4"/>
  <c r="CY72" i="4"/>
  <c r="CZ72" i="4" s="1"/>
  <c r="BQ72" i="4"/>
  <c r="C31" i="69"/>
  <c r="D31" i="69" s="1" a="1"/>
  <c r="D31" i="69" s="1"/>
  <c r="C31" i="72"/>
  <c r="D31" i="72" s="1" a="1"/>
  <c r="D31" i="72" s="1"/>
  <c r="T53" i="4"/>
  <c r="S53" i="4"/>
  <c r="Z1645" i="13"/>
  <c r="AG20" i="69" a="1"/>
  <c r="AG20" i="69" s="1"/>
  <c r="AV1545" i="13"/>
  <c r="AV1644" i="13" s="1"/>
  <c r="A1644" i="13"/>
  <c r="AX1644" i="13" s="1"/>
  <c r="AX1545" i="13"/>
  <c r="AF17" i="27"/>
  <c r="C15" i="27"/>
  <c r="A8" i="27"/>
  <c r="A7" i="27" s="1"/>
  <c r="AW16" i="69" a="1"/>
  <c r="AW16" i="69" s="1"/>
  <c r="AQ71" i="4"/>
  <c r="AR71" i="4"/>
  <c r="AY571" i="13"/>
  <c r="AT56" i="69" a="1"/>
  <c r="AT56" i="69" s="1"/>
  <c r="AW56" i="69" a="1"/>
  <c r="AW56" i="69" s="1"/>
  <c r="AQ56" i="69" a="1"/>
  <c r="AQ56" i="69" s="1"/>
  <c r="AO56" i="69" a="1"/>
  <c r="AO56" i="69" s="1"/>
  <c r="BA56" i="69" a="1"/>
  <c r="BA56" i="69" s="1"/>
  <c r="AG56" i="69" a="1"/>
  <c r="AG56" i="69" s="1"/>
  <c r="AZ56" i="69" a="1"/>
  <c r="AZ56" i="69" s="1"/>
  <c r="AN56" i="69" a="1"/>
  <c r="AN56" i="69" s="1"/>
  <c r="AV56" i="69" a="1"/>
  <c r="AV56" i="69" s="1"/>
  <c r="AU56" i="69" a="1"/>
  <c r="AU56" i="69" s="1"/>
  <c r="AX56" i="69" a="1"/>
  <c r="AX56" i="69" s="1"/>
  <c r="AX1508" i="13"/>
  <c r="AV1508" i="13"/>
  <c r="AV1607" i="13" s="1"/>
  <c r="A1607" i="13"/>
  <c r="AX1607" i="13" s="1"/>
  <c r="AG38" i="69" a="1"/>
  <c r="AG38" i="69" s="1"/>
  <c r="AX1569" i="13"/>
  <c r="A1668" i="13"/>
  <c r="AX1668" i="13" s="1"/>
  <c r="AV1569" i="13"/>
  <c r="AV1668" i="13" s="1"/>
  <c r="BD26" i="72" a="1"/>
  <c r="BD26" i="72" s="1"/>
  <c r="AH26" i="72" a="1"/>
  <c r="AH26" i="72" s="1"/>
  <c r="AY26" i="72" a="1"/>
  <c r="AY26" i="72" s="1"/>
  <c r="AN26" i="72" a="1"/>
  <c r="AN26" i="72" s="1"/>
  <c r="AM26" i="72" a="1"/>
  <c r="AM26" i="72" s="1"/>
  <c r="BA26" i="72" a="1"/>
  <c r="BA26" i="72" s="1"/>
  <c r="BE26" i="72" a="1"/>
  <c r="BE26" i="72" s="1"/>
  <c r="AU26" i="72" a="1"/>
  <c r="AU26" i="72" s="1"/>
  <c r="AZ26" i="72" a="1"/>
  <c r="AZ26" i="72" s="1"/>
  <c r="AS26" i="72" a="1"/>
  <c r="AS26" i="72" s="1"/>
  <c r="BB26" i="72" a="1"/>
  <c r="BB26" i="72" s="1"/>
  <c r="AV1464" i="13"/>
  <c r="Z1666" i="13"/>
  <c r="S74" i="4"/>
  <c r="T74" i="4"/>
  <c r="AZ39" i="72" a="1"/>
  <c r="AZ39" i="72" s="1"/>
  <c r="AX6" i="72" a="1"/>
  <c r="AX6" i="72" s="1"/>
  <c r="X73" i="4"/>
  <c r="S51" i="4"/>
  <c r="T51" i="4"/>
  <c r="Z1643" i="13"/>
  <c r="BA28" i="72" a="1"/>
  <c r="BA28" i="72" s="1"/>
  <c r="AZ68" i="72" a="1"/>
  <c r="AZ68" i="72" s="1"/>
  <c r="Z1637" i="13"/>
  <c r="S45" i="4"/>
  <c r="T45" i="4"/>
  <c r="BA60" i="69" a="1"/>
  <c r="BA60" i="69" s="1"/>
  <c r="AO60" i="69" a="1"/>
  <c r="AO60" i="69" s="1"/>
  <c r="AQ60" i="69" a="1"/>
  <c r="AQ60" i="69" s="1"/>
  <c r="AU60" i="69" a="1"/>
  <c r="AU60" i="69" s="1"/>
  <c r="AZ60" i="69" a="1"/>
  <c r="AZ60" i="69" s="1"/>
  <c r="O75" i="69"/>
  <c r="BK75" i="69"/>
  <c r="O75" i="72"/>
  <c r="BO75" i="72"/>
  <c r="AG83" i="69" a="1"/>
  <c r="AG83" i="69" s="1"/>
  <c r="AZ5" i="72" a="1"/>
  <c r="AZ5" i="72" s="1"/>
  <c r="AG67" i="69" a="1"/>
  <c r="AG67" i="69" s="1"/>
  <c r="AV14" i="69" a="1"/>
  <c r="AV14" i="69" s="1"/>
  <c r="AN57" i="69" a="1"/>
  <c r="AN57" i="69" s="1"/>
  <c r="AN39" i="69" a="1"/>
  <c r="AN39" i="69" s="1"/>
  <c r="BA33" i="72" a="1"/>
  <c r="BA33" i="72" s="1"/>
  <c r="AW50" i="69" a="1"/>
  <c r="AW50" i="69" s="1"/>
  <c r="BA80" i="72" a="1"/>
  <c r="BA80" i="72" s="1"/>
  <c r="AG96" i="69" a="1"/>
  <c r="AG96" i="69" s="1"/>
  <c r="AG30" i="69" a="1"/>
  <c r="AG30" i="69" s="1"/>
  <c r="AV12" i="69" a="1"/>
  <c r="AV12" i="69" s="1"/>
  <c r="AN62" i="69" a="1"/>
  <c r="AN62" i="69" s="1"/>
  <c r="I603" i="15" a="1"/>
  <c r="I603" i="15" s="1"/>
  <c r="AN8" i="72" a="1"/>
  <c r="AN8" i="72" s="1"/>
  <c r="AM8" i="72" a="1"/>
  <c r="AM8" i="72" s="1"/>
  <c r="AH8" i="72" a="1"/>
  <c r="AH8" i="72" s="1"/>
  <c r="AS8" i="72" a="1"/>
  <c r="AS8" i="72" s="1"/>
  <c r="BE8" i="72" a="1"/>
  <c r="BE8" i="72" s="1"/>
  <c r="AZ8" i="72" a="1"/>
  <c r="AZ8" i="72" s="1"/>
  <c r="AU8" i="72" a="1"/>
  <c r="AU8" i="72" s="1"/>
  <c r="BA8" i="72" a="1"/>
  <c r="BA8" i="72" s="1"/>
  <c r="AY8" i="72" a="1"/>
  <c r="AY8" i="72" s="1"/>
  <c r="BD8" i="72" a="1"/>
  <c r="BD8" i="72" s="1"/>
  <c r="BB8" i="72" a="1"/>
  <c r="BB8" i="72" s="1"/>
  <c r="T89" i="4"/>
  <c r="Z1681" i="13"/>
  <c r="S89" i="4"/>
  <c r="AY570" i="13"/>
  <c r="AR70" i="4"/>
  <c r="AQ70" i="4"/>
  <c r="T66" i="4"/>
  <c r="Z1658" i="13"/>
  <c r="S66" i="4"/>
  <c r="AM69" i="72" a="1"/>
  <c r="AM69" i="72" s="1"/>
  <c r="AN69" i="72" a="1"/>
  <c r="AN69" i="72" s="1"/>
  <c r="AH69" i="72" a="1"/>
  <c r="AH69" i="72" s="1"/>
  <c r="AS69" i="72" a="1"/>
  <c r="AS69" i="72" s="1"/>
  <c r="AZ69" i="72" a="1"/>
  <c r="AZ69" i="72" s="1"/>
  <c r="AU69" i="72" a="1"/>
  <c r="AU69" i="72" s="1"/>
  <c r="BE69" i="72" a="1"/>
  <c r="BE69" i="72" s="1"/>
  <c r="BD69" i="72" a="1"/>
  <c r="BD69" i="72" s="1"/>
  <c r="BA69" i="72" a="1"/>
  <c r="BA69" i="72" s="1"/>
  <c r="AY69" i="72" a="1"/>
  <c r="AY69" i="72" s="1"/>
  <c r="BB69" i="72" a="1"/>
  <c r="BB69" i="72" s="1"/>
  <c r="AY587" i="13"/>
  <c r="AQ87" i="4"/>
  <c r="AR87" i="4"/>
  <c r="H28" i="72"/>
  <c r="H28" i="69"/>
  <c r="AQ79" i="4"/>
  <c r="AY579" i="13"/>
  <c r="AR79" i="4"/>
  <c r="AV1546" i="13"/>
  <c r="AV1645" i="13" s="1"/>
  <c r="A1645" i="13"/>
  <c r="AX1645" i="13" s="1"/>
  <c r="AX1546" i="13"/>
  <c r="AY578" i="13"/>
  <c r="AR78" i="4"/>
  <c r="AQ78" i="4"/>
  <c r="Z1673" i="13"/>
  <c r="S81" i="4"/>
  <c r="T81" i="4"/>
  <c r="H27" i="72"/>
  <c r="H27" i="69"/>
  <c r="I81" i="15" a="1"/>
  <c r="I81" i="15" s="1"/>
  <c r="G81" i="15"/>
  <c r="AR95" i="4"/>
  <c r="AQ95" i="4"/>
  <c r="AY595" i="13"/>
  <c r="AV1551" i="13"/>
  <c r="AV1650" i="13" s="1"/>
  <c r="A1650" i="13"/>
  <c r="AX1650" i="13" s="1"/>
  <c r="AX1551" i="13"/>
  <c r="DK88" i="4"/>
  <c r="DK77" i="4"/>
  <c r="DK4" i="4"/>
  <c r="DK40" i="4"/>
  <c r="DK85" i="4"/>
  <c r="DK59" i="4"/>
  <c r="DK41" i="4"/>
  <c r="DK42" i="4"/>
  <c r="DK11" i="4"/>
  <c r="DK82" i="4"/>
  <c r="DK48" i="4"/>
  <c r="DK20" i="4"/>
  <c r="DK89" i="4"/>
  <c r="DK92" i="4"/>
  <c r="DK75" i="4"/>
  <c r="DK76" i="4"/>
  <c r="DK29" i="4"/>
  <c r="DK91" i="4"/>
  <c r="DK45" i="4"/>
  <c r="DK5" i="4"/>
  <c r="DK74" i="4"/>
  <c r="DK44" i="4"/>
  <c r="DK71" i="4"/>
  <c r="DK28" i="4"/>
  <c r="DK36" i="4"/>
  <c r="DK22" i="4"/>
  <c r="DK46" i="4"/>
  <c r="DK73" i="4"/>
  <c r="DK47" i="4"/>
  <c r="DK25" i="4"/>
  <c r="DK87" i="4"/>
  <c r="DK81" i="4"/>
  <c r="DK78" i="4"/>
  <c r="DK79" i="4"/>
  <c r="DK49" i="4"/>
  <c r="DK51" i="4"/>
  <c r="DK90" i="4"/>
  <c r="DK32" i="4"/>
  <c r="DK84" i="4"/>
  <c r="DK83" i="4"/>
  <c r="DK12" i="4"/>
  <c r="DK39" i="4"/>
  <c r="DK30" i="4"/>
  <c r="DK67" i="4"/>
  <c r="DK7" i="4"/>
  <c r="DK50" i="4"/>
  <c r="DK95" i="4"/>
  <c r="DK58" i="4"/>
  <c r="DK34" i="4"/>
  <c r="DK9" i="4"/>
  <c r="DK61" i="4"/>
  <c r="DK23" i="4"/>
  <c r="DI3" i="4"/>
  <c r="DK3" i="4" s="1"/>
  <c r="DK37" i="4"/>
  <c r="DK19" i="4"/>
  <c r="DK16" i="4"/>
  <c r="DK56" i="4"/>
  <c r="DK60" i="4"/>
  <c r="DK35" i="4"/>
  <c r="DK17" i="4"/>
  <c r="DK62" i="4"/>
  <c r="DK70" i="4"/>
  <c r="DK68" i="4"/>
  <c r="DK13" i="4"/>
  <c r="DK80" i="4"/>
  <c r="DK64" i="4"/>
  <c r="DK15" i="4"/>
  <c r="DK63" i="4"/>
  <c r="DK6" i="4"/>
  <c r="DK55" i="4"/>
  <c r="DK24" i="4"/>
  <c r="DK8" i="4"/>
  <c r="DK38" i="4"/>
  <c r="DK31" i="4"/>
  <c r="DK52" i="4"/>
  <c r="DK86" i="4"/>
  <c r="DK93" i="4"/>
  <c r="DK14" i="4"/>
  <c r="DK94" i="4"/>
  <c r="DK57" i="4"/>
  <c r="DK66" i="4"/>
  <c r="DK72" i="4"/>
  <c r="DK10" i="4"/>
  <c r="DK18" i="4"/>
  <c r="DK27" i="4"/>
  <c r="DK53" i="4"/>
  <c r="DK21" i="4"/>
  <c r="DK33" i="4"/>
  <c r="DK54" i="4"/>
  <c r="DK69" i="4"/>
  <c r="DK26" i="4"/>
  <c r="DK65" i="4"/>
  <c r="DK96" i="4"/>
  <c r="DK43" i="4"/>
  <c r="C46" i="69"/>
  <c r="D46" i="69" s="1" a="1"/>
  <c r="D46" i="69" s="1"/>
  <c r="C46" i="72"/>
  <c r="D46" i="72" s="1" a="1"/>
  <c r="D46" i="72" s="1"/>
  <c r="C48" i="69"/>
  <c r="D48" i="69" s="1" a="1"/>
  <c r="D48" i="69" s="1"/>
  <c r="C48" i="72"/>
  <c r="D48" i="72" s="1" a="1"/>
  <c r="D48" i="72" s="1"/>
  <c r="AQ73" i="69" a="1"/>
  <c r="AQ73" i="69" s="1"/>
  <c r="AO73" i="69" a="1"/>
  <c r="AO73" i="69" s="1"/>
  <c r="AU73" i="69" a="1"/>
  <c r="AU73" i="69" s="1"/>
  <c r="AW73" i="69" a="1"/>
  <c r="AW73" i="69" s="1"/>
  <c r="BA73" i="69" a="1"/>
  <c r="BA73" i="69" s="1"/>
  <c r="AZ73" i="69" a="1"/>
  <c r="AZ73" i="69" s="1"/>
  <c r="AN73" i="69" a="1"/>
  <c r="AN73" i="69" s="1"/>
  <c r="AX73" i="69" a="1"/>
  <c r="AX73" i="69" s="1"/>
  <c r="AP46" i="69" a="1"/>
  <c r="AP46" i="69" s="1"/>
  <c r="H31" i="72"/>
  <c r="H31" i="69"/>
  <c r="AN7" i="69" a="1"/>
  <c r="AN7" i="69" s="1"/>
  <c r="BA32" i="72" a="1"/>
  <c r="BA32" i="72" s="1"/>
  <c r="Z1647" i="13"/>
  <c r="T55" i="4"/>
  <c r="S55" i="4"/>
  <c r="AZ14" i="72" a="1"/>
  <c r="AZ14" i="72" s="1"/>
  <c r="AV1558" i="13"/>
  <c r="AV1657" i="13" s="1"/>
  <c r="AX1558" i="13"/>
  <c r="A1657" i="13"/>
  <c r="AX1657" i="13" s="1"/>
  <c r="BM84" i="4"/>
  <c r="BE84" i="4" s="1" a="1"/>
  <c r="BE84" i="4" s="1"/>
  <c r="BM84" i="72"/>
  <c r="AD84" i="69"/>
  <c r="BI84" i="69"/>
  <c r="A1635" i="13"/>
  <c r="AX1635" i="13" s="1"/>
  <c r="AX1536" i="13"/>
  <c r="AV1536" i="13"/>
  <c r="AV1635" i="13" s="1"/>
  <c r="S19" i="4"/>
  <c r="Z1611" i="13"/>
  <c r="T19" i="4"/>
  <c r="BA79" i="72" a="1"/>
  <c r="BA79" i="72" s="1"/>
  <c r="H15" i="69"/>
  <c r="H15" i="72"/>
  <c r="AV1772" i="13"/>
  <c r="AB1772" i="13"/>
  <c r="T21" i="4"/>
  <c r="S21" i="4"/>
  <c r="Z1613" i="13"/>
  <c r="O44" i="72"/>
  <c r="BO44" i="72"/>
  <c r="BK44" i="69"/>
  <c r="O44" i="69"/>
  <c r="AT91" i="69" a="1"/>
  <c r="AT91" i="69" s="1"/>
  <c r="AT13" i="72" a="1"/>
  <c r="AT13" i="72" s="1"/>
  <c r="T12" i="4"/>
  <c r="Z1604" i="13"/>
  <c r="S10" i="4"/>
  <c r="S12" i="4"/>
  <c r="T10" i="4"/>
  <c r="AV1563" i="13"/>
  <c r="AV1662" i="13" s="1"/>
  <c r="A1662" i="13"/>
  <c r="AX1662" i="13" s="1"/>
  <c r="AX1563" i="13"/>
  <c r="AX20" i="72" a="1"/>
  <c r="AX20" i="72" s="1"/>
  <c r="BA31" i="69" a="1"/>
  <c r="BA31" i="69" s="1"/>
  <c r="AO31" i="69" a="1"/>
  <c r="AO31" i="69" s="1"/>
  <c r="AW31" i="69" a="1"/>
  <c r="AW31" i="69" s="1"/>
  <c r="AN31" i="69" a="1"/>
  <c r="AN31" i="69" s="1"/>
  <c r="AV31" i="69" a="1"/>
  <c r="AV31" i="69" s="1"/>
  <c r="AG31" i="69" a="1"/>
  <c r="AG31" i="69" s="1"/>
  <c r="AZ31" i="69" a="1"/>
  <c r="AZ31" i="69" s="1"/>
  <c r="AQ31" i="69" a="1"/>
  <c r="AQ31" i="69" s="1"/>
  <c r="AU31" i="69" a="1"/>
  <c r="AU31" i="69" s="1"/>
  <c r="AX31" i="69" a="1"/>
  <c r="AX31" i="69" s="1"/>
  <c r="A1681" i="13"/>
  <c r="AX1681" i="13" s="1"/>
  <c r="AV1582" i="13"/>
  <c r="AV1681" i="13" s="1"/>
  <c r="AX1582" i="13"/>
  <c r="AT61" i="72" a="1"/>
  <c r="AT61" i="72" s="1"/>
  <c r="A1637" i="13"/>
  <c r="AX1637" i="13" s="1"/>
  <c r="AX1538" i="13"/>
  <c r="AV1538" i="13"/>
  <c r="AV1637" i="13" s="1"/>
  <c r="G108" i="15"/>
  <c r="S23" i="4"/>
  <c r="Z1615" i="13"/>
  <c r="T23" i="4"/>
  <c r="AX1532" i="13"/>
  <c r="A1631" i="13"/>
  <c r="AX1631" i="13" s="1"/>
  <c r="AV1532" i="13"/>
  <c r="AV1631" i="13" s="1"/>
  <c r="BP60" i="69"/>
  <c r="BO60" i="69" s="1"/>
  <c r="BR60" i="69" s="1"/>
  <c r="BI60" i="69"/>
  <c r="BE60" i="69"/>
  <c r="AN60" i="69" s="1" a="1"/>
  <c r="AN60" i="69" s="1"/>
  <c r="BF60" i="69"/>
  <c r="AW83" i="69" a="1"/>
  <c r="AW83" i="69" s="1"/>
  <c r="AW48" i="69" a="1"/>
  <c r="AW48" i="69" s="1"/>
  <c r="BA53" i="72" a="1"/>
  <c r="BA53" i="72" s="1"/>
  <c r="AG49" i="69" a="1"/>
  <c r="AG49" i="69" s="1"/>
  <c r="AG50" i="69" a="1"/>
  <c r="AG50" i="69" s="1"/>
  <c r="AW71" i="69" a="1"/>
  <c r="AW71" i="69" s="1"/>
  <c r="AZ29" i="72" a="1"/>
  <c r="AZ29" i="72" s="1"/>
  <c r="AG17" i="69" a="1"/>
  <c r="AG17" i="69" s="1"/>
  <c r="AZ88" i="72" a="1"/>
  <c r="AZ88" i="72" s="1"/>
  <c r="AZ50" i="72" a="1"/>
  <c r="AZ50" i="72" s="1"/>
  <c r="AW86" i="69" a="1"/>
  <c r="AW86" i="69" s="1"/>
  <c r="AX1526" i="13"/>
  <c r="AV1526" i="13"/>
  <c r="AV1625" i="13" s="1"/>
  <c r="A1625" i="13"/>
  <c r="AX1625" i="13" s="1"/>
  <c r="AV58" i="4" a="1"/>
  <c r="AV58" i="4" s="1"/>
  <c r="AU58" i="4"/>
  <c r="AT58" i="4" a="1"/>
  <c r="AT58" i="4" s="1"/>
  <c r="Y58" i="4"/>
  <c r="CA58" i="4"/>
  <c r="CY58" i="4"/>
  <c r="CZ58" i="4" s="1"/>
  <c r="BQ58" i="4"/>
  <c r="BW60" i="72"/>
  <c r="L60" i="72"/>
  <c r="BQ60" i="72" a="1"/>
  <c r="BQ60" i="72" s="1"/>
  <c r="BH60" i="72"/>
  <c r="BX60" i="72"/>
  <c r="AR60" i="72"/>
  <c r="R60" i="72"/>
  <c r="BK60" i="72"/>
  <c r="BR60" i="72" a="1"/>
  <c r="BR60" i="72" s="1"/>
  <c r="AT60" i="72" a="1"/>
  <c r="AT60" i="72" s="1"/>
  <c r="AT63" i="4" a="1"/>
  <c r="AT63" i="4" s="1"/>
  <c r="AU63" i="4"/>
  <c r="Y63" i="4"/>
  <c r="AV63" i="4" a="1"/>
  <c r="AV63" i="4" s="1"/>
  <c r="CA63" i="4"/>
  <c r="CY63" i="4"/>
  <c r="CZ63" i="4" s="1"/>
  <c r="BQ63" i="4"/>
  <c r="AZ27" i="72" a="1"/>
  <c r="AZ27" i="72" s="1"/>
  <c r="AN27" i="72" a="1"/>
  <c r="AN27" i="72" s="1"/>
  <c r="BD27" i="72" a="1"/>
  <c r="BD27" i="72" s="1"/>
  <c r="AU27" i="72" a="1"/>
  <c r="AU27" i="72" s="1"/>
  <c r="AM27" i="72" a="1"/>
  <c r="AM27" i="72" s="1"/>
  <c r="AY27" i="72" a="1"/>
  <c r="AY27" i="72" s="1"/>
  <c r="BE27" i="72" a="1"/>
  <c r="BE27" i="72" s="1"/>
  <c r="AS27" i="72" a="1"/>
  <c r="AS27" i="72" s="1"/>
  <c r="BA27" i="72" a="1"/>
  <c r="BA27" i="72" s="1"/>
  <c r="AH27" i="72" a="1"/>
  <c r="AH27" i="72" s="1"/>
  <c r="BB27" i="72" a="1"/>
  <c r="BB27" i="72" s="1"/>
  <c r="AU56" i="72" a="1"/>
  <c r="AU56" i="72" s="1"/>
  <c r="BA56" i="72" a="1"/>
  <c r="BA56" i="72" s="1"/>
  <c r="AY56" i="72" a="1"/>
  <c r="AY56" i="72" s="1"/>
  <c r="AN56" i="72" a="1"/>
  <c r="AN56" i="72" s="1"/>
  <c r="AM56" i="72" a="1"/>
  <c r="AM56" i="72" s="1"/>
  <c r="BD56" i="72" a="1"/>
  <c r="BD56" i="72" s="1"/>
  <c r="AZ56" i="72" a="1"/>
  <c r="AZ56" i="72" s="1"/>
  <c r="AH56" i="72" a="1"/>
  <c r="AH56" i="72" s="1"/>
  <c r="AS56" i="72" a="1"/>
  <c r="AS56" i="72" s="1"/>
  <c r="BE56" i="72" a="1"/>
  <c r="BE56" i="72" s="1"/>
  <c r="BB56" i="72" a="1"/>
  <c r="BB56" i="72" s="1"/>
  <c r="AZ85" i="72" a="1"/>
  <c r="AZ85" i="72" s="1"/>
  <c r="AU74" i="4"/>
  <c r="AT74" i="4" a="1"/>
  <c r="AT74" i="4" s="1"/>
  <c r="AV74" i="4" a="1"/>
  <c r="AV74" i="4" s="1"/>
  <c r="Y74" i="4"/>
  <c r="CA74" i="4"/>
  <c r="BQ74" i="4"/>
  <c r="AZ52" i="72" a="1"/>
  <c r="AZ52" i="72" s="1"/>
  <c r="E23" i="69"/>
  <c r="AN91" i="72" a="1"/>
  <c r="AN91" i="72" s="1"/>
  <c r="BA91" i="72" a="1"/>
  <c r="BA91" i="72" s="1"/>
  <c r="AM91" i="72" a="1"/>
  <c r="AM91" i="72" s="1"/>
  <c r="AH91" i="72" a="1"/>
  <c r="AH91" i="72" s="1"/>
  <c r="AU91" i="72" a="1"/>
  <c r="AU91" i="72" s="1"/>
  <c r="AS91" i="72" a="1"/>
  <c r="AS91" i="72" s="1"/>
  <c r="BE91" i="72" a="1"/>
  <c r="BE91" i="72" s="1"/>
  <c r="AY91" i="72" a="1"/>
  <c r="AY91" i="72" s="1"/>
  <c r="BD91" i="72" a="1"/>
  <c r="BD91" i="72" s="1"/>
  <c r="AZ91" i="72" a="1"/>
  <c r="AZ91" i="72" s="1"/>
  <c r="BB91" i="72" a="1"/>
  <c r="BB91" i="72" s="1"/>
  <c r="AX1553" i="13"/>
  <c r="AV1553" i="13"/>
  <c r="AV1652" i="13" s="1"/>
  <c r="A1652" i="13"/>
  <c r="AX1652" i="13" s="1"/>
  <c r="A1601" i="13"/>
  <c r="AX1601" i="13" s="1"/>
  <c r="AV1502" i="13"/>
  <c r="AV1601" i="13" s="1"/>
  <c r="AX1502" i="13"/>
  <c r="BM85" i="4"/>
  <c r="BE85" i="4" s="1" a="1"/>
  <c r="BE85" i="4" s="1"/>
  <c r="AD85" i="69"/>
  <c r="BI85" i="69"/>
  <c r="BM85" i="72"/>
  <c r="BW23" i="72"/>
  <c r="C28" i="72"/>
  <c r="D28" i="72" s="1" a="1"/>
  <c r="D28" i="72" s="1"/>
  <c r="C28" i="69"/>
  <c r="D28" i="69" s="1" a="1"/>
  <c r="D28" i="69" s="1"/>
  <c r="AV1457" i="13"/>
  <c r="BB55" i="69"/>
  <c r="M55" i="69"/>
  <c r="S55" i="69"/>
  <c r="S97" i="69" s="1"/>
  <c r="BC55" i="69"/>
  <c r="AC55" i="69"/>
  <c r="V55" i="69"/>
  <c r="B55" i="69" s="1"/>
  <c r="W55" i="69"/>
  <c r="BQ55" i="69" s="1" a="1"/>
  <c r="BQ55" i="69" s="1"/>
  <c r="AS55" i="69"/>
  <c r="J55" i="69"/>
  <c r="K55" i="69" a="1"/>
  <c r="K55" i="69" s="1"/>
  <c r="Z55" i="69"/>
  <c r="P55" i="69"/>
  <c r="AA55" i="69"/>
  <c r="U55" i="69" a="1"/>
  <c r="U55" i="69" s="1"/>
  <c r="U97" i="69" s="1"/>
  <c r="AB55" i="69" a="1"/>
  <c r="AB55" i="69" s="1"/>
  <c r="AR55" i="69"/>
  <c r="A55" i="69"/>
  <c r="T55" i="69"/>
  <c r="B8" i="27" s="1"/>
  <c r="B9" i="27" s="1"/>
  <c r="Y55" i="69"/>
  <c r="G55" i="69"/>
  <c r="BU55" i="69"/>
  <c r="Q55" i="69"/>
  <c r="N55" i="69" a="1"/>
  <c r="N55" i="69" s="1"/>
  <c r="BI55" i="69"/>
  <c r="K77" i="69" a="1"/>
  <c r="K77" i="69" s="1"/>
  <c r="K59" i="69" a="1"/>
  <c r="K59" i="69" s="1"/>
  <c r="K73" i="69" a="1"/>
  <c r="K73" i="69" s="1"/>
  <c r="K96" i="69" a="1"/>
  <c r="K96" i="69" s="1"/>
  <c r="K85" i="69" a="1"/>
  <c r="K85" i="69" s="1"/>
  <c r="K57" i="69" a="1"/>
  <c r="K57" i="69" s="1"/>
  <c r="K76" i="69" a="1"/>
  <c r="K76" i="69" s="1"/>
  <c r="K67" i="69" a="1"/>
  <c r="K67" i="69" s="1"/>
  <c r="K62" i="69" a="1"/>
  <c r="K62" i="69" s="1"/>
  <c r="K61" i="69" a="1"/>
  <c r="K61" i="69" s="1"/>
  <c r="K82" i="69" a="1"/>
  <c r="K82" i="69" s="1"/>
  <c r="K79" i="69" a="1"/>
  <c r="K79" i="69" s="1"/>
  <c r="K68" i="69" a="1"/>
  <c r="K68" i="69" s="1"/>
  <c r="K87" i="69" a="1"/>
  <c r="K87" i="69" s="1"/>
  <c r="K89" i="69" a="1"/>
  <c r="K89" i="69" s="1"/>
  <c r="BH104" i="4"/>
  <c r="Z1738" i="13" s="1"/>
  <c r="A1667" i="13"/>
  <c r="AX1667" i="13" s="1"/>
  <c r="AV1568" i="13"/>
  <c r="AV1667" i="13" s="1"/>
  <c r="AX1568" i="13"/>
  <c r="AV1572" i="13"/>
  <c r="AV1671" i="13" s="1"/>
  <c r="A1671" i="13"/>
  <c r="AX1671" i="13" s="1"/>
  <c r="AX1572" i="13"/>
  <c r="C27" i="72"/>
  <c r="D27" i="72" s="1" a="1"/>
  <c r="D27" i="72" s="1"/>
  <c r="C27" i="69"/>
  <c r="D27" i="69" s="1" a="1"/>
  <c r="D27" i="69" s="1"/>
  <c r="AT78" i="4" a="1"/>
  <c r="AT78" i="4" s="1"/>
  <c r="AV78" i="4" a="1"/>
  <c r="AV78" i="4" s="1"/>
  <c r="Y78" i="4"/>
  <c r="AU78" i="4"/>
  <c r="BQ78" i="4"/>
  <c r="CA78" i="4"/>
  <c r="O64" i="69"/>
  <c r="BK64" i="69"/>
  <c r="BO64" i="72"/>
  <c r="O64" i="72"/>
  <c r="T40" i="4"/>
  <c r="Z1632" i="13"/>
  <c r="S40" i="4"/>
  <c r="T41" i="4"/>
  <c r="Z1633" i="13"/>
  <c r="S41" i="4"/>
  <c r="H422" i="15" a="1"/>
  <c r="H422" i="15" s="1"/>
  <c r="H419" i="15" a="1"/>
  <c r="H419" i="15" s="1"/>
  <c r="H421" i="15" a="1"/>
  <c r="H421" i="15" s="1"/>
  <c r="H425" i="15" a="1"/>
  <c r="H425" i="15" s="1"/>
  <c r="F425" i="15" a="1"/>
  <c r="F425" i="15" s="1"/>
  <c r="T73" i="4"/>
  <c r="Z1665" i="13"/>
  <c r="S73" i="4"/>
  <c r="G102" i="15"/>
  <c r="BM71" i="4"/>
  <c r="BE71" i="4" s="1" a="1"/>
  <c r="BE71" i="4" s="1"/>
  <c r="BM71" i="72"/>
  <c r="BI71" i="69"/>
  <c r="C43" i="69"/>
  <c r="D43" i="69" s="1" a="1"/>
  <c r="D43" i="69" s="1"/>
  <c r="C43" i="72"/>
  <c r="D43" i="72" s="1" a="1"/>
  <c r="D43" i="72" s="1"/>
  <c r="AV1540" i="13"/>
  <c r="AV1639" i="13" s="1"/>
  <c r="A1639" i="13"/>
  <c r="AX1639" i="13" s="1"/>
  <c r="AX1540" i="13"/>
  <c r="AW7" i="69" a="1"/>
  <c r="AW7" i="69" s="1"/>
  <c r="BO81" i="72"/>
  <c r="O81" i="69"/>
  <c r="O81" i="72"/>
  <c r="BK81" i="69"/>
  <c r="AX1542" i="13"/>
  <c r="A1641" i="13"/>
  <c r="AX1641" i="13" s="1"/>
  <c r="AV1542" i="13"/>
  <c r="AV1641" i="13" s="1"/>
  <c r="Z1663" i="13"/>
  <c r="T71" i="4"/>
  <c r="S71" i="4"/>
  <c r="AT89" i="4" a="1"/>
  <c r="AT89" i="4" s="1"/>
  <c r="AV89" i="4" a="1"/>
  <c r="AV89" i="4" s="1"/>
  <c r="Y89" i="4"/>
  <c r="AU89" i="4"/>
  <c r="CY89" i="4"/>
  <c r="CZ89" i="4" s="1"/>
  <c r="P91" i="9" s="1"/>
  <c r="BQ89" i="4"/>
  <c r="CA89" i="4"/>
  <c r="Y90" i="4"/>
  <c r="AT90" i="4" a="1"/>
  <c r="AT90" i="4" s="1"/>
  <c r="AU90" i="4"/>
  <c r="AV90" i="4" a="1"/>
  <c r="AV90" i="4" s="1"/>
  <c r="BQ90" i="4"/>
  <c r="CY90" i="4"/>
  <c r="CZ90" i="4" s="1"/>
  <c r="CA90" i="4"/>
  <c r="BM69" i="4"/>
  <c r="BE69" i="4" s="1" a="1"/>
  <c r="BE69" i="4" s="1"/>
  <c r="AD69" i="69"/>
  <c r="BM69" i="72"/>
  <c r="BI69" i="69"/>
  <c r="AX18" i="69" a="1"/>
  <c r="AX18" i="69" s="1"/>
  <c r="BA18" i="69" a="1"/>
  <c r="BA18" i="69" s="1"/>
  <c r="AZ18" i="69" a="1"/>
  <c r="AZ18" i="69" s="1"/>
  <c r="AV18" i="69" a="1"/>
  <c r="AV18" i="69" s="1"/>
  <c r="AQ18" i="69" a="1"/>
  <c r="AQ18" i="69" s="1"/>
  <c r="AU18" i="69" a="1"/>
  <c r="AU18" i="69" s="1"/>
  <c r="AN18" i="69" a="1"/>
  <c r="AN18" i="69" s="1"/>
  <c r="T25" i="4"/>
  <c r="Z1617" i="13"/>
  <c r="S25" i="4"/>
  <c r="BK93" i="69"/>
  <c r="O93" i="69"/>
  <c r="BO93" i="72"/>
  <c r="O93" i="72"/>
  <c r="AW51" i="69" a="1"/>
  <c r="AW51" i="69" s="1"/>
  <c r="C15" i="69"/>
  <c r="D15" i="69" s="1" a="1"/>
  <c r="D15" i="69" s="1"/>
  <c r="C15" i="72"/>
  <c r="D15" i="72" s="1" a="1"/>
  <c r="D15" i="72" s="1"/>
  <c r="BG202" i="4"/>
  <c r="Z1731" i="13"/>
  <c r="AN30" i="72" a="1"/>
  <c r="AN30" i="72" s="1"/>
  <c r="AM30" i="72" a="1"/>
  <c r="AM30" i="72" s="1"/>
  <c r="AH30" i="72" a="1"/>
  <c r="AH30" i="72" s="1"/>
  <c r="BD30" i="72" a="1"/>
  <c r="BD30" i="72" s="1"/>
  <c r="AU30" i="72" a="1"/>
  <c r="AU30" i="72" s="1"/>
  <c r="BE30" i="72" a="1"/>
  <c r="BE30" i="72" s="1"/>
  <c r="BA30" i="72" a="1"/>
  <c r="BA30" i="72" s="1"/>
  <c r="AZ30" i="72" a="1"/>
  <c r="AZ30" i="72" s="1"/>
  <c r="AS30" i="72" a="1"/>
  <c r="AS30" i="72" s="1"/>
  <c r="AY30" i="72" a="1"/>
  <c r="AY30" i="72" s="1"/>
  <c r="BB30" i="72" a="1"/>
  <c r="BB30" i="72" s="1"/>
  <c r="K86" i="69" a="1"/>
  <c r="K86" i="69" s="1"/>
  <c r="BR20" i="72" a="1"/>
  <c r="BR20" i="72" s="1"/>
  <c r="I482" i="15" a="1"/>
  <c r="I482" i="15" s="1"/>
  <c r="BR13" i="72" a="1"/>
  <c r="BR13" i="72" s="1"/>
  <c r="T82" i="4"/>
  <c r="S82" i="4"/>
  <c r="Z1674" i="13"/>
  <c r="BP104" i="4"/>
  <c r="T37" i="4"/>
  <c r="Z1629" i="13"/>
  <c r="S37" i="4"/>
  <c r="Z1687" i="13"/>
  <c r="S95" i="4"/>
  <c r="T95" i="4"/>
  <c r="AG91" i="69" a="1"/>
  <c r="AG91" i="69" s="1"/>
  <c r="BC103" i="4"/>
  <c r="AT87" i="72" a="1"/>
  <c r="AT87" i="72" s="1"/>
  <c r="BR61" i="72" a="1"/>
  <c r="BR61" i="72" s="1"/>
  <c r="Y91" i="4"/>
  <c r="AV91" i="4" a="1"/>
  <c r="AV91" i="4" s="1"/>
  <c r="AU91" i="4"/>
  <c r="AT91" i="4" a="1"/>
  <c r="AT91" i="4" s="1"/>
  <c r="BQ91" i="4"/>
  <c r="CA91" i="4"/>
  <c r="AT46" i="69" a="1"/>
  <c r="AT46" i="69" s="1"/>
  <c r="K66" i="69" a="1"/>
  <c r="K66" i="69" s="1"/>
  <c r="BO103" i="4"/>
  <c r="X98" i="69"/>
  <c r="BA51" i="72" a="1"/>
  <c r="BA51" i="72" s="1"/>
  <c r="S79" i="4"/>
  <c r="Z1671" i="13"/>
  <c r="T79" i="4"/>
  <c r="AV73" i="69" a="1"/>
  <c r="AV73" i="69" s="1"/>
  <c r="BA44" i="72" a="1"/>
  <c r="BA44" i="72" s="1"/>
  <c r="AN59" i="69" a="1"/>
  <c r="AN59" i="69" s="1"/>
  <c r="BA73" i="72" a="1"/>
  <c r="BA73" i="72" s="1"/>
  <c r="AV47" i="69" a="1"/>
  <c r="AV47" i="69" s="1"/>
  <c r="AZ104" i="4"/>
  <c r="Z1752" i="13" s="1"/>
  <c r="AB1752" i="13" s="1"/>
  <c r="BA35" i="72" a="1"/>
  <c r="BA35" i="72" s="1"/>
  <c r="AV17" i="69" a="1"/>
  <c r="AV17" i="69" s="1"/>
  <c r="AG86" i="69" a="1"/>
  <c r="AG86" i="69" s="1"/>
  <c r="AN13" i="69" a="1"/>
  <c r="AN13" i="69" s="1"/>
  <c r="AW62" i="69" a="1"/>
  <c r="AW62" i="69" s="1"/>
  <c r="S83" i="4"/>
  <c r="Z1675" i="13"/>
  <c r="T83" i="4"/>
  <c r="AG60" i="72"/>
  <c r="AM48" i="72" a="1"/>
  <c r="AM48" i="72" s="1"/>
  <c r="AH48" i="72" a="1"/>
  <c r="AH48" i="72" s="1"/>
  <c r="AN48" i="72" a="1"/>
  <c r="AN48" i="72" s="1"/>
  <c r="BA48" i="72" a="1"/>
  <c r="BA48" i="72" s="1"/>
  <c r="AU48" i="72" a="1"/>
  <c r="AU48" i="72" s="1"/>
  <c r="BE48" i="72" a="1"/>
  <c r="BE48" i="72" s="1"/>
  <c r="AY48" i="72" a="1"/>
  <c r="AY48" i="72" s="1"/>
  <c r="AS48" i="72" a="1"/>
  <c r="AS48" i="72" s="1"/>
  <c r="BD48" i="72" a="1"/>
  <c r="BD48" i="72" s="1"/>
  <c r="AZ48" i="72" a="1"/>
  <c r="AZ48" i="72" s="1"/>
  <c r="BB48" i="72" a="1"/>
  <c r="BB48" i="72" s="1"/>
  <c r="BS60" i="72"/>
  <c r="BV60" i="72" s="1"/>
  <c r="AX8" i="72" a="1"/>
  <c r="AX8" i="72" s="1"/>
  <c r="Z1559" i="13"/>
  <c r="A1554" i="13"/>
  <c r="AV1455" i="13"/>
  <c r="AX1455" i="13"/>
  <c r="AX1509" i="13"/>
  <c r="AV1509" i="13"/>
  <c r="AV1608" i="13" s="1"/>
  <c r="A1608" i="13"/>
  <c r="AX1608" i="13" s="1"/>
  <c r="T39" i="4"/>
  <c r="Z1631" i="13"/>
  <c r="S39" i="4"/>
  <c r="O74" i="72"/>
  <c r="BO74" i="72"/>
  <c r="BK74" i="69"/>
  <c r="O74" i="69"/>
  <c r="BA16" i="69" a="1"/>
  <c r="BA16" i="69" s="1"/>
  <c r="AU16" i="69" a="1"/>
  <c r="AU16" i="69" s="1"/>
  <c r="AV16" i="69" a="1"/>
  <c r="AV16" i="69" s="1"/>
  <c r="AN16" i="69" a="1"/>
  <c r="AN16" i="69" s="1"/>
  <c r="AG16" i="69" a="1"/>
  <c r="AG16" i="69" s="1"/>
  <c r="AZ16" i="69" a="1"/>
  <c r="AZ16" i="69" s="1"/>
  <c r="AQ16" i="69" a="1"/>
  <c r="AQ16" i="69" s="1"/>
  <c r="AX16" i="69" a="1"/>
  <c r="AX16" i="69" s="1"/>
  <c r="AX1418" i="13"/>
  <c r="AV1418" i="13"/>
  <c r="Z1522" i="13"/>
  <c r="A1517" i="13"/>
  <c r="AU56" i="4"/>
  <c r="AT56" i="4" a="1"/>
  <c r="AT56" i="4" s="1"/>
  <c r="Y56" i="4"/>
  <c r="AV56" i="4" a="1"/>
  <c r="AV56" i="4" s="1"/>
  <c r="CA56" i="4"/>
  <c r="BQ56" i="4"/>
  <c r="AT75" i="4" a="1"/>
  <c r="AT75" i="4" s="1"/>
  <c r="AU75" i="4"/>
  <c r="AV75" i="4" a="1"/>
  <c r="AV75" i="4" s="1"/>
  <c r="Y75" i="4"/>
  <c r="CA75" i="4"/>
  <c r="CY75" i="4"/>
  <c r="CZ75" i="4" s="1"/>
  <c r="BQ75" i="4"/>
  <c r="AY83" i="72" a="1"/>
  <c r="AY83" i="72" s="1"/>
  <c r="AN83" i="72" a="1"/>
  <c r="AN83" i="72" s="1"/>
  <c r="AM83" i="72" a="1"/>
  <c r="AM83" i="72" s="1"/>
  <c r="BE83" i="72" a="1"/>
  <c r="BE83" i="72" s="1"/>
  <c r="AZ83" i="72" a="1"/>
  <c r="AZ83" i="72" s="1"/>
  <c r="AH83" i="72" a="1"/>
  <c r="AH83" i="72" s="1"/>
  <c r="AU83" i="72" a="1"/>
  <c r="AU83" i="72" s="1"/>
  <c r="AS83" i="72" a="1"/>
  <c r="AS83" i="72" s="1"/>
  <c r="BD83" i="72" a="1"/>
  <c r="BD83" i="72" s="1"/>
  <c r="BB83" i="72" a="1"/>
  <c r="BB83" i="72" s="1"/>
  <c r="T15" i="4"/>
  <c r="Z1607" i="13"/>
  <c r="S15" i="4"/>
  <c r="BM76" i="4"/>
  <c r="BE76" i="4" s="1" a="1"/>
  <c r="BE76" i="4" s="1"/>
  <c r="BM76" i="72"/>
  <c r="AD76" i="69"/>
  <c r="BI76" i="69"/>
  <c r="K61" i="72" a="1"/>
  <c r="K61" i="72" s="1"/>
  <c r="U97" i="72"/>
  <c r="AC55" i="72"/>
  <c r="AV55" i="72"/>
  <c r="N55" i="72" a="1"/>
  <c r="N55" i="72" s="1"/>
  <c r="K55" i="72" a="1"/>
  <c r="K55" i="72" s="1"/>
  <c r="M55" i="72"/>
  <c r="AA55" i="72"/>
  <c r="Z55" i="72"/>
  <c r="T55" i="72"/>
  <c r="AD55" i="72"/>
  <c r="S55" i="72"/>
  <c r="S97" i="72" s="1"/>
  <c r="W55" i="72"/>
  <c r="BU55" i="72" s="1" a="1"/>
  <c r="BU55" i="72" s="1"/>
  <c r="G55" i="72"/>
  <c r="P55" i="72"/>
  <c r="V55" i="72"/>
  <c r="B55" i="72" s="1"/>
  <c r="BF55" i="72"/>
  <c r="AB55" i="72" a="1"/>
  <c r="AB55" i="72" s="1"/>
  <c r="BY55" i="72"/>
  <c r="Y55" i="72"/>
  <c r="BG55" i="72"/>
  <c r="A55" i="72"/>
  <c r="AW55" i="72"/>
  <c r="Q55" i="72"/>
  <c r="J55" i="72"/>
  <c r="BM55" i="72"/>
  <c r="K75" i="72" a="1"/>
  <c r="K75" i="72" s="1"/>
  <c r="K62" i="72" a="1"/>
  <c r="K62" i="72" s="1"/>
  <c r="K77" i="72" a="1"/>
  <c r="K77" i="72" s="1"/>
  <c r="K73" i="72" a="1"/>
  <c r="K73" i="72" s="1"/>
  <c r="K92" i="72" a="1"/>
  <c r="K92" i="72" s="1"/>
  <c r="K96" i="72" a="1"/>
  <c r="K96" i="72" s="1"/>
  <c r="K87" i="72" a="1"/>
  <c r="K87" i="72" s="1"/>
  <c r="K95" i="72" a="1"/>
  <c r="K95" i="72" s="1"/>
  <c r="K56" i="72" a="1"/>
  <c r="K56" i="72" s="1"/>
  <c r="K67" i="72" a="1"/>
  <c r="K67" i="72" s="1"/>
  <c r="K84" i="72" a="1"/>
  <c r="K84" i="72" s="1"/>
  <c r="K57" i="72" a="1"/>
  <c r="K57" i="72" s="1"/>
  <c r="K79" i="72" a="1"/>
  <c r="K79" i="72" s="1"/>
  <c r="K91" i="72" a="1"/>
  <c r="K91" i="72" s="1"/>
  <c r="K58" i="72" a="1"/>
  <c r="K58" i="72" s="1"/>
  <c r="K64" i="72" a="1"/>
  <c r="K64" i="72" s="1"/>
  <c r="X98" i="72"/>
  <c r="K82" i="72" a="1"/>
  <c r="K82" i="72" s="1"/>
  <c r="K85" i="72" a="1"/>
  <c r="K85" i="72" s="1"/>
  <c r="K68" i="72" a="1"/>
  <c r="K68" i="72" s="1"/>
  <c r="K94" i="72" a="1"/>
  <c r="K94" i="72" s="1"/>
  <c r="K76" i="72" a="1"/>
  <c r="K76" i="72" s="1"/>
  <c r="K59" i="72" a="1"/>
  <c r="K59" i="72" s="1"/>
  <c r="K89" i="72" a="1"/>
  <c r="K89" i="72" s="1"/>
  <c r="AN90" i="69" a="1"/>
  <c r="AN90" i="69" s="1"/>
  <c r="AW88" i="69" a="1"/>
  <c r="AW88" i="69" s="1"/>
  <c r="S85" i="4"/>
  <c r="Z1677" i="13"/>
  <c r="T85" i="4"/>
  <c r="AX1571" i="13"/>
  <c r="A1670" i="13"/>
  <c r="AX1670" i="13" s="1"/>
  <c r="AV1571" i="13"/>
  <c r="AV1670" i="13" s="1"/>
  <c r="BI103" i="4"/>
  <c r="AV1527" i="13"/>
  <c r="AV1626" i="13" s="1"/>
  <c r="A1626" i="13"/>
  <c r="AX1626" i="13" s="1"/>
  <c r="AX1527" i="13"/>
  <c r="F142" i="15" a="1"/>
  <c r="F142" i="15" s="1"/>
  <c r="H142" i="15" a="1"/>
  <c r="H142" i="15" s="1"/>
  <c r="H141" i="15" a="1"/>
  <c r="H141" i="15" s="1"/>
  <c r="BM83" i="4"/>
  <c r="BE83" i="4" s="1" a="1"/>
  <c r="BE83" i="4" s="1"/>
  <c r="BI83" i="69"/>
  <c r="AD83" i="69"/>
  <c r="BM83" i="72"/>
  <c r="T64" i="4"/>
  <c r="Z1656" i="13"/>
  <c r="S64" i="4"/>
  <c r="AN78" i="72" a="1"/>
  <c r="AN78" i="72" s="1"/>
  <c r="AM78" i="72" a="1"/>
  <c r="AM78" i="72" s="1"/>
  <c r="AY78" i="72" a="1"/>
  <c r="AY78" i="72" s="1"/>
  <c r="AS78" i="72" a="1"/>
  <c r="AS78" i="72" s="1"/>
  <c r="AH78" i="72" a="1"/>
  <c r="AH78" i="72" s="1"/>
  <c r="BD78" i="72" a="1"/>
  <c r="BD78" i="72" s="1"/>
  <c r="AU78" i="72" a="1"/>
  <c r="AU78" i="72" s="1"/>
  <c r="BE78" i="72" a="1"/>
  <c r="BE78" i="72" s="1"/>
  <c r="BA78" i="72" a="1"/>
  <c r="BA78" i="72" s="1"/>
  <c r="BB78" i="72" a="1"/>
  <c r="BB78" i="72" s="1"/>
  <c r="AY7" i="72" a="1"/>
  <c r="AY7" i="72" s="1"/>
  <c r="BD7" i="72" a="1"/>
  <c r="BD7" i="72" s="1"/>
  <c r="AS7" i="72" a="1"/>
  <c r="AS7" i="72" s="1"/>
  <c r="AU7" i="72" a="1"/>
  <c r="AU7" i="72" s="1"/>
  <c r="BE7" i="72" a="1"/>
  <c r="BE7" i="72" s="1"/>
  <c r="AH7" i="72" a="1"/>
  <c r="AH7" i="72" s="1"/>
  <c r="AN7" i="72" a="1"/>
  <c r="AN7" i="72" s="1"/>
  <c r="AM7" i="72" a="1"/>
  <c r="AM7" i="72" s="1"/>
  <c r="BA7" i="72" a="1"/>
  <c r="BA7" i="72" s="1"/>
  <c r="BB7" i="72" a="1"/>
  <c r="BB7" i="72" s="1"/>
  <c r="AX6" i="69" a="1"/>
  <c r="AX6" i="69" s="1"/>
  <c r="AO6" i="69" a="1"/>
  <c r="AO6" i="69" s="1"/>
  <c r="AV6" i="69" a="1"/>
  <c r="AV6" i="69" s="1"/>
  <c r="AQ6" i="69" a="1"/>
  <c r="AQ6" i="69" s="1"/>
  <c r="BA6" i="69" a="1"/>
  <c r="BA6" i="69" s="1"/>
  <c r="AZ6" i="69" a="1"/>
  <c r="AZ6" i="69" s="1"/>
  <c r="AU6" i="69" a="1"/>
  <c r="AU6" i="69" s="1"/>
  <c r="AN6" i="69" a="1"/>
  <c r="AN6" i="69" s="1"/>
  <c r="C42" i="72"/>
  <c r="D42" i="72" s="1" a="1"/>
  <c r="D42" i="72" s="1"/>
  <c r="C42" i="69"/>
  <c r="D42" i="69" s="1" a="1"/>
  <c r="D42" i="69" s="1"/>
  <c r="AR73" i="4"/>
  <c r="AY573" i="13"/>
  <c r="AQ73" i="4"/>
  <c r="Y87" i="4"/>
  <c r="AU87" i="4"/>
  <c r="AV87" i="4" a="1"/>
  <c r="AV87" i="4" s="1"/>
  <c r="AT87" i="4" a="1"/>
  <c r="AT87" i="4" s="1"/>
  <c r="CA87" i="4"/>
  <c r="BQ87" i="4"/>
  <c r="BM72" i="4"/>
  <c r="BE72" i="4" s="1" a="1"/>
  <c r="BE72" i="4" s="1"/>
  <c r="BM72" i="72"/>
  <c r="AD72" i="69"/>
  <c r="BI72" i="69"/>
  <c r="AO46" i="69" a="1"/>
  <c r="AO46" i="69" s="1"/>
  <c r="BN44" i="69" a="1"/>
  <c r="BN44" i="69" s="1"/>
  <c r="AG11" i="69" a="1"/>
  <c r="AG11" i="69" s="1"/>
  <c r="H32" i="72"/>
  <c r="H32" i="69"/>
  <c r="AT14" i="72" a="1"/>
  <c r="AT14" i="72" s="1"/>
  <c r="BT103" i="4"/>
  <c r="Z1726" i="13" s="1"/>
  <c r="O89" i="69"/>
  <c r="O89" i="72"/>
  <c r="BO89" i="72"/>
  <c r="AD89" i="69"/>
  <c r="BK89" i="69"/>
  <c r="S56" i="4"/>
  <c r="T56" i="4"/>
  <c r="Z1648" i="13"/>
  <c r="AX1506" i="13"/>
  <c r="A1605" i="13"/>
  <c r="AX1605" i="13" s="1"/>
  <c r="AV1506" i="13"/>
  <c r="AV1605" i="13" s="1"/>
  <c r="AG25" i="69" a="1"/>
  <c r="AG25" i="69" s="1"/>
  <c r="A1610" i="13"/>
  <c r="AX1610" i="13" s="1"/>
  <c r="AV1511" i="13"/>
  <c r="AV1610" i="13" s="1"/>
  <c r="AX1511" i="13"/>
  <c r="BR31" i="72" a="1"/>
  <c r="BR31" i="72" s="1"/>
  <c r="AV1522" i="13"/>
  <c r="AV1621" i="13" s="1"/>
  <c r="A1621" i="13"/>
  <c r="AX1621" i="13" s="1"/>
  <c r="AX1522" i="13"/>
  <c r="AX1351" i="13"/>
  <c r="A1450" i="13"/>
  <c r="BM56" i="4"/>
  <c r="BE56" i="4" s="1" a="1"/>
  <c r="BE56" i="4" s="1"/>
  <c r="BM56" i="72"/>
  <c r="BI56" i="69"/>
  <c r="BA83" i="72" a="1"/>
  <c r="BA83" i="72" s="1"/>
  <c r="K72" i="72" a="1"/>
  <c r="K72" i="72" s="1"/>
  <c r="BA13" i="72" a="1"/>
  <c r="BA13" i="72" s="1"/>
  <c r="AX27" i="72" a="1"/>
  <c r="AX27" i="72" s="1"/>
  <c r="AX1499" i="13"/>
  <c r="AV1499" i="13"/>
  <c r="A1598" i="13"/>
  <c r="AX1598" i="13" s="1"/>
  <c r="S76" i="4"/>
  <c r="Z1668" i="13"/>
  <c r="T76" i="4"/>
  <c r="A1655" i="13"/>
  <c r="AX1655" i="13" s="1"/>
  <c r="AX1556" i="13"/>
  <c r="AV1556" i="13"/>
  <c r="AV1655" i="13" s="1"/>
  <c r="K91" i="69" a="1"/>
  <c r="K91" i="69" s="1"/>
  <c r="AN61" i="69" a="1"/>
  <c r="AN61" i="69" s="1"/>
  <c r="BR87" i="72" a="1"/>
  <c r="BR87" i="72" s="1"/>
  <c r="H7" i="72"/>
  <c r="H7" i="69"/>
  <c r="A1636" i="13"/>
  <c r="AX1636" i="13" s="1"/>
  <c r="AV1537" i="13"/>
  <c r="AV1636" i="13" s="1"/>
  <c r="AX1537" i="13"/>
  <c r="BA41" i="72" a="1"/>
  <c r="BA41" i="72" s="1"/>
  <c r="A1609" i="13"/>
  <c r="AX1609" i="13" s="1"/>
  <c r="AV1510" i="13"/>
  <c r="AV1609" i="13" s="1"/>
  <c r="AX1510" i="13"/>
  <c r="AX87" i="72" a="1"/>
  <c r="AX87" i="72" s="1"/>
  <c r="BH60" i="69"/>
  <c r="AZ63" i="72" a="1"/>
  <c r="AZ63" i="72" s="1"/>
  <c r="AW59" i="69" a="1"/>
  <c r="AW59" i="69" s="1"/>
  <c r="AN14" i="69" a="1"/>
  <c r="AN14" i="69" s="1"/>
  <c r="AZ66" i="72" a="1"/>
  <c r="AZ66" i="72" s="1"/>
  <c r="AG47" i="69" a="1"/>
  <c r="AG47" i="69" s="1"/>
  <c r="AN79" i="69" a="1"/>
  <c r="AN79" i="69" s="1"/>
  <c r="AG8" i="69" a="1"/>
  <c r="AG8" i="69" s="1"/>
  <c r="L55" i="4"/>
  <c r="BG55" i="4"/>
  <c r="BR55" i="4"/>
  <c r="X55" i="4"/>
  <c r="BP194" i="4"/>
  <c r="AX1523" i="13"/>
  <c r="A1622" i="13"/>
  <c r="AX1622" i="13" s="1"/>
  <c r="AV1523" i="13"/>
  <c r="AV1622" i="13" s="1"/>
  <c r="A1675" i="13"/>
  <c r="AX1675" i="13" s="1"/>
  <c r="AV1576" i="13"/>
  <c r="AV1675" i="13" s="1"/>
  <c r="AX1576" i="13"/>
  <c r="BD28" i="72" a="1"/>
  <c r="BD28" i="72" s="1"/>
  <c r="AY28" i="72" a="1"/>
  <c r="AY28" i="72" s="1"/>
  <c r="BE28" i="72" a="1"/>
  <c r="BE28" i="72" s="1"/>
  <c r="AU28" i="72" a="1"/>
  <c r="AU28" i="72" s="1"/>
  <c r="AS28" i="72" a="1"/>
  <c r="AS28" i="72" s="1"/>
  <c r="AN28" i="72" a="1"/>
  <c r="AN28" i="72" s="1"/>
  <c r="AM28" i="72" a="1"/>
  <c r="AM28" i="72" s="1"/>
  <c r="AH28" i="72" a="1"/>
  <c r="AH28" i="72" s="1"/>
  <c r="AZ28" i="72" a="1"/>
  <c r="AZ28" i="72" s="1"/>
  <c r="BB28" i="72" a="1"/>
  <c r="BB28" i="72" s="1"/>
  <c r="Z1614" i="13"/>
  <c r="S22" i="4"/>
  <c r="T22" i="4"/>
  <c r="AX1564" i="13"/>
  <c r="A1663" i="13"/>
  <c r="AX1663" i="13" s="1"/>
  <c r="AV1564" i="13"/>
  <c r="AV1663" i="13" s="1"/>
  <c r="BR56" i="4"/>
  <c r="AE56" i="72" s="1"/>
  <c r="AZ93" i="72" a="1"/>
  <c r="AZ93" i="72" s="1"/>
  <c r="C24" i="72"/>
  <c r="D24" i="72" s="1" a="1"/>
  <c r="D24" i="72" s="1"/>
  <c r="C24" i="69"/>
  <c r="D24" i="69" s="1" a="1"/>
  <c r="D24" i="69" s="1"/>
  <c r="AP97" i="4"/>
  <c r="E23" i="72"/>
  <c r="C41" i="72"/>
  <c r="D41" i="72" s="1" a="1"/>
  <c r="D41" i="72" s="1"/>
  <c r="C41" i="69"/>
  <c r="D41" i="69" s="1" a="1"/>
  <c r="D41" i="69" s="1"/>
  <c r="AG46" i="69" a="1"/>
  <c r="AG46" i="69" s="1"/>
  <c r="K88" i="72" a="1"/>
  <c r="K88" i="72" s="1"/>
  <c r="AZ91" i="69" a="1"/>
  <c r="AZ91" i="69" s="1"/>
  <c r="AQ91" i="69" a="1"/>
  <c r="AQ91" i="69" s="1"/>
  <c r="AU91" i="69" a="1"/>
  <c r="AU91" i="69" s="1"/>
  <c r="AO91" i="69" a="1"/>
  <c r="AO91" i="69" s="1"/>
  <c r="BA91" i="69" a="1"/>
  <c r="BA91" i="69" s="1"/>
  <c r="AN91" i="69" a="1"/>
  <c r="AN91" i="69" s="1"/>
  <c r="AV91" i="69" a="1"/>
  <c r="AV91" i="69" s="1"/>
  <c r="AX91" i="69" a="1"/>
  <c r="AX91" i="69" s="1"/>
  <c r="AD46" i="69"/>
  <c r="F195" i="15" a="1"/>
  <c r="F195" i="15" s="1"/>
  <c r="H191" i="15" a="1"/>
  <c r="H191" i="15" s="1"/>
  <c r="H195" i="15" a="1"/>
  <c r="H195" i="15" s="1"/>
  <c r="BR49" i="72" a="1"/>
  <c r="BR49" i="72" s="1"/>
  <c r="S20" i="4"/>
  <c r="Z1612" i="13"/>
  <c r="T20" i="4"/>
  <c r="H43" i="69"/>
  <c r="H43" i="72"/>
  <c r="AW46" i="69" a="1"/>
  <c r="AW46" i="69" s="1"/>
  <c r="AU52" i="69" a="1"/>
  <c r="AU52" i="69" s="1"/>
  <c r="AO52" i="69" a="1"/>
  <c r="AO52" i="69" s="1"/>
  <c r="AZ52" i="69" a="1"/>
  <c r="AZ52" i="69" s="1"/>
  <c r="BA52" i="69" a="1"/>
  <c r="BA52" i="69" s="1"/>
  <c r="AQ52" i="69" a="1"/>
  <c r="AQ52" i="69" s="1"/>
  <c r="AW52" i="69" a="1"/>
  <c r="AW52" i="69" s="1"/>
  <c r="AN52" i="69" a="1"/>
  <c r="AN52" i="69" s="1"/>
  <c r="AX52" i="69" a="1"/>
  <c r="AX52" i="69" s="1"/>
  <c r="AV43" i="69" a="1"/>
  <c r="AV43" i="69" s="1"/>
  <c r="AP44" i="69" a="1"/>
  <c r="AP44" i="69" s="1"/>
  <c r="AG6" i="69" a="1"/>
  <c r="AG6" i="69" s="1"/>
  <c r="AU82" i="69" a="1"/>
  <c r="AU82" i="69" s="1"/>
  <c r="AZ82" i="69" a="1"/>
  <c r="AZ82" i="69" s="1"/>
  <c r="AQ82" i="69" a="1"/>
  <c r="AQ82" i="69" s="1"/>
  <c r="BA82" i="69" a="1"/>
  <c r="BA82" i="69" s="1"/>
  <c r="AO82" i="69" a="1"/>
  <c r="AO82" i="69" s="1"/>
  <c r="AN82" i="69" a="1"/>
  <c r="AN82" i="69" s="1"/>
  <c r="AG82" i="69" a="1"/>
  <c r="AG82" i="69" s="1"/>
  <c r="AW82" i="69" a="1"/>
  <c r="AW82" i="69" s="1"/>
  <c r="AV82" i="69" a="1"/>
  <c r="AV82" i="69" s="1"/>
  <c r="AX82" i="69" a="1"/>
  <c r="AX82" i="69" s="1"/>
  <c r="O90" i="69"/>
  <c r="BK90" i="69"/>
  <c r="O90" i="72"/>
  <c r="BO90" i="72"/>
  <c r="T49" i="4"/>
  <c r="Z1641" i="13"/>
  <c r="S49" i="4"/>
  <c r="AD90" i="69"/>
  <c r="AV1486" i="13"/>
  <c r="AV25" i="69" a="1"/>
  <c r="AV25" i="69" s="1"/>
  <c r="AT31" i="72" a="1"/>
  <c r="AT31" i="72" s="1"/>
  <c r="AN45" i="69" a="1"/>
  <c r="AN45" i="69" s="1"/>
  <c r="AX1512" i="13"/>
  <c r="A1611" i="13"/>
  <c r="AX1611" i="13" s="1"/>
  <c r="AV1512" i="13"/>
  <c r="AV1611" i="13" s="1"/>
  <c r="AQ58" i="4"/>
  <c r="AY558" i="13"/>
  <c r="AR58" i="4"/>
  <c r="A1623" i="13"/>
  <c r="AX1623" i="13" s="1"/>
  <c r="AX1524" i="13"/>
  <c r="AV1524" i="13"/>
  <c r="AV1623" i="13" s="1"/>
  <c r="T69" i="4"/>
  <c r="Z1661" i="13"/>
  <c r="S69" i="4"/>
  <c r="AT39" i="72" a="1"/>
  <c r="AT39" i="72" s="1"/>
  <c r="BK91" i="69"/>
  <c r="AD91" i="69"/>
  <c r="BO91" i="72"/>
  <c r="O91" i="72"/>
  <c r="O91" i="69"/>
  <c r="AX7" i="72" a="1"/>
  <c r="AX7" i="72" s="1"/>
  <c r="L60" i="69"/>
  <c r="AD60" i="69"/>
  <c r="K69" i="72" a="1"/>
  <c r="K69" i="72" s="1"/>
  <c r="AN5" i="69" a="1"/>
  <c r="AN5" i="69" s="1"/>
  <c r="AZ84" i="72" a="1"/>
  <c r="AZ84" i="72" s="1"/>
  <c r="AW21" i="69" a="1"/>
  <c r="AW21" i="69" s="1"/>
  <c r="BI97" i="4"/>
  <c r="BF55" i="4"/>
  <c r="BF97" i="4" s="1"/>
  <c r="O76" i="72"/>
  <c r="O76" i="69"/>
  <c r="BO76" i="72"/>
  <c r="BK76" i="69"/>
  <c r="AX1520" i="13"/>
  <c r="AV1520" i="13"/>
  <c r="AV1619" i="13" s="1"/>
  <c r="A1619" i="13"/>
  <c r="AX1619" i="13" s="1"/>
  <c r="T36" i="4"/>
  <c r="S36" i="4"/>
  <c r="Z1628" i="13"/>
  <c r="A1599" i="13"/>
  <c r="AX1599" i="13" s="1"/>
  <c r="AX1500" i="13"/>
  <c r="AV1500" i="13"/>
  <c r="T33" i="4"/>
  <c r="S33" i="4"/>
  <c r="Z1625" i="13"/>
  <c r="BR47" i="72" a="1"/>
  <c r="BR47" i="72" s="1"/>
  <c r="BL60" i="72"/>
  <c r="BA47" i="72" a="1"/>
  <c r="BA47" i="72" s="1"/>
  <c r="AY586" i="13"/>
  <c r="AQ86" i="4"/>
  <c r="AR86" i="4"/>
  <c r="BA22" i="72" a="1"/>
  <c r="BA22" i="72" s="1"/>
  <c r="AX1535" i="13"/>
  <c r="AV1535" i="13"/>
  <c r="AV1634" i="13" s="1"/>
  <c r="A1634" i="13"/>
  <c r="AX1634" i="13" s="1"/>
  <c r="BU60" i="72" a="1"/>
  <c r="BU60" i="72" s="1"/>
  <c r="AT57" i="4" a="1"/>
  <c r="AT57" i="4" s="1"/>
  <c r="Y57" i="4"/>
  <c r="AV57" i="4" a="1"/>
  <c r="AV57" i="4" s="1"/>
  <c r="AU57" i="4"/>
  <c r="BQ57" i="4"/>
  <c r="CA57" i="4"/>
  <c r="AU79" i="4"/>
  <c r="AT79" i="4" a="1"/>
  <c r="AT79" i="4" s="1"/>
  <c r="AV79" i="4" a="1"/>
  <c r="AV79" i="4" s="1"/>
  <c r="Y79" i="4"/>
  <c r="BQ79" i="4"/>
  <c r="CA79" i="4"/>
  <c r="AX43" i="69" a="1"/>
  <c r="AX43" i="69" s="1"/>
  <c r="AN43" i="69" a="1"/>
  <c r="AN43" i="69" s="1"/>
  <c r="AZ43" i="69" a="1"/>
  <c r="AZ43" i="69" s="1"/>
  <c r="AQ43" i="69" a="1"/>
  <c r="AQ43" i="69" s="1"/>
  <c r="BA43" i="69" a="1"/>
  <c r="BA43" i="69" s="1"/>
  <c r="AW43" i="69" a="1"/>
  <c r="AW43" i="69" s="1"/>
  <c r="AU43" i="69" a="1"/>
  <c r="AU43" i="69" s="1"/>
  <c r="AO43" i="69" a="1"/>
  <c r="AO43" i="69" s="1"/>
  <c r="I598" i="15" a="1"/>
  <c r="I598" i="15" s="1"/>
  <c r="I270" i="15" a="1"/>
  <c r="I270" i="15" s="1"/>
  <c r="AX48" i="72" a="1"/>
  <c r="AX48" i="72" s="1"/>
  <c r="AS85" i="72" a="1"/>
  <c r="AS85" i="72" s="1"/>
  <c r="AU85" i="72" a="1"/>
  <c r="AU85" i="72" s="1"/>
  <c r="BE85" i="72" a="1"/>
  <c r="BE85" i="72" s="1"/>
  <c r="AH85" i="72" a="1"/>
  <c r="AH85" i="72" s="1"/>
  <c r="BD85" i="72" a="1"/>
  <c r="BD85" i="72" s="1"/>
  <c r="AY85" i="72" a="1"/>
  <c r="AY85" i="72" s="1"/>
  <c r="AN85" i="72" a="1"/>
  <c r="AN85" i="72" s="1"/>
  <c r="AM85" i="72" a="1"/>
  <c r="AM85" i="72" s="1"/>
  <c r="BA85" i="72" a="1"/>
  <c r="BA85" i="72" s="1"/>
  <c r="BB85" i="72" a="1"/>
  <c r="BB85" i="72" s="1"/>
  <c r="Z1669" i="13"/>
  <c r="S77" i="4"/>
  <c r="T77" i="4"/>
  <c r="AU86" i="4"/>
  <c r="AT86" i="4" a="1"/>
  <c r="AT86" i="4" s="1"/>
  <c r="Y86" i="4"/>
  <c r="AV86" i="4" a="1"/>
  <c r="AV86" i="4" s="1"/>
  <c r="CY86" i="4"/>
  <c r="CZ86" i="4" s="1"/>
  <c r="BQ86" i="4"/>
  <c r="CA86" i="4"/>
  <c r="AT69" i="72" a="1"/>
  <c r="AT69" i="72" s="1"/>
  <c r="BR52" i="72" a="1"/>
  <c r="BR52" i="72" s="1"/>
  <c r="BS23" i="69"/>
  <c r="BQ23" i="69" a="1"/>
  <c r="BQ23" i="69" s="1"/>
  <c r="BD23" i="69"/>
  <c r="R23" i="69"/>
  <c r="BT23" i="69"/>
  <c r="BG23" i="69"/>
  <c r="AW23" i="69" s="1" a="1"/>
  <c r="AW23" i="69" s="1"/>
  <c r="BM23" i="69" a="1"/>
  <c r="BM23" i="69" s="1"/>
  <c r="AP23" i="69" a="1"/>
  <c r="AP23" i="69" s="1"/>
  <c r="Z1685" i="13"/>
  <c r="T93" i="4"/>
  <c r="S93" i="4"/>
  <c r="AT51" i="69" a="1"/>
  <c r="AT51" i="69" s="1"/>
  <c r="AN51" i="69" a="1"/>
  <c r="AN51" i="69" s="1"/>
  <c r="BA51" i="69" a="1"/>
  <c r="BA51" i="69" s="1"/>
  <c r="AO51" i="69" a="1"/>
  <c r="AO51" i="69" s="1"/>
  <c r="AZ51" i="69" a="1"/>
  <c r="AZ51" i="69" s="1"/>
  <c r="AQ51" i="69" a="1"/>
  <c r="AQ51" i="69" s="1"/>
  <c r="AG51" i="69" a="1"/>
  <c r="AG51" i="69" s="1"/>
  <c r="AV51" i="69" a="1"/>
  <c r="AV51" i="69" s="1"/>
  <c r="AU51" i="69" a="1"/>
  <c r="AU51" i="69" s="1"/>
  <c r="AX51" i="69" a="1"/>
  <c r="AX51" i="69" s="1"/>
  <c r="H24" i="72"/>
  <c r="H24" i="69"/>
  <c r="BM23" i="72"/>
  <c r="H41" i="72"/>
  <c r="H41" i="69"/>
  <c r="AX1584" i="13"/>
  <c r="AV1584" i="13"/>
  <c r="AV1683" i="13" s="1"/>
  <c r="A1683" i="13"/>
  <c r="AX1683" i="13" s="1"/>
  <c r="BD89" i="72" a="1"/>
  <c r="BD89" i="72" s="1"/>
  <c r="AY89" i="72" a="1"/>
  <c r="AY89" i="72" s="1"/>
  <c r="BA89" i="72" a="1"/>
  <c r="BA89" i="72" s="1"/>
  <c r="AU89" i="72" a="1"/>
  <c r="AU89" i="72" s="1"/>
  <c r="BE89" i="72" a="1"/>
  <c r="BE89" i="72" s="1"/>
  <c r="AS89" i="72" a="1"/>
  <c r="AS89" i="72" s="1"/>
  <c r="AN89" i="72" a="1"/>
  <c r="AN89" i="72" s="1"/>
  <c r="AH89" i="72" a="1"/>
  <c r="AH89" i="72" s="1"/>
  <c r="AM89" i="72" a="1"/>
  <c r="AM89" i="72" s="1"/>
  <c r="BB89" i="72" a="1"/>
  <c r="BB89" i="72" s="1"/>
  <c r="AT59" i="4" a="1"/>
  <c r="AT59" i="4" s="1"/>
  <c r="AU59" i="4"/>
  <c r="AV59" i="4" a="1"/>
  <c r="AV59" i="4" s="1"/>
  <c r="Y59" i="4"/>
  <c r="CA59" i="4"/>
  <c r="BQ59" i="4"/>
  <c r="CY59" i="4"/>
  <c r="CZ59" i="4" s="1"/>
  <c r="AM74" i="72" a="1"/>
  <c r="AM74" i="72" s="1"/>
  <c r="AG88" i="69" a="1"/>
  <c r="AG88" i="69" s="1"/>
  <c r="T84" i="4"/>
  <c r="Z1676" i="13"/>
  <c r="S84" i="4"/>
  <c r="Z1639" i="13"/>
  <c r="T47" i="4"/>
  <c r="S47" i="4"/>
  <c r="BK78" i="69"/>
  <c r="O78" i="69"/>
  <c r="O78" i="72"/>
  <c r="BO78" i="72"/>
  <c r="BD20" i="72" a="1"/>
  <c r="BD20" i="72" s="1"/>
  <c r="AN20" i="72" a="1"/>
  <c r="AN20" i="72" s="1"/>
  <c r="BE20" i="72" a="1"/>
  <c r="BE20" i="72" s="1"/>
  <c r="AM20" i="72" a="1"/>
  <c r="AM20" i="72" s="1"/>
  <c r="AU20" i="72" a="1"/>
  <c r="AU20" i="72" s="1"/>
  <c r="AY20" i="72" a="1"/>
  <c r="AY20" i="72" s="1"/>
  <c r="AH20" i="72" a="1"/>
  <c r="AH20" i="72" s="1"/>
  <c r="AS20" i="72" a="1"/>
  <c r="AS20" i="72" s="1"/>
  <c r="BA20" i="72" a="1"/>
  <c r="BA20" i="72" s="1"/>
  <c r="AZ20" i="72" a="1"/>
  <c r="AZ20" i="72" s="1"/>
  <c r="BB20" i="72" a="1"/>
  <c r="BB20" i="72" s="1"/>
  <c r="H154" i="15" a="1"/>
  <c r="H154" i="15" s="1"/>
  <c r="F164" i="15" a="1"/>
  <c r="F164" i="15" s="1"/>
  <c r="H164" i="15" a="1"/>
  <c r="H164" i="15" s="1"/>
  <c r="AY24" i="72" a="1"/>
  <c r="AY24" i="72" s="1"/>
  <c r="BE24" i="72" a="1"/>
  <c r="BE24" i="72" s="1"/>
  <c r="AN24" i="72" a="1"/>
  <c r="AN24" i="72" s="1"/>
  <c r="BA24" i="72" a="1"/>
  <c r="BA24" i="72" s="1"/>
  <c r="AM24" i="72" a="1"/>
  <c r="AM24" i="72" s="1"/>
  <c r="AU24" i="72" a="1"/>
  <c r="AU24" i="72" s="1"/>
  <c r="AH24" i="72" a="1"/>
  <c r="AH24" i="72" s="1"/>
  <c r="BD24" i="72" a="1"/>
  <c r="BD24" i="72" s="1"/>
  <c r="BB24" i="72" a="1"/>
  <c r="BB24" i="72" s="1"/>
  <c r="AY585" i="13"/>
  <c r="AR85" i="4"/>
  <c r="AQ85" i="4"/>
  <c r="G110" i="15"/>
  <c r="I110" i="15" a="1"/>
  <c r="I110" i="15" s="1"/>
  <c r="A1647" i="13"/>
  <c r="AX1647" i="13" s="1"/>
  <c r="AV1548" i="13"/>
  <c r="AV1647" i="13" s="1"/>
  <c r="AX1548" i="13"/>
  <c r="AX1507" i="13"/>
  <c r="A1606" i="13"/>
  <c r="AX1606" i="13" s="1"/>
  <c r="AV1507" i="13"/>
  <c r="AV1606" i="13" s="1"/>
  <c r="BM59" i="4"/>
  <c r="BE59" i="4" s="1" a="1"/>
  <c r="BE59" i="4" s="1"/>
  <c r="BI59" i="69"/>
  <c r="AD59" i="69"/>
  <c r="BM59" i="72"/>
  <c r="AX85" i="72" a="1"/>
  <c r="AX85" i="72" s="1"/>
  <c r="AV1482" i="13"/>
  <c r="AV20" i="69" a="1"/>
  <c r="AV20" i="69" s="1"/>
  <c r="C32" i="72"/>
  <c r="D32" i="72" s="1" a="1"/>
  <c r="D32" i="72" s="1"/>
  <c r="C32" i="69"/>
  <c r="D32" i="69" s="1" a="1"/>
  <c r="D32" i="69" s="1"/>
  <c r="AY6" i="72" a="1"/>
  <c r="AY6" i="72" s="1"/>
  <c r="BE6" i="72" a="1"/>
  <c r="BE6" i="72" s="1"/>
  <c r="AS6" i="72" a="1"/>
  <c r="AS6" i="72" s="1"/>
  <c r="AU6" i="72" a="1"/>
  <c r="AU6" i="72" s="1"/>
  <c r="BD6" i="72" a="1"/>
  <c r="BD6" i="72" s="1"/>
  <c r="AH6" i="72" a="1"/>
  <c r="AH6" i="72" s="1"/>
  <c r="AM6" i="72" a="1"/>
  <c r="AM6" i="72" s="1"/>
  <c r="AZ6" i="72" a="1"/>
  <c r="AZ6" i="72" s="1"/>
  <c r="AN6" i="72" a="1"/>
  <c r="AN6" i="72" s="1"/>
  <c r="BB6" i="72" a="1"/>
  <c r="BB6" i="72" s="1"/>
  <c r="AP77" i="69" a="1"/>
  <c r="AP77" i="69" s="1"/>
  <c r="AW77" i="69" a="1"/>
  <c r="AW77" i="69" s="1"/>
  <c r="AN77" i="69" a="1"/>
  <c r="AN77" i="69" s="1"/>
  <c r="AG77" i="69" a="1"/>
  <c r="AG77" i="69" s="1"/>
  <c r="AU77" i="69" a="1"/>
  <c r="AU77" i="69" s="1"/>
  <c r="AQ77" i="69" a="1"/>
  <c r="AQ77" i="69" s="1"/>
  <c r="AV77" i="69" a="1"/>
  <c r="AV77" i="69" s="1"/>
  <c r="BA77" i="69" a="1"/>
  <c r="BA77" i="69" s="1"/>
  <c r="AO77" i="69" a="1"/>
  <c r="AO77" i="69" s="1"/>
  <c r="AZ77" i="69" a="1"/>
  <c r="AZ77" i="69" s="1"/>
  <c r="AX77" i="69" a="1"/>
  <c r="AX77" i="69" s="1"/>
  <c r="BT104" i="4"/>
  <c r="Z1747" i="13" s="1"/>
  <c r="AV67" i="4" a="1"/>
  <c r="AV67" i="4" s="1"/>
  <c r="Y67" i="4"/>
  <c r="AU67" i="4"/>
  <c r="AT67" i="4" a="1"/>
  <c r="AT67" i="4" s="1"/>
  <c r="BQ67" i="4"/>
  <c r="CA67" i="4"/>
  <c r="CY67" i="4"/>
  <c r="CZ67" i="4" s="1"/>
  <c r="G185" i="15"/>
  <c r="Z1616" i="13"/>
  <c r="S24" i="4"/>
  <c r="T24" i="4"/>
  <c r="AP91" i="69" a="1"/>
  <c r="AP91" i="69" s="1"/>
  <c r="AV77" i="4" a="1"/>
  <c r="AV77" i="4" s="1"/>
  <c r="Y77" i="4"/>
  <c r="AT77" i="4" a="1"/>
  <c r="AT77" i="4" s="1"/>
  <c r="AU77" i="4"/>
  <c r="CA77" i="4"/>
  <c r="CY77" i="4"/>
  <c r="CZ77" i="4" s="1"/>
  <c r="P79" i="9" s="1"/>
  <c r="BQ77" i="4"/>
  <c r="G131" i="15"/>
  <c r="A1618" i="13"/>
  <c r="AX1618" i="13" s="1"/>
  <c r="AX1519" i="13"/>
  <c r="AV1519" i="13"/>
  <c r="AV1618" i="13" s="1"/>
  <c r="BS104" i="4"/>
  <c r="Z1746" i="13" s="1"/>
  <c r="BS106" i="4"/>
  <c r="BQ108" i="4" s="1"/>
  <c r="G107" i="15"/>
  <c r="AV95" i="4" a="1"/>
  <c r="AV95" i="4" s="1"/>
  <c r="AU95" i="4"/>
  <c r="AT95" i="4" a="1"/>
  <c r="AT95" i="4" s="1"/>
  <c r="Y95" i="4"/>
  <c r="CA95" i="4"/>
  <c r="CY95" i="4"/>
  <c r="CZ95" i="4" s="1"/>
  <c r="BQ95" i="4"/>
  <c r="K90" i="69" a="1"/>
  <c r="K90" i="69" s="1"/>
  <c r="AW103" i="4" a="1"/>
  <c r="AW103" i="4" s="1"/>
  <c r="BR39" i="72" a="1"/>
  <c r="BR39" i="72" s="1"/>
  <c r="AV1541" i="13"/>
  <c r="AV1640" i="13" s="1"/>
  <c r="AX1541" i="13"/>
  <c r="A1640" i="13"/>
  <c r="AX1640" i="13" s="1"/>
  <c r="BN54" i="69" a="1"/>
  <c r="BN54" i="69" s="1"/>
  <c r="AW54" i="69" a="1"/>
  <c r="AW54" i="69" s="1"/>
  <c r="AG54" i="69" a="1"/>
  <c r="AG54" i="69" s="1"/>
  <c r="AO54" i="69" a="1"/>
  <c r="AO54" i="69" s="1"/>
  <c r="AQ54" i="69" a="1"/>
  <c r="AQ54" i="69" s="1"/>
  <c r="AV54" i="69" a="1"/>
  <c r="AV54" i="69" s="1"/>
  <c r="AZ54" i="69" a="1"/>
  <c r="AZ54" i="69" s="1"/>
  <c r="AU54" i="69" a="1"/>
  <c r="AU54" i="69" s="1"/>
  <c r="BA54" i="69" a="1"/>
  <c r="BA54" i="69" s="1"/>
  <c r="AN54" i="69" a="1"/>
  <c r="AN54" i="69" s="1"/>
  <c r="AX54" i="69" a="1"/>
  <c r="AX54" i="69" s="1"/>
  <c r="C7" i="72"/>
  <c r="D7" i="72" s="1" a="1"/>
  <c r="D7" i="72" s="1"/>
  <c r="C7" i="69"/>
  <c r="D7" i="69" s="1" a="1"/>
  <c r="D7" i="69" s="1"/>
  <c r="AX30" i="72" a="1"/>
  <c r="AX30" i="72" s="1"/>
  <c r="Z1642" i="13"/>
  <c r="S50" i="4"/>
  <c r="T50" i="4"/>
  <c r="AG18" i="69" a="1"/>
  <c r="AG18" i="69" s="1"/>
  <c r="K63" i="69" a="1"/>
  <c r="K63" i="69" s="1"/>
  <c r="C17" i="72"/>
  <c r="D17" i="72" s="1" a="1"/>
  <c r="D17" i="72" s="1"/>
  <c r="C17" i="69"/>
  <c r="D17" i="69" s="1" a="1"/>
  <c r="D17" i="69" s="1"/>
  <c r="S42" i="4"/>
  <c r="T42" i="4"/>
  <c r="Z1634" i="13"/>
  <c r="A1665" i="13"/>
  <c r="AX1665" i="13" s="1"/>
  <c r="AX1566" i="13"/>
  <c r="AV1566" i="13"/>
  <c r="AV1665" i="13" s="1"/>
  <c r="AT37" i="69" a="1"/>
  <c r="AT37" i="69" s="1"/>
  <c r="AO37" i="69" a="1"/>
  <c r="AO37" i="69" s="1"/>
  <c r="AW37" i="69" a="1"/>
  <c r="AW37" i="69" s="1"/>
  <c r="AZ37" i="69" a="1"/>
  <c r="AZ37" i="69" s="1"/>
  <c r="AQ37" i="69" a="1"/>
  <c r="AQ37" i="69" s="1"/>
  <c r="AU37" i="69" a="1"/>
  <c r="AU37" i="69" s="1"/>
  <c r="AG37" i="69" a="1"/>
  <c r="AG37" i="69" s="1"/>
  <c r="BA37" i="69" a="1"/>
  <c r="BA37" i="69" s="1"/>
  <c r="AN37" i="69" a="1"/>
  <c r="AN37" i="69" s="1"/>
  <c r="AV37" i="69" a="1"/>
  <c r="AV37" i="69" s="1"/>
  <c r="AX37" i="69" a="1"/>
  <c r="AX37" i="69" s="1"/>
  <c r="BC104" i="4"/>
  <c r="O60" i="69"/>
  <c r="AG64" i="69" a="1"/>
  <c r="AG64" i="69" s="1"/>
  <c r="AW87" i="69" a="1"/>
  <c r="AW87" i="69" s="1"/>
  <c r="AV49" i="69" a="1"/>
  <c r="AV49" i="69" s="1"/>
  <c r="BA42" i="72" a="1"/>
  <c r="BA42" i="72" s="1"/>
  <c r="AZ92" i="72" a="1"/>
  <c r="AZ92" i="72" s="1"/>
  <c r="AW8" i="69" a="1"/>
  <c r="AW8" i="69" s="1"/>
  <c r="G361" i="15" l="1"/>
  <c r="G270" i="15"/>
  <c r="G663" i="15"/>
  <c r="G452" i="15"/>
  <c r="G172" i="15"/>
  <c r="BR23" i="72" a="1"/>
  <c r="BR23" i="72" s="1"/>
  <c r="AV60" i="69" a="1"/>
  <c r="AV60" i="69" s="1"/>
  <c r="AE55" i="72"/>
  <c r="BA60" i="72" a="1"/>
  <c r="BA60" i="72" s="1"/>
  <c r="AP60" i="72" a="1"/>
  <c r="AP60" i="72" s="1"/>
  <c r="AO60" i="72" a="1"/>
  <c r="AO60" i="72" s="1"/>
  <c r="AP23" i="72" a="1"/>
  <c r="AP23" i="72" s="1"/>
  <c r="AO23" i="72" a="1"/>
  <c r="AO23" i="72" s="1"/>
  <c r="AL55" i="72"/>
  <c r="AK60" i="72" a="1"/>
  <c r="AK60" i="72" s="1"/>
  <c r="AI60" i="72" a="1"/>
  <c r="AI60" i="72" s="1"/>
  <c r="AK23" i="72" a="1"/>
  <c r="AK23" i="72" s="1"/>
  <c r="AI23" i="72" a="1"/>
  <c r="AI23" i="72" s="1"/>
  <c r="AX60" i="72" a="1"/>
  <c r="AX60" i="72" s="1"/>
  <c r="BB23" i="72" a="1"/>
  <c r="BB23" i="72" s="1"/>
  <c r="BM97" i="72"/>
  <c r="AF23" i="69" a="1"/>
  <c r="AF23" i="69" s="1"/>
  <c r="AH23" i="69" a="1"/>
  <c r="AH23" i="69" s="1"/>
  <c r="AF60" i="69" a="1"/>
  <c r="AF60" i="69" s="1"/>
  <c r="AH60" i="69" a="1"/>
  <c r="AH60" i="69" s="1"/>
  <c r="AI23" i="69" a="1"/>
  <c r="AI23" i="69" s="1"/>
  <c r="AI60" i="69" a="1"/>
  <c r="AI60" i="69" s="1"/>
  <c r="AK23" i="69" a="1"/>
  <c r="AK23" i="69" s="1"/>
  <c r="AT60" i="69" a="1"/>
  <c r="AT60" i="69" s="1"/>
  <c r="AK60" i="69" a="1"/>
  <c r="AK60" i="69" s="1"/>
  <c r="X102" i="69"/>
  <c r="X105" i="69"/>
  <c r="AD71" i="69"/>
  <c r="AD96" i="69"/>
  <c r="AX23" i="72" a="1"/>
  <c r="AX23" i="72" s="1"/>
  <c r="AX23" i="69" a="1"/>
  <c r="AX23" i="69" s="1"/>
  <c r="AX60" i="69" a="1"/>
  <c r="AX60" i="69" s="1"/>
  <c r="BR108" i="4"/>
  <c r="X97" i="4"/>
  <c r="BF104" i="4"/>
  <c r="Z1736" i="13" s="1"/>
  <c r="AV1736" i="13" s="1"/>
  <c r="AY23" i="72" a="1"/>
  <c r="AY23" i="72" s="1"/>
  <c r="BP103" i="4"/>
  <c r="AQ23" i="69" a="1"/>
  <c r="AQ23" i="69" s="1"/>
  <c r="AO23" i="69" a="1"/>
  <c r="AO23" i="69" s="1"/>
  <c r="BN23" i="69" a="1"/>
  <c r="BN23" i="69" s="1"/>
  <c r="BA23" i="69" a="1"/>
  <c r="BA23" i="69" s="1"/>
  <c r="AZ23" i="69" a="1"/>
  <c r="AZ23" i="69" s="1"/>
  <c r="AU23" i="69" a="1"/>
  <c r="AU23" i="69" s="1"/>
  <c r="BS55" i="69"/>
  <c r="BH103" i="4"/>
  <c r="Z1717" i="13" s="1"/>
  <c r="X103" i="69"/>
  <c r="AE55" i="69" a="1"/>
  <c r="AE55" i="69" s="1"/>
  <c r="BW55" i="72"/>
  <c r="BR193" i="4"/>
  <c r="G268" i="15"/>
  <c r="L55" i="69"/>
  <c r="BE23" i="72" a="1"/>
  <c r="BE23" i="72" s="1"/>
  <c r="AU23" i="72" a="1"/>
  <c r="AU23" i="72" s="1"/>
  <c r="E55" i="69"/>
  <c r="N3" i="27" s="1" a="1"/>
  <c r="N3" i="27" s="1"/>
  <c r="AZ105" i="4"/>
  <c r="BG103" i="4"/>
  <c r="BV55" i="69"/>
  <c r="AM23" i="72" a="1"/>
  <c r="AM23" i="72" s="1"/>
  <c r="AS23" i="72" a="1"/>
  <c r="AS23" i="72" s="1"/>
  <c r="AY55" i="69" a="1"/>
  <c r="AY55" i="69" s="1"/>
  <c r="AF55" i="72" a="1"/>
  <c r="AF55" i="72" s="1"/>
  <c r="AJ55" i="72" s="1" a="1"/>
  <c r="AJ55" i="72" s="1"/>
  <c r="AW60" i="69" a="1"/>
  <c r="AW60" i="69" s="1"/>
  <c r="AN23" i="72" a="1"/>
  <c r="AN23" i="72" s="1"/>
  <c r="X104" i="72"/>
  <c r="BH55" i="69"/>
  <c r="BD23" i="72" a="1"/>
  <c r="BD23" i="72" s="1"/>
  <c r="AH23" i="72" a="1"/>
  <c r="AH23" i="72" s="1"/>
  <c r="G257" i="15"/>
  <c r="C86" i="69"/>
  <c r="D86" i="69" s="1" a="1"/>
  <c r="D86" i="69" s="1"/>
  <c r="C86" i="72"/>
  <c r="D86" i="72" s="1" a="1"/>
  <c r="D86" i="72" s="1"/>
  <c r="G369" i="15"/>
  <c r="G574" i="15"/>
  <c r="M105" i="4" a="1"/>
  <c r="M105" i="4" s="1"/>
  <c r="G278" i="15"/>
  <c r="I142" i="15" a="1"/>
  <c r="I142" i="15" s="1"/>
  <c r="G142" i="15"/>
  <c r="G235" i="15"/>
  <c r="G581" i="15"/>
  <c r="G433" i="15"/>
  <c r="G440" i="15"/>
  <c r="G474" i="15"/>
  <c r="G247" i="15"/>
  <c r="G375" i="15"/>
  <c r="G340" i="15"/>
  <c r="G436" i="15"/>
  <c r="G413" i="15"/>
  <c r="G399" i="15"/>
  <c r="G641" i="15"/>
  <c r="G480" i="15"/>
  <c r="G594" i="15"/>
  <c r="G209" i="15"/>
  <c r="G516" i="15"/>
  <c r="G628" i="15"/>
  <c r="G299" i="15"/>
  <c r="G578" i="15"/>
  <c r="G179" i="15"/>
  <c r="G390" i="15"/>
  <c r="G397" i="15"/>
  <c r="G471" i="15"/>
  <c r="G261" i="15"/>
  <c r="G490" i="15"/>
  <c r="G402" i="15"/>
  <c r="G461" i="15"/>
  <c r="G571" i="15"/>
  <c r="G296" i="15"/>
  <c r="G421" i="15"/>
  <c r="G241" i="15"/>
  <c r="G267" i="15"/>
  <c r="G396" i="15"/>
  <c r="G432" i="15"/>
  <c r="G608" i="15"/>
  <c r="G215" i="15"/>
  <c r="G337" i="15"/>
  <c r="G634" i="15"/>
  <c r="G540" i="15"/>
  <c r="G274" i="15"/>
  <c r="G583" i="15"/>
  <c r="G284" i="15"/>
  <c r="G422" i="15"/>
  <c r="G240" i="15"/>
  <c r="G478" i="15"/>
  <c r="G438" i="15"/>
  <c r="G249" i="15"/>
  <c r="G486" i="15"/>
  <c r="G400" i="15"/>
  <c r="G191" i="15"/>
  <c r="G404" i="15"/>
  <c r="AV1517" i="13"/>
  <c r="AV1616" i="13" s="1"/>
  <c r="A1616" i="13"/>
  <c r="AX1616" i="13" s="1"/>
  <c r="AX1517" i="13"/>
  <c r="O55" i="69"/>
  <c r="DN43" i="4"/>
  <c r="DM43" i="4"/>
  <c r="DL43" i="4"/>
  <c r="DM72" i="4"/>
  <c r="DN72" i="4"/>
  <c r="DL72" i="4"/>
  <c r="DL55" i="4"/>
  <c r="DN55" i="4"/>
  <c r="DM55" i="4"/>
  <c r="DL60" i="4"/>
  <c r="DM60" i="4"/>
  <c r="DN60" i="4"/>
  <c r="DL50" i="4"/>
  <c r="DN50" i="4"/>
  <c r="DM50" i="4"/>
  <c r="DL79" i="4"/>
  <c r="DN79" i="4"/>
  <c r="DM79" i="4"/>
  <c r="DL44" i="4"/>
  <c r="DN44" i="4"/>
  <c r="DM44" i="4"/>
  <c r="DL82" i="4"/>
  <c r="DM82" i="4"/>
  <c r="DN82" i="4"/>
  <c r="H72" i="72"/>
  <c r="H72" i="69"/>
  <c r="C73" i="72"/>
  <c r="D73" i="72" s="1" a="1"/>
  <c r="D73" i="72" s="1"/>
  <c r="C73" i="69"/>
  <c r="D73" i="69" s="1" a="1"/>
  <c r="D73" i="69" s="1"/>
  <c r="O71" i="72"/>
  <c r="BK71" i="69"/>
  <c r="BO71" i="72"/>
  <c r="O71" i="69"/>
  <c r="G310" i="15"/>
  <c r="C84" i="72"/>
  <c r="D84" i="72" s="1" a="1"/>
  <c r="D84" i="72" s="1"/>
  <c r="C84" i="69"/>
  <c r="D84" i="69" s="1" a="1"/>
  <c r="D84" i="69" s="1"/>
  <c r="H83" i="69"/>
  <c r="H83" i="72"/>
  <c r="C68" i="72"/>
  <c r="D68" i="72" s="1" a="1"/>
  <c r="D68" i="72" s="1"/>
  <c r="C68" i="69"/>
  <c r="D68" i="69" s="1" a="1"/>
  <c r="D68" i="69" s="1"/>
  <c r="H80" i="72"/>
  <c r="H80" i="69"/>
  <c r="C88" i="69"/>
  <c r="D88" i="69" s="1" a="1"/>
  <c r="D88" i="69" s="1"/>
  <c r="C88" i="72"/>
  <c r="D88" i="72" s="1" a="1"/>
  <c r="D88" i="72" s="1"/>
  <c r="G367" i="15"/>
  <c r="C65" i="72"/>
  <c r="D65" i="72" s="1" a="1"/>
  <c r="D65" i="72" s="1"/>
  <c r="C65" i="69"/>
  <c r="D65" i="69" s="1" a="1"/>
  <c r="D65" i="69" s="1"/>
  <c r="AB1769" i="13"/>
  <c r="AV1769" i="13"/>
  <c r="AX1769" i="13" s="1"/>
  <c r="H85" i="72"/>
  <c r="H85" i="69"/>
  <c r="C70" i="69"/>
  <c r="D70" i="69" s="1" a="1"/>
  <c r="D70" i="69" s="1"/>
  <c r="C70" i="72"/>
  <c r="D70" i="72" s="1" a="1"/>
  <c r="D70" i="72" s="1"/>
  <c r="AV23" i="69" a="1"/>
  <c r="AV23" i="69" s="1"/>
  <c r="H59" i="72"/>
  <c r="H59" i="69"/>
  <c r="H95" i="69"/>
  <c r="H95" i="72"/>
  <c r="I164" i="15" a="1"/>
  <c r="I164" i="15" s="1"/>
  <c r="G164" i="15"/>
  <c r="AV1153" i="13"/>
  <c r="AE3" i="1" s="1" a="1"/>
  <c r="AE3" i="1" s="1"/>
  <c r="AE101" i="1" s="1"/>
  <c r="BG97" i="4"/>
  <c r="O55" i="72"/>
  <c r="BX55" i="72"/>
  <c r="BQ55" i="72" a="1"/>
  <c r="BQ55" i="72" s="1"/>
  <c r="AR55" i="72"/>
  <c r="BK55" i="72"/>
  <c r="BH55" i="72"/>
  <c r="R55" i="72"/>
  <c r="T30" i="4"/>
  <c r="Z1622" i="13"/>
  <c r="S30" i="4"/>
  <c r="C91" i="69"/>
  <c r="D91" i="69" s="1" a="1"/>
  <c r="D91" i="69" s="1"/>
  <c r="C91" i="72"/>
  <c r="D91" i="72" s="1" a="1"/>
  <c r="D91" i="72" s="1"/>
  <c r="G519" i="15"/>
  <c r="BK55" i="69"/>
  <c r="DN96" i="4"/>
  <c r="DL96" i="4"/>
  <c r="DM96" i="4"/>
  <c r="DL66" i="4"/>
  <c r="DN66" i="4"/>
  <c r="DM66" i="4"/>
  <c r="DM6" i="4"/>
  <c r="DL6" i="4"/>
  <c r="DN6" i="4"/>
  <c r="DM56" i="4"/>
  <c r="DN56" i="4"/>
  <c r="DJ56" i="4" s="1"/>
  <c r="DL56" i="4"/>
  <c r="DN7" i="4"/>
  <c r="DL7" i="4"/>
  <c r="DM7" i="4"/>
  <c r="DM78" i="4"/>
  <c r="DL78" i="4"/>
  <c r="DN78" i="4"/>
  <c r="DM74" i="4"/>
  <c r="DL74" i="4"/>
  <c r="DN74" i="4"/>
  <c r="DL11" i="4"/>
  <c r="DM11" i="4"/>
  <c r="DN11" i="4"/>
  <c r="G210" i="15"/>
  <c r="G368" i="15"/>
  <c r="G443" i="15"/>
  <c r="Z1767" i="13"/>
  <c r="AB1725" i="13"/>
  <c r="AV1725" i="13"/>
  <c r="G307" i="15"/>
  <c r="G662" i="15"/>
  <c r="G554" i="15"/>
  <c r="H69" i="69"/>
  <c r="H69" i="72"/>
  <c r="G223" i="15"/>
  <c r="H57" i="72"/>
  <c r="H57" i="69"/>
  <c r="H77" i="69"/>
  <c r="H77" i="72"/>
  <c r="G536" i="15"/>
  <c r="H67" i="72"/>
  <c r="H67" i="69"/>
  <c r="C79" i="69"/>
  <c r="D79" i="69" s="1" a="1"/>
  <c r="D79" i="69" s="1"/>
  <c r="C79" i="72"/>
  <c r="D79" i="72" s="1" a="1"/>
  <c r="D79" i="72" s="1"/>
  <c r="BO55" i="72"/>
  <c r="BZ55" i="72"/>
  <c r="AX55" i="72" a="1"/>
  <c r="AX55" i="72" s="1"/>
  <c r="A1653" i="13"/>
  <c r="AX1653" i="13" s="1"/>
  <c r="AV1554" i="13"/>
  <c r="AV1653" i="13" s="1"/>
  <c r="AX1554" i="13"/>
  <c r="I425" i="15" a="1"/>
  <c r="I425" i="15" s="1"/>
  <c r="G425" i="15"/>
  <c r="AD55" i="69"/>
  <c r="H58" i="69"/>
  <c r="H58" i="72"/>
  <c r="DN65" i="4"/>
  <c r="DM65" i="4"/>
  <c r="DL65" i="4"/>
  <c r="DL57" i="4"/>
  <c r="DN57" i="4"/>
  <c r="DJ57" i="4" s="1"/>
  <c r="DM57" i="4"/>
  <c r="DN63" i="4"/>
  <c r="DL63" i="4"/>
  <c r="DM63" i="4"/>
  <c r="DL16" i="4"/>
  <c r="DN16" i="4"/>
  <c r="DM16" i="4"/>
  <c r="DL67" i="4"/>
  <c r="DM67" i="4"/>
  <c r="DN67" i="4"/>
  <c r="DN81" i="4"/>
  <c r="DL81" i="4"/>
  <c r="DM81" i="4"/>
  <c r="DN5" i="4"/>
  <c r="DL5" i="4"/>
  <c r="DM5" i="4"/>
  <c r="DL42" i="4"/>
  <c r="DM42" i="4"/>
  <c r="DN42" i="4"/>
  <c r="G603" i="15"/>
  <c r="H73" i="72"/>
  <c r="H73" i="69"/>
  <c r="G348" i="15"/>
  <c r="G538" i="15"/>
  <c r="G398" i="15"/>
  <c r="G326" i="15"/>
  <c r="G377" i="15"/>
  <c r="G629" i="15"/>
  <c r="H93" i="72"/>
  <c r="H93" i="69"/>
  <c r="G360" i="15"/>
  <c r="C95" i="72"/>
  <c r="D95" i="72" s="1" a="1"/>
  <c r="D95" i="72" s="1"/>
  <c r="C95" i="69"/>
  <c r="D95" i="69" s="1" a="1"/>
  <c r="D95" i="69" s="1"/>
  <c r="H86" i="69"/>
  <c r="H86" i="72"/>
  <c r="X103" i="72"/>
  <c r="G494" i="15"/>
  <c r="G281" i="15"/>
  <c r="X102" i="72"/>
  <c r="X104" i="69"/>
  <c r="H87" i="69"/>
  <c r="H87" i="72"/>
  <c r="BL55" i="72"/>
  <c r="C75" i="72"/>
  <c r="D75" i="72" s="1" a="1"/>
  <c r="D75" i="72" s="1"/>
  <c r="C75" i="69"/>
  <c r="D75" i="69" s="1" a="1"/>
  <c r="D75" i="69" s="1"/>
  <c r="T67" i="4"/>
  <c r="Z1659" i="13"/>
  <c r="S67" i="4"/>
  <c r="I42" i="15" a="1"/>
  <c r="I42" i="15" s="1"/>
  <c r="AV1731" i="13"/>
  <c r="Z1773" i="13"/>
  <c r="AB1731" i="13"/>
  <c r="DN26" i="4"/>
  <c r="DM26" i="4"/>
  <c r="DL26" i="4"/>
  <c r="DN94" i="4"/>
  <c r="DM94" i="4"/>
  <c r="DL94" i="4"/>
  <c r="DL15" i="4"/>
  <c r="DM15" i="4"/>
  <c r="DN15" i="4"/>
  <c r="DN19" i="4"/>
  <c r="DM19" i="4"/>
  <c r="DL19" i="4"/>
  <c r="DN30" i="4"/>
  <c r="DM30" i="4"/>
  <c r="DL30" i="4"/>
  <c r="DL87" i="4"/>
  <c r="DM87" i="4"/>
  <c r="DN87" i="4"/>
  <c r="DM45" i="4"/>
  <c r="DL45" i="4"/>
  <c r="DN45" i="4"/>
  <c r="DM41" i="4"/>
  <c r="DL41" i="4"/>
  <c r="DN41" i="4"/>
  <c r="G646" i="15"/>
  <c r="H82" i="72"/>
  <c r="H82" i="69"/>
  <c r="AB1717" i="13"/>
  <c r="Z1759" i="13"/>
  <c r="AV1717" i="13"/>
  <c r="BM103" i="4"/>
  <c r="Z1720" i="13" s="1"/>
  <c r="C80" i="69"/>
  <c r="D80" i="69" s="1" a="1"/>
  <c r="D80" i="69" s="1"/>
  <c r="C80" i="72"/>
  <c r="D80" i="72" s="1" a="1"/>
  <c r="D80" i="72" s="1"/>
  <c r="G279" i="15"/>
  <c r="H65" i="69"/>
  <c r="H65" i="72"/>
  <c r="G3" i="1" a="1"/>
  <c r="G3" i="1" s="1"/>
  <c r="G101" i="1" s="1"/>
  <c r="BM55" i="4"/>
  <c r="BM97" i="4" s="1"/>
  <c r="BF103" i="4"/>
  <c r="Z1715" i="13" s="1"/>
  <c r="BB103" i="4"/>
  <c r="BL97" i="4"/>
  <c r="BI104" i="4"/>
  <c r="BG104" i="4"/>
  <c r="BR104" i="4"/>
  <c r="BP193" i="4"/>
  <c r="BE103" i="4"/>
  <c r="Z1714" i="13" s="1"/>
  <c r="BR106" i="4"/>
  <c r="BO104" i="4"/>
  <c r="BR103" i="4"/>
  <c r="Z1724" i="13" s="1"/>
  <c r="BR107" i="4"/>
  <c r="BK103" i="4"/>
  <c r="BK104" i="4"/>
  <c r="Z1740" i="13" s="1"/>
  <c r="BD103" i="4"/>
  <c r="AY103" i="4" s="1"/>
  <c r="G259" i="15"/>
  <c r="G531" i="15"/>
  <c r="G457" i="15"/>
  <c r="BB104" i="4"/>
  <c r="Y55" i="4"/>
  <c r="AU55" i="4"/>
  <c r="AV55" i="4" a="1"/>
  <c r="AV55" i="4" s="1"/>
  <c r="AT55" i="4" a="1"/>
  <c r="AT55" i="4" s="1"/>
  <c r="BQ55" i="4"/>
  <c r="CA55" i="4"/>
  <c r="CA97" i="4" s="1"/>
  <c r="AB1746" i="13"/>
  <c r="AV1746" i="13"/>
  <c r="C77" i="69"/>
  <c r="D77" i="69" s="1" a="1"/>
  <c r="D77" i="69" s="1"/>
  <c r="C77" i="72"/>
  <c r="D77" i="72" s="1" a="1"/>
  <c r="D77" i="72" s="1"/>
  <c r="H79" i="69"/>
  <c r="H79" i="72"/>
  <c r="G295" i="15"/>
  <c r="G465" i="15"/>
  <c r="BD104" i="4"/>
  <c r="C87" i="69"/>
  <c r="D87" i="69" s="1" a="1"/>
  <c r="D87" i="69" s="1"/>
  <c r="C87" i="72"/>
  <c r="D87" i="72" s="1" a="1"/>
  <c r="D87" i="72" s="1"/>
  <c r="BC202" i="4"/>
  <c r="Z1718" i="13"/>
  <c r="BC55" i="72" a="1"/>
  <c r="BC55" i="72" s="1"/>
  <c r="BG204" i="4"/>
  <c r="BP55" i="69"/>
  <c r="BO55" i="69" s="1"/>
  <c r="BR55" i="69" s="1"/>
  <c r="BN55" i="69" a="1"/>
  <c r="BN55" i="69" s="1"/>
  <c r="BT55" i="69"/>
  <c r="BG55" i="69"/>
  <c r="AW55" i="69" s="1" a="1"/>
  <c r="AW55" i="69" s="1"/>
  <c r="AW99" i="69" s="1"/>
  <c r="BM55" i="69" a="1"/>
  <c r="BM55" i="69" s="1"/>
  <c r="BD55" i="69"/>
  <c r="R55" i="69"/>
  <c r="AP55" i="69" a="1"/>
  <c r="AP55" i="69" s="1"/>
  <c r="C58" i="69"/>
  <c r="D58" i="69" s="1" a="1"/>
  <c r="D58" i="69" s="1"/>
  <c r="C58" i="72"/>
  <c r="D58" i="72" s="1" a="1"/>
  <c r="D58" i="72" s="1"/>
  <c r="G464" i="15"/>
  <c r="DN69" i="4"/>
  <c r="DM69" i="4"/>
  <c r="DL69" i="4"/>
  <c r="DM14" i="4"/>
  <c r="DN14" i="4"/>
  <c r="DL14" i="4"/>
  <c r="DL64" i="4"/>
  <c r="DM64" i="4"/>
  <c r="DN64" i="4"/>
  <c r="DM37" i="4"/>
  <c r="DL37" i="4"/>
  <c r="DN37" i="4"/>
  <c r="DL39" i="4"/>
  <c r="DN39" i="4"/>
  <c r="DM39" i="4"/>
  <c r="DM25" i="4"/>
  <c r="DN25" i="4"/>
  <c r="DL25" i="4"/>
  <c r="DL91" i="4"/>
  <c r="DN91" i="4"/>
  <c r="DJ91" i="4" s="1"/>
  <c r="DM91" i="4"/>
  <c r="DM59" i="4"/>
  <c r="DN59" i="4"/>
  <c r="DL59" i="4"/>
  <c r="G208" i="15"/>
  <c r="G620" i="15"/>
  <c r="G358" i="15"/>
  <c r="G560" i="15"/>
  <c r="G526" i="15"/>
  <c r="G441" i="15"/>
  <c r="G497" i="15"/>
  <c r="G405" i="15"/>
  <c r="BF108" i="4"/>
  <c r="C67" i="72"/>
  <c r="D67" i="72" s="1" a="1"/>
  <c r="D67" i="72" s="1"/>
  <c r="C67" i="69"/>
  <c r="D67" i="69" s="1" a="1"/>
  <c r="D67" i="69" s="1"/>
  <c r="G481" i="15"/>
  <c r="H75" i="72"/>
  <c r="H75" i="69"/>
  <c r="C89" i="72"/>
  <c r="D89" i="72" s="1" a="1"/>
  <c r="D89" i="72" s="1"/>
  <c r="C89" i="69"/>
  <c r="D89" i="69" s="1" a="1"/>
  <c r="D89" i="69" s="1"/>
  <c r="BI97" i="69"/>
  <c r="DL54" i="4"/>
  <c r="DM54" i="4"/>
  <c r="DN54" i="4"/>
  <c r="DM93" i="4"/>
  <c r="DL93" i="4"/>
  <c r="DN93" i="4"/>
  <c r="DL80" i="4"/>
  <c r="DM80" i="4"/>
  <c r="DN80" i="4"/>
  <c r="DL3" i="4"/>
  <c r="DN3" i="4"/>
  <c r="DM3" i="4"/>
  <c r="DM12" i="4"/>
  <c r="DN12" i="4"/>
  <c r="DL12" i="4"/>
  <c r="DM47" i="4"/>
  <c r="DN47" i="4"/>
  <c r="DL47" i="4"/>
  <c r="DL29" i="4"/>
  <c r="DM29" i="4"/>
  <c r="DN29" i="4"/>
  <c r="DL85" i="4"/>
  <c r="DN85" i="4"/>
  <c r="DM85" i="4"/>
  <c r="AG60" i="69" a="1"/>
  <c r="AG60" i="69" s="1"/>
  <c r="G488" i="15"/>
  <c r="G304" i="15"/>
  <c r="C82" i="72"/>
  <c r="D82" i="72" s="1" a="1"/>
  <c r="D82" i="72" s="1"/>
  <c r="C82" i="69"/>
  <c r="D82" i="69" s="1" a="1"/>
  <c r="D82" i="69" s="1"/>
  <c r="G228" i="15"/>
  <c r="C81" i="72"/>
  <c r="D81" i="72" s="1" a="1"/>
  <c r="D81" i="72" s="1"/>
  <c r="C81" i="69"/>
  <c r="D81" i="69" s="1" a="1"/>
  <c r="D81" i="69" s="1"/>
  <c r="AY557" i="13"/>
  <c r="AY599" i="13" s="1"/>
  <c r="AQ57" i="4"/>
  <c r="AR57" i="4"/>
  <c r="C62" i="72"/>
  <c r="D62" i="72" s="1" a="1"/>
  <c r="D62" i="72" s="1"/>
  <c r="C62" i="69"/>
  <c r="D62" i="69" s="1" a="1"/>
  <c r="D62" i="69" s="1"/>
  <c r="G231" i="15"/>
  <c r="C96" i="69"/>
  <c r="D96" i="69" s="1" a="1"/>
  <c r="D96" i="69" s="1"/>
  <c r="C96" i="72"/>
  <c r="D96" i="72" s="1" a="1"/>
  <c r="D96" i="72" s="1"/>
  <c r="G588" i="15"/>
  <c r="G166" i="15"/>
  <c r="I166" i="15" a="1"/>
  <c r="I166" i="15" s="1"/>
  <c r="AB1747" i="13"/>
  <c r="AV1747" i="13"/>
  <c r="BT55" i="72"/>
  <c r="BS55" i="72" s="1"/>
  <c r="BV55" i="72" s="1"/>
  <c r="E55" i="72"/>
  <c r="BL103" i="4"/>
  <c r="Z1712" i="13"/>
  <c r="BH202" i="4"/>
  <c r="H89" i="72"/>
  <c r="H89" i="69"/>
  <c r="G256" i="15"/>
  <c r="DN33" i="4"/>
  <c r="DL33" i="4"/>
  <c r="DM33" i="4"/>
  <c r="DN86" i="4"/>
  <c r="DL86" i="4"/>
  <c r="DM86" i="4"/>
  <c r="DM13" i="4"/>
  <c r="DL13" i="4"/>
  <c r="DN13" i="4"/>
  <c r="DL23" i="4"/>
  <c r="DM23" i="4"/>
  <c r="DN23" i="4"/>
  <c r="DM83" i="4"/>
  <c r="DL83" i="4"/>
  <c r="DN83" i="4"/>
  <c r="DN73" i="4"/>
  <c r="DL73" i="4"/>
  <c r="DM73" i="4"/>
  <c r="DL76" i="4"/>
  <c r="DM76" i="4"/>
  <c r="DN76" i="4"/>
  <c r="DL40" i="4"/>
  <c r="DM40" i="4"/>
  <c r="DN40" i="4"/>
  <c r="G373" i="15"/>
  <c r="G258" i="15"/>
  <c r="G613" i="15"/>
  <c r="C61" i="72"/>
  <c r="D61" i="72" s="1" a="1"/>
  <c r="D61" i="72" s="1"/>
  <c r="C61" i="69"/>
  <c r="D61" i="69" s="1" a="1"/>
  <c r="D61" i="69" s="1"/>
  <c r="G306" i="15"/>
  <c r="G549" i="15"/>
  <c r="G623" i="15"/>
  <c r="G615" i="15"/>
  <c r="H62" i="69"/>
  <c r="H62" i="72"/>
  <c r="G395" i="15"/>
  <c r="H92" i="72"/>
  <c r="H92" i="69"/>
  <c r="C66" i="69"/>
  <c r="D66" i="69" s="1" a="1"/>
  <c r="D66" i="69" s="1"/>
  <c r="C66" i="72"/>
  <c r="D66" i="72" s="1" a="1"/>
  <c r="D66" i="72" s="1"/>
  <c r="G233" i="15"/>
  <c r="G336" i="15"/>
  <c r="G154" i="15"/>
  <c r="Z1733" i="13"/>
  <c r="BL104" i="4"/>
  <c r="BH203" i="4"/>
  <c r="G655" i="15"/>
  <c r="C59" i="69"/>
  <c r="D59" i="69" s="1" a="1"/>
  <c r="D59" i="69" s="1"/>
  <c r="C59" i="72"/>
  <c r="D59" i="72" s="1" a="1"/>
  <c r="D59" i="72" s="1"/>
  <c r="X105" i="72"/>
  <c r="G654" i="15"/>
  <c r="G653" i="15"/>
  <c r="DN21" i="4"/>
  <c r="DJ21" i="4" s="1"/>
  <c r="DM21" i="4"/>
  <c r="DL21" i="4"/>
  <c r="DM52" i="4"/>
  <c r="DL52" i="4"/>
  <c r="DN52" i="4"/>
  <c r="DJ52" i="4" s="1"/>
  <c r="DN68" i="4"/>
  <c r="DL68" i="4"/>
  <c r="DM68" i="4"/>
  <c r="DL61" i="4"/>
  <c r="DN61" i="4"/>
  <c r="DM61" i="4"/>
  <c r="DL84" i="4"/>
  <c r="DN84" i="4"/>
  <c r="DM84" i="4"/>
  <c r="DM46" i="4"/>
  <c r="DL46" i="4"/>
  <c r="DN46" i="4"/>
  <c r="DJ46" i="4" s="1"/>
  <c r="DL75" i="4"/>
  <c r="DN75" i="4"/>
  <c r="DM75" i="4"/>
  <c r="DN4" i="4"/>
  <c r="DM4" i="4"/>
  <c r="DL4" i="4"/>
  <c r="D15" i="27"/>
  <c r="B12" i="27"/>
  <c r="C16" i="27"/>
  <c r="G500" i="15"/>
  <c r="BN103" i="4"/>
  <c r="Z1716" i="13"/>
  <c r="H81" i="72"/>
  <c r="H81" i="69"/>
  <c r="BK96" i="69"/>
  <c r="O96" i="72"/>
  <c r="O96" i="69"/>
  <c r="BO96" i="72"/>
  <c r="G632" i="15"/>
  <c r="C92" i="72"/>
  <c r="D92" i="72" s="1" a="1"/>
  <c r="D92" i="72" s="1"/>
  <c r="C92" i="69"/>
  <c r="D92" i="69" s="1" a="1"/>
  <c r="D92" i="69" s="1"/>
  <c r="G442" i="15"/>
  <c r="G660" i="15"/>
  <c r="C57" i="72"/>
  <c r="D57" i="72" s="1" a="1"/>
  <c r="D57" i="72" s="1"/>
  <c r="C57" i="69"/>
  <c r="D57" i="69" s="1" a="1"/>
  <c r="D57" i="69" s="1"/>
  <c r="BK56" i="69"/>
  <c r="O56" i="69"/>
  <c r="BO56" i="72"/>
  <c r="O56" i="72"/>
  <c r="AD56" i="69"/>
  <c r="C56" i="69"/>
  <c r="D56" i="69" s="1" a="1"/>
  <c r="D56" i="69" s="1"/>
  <c r="C56" i="72"/>
  <c r="D56" i="72" s="1" a="1"/>
  <c r="D56" i="72" s="1"/>
  <c r="G482" i="15"/>
  <c r="C90" i="69"/>
  <c r="D90" i="69" s="1" a="1"/>
  <c r="D90" i="69" s="1"/>
  <c r="C90" i="72"/>
  <c r="D90" i="72" s="1" a="1"/>
  <c r="D90" i="72" s="1"/>
  <c r="AV1738" i="13"/>
  <c r="AB1738" i="13"/>
  <c r="C63" i="69"/>
  <c r="D63" i="69" s="1" a="1"/>
  <c r="D63" i="69" s="1"/>
  <c r="C63" i="72"/>
  <c r="D63" i="72" s="1" a="1"/>
  <c r="D63" i="72" s="1"/>
  <c r="G535" i="15"/>
  <c r="G354" i="15"/>
  <c r="DN53" i="4"/>
  <c r="DM53" i="4"/>
  <c r="DL53" i="4"/>
  <c r="DN31" i="4"/>
  <c r="DM31" i="4"/>
  <c r="DL31" i="4"/>
  <c r="DN70" i="4"/>
  <c r="DL70" i="4"/>
  <c r="DM70" i="4"/>
  <c r="DN9" i="4"/>
  <c r="DM9" i="4"/>
  <c r="DL9" i="4"/>
  <c r="DN32" i="4"/>
  <c r="DM32" i="4"/>
  <c r="DL32" i="4"/>
  <c r="DM22" i="4"/>
  <c r="DN22" i="4"/>
  <c r="DL22" i="4"/>
  <c r="DM92" i="4"/>
  <c r="DN92" i="4"/>
  <c r="DL92" i="4"/>
  <c r="DL77" i="4"/>
  <c r="DN77" i="4"/>
  <c r="DM77" i="4"/>
  <c r="G625" i="15"/>
  <c r="H61" i="72"/>
  <c r="H61" i="69"/>
  <c r="H71" i="69"/>
  <c r="H71" i="72"/>
  <c r="G498" i="15"/>
  <c r="G355" i="15"/>
  <c r="G448" i="15"/>
  <c r="H94" i="72"/>
  <c r="H94" i="69"/>
  <c r="G419" i="15"/>
  <c r="BA23" i="72" a="1"/>
  <c r="BA23" i="72" s="1"/>
  <c r="H42" i="15" a="1"/>
  <c r="H42" i="15" s="1"/>
  <c r="G648" i="15"/>
  <c r="G428" i="15"/>
  <c r="L55" i="72"/>
  <c r="BI55" i="72"/>
  <c r="BI97" i="72" s="1"/>
  <c r="BJ55" i="72"/>
  <c r="BJ97" i="72" s="1"/>
  <c r="G226" i="15"/>
  <c r="C74" i="69"/>
  <c r="D74" i="69" s="1" a="1"/>
  <c r="D74" i="69" s="1"/>
  <c r="C74" i="72"/>
  <c r="D74" i="72" s="1" a="1"/>
  <c r="D74" i="72" s="1"/>
  <c r="DM27" i="4"/>
  <c r="DL27" i="4"/>
  <c r="DN27" i="4"/>
  <c r="DL38" i="4"/>
  <c r="DM38" i="4"/>
  <c r="DN38" i="4"/>
  <c r="DM62" i="4"/>
  <c r="DN62" i="4"/>
  <c r="DL62" i="4"/>
  <c r="DL34" i="4"/>
  <c r="DN34" i="4"/>
  <c r="DM34" i="4"/>
  <c r="DN90" i="4"/>
  <c r="DL90" i="4"/>
  <c r="DM90" i="4"/>
  <c r="DM36" i="4"/>
  <c r="DN36" i="4"/>
  <c r="DL36" i="4"/>
  <c r="DM89" i="4"/>
  <c r="DL89" i="4"/>
  <c r="DN89" i="4"/>
  <c r="DM88" i="4"/>
  <c r="DL88" i="4"/>
  <c r="DN88" i="4"/>
  <c r="BE104" i="4"/>
  <c r="Z1735" i="13" s="1"/>
  <c r="BQ193" i="4"/>
  <c r="C94" i="72"/>
  <c r="D94" i="72" s="1" a="1"/>
  <c r="D94" i="72" s="1"/>
  <c r="C94" i="69"/>
  <c r="D94" i="69" s="1" a="1"/>
  <c r="D94" i="69" s="1"/>
  <c r="C35" i="14"/>
  <c r="B35" i="14"/>
  <c r="G254" i="15"/>
  <c r="H66" i="69"/>
  <c r="H66" i="72"/>
  <c r="C85" i="72"/>
  <c r="D85" i="72" s="1" a="1"/>
  <c r="D85" i="72" s="1"/>
  <c r="C85" i="69"/>
  <c r="D85" i="69" s="1" a="1"/>
  <c r="D85" i="69" s="1"/>
  <c r="AN23" i="69" a="1"/>
  <c r="AN23" i="69" s="1"/>
  <c r="AU60" i="72" a="1"/>
  <c r="AU60" i="72" s="1"/>
  <c r="BE60" i="72" a="1"/>
  <c r="BE60" i="72" s="1"/>
  <c r="AS60" i="72" a="1"/>
  <c r="AS60" i="72" s="1"/>
  <c r="BD60" i="72" a="1"/>
  <c r="BD60" i="72" s="1"/>
  <c r="AY60" i="72" a="1"/>
  <c r="AY60" i="72" s="1"/>
  <c r="AZ60" i="72" a="1"/>
  <c r="AZ60" i="72" s="1"/>
  <c r="AH60" i="72" a="1"/>
  <c r="AH60" i="72" s="1"/>
  <c r="AN60" i="72" a="1"/>
  <c r="AN60" i="72" s="1"/>
  <c r="AM60" i="72" a="1"/>
  <c r="AM60" i="72" s="1"/>
  <c r="BB60" i="72" a="1"/>
  <c r="BB60" i="72" s="1"/>
  <c r="H56" i="69"/>
  <c r="H56" i="72"/>
  <c r="H90" i="69"/>
  <c r="H90" i="72"/>
  <c r="G238" i="15"/>
  <c r="C78" i="69"/>
  <c r="D78" i="69" s="1" a="1"/>
  <c r="D78" i="69" s="1"/>
  <c r="C78" i="72"/>
  <c r="D78" i="72" s="1" a="1"/>
  <c r="D78" i="72" s="1"/>
  <c r="AT55" i="69" a="1"/>
  <c r="AT55" i="69" s="1"/>
  <c r="BA55" i="69" a="1"/>
  <c r="BA55" i="69" s="1"/>
  <c r="AO3" i="1" s="1" a="1"/>
  <c r="AO3" i="1" s="1"/>
  <c r="AO101" i="1" s="1"/>
  <c r="AQ55" i="69" a="1"/>
  <c r="AQ55" i="69" s="1"/>
  <c r="AQ99" i="69" s="1"/>
  <c r="AU55" i="69" a="1"/>
  <c r="AU55" i="69" s="1"/>
  <c r="AU97" i="69" s="1"/>
  <c r="AO55" i="69" a="1"/>
  <c r="AO55" i="69" s="1"/>
  <c r="AZ55" i="69" a="1"/>
  <c r="AZ55" i="69" s="1"/>
  <c r="BA98" i="69" s="1"/>
  <c r="AV55" i="69" a="1"/>
  <c r="AV55" i="69" s="1"/>
  <c r="BF55" i="69"/>
  <c r="BF97" i="69" s="1"/>
  <c r="BE55" i="69"/>
  <c r="O3" i="1" s="1" a="1"/>
  <c r="O3" i="1" s="1"/>
  <c r="O101" i="1" s="1"/>
  <c r="H74" i="69"/>
  <c r="H74" i="72"/>
  <c r="F42" i="15"/>
  <c r="DN18" i="4"/>
  <c r="DL18" i="4"/>
  <c r="DM18" i="4"/>
  <c r="DN8" i="4"/>
  <c r="DL8" i="4"/>
  <c r="DM8" i="4"/>
  <c r="DL17" i="4"/>
  <c r="DN17" i="4"/>
  <c r="DM17" i="4"/>
  <c r="DM58" i="4"/>
  <c r="DL58" i="4"/>
  <c r="DN58" i="4"/>
  <c r="DL51" i="4"/>
  <c r="DN51" i="4"/>
  <c r="DM51" i="4"/>
  <c r="DM28" i="4"/>
  <c r="DN28" i="4"/>
  <c r="DL28" i="4"/>
  <c r="DL20" i="4"/>
  <c r="DM20" i="4"/>
  <c r="DN20" i="4"/>
  <c r="G468" i="15"/>
  <c r="C71" i="72"/>
  <c r="D71" i="72" s="1" a="1"/>
  <c r="D71" i="72" s="1"/>
  <c r="C71" i="69"/>
  <c r="D71" i="69" s="1" a="1"/>
  <c r="D71" i="69" s="1"/>
  <c r="H84" i="69"/>
  <c r="H84" i="72"/>
  <c r="G283" i="15"/>
  <c r="H68" i="72"/>
  <c r="H68" i="69"/>
  <c r="H76" i="72"/>
  <c r="H76" i="69"/>
  <c r="G269" i="15"/>
  <c r="G265" i="15"/>
  <c r="G598" i="15"/>
  <c r="G195" i="15"/>
  <c r="I195" i="15" a="1"/>
  <c r="I195" i="15" s="1"/>
  <c r="A1549" i="13"/>
  <c r="AV1450" i="13"/>
  <c r="Z1554" i="13"/>
  <c r="AX1450" i="13"/>
  <c r="AB1726" i="13"/>
  <c r="Z1768" i="13"/>
  <c r="AV1726" i="13"/>
  <c r="G479" i="15"/>
  <c r="AG55" i="72"/>
  <c r="AQ55" i="72"/>
  <c r="AQ97" i="72" s="1"/>
  <c r="H91" i="69"/>
  <c r="H91" i="72"/>
  <c r="H78" i="69"/>
  <c r="H78" i="72"/>
  <c r="H63" i="69"/>
  <c r="H63" i="72"/>
  <c r="G573" i="15"/>
  <c r="G200" i="15"/>
  <c r="DM10" i="4"/>
  <c r="DL10" i="4"/>
  <c r="DN10" i="4"/>
  <c r="DM24" i="4"/>
  <c r="DL24" i="4"/>
  <c r="DN24" i="4"/>
  <c r="DM35" i="4"/>
  <c r="DN35" i="4"/>
  <c r="DL35" i="4"/>
  <c r="DL95" i="4"/>
  <c r="DN95" i="4"/>
  <c r="DJ95" i="4" s="1"/>
  <c r="DM95" i="4"/>
  <c r="DL49" i="4"/>
  <c r="DN49" i="4"/>
  <c r="DM49" i="4"/>
  <c r="DM71" i="4"/>
  <c r="DL71" i="4"/>
  <c r="DN71" i="4"/>
  <c r="DN48" i="4"/>
  <c r="DL48" i="4"/>
  <c r="DM48" i="4"/>
  <c r="G512" i="15"/>
  <c r="C72" i="69"/>
  <c r="D72" i="69" s="1" a="1"/>
  <c r="D72" i="69" s="1"/>
  <c r="C72" i="72"/>
  <c r="D72" i="72" s="1" a="1"/>
  <c r="D72" i="72" s="1"/>
  <c r="G446" i="15"/>
  <c r="G472" i="15"/>
  <c r="G445" i="15"/>
  <c r="G509" i="15"/>
  <c r="C83" i="69"/>
  <c r="D83" i="69" s="1" a="1"/>
  <c r="D83" i="69" s="1"/>
  <c r="C83" i="72"/>
  <c r="D83" i="72" s="1" a="1"/>
  <c r="D83" i="72" s="1"/>
  <c r="C76" i="72"/>
  <c r="D76" i="72" s="1" a="1"/>
  <c r="D76" i="72" s="1"/>
  <c r="C76" i="69"/>
  <c r="D76" i="69" s="1" a="1"/>
  <c r="D76" i="69" s="1"/>
  <c r="H88" i="69"/>
  <c r="H88" i="72"/>
  <c r="G327" i="15"/>
  <c r="G242" i="15"/>
  <c r="A10" i="27"/>
  <c r="C69" i="72"/>
  <c r="D69" i="72" s="1" a="1"/>
  <c r="D69" i="72" s="1"/>
  <c r="C69" i="69"/>
  <c r="D69" i="69" s="1" a="1"/>
  <c r="D69" i="69" s="1"/>
  <c r="C93" i="72"/>
  <c r="D93" i="72" s="1" a="1"/>
  <c r="D93" i="72" s="1"/>
  <c r="C93" i="69"/>
  <c r="D93" i="69" s="1" a="1"/>
  <c r="D93" i="69" s="1"/>
  <c r="H70" i="72"/>
  <c r="H70" i="69"/>
  <c r="AW104" i="4" a="1"/>
  <c r="AW104" i="4" s="1"/>
  <c r="AW105" i="4" s="1"/>
  <c r="DJ72" i="4" l="1"/>
  <c r="DJ44" i="4"/>
  <c r="DJ55" i="4"/>
  <c r="DJ87" i="4"/>
  <c r="DJ10" i="4"/>
  <c r="AH97" i="72"/>
  <c r="DJ30" i="4"/>
  <c r="DJ26" i="4"/>
  <c r="DJ89" i="4"/>
  <c r="DJ76" i="4"/>
  <c r="DJ41" i="4"/>
  <c r="DJ66" i="4"/>
  <c r="DJ85" i="4"/>
  <c r="DJ3" i="4"/>
  <c r="DJ71" i="4"/>
  <c r="DJ24" i="4"/>
  <c r="DJ67" i="4"/>
  <c r="DJ17" i="4"/>
  <c r="DJ59" i="4"/>
  <c r="AP55" i="72" a="1"/>
  <c r="AP55" i="72" s="1"/>
  <c r="AP97" i="72" s="1"/>
  <c r="AO55" i="72" a="1"/>
  <c r="AO55" i="72" s="1"/>
  <c r="AK55" i="72" a="1"/>
  <c r="AK55" i="72" s="1"/>
  <c r="AI55" i="72" a="1"/>
  <c r="AI55" i="72" s="1"/>
  <c r="AI97" i="72" s="1"/>
  <c r="AN55" i="72" a="1"/>
  <c r="AN55" i="72" s="1"/>
  <c r="AN97" i="72" s="1"/>
  <c r="AJ97" i="72"/>
  <c r="AF55" i="69" a="1"/>
  <c r="AF55" i="69" s="1"/>
  <c r="AH55" i="69" a="1"/>
  <c r="AH55" i="69" s="1"/>
  <c r="AH100" i="69" s="1"/>
  <c r="AI55" i="69" a="1"/>
  <c r="AI55" i="69" s="1"/>
  <c r="AK55" i="69" a="1"/>
  <c r="AK55" i="69" s="1"/>
  <c r="AG55" i="69" a="1"/>
  <c r="AG55" i="69" s="1"/>
  <c r="AG97" i="69" s="1"/>
  <c r="AT55" i="72" a="1"/>
  <c r="AT55" i="72" s="1"/>
  <c r="BR55" i="72" a="1"/>
  <c r="BR55" i="72" s="1"/>
  <c r="AB1736" i="13"/>
  <c r="BW103" i="4"/>
  <c r="BW104" i="4" s="1"/>
  <c r="AX55" i="69" a="1"/>
  <c r="AX55" i="69" s="1"/>
  <c r="AZ55" i="72" a="1"/>
  <c r="AZ55" i="72" s="1"/>
  <c r="BE55" i="72" a="1"/>
  <c r="BE55" i="72" s="1"/>
  <c r="BE97" i="72" s="1"/>
  <c r="BB55" i="72" a="1"/>
  <c r="BB55" i="72" s="1"/>
  <c r="AO97" i="72"/>
  <c r="DJ74" i="4"/>
  <c r="DJ6" i="4"/>
  <c r="AM3" i="1" a="1"/>
  <c r="AM3" i="1" s="1"/>
  <c r="AM101" i="1" s="1"/>
  <c r="DJ47" i="4"/>
  <c r="DJ92" i="4"/>
  <c r="DJ68" i="4"/>
  <c r="DJ64" i="4"/>
  <c r="DJ16" i="4"/>
  <c r="DJ82" i="4"/>
  <c r="DJ60" i="4"/>
  <c r="DJ12" i="4"/>
  <c r="DJ8" i="4"/>
  <c r="DJ22" i="4"/>
  <c r="DJ31" i="4"/>
  <c r="DJ25" i="4"/>
  <c r="DJ14" i="4"/>
  <c r="AH55" i="72" a="1"/>
  <c r="AH55" i="72" s="1"/>
  <c r="DJ48" i="4"/>
  <c r="DJ32" i="4"/>
  <c r="DJ53" i="4"/>
  <c r="DJ29" i="4"/>
  <c r="DJ80" i="4"/>
  <c r="DJ39" i="4"/>
  <c r="AY55" i="72" a="1"/>
  <c r="AY55" i="72" s="1"/>
  <c r="AY97" i="72" s="1"/>
  <c r="DJ18" i="4"/>
  <c r="DJ90" i="4"/>
  <c r="DJ77" i="4"/>
  <c r="DJ4" i="4"/>
  <c r="AQ97" i="69"/>
  <c r="AK97" i="72"/>
  <c r="BE97" i="69"/>
  <c r="AS55" i="72" a="1"/>
  <c r="AS55" i="72" s="1"/>
  <c r="BD55" i="72" a="1"/>
  <c r="BD55" i="72" s="1"/>
  <c r="BD97" i="72" s="1"/>
  <c r="AN55" i="69" a="1"/>
  <c r="AN55" i="69" s="1"/>
  <c r="AN100" i="69" s="1"/>
  <c r="AU55" i="72" a="1"/>
  <c r="AU55" i="72" s="1"/>
  <c r="AU97" i="72" s="1"/>
  <c r="Z1654" i="13"/>
  <c r="S62" i="4"/>
  <c r="S97" i="4" s="1"/>
  <c r="T62" i="4"/>
  <c r="T97" i="4" s="1"/>
  <c r="DJ58" i="4"/>
  <c r="AZ97" i="69"/>
  <c r="DJ27" i="4"/>
  <c r="DJ73" i="4"/>
  <c r="DJ86" i="4"/>
  <c r="C55" i="69"/>
  <c r="D55" i="69" s="1" a="1"/>
  <c r="D55" i="69" s="1"/>
  <c r="L3" i="27" s="1" a="1"/>
  <c r="L3" i="27" s="1"/>
  <c r="C55" i="72"/>
  <c r="D55" i="72" s="1" a="1"/>
  <c r="D55" i="72" s="1"/>
  <c r="AB1724" i="13"/>
  <c r="AV1724" i="13"/>
  <c r="DJ79" i="4"/>
  <c r="DJ49" i="4"/>
  <c r="DJ61" i="4"/>
  <c r="DJ83" i="4"/>
  <c r="AH97" i="69"/>
  <c r="AM55" i="72" a="1"/>
  <c r="AM55" i="72" s="1"/>
  <c r="AM97" i="72" s="1"/>
  <c r="AB1735" i="13"/>
  <c r="AV1735" i="13"/>
  <c r="BP108" i="4"/>
  <c r="AB1773" i="13"/>
  <c r="BB1754" i="13"/>
  <c r="AV1773" i="13"/>
  <c r="BA97" i="69"/>
  <c r="BA55" i="72" a="1"/>
  <c r="BA55" i="72" s="1"/>
  <c r="BB99" i="72" s="1"/>
  <c r="DJ20" i="4"/>
  <c r="DJ88" i="4"/>
  <c r="DJ9" i="4"/>
  <c r="DJ33" i="4"/>
  <c r="DJ69" i="4"/>
  <c r="AB1714" i="13"/>
  <c r="AV1714" i="13"/>
  <c r="Z1756" i="13"/>
  <c r="DJ19" i="4"/>
  <c r="DJ5" i="4"/>
  <c r="DJ63" i="4"/>
  <c r="DJ50" i="4"/>
  <c r="BB98" i="69"/>
  <c r="DJ34" i="4"/>
  <c r="DJ75" i="4"/>
  <c r="DJ40" i="4"/>
  <c r="DJ23" i="4"/>
  <c r="DJ93" i="4"/>
  <c r="DJ37" i="4"/>
  <c r="C1733" i="13"/>
  <c r="AY203" i="4"/>
  <c r="DJ45" i="4"/>
  <c r="DJ15" i="4"/>
  <c r="DJ78" i="4"/>
  <c r="DJ43" i="4"/>
  <c r="BR105" i="4"/>
  <c r="Z1745" i="13"/>
  <c r="DJ70" i="4"/>
  <c r="AB1716" i="13"/>
  <c r="AV1716" i="13"/>
  <c r="BN104" i="4"/>
  <c r="Z1742" i="13" s="1"/>
  <c r="Z1737" i="13"/>
  <c r="AV1720" i="13"/>
  <c r="AB1720" i="13"/>
  <c r="DJ81" i="4"/>
  <c r="AV1767" i="13"/>
  <c r="AX1767" i="13" s="1"/>
  <c r="AB1767" i="13"/>
  <c r="DJ35" i="4"/>
  <c r="DJ28" i="4"/>
  <c r="Z43" i="14"/>
  <c r="Z41" i="14"/>
  <c r="Z42" i="14"/>
  <c r="DJ62" i="4"/>
  <c r="Z1721" i="13"/>
  <c r="DJ13" i="4"/>
  <c r="BH204" i="4"/>
  <c r="DJ54" i="4"/>
  <c r="AV1718" i="13"/>
  <c r="AB1718" i="13"/>
  <c r="AY104" i="4"/>
  <c r="Z1739" i="13"/>
  <c r="Z1760" i="13" s="1"/>
  <c r="BC203" i="4"/>
  <c r="BC204" i="4" s="1"/>
  <c r="Z1750" i="13"/>
  <c r="AV1733" i="13"/>
  <c r="AB1733" i="13"/>
  <c r="Z1729" i="13"/>
  <c r="AV1712" i="13"/>
  <c r="Z1754" i="13"/>
  <c r="AB1712" i="13"/>
  <c r="Z1713" i="13"/>
  <c r="Z1722" i="13" s="1"/>
  <c r="BA202" i="4"/>
  <c r="C1759" i="13"/>
  <c r="AB1759" i="13"/>
  <c r="AV1759" i="13"/>
  <c r="AR97" i="72"/>
  <c r="AR101" i="72"/>
  <c r="AQ101" i="72"/>
  <c r="AQ102" i="72" s="1"/>
  <c r="AB1768" i="13"/>
  <c r="AV1768" i="13"/>
  <c r="AX1768" i="13" s="1"/>
  <c r="F43" i="14"/>
  <c r="P43" i="14" s="1"/>
  <c r="F40" i="14"/>
  <c r="P40" i="14" s="1"/>
  <c r="F42" i="14"/>
  <c r="P42" i="14" s="1"/>
  <c r="F41" i="14"/>
  <c r="P41" i="14" s="1"/>
  <c r="DJ38" i="4"/>
  <c r="BL105" i="4"/>
  <c r="AB1740" i="13"/>
  <c r="AV1740" i="13"/>
  <c r="Z1749" i="13"/>
  <c r="AY202" i="4"/>
  <c r="C1712" i="13"/>
  <c r="DJ94" i="4"/>
  <c r="DJ65" i="4"/>
  <c r="DJ7" i="4"/>
  <c r="DJ96" i="4"/>
  <c r="Z1744" i="13"/>
  <c r="A1648" i="13"/>
  <c r="AX1648" i="13" s="1"/>
  <c r="AX1549" i="13"/>
  <c r="AV1549" i="13"/>
  <c r="AV1648" i="13" s="1"/>
  <c r="DJ51" i="4"/>
  <c r="DJ36" i="4"/>
  <c r="DJ84" i="4"/>
  <c r="BK105" i="4"/>
  <c r="Z1719" i="13"/>
  <c r="AV1715" i="13"/>
  <c r="AB1715" i="13"/>
  <c r="Z1723" i="13"/>
  <c r="Z1757" i="13"/>
  <c r="DJ42" i="4"/>
  <c r="DJ11" i="4"/>
  <c r="H40" i="15"/>
  <c r="I40" i="15"/>
  <c r="Z1734" i="13"/>
  <c r="BA203" i="4"/>
  <c r="H55" i="72"/>
  <c r="H55" i="69"/>
  <c r="BE55" i="4" a="1"/>
  <c r="BE55" i="4" s="1"/>
  <c r="BM104" i="4"/>
  <c r="Z1741" i="13" s="1"/>
  <c r="Z1762" i="13" s="1"/>
  <c r="BG98" i="72" l="1"/>
  <c r="BF98" i="72"/>
  <c r="AN97" i="69"/>
  <c r="AV99" i="72"/>
  <c r="AP101" i="72"/>
  <c r="BE203" i="4"/>
  <c r="AR102" i="72"/>
  <c r="AV1722" i="13"/>
  <c r="Z1732" i="13"/>
  <c r="AB1732" i="13" s="1"/>
  <c r="AB1722" i="13"/>
  <c r="AB1734" i="13"/>
  <c r="AV1734" i="13"/>
  <c r="BB202" i="4"/>
  <c r="AZ202" i="4"/>
  <c r="AY204" i="4"/>
  <c r="AB1729" i="13"/>
  <c r="AV1729" i="13"/>
  <c r="AB1749" i="13"/>
  <c r="AV1749" i="13"/>
  <c r="AB1760" i="13"/>
  <c r="AV1760" i="13"/>
  <c r="AB1745" i="13"/>
  <c r="AV1745" i="13"/>
  <c r="AB1750" i="13"/>
  <c r="AV1750" i="13"/>
  <c r="AR99" i="72"/>
  <c r="AV1741" i="13"/>
  <c r="AB1741" i="13"/>
  <c r="AB1723" i="13"/>
  <c r="AV1723" i="13"/>
  <c r="AB1713" i="13"/>
  <c r="Z1755" i="13"/>
  <c r="Z1764" i="13" s="1"/>
  <c r="AV1713" i="13"/>
  <c r="AB1739" i="13"/>
  <c r="Z1743" i="13"/>
  <c r="AV1739" i="13"/>
  <c r="BN105" i="4"/>
  <c r="Z1766" i="13"/>
  <c r="AV1757" i="13"/>
  <c r="Z1765" i="13"/>
  <c r="AB1757" i="13"/>
  <c r="C1757" i="13"/>
  <c r="AV1744" i="13"/>
  <c r="AB1744" i="13"/>
  <c r="BE202" i="4"/>
  <c r="BA204" i="4"/>
  <c r="AB1721" i="13"/>
  <c r="Z1763" i="13"/>
  <c r="AV1721" i="13"/>
  <c r="AV1762" i="13"/>
  <c r="C1762" i="13"/>
  <c r="AB1762" i="13"/>
  <c r="BY103" i="4"/>
  <c r="BY104" i="4" s="1"/>
  <c r="BE97" i="4"/>
  <c r="AZ99" i="4" s="1"/>
  <c r="BX103" i="4"/>
  <c r="BX104" i="4" s="1"/>
  <c r="AB1737" i="13"/>
  <c r="AV1737" i="13"/>
  <c r="BB203" i="4"/>
  <c r="AZ203" i="4"/>
  <c r="BI203" i="4" s="1"/>
  <c r="AB1742" i="13"/>
  <c r="AV1742" i="13"/>
  <c r="AB1756" i="13"/>
  <c r="AV1756" i="13"/>
  <c r="C1756" i="13"/>
  <c r="AV1719" i="13"/>
  <c r="Z1728" i="13"/>
  <c r="AB1719" i="13"/>
  <c r="Z1761" i="13"/>
  <c r="AV1754" i="13"/>
  <c r="Z1775" i="13"/>
  <c r="AB1754" i="13"/>
  <c r="E1754" i="13"/>
  <c r="Z1771" i="13"/>
  <c r="AZ1754" i="13"/>
  <c r="BC1754" i="13" s="1"/>
  <c r="E1753" i="13"/>
  <c r="AW1754" i="13"/>
  <c r="Z1758" i="13"/>
  <c r="BD203" i="4" l="1"/>
  <c r="BL203" i="4" s="1"/>
  <c r="BO203" i="4"/>
  <c r="BE204" i="4"/>
  <c r="BF202" i="4"/>
  <c r="BF204" i="4" s="1"/>
  <c r="AB1764" i="13"/>
  <c r="Z1774" i="13"/>
  <c r="AV1764" i="13"/>
  <c r="BA1754" i="13"/>
  <c r="AV1766" i="13"/>
  <c r="AX1766" i="13" s="1"/>
  <c r="AX1770" i="13" s="1"/>
  <c r="AB1766" i="13"/>
  <c r="AV1771" i="13"/>
  <c r="AB1771" i="13"/>
  <c r="AZ204" i="4"/>
  <c r="BI202" i="4"/>
  <c r="BO202" i="4"/>
  <c r="BB204" i="4"/>
  <c r="BO204" i="4" s="1"/>
  <c r="BD202" i="4"/>
  <c r="BJ203" i="4"/>
  <c r="AB1743" i="13"/>
  <c r="AV1743" i="13"/>
  <c r="Z1753" i="13"/>
  <c r="AB1753" i="13" s="1"/>
  <c r="AV1775" i="13"/>
  <c r="AB1775" i="13"/>
  <c r="AB1761" i="13"/>
  <c r="Z1770" i="13"/>
  <c r="AV1761" i="13"/>
  <c r="C1761" i="13"/>
  <c r="AV1755" i="13"/>
  <c r="AB1755" i="13"/>
  <c r="AV1728" i="13"/>
  <c r="AB1728" i="13"/>
  <c r="AB1758" i="13"/>
  <c r="AV1758" i="13"/>
  <c r="AV1765" i="13"/>
  <c r="AB1765" i="13"/>
  <c r="AV1763" i="13"/>
  <c r="AB1763" i="13"/>
  <c r="BN203" i="4" l="1"/>
  <c r="AB1774" i="13"/>
  <c r="AV1774" i="13"/>
  <c r="AV1770" i="13"/>
  <c r="AB1770" i="13"/>
  <c r="BN202" i="4"/>
  <c r="BI204" i="4"/>
  <c r="BJ202" i="4"/>
  <c r="BJ204" i="4" s="1"/>
  <c r="BD204" i="4"/>
  <c r="BL204" i="4" s="1"/>
  <c r="BL202" i="4"/>
  <c r="BN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U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Y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C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N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O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S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V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W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C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T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J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futureMetadata>
  <cellMetadata count="1">
    <bk>
      <rc t="1" v="0"/>
    </bk>
  </cellMetadata>
  <valueMetadata count="44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valueMetadata>
</metadata>
</file>

<file path=xl/sharedStrings.xml><?xml version="1.0" encoding="utf-8"?>
<sst xmlns="http://schemas.openxmlformats.org/spreadsheetml/2006/main" count="6094" uniqueCount="2822">
  <si>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</si>
  <si>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</si>
  <si>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</si>
  <si>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</si>
  <si>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</si>
  <si>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</si>
  <si>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</si>
  <si>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</si>
  <si>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</si>
  <si>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</si>
  <si>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</si>
  <si>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</si>
  <si>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</si>
  <si>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</si>
  <si>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</si>
  <si>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</si>
  <si>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</si>
  <si>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</si>
  <si>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</si>
  <si>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</si>
  <si>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</si>
  <si>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</si>
  <si>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</si>
  <si>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</si>
  <si>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</si>
  <si>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</si>
  <si>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</si>
  <si>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</si>
  <si>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</si>
  <si>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</si>
  <si>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</si>
  <si>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</si>
  <si>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</si>
  <si>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</si>
  <si>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</si>
  <si>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</si>
  <si>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</si>
  <si>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</si>
  <si>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</si>
  <si>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</si>
  <si>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</si>
  <si>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</si>
  <si>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</si>
  <si>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</si>
  <si>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</si>
  <si>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</si>
  <si>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</si>
  <si>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</si>
  <si>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</si>
  <si>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</si>
  <si>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</si>
  <si>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</si>
  <si>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</si>
  <si>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</si>
  <si>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</si>
  <si>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</si>
  <si>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</si>
  <si>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</si>
  <si>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</si>
  <si>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</si>
  <si>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</si>
  <si>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</si>
  <si>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</si>
  <si>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</si>
  <si>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</si>
  <si>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</si>
  <si>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</si>
  <si>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</si>
  <si>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</si>
  <si>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</si>
  <si>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</si>
  <si>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</si>
  <si>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</si>
  <si>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</si>
  <si>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</si>
  <si>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</si>
  <si>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</si>
  <si>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</si>
  <si>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</si>
  <si>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</si>
  <si>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</si>
  <si>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</si>
  <si>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</si>
  <si>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</si>
  <si>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</si>
  <si>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</si>
  <si>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</si>
  <si>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</si>
  <si>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</si>
  <si>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</si>
  <si>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</si>
  <si>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</si>
  <si>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</si>
  <si>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</si>
  <si>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</si>
  <si>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</si>
  <si>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</si>
  <si>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</si>
  <si>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</si>
  <si>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</si>
  <si>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</si>
  <si>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</si>
  <si>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</si>
  <si>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</si>
  <si>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</si>
  <si>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</si>
  <si>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</si>
  <si>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</si>
  <si>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</si>
  <si>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</si>
  <si>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</si>
  <si>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</si>
  <si>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</si>
  <si>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</si>
  <si>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</si>
  <si>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</si>
  <si>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</si>
  <si>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</si>
  <si>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</si>
  <si>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</si>
  <si>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</si>
  <si>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</si>
  <si>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</si>
  <si>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</si>
  <si>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</si>
  <si>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</si>
  <si>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</si>
  <si>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</si>
  <si>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</si>
  <si>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</si>
  <si>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</si>
  <si>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</si>
  <si>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</si>
  <si>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</si>
  <si>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</si>
  <si>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</si>
  <si>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</si>
  <si>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</si>
  <si>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</si>
  <si>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</si>
  <si>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</si>
  <si>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</si>
  <si>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</si>
  <si>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</si>
  <si>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</si>
  <si>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</si>
  <si>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</si>
  <si>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</si>
  <si>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</si>
  <si>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</si>
  <si>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</si>
  <si>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</si>
  <si>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</si>
  <si>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</si>
  <si>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</si>
  <si>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</si>
  <si>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</si>
  <si>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</si>
  <si>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</si>
  <si>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</si>
  <si>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</si>
  <si>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</si>
  <si>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</si>
  <si>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</si>
  <si>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</si>
  <si>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</si>
  <si>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</si>
  <si>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</si>
  <si>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</si>
  <si>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</si>
  <si>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</si>
  <si>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</si>
  <si>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</si>
  <si>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</si>
  <si>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</si>
  <si>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</si>
  <si>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</si>
  <si>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</si>
  <si>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</si>
  <si>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</si>
  <si>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</si>
  <si>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</si>
  <si>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</si>
  <si>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</si>
  <si>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</si>
  <si>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</si>
  <si>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</si>
  <si>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</si>
  <si>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</si>
  <si>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</si>
  <si>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</si>
  <si>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</si>
  <si>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</si>
  <si>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</si>
  <si>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</si>
  <si>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</si>
  <si>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</si>
  <si>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</si>
  <si>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</si>
  <si>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</si>
  <si>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</si>
  <si>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</si>
  <si>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</si>
  <si>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</si>
  <si>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</si>
  <si>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</si>
  <si>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</si>
  <si>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</si>
  <si>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</si>
  <si>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</si>
  <si>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</si>
  <si>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</si>
  <si>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</si>
  <si>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</si>
  <si>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</si>
  <si>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</si>
  <si>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</si>
  <si>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</si>
  <si>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</si>
  <si>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</si>
  <si>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</si>
  <si>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</si>
  <si>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</si>
  <si>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</si>
  <si>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</si>
  <si>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</si>
  <si>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</si>
  <si>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</si>
  <si>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</si>
  <si>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</si>
  <si>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</si>
  <si>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</si>
  <si>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</si>
  <si>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</si>
  <si>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</si>
  <si>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</si>
  <si>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</si>
  <si>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</si>
  <si>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</si>
  <si>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</si>
  <si>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</si>
  <si>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</si>
  <si>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</si>
  <si>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</si>
  <si>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</si>
  <si>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</si>
  <si>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</si>
  <si>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</si>
  <si>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</si>
  <si>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</si>
  <si>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</si>
  <si>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</si>
  <si>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</si>
  <si>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</si>
  <si>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</si>
  <si>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</si>
  <si>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</si>
  <si>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</si>
  <si>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</si>
  <si>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</si>
  <si>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</si>
  <si>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</si>
  <si>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</si>
  <si>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</si>
  <si>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</si>
  <si>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</si>
  <si>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</si>
  <si>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</si>
  <si>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</si>
  <si>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</si>
  <si>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</si>
  <si>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</si>
  <si>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</si>
  <si>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</si>
  <si>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</si>
  <si>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</si>
  <si>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</si>
  <si>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</si>
  <si>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</si>
  <si>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</si>
  <si>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</si>
  <si>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</si>
  <si>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</si>
  <si>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</si>
  <si>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</si>
  <si>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</si>
  <si>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</si>
  <si>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</si>
  <si>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</si>
  <si>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</si>
  <si>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</si>
  <si>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</si>
  <si>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</si>
  <si>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</si>
  <si>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</si>
  <si>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</si>
  <si>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</si>
  <si>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</si>
  <si>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</si>
  <si>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</si>
  <si>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</si>
  <si>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</si>
  <si>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</si>
  <si>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</si>
  <si>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</si>
  <si>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</si>
  <si>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</si>
  <si>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</si>
  <si>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</si>
  <si>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</si>
  <si>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</si>
  <si>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</si>
  <si>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</si>
  <si>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</si>
  <si>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</si>
  <si>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</si>
  <si>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</si>
  <si>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</si>
  <si>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</si>
  <si>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</si>
  <si>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</si>
  <si>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</si>
  <si>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</si>
  <si>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</si>
  <si>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</si>
  <si>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</si>
  <si>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</si>
  <si>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</si>
  <si>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</si>
  <si>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</si>
  <si>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</si>
  <si>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</si>
  <si>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</si>
  <si>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</si>
  <si>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</si>
  <si>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</si>
  <si>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</si>
  <si>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</si>
  <si>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</si>
  <si>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</si>
  <si>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</si>
  <si>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</si>
  <si>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</si>
  <si>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</si>
  <si>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</si>
  <si>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</si>
  <si>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</si>
  <si>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</si>
  <si>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</si>
  <si>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</si>
  <si>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</si>
  <si>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</si>
  <si>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</si>
  <si>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</si>
  <si>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</si>
  <si>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</si>
  <si>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</si>
  <si>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</si>
  <si>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</si>
  <si>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</si>
  <si>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</si>
  <si>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</si>
  <si>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</si>
  <si>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</si>
  <si>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</si>
  <si>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</si>
  <si>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</si>
  <si>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</si>
  <si>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</si>
  <si>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</si>
  <si>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</si>
  <si>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</si>
  <si>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</si>
  <si>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</si>
  <si>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</si>
  <si>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</si>
  <si>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</si>
  <si>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</si>
  <si>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</si>
  <si>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</si>
  <si>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</si>
  <si>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</si>
  <si>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</si>
  <si>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</si>
  <si>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</si>
  <si>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</si>
  <si>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</si>
  <si>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</si>
  <si>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</si>
  <si>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</si>
  <si>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</si>
  <si>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</si>
  <si>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</si>
  <si>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</si>
  <si>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</si>
  <si>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</si>
  <si>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</si>
  <si>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</si>
  <si>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</si>
  <si>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</si>
  <si>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</si>
  <si>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</si>
  <si>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</si>
  <si>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</si>
  <si>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</si>
  <si>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</si>
  <si>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</si>
  <si>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</si>
  <si>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</si>
  <si>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</si>
  <si>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</si>
  <si>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</si>
  <si>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</si>
  <si>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</si>
  <si>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</si>
  <si>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</si>
  <si>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</si>
  <si>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</si>
  <si>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</si>
  <si>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</si>
  <si>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</si>
  <si>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</si>
  <si>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</si>
  <si>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</si>
  <si>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</si>
  <si>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</si>
  <si>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</si>
  <si>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</si>
  <si>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</si>
  <si>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</si>
  <si>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</si>
  <si>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</si>
  <si>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</si>
  <si>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</si>
  <si>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</si>
  <si>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</si>
  <si>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</si>
  <si>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</si>
  <si>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</si>
  <si>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</si>
  <si>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</si>
  <si>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</si>
  <si>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</si>
  <si>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</si>
  <si>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</si>
  <si>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</si>
  <si>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</si>
  <si>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</si>
  <si>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</si>
  <si>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</si>
  <si>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</si>
  <si>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</si>
  <si>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</si>
  <si>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</si>
  <si>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</si>
  <si>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</si>
  <si>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</si>
  <si>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</si>
  <si>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</si>
  <si>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</si>
  <si>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</si>
  <si>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</si>
  <si>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</si>
  <si>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</si>
  <si>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</si>
  <si>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</si>
  <si>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</si>
  <si>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</si>
  <si>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</si>
  <si>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</si>
  <si>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</si>
  <si>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</si>
  <si>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</si>
  <si>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</si>
  <si>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</si>
  <si>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</si>
  <si>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</si>
  <si>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</si>
  <si>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</si>
  <si>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</si>
  <si>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</si>
  <si>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</si>
  <si>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</si>
  <si>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</si>
  <si>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</si>
  <si>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</si>
  <si>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</si>
  <si>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</si>
  <si>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</si>
  <si>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</si>
  <si>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</si>
  <si>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</si>
  <si>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</si>
  <si>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</si>
  <si>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</si>
  <si>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</si>
  <si>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</si>
  <si>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</si>
  <si>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</si>
  <si>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</si>
  <si>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</si>
  <si>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</si>
  <si>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</si>
  <si>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</si>
  <si>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</si>
  <si>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</si>
  <si>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</si>
  <si>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</si>
  <si>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</si>
  <si>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</si>
  <si>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</si>
  <si>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</si>
  <si>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</si>
  <si>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</si>
  <si>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</si>
  <si>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</si>
  <si>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</si>
  <si>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</si>
  <si>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</si>
  <si>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</si>
  <si>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</si>
  <si>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</si>
  <si>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</si>
  <si>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</si>
  <si>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</si>
  <si>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</si>
  <si>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</si>
  <si>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</si>
  <si>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</si>
  <si>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</si>
  <si>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</si>
  <si>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</si>
  <si>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</si>
  <si>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</si>
  <si>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</si>
  <si>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</si>
  <si>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</si>
  <si>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</si>
  <si>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</si>
  <si>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</si>
  <si>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</si>
  <si>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</si>
  <si>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</si>
  <si>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</si>
  <si>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</si>
  <si>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</si>
  <si>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</si>
  <si>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</si>
  <si>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</si>
  <si>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</si>
  <si>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</si>
  <si>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</si>
  <si>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</si>
  <si>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</si>
  <si>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</si>
  <si>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</si>
  <si>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</si>
  <si>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</si>
  <si>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</si>
  <si>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</si>
  <si>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</si>
  <si>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</si>
  <si>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</si>
  <si>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</si>
  <si>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</si>
  <si>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</si>
  <si>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</si>
  <si>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</si>
  <si>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</si>
  <si>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</si>
  <si>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</si>
  <si>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</si>
  <si>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</si>
  <si>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</si>
  <si>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</si>
  <si>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</si>
  <si>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</si>
  <si>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</si>
  <si>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</si>
  <si>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</si>
  <si>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</si>
  <si>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</si>
  <si>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</si>
  <si>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</si>
  <si>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</si>
  <si>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</si>
  <si>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</si>
  <si>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</si>
  <si>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</si>
  <si>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</si>
  <si>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</si>
  <si>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</si>
  <si>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</si>
  <si>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</si>
  <si>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</si>
  <si>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</si>
  <si>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</si>
  <si>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</si>
  <si>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</si>
  <si>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</si>
  <si>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</si>
  <si>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</si>
  <si>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</si>
  <si>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</si>
  <si>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</si>
  <si>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</si>
  <si>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</si>
  <si>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</si>
  <si>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</si>
  <si>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</si>
  <si>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</si>
  <si>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</si>
  <si>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</si>
  <si>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</si>
  <si>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</si>
  <si>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</si>
  <si>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</si>
  <si>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</si>
  <si>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</si>
  <si>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</si>
  <si>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</si>
  <si>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</si>
  <si>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</si>
  <si>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</si>
  <si>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</si>
  <si>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</si>
  <si>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</si>
  <si>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</si>
  <si>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</si>
  <si>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</si>
  <si>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</si>
  <si>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</si>
  <si>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</si>
  <si>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</si>
  <si>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</si>
  <si>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</si>
  <si>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</si>
  <si>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</si>
  <si>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</si>
  <si>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</si>
  <si>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</si>
  <si>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</si>
  <si>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</si>
  <si>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</si>
  <si>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</si>
  <si>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</si>
  <si>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</si>
  <si>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</si>
  <si>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</si>
  <si>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</si>
  <si>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</si>
  <si>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</si>
  <si>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</si>
  <si>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</si>
  <si>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</si>
  <si>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</si>
  <si>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</si>
  <si>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</si>
  <si>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</si>
  <si>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</si>
  <si>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</si>
  <si>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</si>
  <si>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</si>
  <si>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</si>
  <si>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</si>
  <si>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</si>
  <si>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</si>
  <si>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</si>
  <si>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</si>
  <si>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</si>
  <si>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</si>
  <si>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</si>
  <si>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</si>
  <si>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</si>
  <si>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</si>
  <si>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</si>
  <si>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</si>
  <si>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</si>
  <si>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</si>
  <si>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</si>
  <si>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</si>
  <si>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</si>
  <si>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</si>
  <si>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</si>
  <si>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</si>
  <si>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</si>
  <si>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</si>
  <si>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</si>
  <si>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</si>
  <si>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</si>
  <si>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</si>
  <si>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</si>
  <si>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</si>
  <si>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</si>
  <si>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</si>
  <si>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</si>
  <si>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</si>
  <si>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</si>
  <si>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</si>
  <si>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</si>
  <si>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</si>
  <si>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</si>
  <si>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</si>
  <si>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</si>
  <si>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</si>
  <si>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</si>
  <si>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</si>
  <si>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</si>
  <si>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</si>
  <si>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</si>
  <si>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</si>
  <si>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</si>
  <si>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</si>
  <si>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</si>
  <si>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</si>
  <si>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</si>
  <si>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</si>
  <si>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</si>
  <si>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</si>
  <si>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</si>
  <si>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</si>
  <si>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</si>
  <si>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</si>
  <si>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</si>
  <si>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</si>
  <si>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</si>
  <si>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</si>
  <si>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</si>
  <si>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</si>
  <si>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</si>
  <si>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</si>
  <si>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</si>
  <si>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</si>
  <si>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</si>
  <si>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</si>
  <si>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</si>
  <si>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</si>
  <si>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</si>
  <si>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</si>
  <si>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</si>
  <si>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</si>
  <si>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</si>
  <si>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</si>
  <si>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</si>
  <si>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</si>
  <si>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</si>
  <si>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</si>
  <si>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</si>
  <si>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</si>
  <si>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</si>
  <si>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</si>
  <si>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</si>
  <si>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</si>
  <si>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</si>
  <si>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</si>
  <si>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</si>
  <si>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</si>
  <si>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</si>
  <si>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</si>
  <si>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</si>
  <si>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</si>
  <si>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</si>
  <si>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</si>
  <si>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</si>
  <si>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</si>
  <si>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</si>
  <si>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</si>
  <si>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</si>
  <si>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</si>
  <si>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</si>
  <si>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</si>
  <si>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</si>
  <si>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</si>
  <si>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</si>
  <si>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</si>
  <si>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</si>
  <si>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</si>
  <si>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</si>
  <si>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</si>
  <si>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</si>
  <si>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</si>
  <si>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</si>
  <si>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</si>
  <si>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</si>
  <si>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</si>
  <si>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</si>
  <si>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</si>
  <si>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</si>
  <si>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</si>
  <si>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</si>
  <si>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</si>
  <si>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</si>
  <si>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</si>
  <si>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</si>
  <si>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</si>
  <si>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</si>
  <si>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</si>
  <si>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</si>
  <si>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</si>
  <si>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</si>
  <si>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</si>
  <si>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</si>
  <si>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</si>
  <si>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</si>
  <si>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</si>
  <si>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</si>
  <si>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</si>
  <si>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</si>
  <si>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</si>
  <si>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</si>
  <si>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</si>
  <si>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</si>
  <si>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</si>
  <si>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</si>
  <si>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</si>
  <si>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</si>
  <si>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</si>
  <si>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</si>
  <si>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</si>
  <si>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</si>
  <si>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</si>
  <si>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</si>
  <si>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</si>
  <si>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</si>
  <si>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</si>
  <si>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</si>
  <si>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</si>
  <si>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</si>
  <si>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</si>
  <si>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</si>
  <si>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</si>
  <si>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</si>
  <si>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</si>
  <si>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</si>
  <si>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</si>
  <si>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</si>
  <si>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</si>
  <si>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</si>
  <si>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</si>
  <si>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</si>
  <si>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</si>
  <si>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</si>
  <si>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</si>
  <si>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</si>
  <si>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</si>
  <si>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</si>
  <si>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</si>
  <si>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</si>
  <si>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</si>
  <si>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</si>
  <si>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</si>
  <si>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</si>
  <si>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</si>
  <si>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</si>
  <si>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</si>
  <si>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</si>
  <si>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</si>
  <si>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</si>
  <si>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</si>
  <si>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</si>
  <si>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</si>
  <si>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</si>
  <si>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</si>
  <si>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</si>
  <si>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</si>
  <si>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</si>
  <si>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</si>
  <si>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</si>
  <si>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</si>
  <si>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</si>
  <si>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</si>
  <si>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</si>
  <si>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</si>
  <si>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</si>
  <si>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</si>
  <si>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</si>
  <si>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</si>
  <si>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</si>
  <si>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</si>
  <si>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</si>
  <si>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</si>
  <si>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</si>
  <si>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</si>
  <si>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</si>
  <si>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</si>
  <si>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</si>
  <si>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</si>
  <si>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</si>
  <si>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</si>
  <si>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</si>
  <si>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</si>
  <si>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</si>
  <si>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</si>
  <si>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</si>
  <si>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</si>
  <si>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</si>
  <si>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</si>
  <si>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</si>
  <si>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</si>
  <si>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</si>
  <si>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</si>
  <si>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</si>
  <si>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</si>
  <si>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</si>
  <si>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</si>
  <si>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</si>
  <si>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</si>
  <si>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</si>
  <si>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</si>
  <si>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</si>
  <si>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</si>
  <si>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</si>
  <si>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</si>
  <si>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</si>
  <si>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</si>
  <si>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</si>
  <si>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</si>
  <si>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</si>
  <si>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</si>
  <si>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</si>
  <si>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</si>
  <si>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</si>
  <si>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</si>
  <si>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</si>
  <si>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</si>
  <si>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</si>
  <si>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</si>
  <si>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</si>
  <si>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</si>
  <si>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</si>
  <si>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</si>
  <si>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</si>
  <si>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</si>
  <si>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</si>
  <si>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</si>
  <si>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</si>
  <si>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</si>
  <si>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</si>
  <si>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</si>
  <si>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</si>
  <si>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</si>
  <si>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</si>
  <si>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</si>
  <si>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</si>
  <si>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</si>
  <si>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</si>
  <si>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</si>
  <si>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</si>
  <si>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</si>
  <si>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</si>
  <si>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</si>
  <si>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</si>
  <si>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</si>
  <si>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</si>
  <si>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</si>
  <si>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</si>
  <si>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</si>
  <si>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</si>
  <si>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</si>
  <si>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</si>
  <si>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</si>
  <si>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</si>
  <si>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</si>
  <si>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</si>
  <si>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</si>
  <si>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</si>
  <si>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</si>
  <si>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</si>
  <si>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</si>
  <si>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</si>
  <si>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</si>
  <si>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</si>
  <si>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</si>
  <si>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</si>
  <si>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</si>
  <si>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</si>
  <si>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</si>
  <si>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</si>
  <si>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</si>
  <si>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</si>
  <si>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</si>
  <si>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</si>
  <si>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</si>
  <si>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</si>
  <si>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</si>
  <si>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</si>
  <si>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</si>
  <si>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</si>
  <si>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</si>
  <si>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</si>
  <si>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</si>
  <si>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</si>
  <si>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</si>
  <si>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</si>
  <si>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</si>
  <si>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</si>
  <si>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</si>
  <si>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</si>
  <si>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</si>
  <si>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</si>
  <si>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</si>
  <si>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</si>
  <si>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</si>
  <si>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</si>
  <si>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</si>
  <si>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</si>
  <si>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</si>
  <si>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</si>
  <si>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</si>
  <si>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</si>
  <si>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</si>
  <si>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</si>
  <si>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</si>
  <si>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</si>
  <si>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</si>
  <si>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</si>
  <si>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</si>
  <si>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</si>
  <si>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</si>
  <si>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</si>
  <si>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</si>
  <si>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</si>
  <si>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</si>
  <si>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</si>
  <si>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</si>
  <si>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</si>
  <si>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</si>
  <si>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</si>
  <si>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</si>
  <si>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</si>
  <si>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</si>
  <si>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</si>
  <si>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</si>
  <si>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</si>
  <si>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</si>
  <si>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</si>
  <si>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</si>
  <si>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</si>
  <si>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</si>
  <si>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</si>
  <si>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</si>
  <si>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</si>
  <si>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</si>
  <si>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</si>
  <si>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</si>
  <si>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</si>
  <si>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</si>
  <si>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</si>
  <si>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</si>
  <si>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</si>
  <si>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</si>
  <si>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</si>
  <si>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</si>
  <si>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</si>
  <si>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</si>
  <si>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</si>
  <si>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</si>
  <si>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</si>
  <si>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</si>
  <si>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</si>
  <si>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</si>
  <si>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</si>
  <si>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</si>
  <si>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</si>
  <si>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</si>
  <si>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</si>
  <si>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</si>
  <si>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</si>
  <si>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</si>
  <si>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</si>
  <si>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</si>
  <si>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</si>
  <si>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</si>
  <si>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</si>
  <si>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</si>
  <si>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</si>
  <si>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</si>
  <si>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</si>
  <si>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</si>
  <si>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</si>
  <si>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</si>
  <si>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</si>
  <si>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</si>
  <si>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</si>
  <si>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</si>
  <si>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</si>
  <si>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</si>
  <si>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</si>
  <si>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</si>
  <si>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</si>
  <si>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</si>
  <si>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</si>
  <si>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</si>
  <si>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</si>
  <si>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</si>
  <si>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</si>
  <si>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</si>
  <si>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</si>
  <si>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</si>
  <si>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</si>
  <si>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</si>
  <si>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</si>
  <si>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</si>
  <si>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</si>
  <si>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</si>
  <si>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</si>
  <si>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</si>
  <si>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</si>
  <si>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</si>
  <si>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</si>
  <si>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</si>
  <si>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</si>
  <si>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</si>
  <si>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</si>
  <si>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</si>
  <si>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</si>
  <si>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</si>
  <si>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</si>
  <si>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</si>
  <si>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</si>
  <si>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</si>
  <si>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</si>
  <si>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</si>
  <si>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</si>
  <si>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</si>
  <si>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</si>
  <si>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</si>
  <si>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</si>
  <si>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</si>
  <si>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</si>
  <si>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</si>
  <si>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</si>
  <si>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</si>
  <si>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</si>
  <si>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</si>
  <si>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</si>
  <si>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</si>
  <si>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</si>
  <si>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</si>
  <si>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</si>
  <si>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</si>
  <si>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</si>
  <si>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</si>
  <si>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</si>
  <si>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</si>
  <si>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</si>
  <si>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</si>
  <si>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</si>
  <si>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</si>
  <si>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</si>
  <si>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</si>
  <si>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</si>
  <si>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</si>
  <si>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</si>
  <si>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</si>
  <si>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</si>
  <si>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</si>
  <si>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</si>
  <si>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</si>
  <si>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</si>
  <si>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</si>
  <si>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</si>
  <si>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</si>
  <si>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</si>
  <si>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</si>
  <si>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</si>
  <si>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</si>
  <si>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</si>
  <si>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</si>
  <si>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</si>
  <si>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</si>
  <si>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</si>
  <si>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</si>
  <si>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</si>
  <si>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</si>
  <si>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</si>
  <si>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</si>
  <si>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</si>
  <si>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</si>
  <si>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</si>
  <si>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</si>
  <si>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</si>
  <si>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</si>
  <si>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</si>
  <si>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</si>
  <si>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</si>
  <si>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</si>
  <si>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</si>
  <si>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</si>
  <si>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</si>
  <si>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</si>
  <si>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</si>
  <si>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</si>
  <si>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</si>
  <si>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</si>
  <si>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</si>
  <si>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</si>
  <si>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</si>
  <si>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</si>
  <si>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</si>
  <si>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</si>
  <si>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</si>
  <si>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</si>
  <si>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</si>
  <si>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</si>
  <si>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</si>
  <si>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</si>
  <si>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</si>
  <si>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</si>
  <si>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</si>
  <si>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</si>
  <si>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</si>
  <si>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</si>
  <si>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</si>
  <si>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</si>
  <si>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</si>
  <si>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</si>
  <si>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</si>
  <si>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</si>
  <si>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</si>
  <si>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</si>
  <si>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</si>
  <si>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</si>
  <si>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</si>
  <si>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</si>
  <si>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</si>
  <si>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</si>
  <si>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</si>
  <si>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</si>
  <si>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</si>
  <si>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</si>
  <si>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</si>
  <si>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</si>
  <si>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</si>
  <si>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</si>
  <si>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</si>
  <si>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</si>
  <si>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</si>
  <si>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</si>
  <si>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</si>
  <si>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</si>
  <si>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</si>
  <si>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</si>
  <si>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</si>
  <si>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</si>
  <si>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</si>
  <si>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</si>
  <si>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</si>
  <si>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</si>
  <si>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</si>
  <si>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</si>
  <si>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</si>
  <si>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</si>
  <si>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</si>
  <si>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</si>
  <si>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</si>
  <si>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</si>
  <si>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</si>
  <si>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</si>
  <si>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</si>
  <si>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</si>
  <si>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</si>
  <si>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</si>
  <si>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</si>
  <si>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</si>
  <si>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</si>
  <si>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</si>
  <si>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</si>
  <si>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</si>
  <si>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</si>
  <si>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</si>
  <si>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</si>
  <si>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</si>
  <si>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</si>
  <si>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</si>
  <si>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</si>
  <si>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</si>
  <si>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</si>
  <si>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</si>
  <si>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</si>
  <si>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</si>
  <si>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</si>
  <si>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</si>
  <si>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</si>
  <si>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</si>
  <si>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</si>
  <si>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</si>
  <si>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</si>
  <si>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</si>
  <si>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</si>
  <si>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</si>
  <si>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</si>
  <si>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</si>
  <si>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</si>
  <si>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</si>
  <si>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</si>
  <si>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</si>
  <si>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</si>
  <si>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</si>
  <si>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</si>
  <si>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</si>
  <si>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</si>
  <si>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</si>
  <si>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</si>
  <si>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</si>
  <si>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</si>
  <si>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</si>
  <si>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</si>
  <si>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</si>
  <si>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</si>
  <si>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</si>
  <si>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</si>
  <si>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</si>
  <si>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</si>
  <si>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</si>
  <si>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</si>
  <si>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</si>
  <si>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</si>
  <si>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</si>
  <si>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</si>
  <si>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</si>
  <si>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</si>
  <si>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</si>
  <si>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</si>
  <si>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</si>
  <si>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</si>
  <si>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</si>
  <si>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</si>
  <si>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</si>
  <si>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</si>
  <si>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</si>
  <si>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</si>
  <si>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</si>
  <si>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</si>
  <si>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</si>
  <si>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</si>
  <si>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</si>
  <si>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</si>
  <si>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</si>
  <si>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</si>
  <si>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</si>
  <si>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</si>
  <si>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</si>
  <si>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</si>
  <si>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</si>
  <si>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</si>
  <si>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</si>
  <si>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</si>
  <si>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</si>
  <si>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</si>
  <si>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</si>
  <si>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</si>
  <si>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</si>
  <si>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</si>
  <si>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</si>
  <si>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</si>
  <si>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</si>
  <si>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</si>
  <si>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</si>
  <si>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</si>
  <si>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</si>
  <si>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</si>
  <si>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</si>
  <si>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</si>
  <si>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</si>
  <si>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</si>
  <si>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</si>
  <si>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</si>
  <si>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</si>
  <si>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</si>
  <si>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</si>
  <si>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</si>
  <si>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</si>
  <si>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</si>
  <si>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</si>
  <si>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</si>
  <si>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</si>
  <si>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</si>
  <si>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</si>
  <si>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</si>
  <si>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</si>
  <si>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</si>
  <si>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</si>
  <si>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</si>
  <si>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</si>
  <si>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</si>
  <si>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</si>
  <si>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</si>
  <si>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</si>
  <si>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</si>
  <si>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</si>
  <si>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</si>
  <si>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</si>
  <si>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</si>
  <si>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</si>
  <si>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</si>
  <si>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</si>
  <si>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</si>
  <si>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</si>
  <si>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</si>
  <si>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</si>
  <si>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</si>
  <si>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</si>
  <si>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</si>
  <si>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</si>
  <si>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</si>
  <si>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</si>
  <si>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</si>
  <si>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</si>
  <si>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</si>
  <si>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</si>
  <si>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</si>
  <si>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</si>
  <si>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</si>
  <si>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</si>
  <si>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</si>
  <si>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</si>
  <si>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</si>
  <si>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</si>
  <si>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</si>
  <si>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</si>
  <si>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</si>
  <si>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</si>
  <si>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</si>
  <si>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</si>
  <si>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</si>
  <si>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</si>
  <si>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</si>
  <si>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</si>
  <si>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</si>
  <si>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</si>
  <si>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</si>
  <si>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</si>
  <si>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</si>
  <si>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</si>
  <si>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</si>
  <si>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</si>
  <si>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</si>
  <si>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</si>
  <si>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</si>
  <si>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</si>
  <si>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</si>
  <si>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</si>
  <si>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</si>
  <si>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</si>
  <si>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</si>
  <si>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</si>
  <si>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</si>
  <si>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</si>
  <si>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</si>
  <si>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</si>
  <si>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</si>
  <si>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</si>
  <si>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</si>
  <si>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</si>
  <si>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</si>
  <si>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</si>
  <si>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</si>
  <si>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</si>
  <si>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</si>
  <si>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</si>
  <si>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</si>
  <si>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</si>
  <si>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</si>
  <si>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</si>
  <si>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</si>
  <si>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</si>
  <si>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</si>
  <si>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</si>
  <si>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</si>
  <si>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</si>
  <si>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</si>
  <si>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</si>
  <si>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</si>
  <si>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</si>
  <si>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</si>
  <si>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</si>
  <si>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</si>
  <si>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</si>
  <si>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</si>
  <si>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</si>
  <si>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</si>
  <si>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</si>
  <si>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</si>
  <si>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</si>
  <si>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</si>
  <si>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</si>
  <si>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</si>
  <si>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</si>
  <si>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</si>
  <si>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</si>
  <si>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</si>
  <si>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</si>
  <si>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</si>
  <si>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</si>
  <si>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</si>
  <si>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</si>
  <si>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</si>
  <si>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</si>
  <si>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</si>
  <si>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</si>
  <si>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</si>
  <si>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</si>
  <si>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</si>
  <si>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</si>
  <si>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</si>
  <si>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</si>
  <si>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</si>
  <si>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</si>
  <si>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</si>
  <si>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</si>
  <si>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</si>
  <si>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</si>
  <si>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</si>
  <si>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</si>
  <si>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</si>
  <si>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</si>
  <si>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</si>
  <si>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</si>
  <si>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</si>
  <si>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</si>
  <si>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</si>
  <si>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</si>
  <si>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</si>
  <si>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</si>
  <si>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</si>
  <si>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</si>
  <si>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</si>
  <si>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</si>
  <si>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</si>
  <si>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</si>
  <si>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</si>
  <si>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</si>
  <si>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</si>
  <si>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</si>
  <si>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</si>
  <si>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</si>
  <si>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</si>
  <si>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</si>
  <si>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</si>
  <si>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</si>
  <si>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</si>
  <si>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</si>
  <si>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</si>
  <si>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</si>
  <si>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</si>
  <si>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</si>
  <si>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</si>
  <si>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</si>
  <si>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</si>
  <si>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</si>
  <si>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</si>
  <si>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</si>
  <si>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</si>
  <si>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</si>
  <si>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</si>
  <si>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</si>
  <si>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</si>
  <si>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</si>
  <si>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</si>
  <si>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</si>
  <si>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</si>
  <si>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</si>
  <si>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</si>
  <si>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</si>
  <si>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</si>
  <si>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</si>
  <si>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</si>
  <si>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</si>
  <si>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</si>
  <si>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</si>
  <si>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</si>
  <si>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</si>
  <si>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</si>
  <si>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</si>
  <si>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</si>
  <si>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</si>
  <si>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</si>
  <si>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</si>
  <si>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</si>
  <si>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</si>
  <si>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</si>
  <si>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</si>
  <si>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</si>
  <si>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</si>
  <si>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</si>
  <si>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</si>
  <si>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</si>
  <si>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</si>
  <si>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</si>
  <si>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</si>
  <si>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</si>
  <si>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</si>
  <si>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</si>
  <si>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</si>
  <si>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</si>
  <si>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</si>
  <si>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</si>
  <si>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</si>
  <si>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</si>
  <si>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</si>
  <si>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</si>
  <si>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</si>
  <si>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</si>
  <si>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</si>
  <si>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</si>
  <si>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</si>
  <si>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</si>
  <si>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</si>
  <si>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</si>
  <si>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</si>
  <si>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</si>
  <si>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</si>
  <si>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</si>
  <si>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</si>
  <si>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</si>
  <si>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</si>
  <si>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</si>
  <si>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</si>
  <si>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</si>
  <si>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</si>
  <si>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</si>
  <si>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</si>
  <si>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</si>
  <si>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</si>
  <si>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</si>
  <si>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</si>
  <si>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</si>
  <si>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</si>
  <si>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</si>
  <si>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</si>
  <si>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</si>
  <si>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</si>
  <si>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</si>
  <si>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</si>
  <si>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</si>
  <si>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</si>
  <si>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</si>
  <si>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</si>
  <si>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</si>
  <si>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</si>
  <si>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</si>
  <si>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</si>
  <si>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</si>
  <si>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</si>
  <si>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</si>
  <si>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</si>
  <si>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</si>
  <si>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</si>
  <si>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</si>
  <si>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</si>
  <si>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</si>
  <si>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</si>
  <si>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</si>
  <si>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</si>
  <si>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</si>
  <si>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</si>
  <si>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</si>
  <si>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</si>
  <si>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</si>
  <si>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</si>
  <si>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</si>
  <si>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</si>
  <si>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</si>
  <si>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</si>
  <si>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</si>
  <si>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</si>
  <si>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</si>
  <si>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</si>
  <si>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</si>
  <si>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</si>
  <si>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</si>
  <si>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</si>
  <si>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</si>
  <si>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</si>
  <si>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</si>
  <si>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</si>
  <si>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</si>
  <si>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</si>
  <si>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</si>
  <si>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</si>
  <si>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</si>
  <si>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</si>
  <si>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</si>
  <si>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</si>
  <si>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</si>
  <si>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</si>
  <si>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</si>
  <si>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</si>
  <si>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</si>
  <si>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</si>
  <si>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</si>
  <si>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</si>
  <si>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</si>
  <si>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</si>
  <si>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</si>
  <si>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</si>
  <si>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</si>
  <si>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</si>
  <si>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</si>
  <si>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</si>
  <si>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</si>
  <si>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</si>
  <si>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</si>
  <si>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</si>
  <si>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</si>
  <si>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</si>
  <si>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</si>
  <si>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</si>
  <si>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</si>
  <si>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</si>
  <si>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</si>
  <si>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</si>
  <si>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</si>
  <si>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</si>
  <si>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</si>
  <si>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</si>
  <si>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</si>
  <si>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</si>
  <si>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</si>
  <si>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</si>
  <si>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</si>
  <si>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</si>
  <si>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</si>
  <si>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</si>
  <si>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</si>
  <si>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</si>
  <si>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</si>
  <si>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</si>
  <si>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</si>
  <si>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</si>
  <si>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</si>
  <si>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</si>
  <si>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</si>
  <si>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</si>
  <si>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</si>
  <si>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</si>
  <si>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</si>
  <si>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</si>
  <si>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</si>
  <si>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</si>
  <si>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</si>
  <si>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</si>
  <si>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</si>
  <si>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</si>
  <si>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</si>
  <si>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</si>
  <si>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</si>
  <si>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</si>
  <si>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</si>
  <si>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</si>
  <si>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</si>
  <si>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</si>
  <si>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</si>
  <si>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</si>
  <si>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</si>
  <si>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</si>
  <si>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</si>
  <si>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</si>
  <si>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</si>
  <si>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</si>
  <si>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</si>
  <si>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</si>
  <si>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</si>
  <si>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</si>
  <si>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</si>
  <si>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</si>
  <si>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</si>
  <si>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</si>
  <si>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</si>
  <si>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</si>
  <si>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</si>
  <si>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</si>
  <si>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</si>
  <si>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</si>
  <si>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</si>
  <si>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</si>
  <si>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</si>
  <si>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</si>
  <si>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</si>
  <si>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</si>
  <si>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</si>
  <si>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</si>
  <si>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</si>
  <si>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</si>
  <si>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</si>
  <si>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</si>
  <si>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</si>
  <si>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</si>
  <si>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</si>
  <si>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</si>
  <si>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</si>
  <si>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</si>
  <si>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</si>
  <si>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</si>
  <si>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</si>
  <si>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</si>
  <si>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</si>
  <si>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</si>
  <si>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</si>
  <si>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</si>
  <si>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</si>
  <si>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</si>
  <si>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</si>
  <si>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</si>
  <si>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</si>
  <si>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</si>
  <si>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</si>
  <si>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</si>
  <si>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</si>
  <si>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</si>
  <si>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</si>
  <si>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</si>
  <si>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</si>
  <si>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</si>
  <si>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</si>
  <si>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</si>
  <si>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</si>
  <si>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</si>
  <si>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</si>
  <si>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</si>
  <si>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</si>
  <si>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</si>
  <si>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</si>
  <si>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</si>
  <si>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</si>
  <si>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</si>
  <si>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</si>
  <si>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</si>
  <si>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</si>
  <si>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</si>
  <si>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</si>
  <si>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</si>
  <si>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</si>
  <si>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</si>
  <si>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</si>
  <si>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</si>
  <si>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</si>
  <si>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</si>
  <si>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</si>
  <si>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</si>
  <si>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</si>
  <si>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</si>
  <si>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</si>
  <si>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</si>
  <si>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</si>
  <si>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</si>
  <si>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</si>
  <si>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</si>
  <si>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</si>
  <si>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</si>
  <si>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</si>
  <si>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</si>
  <si>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</si>
  <si>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</si>
  <si>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</si>
  <si>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</si>
  <si>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</si>
  <si>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</si>
  <si>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</si>
  <si>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</si>
  <si>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</si>
  <si>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</si>
  <si>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</si>
  <si>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</si>
  <si>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</si>
  <si>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</si>
  <si>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</si>
  <si>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</si>
  <si>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</si>
  <si>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</si>
  <si>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</si>
  <si>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</si>
  <si>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</si>
  <si>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</si>
  <si>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</si>
  <si>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</si>
  <si>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</si>
  <si>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</si>
  <si>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</si>
  <si>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</si>
  <si>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</si>
  <si>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</si>
  <si>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</si>
  <si>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</si>
  <si>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</si>
  <si>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</si>
  <si>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</si>
  <si>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</si>
  <si>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</si>
  <si>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</si>
  <si>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</si>
  <si>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</si>
  <si>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</si>
  <si>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</si>
  <si>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</si>
  <si>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</si>
  <si>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</si>
  <si>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</si>
  <si>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</si>
  <si>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</si>
  <si>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</si>
  <si>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</si>
  <si>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</si>
  <si>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</si>
  <si>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</si>
  <si>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</si>
  <si>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</si>
  <si>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</si>
  <si>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</si>
  <si>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</si>
  <si>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</si>
  <si>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</si>
  <si>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</si>
  <si>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</si>
  <si>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</si>
  <si>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</si>
  <si>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</si>
  <si>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</si>
  <si>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</si>
  <si>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</si>
  <si>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</si>
  <si>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</si>
  <si>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</si>
  <si>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</si>
  <si>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</si>
  <si>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</si>
  <si>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</si>
  <si>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</si>
  <si>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</si>
  <si>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</si>
  <si>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</si>
  <si>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</si>
  <si>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</si>
  <si>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</si>
  <si>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</si>
  <si>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</si>
  <si>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</si>
  <si>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</si>
  <si>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</si>
  <si>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</si>
  <si>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</si>
  <si>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</si>
  <si>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</si>
  <si>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</si>
  <si>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</si>
  <si>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</si>
  <si>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</si>
  <si>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</si>
  <si>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</si>
  <si>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</si>
  <si>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</si>
  <si>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</si>
  <si>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</si>
  <si>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</si>
  <si>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</si>
  <si>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</si>
  <si>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</si>
  <si>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</si>
  <si>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</si>
  <si>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</si>
  <si>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</si>
  <si>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</si>
  <si>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</si>
  <si>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</si>
  <si>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</si>
  <si>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</si>
  <si>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</si>
  <si>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</si>
  <si>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</si>
  <si>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</si>
  <si>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</si>
  <si>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</si>
  <si>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</si>
  <si>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</si>
  <si>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</si>
  <si>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</si>
  <si>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</si>
  <si>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</si>
  <si>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</si>
  <si>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</si>
  <si>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</si>
  <si>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</si>
  <si>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</si>
  <si>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</si>
  <si>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</si>
  <si>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</si>
  <si>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</si>
  <si>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</si>
  <si>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</si>
  <si>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</si>
  <si>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</si>
  <si>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</si>
  <si>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</si>
  <si>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</si>
  <si>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</si>
  <si>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</si>
  <si>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</si>
  <si>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</si>
  <si>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</si>
  <si>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</si>
  <si>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</si>
  <si>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</si>
  <si>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</si>
  <si>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</si>
  <si>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</si>
  <si>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</si>
  <si>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</si>
  <si>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</si>
  <si>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</si>
  <si>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</si>
  <si>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</si>
  <si>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</si>
  <si>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</si>
  <si>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</si>
  <si>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</si>
  <si>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</si>
  <si>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</si>
  <si>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</si>
  <si>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</si>
  <si>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</si>
  <si>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</si>
  <si>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</si>
  <si>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</si>
  <si>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</si>
  <si>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</si>
  <si>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</si>
  <si>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</si>
  <si>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</si>
  <si>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</si>
  <si>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</si>
  <si>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</si>
  <si>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</si>
  <si>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</si>
  <si>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</si>
  <si>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</si>
  <si>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</si>
  <si>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</si>
  <si>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</si>
  <si>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</si>
  <si>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</si>
  <si>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</si>
  <si>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</si>
  <si>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</si>
  <si>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</si>
  <si>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</si>
  <si>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</si>
  <si>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</si>
  <si>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</si>
  <si>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</si>
  <si>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</si>
  <si>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</si>
  <si>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</si>
  <si>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</si>
  <si>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</si>
  <si>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</si>
  <si>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</si>
  <si>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</si>
  <si>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</si>
  <si>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</si>
  <si>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</si>
  <si>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</si>
  <si>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</si>
  <si>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</si>
  <si>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</si>
  <si>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</si>
  <si>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</si>
  <si>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</si>
  <si>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</si>
  <si>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</si>
  <si>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</si>
  <si>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</si>
  <si>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</si>
  <si>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</si>
  <si>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</si>
  <si>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</si>
  <si>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</si>
  <si>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</si>
  <si>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</si>
  <si>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</si>
  <si>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</si>
  <si>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</si>
  <si>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</si>
  <si>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</si>
  <si>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</si>
  <si>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</si>
  <si>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</si>
  <si>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</si>
  <si>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</si>
  <si>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</si>
  <si>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</si>
  <si>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</si>
  <si>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</si>
  <si>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</si>
  <si>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</si>
  <si>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</si>
  <si>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</si>
  <si>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</si>
  <si>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</si>
  <si>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</si>
  <si>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</si>
  <si>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</si>
  <si>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</si>
  <si>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</si>
  <si>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</si>
  <si>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</si>
  <si>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</si>
  <si>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</si>
  <si>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</si>
  <si>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</si>
  <si>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</si>
  <si>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</si>
  <si>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</si>
  <si>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</si>
  <si>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</si>
  <si>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</si>
  <si>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</si>
  <si>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</si>
  <si>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</si>
  <si>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</si>
  <si>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</si>
  <si>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</si>
  <si>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</si>
  <si>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</si>
  <si>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</si>
  <si>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</si>
  <si>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</si>
  <si>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</si>
  <si>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</si>
  <si>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</si>
  <si>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</si>
  <si>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</si>
  <si>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</si>
  <si>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</si>
  <si>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</si>
  <si>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</si>
  <si>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</si>
  <si>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</si>
  <si>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</si>
  <si>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</si>
  <si>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</si>
  <si>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</si>
  <si>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</si>
  <si>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</si>
  <si>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</si>
  <si>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</si>
  <si>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</si>
  <si>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</si>
  <si>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</si>
  <si>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</si>
  <si>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</si>
  <si>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</si>
  <si>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</si>
  <si>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</si>
  <si>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</si>
  <si>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</si>
  <si>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</si>
  <si>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</si>
  <si>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</si>
  <si>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</si>
  <si>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</si>
  <si>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</si>
  <si>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</si>
  <si>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</si>
  <si>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</si>
  <si>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</si>
  <si>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</si>
  <si>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</si>
  <si>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</si>
  <si>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</si>
  <si>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</si>
  <si>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</si>
  <si>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</si>
  <si>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</si>
  <si>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</si>
  <si>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</si>
  <si>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</si>
  <si>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</si>
  <si>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</si>
  <si>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</si>
  <si>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</si>
  <si>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</si>
  <si>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</si>
  <si>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</si>
  <si>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</si>
  <si>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</si>
  <si>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</si>
  <si>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</si>
  <si>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</si>
  <si>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</si>
  <si>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</si>
  <si>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</si>
  <si>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</si>
  <si>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</si>
  <si>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</si>
  <si>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</si>
  <si>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</si>
  <si>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</si>
  <si>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</si>
  <si>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</si>
  <si>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</si>
  <si>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</si>
  <si>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</si>
  <si>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</si>
  <si>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</si>
  <si>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</si>
  <si>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</si>
  <si>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</si>
  <si>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</si>
  <si>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</si>
  <si>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</si>
  <si>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</si>
  <si>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</si>
  <si>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</si>
  <si>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</si>
  <si>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</si>
  <si>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</si>
  <si>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</si>
  <si>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</si>
  <si>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</si>
  <si>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</si>
  <si>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</si>
  <si>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</si>
  <si>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</si>
  <si>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</si>
  <si>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</si>
  <si>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</si>
  <si>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</si>
  <si>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</si>
  <si>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</si>
  <si>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</si>
  <si>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</si>
  <si>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</si>
  <si>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</si>
  <si>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</si>
  <si>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</si>
  <si>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</si>
  <si>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</si>
  <si>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</si>
  <si>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</si>
  <si>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</si>
  <si>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</si>
  <si>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</si>
  <si>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</si>
  <si>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</si>
  <si>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</si>
  <si>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</si>
  <si>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</si>
  <si>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</si>
  <si>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</si>
  <si>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</si>
  <si>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</si>
  <si>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</si>
  <si>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</si>
  <si>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</si>
  <si>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</si>
  <si>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</si>
  <si>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</si>
  <si>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</si>
  <si>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</si>
  <si>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</si>
  <si>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</si>
  <si>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</si>
  <si>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</si>
  <si>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</si>
  <si>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</si>
  <si>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</si>
  <si>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</si>
  <si>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</si>
  <si>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</si>
  <si>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</si>
  <si>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</si>
  <si>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</si>
  <si>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</si>
  <si>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</si>
  <si>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</si>
  <si>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</si>
  <si>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</si>
  <si>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</si>
  <si>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</si>
  <si>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</si>
  <si>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</si>
  <si>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</si>
  <si>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</si>
  <si>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</si>
  <si>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</si>
  <si>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</si>
  <si>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</si>
  <si>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</si>
  <si>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</si>
  <si>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</si>
  <si>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</si>
  <si>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</si>
  <si>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</si>
  <si>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</si>
  <si>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</si>
  <si>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</si>
  <si>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</si>
  <si>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</si>
  <si>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</si>
  <si>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</si>
  <si>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</si>
  <si>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</si>
  <si>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</si>
  <si>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</si>
  <si>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</si>
  <si>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</si>
  <si>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</si>
  <si>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</si>
  <si>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</si>
  <si>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</si>
  <si>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</si>
  <si>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</si>
  <si>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</si>
  <si>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</si>
  <si>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</si>
  <si>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</si>
  <si>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</si>
  <si>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</si>
  <si>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</si>
  <si>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</si>
  <si>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</si>
  <si>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</si>
  <si>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</si>
  <si>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</si>
  <si>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</si>
  <si>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</si>
  <si>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</si>
  <si>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</si>
  <si>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</si>
  <si>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</si>
  <si>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</si>
  <si>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</si>
  <si>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</si>
  <si>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</si>
  <si>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</si>
  <si>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</si>
  <si>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</si>
  <si>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</si>
  <si>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</si>
  <si>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</si>
  <si>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</si>
  <si>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</si>
  <si>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</si>
  <si>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</si>
  <si>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</si>
  <si>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</si>
  <si>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</si>
  <si>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</si>
  <si>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</si>
  <si>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</si>
  <si>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</si>
  <si>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</si>
  <si>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</si>
  <si>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</si>
  <si>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</si>
  <si>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</si>
  <si>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</si>
  <si>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</si>
  <si>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</si>
  <si>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</si>
  <si>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</si>
  <si>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</si>
  <si>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</si>
  <si>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</si>
  <si>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</si>
  <si>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</si>
  <si>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</si>
  <si>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</si>
  <si>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</si>
  <si>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</si>
  <si>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</si>
  <si>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</si>
  <si>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</si>
  <si>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</si>
  <si>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</si>
  <si>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</si>
  <si>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</si>
  <si>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</si>
  <si>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</si>
  <si>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</si>
  <si>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</si>
  <si>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</si>
  <si>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</si>
  <si>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</si>
  <si>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</si>
  <si>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</si>
  <si>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</si>
  <si>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</si>
  <si>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</si>
  <si>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</si>
  <si>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</si>
  <si>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</si>
  <si>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</si>
  <si>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</si>
  <si>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</si>
  <si>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</si>
  <si>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</si>
  <si>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</si>
  <si>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</si>
  <si>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</si>
  <si>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</si>
  <si>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</si>
  <si>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</si>
  <si>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</si>
  <si>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</si>
  <si>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</si>
  <si>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</si>
  <si>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</si>
  <si>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</si>
  <si>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</si>
  <si>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</si>
  <si>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</si>
  <si>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</si>
  <si>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</si>
  <si>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</si>
  <si>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</si>
  <si>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</si>
  <si>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</si>
  <si>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</si>
  <si>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</si>
  <si>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</si>
  <si>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</si>
  <si>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</si>
  <si>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</si>
  <si>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</si>
  <si>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</si>
  <si>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</si>
  <si>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</si>
  <si>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</si>
  <si>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</si>
  <si>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</si>
  <si>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</si>
  <si>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</si>
  <si>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</si>
  <si>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</si>
  <si>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</si>
  <si>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</si>
  <si>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</si>
  <si>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</si>
  <si>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</si>
  <si>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</si>
  <si>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</si>
  <si>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</si>
  <si>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</si>
  <si>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</si>
  <si>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</si>
  <si>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</si>
  <si>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</si>
  <si>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</si>
  <si>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</si>
  <si>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</si>
  <si>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</si>
  <si>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</si>
  <si>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</si>
  <si>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</si>
  <si>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</si>
  <si>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</si>
  <si>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</si>
  <si>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</si>
  <si>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</si>
  <si>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</si>
  <si>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</si>
  <si>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</si>
  <si>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</si>
  <si>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</si>
  <si>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</si>
  <si>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</si>
  <si>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</si>
  <si>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</si>
  <si>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</si>
  <si>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</si>
  <si>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</si>
  <si>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</si>
  <si>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</si>
  <si>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</si>
  <si>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</si>
  <si>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</si>
  <si>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</si>
  <si>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</si>
  <si>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</si>
  <si>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</si>
  <si>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</si>
  <si>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</si>
  <si>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</si>
  <si>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</si>
  <si>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</si>
  <si>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</si>
  <si>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</si>
  <si>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</si>
  <si>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</si>
  <si>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</si>
  <si>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</si>
  <si>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</si>
  <si>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</si>
  <si>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</si>
  <si>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</si>
  <si>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</si>
  <si>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</si>
  <si>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</si>
  <si>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</si>
  <si>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</si>
  <si>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</si>
  <si>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</si>
  <si>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</si>
  <si>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</si>
  <si>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</si>
  <si>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</si>
  <si>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</si>
  <si>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</si>
  <si>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</si>
  <si>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</si>
  <si>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</si>
  <si>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</si>
  <si>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</si>
  <si>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</si>
  <si>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</si>
  <si>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</si>
  <si>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</si>
  <si>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</si>
  <si>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</si>
  <si>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</si>
  <si>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</si>
  <si>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</si>
  <si>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</si>
  <si>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</si>
  <si>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</si>
  <si>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</si>
  <si>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</si>
  <si>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</si>
  <si>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</si>
  <si>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</si>
  <si>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</si>
  <si>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</si>
  <si>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</si>
  <si>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</si>
  <si>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</si>
  <si>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</si>
  <si>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</si>
  <si>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</si>
  <si>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</si>
  <si>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</si>
  <si>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</si>
  <si>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</si>
  <si>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</si>
  <si>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</si>
  <si>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</si>
  <si>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</si>
  <si>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</si>
  <si>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</si>
  <si>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</si>
  <si>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</si>
  <si>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</si>
  <si>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</si>
  <si>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</si>
  <si>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</si>
  <si>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</si>
  <si>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</si>
  <si>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</si>
  <si>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</si>
  <si>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</si>
  <si>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</si>
  <si>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</si>
  <si>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</si>
  <si>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</si>
  <si>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</si>
  <si>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</si>
  <si>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</si>
  <si>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</si>
  <si>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</si>
  <si>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</si>
  <si>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</si>
  <si>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</si>
  <si>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</si>
  <si>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</si>
  <si>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</si>
  <si>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</si>
  <si>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</si>
  <si>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</si>
  <si>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</si>
  <si>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</si>
  <si>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</si>
  <si>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</si>
  <si>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</si>
  <si>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</si>
  <si>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</si>
  <si>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</si>
  <si>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</si>
  <si>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</si>
  <si>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</si>
  <si>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</si>
  <si>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</si>
  <si>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</si>
  <si>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</si>
  <si>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</si>
  <si>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</si>
  <si>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</si>
  <si>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</si>
  <si>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</si>
  <si>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</si>
  <si>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</si>
  <si>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</si>
  <si>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</si>
  <si>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</si>
  <si>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</si>
  <si>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</si>
  <si>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</si>
  <si>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</si>
  <si>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</si>
  <si>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</si>
  <si>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</si>
  <si>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</si>
  <si>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</si>
  <si>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</si>
  <si>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</si>
  <si>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</si>
  <si>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</si>
  <si>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</si>
  <si>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</si>
  <si>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</si>
  <si>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</si>
  <si>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</si>
  <si>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</si>
  <si>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</si>
  <si>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</si>
  <si>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</si>
  <si>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</si>
  <si>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</si>
  <si>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</si>
  <si>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</si>
  <si>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</si>
  <si>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</si>
  <si>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</si>
  <si>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</si>
  <si>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</si>
  <si>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</si>
  <si>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</si>
  <si>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</si>
  <si>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</si>
  <si>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</si>
  <si>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</si>
  <si>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</si>
  <si>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</si>
  <si>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</si>
  <si>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</si>
  <si>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</si>
  <si>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</si>
  <si>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</si>
  <si>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</si>
  <si>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</si>
  <si>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</si>
  <si>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</si>
  <si>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</si>
  <si>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</si>
  <si>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</si>
  <si>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</si>
  <si>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</si>
  <si>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</si>
  <si>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</si>
  <si>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</si>
  <si>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</si>
  <si>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</si>
  <si>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</si>
  <si>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</si>
  <si>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</si>
  <si>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</si>
  <si>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</si>
  <si>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</si>
  <si>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</si>
  <si>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</si>
  <si>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</si>
  <si>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</si>
  <si>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</si>
  <si>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</si>
  <si>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</si>
  <si>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</si>
  <si>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</si>
  <si>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</si>
  <si>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</si>
  <si>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</si>
  <si>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</si>
  <si>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</si>
  <si>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</si>
  <si>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</si>
  <si>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</si>
  <si>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</si>
  <si>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</si>
  <si>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</si>
  <si>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</si>
  <si>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</si>
  <si>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</si>
  <si>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</si>
  <si>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</si>
  <si>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</si>
  <si>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</si>
  <si>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</si>
  <si>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</si>
  <si>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</si>
  <si>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</si>
  <si>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</si>
  <si>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</si>
  <si>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</si>
  <si>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</si>
  <si>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</si>
  <si>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</si>
  <si>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</si>
  <si>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</si>
  <si>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</si>
  <si>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</si>
  <si>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</si>
  <si>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</si>
  <si>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</si>
  <si>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</si>
  <si>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</si>
  <si>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</si>
  <si>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</si>
  <si>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</si>
  <si>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</si>
  <si>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</si>
  <si>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</si>
  <si>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</si>
  <si>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</si>
  <si>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</si>
  <si>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</si>
  <si>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</si>
  <si>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</si>
  <si>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</si>
  <si>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GL_NA</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</si>
  <si>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</si>
  <si>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</si>
  <si>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</si>
  <si>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</si>
  <si>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</si>
  <si>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</si>
  <si>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</si>
  <si>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</si>
  <si>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</si>
  <si>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</si>
  <si>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</si>
  <si>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</si>
  <si>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</si>
  <si>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</si>
  <si>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</si>
  <si>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</si>
  <si>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</si>
  <si>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</si>
  <si>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</si>
  <si>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</si>
  <si>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</si>
  <si>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</si>
  <si>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</si>
  <si>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</si>
  <si>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</si>
  <si>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</si>
  <si>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</si>
  <si>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</si>
  <si>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</si>
  <si>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</si>
  <si>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</si>
  <si>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</si>
  <si>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</si>
  <si>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0=0@M: 6.89</t>
  </si>
  <si>
    <t>(2.2%:165%)@6.89:(0=0@M: 6.89)&gt;UpMark 0%</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</si>
  <si>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</si>
  <si>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</si>
  <si>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</si>
  <si>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</si>
  <si>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</si>
  <si>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</si>
  <si>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</si>
  <si>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</si>
  <si>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</si>
  <si>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</si>
  <si>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</si>
  <si>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</si>
  <si>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</si>
  <si>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</si>
  <si>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</si>
  <si>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</si>
  <si>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</si>
  <si>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</si>
  <si>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</si>
  <si>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</si>
  <si>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</si>
  <si>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</si>
  <si>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</si>
  <si>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</si>
  <si>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</si>
  <si>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</si>
  <si>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</si>
  <si>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</si>
  <si>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</si>
  <si>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</si>
  <si>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</si>
  <si>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</si>
  <si>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</si>
  <si>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</si>
  <si>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Re-Buy</t>
  </si>
  <si>
    <t>INDICATOR vs. Last trade</t>
  </si>
  <si>
    <t xml:space="preserve">Bought, real gain on resale now at M </t>
  </si>
  <si>
    <t>Sold, virtual gain on re-purchase now  at M</t>
  </si>
  <si>
    <t>Description 17/11/25</t>
  </si>
  <si>
    <t xml:space="preserve">Delay </t>
  </si>
  <si>
    <t>MLower_Lnp</t>
  </si>
  <si>
    <t>Buy_Rev</t>
  </si>
  <si>
    <t>Buy_np</t>
  </si>
  <si>
    <t>Buy_Np2</t>
  </si>
  <si>
    <t>Buy_NA</t>
  </si>
  <si>
    <t>Gain-np_Rev</t>
  </si>
  <si>
    <t>Gain-Np</t>
  </si>
  <si>
    <t>Gain-allA</t>
  </si>
  <si>
    <t>Last-np</t>
  </si>
  <si>
    <t>Status Buy: Last Buy, Re-Buy, Buy more</t>
  </si>
  <si>
    <t>Last_Buy_np</t>
  </si>
  <si>
    <t>Last_Sale_np2</t>
  </si>
  <si>
    <t>MUP-N*(M-A)2</t>
  </si>
  <si>
    <t>MUP-n*(M-A)</t>
  </si>
  <si>
    <t>MUP-n*p</t>
  </si>
  <si>
    <t>Buy+N*A</t>
  </si>
  <si>
    <t>Mdown_nA</t>
  </si>
  <si>
    <t>SALE Cases: Reverse, -n*(M-p), -n*(M&gt;A), -N*(M&gt;A)</t>
  </si>
  <si>
    <t>TabFIFO updated: 2025-11-19 23:35:48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</si>
</sst>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5" x14ac:knownFonts="1">
    <font>
      <sz val="16"/>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
      <b/>
      <sz val="24"/>
      <color theme="0"/>
      <name val="Aptos Narrow (Body)"/>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
      <patternFill patternType="solid">
        <fgColor rgb="FF92D050"/>
        <bgColor rgb="FF000000"/>
      </patternFill>
    </fill>
  </fills>
  <borders count="125">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0" fontId="3" fillId="2" borderId="0" applyNumberFormat="0" applyBorder="0" applyAlignment="0" applyProtection="0"/>
    <xf numFmtId="0" fontId="4" fillId="3" borderId="0" applyNumberFormat="0" applyBorder="0" applyAlignment="0" applyProtection="0"/>
    <xf numFmtId="0" fontId="5" fillId="4" borderId="1" applyNumberFormat="0" applyAlignment="0" applyProtection="0"/>
    <xf numFmtId="0" fontId="17" fillId="16" borderId="0" applyNumberFormat="0" applyBorder="0" applyAlignment="0" applyProtection="0"/>
    <xf numFmtId="0" fontId="30" fillId="24" borderId="1" applyNumberFormat="0" applyAlignment="0" applyProtection="0"/>
    <xf numFmtId="0" fontId="32" fillId="25" borderId="0" applyNumberFormat="0" applyBorder="0" applyAlignment="0" applyProtection="0"/>
    <xf numFmtId="44" fontId="2" fillId="0" borderId="0" applyFont="0" applyFill="0" applyBorder="0" applyAlignment="0" applyProtection="0"/>
  </cellStyleXfs>
  <cellXfs count="1546">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4" fillId="0" borderId="0" xfId="4" quotePrefix="1" applyNumberFormat="1" applyFill="1" applyAlignment="1">
      <alignment horizontal="center"/>
    </xf>
    <xf numFmtId="9" fontId="5"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9" fillId="0" borderId="0" xfId="0" applyFont="1"/>
    <xf numFmtId="0" fontId="10" fillId="0" borderId="0" xfId="0" applyFont="1" applyAlignment="1">
      <alignment horizontal="center" vertical="center"/>
    </xf>
    <xf numFmtId="0" fontId="12" fillId="0" borderId="3" xfId="0" applyFont="1" applyBorder="1" applyAlignment="1">
      <alignment horizontal="center" vertical="center"/>
    </xf>
    <xf numFmtId="0" fontId="13" fillId="0" borderId="0" xfId="0" applyFont="1" applyAlignment="1">
      <alignment horizontal="center" vertical="center"/>
    </xf>
    <xf numFmtId="0" fontId="11" fillId="0" borderId="0" xfId="0" quotePrefix="1" applyFont="1" applyAlignment="1">
      <alignment vertical="center"/>
    </xf>
    <xf numFmtId="0" fontId="12" fillId="0" borderId="13" xfId="0" applyFont="1" applyBorder="1" applyAlignment="1">
      <alignment horizontal="center" vertical="center"/>
    </xf>
    <xf numFmtId="0" fontId="9" fillId="0" borderId="0" xfId="0" applyFont="1" applyAlignment="1">
      <alignment horizontal="center"/>
    </xf>
    <xf numFmtId="0" fontId="14" fillId="0" borderId="13" xfId="0" applyFont="1" applyBorder="1"/>
    <xf numFmtId="0" fontId="11" fillId="0" borderId="0" xfId="0" applyFont="1" applyAlignment="1">
      <alignment vertical="center"/>
    </xf>
    <xf numFmtId="0" fontId="9" fillId="8" borderId="8" xfId="0" applyFont="1" applyFill="1" applyBorder="1" applyAlignment="1">
      <alignment horizontal="center"/>
    </xf>
    <xf numFmtId="3" fontId="10" fillId="0" borderId="13" xfId="0" applyNumberFormat="1" applyFont="1" applyBorder="1"/>
    <xf numFmtId="3" fontId="10" fillId="0" borderId="0" xfId="0" applyNumberFormat="1" applyFont="1"/>
    <xf numFmtId="3" fontId="10" fillId="0" borderId="7" xfId="0" applyNumberFormat="1" applyFont="1" applyBorder="1"/>
    <xf numFmtId="3" fontId="15" fillId="0" borderId="13" xfId="0" applyNumberFormat="1" applyFont="1" applyBorder="1"/>
    <xf numFmtId="3" fontId="10" fillId="0" borderId="4" xfId="0" applyNumberFormat="1" applyFont="1" applyBorder="1"/>
    <xf numFmtId="0" fontId="9" fillId="9" borderId="0" xfId="0" applyFont="1" applyFill="1" applyAlignment="1">
      <alignment horizontal="center"/>
    </xf>
    <xf numFmtId="14" fontId="9" fillId="9" borderId="0" xfId="0" applyNumberFormat="1" applyFont="1" applyFill="1"/>
    <xf numFmtId="0" fontId="9" fillId="9" borderId="0" xfId="0" applyFont="1" applyFill="1"/>
    <xf numFmtId="0" fontId="10" fillId="9" borderId="2" xfId="0" applyFont="1" applyFill="1" applyBorder="1"/>
    <xf numFmtId="0" fontId="10" fillId="9" borderId="13" xfId="0" applyFont="1" applyFill="1" applyBorder="1" applyAlignment="1">
      <alignment horizontal="left"/>
    </xf>
    <xf numFmtId="0" fontId="10" fillId="9" borderId="0" xfId="0" applyFont="1" applyFill="1" applyAlignment="1">
      <alignment horizontal="left"/>
    </xf>
    <xf numFmtId="0" fontId="10" fillId="11" borderId="16" xfId="0" applyFont="1" applyFill="1" applyBorder="1" applyAlignment="1">
      <alignment horizontal="center"/>
    </xf>
    <xf numFmtId="0" fontId="8" fillId="10" borderId="16" xfId="0" applyFont="1" applyFill="1" applyBorder="1"/>
    <xf numFmtId="0" fontId="10" fillId="13" borderId="15" xfId="0" applyFont="1" applyFill="1" applyBorder="1" applyAlignment="1">
      <alignment horizontal="center"/>
    </xf>
    <xf numFmtId="3" fontId="10" fillId="13" borderId="14" xfId="0" applyNumberFormat="1" applyFont="1" applyFill="1" applyBorder="1" applyAlignment="1">
      <alignment horizontal="center"/>
    </xf>
    <xf numFmtId="0" fontId="9" fillId="10" borderId="8" xfId="0" applyFont="1" applyFill="1" applyBorder="1"/>
    <xf numFmtId="0" fontId="9" fillId="15" borderId="0" xfId="0" applyFont="1" applyFill="1" applyAlignment="1">
      <alignment horizontal="center"/>
    </xf>
    <xf numFmtId="0" fontId="9" fillId="15" borderId="0" xfId="0" applyFont="1" applyFill="1"/>
    <xf numFmtId="14" fontId="0" fillId="0" borderId="0" xfId="0" applyNumberFormat="1"/>
    <xf numFmtId="0" fontId="7" fillId="0" borderId="0" xfId="0" applyFont="1"/>
    <xf numFmtId="170" fontId="7" fillId="5" borderId="2" xfId="0" applyNumberFormat="1" applyFont="1" applyFill="1" applyBorder="1" applyAlignment="1">
      <alignment horizontal="center"/>
    </xf>
    <xf numFmtId="0" fontId="18" fillId="21" borderId="18" xfId="0" applyFont="1" applyFill="1" applyBorder="1"/>
    <xf numFmtId="0" fontId="7" fillId="22" borderId="19" xfId="0" applyFont="1" applyFill="1" applyBorder="1"/>
    <xf numFmtId="14" fontId="7"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7"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1" fillId="28"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0" borderId="0" xfId="8" applyFont="1" applyFill="1" applyBorder="1" applyAlignment="1">
      <alignment horizontal="center"/>
    </xf>
    <xf numFmtId="0" fontId="43" fillId="19" borderId="0" xfId="0" applyFont="1" applyFill="1"/>
    <xf numFmtId="0" fontId="44" fillId="31" borderId="0" xfId="0" applyFont="1" applyFill="1"/>
    <xf numFmtId="0" fontId="3" fillId="2" borderId="0" xfId="3"/>
    <xf numFmtId="43" fontId="0" fillId="0" borderId="0" xfId="1" applyFont="1" applyAlignment="1">
      <alignment horizontal="center"/>
    </xf>
    <xf numFmtId="0" fontId="4" fillId="3" borderId="0" xfId="4"/>
    <xf numFmtId="14" fontId="17"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9" fillId="22" borderId="0" xfId="0" applyNumberFormat="1" applyFont="1" applyFill="1"/>
    <xf numFmtId="38" fontId="9"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9" fillId="29" borderId="21" xfId="0" applyFont="1" applyFill="1" applyBorder="1"/>
    <xf numFmtId="0" fontId="49" fillId="29" borderId="22" xfId="0" applyFont="1" applyFill="1" applyBorder="1"/>
    <xf numFmtId="0" fontId="50" fillId="0" borderId="0" xfId="0" applyFont="1"/>
    <xf numFmtId="0" fontId="52"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6"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7" fillId="16" borderId="0" xfId="6" applyNumberFormat="1"/>
    <xf numFmtId="49" fontId="6" fillId="0" borderId="0" xfId="0" applyNumberFormat="1" applyFont="1"/>
    <xf numFmtId="49" fontId="0" fillId="6" borderId="0" xfId="0" applyNumberFormat="1" applyFill="1"/>
    <xf numFmtId="49" fontId="46" fillId="0" borderId="0" xfId="0" applyNumberFormat="1" applyFont="1"/>
    <xf numFmtId="49" fontId="6" fillId="2" borderId="0" xfId="3" applyNumberFormat="1" applyFont="1"/>
    <xf numFmtId="49" fontId="5" fillId="4" borderId="1" xfId="5" applyNumberFormat="1"/>
    <xf numFmtId="49" fontId="5" fillId="4" borderId="0" xfId="5" applyNumberFormat="1" applyBorder="1"/>
    <xf numFmtId="49" fontId="53" fillId="4" borderId="0" xfId="5" applyNumberFormat="1" applyFont="1" applyBorder="1"/>
    <xf numFmtId="164" fontId="51" fillId="18" borderId="23" xfId="0" applyNumberFormat="1" applyFont="1" applyFill="1" applyBorder="1"/>
    <xf numFmtId="0" fontId="0" fillId="27" borderId="0" xfId="0" applyFill="1"/>
    <xf numFmtId="3" fontId="0" fillId="27" borderId="22" xfId="0" applyNumberFormat="1" applyFill="1" applyBorder="1"/>
    <xf numFmtId="49" fontId="45" fillId="6" borderId="0" xfId="0" applyNumberFormat="1" applyFont="1" applyFill="1"/>
    <xf numFmtId="0" fontId="55" fillId="29"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3" borderId="0" xfId="0" applyNumberFormat="1" applyFont="1" applyFill="1" applyAlignment="1">
      <alignment horizontal="center"/>
    </xf>
    <xf numFmtId="38" fontId="17" fillId="16" borderId="0" xfId="6" applyNumberFormat="1"/>
    <xf numFmtId="164" fontId="0" fillId="0" borderId="22" xfId="1" applyNumberFormat="1" applyFont="1" applyBorder="1"/>
    <xf numFmtId="169" fontId="6"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4" fillId="26"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6" borderId="0" xfId="0" applyNumberFormat="1" applyFont="1" applyFill="1" applyAlignment="1">
      <alignment horizontal="center"/>
    </xf>
    <xf numFmtId="38" fontId="0" fillId="32" borderId="0" xfId="0" applyNumberFormat="1" applyFill="1" applyAlignment="1">
      <alignment horizontal="center"/>
    </xf>
    <xf numFmtId="167" fontId="39" fillId="41" borderId="25" xfId="1" applyNumberFormat="1" applyFont="1" applyFill="1" applyBorder="1" applyAlignment="1">
      <alignment horizontal="right"/>
    </xf>
    <xf numFmtId="38" fontId="4"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6" fillId="26" borderId="7" xfId="0" applyNumberFormat="1" applyFont="1" applyFill="1" applyBorder="1" applyAlignment="1">
      <alignment horizontal="center"/>
    </xf>
    <xf numFmtId="38" fontId="56" fillId="26"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6" fillId="33" borderId="0" xfId="0" applyFont="1" applyFill="1"/>
    <xf numFmtId="0" fontId="57" fillId="36" borderId="0" xfId="0" applyFont="1" applyFill="1"/>
    <xf numFmtId="38" fontId="60" fillId="40" borderId="0" xfId="0" applyNumberFormat="1" applyFont="1" applyFill="1" applyAlignment="1">
      <alignment horizontal="center"/>
    </xf>
    <xf numFmtId="38" fontId="46" fillId="40" borderId="0" xfId="0" applyNumberFormat="1" applyFont="1" applyFill="1" applyAlignment="1">
      <alignment horizontal="center"/>
    </xf>
    <xf numFmtId="38" fontId="57" fillId="36" borderId="0" xfId="0" applyNumberFormat="1" applyFont="1" applyFill="1" applyAlignment="1">
      <alignment horizontal="center"/>
    </xf>
    <xf numFmtId="3" fontId="57" fillId="36" borderId="0" xfId="0" applyNumberFormat="1" applyFont="1" applyFill="1" applyAlignment="1">
      <alignment horizontal="center"/>
    </xf>
    <xf numFmtId="38" fontId="60" fillId="26" borderId="0" xfId="0" applyNumberFormat="1" applyFont="1" applyFill="1" applyAlignment="1">
      <alignment horizontal="center"/>
    </xf>
    <xf numFmtId="164" fontId="51" fillId="37" borderId="23" xfId="0" applyNumberFormat="1" applyFont="1" applyFill="1" applyBorder="1"/>
    <xf numFmtId="38" fontId="5" fillId="4" borderId="1" xfId="5" applyNumberFormat="1" applyAlignment="1">
      <alignment horizontal="center"/>
    </xf>
    <xf numFmtId="170" fontId="0" fillId="0" borderId="5" xfId="1" applyNumberFormat="1" applyFont="1" applyBorder="1" applyAlignment="1">
      <alignment horizontal="right"/>
    </xf>
    <xf numFmtId="167" fontId="39"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1" borderId="27" xfId="1" applyNumberFormat="1" applyFont="1" applyFill="1" applyBorder="1" applyAlignment="1">
      <alignment horizontal="right"/>
    </xf>
    <xf numFmtId="38" fontId="0" fillId="0" borderId="0" xfId="1" applyNumberFormat="1" applyFont="1" applyFill="1" applyAlignment="1">
      <alignment horizontal="right"/>
    </xf>
    <xf numFmtId="38" fontId="5" fillId="0" borderId="1" xfId="5" applyNumberFormat="1" applyFill="1" applyAlignment="1">
      <alignment horizontal="center"/>
    </xf>
    <xf numFmtId="0" fontId="45" fillId="6" borderId="0" xfId="0" applyFont="1" applyFill="1" applyAlignment="1">
      <alignment horizontal="center"/>
    </xf>
    <xf numFmtId="0" fontId="17" fillId="16" borderId="3" xfId="6" applyBorder="1"/>
    <xf numFmtId="0" fontId="17" fillId="16" borderId="4" xfId="6" applyBorder="1" applyAlignment="1">
      <alignment horizontal="center"/>
    </xf>
    <xf numFmtId="0" fontId="9" fillId="22" borderId="0" xfId="0" applyFont="1" applyFill="1"/>
    <xf numFmtId="0" fontId="9" fillId="22" borderId="0" xfId="0" applyFont="1" applyFill="1" applyAlignment="1">
      <alignment horizontal="right"/>
    </xf>
    <xf numFmtId="0" fontId="0" fillId="0" borderId="7" xfId="0" applyBorder="1" applyAlignment="1">
      <alignment horizontal="right"/>
    </xf>
    <xf numFmtId="40" fontId="39"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6"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5" fillId="33" borderId="28" xfId="5" applyNumberFormat="1" applyFill="1" applyBorder="1" applyAlignment="1">
      <alignment horizontal="center"/>
    </xf>
    <xf numFmtId="38" fontId="5"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3" fillId="29" borderId="21" xfId="0" applyFont="1" applyFill="1" applyBorder="1" applyAlignment="1">
      <alignment horizontal="center"/>
    </xf>
    <xf numFmtId="167" fontId="63" fillId="29" borderId="22" xfId="0" applyNumberFormat="1" applyFont="1" applyFill="1" applyBorder="1"/>
    <xf numFmtId="0" fontId="63" fillId="29" borderId="22" xfId="0" applyFont="1" applyFill="1" applyBorder="1" applyAlignment="1">
      <alignment horizontal="center"/>
    </xf>
    <xf numFmtId="178" fontId="63"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29" borderId="21" xfId="0" applyNumberFormat="1" applyFont="1" applyFill="1" applyBorder="1"/>
    <xf numFmtId="164" fontId="63"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29" borderId="0" xfId="0" applyFont="1" applyFill="1" applyAlignment="1">
      <alignment horizontal="center"/>
    </xf>
    <xf numFmtId="0" fontId="63" fillId="0" borderId="22" xfId="0" applyFont="1" applyBorder="1" applyAlignment="1">
      <alignment horizontal="center"/>
    </xf>
    <xf numFmtId="0" fontId="4" fillId="0" borderId="22" xfId="4" applyFill="1" applyBorder="1"/>
    <xf numFmtId="176" fontId="0" fillId="0" borderId="23" xfId="0" applyNumberFormat="1" applyBorder="1"/>
    <xf numFmtId="0" fontId="0" fillId="0" borderId="23" xfId="0" applyBorder="1"/>
    <xf numFmtId="0" fontId="4" fillId="0" borderId="23" xfId="4" applyFill="1" applyBorder="1"/>
    <xf numFmtId="176" fontId="0" fillId="0" borderId="0" xfId="0" applyNumberFormat="1"/>
    <xf numFmtId="14" fontId="17"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29" borderId="0" xfId="0" applyNumberFormat="1" applyFont="1" applyFill="1"/>
    <xf numFmtId="0" fontId="63" fillId="29" borderId="0" xfId="0" applyFont="1" applyFill="1"/>
    <xf numFmtId="164" fontId="63" fillId="29"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7"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7"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1" borderId="0" xfId="1" applyNumberFormat="1" applyFont="1" applyFill="1" applyBorder="1" applyAlignment="1">
      <alignment horizontal="right"/>
    </xf>
    <xf numFmtId="38" fontId="65" fillId="0" borderId="1" xfId="5" applyNumberFormat="1" applyFont="1" applyFill="1" applyAlignment="1">
      <alignment horizontal="center"/>
    </xf>
    <xf numFmtId="170" fontId="17" fillId="16" borderId="22" xfId="6" applyNumberFormat="1" applyBorder="1"/>
    <xf numFmtId="0" fontId="54" fillId="16" borderId="0" xfId="6" applyFont="1" applyAlignment="1">
      <alignment horizontal="center"/>
    </xf>
    <xf numFmtId="3" fontId="28" fillId="0" borderId="0" xfId="0" applyNumberFormat="1" applyFont="1"/>
    <xf numFmtId="181" fontId="57"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5"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39"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6" borderId="7" xfId="0" applyFont="1" applyFill="1" applyBorder="1" applyAlignment="1">
      <alignment horizontal="center"/>
    </xf>
    <xf numFmtId="0" fontId="71" fillId="33"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1" borderId="0" xfId="1" applyNumberFormat="1" applyFont="1" applyFill="1" applyBorder="1" applyAlignment="1">
      <alignment horizontal="right"/>
    </xf>
    <xf numFmtId="40" fontId="39"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5" fillId="36" borderId="28" xfId="5" applyNumberFormat="1" applyFill="1" applyBorder="1" applyAlignment="1">
      <alignment horizontal="center"/>
    </xf>
    <xf numFmtId="38" fontId="65" fillId="40" borderId="28" xfId="5" applyNumberFormat="1" applyFont="1" applyFill="1" applyBorder="1" applyAlignment="1">
      <alignment horizontal="center"/>
    </xf>
    <xf numFmtId="38" fontId="5" fillId="40" borderId="28" xfId="5" applyNumberFormat="1" applyFill="1" applyBorder="1" applyAlignment="1">
      <alignment horizontal="center"/>
    </xf>
    <xf numFmtId="0" fontId="39" fillId="0" borderId="0" xfId="0" applyFont="1" applyAlignment="1">
      <alignment horizontal="right"/>
    </xf>
    <xf numFmtId="38" fontId="32" fillId="38"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8" borderId="1" xfId="0" applyNumberFormat="1" applyFont="1" applyFill="1" applyBorder="1" applyAlignment="1">
      <alignment horizontal="center"/>
    </xf>
    <xf numFmtId="0" fontId="32" fillId="0" borderId="7" xfId="0" applyFont="1" applyBorder="1" applyAlignment="1">
      <alignment horizontal="right"/>
    </xf>
    <xf numFmtId="38" fontId="5" fillId="28" borderId="30" xfId="5" applyNumberFormat="1" applyFill="1" applyBorder="1" applyAlignment="1">
      <alignment horizontal="center"/>
    </xf>
    <xf numFmtId="38" fontId="5" fillId="44" borderId="31" xfId="5" applyNumberFormat="1" applyFill="1" applyBorder="1" applyAlignment="1">
      <alignment horizontal="center"/>
    </xf>
    <xf numFmtId="0" fontId="45" fillId="44" borderId="12" xfId="0" applyFont="1" applyFill="1" applyBorder="1" applyAlignment="1">
      <alignment horizontal="center"/>
    </xf>
    <xf numFmtId="0" fontId="45"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4" borderId="2" xfId="0" applyFont="1" applyFill="1" applyBorder="1" applyAlignment="1">
      <alignment horizontal="center"/>
    </xf>
    <xf numFmtId="40" fontId="9" fillId="42" borderId="7" xfId="0" applyNumberFormat="1" applyFont="1" applyFill="1" applyBorder="1"/>
    <xf numFmtId="40" fontId="0" fillId="0" borderId="0" xfId="1" applyNumberFormat="1" applyFont="1" applyBorder="1" applyAlignment="1">
      <alignment horizontal="right"/>
    </xf>
    <xf numFmtId="40" fontId="9"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5" borderId="0" xfId="1" applyNumberFormat="1" applyFont="1" applyFill="1" applyAlignment="1">
      <alignment horizontal="center"/>
    </xf>
    <xf numFmtId="38" fontId="56" fillId="45" borderId="0" xfId="0" applyNumberFormat="1" applyFont="1" applyFill="1" applyAlignment="1">
      <alignment horizontal="center"/>
    </xf>
    <xf numFmtId="3" fontId="5" fillId="4" borderId="34" xfId="5" applyNumberFormat="1" applyBorder="1" applyAlignment="1">
      <alignment horizontal="center"/>
    </xf>
    <xf numFmtId="3" fontId="5" fillId="4" borderId="35" xfId="5" applyNumberFormat="1" applyBorder="1" applyAlignment="1">
      <alignment horizontal="center"/>
    </xf>
    <xf numFmtId="3" fontId="39" fillId="41" borderId="36" xfId="1" applyNumberFormat="1" applyFont="1" applyFill="1" applyBorder="1" applyAlignment="1">
      <alignment horizontal="right"/>
    </xf>
    <xf numFmtId="3" fontId="39" fillId="41" borderId="37" xfId="1" applyNumberFormat="1" applyFont="1" applyFill="1" applyBorder="1" applyAlignment="1">
      <alignment horizontal="right"/>
    </xf>
    <xf numFmtId="3" fontId="5" fillId="33" borderId="38" xfId="5" applyNumberFormat="1" applyFill="1" applyBorder="1" applyAlignment="1">
      <alignment horizontal="center"/>
    </xf>
    <xf numFmtId="3" fontId="5" fillId="4" borderId="38" xfId="5" applyNumberFormat="1" applyBorder="1" applyAlignment="1">
      <alignment horizontal="center"/>
    </xf>
    <xf numFmtId="3" fontId="5"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9" fillId="40"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9" fillId="6" borderId="4" xfId="0" applyFont="1" applyFill="1" applyBorder="1"/>
    <xf numFmtId="164" fontId="9" fillId="0" borderId="0" xfId="0" applyNumberFormat="1" applyFont="1" applyAlignment="1">
      <alignment horizontal="center"/>
    </xf>
    <xf numFmtId="164" fontId="16" fillId="0" borderId="0" xfId="0" applyNumberFormat="1" applyFont="1" applyAlignment="1">
      <alignment horizontal="center"/>
    </xf>
    <xf numFmtId="0" fontId="10" fillId="10" borderId="3" xfId="0" applyFont="1" applyFill="1" applyBorder="1"/>
    <xf numFmtId="14" fontId="9" fillId="0" borderId="5" xfId="0" applyNumberFormat="1" applyFont="1" applyBorder="1"/>
    <xf numFmtId="14" fontId="9" fillId="0" borderId="7" xfId="0" applyNumberFormat="1" applyFont="1" applyBorder="1"/>
    <xf numFmtId="14" fontId="9" fillId="0" borderId="8" xfId="0" applyNumberFormat="1" applyFont="1" applyBorder="1"/>
    <xf numFmtId="3" fontId="10" fillId="13" borderId="8" xfId="0" applyNumberFormat="1" applyFont="1" applyFill="1" applyBorder="1" applyAlignment="1">
      <alignment horizontal="center"/>
    </xf>
    <xf numFmtId="49" fontId="9" fillId="33"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10" fillId="13" borderId="14" xfId="0" applyNumberFormat="1" applyFont="1" applyFill="1" applyBorder="1" applyAlignment="1">
      <alignment horizontal="center"/>
    </xf>
    <xf numFmtId="2" fontId="10" fillId="13" borderId="14" xfId="0" applyNumberFormat="1" applyFont="1" applyFill="1" applyBorder="1" applyAlignment="1">
      <alignment horizontal="center"/>
    </xf>
    <xf numFmtId="2" fontId="10"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3"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9"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4" fillId="36"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5" fillId="0" borderId="0" xfId="0" applyNumberFormat="1" applyFont="1"/>
    <xf numFmtId="2" fontId="57" fillId="26" borderId="14" xfId="0" applyNumberFormat="1" applyFont="1" applyFill="1" applyBorder="1" applyAlignment="1">
      <alignment horizontal="center" vertical="center" wrapText="1"/>
    </xf>
    <xf numFmtId="0" fontId="0" fillId="0" borderId="22" xfId="1" applyNumberFormat="1" applyFont="1" applyBorder="1"/>
    <xf numFmtId="0" fontId="67" fillId="50" borderId="0" xfId="0" applyFont="1" applyFill="1" applyAlignment="1">
      <alignment horizontal="center"/>
    </xf>
    <xf numFmtId="0" fontId="69" fillId="50"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4" borderId="0" xfId="2" applyNumberFormat="1" applyFont="1" applyFill="1" applyAlignment="1">
      <alignment vertical="center"/>
    </xf>
    <xf numFmtId="179" fontId="28" fillId="20" borderId="0" xfId="0" applyNumberFormat="1" applyFont="1" applyFill="1" applyAlignment="1">
      <alignment horizontal="center"/>
    </xf>
    <xf numFmtId="179" fontId="28" fillId="39"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3" borderId="0" xfId="0" applyNumberFormat="1" applyFill="1"/>
    <xf numFmtId="49" fontId="72" fillId="36" borderId="23" xfId="0" applyNumberFormat="1" applyFont="1" applyFill="1" applyBorder="1" applyAlignment="1">
      <alignment horizontal="center" vertical="center" wrapText="1"/>
    </xf>
    <xf numFmtId="49" fontId="33" fillId="33" borderId="39" xfId="0" applyNumberFormat="1" applyFont="1" applyFill="1" applyBorder="1" applyAlignment="1">
      <alignment horizontal="center" vertical="center" wrapText="1"/>
    </xf>
    <xf numFmtId="9" fontId="0" fillId="48" borderId="0" xfId="0" applyNumberFormat="1" applyFill="1"/>
    <xf numFmtId="0" fontId="28" fillId="0" borderId="0" xfId="0" applyFont="1" applyAlignment="1">
      <alignment horizontal="center" vertical="center"/>
    </xf>
    <xf numFmtId="0" fontId="0" fillId="46"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0" fontId="88"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8" fillId="0" borderId="6" xfId="0" applyFont="1" applyBorder="1" applyAlignment="1">
      <alignment horizontal="center"/>
    </xf>
    <xf numFmtId="184" fontId="91" fillId="53" borderId="8" xfId="0" applyNumberFormat="1" applyFont="1" applyFill="1" applyBorder="1" applyAlignment="1">
      <alignment horizontal="center" vertical="center"/>
    </xf>
    <xf numFmtId="167" fontId="91" fillId="53" borderId="43" xfId="1" applyNumberFormat="1" applyFont="1" applyFill="1" applyBorder="1" applyAlignment="1">
      <alignment horizontal="center" vertical="center"/>
    </xf>
    <xf numFmtId="0" fontId="33" fillId="36" borderId="9" xfId="0" applyFont="1" applyFill="1" applyBorder="1" applyAlignment="1">
      <alignment horizontal="center" vertical="center"/>
    </xf>
    <xf numFmtId="167" fontId="91" fillId="54" borderId="11" xfId="1" applyNumberFormat="1" applyFont="1" applyFill="1" applyBorder="1" applyAlignment="1">
      <alignment horizontal="center" vertical="center"/>
    </xf>
    <xf numFmtId="0" fontId="68" fillId="6" borderId="44" xfId="0" applyFont="1" applyFill="1" applyBorder="1"/>
    <xf numFmtId="49" fontId="92" fillId="36" borderId="41" xfId="0" applyNumberFormat="1" applyFont="1" applyFill="1" applyBorder="1" applyAlignment="1">
      <alignment horizontal="center" vertical="center" wrapText="1"/>
    </xf>
    <xf numFmtId="49" fontId="92"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4" fillId="0" borderId="0" xfId="0" applyNumberFormat="1" applyFont="1"/>
    <xf numFmtId="186" fontId="64" fillId="0" borderId="0" xfId="0" applyNumberFormat="1" applyFont="1"/>
    <xf numFmtId="0" fontId="28"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39" borderId="0" xfId="0" applyFont="1" applyFill="1" applyAlignment="1">
      <alignment horizontal="right"/>
    </xf>
    <xf numFmtId="0" fontId="6" fillId="40" borderId="0" xfId="0" applyFont="1" applyFill="1"/>
    <xf numFmtId="0" fontId="59" fillId="0" borderId="6" xfId="0" applyFont="1" applyBorder="1" applyAlignment="1">
      <alignment horizontal="center"/>
    </xf>
    <xf numFmtId="0" fontId="59" fillId="0" borderId="10" xfId="0" applyFont="1" applyBorder="1" applyAlignment="1">
      <alignment horizontal="center"/>
    </xf>
    <xf numFmtId="38" fontId="5"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0" fillId="0" borderId="48" xfId="0" applyFont="1" applyBorder="1" applyAlignment="1">
      <alignment horizontal="center"/>
    </xf>
    <xf numFmtId="0" fontId="101" fillId="0" borderId="51" xfId="0" applyFont="1" applyBorder="1" applyAlignment="1">
      <alignment horizontal="center" vertical="center"/>
    </xf>
    <xf numFmtId="0" fontId="95" fillId="0" borderId="0" xfId="0" applyFont="1" applyAlignment="1">
      <alignment horizontal="center"/>
    </xf>
    <xf numFmtId="3" fontId="95"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9" fillId="0" borderId="56" xfId="0" applyFont="1" applyBorder="1"/>
    <xf numFmtId="3" fontId="59" fillId="0" borderId="57" xfId="0" applyNumberFormat="1" applyFont="1" applyBorder="1" applyAlignment="1">
      <alignment horizontal="center"/>
    </xf>
    <xf numFmtId="3" fontId="59"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9" fillId="0" borderId="0" xfId="0" applyNumberFormat="1" applyFont="1" applyAlignment="1">
      <alignment horizontal="center"/>
    </xf>
    <xf numFmtId="3" fontId="0" fillId="36"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0"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9" fillId="0" borderId="57" xfId="0" applyFont="1" applyBorder="1" applyAlignment="1">
      <alignment horizontal="center"/>
    </xf>
    <xf numFmtId="0" fontId="99" fillId="0" borderId="63" xfId="0" applyFont="1" applyBorder="1"/>
    <xf numFmtId="3" fontId="59" fillId="0" borderId="63" xfId="0" applyNumberFormat="1" applyFont="1" applyBorder="1" applyAlignment="1">
      <alignment horizontal="center"/>
    </xf>
    <xf numFmtId="0" fontId="59" fillId="47" borderId="0" xfId="0" applyFont="1" applyFill="1" applyAlignment="1">
      <alignment horizontal="center"/>
    </xf>
    <xf numFmtId="3" fontId="59"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6" fillId="0" borderId="4" xfId="0" applyFont="1" applyBorder="1" applyAlignment="1">
      <alignment horizontal="center"/>
    </xf>
    <xf numFmtId="3" fontId="102" fillId="0" borderId="0" xfId="0" applyNumberFormat="1" applyFont="1" applyAlignment="1">
      <alignment horizontal="center"/>
    </xf>
    <xf numFmtId="0" fontId="0" fillId="57" borderId="0" xfId="0" applyFill="1"/>
    <xf numFmtId="0" fontId="28" fillId="33" borderId="0" xfId="0" applyFont="1" applyFill="1" applyAlignment="1">
      <alignment horizontal="center"/>
    </xf>
    <xf numFmtId="2" fontId="107" fillId="0" borderId="48" xfId="0" applyNumberFormat="1" applyFont="1" applyBorder="1" applyAlignment="1">
      <alignment horizontal="center"/>
    </xf>
    <xf numFmtId="40" fontId="6" fillId="0" borderId="0" xfId="0" applyNumberFormat="1" applyFont="1" applyAlignment="1">
      <alignment horizontal="center"/>
    </xf>
    <xf numFmtId="4" fontId="59" fillId="0" borderId="0" xfId="0" applyNumberFormat="1" applyFont="1" applyAlignment="1">
      <alignment horizontal="center"/>
    </xf>
    <xf numFmtId="0" fontId="59" fillId="0" borderId="48" xfId="0" applyFont="1" applyBorder="1" applyAlignment="1">
      <alignment horizontal="center"/>
    </xf>
    <xf numFmtId="40" fontId="87"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2"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7" borderId="0" xfId="1" applyNumberFormat="1" applyFont="1" applyFill="1" applyAlignment="1">
      <alignment horizontal="center"/>
    </xf>
    <xf numFmtId="38" fontId="32"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5" fillId="4" borderId="31" xfId="5" applyNumberFormat="1" applyBorder="1" applyAlignment="1">
      <alignment horizontal="center"/>
    </xf>
    <xf numFmtId="38" fontId="5" fillId="4" borderId="64" xfId="5" applyNumberFormat="1" applyBorder="1" applyAlignment="1">
      <alignment horizontal="center"/>
    </xf>
    <xf numFmtId="38" fontId="5"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9" fillId="0" borderId="0" xfId="0" applyNumberFormat="1" applyFont="1"/>
    <xf numFmtId="2" fontId="6"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9" fillId="0" borderId="0" xfId="0" applyFont="1"/>
    <xf numFmtId="0" fontId="59" fillId="0" borderId="5" xfId="0" applyFont="1" applyBorder="1"/>
    <xf numFmtId="179" fontId="2" fillId="52" borderId="0" xfId="1" applyNumberFormat="1" applyFont="1" applyFill="1" applyAlignment="1">
      <alignment horizontal="center" vertical="center"/>
    </xf>
    <xf numFmtId="172" fontId="32" fillId="38" borderId="0" xfId="2" applyNumberFormat="1" applyFont="1" applyFill="1" applyAlignment="1">
      <alignment horizontal="center" vertical="center"/>
    </xf>
    <xf numFmtId="0" fontId="28" fillId="52" borderId="0" xfId="0" applyFont="1" applyFill="1" applyAlignment="1">
      <alignment horizontal="center" vertical="center"/>
    </xf>
    <xf numFmtId="0" fontId="73" fillId="0" borderId="0" xfId="0" applyFont="1" applyAlignment="1">
      <alignment horizontal="center"/>
    </xf>
    <xf numFmtId="0" fontId="62" fillId="0" borderId="0" xfId="0" applyFont="1" applyAlignment="1">
      <alignment horizontal="center"/>
    </xf>
    <xf numFmtId="0" fontId="32" fillId="38" borderId="0" xfId="0" applyFont="1" applyFill="1" applyAlignment="1">
      <alignment horizontal="center" vertic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8"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8" fillId="33" borderId="13" xfId="2" applyNumberFormat="1" applyFont="1" applyFill="1" applyBorder="1" applyAlignment="1">
      <alignment horizontal="center"/>
    </xf>
    <xf numFmtId="3" fontId="73" fillId="0" borderId="0" xfId="0" applyNumberFormat="1" applyFont="1" applyAlignment="1">
      <alignment horizontal="center"/>
    </xf>
    <xf numFmtId="38" fontId="2" fillId="52" borderId="0" xfId="1" applyNumberFormat="1" applyFont="1" applyFill="1" applyAlignment="1">
      <alignment horizontal="center"/>
    </xf>
    <xf numFmtId="40" fontId="59"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3"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0" borderId="0" xfId="0" applyFont="1" applyFill="1"/>
    <xf numFmtId="0" fontId="39" fillId="61"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0" fontId="59" fillId="7" borderId="7" xfId="0" applyNumberFormat="1" applyFont="1" applyFill="1" applyBorder="1"/>
    <xf numFmtId="49" fontId="96" fillId="6" borderId="6" xfId="0" applyNumberFormat="1" applyFont="1" applyFill="1" applyBorder="1" applyAlignment="1">
      <alignment horizontal="center" vertical="center" wrapText="1"/>
    </xf>
    <xf numFmtId="179" fontId="87"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9"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6" fillId="33" borderId="0" xfId="0" applyFont="1" applyFill="1" applyAlignment="1">
      <alignment horizontal="center"/>
    </xf>
    <xf numFmtId="0" fontId="96" fillId="33" borderId="0" xfId="0" quotePrefix="1" applyFont="1" applyFill="1" applyAlignment="1">
      <alignment horizontal="center"/>
    </xf>
    <xf numFmtId="38" fontId="0" fillId="33" borderId="0" xfId="0" applyNumberFormat="1" applyFill="1"/>
    <xf numFmtId="38" fontId="59" fillId="0" borderId="0" xfId="0" applyNumberFormat="1" applyFont="1"/>
    <xf numFmtId="0" fontId="0" fillId="0" borderId="0" xfId="0" applyAlignment="1">
      <alignment horizontal="left" indent="1"/>
    </xf>
    <xf numFmtId="167" fontId="98" fillId="33"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6"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2" fillId="0" borderId="0" xfId="1" applyNumberFormat="1" applyFont="1" applyAlignment="1">
      <alignment horizontal="left" vertical="center"/>
    </xf>
    <xf numFmtId="40" fontId="29" fillId="62" borderId="70" xfId="1" applyNumberFormat="1" applyFont="1" applyFill="1" applyBorder="1" applyAlignment="1">
      <alignment horizontal="center"/>
    </xf>
    <xf numFmtId="40" fontId="59" fillId="36" borderId="71" xfId="1" applyNumberFormat="1" applyFont="1" applyFill="1" applyBorder="1" applyAlignment="1">
      <alignment horizontal="right"/>
    </xf>
    <xf numFmtId="40" fontId="59" fillId="36" borderId="72" xfId="1" applyNumberFormat="1" applyFont="1" applyFill="1" applyBorder="1" applyAlignment="1">
      <alignment horizontal="right"/>
    </xf>
    <xf numFmtId="40" fontId="59"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69" xfId="0" applyNumberFormat="1" applyFont="1" applyBorder="1" applyAlignment="1">
      <alignment horizontal="center" vertical="center"/>
    </xf>
    <xf numFmtId="9" fontId="111" fillId="0" borderId="0" xfId="0" applyNumberFormat="1" applyFont="1" applyAlignment="1">
      <alignment horizontal="center"/>
    </xf>
    <xf numFmtId="40" fontId="59" fillId="0" borderId="0" xfId="0" applyNumberFormat="1" applyFont="1" applyAlignment="1">
      <alignment horizontal="center"/>
    </xf>
    <xf numFmtId="0" fontId="32" fillId="57"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3" fontId="5" fillId="4" borderId="0" xfId="5" applyNumberFormat="1" applyBorder="1" applyAlignment="1">
      <alignment horizontal="center"/>
    </xf>
    <xf numFmtId="0" fontId="75" fillId="0" borderId="0" xfId="0" applyFont="1" applyAlignment="1">
      <alignment horizontal="center"/>
    </xf>
    <xf numFmtId="0" fontId="84" fillId="0" borderId="0" xfId="0" applyFont="1" applyAlignment="1">
      <alignment horizontal="center"/>
    </xf>
    <xf numFmtId="179" fontId="32" fillId="52" borderId="0" xfId="1" applyNumberFormat="1" applyFont="1" applyFill="1" applyAlignment="1">
      <alignment horizontal="center"/>
    </xf>
    <xf numFmtId="0" fontId="108" fillId="27" borderId="0" xfId="0" applyFont="1" applyFill="1" applyAlignment="1">
      <alignment vertical="center" wrapText="1"/>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2" borderId="0" xfId="1" applyNumberFormat="1" applyFont="1" applyFill="1" applyAlignment="1">
      <alignment horizontal="center" vertical="center"/>
    </xf>
    <xf numFmtId="38" fontId="29" fillId="62" borderId="70" xfId="1" applyNumberFormat="1" applyFont="1" applyFill="1" applyBorder="1" applyAlignment="1">
      <alignment horizontal="center"/>
    </xf>
    <xf numFmtId="38" fontId="59" fillId="36" borderId="71" xfId="1" applyNumberFormat="1" applyFont="1" applyFill="1" applyBorder="1" applyAlignment="1">
      <alignment horizontal="right"/>
    </xf>
    <xf numFmtId="38" fontId="59" fillId="62" borderId="16" xfId="0" applyNumberFormat="1" applyFont="1" applyFill="1" applyBorder="1" applyAlignment="1">
      <alignment horizontal="right"/>
    </xf>
    <xf numFmtId="177" fontId="59" fillId="36" borderId="71" xfId="2" applyNumberFormat="1" applyFont="1" applyFill="1" applyBorder="1" applyAlignment="1">
      <alignment horizontal="right"/>
    </xf>
    <xf numFmtId="177" fontId="59"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9"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2" fillId="62" borderId="0" xfId="0" applyNumberFormat="1" applyFont="1" applyFill="1" applyAlignment="1">
      <alignment horizontal="center" vertical="center"/>
    </xf>
    <xf numFmtId="43" fontId="59" fillId="0" borderId="78" xfId="0" applyNumberFormat="1" applyFont="1" applyBorder="1" applyAlignment="1">
      <alignment horizontal="center" vertical="center"/>
    </xf>
    <xf numFmtId="167" fontId="59" fillId="0" borderId="0" xfId="0" applyNumberFormat="1" applyFont="1" applyAlignment="1">
      <alignment horizontal="center" vertical="center"/>
    </xf>
    <xf numFmtId="0" fontId="63" fillId="64" borderId="0" xfId="0" applyFont="1" applyFill="1"/>
    <xf numFmtId="0" fontId="128" fillId="45" borderId="0" xfId="0" applyFont="1" applyFill="1" applyAlignment="1">
      <alignment horizontal="center"/>
    </xf>
    <xf numFmtId="177" fontId="87" fillId="39" borderId="0" xfId="1" applyNumberFormat="1" applyFont="1" applyFill="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2" fillId="0" borderId="0" xfId="9" applyNumberFormat="1" applyFont="1" applyAlignment="1">
      <alignment horizontal="center"/>
    </xf>
    <xf numFmtId="9" fontId="76" fillId="23" borderId="0" xfId="0" applyNumberFormat="1" applyFont="1" applyFill="1" applyAlignment="1">
      <alignment horizontal="center" vertical="center"/>
    </xf>
    <xf numFmtId="0" fontId="59" fillId="66" borderId="0" xfId="0" quotePrefix="1" applyFont="1" applyFill="1" applyAlignment="1">
      <alignment horizontal="center"/>
    </xf>
    <xf numFmtId="0" fontId="59"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9"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9" fillId="0" borderId="0" xfId="0" applyNumberFormat="1" applyFont="1"/>
    <xf numFmtId="0" fontId="32" fillId="57" borderId="0" xfId="0" applyFont="1" applyFill="1" applyAlignment="1">
      <alignment horizontal="center" vertical="center" wrapText="1"/>
    </xf>
    <xf numFmtId="49" fontId="92"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2" fillId="65" borderId="0" xfId="0" applyNumberFormat="1" applyFont="1" applyFill="1" applyAlignment="1">
      <alignment horizontal="center" vertical="center"/>
    </xf>
    <xf numFmtId="164" fontId="32"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9" fillId="63" borderId="79" xfId="1" applyNumberFormat="1" applyFont="1" applyFill="1" applyBorder="1" applyAlignment="1">
      <alignment horizontal="center"/>
    </xf>
    <xf numFmtId="167" fontId="29" fillId="62" borderId="53" xfId="1" applyNumberFormat="1" applyFont="1" applyFill="1" applyBorder="1" applyAlignment="1">
      <alignment horizontal="left"/>
    </xf>
    <xf numFmtId="9" fontId="59" fillId="0" borderId="74" xfId="2" applyFont="1" applyBorder="1" applyAlignment="1">
      <alignment horizontal="center" vertical="center"/>
    </xf>
    <xf numFmtId="9" fontId="59" fillId="0" borderId="75"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6" fillId="0" borderId="0" xfId="2" applyNumberFormat="1" applyFont="1" applyAlignment="1" applyProtection="1">
      <alignment horizontal="center"/>
      <protection locked="0"/>
    </xf>
    <xf numFmtId="0" fontId="6"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38" fontId="0" fillId="34" borderId="46" xfId="0" applyNumberFormat="1" applyFill="1" applyBorder="1"/>
    <xf numFmtId="177" fontId="57" fillId="34" borderId="0" xfId="1" applyNumberFormat="1" applyFont="1" applyFill="1"/>
    <xf numFmtId="177" fontId="0" fillId="34" borderId="0" xfId="1" applyNumberFormat="1" applyFont="1" applyFill="1"/>
    <xf numFmtId="9" fontId="86" fillId="62" borderId="16" xfId="0" applyNumberFormat="1" applyFont="1" applyFill="1" applyBorder="1" applyAlignment="1">
      <alignment horizontal="center" vertical="center"/>
    </xf>
    <xf numFmtId="9" fontId="86" fillId="62" borderId="16" xfId="0" applyNumberFormat="1" applyFont="1" applyFill="1" applyBorder="1" applyAlignment="1">
      <alignment horizontal="center"/>
    </xf>
    <xf numFmtId="3" fontId="29" fillId="0" borderId="22" xfId="1" applyNumberFormat="1" applyFont="1" applyBorder="1" applyAlignment="1">
      <alignment horizontal="center"/>
    </xf>
    <xf numFmtId="3" fontId="2"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9"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6"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2" fillId="34" borderId="0" xfId="1" applyNumberFormat="1" applyFont="1" applyFill="1" applyAlignment="1">
      <alignment vertical="center"/>
    </xf>
    <xf numFmtId="0" fontId="57" fillId="50" borderId="49" xfId="0" applyFont="1" applyFill="1" applyBorder="1"/>
    <xf numFmtId="0" fontId="104" fillId="50" borderId="50" xfId="0" applyFont="1" applyFill="1" applyBorder="1"/>
    <xf numFmtId="0" fontId="95" fillId="50" borderId="48" xfId="0" applyFont="1" applyFill="1" applyBorder="1" applyAlignment="1">
      <alignment horizontal="center"/>
    </xf>
    <xf numFmtId="0" fontId="134" fillId="50" borderId="49" xfId="0" applyFont="1" applyFill="1" applyBorder="1" applyAlignment="1">
      <alignment horizontal="center"/>
    </xf>
    <xf numFmtId="0" fontId="95"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8" fillId="0" borderId="59" xfId="2" applyNumberFormat="1" applyFont="1" applyBorder="1" applyAlignment="1">
      <alignment horizontal="center" vertical="center"/>
    </xf>
    <xf numFmtId="0" fontId="32" fillId="57" borderId="0" xfId="0" applyFont="1" applyFill="1" applyAlignment="1">
      <alignment horizontal="right" vertical="center"/>
    </xf>
    <xf numFmtId="0" fontId="112" fillId="57" borderId="11" xfId="0" applyFont="1" applyFill="1" applyBorder="1" applyAlignment="1">
      <alignment horizontal="center" vertical="center"/>
    </xf>
    <xf numFmtId="40" fontId="57" fillId="0" borderId="46" xfId="0" applyNumberFormat="1" applyFont="1" applyBorder="1"/>
    <xf numFmtId="0" fontId="59" fillId="39" borderId="0" xfId="0" applyFont="1" applyFill="1" applyAlignment="1">
      <alignment horizontal="left"/>
    </xf>
    <xf numFmtId="172" fontId="0" fillId="33" borderId="0" xfId="0" applyNumberFormat="1" applyFill="1"/>
    <xf numFmtId="172" fontId="59" fillId="0" borderId="0" xfId="0" applyNumberFormat="1" applyFont="1"/>
    <xf numFmtId="14" fontId="0" fillId="67"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38" fontId="0" fillId="33" borderId="81" xfId="0" applyNumberFormat="1" applyFill="1" applyBorder="1"/>
    <xf numFmtId="9" fontId="59" fillId="0" borderId="0" xfId="2" applyFont="1"/>
    <xf numFmtId="177" fontId="57" fillId="34" borderId="0" xfId="0" applyNumberFormat="1" applyFont="1" applyFill="1"/>
    <xf numFmtId="38" fontId="57" fillId="0" borderId="46" xfId="0" applyNumberFormat="1" applyFont="1" applyBorder="1"/>
    <xf numFmtId="0" fontId="135" fillId="4" borderId="1" xfId="5" applyNumberFormat="1" applyFont="1" applyAlignment="1">
      <alignment horizontal="center"/>
    </xf>
    <xf numFmtId="38" fontId="29" fillId="0" borderId="82" xfId="0" applyNumberFormat="1" applyFont="1" applyBorder="1"/>
    <xf numFmtId="38" fontId="29" fillId="0" borderId="23" xfId="0" applyNumberFormat="1" applyFont="1" applyBorder="1"/>
    <xf numFmtId="38" fontId="29" fillId="0" borderId="46" xfId="0" applyNumberFormat="1" applyFont="1" applyBorder="1"/>
    <xf numFmtId="38" fontId="87" fillId="0" borderId="0" xfId="0" applyNumberFormat="1" applyFont="1"/>
    <xf numFmtId="38" fontId="124" fillId="57" borderId="0" xfId="0" applyNumberFormat="1" applyFont="1" applyFill="1" applyAlignment="1">
      <alignment horizontal="center"/>
    </xf>
    <xf numFmtId="0" fontId="136" fillId="0" borderId="0" xfId="0" applyFont="1"/>
    <xf numFmtId="0" fontId="136" fillId="0" borderId="0" xfId="0" applyFont="1" applyAlignment="1">
      <alignment horizontal="center"/>
    </xf>
    <xf numFmtId="14" fontId="136" fillId="0" borderId="0" xfId="0" applyNumberFormat="1" applyFont="1"/>
    <xf numFmtId="0" fontId="61" fillId="0" borderId="0" xfId="0" applyFont="1" applyAlignment="1">
      <alignment horizontal="center"/>
    </xf>
    <xf numFmtId="0" fontId="137" fillId="0" borderId="3" xfId="0" applyFont="1" applyBorder="1" applyAlignment="1">
      <alignment horizontal="center"/>
    </xf>
    <xf numFmtId="0" fontId="137" fillId="0" borderId="4" xfId="0" applyFont="1" applyBorder="1" applyAlignment="1">
      <alignment horizontal="center"/>
    </xf>
    <xf numFmtId="0" fontId="136" fillId="0" borderId="8" xfId="0" applyFont="1" applyBorder="1"/>
    <xf numFmtId="0" fontId="61"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1" fillId="0" borderId="11" xfId="2" applyFont="1" applyFill="1" applyBorder="1" applyAlignment="1">
      <alignment horizontal="center"/>
    </xf>
    <xf numFmtId="9" fontId="136" fillId="0" borderId="0" xfId="0" applyNumberFormat="1" applyFont="1"/>
    <xf numFmtId="0" fontId="136" fillId="0" borderId="5" xfId="0" applyFont="1" applyBorder="1"/>
    <xf numFmtId="9" fontId="136" fillId="0" borderId="9" xfId="2" applyFont="1" applyFill="1" applyBorder="1" applyAlignment="1">
      <alignment horizontal="center"/>
    </xf>
    <xf numFmtId="9" fontId="61"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2" fillId="52" borderId="0" xfId="0" applyNumberFormat="1" applyFont="1" applyFill="1" applyAlignment="1">
      <alignment horizontal="right"/>
    </xf>
    <xf numFmtId="177" fontId="32" fillId="0" borderId="0" xfId="2" applyNumberFormat="1" applyFont="1" applyFill="1" applyAlignment="1">
      <alignment horizontal="center"/>
    </xf>
    <xf numFmtId="9" fontId="61" fillId="0" borderId="9" xfId="2" applyFont="1" applyBorder="1"/>
    <xf numFmtId="177" fontId="2"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0" borderId="0" xfId="0" applyFont="1" applyFill="1"/>
    <xf numFmtId="0" fontId="134" fillId="50" borderId="54" xfId="0" applyFont="1" applyFill="1" applyBorder="1"/>
    <xf numFmtId="0" fontId="144" fillId="50" borderId="0" xfId="0" applyFont="1" applyFill="1"/>
    <xf numFmtId="0" fontId="95" fillId="50" borderId="52" xfId="0" applyFont="1" applyFill="1" applyBorder="1"/>
    <xf numFmtId="0" fontId="95" fillId="50" borderId="0" xfId="0" applyFont="1" applyFill="1"/>
    <xf numFmtId="0" fontId="134" fillId="50" borderId="0" xfId="0" applyFont="1" applyFill="1"/>
    <xf numFmtId="0" fontId="95" fillId="50" borderId="51" xfId="0" applyFont="1" applyFill="1" applyBorder="1"/>
    <xf numFmtId="0" fontId="95" fillId="50" borderId="60" xfId="0" applyFont="1" applyFill="1" applyBorder="1"/>
    <xf numFmtId="0" fontId="134" fillId="50" borderId="60" xfId="0" applyFont="1" applyFill="1" applyBorder="1"/>
    <xf numFmtId="0" fontId="144" fillId="50" borderId="60" xfId="0" applyFont="1" applyFill="1" applyBorder="1"/>
    <xf numFmtId="40" fontId="87" fillId="70" borderId="51" xfId="1" applyNumberFormat="1" applyFont="1" applyFill="1" applyBorder="1" applyAlignment="1">
      <alignment horizontal="center"/>
    </xf>
    <xf numFmtId="9" fontId="136" fillId="70" borderId="0" xfId="2" applyFont="1" applyFill="1" applyBorder="1" applyAlignment="1">
      <alignment horizontal="center"/>
    </xf>
    <xf numFmtId="0" fontId="61" fillId="70" borderId="0" xfId="0" applyFont="1" applyFill="1" applyAlignment="1">
      <alignment horizontal="center"/>
    </xf>
    <xf numFmtId="9" fontId="61" fillId="70" borderId="0" xfId="2" applyFont="1" applyFill="1" applyBorder="1"/>
    <xf numFmtId="9" fontId="61" fillId="70" borderId="0" xfId="0" applyNumberFormat="1" applyFont="1" applyFill="1" applyAlignment="1">
      <alignment horizontal="center"/>
    </xf>
    <xf numFmtId="0" fontId="136" fillId="34" borderId="5" xfId="0" applyFont="1" applyFill="1" applyBorder="1" applyAlignment="1">
      <alignment horizontal="center"/>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2" borderId="16" xfId="0" applyNumberFormat="1" applyFont="1" applyFill="1" applyBorder="1" applyAlignment="1">
      <alignment horizontal="center"/>
    </xf>
    <xf numFmtId="0" fontId="145" fillId="0" borderId="0" xfId="0" applyFont="1"/>
    <xf numFmtId="172" fontId="0" fillId="0" borderId="22" xfId="2" applyNumberFormat="1" applyFont="1" applyFill="1" applyBorder="1" applyAlignment="1">
      <alignment horizontal="center"/>
    </xf>
    <xf numFmtId="38" fontId="86" fillId="62" borderId="16" xfId="0" applyNumberFormat="1" applyFont="1" applyFill="1" applyBorder="1" applyAlignment="1">
      <alignment horizontal="right"/>
    </xf>
    <xf numFmtId="38" fontId="63" fillId="39" borderId="11" xfId="1" applyNumberFormat="1" applyFont="1" applyFill="1" applyBorder="1" applyAlignment="1">
      <alignment horizontal="left"/>
    </xf>
    <xf numFmtId="38" fontId="0" fillId="38" borderId="0" xfId="1" applyNumberFormat="1" applyFont="1" applyFill="1" applyAlignment="1">
      <alignment horizontal="left"/>
    </xf>
    <xf numFmtId="22" fontId="96" fillId="0" borderId="0" xfId="0" applyNumberFormat="1" applyFont="1" applyAlignment="1">
      <alignment horizontal="center"/>
    </xf>
    <xf numFmtId="14" fontId="9"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10" fillId="13" borderId="0" xfId="0" applyFont="1" applyFill="1" applyAlignment="1">
      <alignment horizontal="center"/>
    </xf>
    <xf numFmtId="3" fontId="10" fillId="13" borderId="0" xfId="0" applyNumberFormat="1" applyFont="1" applyFill="1" applyAlignment="1">
      <alignment horizontal="center"/>
    </xf>
    <xf numFmtId="2" fontId="10"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6" fillId="0" borderId="0" xfId="0" applyFont="1" applyAlignment="1">
      <alignment horizontal="left"/>
    </xf>
    <xf numFmtId="2" fontId="131" fillId="63"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7" fillId="0" borderId="0" xfId="0" applyFont="1"/>
    <xf numFmtId="38" fontId="29" fillId="63" borderId="79" xfId="1" applyNumberFormat="1" applyFont="1" applyFill="1" applyBorder="1" applyAlignment="1">
      <alignment horizontal="left"/>
    </xf>
    <xf numFmtId="38" fontId="95" fillId="50" borderId="4" xfId="0" applyNumberFormat="1" applyFont="1" applyFill="1" applyBorder="1" applyAlignment="1">
      <alignment horizontal="center"/>
    </xf>
    <xf numFmtId="0" fontId="101" fillId="0" borderId="60" xfId="0" applyFont="1" applyBorder="1" applyAlignment="1">
      <alignment horizontal="center" vertical="center"/>
    </xf>
    <xf numFmtId="167" fontId="2"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9"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9" fillId="0" borderId="0" xfId="0" applyFont="1" applyAlignment="1">
      <alignment horizontal="center"/>
    </xf>
    <xf numFmtId="3" fontId="0" fillId="36"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48" fillId="0" borderId="49" xfId="0" applyFont="1" applyBorder="1" applyAlignment="1">
      <alignment horizontal="center" vertical="center"/>
    </xf>
    <xf numFmtId="184" fontId="148" fillId="0" borderId="60" xfId="0" applyNumberFormat="1" applyFont="1" applyBorder="1" applyAlignment="1">
      <alignment horizontal="center" vertical="center"/>
    </xf>
    <xf numFmtId="0" fontId="149" fillId="0" borderId="0" xfId="0" applyFont="1"/>
    <xf numFmtId="0" fontId="0" fillId="0" borderId="0" xfId="0" applyAlignment="1">
      <alignment horizontal="left"/>
    </xf>
    <xf numFmtId="0" fontId="143" fillId="69" borderId="0" xfId="0" applyFont="1" applyFill="1"/>
    <xf numFmtId="0" fontId="139" fillId="0" borderId="0" xfId="0" applyFont="1"/>
    <xf numFmtId="0" fontId="150" fillId="69" borderId="0" xfId="0" applyFont="1" applyFill="1"/>
    <xf numFmtId="0" fontId="150" fillId="0" borderId="0" xfId="0" applyFont="1"/>
    <xf numFmtId="38" fontId="5"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6" fillId="36" borderId="7" xfId="0" applyNumberFormat="1" applyFont="1" applyFill="1" applyBorder="1" applyAlignment="1">
      <alignment horizontal="center"/>
    </xf>
    <xf numFmtId="38" fontId="6" fillId="36" borderId="0" xfId="0" applyNumberFormat="1" applyFont="1" applyFill="1" applyAlignment="1">
      <alignment horizontal="center"/>
    </xf>
    <xf numFmtId="38" fontId="45"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8" fillId="0" borderId="0" xfId="0" applyFont="1" applyAlignment="1" applyProtection="1">
      <alignment horizontal="center"/>
      <protection locked="0"/>
    </xf>
    <xf numFmtId="40" fontId="29"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2" borderId="22" xfId="1" applyNumberFormat="1" applyFont="1" applyFill="1" applyBorder="1"/>
    <xf numFmtId="164" fontId="29" fillId="73" borderId="23" xfId="1" applyNumberFormat="1" applyFont="1" applyFill="1" applyBorder="1" applyAlignment="1">
      <alignment horizontal="center"/>
    </xf>
    <xf numFmtId="3" fontId="29" fillId="73" borderId="23" xfId="1" applyNumberFormat="1" applyFont="1" applyFill="1" applyBorder="1" applyAlignment="1">
      <alignment horizontal="center"/>
    </xf>
    <xf numFmtId="22" fontId="39" fillId="6" borderId="18" xfId="0" applyNumberFormat="1" applyFont="1" applyFill="1" applyBorder="1"/>
    <xf numFmtId="0" fontId="63" fillId="29" borderId="85" xfId="0" applyFont="1" applyFill="1" applyBorder="1" applyAlignment="1">
      <alignment horizontal="center"/>
    </xf>
    <xf numFmtId="14" fontId="0" fillId="18" borderId="23" xfId="0" applyNumberFormat="1" applyFill="1" applyBorder="1"/>
    <xf numFmtId="49" fontId="152" fillId="44"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2" fillId="0" borderId="0" xfId="2" applyNumberFormat="1" applyFont="1" applyFill="1" applyAlignment="1">
      <alignment horizontal="right"/>
    </xf>
    <xf numFmtId="0" fontId="88" fillId="62" borderId="3" xfId="0" applyFont="1" applyFill="1" applyBorder="1" applyAlignment="1">
      <alignment horizontal="center"/>
    </xf>
    <xf numFmtId="0" fontId="153"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7" fillId="22" borderId="18" xfId="0" applyNumberFormat="1" applyFont="1" applyFill="1" applyBorder="1"/>
    <xf numFmtId="0" fontId="18" fillId="21" borderId="19" xfId="0" applyFont="1" applyFill="1" applyBorder="1" applyAlignment="1">
      <alignment horizontal="center"/>
    </xf>
    <xf numFmtId="184" fontId="7" fillId="13" borderId="4" xfId="1" applyNumberFormat="1" applyFont="1" applyFill="1" applyBorder="1" applyAlignment="1">
      <alignment horizontal="center"/>
    </xf>
    <xf numFmtId="184" fontId="7"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59" fillId="50" borderId="13" xfId="0" applyNumberFormat="1" applyFont="1" applyFill="1" applyBorder="1"/>
    <xf numFmtId="38" fontId="59" fillId="50" borderId="4" xfId="0" applyNumberFormat="1" applyFont="1" applyFill="1" applyBorder="1"/>
    <xf numFmtId="38" fontId="59" fillId="0" borderId="2" xfId="0" applyNumberFormat="1" applyFont="1" applyBorder="1"/>
    <xf numFmtId="0" fontId="147" fillId="0" borderId="86" xfId="0" applyFont="1" applyBorder="1" applyAlignment="1">
      <alignment horizontal="center"/>
    </xf>
    <xf numFmtId="38" fontId="59" fillId="0" borderId="3" xfId="0" applyNumberFormat="1" applyFont="1" applyBorder="1"/>
    <xf numFmtId="38" fontId="59" fillId="50" borderId="3" xfId="0" applyNumberFormat="1" applyFont="1" applyFill="1" applyBorder="1"/>
    <xf numFmtId="0" fontId="154" fillId="0" borderId="3" xfId="0" applyFont="1" applyBorder="1" applyAlignment="1">
      <alignment horizontal="center"/>
    </xf>
    <xf numFmtId="0" fontId="96" fillId="6" borderId="0" xfId="0" applyFont="1" applyFill="1" applyAlignment="1">
      <alignment horizontal="center"/>
    </xf>
    <xf numFmtId="0" fontId="0" fillId="50"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1"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2" fillId="0" borderId="0" xfId="2" applyNumberFormat="1" applyFont="1" applyFill="1" applyAlignment="1">
      <alignment horizontal="right"/>
    </xf>
    <xf numFmtId="0" fontId="133" fillId="0" borderId="0" xfId="0" applyFont="1"/>
    <xf numFmtId="177" fontId="0" fillId="72" borderId="0" xfId="2" applyNumberFormat="1" applyFont="1" applyFill="1" applyBorder="1"/>
    <xf numFmtId="9" fontId="0" fillId="72" borderId="0" xfId="2" applyFont="1" applyFill="1" applyBorder="1"/>
    <xf numFmtId="0" fontId="7" fillId="22" borderId="18" xfId="0" applyFont="1" applyFill="1" applyBorder="1"/>
    <xf numFmtId="177" fontId="0" fillId="0" borderId="0" xfId="2" applyNumberFormat="1" applyFont="1" applyBorder="1"/>
    <xf numFmtId="9" fontId="0" fillId="0" borderId="0" xfId="2" applyFont="1" applyBorder="1"/>
    <xf numFmtId="0" fontId="6" fillId="0" borderId="14" xfId="0" applyFont="1" applyBorder="1"/>
    <xf numFmtId="0" fontId="0" fillId="0" borderId="12" xfId="0" applyBorder="1"/>
    <xf numFmtId="174" fontId="156" fillId="0" borderId="0" xfId="1" applyNumberFormat="1" applyFont="1" applyAlignment="1">
      <alignment horizontal="left" vertical="center"/>
    </xf>
    <xf numFmtId="0" fontId="156" fillId="0" borderId="0" xfId="0" applyFont="1" applyAlignment="1">
      <alignment horizontal="left"/>
    </xf>
    <xf numFmtId="174" fontId="36" fillId="0" borderId="0" xfId="1" applyNumberFormat="1" applyFont="1" applyAlignment="1">
      <alignment horizontal="left" vertical="center"/>
    </xf>
    <xf numFmtId="38" fontId="95" fillId="50" borderId="13" xfId="0" applyNumberFormat="1" applyFont="1" applyFill="1" applyBorder="1" applyAlignment="1">
      <alignment horizontal="center"/>
    </xf>
    <xf numFmtId="0" fontId="7"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9"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57" fillId="22" borderId="16" xfId="0" applyNumberFormat="1" applyFont="1" applyFill="1" applyBorder="1" applyAlignment="1">
      <alignment horizontal="center"/>
    </xf>
    <xf numFmtId="177" fontId="9"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1"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58"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3" borderId="16" xfId="2" applyFont="1" applyFill="1" applyBorder="1" applyAlignment="1">
      <alignment horizontal="center" vertical="center"/>
    </xf>
    <xf numFmtId="38" fontId="95"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7" fillId="34" borderId="0" xfId="1" applyNumberFormat="1" applyFont="1" applyFill="1" applyAlignment="1">
      <alignment horizontal="center" vertical="center"/>
    </xf>
    <xf numFmtId="0" fontId="32" fillId="57" borderId="54" xfId="0" applyFont="1" applyFill="1" applyBorder="1" applyAlignment="1">
      <alignment horizontal="right" vertical="center"/>
    </xf>
    <xf numFmtId="40" fontId="63" fillId="36" borderId="71" xfId="1" applyNumberFormat="1" applyFont="1" applyFill="1" applyBorder="1" applyAlignment="1">
      <alignment horizontal="right"/>
    </xf>
    <xf numFmtId="177" fontId="59" fillId="36" borderId="88" xfId="2" applyNumberFormat="1" applyFont="1" applyFill="1" applyBorder="1" applyAlignment="1">
      <alignment horizontal="center"/>
    </xf>
    <xf numFmtId="167" fontId="28" fillId="0" borderId="52"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6" borderId="89" xfId="1" applyNumberFormat="1" applyFont="1" applyFill="1" applyBorder="1"/>
    <xf numFmtId="40" fontId="136" fillId="76"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173" fontId="136" fillId="0" borderId="89" xfId="0" applyNumberFormat="1" applyFont="1" applyBorder="1"/>
    <xf numFmtId="3" fontId="136" fillId="76" borderId="89" xfId="1" applyNumberFormat="1" applyFont="1" applyFill="1" applyBorder="1"/>
    <xf numFmtId="43" fontId="136" fillId="0" borderId="89" xfId="1" applyFont="1" applyFill="1" applyBorder="1"/>
    <xf numFmtId="43" fontId="136" fillId="76" borderId="89" xfId="1" applyFont="1" applyFill="1" applyBorder="1"/>
    <xf numFmtId="38" fontId="136" fillId="76" borderId="89" xfId="0" applyNumberFormat="1" applyFont="1" applyFill="1" applyBorder="1"/>
    <xf numFmtId="38" fontId="136" fillId="76" borderId="0" xfId="0" applyNumberFormat="1" applyFont="1" applyFill="1"/>
    <xf numFmtId="0" fontId="136"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8" fillId="33" borderId="16" xfId="1" applyFont="1" applyFill="1" applyBorder="1" applyAlignment="1">
      <alignment horizontal="center"/>
    </xf>
    <xf numFmtId="191" fontId="102" fillId="0" borderId="0" xfId="9" applyNumberFormat="1" applyFont="1" applyAlignment="1">
      <alignment horizontal="center"/>
    </xf>
    <xf numFmtId="14" fontId="39"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5" fillId="0" borderId="49" xfId="0" applyFont="1" applyBorder="1" applyAlignment="1">
      <alignment horizontal="center"/>
    </xf>
    <xf numFmtId="0" fontId="151"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59" fillId="36" borderId="71" xfId="1" applyNumberFormat="1" applyFont="1" applyFill="1" applyBorder="1" applyAlignment="1">
      <alignment horizontal="center"/>
    </xf>
    <xf numFmtId="40" fontId="59" fillId="62" borderId="16" xfId="0" applyNumberFormat="1" applyFont="1" applyFill="1" applyBorder="1" applyAlignment="1">
      <alignment horizontal="center"/>
    </xf>
    <xf numFmtId="9" fontId="147" fillId="36" borderId="0" xfId="2" applyFont="1" applyFill="1" applyBorder="1" applyAlignment="1">
      <alignment horizontal="center"/>
    </xf>
    <xf numFmtId="40" fontId="59" fillId="0" borderId="71" xfId="1" applyNumberFormat="1" applyFont="1" applyFill="1" applyBorder="1" applyAlignment="1">
      <alignment horizontal="right"/>
    </xf>
    <xf numFmtId="38" fontId="59" fillId="0" borderId="71" xfId="1" applyNumberFormat="1" applyFont="1" applyFill="1" applyBorder="1" applyAlignment="1">
      <alignment horizontal="right"/>
    </xf>
    <xf numFmtId="0" fontId="159" fillId="0" borderId="0" xfId="0" applyFont="1"/>
    <xf numFmtId="9" fontId="160" fillId="0" borderId="5" xfId="0" applyNumberFormat="1" applyFont="1" applyBorder="1"/>
    <xf numFmtId="0" fontId="160" fillId="0" borderId="10" xfId="0" applyFont="1" applyBorder="1" applyAlignment="1">
      <alignment horizontal="center" vertical="center"/>
    </xf>
    <xf numFmtId="0" fontId="161" fillId="0" borderId="7" xfId="0" applyFont="1" applyBorder="1"/>
    <xf numFmtId="0" fontId="161" fillId="0" borderId="16" xfId="0" applyFont="1" applyBorder="1" applyAlignment="1">
      <alignment horizontal="center" vertical="center"/>
    </xf>
    <xf numFmtId="0" fontId="161" fillId="0" borderId="8" xfId="0" applyFont="1" applyBorder="1"/>
    <xf numFmtId="0" fontId="161" fillId="0" borderId="11" xfId="0" applyFont="1" applyBorder="1" applyAlignment="1">
      <alignment horizontal="center" vertical="center"/>
    </xf>
    <xf numFmtId="177" fontId="29" fillId="36" borderId="71" xfId="2" applyNumberFormat="1" applyFont="1" applyFill="1" applyBorder="1" applyAlignment="1">
      <alignment horizontal="center" vertical="center"/>
    </xf>
    <xf numFmtId="177" fontId="59"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9" fillId="36" borderId="71" xfId="1" applyNumberFormat="1" applyFont="1" applyFill="1" applyBorder="1" applyAlignment="1">
      <alignment horizontal="center" vertical="center"/>
    </xf>
    <xf numFmtId="188" fontId="59" fillId="0" borderId="4" xfId="0" applyNumberFormat="1" applyFont="1" applyBorder="1"/>
    <xf numFmtId="188" fontId="162" fillId="0" borderId="3" xfId="9" applyNumberFormat="1" applyFont="1" applyBorder="1"/>
    <xf numFmtId="40" fontId="59" fillId="36" borderId="72" xfId="1" applyNumberFormat="1" applyFont="1" applyFill="1" applyBorder="1" applyAlignment="1">
      <alignment horizontal="center"/>
    </xf>
    <xf numFmtId="9" fontId="147" fillId="36" borderId="0" xfId="2" applyFont="1" applyFill="1" applyBorder="1" applyAlignment="1">
      <alignment horizontal="center" vertical="center"/>
    </xf>
    <xf numFmtId="9" fontId="0" fillId="72" borderId="0" xfId="0" applyNumberFormat="1" applyFill="1"/>
    <xf numFmtId="40" fontId="59" fillId="36" borderId="71" xfId="1" applyNumberFormat="1" applyFont="1" applyFill="1" applyBorder="1" applyAlignment="1">
      <alignment horizontal="center" vertical="center"/>
    </xf>
    <xf numFmtId="0" fontId="7" fillId="0" borderId="0" xfId="0" quotePrefix="1" applyFont="1"/>
    <xf numFmtId="0" fontId="7" fillId="22" borderId="19" xfId="0" quotePrefix="1" applyFont="1" applyFill="1" applyBorder="1"/>
    <xf numFmtId="177" fontId="39" fillId="80" borderId="0" xfId="0" applyNumberFormat="1" applyFont="1" applyFill="1"/>
    <xf numFmtId="9" fontId="39" fillId="80" borderId="0" xfId="0" applyNumberFormat="1" applyFont="1" applyFill="1" applyAlignment="1">
      <alignment horizontal="center"/>
    </xf>
    <xf numFmtId="38" fontId="39" fillId="80" borderId="0" xfId="0" applyNumberFormat="1" applyFont="1" applyFill="1"/>
    <xf numFmtId="9" fontId="17" fillId="81" borderId="0" xfId="0" applyNumberFormat="1" applyFont="1" applyFill="1"/>
    <xf numFmtId="14" fontId="39" fillId="80" borderId="0" xfId="0" applyNumberFormat="1" applyFont="1" applyFill="1"/>
    <xf numFmtId="0" fontId="64" fillId="39" borderId="0" xfId="0" applyFont="1" applyFill="1" applyAlignment="1">
      <alignment vertical="center"/>
    </xf>
    <xf numFmtId="22" fontId="158"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0" fontId="28"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4" fillId="34" borderId="0" xfId="0" applyNumberFormat="1" applyFont="1" applyFill="1"/>
    <xf numFmtId="4" fontId="0" fillId="34" borderId="0" xfId="0" applyNumberFormat="1" applyFill="1"/>
    <xf numFmtId="38" fontId="29" fillId="62" borderId="70" xfId="1" applyNumberFormat="1" applyFont="1" applyFill="1" applyBorder="1" applyAlignment="1">
      <alignment horizontal="left"/>
    </xf>
    <xf numFmtId="189" fontId="17"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5"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59"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29" fillId="36" borderId="99" xfId="1" applyNumberFormat="1" applyFont="1" applyFill="1" applyBorder="1" applyAlignment="1">
      <alignment horizontal="right"/>
    </xf>
    <xf numFmtId="40" fontId="29" fillId="36" borderId="100" xfId="1" applyNumberFormat="1" applyFont="1" applyFill="1" applyBorder="1" applyAlignment="1">
      <alignment horizontal="right"/>
    </xf>
    <xf numFmtId="0" fontId="0" fillId="0" borderId="101" xfId="0" applyBorder="1"/>
    <xf numFmtId="40" fontId="29" fillId="36" borderId="102" xfId="1" applyNumberFormat="1" applyFont="1" applyFill="1" applyBorder="1" applyAlignment="1">
      <alignment horizontal="left"/>
    </xf>
    <xf numFmtId="40" fontId="29" fillId="36" borderId="103" xfId="1" applyNumberFormat="1" applyFont="1" applyFill="1" applyBorder="1" applyAlignment="1">
      <alignment horizontal="right"/>
    </xf>
    <xf numFmtId="10" fontId="6"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3" fillId="19" borderId="0" xfId="2" applyFont="1" applyFill="1"/>
    <xf numFmtId="3" fontId="28" fillId="82" borderId="13" xfId="2" applyNumberFormat="1" applyFont="1" applyFill="1" applyBorder="1" applyAlignment="1">
      <alignment horizontal="center"/>
    </xf>
    <xf numFmtId="1" fontId="28"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29" fillId="18" borderId="82" xfId="0" applyNumberFormat="1" applyFont="1" applyFill="1" applyBorder="1"/>
    <xf numFmtId="9" fontId="59" fillId="36" borderId="0" xfId="2" applyFont="1" applyFill="1" applyBorder="1" applyAlignment="1">
      <alignment horizontal="center" vertical="center"/>
    </xf>
    <xf numFmtId="9" fontId="59" fillId="36" borderId="0" xfId="2" applyFont="1" applyFill="1" applyBorder="1" applyAlignment="1">
      <alignment horizontal="center"/>
    </xf>
    <xf numFmtId="43" fontId="0" fillId="0" borderId="0" xfId="0" applyNumberFormat="1" applyProtection="1">
      <protection locked="0"/>
    </xf>
    <xf numFmtId="9" fontId="63" fillId="63" borderId="79" xfId="2" applyFont="1" applyFill="1" applyBorder="1" applyAlignment="1">
      <alignment horizontal="center" vertical="center"/>
    </xf>
    <xf numFmtId="9" fontId="147" fillId="62" borderId="16" xfId="0" applyNumberFormat="1" applyFont="1" applyFill="1" applyBorder="1" applyAlignment="1">
      <alignment horizontal="center" vertical="center"/>
    </xf>
    <xf numFmtId="9" fontId="33" fillId="50" borderId="79" xfId="2" applyFont="1" applyFill="1" applyBorder="1" applyAlignment="1">
      <alignment horizontal="center" vertical="center"/>
    </xf>
    <xf numFmtId="0" fontId="18" fillId="21" borderId="18" xfId="0" applyFont="1" applyFill="1" applyBorder="1" applyAlignment="1">
      <alignment horizontal="center"/>
    </xf>
    <xf numFmtId="0" fontId="6" fillId="6" borderId="0" xfId="0" applyFont="1" applyFill="1" applyAlignment="1">
      <alignment horizontal="center"/>
    </xf>
    <xf numFmtId="170" fontId="0" fillId="36" borderId="22" xfId="1" applyNumberFormat="1" applyFont="1" applyFill="1" applyBorder="1"/>
    <xf numFmtId="164" fontId="29" fillId="0" borderId="23" xfId="0" applyNumberFormat="1" applyFont="1" applyBorder="1" applyAlignment="1">
      <alignment horizontal="center"/>
    </xf>
    <xf numFmtId="3" fontId="29" fillId="0" borderId="23" xfId="0" applyNumberFormat="1" applyFont="1" applyBorder="1" applyAlignment="1">
      <alignment horizontal="center"/>
    </xf>
    <xf numFmtId="3" fontId="136" fillId="0" borderId="105" xfId="1" applyNumberFormat="1" applyFont="1" applyBorder="1"/>
    <xf numFmtId="164" fontId="136" fillId="0" borderId="105" xfId="1" applyNumberFormat="1" applyFont="1" applyBorder="1"/>
    <xf numFmtId="3" fontId="136" fillId="18" borderId="105" xfId="1" applyNumberFormat="1" applyFont="1" applyFill="1" applyBorder="1"/>
    <xf numFmtId="164" fontId="136" fillId="18" borderId="105" xfId="1" applyNumberFormat="1" applyFont="1" applyFill="1" applyBorder="1"/>
    <xf numFmtId="3" fontId="39" fillId="41" borderId="106" xfId="0" applyNumberFormat="1" applyFont="1" applyFill="1" applyBorder="1"/>
    <xf numFmtId="3" fontId="39" fillId="0" borderId="106" xfId="0" applyNumberFormat="1" applyFont="1" applyBorder="1"/>
    <xf numFmtId="3" fontId="163" fillId="0" borderId="106" xfId="0" applyNumberFormat="1" applyFont="1" applyBorder="1"/>
    <xf numFmtId="173" fontId="136" fillId="0" borderId="0" xfId="0" applyNumberFormat="1" applyFont="1"/>
    <xf numFmtId="43" fontId="136" fillId="76" borderId="0" xfId="0" applyNumberFormat="1" applyFont="1" applyFill="1"/>
    <xf numFmtId="41" fontId="136" fillId="0" borderId="0" xfId="0" applyNumberFormat="1" applyFont="1"/>
    <xf numFmtId="164" fontId="136" fillId="0" borderId="0" xfId="0" applyNumberFormat="1" applyFont="1"/>
    <xf numFmtId="167" fontId="136" fillId="76" borderId="0" xfId="0" applyNumberFormat="1" applyFont="1" applyFill="1"/>
    <xf numFmtId="40" fontId="136" fillId="0" borderId="0" xfId="1" applyNumberFormat="1" applyFont="1" applyFill="1" applyBorder="1"/>
    <xf numFmtId="0" fontId="136" fillId="66" borderId="0" xfId="0" applyFont="1" applyFill="1" applyAlignment="1">
      <alignment horizontal="center"/>
    </xf>
    <xf numFmtId="0" fontId="164" fillId="0" borderId="0" xfId="0" applyFont="1"/>
    <xf numFmtId="0" fontId="149" fillId="0" borderId="8" xfId="0" applyFont="1" applyBorder="1" applyAlignment="1">
      <alignment horizontal="center"/>
    </xf>
    <xf numFmtId="0" fontId="149" fillId="0" borderId="0" xfId="0" applyFont="1" applyAlignment="1">
      <alignment horizontal="center"/>
    </xf>
    <xf numFmtId="167" fontId="136" fillId="0" borderId="41" xfId="1" applyNumberFormat="1" applyFont="1" applyBorder="1"/>
    <xf numFmtId="0" fontId="149" fillId="0" borderId="0" xfId="0" quotePrefix="1" applyFont="1" applyAlignment="1">
      <alignment horizontal="center"/>
    </xf>
    <xf numFmtId="9" fontId="149" fillId="0" borderId="0" xfId="0" applyNumberFormat="1" applyFont="1" applyAlignment="1">
      <alignment horizontal="center"/>
    </xf>
    <xf numFmtId="9" fontId="165" fillId="0" borderId="0" xfId="0" applyNumberFormat="1" applyFont="1" applyAlignment="1">
      <alignment horizontal="center"/>
    </xf>
    <xf numFmtId="9" fontId="149" fillId="0" borderId="41" xfId="2" applyFont="1" applyBorder="1" applyAlignment="1">
      <alignment horizontal="center"/>
    </xf>
    <xf numFmtId="9" fontId="136" fillId="0" borderId="3" xfId="2" applyFont="1" applyFill="1" applyBorder="1" applyAlignment="1">
      <alignment horizontal="center"/>
    </xf>
    <xf numFmtId="9" fontId="136" fillId="0" borderId="13" xfId="2" applyFont="1" applyFill="1" applyBorder="1" applyAlignment="1">
      <alignment horizontal="center"/>
    </xf>
    <xf numFmtId="9" fontId="136" fillId="0" borderId="4" xfId="2" applyFont="1" applyFill="1" applyBorder="1" applyAlignment="1">
      <alignment horizontal="center"/>
    </xf>
    <xf numFmtId="0" fontId="166" fillId="0" borderId="2" xfId="0" applyFont="1" applyBorder="1" applyAlignment="1">
      <alignment horizontal="center"/>
    </xf>
    <xf numFmtId="167" fontId="167" fillId="0" borderId="41" xfId="1" applyNumberFormat="1" applyFont="1" applyBorder="1" applyAlignment="1">
      <alignment horizontal="center"/>
    </xf>
    <xf numFmtId="0" fontId="167" fillId="0" borderId="2" xfId="0" applyFont="1" applyBorder="1" applyAlignment="1">
      <alignment horizontal="center"/>
    </xf>
    <xf numFmtId="0" fontId="166" fillId="0" borderId="41" xfId="0" applyFont="1" applyBorder="1" applyAlignment="1">
      <alignment horizontal="center"/>
    </xf>
    <xf numFmtId="0" fontId="136" fillId="0" borderId="6" xfId="0" applyFont="1" applyBorder="1"/>
    <xf numFmtId="0" fontId="136" fillId="0" borderId="10" xfId="0" applyFont="1" applyBorder="1"/>
    <xf numFmtId="0" fontId="136" fillId="0" borderId="3" xfId="0" applyFont="1" applyBorder="1"/>
    <xf numFmtId="9" fontId="106" fillId="0" borderId="12" xfId="2" applyFont="1" applyBorder="1" applyAlignment="1">
      <alignment horizontal="center"/>
    </xf>
    <xf numFmtId="9" fontId="61" fillId="0" borderId="0" xfId="2" applyFont="1" applyFill="1" applyBorder="1"/>
    <xf numFmtId="0" fontId="136" fillId="23" borderId="3" xfId="0" applyFont="1" applyFill="1" applyBorder="1" applyAlignment="1">
      <alignment horizontal="center"/>
    </xf>
    <xf numFmtId="49" fontId="98" fillId="23" borderId="6" xfId="0" applyNumberFormat="1" applyFont="1" applyFill="1" applyBorder="1" applyAlignment="1">
      <alignment horizontal="center" vertical="center" wrapText="1"/>
    </xf>
    <xf numFmtId="9" fontId="98" fillId="36" borderId="0" xfId="2" applyFont="1" applyFill="1" applyBorder="1" applyAlignment="1">
      <alignment horizontal="center"/>
    </xf>
    <xf numFmtId="9" fontId="98" fillId="36" borderId="0" xfId="2" applyFont="1" applyFill="1" applyBorder="1" applyAlignment="1">
      <alignment horizontal="center" vertical="center"/>
    </xf>
    <xf numFmtId="0" fontId="98" fillId="23" borderId="0" xfId="0" applyFont="1" applyFill="1" applyAlignment="1">
      <alignment horizontal="center" vertical="center"/>
    </xf>
    <xf numFmtId="0" fontId="98" fillId="23" borderId="9" xfId="0" applyFont="1" applyFill="1" applyBorder="1" applyAlignment="1">
      <alignment horizontal="center" vertical="center"/>
    </xf>
    <xf numFmtId="0" fontId="29"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29"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6"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8" fillId="45" borderId="0" xfId="1" applyNumberFormat="1" applyFont="1" applyFill="1" applyBorder="1" applyAlignment="1">
      <alignment horizontal="center" vertical="center"/>
    </xf>
    <xf numFmtId="40" fontId="116" fillId="45" borderId="7" xfId="0" applyNumberFormat="1" applyFont="1" applyFill="1" applyBorder="1" applyAlignment="1">
      <alignment horizontal="center"/>
    </xf>
    <xf numFmtId="40" fontId="59" fillId="36" borderId="72" xfId="1" applyNumberFormat="1" applyFont="1" applyFill="1" applyBorder="1" applyAlignment="1">
      <alignment horizontal="center" vertical="center"/>
    </xf>
    <xf numFmtId="172" fontId="59"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8" fillId="0" borderId="0" xfId="1" applyNumberFormat="1" applyFont="1" applyFill="1" applyBorder="1" applyAlignment="1">
      <alignment horizontal="left" vertical="center"/>
    </xf>
    <xf numFmtId="167" fontId="28" fillId="0" borderId="52" xfId="1" applyNumberFormat="1" applyFont="1" applyBorder="1" applyAlignment="1">
      <alignment horizontal="left" vertical="center"/>
    </xf>
    <xf numFmtId="9" fontId="59" fillId="20" borderId="16" xfId="0" applyNumberFormat="1" applyFont="1" applyFill="1" applyBorder="1" applyAlignment="1">
      <alignment horizontal="center" vertical="center"/>
    </xf>
    <xf numFmtId="38" fontId="59"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8" fillId="0" borderId="0" xfId="1" applyNumberFormat="1" applyFont="1" applyBorder="1" applyAlignment="1">
      <alignment horizontal="left" vertical="center"/>
    </xf>
    <xf numFmtId="40" fontId="86" fillId="27" borderId="16" xfId="0" applyNumberFormat="1" applyFont="1" applyFill="1" applyBorder="1" applyAlignment="1">
      <alignment horizontal="right"/>
    </xf>
    <xf numFmtId="43" fontId="59" fillId="0" borderId="0" xfId="0" applyNumberFormat="1" applyFont="1" applyAlignment="1">
      <alignment horizontal="center" vertical="center"/>
    </xf>
    <xf numFmtId="43" fontId="59" fillId="0" borderId="107" xfId="0" applyNumberFormat="1" applyFont="1" applyBorder="1" applyAlignment="1">
      <alignment horizontal="center" vertical="center"/>
    </xf>
    <xf numFmtId="9" fontId="59" fillId="0" borderId="15" xfId="2" applyFont="1" applyBorder="1" applyAlignment="1">
      <alignment horizontal="center"/>
    </xf>
    <xf numFmtId="0" fontId="96" fillId="0" borderId="0" xfId="0" applyFont="1"/>
    <xf numFmtId="38" fontId="59" fillId="0" borderId="5" xfId="0" applyNumberFormat="1" applyFont="1" applyBorder="1" applyAlignment="1">
      <alignment horizontal="center"/>
    </xf>
    <xf numFmtId="38" fontId="59" fillId="0" borderId="6" xfId="0" applyNumberFormat="1" applyFont="1" applyBorder="1" applyAlignment="1">
      <alignment horizontal="center"/>
    </xf>
    <xf numFmtId="38" fontId="59"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29" fillId="83" borderId="5" xfId="0" applyNumberFormat="1" applyFont="1" applyFill="1" applyBorder="1" applyAlignment="1">
      <alignment horizontal="center" vertical="top" textRotation="255" wrapText="1"/>
    </xf>
    <xf numFmtId="14" fontId="17" fillId="16" borderId="0" xfId="6" applyNumberFormat="1"/>
    <xf numFmtId="176" fontId="17" fillId="16" borderId="0" xfId="6" applyNumberFormat="1"/>
    <xf numFmtId="0" fontId="143"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6" fillId="0" borderId="22" xfId="0" applyNumberFormat="1" applyFont="1" applyBorder="1" applyAlignment="1">
      <alignment horizontal="center"/>
    </xf>
    <xf numFmtId="41" fontId="6" fillId="0" borderId="22" xfId="0" applyNumberFormat="1" applyFont="1" applyBorder="1" applyAlignment="1">
      <alignment horizontal="center"/>
    </xf>
    <xf numFmtId="164" fontId="6" fillId="0" borderId="22" xfId="0" applyNumberFormat="1" applyFont="1" applyBorder="1" applyAlignment="1">
      <alignment horizontal="center"/>
    </xf>
    <xf numFmtId="167" fontId="2" fillId="0" borderId="0" xfId="0" applyNumberFormat="1" applyFont="1" applyAlignment="1">
      <alignment horizontal="right"/>
    </xf>
    <xf numFmtId="38" fontId="95" fillId="50" borderId="0" xfId="0" applyNumberFormat="1" applyFont="1" applyFill="1" applyAlignment="1">
      <alignment horizontal="center"/>
    </xf>
    <xf numFmtId="38" fontId="95" fillId="50" borderId="9" xfId="0" applyNumberFormat="1" applyFont="1" applyFill="1" applyBorder="1" applyAlignment="1">
      <alignment horizontal="center"/>
    </xf>
    <xf numFmtId="0" fontId="57" fillId="50" borderId="0" xfId="0" applyFont="1" applyFill="1" applyAlignment="1">
      <alignment horizontal="center"/>
    </xf>
    <xf numFmtId="38" fontId="95" fillId="0" borderId="0" xfId="0" applyNumberFormat="1" applyFont="1" applyAlignment="1">
      <alignment horizontal="center"/>
    </xf>
    <xf numFmtId="3" fontId="2"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6" fillId="0" borderId="17" xfId="0" applyNumberFormat="1" applyFont="1" applyBorder="1"/>
    <xf numFmtId="38" fontId="0" fillId="0" borderId="109" xfId="0" applyNumberFormat="1" applyBorder="1"/>
    <xf numFmtId="38" fontId="6"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6" fillId="0" borderId="109" xfId="0" applyNumberFormat="1" applyFont="1" applyBorder="1"/>
    <xf numFmtId="38" fontId="153" fillId="0" borderId="0" xfId="1" applyNumberFormat="1" applyFont="1"/>
    <xf numFmtId="0" fontId="153" fillId="0" borderId="0" xfId="0" applyFont="1"/>
    <xf numFmtId="38" fontId="95" fillId="0" borderId="0" xfId="0" applyNumberFormat="1" applyFont="1"/>
    <xf numFmtId="49" fontId="135" fillId="6" borderId="23" xfId="0" applyNumberFormat="1" applyFont="1" applyFill="1" applyBorder="1" applyAlignment="1">
      <alignment horizontal="center" vertical="center" wrapText="1"/>
    </xf>
    <xf numFmtId="49" fontId="95"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3" fillId="33" borderId="10" xfId="1" applyNumberFormat="1" applyFont="1" applyFill="1" applyBorder="1"/>
    <xf numFmtId="38" fontId="0" fillId="33" borderId="7" xfId="1" applyNumberFormat="1" applyFont="1" applyFill="1" applyBorder="1"/>
    <xf numFmtId="38" fontId="153" fillId="33" borderId="16" xfId="1" applyNumberFormat="1" applyFont="1" applyFill="1" applyBorder="1"/>
    <xf numFmtId="38" fontId="0" fillId="33" borderId="8" xfId="1" applyNumberFormat="1" applyFont="1" applyFill="1" applyBorder="1"/>
    <xf numFmtId="38" fontId="153"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69" fillId="0" borderId="0" xfId="0" applyFont="1" applyAlignment="1">
      <alignment horizontal="center"/>
    </xf>
    <xf numFmtId="9" fontId="143" fillId="0" borderId="6" xfId="2" applyFont="1" applyBorder="1" applyAlignment="1">
      <alignment horizontal="center"/>
    </xf>
    <xf numFmtId="0" fontId="170" fillId="0" borderId="40" xfId="0" applyFont="1" applyBorder="1" applyAlignment="1">
      <alignment horizontal="center"/>
    </xf>
    <xf numFmtId="0" fontId="170" fillId="0" borderId="42" xfId="0" applyFont="1" applyBorder="1" applyAlignment="1">
      <alignment horizontal="center"/>
    </xf>
    <xf numFmtId="9" fontId="143" fillId="0" borderId="3" xfId="2" applyFont="1" applyBorder="1" applyAlignment="1">
      <alignment horizontal="center"/>
    </xf>
    <xf numFmtId="9" fontId="143" fillId="0" borderId="13" xfId="2" applyFont="1" applyBorder="1" applyAlignment="1">
      <alignment horizontal="center"/>
    </xf>
    <xf numFmtId="9" fontId="143" fillId="0" borderId="4" xfId="2" applyFont="1" applyBorder="1" applyAlignment="1">
      <alignment horizontal="center"/>
    </xf>
    <xf numFmtId="0" fontId="136" fillId="66" borderId="0" xfId="0" applyFont="1" applyFill="1"/>
    <xf numFmtId="9" fontId="136" fillId="0" borderId="3" xfId="2" applyFont="1" applyBorder="1"/>
    <xf numFmtId="9" fontId="136" fillId="0" borderId="13" xfId="2" applyFont="1" applyBorder="1"/>
    <xf numFmtId="9" fontId="136" fillId="0" borderId="4" xfId="2" applyFont="1" applyBorder="1"/>
    <xf numFmtId="9" fontId="143" fillId="0" borderId="6" xfId="0" applyNumberFormat="1" applyFont="1" applyBorder="1" applyAlignment="1">
      <alignment horizontal="center"/>
    </xf>
    <xf numFmtId="9" fontId="143" fillId="0" borderId="10" xfId="0" applyNumberFormat="1" applyFont="1" applyBorder="1" applyAlignment="1">
      <alignment horizontal="center"/>
    </xf>
    <xf numFmtId="167" fontId="136" fillId="0" borderId="0" xfId="1" applyNumberFormat="1" applyFont="1" applyBorder="1"/>
    <xf numFmtId="0" fontId="0" fillId="0" borderId="63" xfId="0" applyBorder="1"/>
    <xf numFmtId="0" fontId="0" fillId="0" borderId="73" xfId="0" applyBorder="1"/>
    <xf numFmtId="0" fontId="96" fillId="0" borderId="63" xfId="0" applyFont="1" applyBorder="1" applyAlignment="1">
      <alignment horizontal="left"/>
    </xf>
    <xf numFmtId="0" fontId="95" fillId="0" borderId="74" xfId="0" applyFont="1" applyBorder="1" applyAlignment="1">
      <alignment horizontal="left"/>
    </xf>
    <xf numFmtId="0" fontId="0" fillId="0" borderId="78" xfId="0" applyBorder="1"/>
    <xf numFmtId="0" fontId="0" fillId="0" borderId="75" xfId="0" applyBorder="1"/>
    <xf numFmtId="0" fontId="95" fillId="0" borderId="0" xfId="0" applyFont="1"/>
    <xf numFmtId="0" fontId="57" fillId="50" borderId="13" xfId="0" applyFont="1" applyFill="1" applyBorder="1" applyAlignment="1">
      <alignment horizontal="center"/>
    </xf>
    <xf numFmtId="9" fontId="107" fillId="0" borderId="14" xfId="2" applyFont="1" applyBorder="1" applyAlignment="1">
      <alignment horizontal="center"/>
    </xf>
    <xf numFmtId="9" fontId="107" fillId="0" borderId="12" xfId="2" applyFont="1" applyBorder="1" applyAlignment="1">
      <alignment horizontal="center"/>
    </xf>
    <xf numFmtId="9" fontId="98" fillId="0" borderId="12" xfId="2" applyFont="1" applyBorder="1" applyAlignment="1">
      <alignment horizontal="center"/>
    </xf>
    <xf numFmtId="0" fontId="0" fillId="0" borderId="110" xfId="0" applyBorder="1"/>
    <xf numFmtId="38" fontId="95" fillId="0" borderId="71" xfId="1" applyNumberFormat="1" applyFont="1" applyFill="1" applyBorder="1" applyAlignment="1">
      <alignment horizontal="right"/>
    </xf>
    <xf numFmtId="38" fontId="95" fillId="36" borderId="71" xfId="1" applyNumberFormat="1" applyFont="1" applyFill="1" applyBorder="1" applyAlignment="1">
      <alignment horizontal="right"/>
    </xf>
    <xf numFmtId="38" fontId="98" fillId="27" borderId="71" xfId="1" applyNumberFormat="1" applyFont="1" applyFill="1" applyBorder="1" applyAlignment="1">
      <alignment horizontal="right"/>
    </xf>
    <xf numFmtId="40" fontId="171" fillId="45" borderId="70" xfId="1" applyNumberFormat="1" applyFont="1" applyFill="1" applyBorder="1" applyAlignment="1">
      <alignment horizontal="center" vertical="center" wrapText="1"/>
    </xf>
    <xf numFmtId="41" fontId="0" fillId="0" borderId="0" xfId="0" applyNumberFormat="1"/>
    <xf numFmtId="41" fontId="39" fillId="80" borderId="89" xfId="0" applyNumberFormat="1" applyFont="1" applyFill="1" applyBorder="1"/>
    <xf numFmtId="164" fontId="39" fillId="80" borderId="89" xfId="0" applyNumberFormat="1" applyFont="1" applyFill="1" applyBorder="1"/>
    <xf numFmtId="41" fontId="39" fillId="85" borderId="89" xfId="0" applyNumberFormat="1" applyFont="1" applyFill="1" applyBorder="1"/>
    <xf numFmtId="41" fontId="39" fillId="0" borderId="89" xfId="0" applyNumberFormat="1" applyFont="1" applyBorder="1"/>
    <xf numFmtId="41" fontId="39" fillId="85" borderId="5" xfId="0" applyNumberFormat="1" applyFont="1" applyFill="1" applyBorder="1"/>
    <xf numFmtId="41" fontId="39" fillId="85" borderId="111" xfId="0" applyNumberFormat="1" applyFont="1" applyFill="1" applyBorder="1"/>
    <xf numFmtId="41" fontId="39" fillId="85" borderId="0" xfId="0" applyNumberFormat="1" applyFont="1" applyFill="1"/>
    <xf numFmtId="0" fontId="39" fillId="80" borderId="89" xfId="0" applyFont="1" applyFill="1" applyBorder="1"/>
    <xf numFmtId="0" fontId="39" fillId="0" borderId="89" xfId="0" applyFont="1" applyBorder="1"/>
    <xf numFmtId="9" fontId="57" fillId="0" borderId="0" xfId="0" applyNumberFormat="1" applyFont="1" applyAlignment="1">
      <alignment horizontal="center"/>
    </xf>
    <xf numFmtId="9" fontId="46" fillId="0" borderId="0" xfId="0" applyNumberFormat="1" applyFont="1"/>
    <xf numFmtId="40" fontId="168" fillId="45" borderId="113" xfId="1" applyNumberFormat="1" applyFont="1" applyFill="1" applyBorder="1" applyAlignment="1">
      <alignment horizontal="center" vertical="center"/>
    </xf>
    <xf numFmtId="40" fontId="59" fillId="36" borderId="52" xfId="1" applyNumberFormat="1" applyFont="1" applyFill="1" applyBorder="1" applyAlignment="1">
      <alignment horizontal="center" vertical="center"/>
    </xf>
    <xf numFmtId="40" fontId="59" fillId="36" borderId="52" xfId="1" applyNumberFormat="1" applyFont="1" applyFill="1" applyBorder="1" applyAlignment="1">
      <alignment horizontal="center"/>
    </xf>
    <xf numFmtId="38" fontId="98" fillId="27" borderId="54" xfId="1" applyNumberFormat="1" applyFont="1" applyFill="1" applyBorder="1" applyAlignment="1">
      <alignment horizontal="right"/>
    </xf>
    <xf numFmtId="40" fontId="172" fillId="36" borderId="74" xfId="1" applyNumberFormat="1" applyFont="1" applyFill="1" applyBorder="1" applyAlignment="1">
      <alignment horizontal="center" vertical="center"/>
    </xf>
    <xf numFmtId="40" fontId="72" fillId="36" borderId="112" xfId="1" applyNumberFormat="1" applyFont="1" applyFill="1" applyBorder="1" applyAlignment="1">
      <alignment horizontal="center" vertical="center"/>
    </xf>
    <xf numFmtId="38" fontId="95" fillId="0" borderId="112" xfId="1" applyNumberFormat="1" applyFont="1" applyFill="1" applyBorder="1" applyAlignment="1">
      <alignment horizontal="right"/>
    </xf>
    <xf numFmtId="38" fontId="95" fillId="0" borderId="55" xfId="1" applyNumberFormat="1" applyFont="1" applyFill="1" applyBorder="1" applyAlignment="1">
      <alignment horizontal="right"/>
    </xf>
    <xf numFmtId="38" fontId="95" fillId="0" borderId="115" xfId="1" applyNumberFormat="1" applyFont="1" applyFill="1" applyBorder="1" applyAlignment="1">
      <alignment horizontal="right"/>
    </xf>
    <xf numFmtId="40" fontId="72" fillId="36" borderId="75" xfId="1" applyNumberFormat="1" applyFont="1" applyFill="1" applyBorder="1" applyAlignment="1">
      <alignment horizontal="center" vertical="center"/>
    </xf>
    <xf numFmtId="38" fontId="95" fillId="0" borderId="75" xfId="1" applyNumberFormat="1" applyFont="1" applyFill="1" applyBorder="1" applyAlignment="1">
      <alignment horizontal="right"/>
    </xf>
    <xf numFmtId="38" fontId="95" fillId="0" borderId="116" xfId="1" applyNumberFormat="1" applyFont="1" applyFill="1" applyBorder="1" applyAlignment="1">
      <alignment horizontal="right"/>
    </xf>
    <xf numFmtId="38" fontId="95" fillId="0" borderId="117" xfId="1" applyNumberFormat="1" applyFont="1" applyFill="1" applyBorder="1" applyAlignment="1">
      <alignment horizontal="right"/>
    </xf>
    <xf numFmtId="38" fontId="29" fillId="62" borderId="118" xfId="1" applyNumberFormat="1" applyFont="1" applyFill="1" applyBorder="1" applyAlignment="1">
      <alignment horizontal="center"/>
    </xf>
    <xf numFmtId="38" fontId="173" fillId="27" borderId="119" xfId="1" applyNumberFormat="1" applyFont="1" applyFill="1" applyBorder="1" applyAlignment="1">
      <alignment horizontal="center" vertical="center"/>
    </xf>
    <xf numFmtId="38" fontId="173" fillId="27" borderId="120" xfId="1" applyNumberFormat="1" applyFont="1" applyFill="1" applyBorder="1" applyAlignment="1">
      <alignment horizontal="center" vertical="center"/>
    </xf>
    <xf numFmtId="38" fontId="95" fillId="27" borderId="71" xfId="1" applyNumberFormat="1" applyFont="1" applyFill="1" applyBorder="1" applyAlignment="1">
      <alignment horizontal="right"/>
    </xf>
    <xf numFmtId="0" fontId="59" fillId="0" borderId="110" xfId="0" applyFont="1" applyBorder="1" applyAlignment="1">
      <alignment horizontal="center"/>
    </xf>
    <xf numFmtId="0" fontId="59" fillId="0" borderId="121" xfId="0" applyFont="1" applyBorder="1" applyAlignment="1">
      <alignment horizontal="center"/>
    </xf>
    <xf numFmtId="0" fontId="0" fillId="0" borderId="122" xfId="0" applyBorder="1"/>
    <xf numFmtId="170" fontId="44" fillId="18" borderId="23" xfId="0" applyNumberFormat="1" applyFont="1" applyFill="1" applyBorder="1"/>
    <xf numFmtId="0" fontId="63" fillId="0" borderId="0" xfId="0" applyFont="1" applyAlignment="1">
      <alignment horizontal="center"/>
    </xf>
    <xf numFmtId="0" fontId="43"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29" fillId="0" borderId="44" xfId="0" applyNumberFormat="1" applyFont="1" applyBorder="1"/>
    <xf numFmtId="38" fontId="29" fillId="0" borderId="123" xfId="0" applyNumberFormat="1" applyFont="1" applyBorder="1"/>
    <xf numFmtId="0" fontId="124"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59" fillId="0" borderId="0" xfId="2" applyNumberFormat="1" applyFont="1" applyAlignment="1">
      <alignment horizontal="center"/>
    </xf>
    <xf numFmtId="179" fontId="0" fillId="0" borderId="0" xfId="0" applyNumberFormat="1" applyAlignment="1">
      <alignment horizontal="center"/>
    </xf>
    <xf numFmtId="9" fontId="95" fillId="0" borderId="0" xfId="2" applyFont="1" applyAlignment="1">
      <alignment horizontal="center"/>
    </xf>
    <xf numFmtId="38" fontId="59" fillId="23" borderId="71" xfId="1" applyNumberFormat="1" applyFont="1" applyFill="1" applyBorder="1" applyAlignment="1">
      <alignment horizontal="right"/>
    </xf>
    <xf numFmtId="0" fontId="138" fillId="74" borderId="3" xfId="0" applyFont="1" applyFill="1" applyBorder="1" applyAlignment="1">
      <alignment horizontal="center" vertical="center"/>
    </xf>
    <xf numFmtId="0" fontId="138" fillId="74" borderId="4" xfId="0" applyFont="1" applyFill="1" applyBorder="1" applyAlignment="1">
      <alignment horizontal="center" vertical="center"/>
    </xf>
    <xf numFmtId="0" fontId="96" fillId="0" borderId="0" xfId="0" applyFont="1" applyAlignment="1">
      <alignment horizontal="center"/>
    </xf>
    <xf numFmtId="0" fontId="127" fillId="0" borderId="0" xfId="0" applyFont="1" applyAlignment="1">
      <alignment horizontal="center" vertic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2" fontId="131" fillId="63" borderId="0" xfId="0" applyNumberFormat="1"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0" fontId="117" fillId="33" borderId="0" xfId="0" applyFont="1" applyFill="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49" fontId="122" fillId="7" borderId="0" xfId="0" applyNumberFormat="1" applyFont="1" applyFill="1" applyAlignment="1">
      <alignment horizontal="center" vertical="center" wrapText="1"/>
    </xf>
    <xf numFmtId="49" fontId="122" fillId="7" borderId="16" xfId="0" applyNumberFormat="1" applyFont="1" applyFill="1" applyBorder="1" applyAlignment="1">
      <alignment horizontal="center" vertical="center" wrapText="1"/>
    </xf>
    <xf numFmtId="0" fontId="155" fillId="67" borderId="14" xfId="0" applyFont="1" applyFill="1" applyBorder="1" applyAlignment="1">
      <alignment horizontal="center"/>
    </xf>
    <xf numFmtId="0" fontId="155" fillId="67" borderId="12" xfId="0" applyFont="1" applyFill="1" applyBorder="1" applyAlignment="1">
      <alignment horizontal="center"/>
    </xf>
    <xf numFmtId="0" fontId="155"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40" fontId="135" fillId="28" borderId="70" xfId="1" applyNumberFormat="1" applyFont="1" applyFill="1" applyBorder="1" applyAlignment="1">
      <alignment horizontal="center"/>
    </xf>
    <xf numFmtId="40" fontId="72" fillId="47" borderId="70" xfId="1" applyNumberFormat="1" applyFont="1" applyFill="1" applyBorder="1" applyAlignment="1">
      <alignment horizontal="left"/>
    </xf>
    <xf numFmtId="40" fontId="72" fillId="28" borderId="70" xfId="1" applyNumberFormat="1" applyFont="1" applyFill="1" applyBorder="1" applyAlignment="1">
      <alignment horizontal="left"/>
    </xf>
    <xf numFmtId="0" fontId="59" fillId="0" borderId="0" xfId="0" applyFont="1" applyBorder="1" applyAlignment="1">
      <alignment horizontal="center"/>
    </xf>
    <xf numFmtId="49" fontId="174" fillId="7" borderId="7" xfId="0" applyNumberFormat="1" applyFont="1" applyFill="1" applyBorder="1" applyAlignment="1">
      <alignment horizontal="center" vertical="center" wrapText="1"/>
    </xf>
    <xf numFmtId="49" fontId="106" fillId="33" borderId="7" xfId="0" applyNumberFormat="1" applyFont="1" applyFill="1" applyBorder="1" applyAlignment="1">
      <alignment horizontal="center" vertical="center" wrapText="1"/>
    </xf>
    <xf numFmtId="49" fontId="106" fillId="33" borderId="0" xfId="0" applyNumberFormat="1" applyFont="1" applyFill="1" applyBorder="1" applyAlignment="1">
      <alignment horizontal="center" vertical="center" wrapText="1"/>
    </xf>
    <xf numFmtId="38" fontId="59" fillId="36" borderId="112" xfId="0" applyNumberFormat="1" applyFont="1" applyFill="1" applyBorder="1" applyAlignment="1">
      <alignment horizontal="right"/>
    </xf>
    <xf numFmtId="38" fontId="98" fillId="27" borderId="71" xfId="0" applyNumberFormat="1" applyFont="1" applyFill="1" applyBorder="1" applyAlignment="1">
      <alignment horizontal="center"/>
    </xf>
    <xf numFmtId="38" fontId="98" fillId="27" borderId="71" xfId="0" applyNumberFormat="1" applyFont="1" applyFill="1" applyBorder="1" applyAlignment="1">
      <alignment horizontal="right"/>
    </xf>
    <xf numFmtId="38" fontId="95" fillId="39" borderId="71" xfId="1" applyNumberFormat="1" applyFont="1" applyFill="1" applyBorder="1" applyAlignment="1">
      <alignment horizontal="right"/>
    </xf>
    <xf numFmtId="38" fontId="95" fillId="39" borderId="74" xfId="1" applyNumberFormat="1" applyFont="1" applyFill="1" applyBorder="1" applyAlignment="1">
      <alignment horizontal="right"/>
    </xf>
    <xf numFmtId="38" fontId="95" fillId="39" borderId="112" xfId="1" applyNumberFormat="1" applyFont="1" applyFill="1" applyBorder="1" applyAlignment="1">
      <alignment horizontal="right"/>
    </xf>
    <xf numFmtId="38" fontId="95" fillId="39" borderId="114" xfId="1" applyNumberFormat="1" applyFont="1" applyFill="1" applyBorder="1" applyAlignment="1">
      <alignment horizontal="right"/>
    </xf>
    <xf numFmtId="38" fontId="95" fillId="39" borderId="55" xfId="1" applyNumberFormat="1" applyFont="1" applyFill="1" applyBorder="1" applyAlignment="1">
      <alignment horizontal="right"/>
    </xf>
    <xf numFmtId="38" fontId="95" fillId="39" borderId="59" xfId="1" applyNumberFormat="1" applyFont="1" applyFill="1" applyBorder="1" applyAlignment="1">
      <alignment horizontal="right"/>
    </xf>
    <xf numFmtId="38" fontId="95" fillId="39" borderId="115" xfId="1" applyNumberFormat="1" applyFont="1" applyFill="1" applyBorder="1" applyAlignment="1">
      <alignment horizontal="right"/>
    </xf>
    <xf numFmtId="40" fontId="59" fillId="39" borderId="0" xfId="0" applyNumberFormat="1" applyFont="1" applyFill="1" applyAlignment="1">
      <alignment horizontal="center"/>
    </xf>
    <xf numFmtId="38" fontId="59" fillId="39" borderId="112" xfId="0" applyNumberFormat="1" applyFont="1" applyFill="1" applyBorder="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4" xfId="0" applyNumberFormat="1" applyBorder="1"/>
    <xf numFmtId="38" fontId="59" fillId="0" borderId="124" xfId="0" applyNumberFormat="1" applyFont="1" applyBorder="1" applyAlignment="1">
      <alignment horizontal="center"/>
    </xf>
    <xf numFmtId="38" fontId="59" fillId="0" borderId="13" xfId="0" applyNumberFormat="1" applyFont="1" applyBorder="1" applyAlignment="1">
      <alignment horizontal="center"/>
    </xf>
    <xf numFmtId="38" fontId="0" fillId="0" borderId="4" xfId="0" applyNumberFormat="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75">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59999389629810485"/>
        </patternFill>
      </fill>
      <alignment horizontal="center"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74"/>
      <tableStyleElement type="headerRow" dxfId="2973"/>
      <tableStyleElement type="totalRow" dxfId="2972"/>
      <tableStyleElement type="firstColumn" dxfId="2971"/>
      <tableStyleElement type="lastColumn" dxfId="2970"/>
      <tableStyleElement type="firstRowStripe" dxfId="2969"/>
      <tableStyleElement type="firstColumnStripe" dxfId="2968"/>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AMZN</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ID!$U$20:$U$40</c:f>
              <c:numCache>
                <c:formatCode>#,##0.00</c:formatCode>
                <c:ptCount val="21"/>
                <c:pt idx="0">
                  <c:v>132.55000000000001</c:v>
                </c:pt>
                <c:pt idx="1">
                  <c:v>173.55</c:v>
                </c:pt>
                <c:pt idx="2">
                  <c:v>177.47720000000001</c:v>
                </c:pt>
                <c:pt idx="3">
                  <c:v>179.7175</c:v>
                </c:pt>
                <c:pt idx="4">
                  <c:v>183.43340000000001</c:v>
                </c:pt>
                <c:pt idx="5">
                  <c:v>185.28</c:v>
                </c:pt>
                <c:pt idx="6">
                  <c:v>185.68</c:v>
                </c:pt>
                <c:pt idx="7">
                  <c:v>192.82</c:v>
                </c:pt>
                <c:pt idx="8">
                  <c:v>203.15856500000001</c:v>
                </c:pt>
                <c:pt idx="9">
                  <c:v>204.0975</c:v>
                </c:pt>
                <c:pt idx="10">
                  <c:v>206.18340000000001</c:v>
                </c:pt>
                <c:pt idx="11">
                  <c:v>212.98</c:v>
                </c:pt>
                <c:pt idx="12">
                  <c:v>215.02</c:v>
                </c:pt>
                <c:pt idx="13">
                  <c:v>215.45</c:v>
                </c:pt>
                <c:pt idx="14">
                  <c:v>221.18199999999999</c:v>
                </c:pt>
                <c:pt idx="15">
                  <c:v>224.55</c:v>
                </c:pt>
                <c:pt idx="16">
                  <c:v>228.54</c:v>
                </c:pt>
                <c:pt idx="17">
                  <c:v>228.95</c:v>
                </c:pt>
                <c:pt idx="18" formatCode="General">
                  <c:v>229.005</c:v>
                </c:pt>
                <c:pt idx="19" formatCode="General">
                  <c:v>232.89</c:v>
                </c:pt>
                <c:pt idx="20" formatCode="General">
                  <c:v>236.70750000000001</c:v>
                </c:pt>
              </c:numCache>
            </c:numRef>
          </c:cat>
          <c:val>
            <c:numRef>
              <c:f>ID!$V$20:$V$40</c:f>
              <c:numCache>
                <c:formatCode>#,##0</c:formatCode>
                <c:ptCount val="21"/>
                <c:pt idx="0">
                  <c:v>0</c:v>
                </c:pt>
                <c:pt idx="1">
                  <c:v>200</c:v>
                </c:pt>
                <c:pt idx="2">
                  <c:v>800</c:v>
                </c:pt>
                <c:pt idx="3">
                  <c:v>0</c:v>
                </c:pt>
                <c:pt idx="4">
                  <c:v>2000</c:v>
                </c:pt>
                <c:pt idx="5">
                  <c:v>1500</c:v>
                </c:pt>
                <c:pt idx="6">
                  <c:v>0</c:v>
                </c:pt>
                <c:pt idx="7">
                  <c:v>500</c:v>
                </c:pt>
                <c:pt idx="8">
                  <c:v>0</c:v>
                </c:pt>
                <c:pt idx="9">
                  <c:v>1000</c:v>
                </c:pt>
                <c:pt idx="10">
                  <c:v>800</c:v>
                </c:pt>
                <c:pt idx="11">
                  <c:v>500</c:v>
                </c:pt>
                <c:pt idx="12">
                  <c:v>2000</c:v>
                </c:pt>
                <c:pt idx="13">
                  <c:v>500</c:v>
                </c:pt>
                <c:pt idx="14">
                  <c:v>0</c:v>
                </c:pt>
                <c:pt idx="15">
                  <c:v>200</c:v>
                </c:pt>
                <c:pt idx="16">
                  <c:v>500</c:v>
                </c:pt>
                <c:pt idx="17">
                  <c:v>450</c:v>
                </c:pt>
                <c:pt idx="18" formatCode="General">
                  <c:v>400</c:v>
                </c:pt>
                <c:pt idx="19" formatCode="General">
                  <c:v>250</c:v>
                </c:pt>
                <c:pt idx="20" formatCode="General">
                  <c:v>400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132.55000000000001</c:v>
                </c:pt>
                <c:pt idx="1">
                  <c:v>173.55</c:v>
                </c:pt>
                <c:pt idx="2">
                  <c:v>177.47720000000001</c:v>
                </c:pt>
                <c:pt idx="3">
                  <c:v>179.7175</c:v>
                </c:pt>
                <c:pt idx="4">
                  <c:v>183.43340000000001</c:v>
                </c:pt>
                <c:pt idx="5">
                  <c:v>185.28</c:v>
                </c:pt>
                <c:pt idx="6">
                  <c:v>185.68</c:v>
                </c:pt>
                <c:pt idx="7">
                  <c:v>192.82</c:v>
                </c:pt>
                <c:pt idx="8">
                  <c:v>203.15856500000001</c:v>
                </c:pt>
                <c:pt idx="9">
                  <c:v>204.0975</c:v>
                </c:pt>
                <c:pt idx="10">
                  <c:v>206.18340000000001</c:v>
                </c:pt>
                <c:pt idx="11">
                  <c:v>212.98</c:v>
                </c:pt>
                <c:pt idx="12">
                  <c:v>215.02</c:v>
                </c:pt>
                <c:pt idx="13">
                  <c:v>215.45</c:v>
                </c:pt>
                <c:pt idx="14">
                  <c:v>221.18199999999999</c:v>
                </c:pt>
                <c:pt idx="15">
                  <c:v>224.55</c:v>
                </c:pt>
                <c:pt idx="16">
                  <c:v>228.54</c:v>
                </c:pt>
                <c:pt idx="17">
                  <c:v>228.95</c:v>
                </c:pt>
              </c:numCache>
            </c:numRef>
          </c:cat>
          <c:val>
            <c:numRef>
              <c:f>ID!$W$20:$W$40</c:f>
              <c:numCache>
                <c:formatCode>#,##0</c:formatCode>
                <c:ptCount val="21"/>
                <c:pt idx="0">
                  <c:v>0</c:v>
                </c:pt>
                <c:pt idx="1">
                  <c:v>0</c:v>
                </c:pt>
                <c:pt idx="2">
                  <c:v>0</c:v>
                </c:pt>
                <c:pt idx="3">
                  <c:v>0</c:v>
                </c:pt>
                <c:pt idx="4">
                  <c:v>0</c:v>
                </c:pt>
                <c:pt idx="5">
                  <c:v>0</c:v>
                </c:pt>
                <c:pt idx="6">
                  <c:v>0</c:v>
                </c:pt>
                <c:pt idx="7">
                  <c:v>0</c:v>
                </c:pt>
                <c:pt idx="8">
                  <c:v>2000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132.55000000000001</c:v>
                </c:pt>
                <c:pt idx="1">
                  <c:v>173.55</c:v>
                </c:pt>
                <c:pt idx="2">
                  <c:v>177.47720000000001</c:v>
                </c:pt>
                <c:pt idx="3">
                  <c:v>179.7175</c:v>
                </c:pt>
                <c:pt idx="4">
                  <c:v>183.43340000000001</c:v>
                </c:pt>
                <c:pt idx="5">
                  <c:v>185.28</c:v>
                </c:pt>
                <c:pt idx="6">
                  <c:v>185.68</c:v>
                </c:pt>
                <c:pt idx="7">
                  <c:v>192.82</c:v>
                </c:pt>
                <c:pt idx="8">
                  <c:v>203.15856500000001</c:v>
                </c:pt>
                <c:pt idx="9">
                  <c:v>204.0975</c:v>
                </c:pt>
                <c:pt idx="10">
                  <c:v>206.18340000000001</c:v>
                </c:pt>
                <c:pt idx="11">
                  <c:v>212.98</c:v>
                </c:pt>
                <c:pt idx="12">
                  <c:v>215.02</c:v>
                </c:pt>
                <c:pt idx="13">
                  <c:v>215.45</c:v>
                </c:pt>
                <c:pt idx="14">
                  <c:v>221.18199999999999</c:v>
                </c:pt>
                <c:pt idx="15">
                  <c:v>224.55</c:v>
                </c:pt>
                <c:pt idx="16">
                  <c:v>228.54</c:v>
                </c:pt>
                <c:pt idx="17">
                  <c:v>228.95</c:v>
                </c:pt>
              </c:numCache>
            </c:numRef>
          </c:cat>
          <c:val>
            <c:numRef>
              <c:f>ID!$X$20:$X$40</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2000</c:v>
                </c:pt>
                <c:pt idx="15">
                  <c:v>0</c:v>
                </c:pt>
                <c:pt idx="16">
                  <c:v>0</c:v>
                </c:pt>
                <c:pt idx="17">
                  <c:v>0</c:v>
                </c:pt>
                <c:pt idx="18" formatCode="General">
                  <c:v>0</c:v>
                </c:pt>
                <c:pt idx="19" formatCode="General">
                  <c:v>0</c:v>
                </c:pt>
                <c:pt idx="20" formatCode="General">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AMZN: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45973</c:v>
                </c:pt>
                <c:pt idx="1">
                  <c:v>45974</c:v>
                </c:pt>
                <c:pt idx="2">
                  <c:v>45975</c:v>
                </c:pt>
                <c:pt idx="3">
                  <c:v>45978</c:v>
                </c:pt>
                <c:pt idx="4">
                  <c:v>45979</c:v>
                </c:pt>
                <c:pt idx="5">
                  <c:v>45980</c:v>
                </c:pt>
              </c:numCache>
            </c:numRef>
          </c:cat>
          <c:val>
            <c:numRef>
              <c:f>ID!$P$16:$U$16</c:f>
              <c:numCache>
                <c:formatCode>0%</c:formatCode>
                <c:ptCount val="6"/>
                <c:pt idx="0">
                  <c:v>0.61932402019166766</c:v>
                </c:pt>
                <c:pt idx="1">
                  <c:v>0.6942070189669548</c:v>
                </c:pt>
                <c:pt idx="2">
                  <c:v>0.7408131718550709</c:v>
                </c:pt>
                <c:pt idx="3">
                  <c:v>8.3155655847150288E-4</c:v>
                </c:pt>
                <c:pt idx="4">
                  <c:v>0.55227376593669197</c:v>
                </c:pt>
                <c:pt idx="5">
                  <c:v>0.55227376593669197</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45973</c:v>
                </c:pt>
                <c:pt idx="1">
                  <c:v>45974</c:v>
                </c:pt>
                <c:pt idx="2">
                  <c:v>45975</c:v>
                </c:pt>
                <c:pt idx="3">
                  <c:v>45978</c:v>
                </c:pt>
                <c:pt idx="4">
                  <c:v>45979</c:v>
                </c:pt>
                <c:pt idx="5">
                  <c:v>45980</c:v>
                </c:pt>
              </c:numCache>
            </c:numRef>
          </c:cat>
          <c:val>
            <c:numRef>
              <c:f>ID!$P$14:$U$14</c:f>
              <c:numCache>
                <c:formatCode>0.00%</c:formatCode>
                <c:ptCount val="6"/>
                <c:pt idx="0">
                  <c:v>-3.2659166666666665E-3</c:v>
                </c:pt>
                <c:pt idx="1">
                  <c:v>-4.393136904761904E-3</c:v>
                </c:pt>
                <c:pt idx="2">
                  <c:v>-6.3597797619047627E-3</c:v>
                </c:pt>
                <c:pt idx="3">
                  <c:v>-1.0795011904761906E-2</c:v>
                </c:pt>
                <c:pt idx="4">
                  <c:v>-1.1993488095238099E-2</c:v>
                </c:pt>
                <c:pt idx="5">
                  <c:v>-7.6166130952380956E-3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-2.5554E-2</c:v>
                </c:pt>
                <c:pt idx="1">
                  <c:v>6.2539999999999991E-3</c:v>
                </c:pt>
                <c:pt idx="2">
                  <c:v>-1.2163999999999999E-2</c:v>
                </c:pt>
                <c:pt idx="3">
                  <c:v>-4.4317000000000002E-2</c:v>
                </c:pt>
                <c:pt idx="4">
                  <c:v>-6.1470000000000006E-3</c:v>
                </c:pt>
                <c:pt idx="5">
                  <c:v>-6.1470000000000006E-3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AMZN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45952</c:v>
                </c:pt>
                <c:pt idx="1">
                  <c:v>45953</c:v>
                </c:pt>
                <c:pt idx="2">
                  <c:v>45975</c:v>
                </c:pt>
                <c:pt idx="3">
                  <c:v>45978</c:v>
                </c:pt>
                <c:pt idx="4">
                  <c:v>45979</c:v>
                </c:pt>
                <c:pt idx="5">
                  <c:v>45980</c:v>
                </c:pt>
              </c:numCache>
            </c:numRef>
          </c:cat>
          <c:val>
            <c:numRef>
              <c:f>DataShift!$F$202:$Z$202</c:f>
              <c:numCache>
                <c:formatCode>#,##0_);[Red]\(#,##0\)</c:formatCode>
                <c:ptCount val="6"/>
                <c:pt idx="0">
                  <c:v>216.39</c:v>
                </c:pt>
                <c:pt idx="1">
                  <c:v>215.16</c:v>
                </c:pt>
                <c:pt idx="2">
                  <c:v>234.69</c:v>
                </c:pt>
                <c:pt idx="3">
                  <c:v>222.55</c:v>
                </c:pt>
                <c:pt idx="4">
                  <c:v>221.18199999999999</c:v>
                </c:pt>
                <c:pt idx="5">
                  <c:v>221.18199999999999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45952</c:v>
                </c:pt>
                <c:pt idx="1">
                  <c:v>45953</c:v>
                </c:pt>
                <c:pt idx="2">
                  <c:v>45975</c:v>
                </c:pt>
                <c:pt idx="3">
                  <c:v>45978</c:v>
                </c:pt>
                <c:pt idx="4">
                  <c:v>45979</c:v>
                </c:pt>
                <c:pt idx="5">
                  <c:v>45980</c:v>
                </c:pt>
              </c:numCache>
            </c:numRef>
          </c:cat>
          <c:val>
            <c:numRef>
              <c:f>DataShift!$AB$1197:$AV$1197</c:f>
              <c:numCache>
                <c:formatCode>#,##0_);[Red]\(#,##0\)</c:formatCode>
                <c:ptCount val="7"/>
                <c:pt idx="0">
                  <c:v>2739.9999999999523</c:v>
                </c:pt>
                <c:pt idx="1">
                  <c:v>279.99999999997272</c:v>
                </c:pt>
                <c:pt idx="2">
                  <c:v>59079.999999999985</c:v>
                </c:pt>
                <c:pt idx="3">
                  <c:v>39339.999999999978</c:v>
                </c:pt>
                <c:pt idx="4">
                  <c:v>15060.000000000002</c:v>
                </c:pt>
                <c:pt idx="5">
                  <c:v>12323.999999999956</c:v>
                </c:pt>
                <c:pt idx="6">
                  <c:v>12323.999999999956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45952</c:v>
                </c:pt>
                <c:pt idx="1">
                  <c:v>45953</c:v>
                </c:pt>
                <c:pt idx="2">
                  <c:v>45975</c:v>
                </c:pt>
                <c:pt idx="3">
                  <c:v>45978</c:v>
                </c:pt>
                <c:pt idx="4">
                  <c:v>45979</c:v>
                </c:pt>
                <c:pt idx="5">
                  <c:v>45980</c:v>
                </c:pt>
              </c:numCache>
            </c:numRef>
          </c:cat>
          <c:val>
            <c:numRef>
              <c:f>DataShift!$AB$1296:$AV$1296</c:f>
              <c:numCache>
                <c:formatCode>#,##0_);[Red]\(#,##0\)</c:formatCode>
                <c:ptCount val="7"/>
                <c:pt idx="0">
                  <c:v>1025</c:v>
                </c:pt>
                <c:pt idx="1">
                  <c:v>1270.999999999998</c:v>
                </c:pt>
                <c:pt idx="2">
                  <c:v>-4609.0000000000036</c:v>
                </c:pt>
                <c:pt idx="3">
                  <c:v>-2635.0000000000023</c:v>
                </c:pt>
                <c:pt idx="4">
                  <c:v>-207.000000000005</c:v>
                </c:pt>
                <c:pt idx="5">
                  <c:v>66.599999999999682</c:v>
                </c:pt>
                <c:pt idx="6">
                  <c:v>66.599999999999682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AMZN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226.97</c:v>
                </c:pt>
                <c:pt idx="1">
                  <c:v>229.25</c:v>
                </c:pt>
                <c:pt idx="2">
                  <c:v>222.86</c:v>
                </c:pt>
                <c:pt idx="3">
                  <c:v>248.82</c:v>
                </c:pt>
                <c:pt idx="4">
                  <c:v>250.2</c:v>
                </c:pt>
                <c:pt idx="5">
                  <c:v>243.8064</c:v>
                </c:pt>
                <c:pt idx="6">
                  <c:v>244.56</c:v>
                </c:pt>
                <c:pt idx="7">
                  <c:v>234.69</c:v>
                </c:pt>
                <c:pt idx="8">
                  <c:v>222.55</c:v>
                </c:pt>
                <c:pt idx="9">
                  <c:v>221.18199999999999</c:v>
                </c:pt>
                <c:pt idx="10">
                  <c:v>221.18199999999999</c:v>
                </c:pt>
              </c:numCache>
            </c:numRef>
          </c:xVal>
          <c:yVal>
            <c:numRef>
              <c:f>ChaRSI!$P$35:$Z$35</c:f>
              <c:numCache>
                <c:formatCode>0</c:formatCode>
                <c:ptCount val="11"/>
                <c:pt idx="0">
                  <c:v>61</c:v>
                </c:pt>
                <c:pt idx="1">
                  <c:v>66</c:v>
                </c:pt>
                <c:pt idx="2">
                  <c:v>57</c:v>
                </c:pt>
                <c:pt idx="3">
                  <c:v>51</c:v>
                </c:pt>
                <c:pt idx="4">
                  <c:v>54</c:v>
                </c:pt>
                <c:pt idx="5">
                  <c:v>49</c:v>
                </c:pt>
                <c:pt idx="6">
                  <c:v>47</c:v>
                </c:pt>
                <c:pt idx="7">
                  <c:v>43</c:v>
                </c:pt>
                <c:pt idx="8">
                  <c:v>35</c:v>
                </c:pt>
                <c:pt idx="9">
                  <c:v>31</c:v>
                </c:pt>
                <c:pt idx="10">
                  <c:v>31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203.15856500000001</c:v>
                </c:pt>
                <c:pt idx="10">
                  <c:v>221.51499999999999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221.51499999999999</c:v>
                </c:pt>
                <c:pt idx="10">
                  <c:v>221.51499999999999</c:v>
                </c:pt>
              </c:numCache>
            </c:numRef>
          </c:xVal>
          <c:yVal>
            <c:numRef>
              <c:f>ChaRSI!$P$43:$Z$43</c:f>
              <c:numCache>
                <c:formatCode>General</c:formatCode>
                <c:ptCount val="11"/>
                <c:pt idx="0" formatCode="0">
                  <c:v>72.600000000000009</c:v>
                </c:pt>
                <c:pt idx="10" formatCode="0">
                  <c:v>65.34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215.02</c:v>
                </c:pt>
                <c:pt idx="10">
                  <c:v>215.02</c:v>
                </c:pt>
              </c:numCache>
            </c:numRef>
          </c:xVal>
          <c:yVal>
            <c:numRef>
              <c:f>ChaRSI!$P$42:$Z$42</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221.18199999999999</c:v>
                </c:pt>
                <c:pt idx="10">
                  <c:v>221.18199999999999</c:v>
                </c:pt>
              </c:numCache>
            </c:numRef>
          </c:xVal>
          <c:yVal>
            <c:numRef>
              <c:f>ChaRSI!$P$40:$Z$40</c:f>
              <c:numCache>
                <c:formatCode>General</c:formatCode>
                <c:ptCount val="11"/>
                <c:pt idx="0" formatCode="0">
                  <c:v>92.399999999999991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203.15856500000001</c:v>
                </c:pt>
                <c:pt idx="10" formatCode="0.00">
                  <c:v>203.15856500000001</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C32CD2D-B322-8E44-A6BC-E4085F7CEB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2FEB261D-6C0A-574D-A48B-FE8CB75CE1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6B396D8-5123-EB41-B268-C47BB8882F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57AC8E69-CCB5-8147-94C2-9CDB035310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1F9B4F06-70C2-5D44-B740-4EDE5EE3D4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26FEF6A7-BB10-B94A-BB41-B114EFBA18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D0258DCA-A673-B841-A743-657C1CF141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A4E93932-EFBB-3B49-8163-CFFC52E8D3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BB486B5F-C0D9-9148-875C-31F4CCE7A6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ECF72A76-479A-5F42-AC49-7030D4803E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161890C2-9B4B-E145-941B-4C659816D5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226.97</c:v>
                </c:pt>
                <c:pt idx="1">
                  <c:v>229.25</c:v>
                </c:pt>
                <c:pt idx="2">
                  <c:v>222.86</c:v>
                </c:pt>
                <c:pt idx="3">
                  <c:v>248.82</c:v>
                </c:pt>
                <c:pt idx="4">
                  <c:v>250.2</c:v>
                </c:pt>
                <c:pt idx="5">
                  <c:v>243.8064</c:v>
                </c:pt>
                <c:pt idx="6">
                  <c:v>244.56</c:v>
                </c:pt>
                <c:pt idx="7">
                  <c:v>234.69</c:v>
                </c:pt>
                <c:pt idx="8">
                  <c:v>222.55</c:v>
                </c:pt>
                <c:pt idx="9">
                  <c:v>221.18199999999999</c:v>
                </c:pt>
                <c:pt idx="10">
                  <c:v>221.18199999999999</c:v>
                </c:pt>
              </c:numCache>
            </c:numRef>
          </c:xVal>
          <c:yVal>
            <c:numRef>
              <c:f>ChaRSI!$P$36:$Z$36</c:f>
              <c:numCache>
                <c:formatCode>0%</c:formatCode>
                <c:ptCount val="11"/>
                <c:pt idx="0">
                  <c:v>0.82910471818717135</c:v>
                </c:pt>
                <c:pt idx="1">
                  <c:v>1.0310410249263953</c:v>
                </c:pt>
                <c:pt idx="2">
                  <c:v>1.9825181304189066</c:v>
                </c:pt>
                <c:pt idx="3">
                  <c:v>0.75486270605619821</c:v>
                </c:pt>
                <c:pt idx="4">
                  <c:v>0.75409060425367169</c:v>
                </c:pt>
                <c:pt idx="5">
                  <c:v>0.61932402019166766</c:v>
                </c:pt>
                <c:pt idx="6">
                  <c:v>0.6942070189669548</c:v>
                </c:pt>
                <c:pt idx="7">
                  <c:v>0.7408131718550709</c:v>
                </c:pt>
                <c:pt idx="8">
                  <c:v>8.3155655847150288E-4</c:v>
                </c:pt>
                <c:pt idx="9">
                  <c:v>0.55227376593669197</c:v>
                </c:pt>
                <c:pt idx="10">
                  <c:v>0.55227376593669197</c:v>
                </c:pt>
              </c:numCache>
            </c:numRef>
          </c:yVal>
          <c:smooth val="1"/>
          <c:extLst>
            <c:ext xmlns:c15="http://schemas.microsoft.com/office/drawing/2012/chart" uri="{02D57815-91ED-43cb-92C2-25804820EDAC}">
              <c15:datalabelsRange>
                <c15:f>ChaCha!$P$33:$Z$33</c15:f>
                <c15:dlblRangeCache>
                  <c:ptCount val="11"/>
                  <c:pt idx="0">
                    <c:v>5-Nov</c:v>
                  </c:pt>
                  <c:pt idx="10">
                    <c:v>19-Nov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52.702"/>
          <c:min val="201.1269793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AMZN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216.39</c:v>
                </c:pt>
                <c:pt idx="1">
                  <c:v>215.16</c:v>
                </c:pt>
                <c:pt idx="2">
                  <c:v>214.47</c:v>
                </c:pt>
                <c:pt idx="3">
                  <c:v>213.04</c:v>
                </c:pt>
                <c:pt idx="4">
                  <c:v>216.48</c:v>
                </c:pt>
                <c:pt idx="5">
                  <c:v>222.03</c:v>
                </c:pt>
                <c:pt idx="6">
                  <c:v>217.95</c:v>
                </c:pt>
                <c:pt idx="7">
                  <c:v>217.95</c:v>
                </c:pt>
                <c:pt idx="8">
                  <c:v>221.09</c:v>
                </c:pt>
                <c:pt idx="9">
                  <c:v>224.21</c:v>
                </c:pt>
                <c:pt idx="10">
                  <c:v>226.97</c:v>
                </c:pt>
                <c:pt idx="11">
                  <c:v>229.25</c:v>
                </c:pt>
                <c:pt idx="12">
                  <c:v>222.86</c:v>
                </c:pt>
                <c:pt idx="13">
                  <c:v>248.82</c:v>
                </c:pt>
                <c:pt idx="14">
                  <c:v>250.2</c:v>
                </c:pt>
                <c:pt idx="15">
                  <c:v>243.8064</c:v>
                </c:pt>
                <c:pt idx="16">
                  <c:v>244.56</c:v>
                </c:pt>
                <c:pt idx="17">
                  <c:v>234.69</c:v>
                </c:pt>
                <c:pt idx="18">
                  <c:v>222.55</c:v>
                </c:pt>
                <c:pt idx="19">
                  <c:v>221.18199999999999</c:v>
                </c:pt>
                <c:pt idx="20">
                  <c:v>221.18199999999999</c:v>
                </c:pt>
              </c:numCache>
            </c:numRef>
          </c:xVal>
          <c:yVal>
            <c:numRef>
              <c:f>ChaRSI!$F$35:$Z$35</c:f>
              <c:numCache>
                <c:formatCode>0</c:formatCode>
                <c:ptCount val="21"/>
                <c:pt idx="0">
                  <c:v>49</c:v>
                </c:pt>
                <c:pt idx="1">
                  <c:v>45</c:v>
                </c:pt>
                <c:pt idx="2">
                  <c:v>44</c:v>
                </c:pt>
                <c:pt idx="3">
                  <c:v>42</c:v>
                </c:pt>
                <c:pt idx="4">
                  <c:v>46</c:v>
                </c:pt>
                <c:pt idx="5">
                  <c:v>55</c:v>
                </c:pt>
                <c:pt idx="6">
                  <c:v>58</c:v>
                </c:pt>
                <c:pt idx="7">
                  <c:v>54</c:v>
                </c:pt>
                <c:pt idx="8">
                  <c:v>59</c:v>
                </c:pt>
                <c:pt idx="9">
                  <c:v>60</c:v>
                </c:pt>
                <c:pt idx="10">
                  <c:v>61</c:v>
                </c:pt>
                <c:pt idx="11">
                  <c:v>66</c:v>
                </c:pt>
                <c:pt idx="12">
                  <c:v>57</c:v>
                </c:pt>
                <c:pt idx="13">
                  <c:v>51</c:v>
                </c:pt>
                <c:pt idx="14">
                  <c:v>54</c:v>
                </c:pt>
                <c:pt idx="15">
                  <c:v>49</c:v>
                </c:pt>
                <c:pt idx="16">
                  <c:v>47</c:v>
                </c:pt>
                <c:pt idx="17">
                  <c:v>43</c:v>
                </c:pt>
                <c:pt idx="18">
                  <c:v>35</c:v>
                </c:pt>
                <c:pt idx="19">
                  <c:v>31</c:v>
                </c:pt>
                <c:pt idx="20">
                  <c:v>31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221.51499999999999</c:v>
                </c:pt>
                <c:pt idx="10">
                  <c:v>221.51499999999999</c:v>
                </c:pt>
                <c:pt idx="20">
                  <c:v>221.51499999999999</c:v>
                </c:pt>
              </c:numCache>
            </c:numRef>
          </c:xVal>
          <c:yVal>
            <c:numRef>
              <c:f>ChaRSI!$F$41:$Z$41</c:f>
              <c:numCache>
                <c:formatCode>General</c:formatCode>
                <c:ptCount val="21"/>
                <c:pt idx="0" formatCode="0">
                  <c:v>85.8</c:v>
                </c:pt>
                <c:pt idx="10" formatCode="0">
                  <c:v>85.8</c:v>
                </c:pt>
                <c:pt idx="20" formatCode="0">
                  <c:v>77.22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215.02</c:v>
                </c:pt>
                <c:pt idx="10">
                  <c:v>215.02</c:v>
                </c:pt>
                <c:pt idx="20">
                  <c:v>215.02</c:v>
                </c:pt>
              </c:numCache>
            </c:numRef>
          </c:xVal>
          <c:yVal>
            <c:numRef>
              <c:f>ChaRSI!$F$41:$Z$41</c:f>
              <c:numCache>
                <c:formatCode>General</c:formatCode>
                <c:ptCount val="21"/>
                <c:pt idx="0" formatCode="0">
                  <c:v>85.8</c:v>
                </c:pt>
                <c:pt idx="10" formatCode="0">
                  <c:v>85.8</c:v>
                </c:pt>
                <c:pt idx="20" formatCode="0">
                  <c:v>77.22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166.94</c:v>
                </c:pt>
                <c:pt idx="10">
                  <c:v>166.94</c:v>
                </c:pt>
                <c:pt idx="20">
                  <c:v>166.94</c:v>
                </c:pt>
              </c:numCache>
            </c:numRef>
          </c:xVal>
          <c:yVal>
            <c:numRef>
              <c:f>ChaRSI!$F$40:$Z$40</c:f>
              <c:numCache>
                <c:formatCode>General</c:formatCode>
                <c:ptCount val="21"/>
                <c:pt idx="0" formatCode="0">
                  <c:v>92.399999999999991</c:v>
                </c:pt>
                <c:pt idx="10" formatCode="0">
                  <c:v>92.399999999999991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236.70750000000001</c:v>
                </c:pt>
                <c:pt idx="10">
                  <c:v>236.70750000000001</c:v>
                </c:pt>
                <c:pt idx="20">
                  <c:v>236.70750000000001</c:v>
                </c:pt>
              </c:numCache>
            </c:numRef>
          </c:xVal>
          <c:yVal>
            <c:numRef>
              <c:f>ChaRSI!$F$42:$Z$42</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234.24</c:v>
                </c:pt>
                <c:pt idx="10">
                  <c:v>234.24</c:v>
                </c:pt>
                <c:pt idx="20">
                  <c:v>234.24</c:v>
                </c:pt>
              </c:numCache>
            </c:numRef>
          </c:xVal>
          <c:yVal>
            <c:numRef>
              <c:f>ChaRSI!$F$43:$Z$43</c:f>
              <c:numCache>
                <c:formatCode>General</c:formatCode>
                <c:ptCount val="21"/>
                <c:pt idx="0" formatCode="0">
                  <c:v>72.600000000000009</c:v>
                </c:pt>
                <c:pt idx="10" formatCode="0">
                  <c:v>72.600000000000009</c:v>
                </c:pt>
                <c:pt idx="20" formatCode="0">
                  <c:v>65.34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132.55000000000001</c:v>
                </c:pt>
                <c:pt idx="10">
                  <c:v>132.55000000000001</c:v>
                </c:pt>
                <c:pt idx="20">
                  <c:v>132.55000000000001</c:v>
                </c:pt>
              </c:numCache>
            </c:numRef>
          </c:xVal>
          <c:yVal>
            <c:numRef>
              <c:f>ChaRSI!$F$42:$Z$42</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221.18199999999999</c:v>
                </c:pt>
                <c:pt idx="10">
                  <c:v>221.18199999999999</c:v>
                </c:pt>
                <c:pt idx="20">
                  <c:v>221.18199999999999</c:v>
                </c:pt>
              </c:numCache>
            </c:numRef>
          </c:xVal>
          <c:yVal>
            <c:numRef>
              <c:f>ChaRSI!$F$40:$Z$40</c:f>
              <c:numCache>
                <c:formatCode>General</c:formatCode>
                <c:ptCount val="21"/>
                <c:pt idx="0" formatCode="0">
                  <c:v>92.399999999999991</c:v>
                </c:pt>
                <c:pt idx="10" formatCode="0">
                  <c:v>92.399999999999991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203.15856500000001</c:v>
                </c:pt>
                <c:pt idx="10" formatCode="0.00">
                  <c:v>203.15856500000001</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216.39</c:v>
                </c:pt>
                <c:pt idx="1">
                  <c:v>215.16</c:v>
                </c:pt>
                <c:pt idx="2">
                  <c:v>214.47</c:v>
                </c:pt>
                <c:pt idx="3">
                  <c:v>213.04</c:v>
                </c:pt>
                <c:pt idx="4">
                  <c:v>216.48</c:v>
                </c:pt>
                <c:pt idx="5">
                  <c:v>222.03</c:v>
                </c:pt>
                <c:pt idx="6">
                  <c:v>217.95</c:v>
                </c:pt>
                <c:pt idx="7">
                  <c:v>217.95</c:v>
                </c:pt>
                <c:pt idx="8">
                  <c:v>221.09</c:v>
                </c:pt>
                <c:pt idx="9">
                  <c:v>224.21</c:v>
                </c:pt>
                <c:pt idx="10">
                  <c:v>226.97</c:v>
                </c:pt>
                <c:pt idx="11">
                  <c:v>229.25</c:v>
                </c:pt>
                <c:pt idx="12">
                  <c:v>222.86</c:v>
                </c:pt>
                <c:pt idx="13">
                  <c:v>248.82</c:v>
                </c:pt>
                <c:pt idx="14">
                  <c:v>250.2</c:v>
                </c:pt>
                <c:pt idx="15">
                  <c:v>243.8064</c:v>
                </c:pt>
                <c:pt idx="16">
                  <c:v>244.56</c:v>
                </c:pt>
                <c:pt idx="17">
                  <c:v>234.69</c:v>
                </c:pt>
                <c:pt idx="18">
                  <c:v>222.55</c:v>
                </c:pt>
                <c:pt idx="19">
                  <c:v>221.18199999999999</c:v>
                </c:pt>
                <c:pt idx="20">
                  <c:v>221.18199999999999</c:v>
                </c:pt>
              </c:numCache>
            </c:numRef>
          </c:xVal>
          <c:yVal>
            <c:numRef>
              <c:f>ChaRSI!$F$36:$Z$36</c:f>
              <c:numCache>
                <c:formatCode>0%</c:formatCode>
                <c:ptCount val="21"/>
                <c:pt idx="0">
                  <c:v>0.94732269094894184</c:v>
                </c:pt>
                <c:pt idx="1">
                  <c:v>0.76307702905125563</c:v>
                </c:pt>
                <c:pt idx="2">
                  <c:v>0.89533238299505757</c:v>
                </c:pt>
                <c:pt idx="3">
                  <c:v>0.97221744725581261</c:v>
                </c:pt>
                <c:pt idx="4">
                  <c:v>0.79809917993253798</c:v>
                </c:pt>
                <c:pt idx="5">
                  <c:v>1.015253951189238</c:v>
                </c:pt>
                <c:pt idx="6">
                  <c:v>0.90204044987612564</c:v>
                </c:pt>
                <c:pt idx="7">
                  <c:v>0.90220558528560924</c:v>
                </c:pt>
                <c:pt idx="8">
                  <c:v>0.64920445918256142</c:v>
                </c:pt>
                <c:pt idx="9">
                  <c:v>0.80093660307369696</c:v>
                </c:pt>
                <c:pt idx="10">
                  <c:v>0.82910471818717135</c:v>
                </c:pt>
                <c:pt idx="11">
                  <c:v>1.0310410249263953</c:v>
                </c:pt>
                <c:pt idx="12">
                  <c:v>1.9825181304189066</c:v>
                </c:pt>
                <c:pt idx="13">
                  <c:v>0.75486270605619821</c:v>
                </c:pt>
                <c:pt idx="14">
                  <c:v>0.75409060425367169</c:v>
                </c:pt>
                <c:pt idx="15">
                  <c:v>0.61932402019166766</c:v>
                </c:pt>
                <c:pt idx="16">
                  <c:v>0.6942070189669548</c:v>
                </c:pt>
                <c:pt idx="17">
                  <c:v>0.7408131718550709</c:v>
                </c:pt>
                <c:pt idx="18">
                  <c:v>8.3155655847150288E-4</c:v>
                </c:pt>
                <c:pt idx="19">
                  <c:v>0.55227376593669197</c:v>
                </c:pt>
                <c:pt idx="20">
                  <c:v>0.55227376593669197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52.702"/>
          <c:min val="131.2245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AMZN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203.15856500000001</c:v>
                </c:pt>
                <c:pt idx="10">
                  <c:v>221.51499999999999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221.51499999999999</c:v>
                </c:pt>
                <c:pt idx="10">
                  <c:v>221.51499999999999</c:v>
                </c:pt>
              </c:numCache>
            </c:numRef>
          </c:xVal>
          <c:yVal>
            <c:numRef>
              <c:f>ChaRSI!$P$43:$Z$43</c:f>
              <c:numCache>
                <c:formatCode>General</c:formatCode>
                <c:ptCount val="11"/>
                <c:pt idx="0" formatCode="0">
                  <c:v>72.600000000000009</c:v>
                </c:pt>
                <c:pt idx="10" formatCode="0">
                  <c:v>65.34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215.02</c:v>
                </c:pt>
                <c:pt idx="10">
                  <c:v>215.02</c:v>
                </c:pt>
              </c:numCache>
            </c:numRef>
          </c:xVal>
          <c:yVal>
            <c:numRef>
              <c:f>ChaRSI!$P$42:$Z$42</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221.18199999999999</c:v>
                </c:pt>
                <c:pt idx="10">
                  <c:v>221.18199999999999</c:v>
                </c:pt>
              </c:numCache>
            </c:numRef>
          </c:xVal>
          <c:yVal>
            <c:numRef>
              <c:f>ChaRSI!$P$40:$Z$40</c:f>
              <c:numCache>
                <c:formatCode>General</c:formatCode>
                <c:ptCount val="11"/>
                <c:pt idx="0" formatCode="0">
                  <c:v>92.399999999999991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203.15856500000001</c:v>
                </c:pt>
                <c:pt idx="10" formatCode="0.00">
                  <c:v>203.15856500000001</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226.97</c:v>
                </c:pt>
                <c:pt idx="1">
                  <c:v>229.25</c:v>
                </c:pt>
                <c:pt idx="2">
                  <c:v>222.86</c:v>
                </c:pt>
                <c:pt idx="3">
                  <c:v>248.82</c:v>
                </c:pt>
                <c:pt idx="4">
                  <c:v>250.2</c:v>
                </c:pt>
                <c:pt idx="5">
                  <c:v>243.8064</c:v>
                </c:pt>
                <c:pt idx="6">
                  <c:v>244.56</c:v>
                </c:pt>
                <c:pt idx="7">
                  <c:v>234.69</c:v>
                </c:pt>
                <c:pt idx="8">
                  <c:v>222.55</c:v>
                </c:pt>
                <c:pt idx="9">
                  <c:v>221.18199999999999</c:v>
                </c:pt>
                <c:pt idx="10">
                  <c:v>221.18199999999999</c:v>
                </c:pt>
              </c:numCache>
            </c:numRef>
          </c:xVal>
          <c:yVal>
            <c:numRef>
              <c:f>ChaRSI!$P$35:$Z$35</c:f>
              <c:numCache>
                <c:formatCode>0</c:formatCode>
                <c:ptCount val="11"/>
                <c:pt idx="0">
                  <c:v>61</c:v>
                </c:pt>
                <c:pt idx="1">
                  <c:v>66</c:v>
                </c:pt>
                <c:pt idx="2">
                  <c:v>57</c:v>
                </c:pt>
                <c:pt idx="3">
                  <c:v>51</c:v>
                </c:pt>
                <c:pt idx="4">
                  <c:v>54</c:v>
                </c:pt>
                <c:pt idx="5">
                  <c:v>49</c:v>
                </c:pt>
                <c:pt idx="6">
                  <c:v>47</c:v>
                </c:pt>
                <c:pt idx="7">
                  <c:v>43</c:v>
                </c:pt>
                <c:pt idx="8">
                  <c:v>35</c:v>
                </c:pt>
                <c:pt idx="9">
                  <c:v>31</c:v>
                </c:pt>
                <c:pt idx="10">
                  <c:v>31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590EFE7-9C0A-D042-BDBF-A369E8C01B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F864C7C-B1A8-8B4A-A347-B56F8FA28C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6846387B-E7E7-CC4C-AC8B-E3FA8B6374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57A800B4-491C-A54D-878C-BE691E0069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6A12AC1-D2CA-8347-9F72-AA0923AE45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887BB153-C6DB-8340-8072-50ECF8491A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CCAD3433-B3EF-924E-AFD1-0A9843551F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C00515D1-31C3-3247-B264-6D1C024CDD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0CDDC854-109B-124A-A2B0-581A95D5EB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CF64AA81-13B4-1D48-A5A4-45B20E2DE9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D4A1ECBE-FFFA-0B49-AFFA-45FEEE8F06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226.97</c:v>
                </c:pt>
                <c:pt idx="1">
                  <c:v>229.25</c:v>
                </c:pt>
                <c:pt idx="2">
                  <c:v>222.86</c:v>
                </c:pt>
                <c:pt idx="3">
                  <c:v>248.82</c:v>
                </c:pt>
                <c:pt idx="4">
                  <c:v>250.2</c:v>
                </c:pt>
                <c:pt idx="5">
                  <c:v>243.8064</c:v>
                </c:pt>
                <c:pt idx="6">
                  <c:v>244.56</c:v>
                </c:pt>
                <c:pt idx="7">
                  <c:v>234.69</c:v>
                </c:pt>
                <c:pt idx="8">
                  <c:v>222.55</c:v>
                </c:pt>
                <c:pt idx="9">
                  <c:v>221.18199999999999</c:v>
                </c:pt>
                <c:pt idx="10">
                  <c:v>221.18199999999999</c:v>
                </c:pt>
              </c:numCache>
            </c:numRef>
          </c:xVal>
          <c:yVal>
            <c:numRef>
              <c:f>ChaRSI!$P$36:$Z$36</c:f>
              <c:numCache>
                <c:formatCode>0%</c:formatCode>
                <c:ptCount val="11"/>
                <c:pt idx="0">
                  <c:v>0.82910471818717135</c:v>
                </c:pt>
                <c:pt idx="1">
                  <c:v>1.0310410249263953</c:v>
                </c:pt>
                <c:pt idx="2">
                  <c:v>1.9825181304189066</c:v>
                </c:pt>
                <c:pt idx="3">
                  <c:v>0.75486270605619821</c:v>
                </c:pt>
                <c:pt idx="4">
                  <c:v>0.75409060425367169</c:v>
                </c:pt>
                <c:pt idx="5">
                  <c:v>0.61932402019166766</c:v>
                </c:pt>
                <c:pt idx="6">
                  <c:v>0.6942070189669548</c:v>
                </c:pt>
                <c:pt idx="7">
                  <c:v>0.7408131718550709</c:v>
                </c:pt>
                <c:pt idx="8">
                  <c:v>8.3155655847150288E-4</c:v>
                </c:pt>
                <c:pt idx="9">
                  <c:v>0.55227376593669197</c:v>
                </c:pt>
                <c:pt idx="10">
                  <c:v>0.55227376593669197</c:v>
                </c:pt>
              </c:numCache>
            </c:numRef>
          </c:yVal>
          <c:smooth val="1"/>
          <c:extLst>
            <c:ext xmlns:c15="http://schemas.microsoft.com/office/drawing/2012/chart" uri="{02D57815-91ED-43cb-92C2-25804820EDAC}">
              <c15:datalabelsRange>
                <c15:f>ChaCha!$P$33:$Z$33</c15:f>
                <c15:dlblRangeCache>
                  <c:ptCount val="11"/>
                  <c:pt idx="0">
                    <c:v>5-Nov</c:v>
                  </c:pt>
                  <c:pt idx="10">
                    <c:v>19-Nov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52.702"/>
          <c:min val="218.9701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AMZN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226.97</c:v>
                </c:pt>
                <c:pt idx="1">
                  <c:v>229.25</c:v>
                </c:pt>
                <c:pt idx="2">
                  <c:v>222.86</c:v>
                </c:pt>
                <c:pt idx="3">
                  <c:v>248.82</c:v>
                </c:pt>
                <c:pt idx="4">
                  <c:v>250.2</c:v>
                </c:pt>
                <c:pt idx="5">
                  <c:v>243.8064</c:v>
                </c:pt>
                <c:pt idx="6">
                  <c:v>244.56</c:v>
                </c:pt>
                <c:pt idx="7">
                  <c:v>234.69</c:v>
                </c:pt>
                <c:pt idx="8">
                  <c:v>222.55</c:v>
                </c:pt>
                <c:pt idx="9">
                  <c:v>221.18199999999999</c:v>
                </c:pt>
                <c:pt idx="10">
                  <c:v>221.18199999999999</c:v>
                </c:pt>
              </c:numCache>
            </c:numRef>
          </c:xVal>
          <c:yVal>
            <c:numRef>
              <c:f>ChaCha!$P$35:$Z$35</c:f>
              <c:numCache>
                <c:formatCode>0</c:formatCode>
                <c:ptCount val="11"/>
                <c:pt idx="0">
                  <c:v>960.33077193119323</c:v>
                </c:pt>
                <c:pt idx="1">
                  <c:v>783.63303038577044</c:v>
                </c:pt>
                <c:pt idx="2">
                  <c:v>-2520.2636813979793</c:v>
                </c:pt>
                <c:pt idx="3">
                  <c:v>-1590.98178414011</c:v>
                </c:pt>
                <c:pt idx="4">
                  <c:v>275.38323516792133</c:v>
                </c:pt>
                <c:pt idx="5">
                  <c:v>-1993.5249834223973</c:v>
                </c:pt>
                <c:pt idx="6">
                  <c:v>487.88859850996602</c:v>
                </c:pt>
                <c:pt idx="7">
                  <c:v>-948.94098373444615</c:v>
                </c:pt>
                <c:pt idx="8">
                  <c:v>-3457.2687912002184</c:v>
                </c:pt>
                <c:pt idx="9">
                  <c:v>-479.54128798221319</c:v>
                </c:pt>
                <c:pt idx="10">
                  <c:v>-479.54128798221319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221.51499999999999</c:v>
                </c:pt>
                <c:pt idx="10">
                  <c:v>221.51499999999999</c:v>
                </c:pt>
              </c:numCache>
            </c:numRef>
          </c:xVal>
          <c:yVal>
            <c:numRef>
              <c:f>ChaCha!$P$41:$Z$41</c:f>
              <c:numCache>
                <c:formatCode>General</c:formatCode>
                <c:ptCount val="11"/>
                <c:pt idx="0" formatCode="0">
                  <c:v>20283.184459960212</c:v>
                </c:pt>
                <c:pt idx="10" formatCode="0">
                  <c:v>-4494.4494285602841</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215.02</c:v>
                </c:pt>
                <c:pt idx="10">
                  <c:v>215.02</c:v>
                </c:pt>
              </c:numCache>
            </c:numRef>
          </c:xVal>
          <c:yVal>
            <c:numRef>
              <c:f>ChaCha!$P$41:$Z$41</c:f>
              <c:numCache>
                <c:formatCode>General</c:formatCode>
                <c:ptCount val="11"/>
                <c:pt idx="0" formatCode="0">
                  <c:v>20283.184459960212</c:v>
                </c:pt>
                <c:pt idx="10" formatCode="0">
                  <c:v>-4494.4494285602841</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221.18199999999999</c:v>
                </c:pt>
                <c:pt idx="10">
                  <c:v>221.18199999999999</c:v>
                </c:pt>
              </c:numCache>
            </c:numRef>
          </c:xVal>
          <c:yVal>
            <c:numRef>
              <c:f>ChaCha!$P$43:$Z$43</c:f>
              <c:numCache>
                <c:formatCode>General</c:formatCode>
                <c:ptCount val="11"/>
                <c:pt idx="0" formatCode="0">
                  <c:v>17162.694543043257</c:v>
                </c:pt>
                <c:pt idx="10" formatCode="0">
                  <c:v>-3802.9956703202406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203.15856500000001</c:v>
                </c:pt>
                <c:pt idx="10" formatCode="0.00">
                  <c:v>203.15856500000001</c:v>
                </c:pt>
              </c:numCache>
            </c:numRef>
          </c:xVal>
          <c:yVal>
            <c:numRef>
              <c:f>ChaCha!$P$41:$Z$41</c:f>
              <c:numCache>
                <c:formatCode>General</c:formatCode>
                <c:ptCount val="11"/>
                <c:pt idx="0" formatCode="0">
                  <c:v>20283.184459960212</c:v>
                </c:pt>
                <c:pt idx="10" formatCode="0">
                  <c:v>-4494.4494285602841</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CB8397B-A570-6A4B-9A0A-894BF17D717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724D8EDB-7375-CD44-8D88-64EA4508674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22E2F34B-21CC-A945-B014-180815189A3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E0371C5E-63BF-4342-9182-999D6970806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8A3D37A6-E70F-EF46-A8E1-CBFEAF969F9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74326F38-A33E-5441-AD70-2308B1B1AA3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C050B03E-E9BE-F147-B5B0-8CFC9466E65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06857D00-F274-3046-909A-AFE597537B0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09DC6D72-E914-9641-8789-D16D197E036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83D16228-04DE-2341-85BE-FE855C3DE79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54EE1657-7D57-A148-ADD7-A4145C6071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226.97</c:v>
                </c:pt>
                <c:pt idx="1">
                  <c:v>229.25</c:v>
                </c:pt>
                <c:pt idx="2">
                  <c:v>222.86</c:v>
                </c:pt>
                <c:pt idx="3">
                  <c:v>248.82</c:v>
                </c:pt>
                <c:pt idx="4">
                  <c:v>250.2</c:v>
                </c:pt>
                <c:pt idx="5">
                  <c:v>243.8064</c:v>
                </c:pt>
                <c:pt idx="6">
                  <c:v>244.56</c:v>
                </c:pt>
                <c:pt idx="7">
                  <c:v>234.69</c:v>
                </c:pt>
                <c:pt idx="8">
                  <c:v>222.55</c:v>
                </c:pt>
                <c:pt idx="9">
                  <c:v>221.18199999999999</c:v>
                </c:pt>
                <c:pt idx="10">
                  <c:v>221.18199999999999</c:v>
                </c:pt>
              </c:numCache>
            </c:numRef>
          </c:xVal>
          <c:yVal>
            <c:numRef>
              <c:f>ChaCha!$P$36:$Z$36</c:f>
              <c:numCache>
                <c:formatCode>0</c:formatCode>
                <c:ptCount val="11"/>
                <c:pt idx="0">
                  <c:v>646.80322829283557</c:v>
                </c:pt>
                <c:pt idx="1">
                  <c:v>804.33828055263507</c:v>
                </c:pt>
                <c:pt idx="2">
                  <c:v>1546.6069590193131</c:v>
                </c:pt>
                <c:pt idx="3">
                  <c:v>588.88536572625355</c:v>
                </c:pt>
                <c:pt idx="4">
                  <c:v>588.28303175384929</c:v>
                </c:pt>
                <c:pt idx="5">
                  <c:v>483.148590078143</c:v>
                </c:pt>
                <c:pt idx="6">
                  <c:v>541.56650073484013</c:v>
                </c:pt>
                <c:pt idx="7">
                  <c:v>577.92500827325421</c:v>
                </c:pt>
                <c:pt idx="8">
                  <c:v>0.64871596401412246</c:v>
                </c:pt>
                <c:pt idx="9">
                  <c:v>430.84117949580053</c:v>
                </c:pt>
                <c:pt idx="10">
                  <c:v>430.84117949580053</c:v>
                </c:pt>
              </c:numCache>
            </c:numRef>
          </c:yVal>
          <c:smooth val="1"/>
          <c:extLst>
            <c:ext xmlns:c15="http://schemas.microsoft.com/office/drawing/2012/chart" uri="{02D57815-91ED-43cb-92C2-25804820EDAC}">
              <c15:datalabelsRange>
                <c15:f>ChaCha!$P$33:$Z$33</c15:f>
                <c15:dlblRangeCache>
                  <c:ptCount val="11"/>
                  <c:pt idx="0">
                    <c:v>5-Nov</c:v>
                  </c:pt>
                  <c:pt idx="10">
                    <c:v>19-Nov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226.97</c:v>
                </c:pt>
                <c:pt idx="1">
                  <c:v>229.25</c:v>
                </c:pt>
                <c:pt idx="2">
                  <c:v>222.86</c:v>
                </c:pt>
                <c:pt idx="3">
                  <c:v>248.82</c:v>
                </c:pt>
                <c:pt idx="4">
                  <c:v>250.2</c:v>
                </c:pt>
                <c:pt idx="5">
                  <c:v>243.8064</c:v>
                </c:pt>
                <c:pt idx="6">
                  <c:v>244.56</c:v>
                </c:pt>
                <c:pt idx="7">
                  <c:v>234.69</c:v>
                </c:pt>
                <c:pt idx="8">
                  <c:v>222.55</c:v>
                </c:pt>
                <c:pt idx="9">
                  <c:v>221.18199999999999</c:v>
                </c:pt>
                <c:pt idx="10">
                  <c:v>221.18199999999999</c:v>
                </c:pt>
              </c:numCache>
            </c:numRef>
          </c:xVal>
          <c:yVal>
            <c:numRef>
              <c:f>ChaCha!$P$60:$Z$60</c:f>
              <c:numCache>
                <c:formatCode>0%</c:formatCode>
                <c:ptCount val="11"/>
                <c:pt idx="0">
                  <c:v>780.12247922923893</c:v>
                </c:pt>
                <c:pt idx="1">
                  <c:v>780.12247922923893</c:v>
                </c:pt>
                <c:pt idx="2">
                  <c:v>780.12247922923893</c:v>
                </c:pt>
                <c:pt idx="3">
                  <c:v>780.12247922923893</c:v>
                </c:pt>
                <c:pt idx="4">
                  <c:v>780.12247922923893</c:v>
                </c:pt>
                <c:pt idx="5">
                  <c:v>780.12247922923893</c:v>
                </c:pt>
                <c:pt idx="6">
                  <c:v>780.12247922923893</c:v>
                </c:pt>
                <c:pt idx="7">
                  <c:v>780.12247922923893</c:v>
                </c:pt>
                <c:pt idx="8">
                  <c:v>780.12247922923893</c:v>
                </c:pt>
                <c:pt idx="9">
                  <c:v>780.12247922923893</c:v>
                </c:pt>
                <c:pt idx="10">
                  <c:v>780.12247922923893</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52.702"/>
          <c:min val="212.86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AMZN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216.39</c:v>
                </c:pt>
                <c:pt idx="1">
                  <c:v>215.16</c:v>
                </c:pt>
                <c:pt idx="2">
                  <c:v>214.47</c:v>
                </c:pt>
                <c:pt idx="3">
                  <c:v>213.04</c:v>
                </c:pt>
                <c:pt idx="4">
                  <c:v>216.48</c:v>
                </c:pt>
                <c:pt idx="5">
                  <c:v>222.03</c:v>
                </c:pt>
                <c:pt idx="6">
                  <c:v>217.95</c:v>
                </c:pt>
                <c:pt idx="7">
                  <c:v>217.95</c:v>
                </c:pt>
                <c:pt idx="8">
                  <c:v>221.09</c:v>
                </c:pt>
                <c:pt idx="9">
                  <c:v>224.21</c:v>
                </c:pt>
                <c:pt idx="10">
                  <c:v>226.97</c:v>
                </c:pt>
                <c:pt idx="11">
                  <c:v>229.25</c:v>
                </c:pt>
                <c:pt idx="12">
                  <c:v>222.86</c:v>
                </c:pt>
                <c:pt idx="13">
                  <c:v>248.82</c:v>
                </c:pt>
                <c:pt idx="14">
                  <c:v>250.2</c:v>
                </c:pt>
                <c:pt idx="15">
                  <c:v>243.8064</c:v>
                </c:pt>
                <c:pt idx="16">
                  <c:v>244.56</c:v>
                </c:pt>
                <c:pt idx="17">
                  <c:v>234.69</c:v>
                </c:pt>
                <c:pt idx="18">
                  <c:v>222.55</c:v>
                </c:pt>
                <c:pt idx="19">
                  <c:v>221.18199999999999</c:v>
                </c:pt>
                <c:pt idx="20">
                  <c:v>221.18199999999999</c:v>
                </c:pt>
              </c:numCache>
            </c:numRef>
          </c:xVal>
          <c:yVal>
            <c:numRef>
              <c:f>ChaCha!$F$35:$Z$35</c:f>
              <c:numCache>
                <c:formatCode>0</c:formatCode>
                <c:ptCount val="21"/>
                <c:pt idx="0">
                  <c:v>-1304.5208097671334</c:v>
                </c:pt>
                <c:pt idx="1">
                  <c:v>-443.42161719389941</c:v>
                </c:pt>
                <c:pt idx="2">
                  <c:v>-398.09650115068058</c:v>
                </c:pt>
                <c:pt idx="3">
                  <c:v>-520.18566915005647</c:v>
                </c:pt>
                <c:pt idx="4">
                  <c:v>1259.6637672114523</c:v>
                </c:pt>
                <c:pt idx="5">
                  <c:v>1999.9999999999998</c:v>
                </c:pt>
                <c:pt idx="6">
                  <c:v>-1433.5530678316493</c:v>
                </c:pt>
                <c:pt idx="7">
                  <c:v>-1433.5530678316493</c:v>
                </c:pt>
                <c:pt idx="8">
                  <c:v>1123.9224558255646</c:v>
                </c:pt>
                <c:pt idx="9">
                  <c:v>1100.908842688302</c:v>
                </c:pt>
                <c:pt idx="10">
                  <c:v>960.33077193119323</c:v>
                </c:pt>
                <c:pt idx="11">
                  <c:v>783.63303038577044</c:v>
                </c:pt>
                <c:pt idx="12">
                  <c:v>-2520.2636813979793</c:v>
                </c:pt>
                <c:pt idx="13">
                  <c:v>-1590.98178414011</c:v>
                </c:pt>
                <c:pt idx="14">
                  <c:v>275.38323516792133</c:v>
                </c:pt>
                <c:pt idx="15">
                  <c:v>-1993.5249834223973</c:v>
                </c:pt>
                <c:pt idx="16">
                  <c:v>487.88859850996602</c:v>
                </c:pt>
                <c:pt idx="17">
                  <c:v>-948.94098373444615</c:v>
                </c:pt>
                <c:pt idx="18">
                  <c:v>-3457.2687912002184</c:v>
                </c:pt>
                <c:pt idx="19">
                  <c:v>-479.54128798221319</c:v>
                </c:pt>
                <c:pt idx="20">
                  <c:v>-479.54128798221319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216.39</c:v>
                </c:pt>
                <c:pt idx="1">
                  <c:v>215.16</c:v>
                </c:pt>
                <c:pt idx="2">
                  <c:v>214.47</c:v>
                </c:pt>
                <c:pt idx="3">
                  <c:v>213.04</c:v>
                </c:pt>
                <c:pt idx="4">
                  <c:v>216.48</c:v>
                </c:pt>
                <c:pt idx="5">
                  <c:v>222.03</c:v>
                </c:pt>
                <c:pt idx="6">
                  <c:v>217.95</c:v>
                </c:pt>
                <c:pt idx="7">
                  <c:v>217.95</c:v>
                </c:pt>
                <c:pt idx="8">
                  <c:v>221.09</c:v>
                </c:pt>
                <c:pt idx="9">
                  <c:v>224.21</c:v>
                </c:pt>
                <c:pt idx="10">
                  <c:v>226.97</c:v>
                </c:pt>
                <c:pt idx="11">
                  <c:v>229.25</c:v>
                </c:pt>
                <c:pt idx="12">
                  <c:v>222.86</c:v>
                </c:pt>
                <c:pt idx="13">
                  <c:v>248.82</c:v>
                </c:pt>
                <c:pt idx="14">
                  <c:v>250.2</c:v>
                </c:pt>
                <c:pt idx="15">
                  <c:v>243.8064</c:v>
                </c:pt>
                <c:pt idx="16">
                  <c:v>244.56</c:v>
                </c:pt>
                <c:pt idx="17">
                  <c:v>234.69</c:v>
                </c:pt>
                <c:pt idx="18">
                  <c:v>222.55</c:v>
                </c:pt>
                <c:pt idx="19">
                  <c:v>221.18199999999999</c:v>
                </c:pt>
                <c:pt idx="20">
                  <c:v>221.18199999999999</c:v>
                </c:pt>
              </c:numCache>
            </c:numRef>
          </c:xVal>
          <c:yVal>
            <c:numRef>
              <c:f>ChaCha!$F$36:$Z$36</c:f>
              <c:numCache>
                <c:formatCode>0</c:formatCode>
                <c:ptCount val="21"/>
                <c:pt idx="0">
                  <c:v>739.02772629320259</c:v>
                </c:pt>
                <c:pt idx="1">
                  <c:v>15602.449584584778</c:v>
                </c:pt>
                <c:pt idx="2">
                  <c:v>698.46891835632675</c:v>
                </c:pt>
                <c:pt idx="3">
                  <c:v>758.44868530312635</c:v>
                </c:pt>
                <c:pt idx="4">
                  <c:v>622.61511091979401</c:v>
                </c:pt>
                <c:pt idx="5">
                  <c:v>792.02242944902912</c:v>
                </c:pt>
                <c:pt idx="6">
                  <c:v>703.7020321224212</c:v>
                </c:pt>
                <c:pt idx="7">
                  <c:v>703.83085796747605</c:v>
                </c:pt>
                <c:pt idx="8">
                  <c:v>506.45899222417705</c:v>
                </c:pt>
                <c:pt idx="9">
                  <c:v>624.82864849529733</c:v>
                </c:pt>
                <c:pt idx="10">
                  <c:v>646.80322829283557</c:v>
                </c:pt>
                <c:pt idx="11">
                  <c:v>804.33828055263507</c:v>
                </c:pt>
                <c:pt idx="12">
                  <c:v>1546.6069590193131</c:v>
                </c:pt>
                <c:pt idx="13">
                  <c:v>588.88536572625355</c:v>
                </c:pt>
                <c:pt idx="14">
                  <c:v>588.28303175384929</c:v>
                </c:pt>
                <c:pt idx="15">
                  <c:v>483.148590078143</c:v>
                </c:pt>
                <c:pt idx="16">
                  <c:v>541.56650073484013</c:v>
                </c:pt>
                <c:pt idx="17">
                  <c:v>577.92500827325421</c:v>
                </c:pt>
                <c:pt idx="18">
                  <c:v>0.64871596401412246</c:v>
                </c:pt>
                <c:pt idx="19">
                  <c:v>430.84117949580053</c:v>
                </c:pt>
                <c:pt idx="20">
                  <c:v>430.84117949580053</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221.51499999999999</c:v>
                </c:pt>
                <c:pt idx="10">
                  <c:v>221.51499999999999</c:v>
                </c:pt>
                <c:pt idx="20">
                  <c:v>221.51499999999999</c:v>
                </c:pt>
              </c:numCache>
            </c:numRef>
          </c:xVal>
          <c:yVal>
            <c:numRef>
              <c:f>ChaCha!$F$41:$Z$41</c:f>
              <c:numCache>
                <c:formatCode>General</c:formatCode>
                <c:ptCount val="21"/>
                <c:pt idx="0" formatCode="0">
                  <c:v>20283.184459960212</c:v>
                </c:pt>
                <c:pt idx="10" formatCode="0">
                  <c:v>20283.184459960212</c:v>
                </c:pt>
                <c:pt idx="20" formatCode="0">
                  <c:v>-4494.4494285602841</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215.02</c:v>
                </c:pt>
                <c:pt idx="10">
                  <c:v>215.02</c:v>
                </c:pt>
                <c:pt idx="20">
                  <c:v>215.02</c:v>
                </c:pt>
              </c:numCache>
            </c:numRef>
          </c:xVal>
          <c:yVal>
            <c:numRef>
              <c:f>ChaCha!$F$41:$Z$41</c:f>
              <c:numCache>
                <c:formatCode>General</c:formatCode>
                <c:ptCount val="21"/>
                <c:pt idx="0" formatCode="0">
                  <c:v>20283.184459960212</c:v>
                </c:pt>
                <c:pt idx="10" formatCode="0">
                  <c:v>20283.184459960212</c:v>
                </c:pt>
                <c:pt idx="20" formatCode="0">
                  <c:v>-4494.4494285602841</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166.94</c:v>
                </c:pt>
                <c:pt idx="10">
                  <c:v>166.94</c:v>
                </c:pt>
                <c:pt idx="20">
                  <c:v>166.94</c:v>
                </c:pt>
              </c:numCache>
            </c:numRef>
          </c:xVal>
          <c:yVal>
            <c:numRef>
              <c:f>ChaCha!$F$42:$Z$42</c:f>
              <c:numCache>
                <c:formatCode>General</c:formatCode>
                <c:ptCount val="21"/>
                <c:pt idx="0" formatCode="0">
                  <c:v>18722.939501501733</c:v>
                </c:pt>
                <c:pt idx="10" formatCode="0">
                  <c:v>18722.939501501733</c:v>
                </c:pt>
                <c:pt idx="20" formatCode="0">
                  <c:v>-4148.7225494402619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236.70750000000001</c:v>
                </c:pt>
                <c:pt idx="10">
                  <c:v>236.70750000000001</c:v>
                </c:pt>
                <c:pt idx="20">
                  <c:v>236.70750000000001</c:v>
                </c:pt>
              </c:numCache>
            </c:numRef>
          </c:xVal>
          <c:yVal>
            <c:numRef>
              <c:f>ChaCha!$F$42:$Z$42</c:f>
              <c:numCache>
                <c:formatCode>General</c:formatCode>
                <c:ptCount val="21"/>
                <c:pt idx="0" formatCode="0">
                  <c:v>18722.939501501733</c:v>
                </c:pt>
                <c:pt idx="10" formatCode="0">
                  <c:v>18722.939501501733</c:v>
                </c:pt>
                <c:pt idx="20" formatCode="0">
                  <c:v>-4148.7225494402619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234.24</c:v>
                </c:pt>
                <c:pt idx="10">
                  <c:v>234.24</c:v>
                </c:pt>
                <c:pt idx="20">
                  <c:v>234.24</c:v>
                </c:pt>
              </c:numCache>
            </c:numRef>
          </c:xVal>
          <c:yVal>
            <c:numRef>
              <c:f>ChaCha!$F$43:$Z$43</c:f>
              <c:numCache>
                <c:formatCode>General</c:formatCode>
                <c:ptCount val="21"/>
                <c:pt idx="0" formatCode="0">
                  <c:v>17162.694543043257</c:v>
                </c:pt>
                <c:pt idx="10" formatCode="0">
                  <c:v>17162.694543043257</c:v>
                </c:pt>
                <c:pt idx="20" formatCode="0">
                  <c:v>-3802.9956703202406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132.55000000000001</c:v>
                </c:pt>
                <c:pt idx="10">
                  <c:v>132.55000000000001</c:v>
                </c:pt>
                <c:pt idx="20">
                  <c:v>132.55000000000001</c:v>
                </c:pt>
              </c:numCache>
            </c:numRef>
          </c:xVal>
          <c:yVal>
            <c:numRef>
              <c:f>ChaCha!$F$43:$Z$43</c:f>
              <c:numCache>
                <c:formatCode>General</c:formatCode>
                <c:ptCount val="21"/>
                <c:pt idx="0" formatCode="0">
                  <c:v>17162.694543043257</c:v>
                </c:pt>
                <c:pt idx="10" formatCode="0">
                  <c:v>17162.694543043257</c:v>
                </c:pt>
                <c:pt idx="20" formatCode="0">
                  <c:v>-3802.9956703202406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221.18199999999999</c:v>
                </c:pt>
                <c:pt idx="10">
                  <c:v>221.18199999999999</c:v>
                </c:pt>
                <c:pt idx="20">
                  <c:v>221.18199999999999</c:v>
                </c:pt>
              </c:numCache>
            </c:numRef>
          </c:xVal>
          <c:yVal>
            <c:numRef>
              <c:f>ChaCha!$F$41:$Z$41</c:f>
              <c:numCache>
                <c:formatCode>General</c:formatCode>
                <c:ptCount val="21"/>
                <c:pt idx="0" formatCode="0">
                  <c:v>20283.184459960212</c:v>
                </c:pt>
                <c:pt idx="10" formatCode="0">
                  <c:v>20283.184459960212</c:v>
                </c:pt>
                <c:pt idx="20" formatCode="0">
                  <c:v>-4494.4494285602841</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52.702"/>
          <c:min val="131.2245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216.39</c:v>
                </c:pt>
                <c:pt idx="1">
                  <c:v>215.16</c:v>
                </c:pt>
                <c:pt idx="2">
                  <c:v>214.47</c:v>
                </c:pt>
                <c:pt idx="3">
                  <c:v>213.04</c:v>
                </c:pt>
                <c:pt idx="4">
                  <c:v>216.48</c:v>
                </c:pt>
                <c:pt idx="5">
                  <c:v>222.03</c:v>
                </c:pt>
                <c:pt idx="6">
                  <c:v>217.95</c:v>
                </c:pt>
                <c:pt idx="7">
                  <c:v>217.95</c:v>
                </c:pt>
                <c:pt idx="8">
                  <c:v>221.09</c:v>
                </c:pt>
                <c:pt idx="9">
                  <c:v>224.21</c:v>
                </c:pt>
                <c:pt idx="10">
                  <c:v>226.97</c:v>
                </c:pt>
                <c:pt idx="11">
                  <c:v>229.25</c:v>
                </c:pt>
                <c:pt idx="12">
                  <c:v>222.86</c:v>
                </c:pt>
                <c:pt idx="13">
                  <c:v>248.82</c:v>
                </c:pt>
                <c:pt idx="14">
                  <c:v>250.2</c:v>
                </c:pt>
                <c:pt idx="15">
                  <c:v>243.8064</c:v>
                </c:pt>
                <c:pt idx="16">
                  <c:v>244.56</c:v>
                </c:pt>
                <c:pt idx="17">
                  <c:v>234.69</c:v>
                </c:pt>
                <c:pt idx="18">
                  <c:v>222.55</c:v>
                </c:pt>
                <c:pt idx="19">
                  <c:v>221.18199999999999</c:v>
                </c:pt>
                <c:pt idx="20">
                  <c:v>221.18199999999999</c:v>
                </c:pt>
              </c:numCache>
            </c:numRef>
          </c:xVal>
          <c:yVal>
            <c:numRef>
              <c:f>ChaCha!$F$35:$Z$35</c:f>
              <c:numCache>
                <c:formatCode>0</c:formatCode>
                <c:ptCount val="21"/>
                <c:pt idx="0">
                  <c:v>-1304.5208097671334</c:v>
                </c:pt>
                <c:pt idx="1">
                  <c:v>-443.42161719389941</c:v>
                </c:pt>
                <c:pt idx="2">
                  <c:v>-398.09650115068058</c:v>
                </c:pt>
                <c:pt idx="3">
                  <c:v>-520.18566915005647</c:v>
                </c:pt>
                <c:pt idx="4">
                  <c:v>1259.6637672114523</c:v>
                </c:pt>
                <c:pt idx="5">
                  <c:v>1999.9999999999998</c:v>
                </c:pt>
                <c:pt idx="6">
                  <c:v>-1433.5530678316493</c:v>
                </c:pt>
                <c:pt idx="7">
                  <c:v>-1433.5530678316493</c:v>
                </c:pt>
                <c:pt idx="8">
                  <c:v>1123.9224558255646</c:v>
                </c:pt>
                <c:pt idx="9">
                  <c:v>1100.908842688302</c:v>
                </c:pt>
                <c:pt idx="10">
                  <c:v>960.33077193119323</c:v>
                </c:pt>
                <c:pt idx="11">
                  <c:v>783.63303038577044</c:v>
                </c:pt>
                <c:pt idx="12">
                  <c:v>-2520.2636813979793</c:v>
                </c:pt>
                <c:pt idx="13">
                  <c:v>-1590.98178414011</c:v>
                </c:pt>
                <c:pt idx="14">
                  <c:v>275.38323516792133</c:v>
                </c:pt>
                <c:pt idx="15">
                  <c:v>-1993.5249834223973</c:v>
                </c:pt>
                <c:pt idx="16">
                  <c:v>487.88859850996602</c:v>
                </c:pt>
                <c:pt idx="17">
                  <c:v>-948.94098373444615</c:v>
                </c:pt>
                <c:pt idx="18">
                  <c:v>-3457.2687912002184</c:v>
                </c:pt>
                <c:pt idx="19">
                  <c:v>-479.54128798221319</c:v>
                </c:pt>
                <c:pt idx="20">
                  <c:v>-479.54128798221319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221.51499999999999</c:v>
                </c:pt>
                <c:pt idx="10">
                  <c:v>221.51499999999999</c:v>
                </c:pt>
                <c:pt idx="20">
                  <c:v>221.51499999999999</c:v>
                </c:pt>
              </c:numCache>
            </c:numRef>
          </c:xVal>
          <c:yVal>
            <c:numRef>
              <c:f>ChaCha!$F$41:$Z$41</c:f>
              <c:numCache>
                <c:formatCode>General</c:formatCode>
                <c:ptCount val="21"/>
                <c:pt idx="0" formatCode="0">
                  <c:v>20283.184459960212</c:v>
                </c:pt>
                <c:pt idx="10" formatCode="0">
                  <c:v>20283.184459960212</c:v>
                </c:pt>
                <c:pt idx="20" formatCode="0">
                  <c:v>-4494.4494285602841</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215.02</c:v>
                </c:pt>
                <c:pt idx="10">
                  <c:v>215.02</c:v>
                </c:pt>
                <c:pt idx="20">
                  <c:v>215.02</c:v>
                </c:pt>
              </c:numCache>
            </c:numRef>
          </c:xVal>
          <c:yVal>
            <c:numRef>
              <c:f>ChaCha!$F$41:$Z$41</c:f>
              <c:numCache>
                <c:formatCode>General</c:formatCode>
                <c:ptCount val="21"/>
                <c:pt idx="0" formatCode="0">
                  <c:v>20283.184459960212</c:v>
                </c:pt>
                <c:pt idx="10" formatCode="0">
                  <c:v>20283.184459960212</c:v>
                </c:pt>
                <c:pt idx="20" formatCode="0">
                  <c:v>-4494.4494285602841</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166.94</c:v>
                </c:pt>
                <c:pt idx="10">
                  <c:v>166.94</c:v>
                </c:pt>
                <c:pt idx="20">
                  <c:v>166.94</c:v>
                </c:pt>
              </c:numCache>
            </c:numRef>
          </c:xVal>
          <c:yVal>
            <c:numRef>
              <c:f>ChaCha!$F$42:$Z$42</c:f>
              <c:numCache>
                <c:formatCode>General</c:formatCode>
                <c:ptCount val="21"/>
                <c:pt idx="0" formatCode="0">
                  <c:v>18722.939501501733</c:v>
                </c:pt>
                <c:pt idx="10" formatCode="0">
                  <c:v>18722.939501501733</c:v>
                </c:pt>
                <c:pt idx="20" formatCode="0">
                  <c:v>-4148.7225494402619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236.70750000000001</c:v>
                </c:pt>
                <c:pt idx="10">
                  <c:v>236.70750000000001</c:v>
                </c:pt>
                <c:pt idx="20">
                  <c:v>236.70750000000001</c:v>
                </c:pt>
              </c:numCache>
            </c:numRef>
          </c:xVal>
          <c:yVal>
            <c:numRef>
              <c:f>ChaCha!$F$42:$Z$42</c:f>
              <c:numCache>
                <c:formatCode>General</c:formatCode>
                <c:ptCount val="21"/>
                <c:pt idx="0" formatCode="0">
                  <c:v>18722.939501501733</c:v>
                </c:pt>
                <c:pt idx="10" formatCode="0">
                  <c:v>18722.939501501733</c:v>
                </c:pt>
                <c:pt idx="20" formatCode="0">
                  <c:v>-4148.7225494402619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234.24</c:v>
                </c:pt>
                <c:pt idx="10">
                  <c:v>234.24</c:v>
                </c:pt>
                <c:pt idx="20">
                  <c:v>234.24</c:v>
                </c:pt>
              </c:numCache>
            </c:numRef>
          </c:xVal>
          <c:yVal>
            <c:numRef>
              <c:f>ChaCha!$F$43:$Z$43</c:f>
              <c:numCache>
                <c:formatCode>General</c:formatCode>
                <c:ptCount val="21"/>
                <c:pt idx="0" formatCode="0">
                  <c:v>17162.694543043257</c:v>
                </c:pt>
                <c:pt idx="10" formatCode="0">
                  <c:v>17162.694543043257</c:v>
                </c:pt>
                <c:pt idx="20" formatCode="0">
                  <c:v>-3802.9956703202406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221.18199999999999</c:v>
                </c:pt>
                <c:pt idx="10">
                  <c:v>221.18199999999999</c:v>
                </c:pt>
                <c:pt idx="20">
                  <c:v>221.18199999999999</c:v>
                </c:pt>
              </c:numCache>
            </c:numRef>
          </c:xVal>
          <c:yVal>
            <c:numRef>
              <c:f>ChaCha!$F$43:$Z$43</c:f>
              <c:numCache>
                <c:formatCode>General</c:formatCode>
                <c:ptCount val="21"/>
                <c:pt idx="0" formatCode="0">
                  <c:v>17162.694543043257</c:v>
                </c:pt>
                <c:pt idx="10" formatCode="0">
                  <c:v>17162.694543043257</c:v>
                </c:pt>
                <c:pt idx="20" formatCode="0">
                  <c:v>-3802.9956703202406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216.39</c:v>
                </c:pt>
                <c:pt idx="1">
                  <c:v>215.16</c:v>
                </c:pt>
                <c:pt idx="2">
                  <c:v>214.47</c:v>
                </c:pt>
                <c:pt idx="3">
                  <c:v>213.04</c:v>
                </c:pt>
                <c:pt idx="4">
                  <c:v>216.48</c:v>
                </c:pt>
                <c:pt idx="5">
                  <c:v>222.03</c:v>
                </c:pt>
                <c:pt idx="6">
                  <c:v>217.95</c:v>
                </c:pt>
                <c:pt idx="7">
                  <c:v>217.95</c:v>
                </c:pt>
                <c:pt idx="8">
                  <c:v>221.09</c:v>
                </c:pt>
                <c:pt idx="9">
                  <c:v>224.21</c:v>
                </c:pt>
                <c:pt idx="10">
                  <c:v>226.97</c:v>
                </c:pt>
                <c:pt idx="11">
                  <c:v>229.25</c:v>
                </c:pt>
                <c:pt idx="12">
                  <c:v>222.86</c:v>
                </c:pt>
                <c:pt idx="13">
                  <c:v>248.82</c:v>
                </c:pt>
                <c:pt idx="14">
                  <c:v>250.2</c:v>
                </c:pt>
                <c:pt idx="15">
                  <c:v>243.8064</c:v>
                </c:pt>
                <c:pt idx="16">
                  <c:v>244.56</c:v>
                </c:pt>
                <c:pt idx="17">
                  <c:v>234.69</c:v>
                </c:pt>
                <c:pt idx="18">
                  <c:v>222.55</c:v>
                </c:pt>
                <c:pt idx="19">
                  <c:v>221.18199999999999</c:v>
                </c:pt>
                <c:pt idx="20">
                  <c:v>221.18199999999999</c:v>
                </c:pt>
              </c:numCache>
            </c:numRef>
          </c:xVal>
          <c:yVal>
            <c:numRef>
              <c:f>ChaCha!$F$36:$Z$36</c:f>
              <c:numCache>
                <c:formatCode>0</c:formatCode>
                <c:ptCount val="21"/>
                <c:pt idx="0">
                  <c:v>739.02772629320259</c:v>
                </c:pt>
                <c:pt idx="1">
                  <c:v>15602.449584584778</c:v>
                </c:pt>
                <c:pt idx="2">
                  <c:v>698.46891835632675</c:v>
                </c:pt>
                <c:pt idx="3">
                  <c:v>758.44868530312635</c:v>
                </c:pt>
                <c:pt idx="4">
                  <c:v>622.61511091979401</c:v>
                </c:pt>
                <c:pt idx="5">
                  <c:v>792.02242944902912</c:v>
                </c:pt>
                <c:pt idx="6">
                  <c:v>703.7020321224212</c:v>
                </c:pt>
                <c:pt idx="7">
                  <c:v>703.83085796747605</c:v>
                </c:pt>
                <c:pt idx="8">
                  <c:v>506.45899222417705</c:v>
                </c:pt>
                <c:pt idx="9">
                  <c:v>624.82864849529733</c:v>
                </c:pt>
                <c:pt idx="10">
                  <c:v>646.80322829283557</c:v>
                </c:pt>
                <c:pt idx="11">
                  <c:v>804.33828055263507</c:v>
                </c:pt>
                <c:pt idx="12">
                  <c:v>1546.6069590193131</c:v>
                </c:pt>
                <c:pt idx="13">
                  <c:v>588.88536572625355</c:v>
                </c:pt>
                <c:pt idx="14">
                  <c:v>588.28303175384929</c:v>
                </c:pt>
                <c:pt idx="15">
                  <c:v>483.148590078143</c:v>
                </c:pt>
                <c:pt idx="16">
                  <c:v>541.56650073484013</c:v>
                </c:pt>
                <c:pt idx="17">
                  <c:v>577.92500827325421</c:v>
                </c:pt>
                <c:pt idx="18">
                  <c:v>0.64871596401412246</c:v>
                </c:pt>
                <c:pt idx="19">
                  <c:v>430.84117949580053</c:v>
                </c:pt>
                <c:pt idx="20">
                  <c:v>430.84117949580053</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203.15856500000001</c:v>
                </c:pt>
                <c:pt idx="10" formatCode="0.00">
                  <c:v>203.15856500000001</c:v>
                </c:pt>
                <c:pt idx="20" formatCode="0.00">
                  <c:v>203.15856500000001</c:v>
                </c:pt>
              </c:numCache>
            </c:numRef>
          </c:xVal>
          <c:yVal>
            <c:numRef>
              <c:f>ChaCha!$F$43:$Z$43</c:f>
              <c:numCache>
                <c:formatCode>General</c:formatCode>
                <c:ptCount val="21"/>
                <c:pt idx="0" formatCode="0">
                  <c:v>17162.694543043257</c:v>
                </c:pt>
                <c:pt idx="10" formatCode="0">
                  <c:v>17162.694543043257</c:v>
                </c:pt>
                <c:pt idx="20" formatCode="0">
                  <c:v>-3802.9956703202406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52.702"/>
          <c:min val="165.27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203.15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12000 x A=203.15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12000 x A=203.15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12000 x A=203.15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45980.727392904686</v>
          </cell>
        </row>
        <row r="3">
          <cell r="A3" t="str">
            <v>AAPL</v>
          </cell>
          <cell r="D3" t="str">
            <v>USD</v>
          </cell>
          <cell r="E3">
            <v>45980.727273888282</v>
          </cell>
          <cell r="F3">
            <v>267.44</v>
          </cell>
          <cell r="G3">
            <v>265.5</v>
          </cell>
          <cell r="H3">
            <v>270.02999999999997</v>
          </cell>
          <cell r="I3">
            <v>265.5</v>
          </cell>
          <cell r="J3">
            <v>272.20999999999998</v>
          </cell>
          <cell r="K3">
            <v>36.3598</v>
          </cell>
          <cell r="L3">
            <v>2.59</v>
          </cell>
          <cell r="M3">
            <v>9.6839999999999999E-3</v>
          </cell>
          <cell r="N3">
            <v>169.21010000000001</v>
          </cell>
          <cell r="O3">
            <v>277.32</v>
          </cell>
          <cell r="P3">
            <v>15109120</v>
          </cell>
          <cell r="Q3">
            <v>49432641</v>
          </cell>
          <cell r="R3">
            <v>1.1049</v>
          </cell>
        </row>
        <row r="4">
          <cell r="A4" t="str">
            <v>ADEA</v>
          </cell>
          <cell r="D4" t="str">
            <v>USD</v>
          </cell>
          <cell r="E4">
            <v>45980.727346041407</v>
          </cell>
          <cell r="F4">
            <v>12.35</v>
          </cell>
          <cell r="G4">
            <v>12.39</v>
          </cell>
          <cell r="H4">
            <v>12.26</v>
          </cell>
          <cell r="I4">
            <v>12.12</v>
          </cell>
          <cell r="J4">
            <v>12.445</v>
          </cell>
          <cell r="K4">
            <v>18.890599999999999</v>
          </cell>
          <cell r="L4">
            <v>-0.09</v>
          </cell>
          <cell r="M4">
            <v>-7.2870000000000001E-3</v>
          </cell>
          <cell r="N4">
            <v>10.59</v>
          </cell>
          <cell r="O4">
            <v>18.25</v>
          </cell>
          <cell r="P4">
            <v>234513</v>
          </cell>
          <cell r="Q4">
            <v>874950</v>
          </cell>
          <cell r="R4">
            <v>2.4336000000000002</v>
          </cell>
        </row>
        <row r="5">
          <cell r="A5" t="str">
            <v>AET</v>
          </cell>
          <cell r="D5" t="str">
            <v>GBp</v>
          </cell>
          <cell r="E5">
            <v>45980.691934432813</v>
          </cell>
          <cell r="F5">
            <v>45</v>
          </cell>
          <cell r="G5">
            <v>46.6</v>
          </cell>
          <cell r="H5">
            <v>45</v>
          </cell>
          <cell r="I5">
            <v>44</v>
          </cell>
          <cell r="J5">
            <v>46.6</v>
          </cell>
          <cell r="K5">
            <v>3.9062999999999999</v>
          </cell>
          <cell r="L5">
            <v>0</v>
          </cell>
          <cell r="M5">
            <v>0</v>
          </cell>
          <cell r="N5">
            <v>33.064999999999998</v>
          </cell>
          <cell r="O5">
            <v>56.2</v>
          </cell>
          <cell r="P5">
            <v>569595</v>
          </cell>
          <cell r="Q5">
            <v>310980</v>
          </cell>
          <cell r="R5">
            <v>1.6225000000000001</v>
          </cell>
        </row>
        <row r="6">
          <cell r="A6" t="str">
            <v>AMZN</v>
          </cell>
          <cell r="D6" t="str">
            <v>USD</v>
          </cell>
          <cell r="E6">
            <v>45980.727355751565</v>
          </cell>
          <cell r="F6">
            <v>222.55</v>
          </cell>
          <cell r="G6">
            <v>223.59</v>
          </cell>
          <cell r="H6">
            <v>221.18199999999999</v>
          </cell>
          <cell r="I6">
            <v>218.53</v>
          </cell>
          <cell r="J6">
            <v>223.73500000000001</v>
          </cell>
          <cell r="K6">
            <v>31.244800000000001</v>
          </cell>
          <cell r="L6">
            <v>-1.3680000000000001</v>
          </cell>
          <cell r="M6">
            <v>-6.1470000000000006E-3</v>
          </cell>
          <cell r="N6">
            <v>161.38</v>
          </cell>
          <cell r="O6">
            <v>258.60000000000002</v>
          </cell>
          <cell r="P6">
            <v>29090882</v>
          </cell>
          <cell r="Q6">
            <v>52674749</v>
          </cell>
          <cell r="R6">
            <v>1.3831</v>
          </cell>
        </row>
        <row r="7">
          <cell r="A7" t="str">
            <v>ALDNE</v>
          </cell>
          <cell r="D7" t="str">
            <v>EUR</v>
          </cell>
          <cell r="E7">
            <v>45980.708333333336</v>
          </cell>
          <cell r="F7">
            <v>0.68</v>
          </cell>
          <cell r="G7">
            <v>0.68200000000000005</v>
          </cell>
          <cell r="H7">
            <v>0.68799999999999994</v>
          </cell>
          <cell r="I7">
            <v>0.66400000000000003</v>
          </cell>
          <cell r="J7">
            <v>0.68799999999999994</v>
          </cell>
          <cell r="K7">
            <v>0</v>
          </cell>
          <cell r="L7">
            <v>8.0000000000000002E-3</v>
          </cell>
          <cell r="M7">
            <v>1.1765000000000001E-2</v>
          </cell>
          <cell r="N7">
            <v>0.65</v>
          </cell>
          <cell r="O7">
            <v>1.53</v>
          </cell>
          <cell r="P7">
            <v>3776</v>
          </cell>
          <cell r="Q7">
            <v>6820</v>
          </cell>
          <cell r="R7">
            <v>0.97</v>
          </cell>
        </row>
        <row r="8">
          <cell r="A8" t="str">
            <v>ASML</v>
          </cell>
          <cell r="D8" t="str">
            <v>EUR</v>
          </cell>
          <cell r="E8">
            <v>45980.708333333336</v>
          </cell>
          <cell r="F8">
            <v>865.6</v>
          </cell>
          <cell r="G8">
            <v>861.1</v>
          </cell>
          <cell r="H8">
            <v>886.6</v>
          </cell>
          <cell r="I8">
            <v>857.3</v>
          </cell>
          <cell r="J8">
            <v>895.2</v>
          </cell>
          <cell r="K8">
            <v>34.042299999999997</v>
          </cell>
          <cell r="L8">
            <v>21</v>
          </cell>
          <cell r="M8">
            <v>2.4260999999999998E-2</v>
          </cell>
          <cell r="N8">
            <v>508.4</v>
          </cell>
          <cell r="O8">
            <v>938.6</v>
          </cell>
          <cell r="P8">
            <v>569186</v>
          </cell>
          <cell r="Q8">
            <v>557280</v>
          </cell>
          <cell r="R8">
            <v>2.1166999999999998</v>
          </cell>
        </row>
        <row r="9">
          <cell r="A9" t="str">
            <v>AVGO</v>
          </cell>
          <cell r="F9">
            <v>340.5</v>
          </cell>
          <cell r="G9">
            <v>340.7</v>
          </cell>
          <cell r="H9">
            <v>347.97</v>
          </cell>
          <cell r="I9">
            <v>337.8</v>
          </cell>
          <cell r="J9">
            <v>359.69</v>
          </cell>
          <cell r="K9">
            <v>89.200199999999995</v>
          </cell>
          <cell r="L9">
            <v>7.47</v>
          </cell>
          <cell r="M9">
            <v>2.1937999999999999E-2</v>
          </cell>
          <cell r="O9">
            <v>386.48</v>
          </cell>
          <cell r="P9">
            <v>9870639</v>
          </cell>
          <cell r="Q9">
            <v>19199725</v>
          </cell>
          <cell r="R9">
            <v>1.2342</v>
          </cell>
        </row>
        <row r="10">
          <cell r="A10" t="str">
            <v>AZN</v>
          </cell>
          <cell r="F10">
            <v>89.55</v>
          </cell>
          <cell r="G10">
            <v>89.52</v>
          </cell>
          <cell r="H10">
            <v>88.970100000000002</v>
          </cell>
          <cell r="I10">
            <v>88.85</v>
          </cell>
          <cell r="J10">
            <v>90.064999999999998</v>
          </cell>
          <cell r="K10">
            <v>29.558199999999999</v>
          </cell>
          <cell r="L10">
            <v>-0.57989999999999997</v>
          </cell>
          <cell r="M10">
            <v>-6.4759999999999991E-3</v>
          </cell>
          <cell r="N10">
            <v>61.24</v>
          </cell>
          <cell r="O10">
            <v>90.2667</v>
          </cell>
          <cell r="P10">
            <v>3728991</v>
          </cell>
          <cell r="Q10">
            <v>4462337</v>
          </cell>
          <cell r="R10">
            <v>0.30880000000000002</v>
          </cell>
        </row>
        <row r="11">
          <cell r="A11" t="str">
            <v>BLDP</v>
          </cell>
          <cell r="D11" t="str">
            <v>USD</v>
          </cell>
          <cell r="E11">
            <v>45980.727314385935</v>
          </cell>
          <cell r="F11">
            <v>2.89</v>
          </cell>
          <cell r="G11">
            <v>2.86</v>
          </cell>
          <cell r="H11">
            <v>2.8420000000000001</v>
          </cell>
          <cell r="I11">
            <v>2.7850000000000001</v>
          </cell>
          <cell r="J11">
            <v>2.89</v>
          </cell>
          <cell r="K11">
            <v>0</v>
          </cell>
          <cell r="L11">
            <v>-4.8000000000000001E-2</v>
          </cell>
          <cell r="M11">
            <v>-1.6608999999999999E-2</v>
          </cell>
          <cell r="N11">
            <v>1</v>
          </cell>
          <cell r="O11">
            <v>4.0999999999999996</v>
          </cell>
          <cell r="P11">
            <v>1386305</v>
          </cell>
          <cell r="Q11">
            <v>6790641</v>
          </cell>
          <cell r="R11">
            <v>1.7453000000000001</v>
          </cell>
        </row>
        <row r="12">
          <cell r="A12" t="str">
            <v>BMRA</v>
          </cell>
          <cell r="D12" t="str">
            <v>USD</v>
          </cell>
          <cell r="E12">
            <v>45980.719461457811</v>
          </cell>
          <cell r="F12">
            <v>2.25</v>
          </cell>
          <cell r="G12">
            <v>2.2599999999999998</v>
          </cell>
          <cell r="H12">
            <v>2.2149999999999999</v>
          </cell>
          <cell r="I12">
            <v>2.1879</v>
          </cell>
          <cell r="J12">
            <v>2.327</v>
          </cell>
          <cell r="K12">
            <v>0</v>
          </cell>
          <cell r="L12">
            <v>-3.5000000000000003E-2</v>
          </cell>
          <cell r="M12">
            <v>-1.5556E-2</v>
          </cell>
          <cell r="N12">
            <v>2.08</v>
          </cell>
          <cell r="O12">
            <v>10.16</v>
          </cell>
          <cell r="P12">
            <v>3231</v>
          </cell>
          <cell r="Q12">
            <v>195851</v>
          </cell>
          <cell r="R12">
            <v>9.7900000000000001E-2</v>
          </cell>
        </row>
        <row r="13">
          <cell r="A13" t="str">
            <v>C</v>
          </cell>
          <cell r="D13" t="str">
            <v>USD</v>
          </cell>
          <cell r="E13">
            <v>45980.727282267966</v>
          </cell>
          <cell r="F13">
            <v>98.32</v>
          </cell>
          <cell r="G13">
            <v>98.26</v>
          </cell>
          <cell r="H13">
            <v>99.6</v>
          </cell>
          <cell r="I13">
            <v>98.09</v>
          </cell>
          <cell r="J13">
            <v>100.5851</v>
          </cell>
          <cell r="K13">
            <v>14.001300000000001</v>
          </cell>
          <cell r="L13">
            <v>1.28</v>
          </cell>
          <cell r="M13">
            <v>1.3019000000000001E-2</v>
          </cell>
          <cell r="N13">
            <v>55.51</v>
          </cell>
          <cell r="O13">
            <v>105.59</v>
          </cell>
          <cell r="P13">
            <v>3598978</v>
          </cell>
          <cell r="Q13">
            <v>11904879</v>
          </cell>
          <cell r="R13">
            <v>1.1976</v>
          </cell>
        </row>
        <row r="14">
          <cell r="A14" t="str">
            <v>CSCO</v>
          </cell>
          <cell r="D14" t="str">
            <v>USD</v>
          </cell>
          <cell r="E14">
            <v>45980.727344305466</v>
          </cell>
          <cell r="F14">
            <v>77.37</v>
          </cell>
          <cell r="G14">
            <v>77.25</v>
          </cell>
          <cell r="H14">
            <v>78.273600000000002</v>
          </cell>
          <cell r="I14">
            <v>77.16</v>
          </cell>
          <cell r="J14">
            <v>78.84</v>
          </cell>
          <cell r="K14">
            <v>30.2729</v>
          </cell>
          <cell r="L14">
            <v>0.90359999999999996</v>
          </cell>
          <cell r="M14">
            <v>1.1679E-2</v>
          </cell>
          <cell r="N14">
            <v>52.11</v>
          </cell>
          <cell r="O14">
            <v>79.5</v>
          </cell>
          <cell r="P14">
            <v>9165480</v>
          </cell>
          <cell r="Q14">
            <v>22364036</v>
          </cell>
          <cell r="R14">
            <v>0.84370000000000001</v>
          </cell>
        </row>
        <row r="15">
          <cell r="A15" t="str">
            <v>CVS</v>
          </cell>
          <cell r="D15" t="str">
            <v>USD</v>
          </cell>
          <cell r="E15">
            <v>45980.727293332813</v>
          </cell>
          <cell r="F15">
            <v>77.94</v>
          </cell>
          <cell r="G15">
            <v>77.905000000000001</v>
          </cell>
          <cell r="H15">
            <v>76.42</v>
          </cell>
          <cell r="I15">
            <v>76.42</v>
          </cell>
          <cell r="J15">
            <v>78.17</v>
          </cell>
          <cell r="K15">
            <v>200.20959999999999</v>
          </cell>
          <cell r="L15">
            <v>-1.52</v>
          </cell>
          <cell r="M15">
            <v>-1.9501999999999999E-2</v>
          </cell>
          <cell r="N15">
            <v>43.56</v>
          </cell>
          <cell r="O15">
            <v>85.15</v>
          </cell>
          <cell r="P15">
            <v>2203348</v>
          </cell>
          <cell r="Q15">
            <v>7675262</v>
          </cell>
          <cell r="R15">
            <v>0.47970000000000002</v>
          </cell>
        </row>
        <row r="16">
          <cell r="A16" t="str">
            <v>DDD</v>
          </cell>
          <cell r="D16" t="str">
            <v>USD</v>
          </cell>
          <cell r="E16">
            <v>45980.727311353905</v>
          </cell>
          <cell r="F16">
            <v>2.08</v>
          </cell>
          <cell r="G16">
            <v>2.1</v>
          </cell>
          <cell r="H16">
            <v>2.0449999999999999</v>
          </cell>
          <cell r="I16">
            <v>2.04</v>
          </cell>
          <cell r="J16">
            <v>2.1899000000000002</v>
          </cell>
          <cell r="K16">
            <v>0</v>
          </cell>
          <cell r="L16">
            <v>-3.5000000000000003E-2</v>
          </cell>
          <cell r="M16">
            <v>-1.6827000000000002E-2</v>
          </cell>
          <cell r="N16">
            <v>1.32</v>
          </cell>
          <cell r="O16">
            <v>4.9991000000000003</v>
          </cell>
          <cell r="P16">
            <v>740466</v>
          </cell>
          <cell r="Q16">
            <v>3699877</v>
          </cell>
          <cell r="R16">
            <v>1.9366000000000001</v>
          </cell>
        </row>
        <row r="17">
          <cell r="A17" t="str">
            <v>DIS</v>
          </cell>
          <cell r="D17" t="str">
            <v>USD</v>
          </cell>
          <cell r="E17">
            <v>45980.72734399297</v>
          </cell>
          <cell r="F17">
            <v>106.28</v>
          </cell>
          <cell r="G17">
            <v>106.065</v>
          </cell>
          <cell r="H17">
            <v>105.3</v>
          </cell>
          <cell r="I17">
            <v>105.11</v>
          </cell>
          <cell r="J17">
            <v>107.59</v>
          </cell>
          <cell r="K17">
            <v>15.368399999999999</v>
          </cell>
          <cell r="L17">
            <v>-0.98</v>
          </cell>
          <cell r="M17">
            <v>-9.221E-3</v>
          </cell>
          <cell r="N17">
            <v>80.099999999999994</v>
          </cell>
          <cell r="O17">
            <v>124.69</v>
          </cell>
          <cell r="P17">
            <v>4473165</v>
          </cell>
          <cell r="Q17">
            <v>10353403</v>
          </cell>
          <cell r="R17">
            <v>1.4914000000000001</v>
          </cell>
        </row>
        <row r="18">
          <cell r="A18" t="str">
            <v>DSY</v>
          </cell>
          <cell r="D18" t="str">
            <v>EUR</v>
          </cell>
          <cell r="E18">
            <v>45980.708333333336</v>
          </cell>
          <cell r="F18">
            <v>23.18</v>
          </cell>
          <cell r="G18">
            <v>23.2</v>
          </cell>
          <cell r="H18">
            <v>23.38</v>
          </cell>
          <cell r="I18">
            <v>22.96</v>
          </cell>
          <cell r="J18">
            <v>23.56</v>
          </cell>
          <cell r="K18">
            <v>26.122900000000001</v>
          </cell>
          <cell r="L18">
            <v>0.2</v>
          </cell>
          <cell r="M18">
            <v>8.6280000000000003E-3</v>
          </cell>
          <cell r="N18">
            <v>22.96</v>
          </cell>
          <cell r="O18">
            <v>41.17</v>
          </cell>
          <cell r="P18">
            <v>2756148</v>
          </cell>
          <cell r="Q18">
            <v>1917280</v>
          </cell>
          <cell r="R18">
            <v>0.79759999999999998</v>
          </cell>
        </row>
        <row r="19">
          <cell r="A19" t="str">
            <v>DVA</v>
          </cell>
          <cell r="D19" t="str">
            <v>USD</v>
          </cell>
          <cell r="E19">
            <v>45980.727213414066</v>
          </cell>
          <cell r="F19">
            <v>116.56</v>
          </cell>
          <cell r="G19">
            <v>116.73</v>
          </cell>
          <cell r="H19">
            <v>115.155</v>
          </cell>
          <cell r="I19">
            <v>113.97</v>
          </cell>
          <cell r="J19">
            <v>116.77500000000001</v>
          </cell>
          <cell r="K19">
            <v>11.856199999999999</v>
          </cell>
          <cell r="L19">
            <v>-1.405</v>
          </cell>
          <cell r="M19">
            <v>-1.2054E-2</v>
          </cell>
          <cell r="N19">
            <v>113.97</v>
          </cell>
          <cell r="O19">
            <v>179.6</v>
          </cell>
          <cell r="P19">
            <v>233275</v>
          </cell>
          <cell r="Q19">
            <v>905387</v>
          </cell>
          <cell r="R19">
            <v>0.99129999999999996</v>
          </cell>
        </row>
        <row r="20">
          <cell r="A20" t="str">
            <v>DXC</v>
          </cell>
          <cell r="D20" t="str">
            <v>USD</v>
          </cell>
          <cell r="E20">
            <v>45980.727108367966</v>
          </cell>
          <cell r="F20">
            <v>12.22</v>
          </cell>
          <cell r="G20">
            <v>12.22</v>
          </cell>
          <cell r="H20">
            <v>12.11</v>
          </cell>
          <cell r="I20">
            <v>12.04</v>
          </cell>
          <cell r="J20">
            <v>12.27</v>
          </cell>
          <cell r="K20">
            <v>5.9131</v>
          </cell>
          <cell r="L20">
            <v>-0.11</v>
          </cell>
          <cell r="M20">
            <v>-9.0019999999999996E-3</v>
          </cell>
          <cell r="N20">
            <v>12.04</v>
          </cell>
          <cell r="O20">
            <v>23.75</v>
          </cell>
          <cell r="P20">
            <v>479280</v>
          </cell>
          <cell r="Q20">
            <v>2090201</v>
          </cell>
          <cell r="R20">
            <v>1.1175999999999999</v>
          </cell>
        </row>
        <row r="21">
          <cell r="A21" t="str">
            <v>EOAN</v>
          </cell>
          <cell r="D21" t="str">
            <v>EUR</v>
          </cell>
          <cell r="E21">
            <v>45980.71597222222</v>
          </cell>
          <cell r="F21">
            <v>15.34</v>
          </cell>
          <cell r="G21">
            <v>15.315</v>
          </cell>
          <cell r="H21">
            <v>15.3</v>
          </cell>
          <cell r="I21">
            <v>15.23</v>
          </cell>
          <cell r="J21">
            <v>15.49</v>
          </cell>
          <cell r="K21">
            <v>13.3043</v>
          </cell>
          <cell r="L21">
            <v>-0.04</v>
          </cell>
          <cell r="M21">
            <v>-2.6079999999999996E-3</v>
          </cell>
          <cell r="N21">
            <v>7.3</v>
          </cell>
          <cell r="O21">
            <v>16.515000000000001</v>
          </cell>
          <cell r="P21">
            <v>1575</v>
          </cell>
          <cell r="Q21">
            <v>4593700</v>
          </cell>
          <cell r="R21">
            <v>0.86180000000000001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45980.72735310156</v>
          </cell>
          <cell r="F23">
            <v>67.930000000000007</v>
          </cell>
          <cell r="G23">
            <v>68.06</v>
          </cell>
          <cell r="H23">
            <v>69.114999999999995</v>
          </cell>
          <cell r="I23">
            <v>67.61</v>
          </cell>
          <cell r="J23">
            <v>69.66</v>
          </cell>
          <cell r="K23">
            <v>13.2934</v>
          </cell>
          <cell r="L23">
            <v>1.1850000000000001</v>
          </cell>
          <cell r="M23">
            <v>1.7444000000000001E-2</v>
          </cell>
          <cell r="N23">
            <v>41.6</v>
          </cell>
          <cell r="O23">
            <v>72.87</v>
          </cell>
          <cell r="P23">
            <v>3146190</v>
          </cell>
          <cell r="Q23">
            <v>10521927</v>
          </cell>
          <cell r="R23">
            <v>1.3051999999999999</v>
          </cell>
        </row>
        <row r="24">
          <cell r="A24" t="str">
            <v>HPE</v>
          </cell>
          <cell r="D24" t="str">
            <v>USD</v>
          </cell>
          <cell r="E24">
            <v>45980.727392904686</v>
          </cell>
          <cell r="F24">
            <v>20.9</v>
          </cell>
          <cell r="G24">
            <v>20.82</v>
          </cell>
          <cell r="H24">
            <v>20.734999999999999</v>
          </cell>
          <cell r="I24">
            <v>20.655000000000001</v>
          </cell>
          <cell r="J24">
            <v>21.145</v>
          </cell>
          <cell r="K24">
            <v>24.871099999999998</v>
          </cell>
          <cell r="L24">
            <v>-0.16500000000000001</v>
          </cell>
          <cell r="M24">
            <v>-7.8949999999999992E-3</v>
          </cell>
          <cell r="N24">
            <v>11.965</v>
          </cell>
          <cell r="O24">
            <v>26.44</v>
          </cell>
          <cell r="P24">
            <v>7788506</v>
          </cell>
          <cell r="Q24">
            <v>40852455</v>
          </cell>
          <cell r="R24">
            <v>1.3736999999999999</v>
          </cell>
        </row>
        <row r="25">
          <cell r="A25" t="str">
            <v>HPQ</v>
          </cell>
          <cell r="D25" t="str">
            <v>USD</v>
          </cell>
          <cell r="E25">
            <v>45980.727297846875</v>
          </cell>
          <cell r="F25">
            <v>22.71</v>
          </cell>
          <cell r="G25">
            <v>22.68</v>
          </cell>
          <cell r="H25">
            <v>22.54</v>
          </cell>
          <cell r="I25">
            <v>22.475000000000001</v>
          </cell>
          <cell r="J25">
            <v>22.785</v>
          </cell>
          <cell r="K25">
            <v>8.2110000000000003</v>
          </cell>
          <cell r="L25">
            <v>-0.17</v>
          </cell>
          <cell r="M25">
            <v>-7.4860000000000005E-3</v>
          </cell>
          <cell r="N25">
            <v>21.21</v>
          </cell>
          <cell r="O25">
            <v>39.795000000000002</v>
          </cell>
          <cell r="P25">
            <v>3121413</v>
          </cell>
          <cell r="Q25">
            <v>11835083</v>
          </cell>
          <cell r="R25">
            <v>1.2653000000000001</v>
          </cell>
        </row>
        <row r="26">
          <cell r="A26" t="str">
            <v>IAG</v>
          </cell>
          <cell r="D26" t="str">
            <v>GBp</v>
          </cell>
          <cell r="E26">
            <v>45980.679229015623</v>
          </cell>
          <cell r="F26">
            <v>371.3</v>
          </cell>
          <cell r="G26">
            <v>371</v>
          </cell>
          <cell r="H26">
            <v>377.6</v>
          </cell>
          <cell r="I26">
            <v>367.2</v>
          </cell>
          <cell r="J26">
            <v>380.9</v>
          </cell>
          <cell r="K26">
            <v>6.8258000000000001</v>
          </cell>
          <cell r="L26">
            <v>6.3</v>
          </cell>
          <cell r="M26">
            <v>1.6966999999999999E-2</v>
          </cell>
          <cell r="N26">
            <v>210</v>
          </cell>
          <cell r="O26">
            <v>429.3</v>
          </cell>
          <cell r="P26">
            <v>17364599</v>
          </cell>
          <cell r="Q26">
            <v>20721960</v>
          </cell>
          <cell r="R26">
            <v>2.3380999999999998</v>
          </cell>
        </row>
        <row r="27">
          <cell r="A27" t="str">
            <v>KR</v>
          </cell>
          <cell r="D27" t="str">
            <v>USD</v>
          </cell>
          <cell r="E27">
            <v>45980.727271122654</v>
          </cell>
          <cell r="F27">
            <v>67.38</v>
          </cell>
          <cell r="G27">
            <v>67.56</v>
          </cell>
          <cell r="H27">
            <v>67.55</v>
          </cell>
          <cell r="I27">
            <v>67.2</v>
          </cell>
          <cell r="J27">
            <v>68.36</v>
          </cell>
          <cell r="K27">
            <v>17.113399999999999</v>
          </cell>
          <cell r="L27">
            <v>0.17</v>
          </cell>
          <cell r="M27">
            <v>2.5230000000000001E-3</v>
          </cell>
          <cell r="N27">
            <v>57.08</v>
          </cell>
          <cell r="O27">
            <v>74.900000000000006</v>
          </cell>
          <cell r="P27">
            <v>2271073</v>
          </cell>
          <cell r="Q27">
            <v>5986728</v>
          </cell>
          <cell r="R27">
            <v>0.5605</v>
          </cell>
        </row>
        <row r="28">
          <cell r="A28" t="str">
            <v>LNSR</v>
          </cell>
          <cell r="D28" t="str">
            <v>USD</v>
          </cell>
          <cell r="E28">
            <v>45980.71875893516</v>
          </cell>
          <cell r="F28">
            <v>9.9700000000000006</v>
          </cell>
          <cell r="G28">
            <v>9.9499999999999993</v>
          </cell>
          <cell r="H28">
            <v>10.09</v>
          </cell>
          <cell r="I28">
            <v>9.9122000000000003</v>
          </cell>
          <cell r="J28">
            <v>10.14</v>
          </cell>
          <cell r="K28">
            <v>0</v>
          </cell>
          <cell r="L28">
            <v>0.12</v>
          </cell>
          <cell r="M28">
            <v>1.2036E-2</v>
          </cell>
          <cell r="N28">
            <v>7</v>
          </cell>
          <cell r="O28">
            <v>17.309999999999999</v>
          </cell>
          <cell r="P28">
            <v>16590</v>
          </cell>
          <cell r="Q28">
            <v>71039</v>
          </cell>
          <cell r="R28">
            <v>0.70540000000000003</v>
          </cell>
        </row>
        <row r="29">
          <cell r="A29" t="str">
            <v>LUMN</v>
          </cell>
          <cell r="D29" t="str">
            <v>USD</v>
          </cell>
          <cell r="E29">
            <v>45980.727293182812</v>
          </cell>
          <cell r="F29">
            <v>7.62</v>
          </cell>
          <cell r="G29">
            <v>7.73</v>
          </cell>
          <cell r="H29">
            <v>7.5149999999999997</v>
          </cell>
          <cell r="I29">
            <v>7.4950000000000001</v>
          </cell>
          <cell r="J29">
            <v>7.99</v>
          </cell>
          <cell r="K29">
            <v>0</v>
          </cell>
          <cell r="L29">
            <v>-0.105</v>
          </cell>
          <cell r="M29">
            <v>-1.3779999999999999E-2</v>
          </cell>
          <cell r="N29">
            <v>3.01</v>
          </cell>
          <cell r="O29">
            <v>11.95</v>
          </cell>
          <cell r="P29">
            <v>5048226</v>
          </cell>
          <cell r="Q29">
            <v>24955017</v>
          </cell>
          <cell r="R29">
            <v>1.4903</v>
          </cell>
        </row>
        <row r="30">
          <cell r="A30" t="str">
            <v>MRNA</v>
          </cell>
          <cell r="D30" t="str">
            <v>USD</v>
          </cell>
          <cell r="E30">
            <v>45980.727279837498</v>
          </cell>
          <cell r="F30">
            <v>24.92</v>
          </cell>
          <cell r="G30">
            <v>24.95</v>
          </cell>
          <cell r="H30">
            <v>24.28</v>
          </cell>
          <cell r="I30">
            <v>24.105</v>
          </cell>
          <cell r="J30">
            <v>25.06</v>
          </cell>
          <cell r="K30">
            <v>0</v>
          </cell>
          <cell r="L30">
            <v>-0.64</v>
          </cell>
          <cell r="M30">
            <v>-2.5682E-2</v>
          </cell>
          <cell r="N30">
            <v>23.04</v>
          </cell>
          <cell r="O30">
            <v>48.92</v>
          </cell>
          <cell r="P30">
            <v>3247192</v>
          </cell>
          <cell r="Q30">
            <v>11525715</v>
          </cell>
          <cell r="R30">
            <v>1.1202000000000001</v>
          </cell>
        </row>
        <row r="31">
          <cell r="A31" t="str">
            <v>MSFT</v>
          </cell>
          <cell r="D31" t="str">
            <v>USD</v>
          </cell>
          <cell r="E31">
            <v>45980.727308957816</v>
          </cell>
          <cell r="F31">
            <v>493.79</v>
          </cell>
          <cell r="G31">
            <v>489.46</v>
          </cell>
          <cell r="H31">
            <v>486.59</v>
          </cell>
          <cell r="I31">
            <v>486.125</v>
          </cell>
          <cell r="J31">
            <v>495.18720000000002</v>
          </cell>
          <cell r="K31">
            <v>34.619399999999999</v>
          </cell>
          <cell r="L31">
            <v>-7.2</v>
          </cell>
          <cell r="M31">
            <v>-1.4581E-2</v>
          </cell>
          <cell r="N31">
            <v>344.79</v>
          </cell>
          <cell r="O31">
            <v>555.45000000000005</v>
          </cell>
          <cell r="P31">
            <v>8441927</v>
          </cell>
          <cell r="Q31">
            <v>23351736</v>
          </cell>
          <cell r="R31">
            <v>1.0728</v>
          </cell>
        </row>
        <row r="32">
          <cell r="A32" t="str">
            <v>NEE</v>
          </cell>
          <cell r="D32" t="str">
            <v>USD</v>
          </cell>
          <cell r="E32">
            <v>45980.727280566403</v>
          </cell>
          <cell r="F32">
            <v>84.64</v>
          </cell>
          <cell r="G32">
            <v>85.14</v>
          </cell>
          <cell r="H32">
            <v>84.71</v>
          </cell>
          <cell r="I32">
            <v>84.13</v>
          </cell>
          <cell r="J32">
            <v>85.34</v>
          </cell>
          <cell r="K32">
            <v>26.904</v>
          </cell>
          <cell r="L32">
            <v>7.0000000000000007E-2</v>
          </cell>
          <cell r="M32">
            <v>8.2699999999999994E-4</v>
          </cell>
          <cell r="N32">
            <v>61.72</v>
          </cell>
          <cell r="O32">
            <v>87.53</v>
          </cell>
          <cell r="P32">
            <v>3576045</v>
          </cell>
          <cell r="Q32">
            <v>9334594</v>
          </cell>
          <cell r="R32">
            <v>0.71840000000000004</v>
          </cell>
        </row>
        <row r="33">
          <cell r="A33" t="str">
            <v>NEM</v>
          </cell>
          <cell r="D33" t="str">
            <v>USD</v>
          </cell>
          <cell r="E33">
            <v>45980.727387267965</v>
          </cell>
          <cell r="F33">
            <v>86.6</v>
          </cell>
          <cell r="G33">
            <v>88.14</v>
          </cell>
          <cell r="H33">
            <v>87.594999999999999</v>
          </cell>
          <cell r="I33">
            <v>86.984999999999999</v>
          </cell>
          <cell r="J33">
            <v>89.27</v>
          </cell>
          <cell r="K33">
            <v>13.612299999999999</v>
          </cell>
          <cell r="L33">
            <v>0.995</v>
          </cell>
          <cell r="M33">
            <v>1.149E-2</v>
          </cell>
          <cell r="N33">
            <v>36.86</v>
          </cell>
          <cell r="O33">
            <v>98.578000000000003</v>
          </cell>
          <cell r="P33">
            <v>3065450</v>
          </cell>
          <cell r="Q33">
            <v>12009695</v>
          </cell>
          <cell r="R33">
            <v>0.41749999999999998</v>
          </cell>
        </row>
        <row r="34">
          <cell r="A34" t="str">
            <v>NFLX</v>
          </cell>
          <cell r="D34" t="str">
            <v>USD</v>
          </cell>
          <cell r="E34">
            <v>45980.727363923441</v>
          </cell>
          <cell r="F34">
            <v>114.09</v>
          </cell>
          <cell r="G34">
            <v>112.82</v>
          </cell>
          <cell r="H34">
            <v>109.78</v>
          </cell>
          <cell r="I34">
            <v>109.37</v>
          </cell>
          <cell r="J34">
            <v>113.34</v>
          </cell>
          <cell r="K34">
            <v>45.860100000000003</v>
          </cell>
          <cell r="L34">
            <v>-4.3099999999999996</v>
          </cell>
          <cell r="M34">
            <v>-3.7776999999999998E-2</v>
          </cell>
          <cell r="N34">
            <v>82.11</v>
          </cell>
          <cell r="O34">
            <v>134.11500000000001</v>
          </cell>
          <cell r="P34">
            <v>14860493</v>
          </cell>
          <cell r="Q34">
            <v>46642419</v>
          </cell>
          <cell r="R34">
            <v>1.6837</v>
          </cell>
        </row>
        <row r="35">
          <cell r="A35" t="str">
            <v>NOTE</v>
          </cell>
          <cell r="D35" t="str">
            <v>USD</v>
          </cell>
          <cell r="E35">
            <v>45980.725908946093</v>
          </cell>
          <cell r="F35">
            <v>2.2400000000000002</v>
          </cell>
          <cell r="G35">
            <v>2.23</v>
          </cell>
          <cell r="H35">
            <v>2.13</v>
          </cell>
          <cell r="I35">
            <v>2.13</v>
          </cell>
          <cell r="J35">
            <v>2.3199999999999998</v>
          </cell>
          <cell r="K35">
            <v>0</v>
          </cell>
          <cell r="L35">
            <v>-0.11</v>
          </cell>
          <cell r="M35">
            <v>-4.9107000000000005E-2</v>
          </cell>
          <cell r="N35">
            <v>2.0499999999999998</v>
          </cell>
          <cell r="O35">
            <v>24.36</v>
          </cell>
          <cell r="P35">
            <v>103226</v>
          </cell>
          <cell r="Q35">
            <v>248951</v>
          </cell>
          <cell r="R35">
            <v>0.66659999999999997</v>
          </cell>
        </row>
        <row r="36">
          <cell r="A36" t="str">
            <v>PAAS</v>
          </cell>
          <cell r="D36" t="str">
            <v>USD</v>
          </cell>
          <cell r="E36">
            <v>45980.727289791408</v>
          </cell>
          <cell r="F36">
            <v>38.07</v>
          </cell>
          <cell r="G36">
            <v>38.86</v>
          </cell>
          <cell r="H36">
            <v>38.49</v>
          </cell>
          <cell r="I36">
            <v>38.325000000000003</v>
          </cell>
          <cell r="J36">
            <v>39.935000000000002</v>
          </cell>
          <cell r="K36">
            <v>22.260100000000001</v>
          </cell>
          <cell r="L36">
            <v>0.42</v>
          </cell>
          <cell r="M36">
            <v>1.1032E-2</v>
          </cell>
          <cell r="N36">
            <v>19.8017</v>
          </cell>
          <cell r="O36">
            <v>42.57</v>
          </cell>
          <cell r="P36">
            <v>2447487</v>
          </cell>
          <cell r="Q36">
            <v>5954868</v>
          </cell>
          <cell r="R36">
            <v>1.1358999999999999</v>
          </cell>
        </row>
        <row r="37">
          <cell r="A37" t="str">
            <v>PROF</v>
          </cell>
          <cell r="D37" t="str">
            <v>USD</v>
          </cell>
          <cell r="E37">
            <v>45980.725743089846</v>
          </cell>
          <cell r="F37">
            <v>6.23</v>
          </cell>
          <cell r="G37">
            <v>6.25</v>
          </cell>
          <cell r="H37">
            <v>5.99</v>
          </cell>
          <cell r="I37">
            <v>5.9</v>
          </cell>
          <cell r="J37">
            <v>6.25</v>
          </cell>
          <cell r="K37">
            <v>0</v>
          </cell>
          <cell r="L37">
            <v>-0.24</v>
          </cell>
          <cell r="M37">
            <v>-3.8523000000000002E-2</v>
          </cell>
          <cell r="N37">
            <v>3.76</v>
          </cell>
          <cell r="O37">
            <v>8.7492999999999999</v>
          </cell>
          <cell r="P37">
            <v>17650</v>
          </cell>
          <cell r="Q37">
            <v>74913</v>
          </cell>
          <cell r="R37">
            <v>0.186</v>
          </cell>
        </row>
        <row r="38">
          <cell r="A38" t="str">
            <v>POET</v>
          </cell>
          <cell r="D38" t="str">
            <v>USD</v>
          </cell>
          <cell r="E38">
            <v>45980.727216932813</v>
          </cell>
          <cell r="F38">
            <v>4.29</v>
          </cell>
          <cell r="G38">
            <v>4.29</v>
          </cell>
          <cell r="H38">
            <v>4.1844000000000001</v>
          </cell>
          <cell r="I38">
            <v>4.17</v>
          </cell>
          <cell r="J38">
            <v>4.3890000000000002</v>
          </cell>
          <cell r="K38">
            <v>0</v>
          </cell>
          <cell r="L38">
            <v>-0.1056</v>
          </cell>
          <cell r="M38">
            <v>-2.4615000000000001E-2</v>
          </cell>
          <cell r="N38">
            <v>3.09</v>
          </cell>
          <cell r="O38">
            <v>9.41</v>
          </cell>
          <cell r="P38">
            <v>3530104</v>
          </cell>
          <cell r="Q38">
            <v>12743854</v>
          </cell>
          <cell r="R38">
            <v>0.56289999999999996</v>
          </cell>
        </row>
        <row r="39">
          <cell r="A39" t="str">
            <v>PW</v>
          </cell>
          <cell r="D39" t="str">
            <v>USD</v>
          </cell>
          <cell r="E39">
            <v>45980.710997233597</v>
          </cell>
          <cell r="F39">
            <v>0.66420000000000001</v>
          </cell>
          <cell r="G39">
            <v>0.66679999999999995</v>
          </cell>
          <cell r="H39">
            <v>0.64290000000000003</v>
          </cell>
          <cell r="I39">
            <v>0.64</v>
          </cell>
          <cell r="J39">
            <v>0.66679999999999995</v>
          </cell>
          <cell r="K39">
            <v>99</v>
          </cell>
          <cell r="L39">
            <v>-2.1299999999999999E-2</v>
          </cell>
          <cell r="M39">
            <v>-3.2069E-2</v>
          </cell>
          <cell r="N39">
            <v>0.59409999999999996</v>
          </cell>
          <cell r="O39">
            <v>2.59</v>
          </cell>
          <cell r="P39">
            <v>11405</v>
          </cell>
          <cell r="Q39">
            <v>100784</v>
          </cell>
          <cell r="R39">
            <v>1.5496000000000001</v>
          </cell>
        </row>
        <row r="40">
          <cell r="A40" t="str">
            <v>RIGL</v>
          </cell>
          <cell r="D40" t="str">
            <v>USD</v>
          </cell>
          <cell r="E40">
            <v>45980.7273096875</v>
          </cell>
          <cell r="F40">
            <v>46.22</v>
          </cell>
          <cell r="G40">
            <v>46.1</v>
          </cell>
          <cell r="H40">
            <v>42.2</v>
          </cell>
          <cell r="I40">
            <v>41.55</v>
          </cell>
          <cell r="J40">
            <v>47.264899999999997</v>
          </cell>
          <cell r="K40">
            <v>6.8422000000000001</v>
          </cell>
          <cell r="L40">
            <v>-4.0199999999999996</v>
          </cell>
          <cell r="M40">
            <v>-8.6974999999999997E-2</v>
          </cell>
          <cell r="N40">
            <v>14.63</v>
          </cell>
          <cell r="O40">
            <v>47.264899999999997</v>
          </cell>
          <cell r="P40">
            <v>531091</v>
          </cell>
          <cell r="Q40">
            <v>628696</v>
          </cell>
          <cell r="R40">
            <v>1.0119</v>
          </cell>
        </row>
        <row r="41">
          <cell r="A41" t="str">
            <v>RWE</v>
          </cell>
          <cell r="D41" t="str">
            <v>EUR</v>
          </cell>
          <cell r="E41">
            <v>45980.714583333334</v>
          </cell>
          <cell r="F41">
            <v>44.67</v>
          </cell>
          <cell r="G41">
            <v>44.96</v>
          </cell>
          <cell r="H41">
            <v>43.73</v>
          </cell>
          <cell r="I41">
            <v>43.7</v>
          </cell>
          <cell r="J41">
            <v>44.96</v>
          </cell>
          <cell r="K41">
            <v>14.1065</v>
          </cell>
          <cell r="L41">
            <v>-0.94</v>
          </cell>
          <cell r="M41">
            <v>-2.1042999999999999E-2</v>
          </cell>
          <cell r="N41">
            <v>14.231</v>
          </cell>
          <cell r="O41">
            <v>46.82</v>
          </cell>
          <cell r="P41">
            <v>13072</v>
          </cell>
          <cell r="Q41">
            <v>2359920</v>
          </cell>
          <cell r="R41">
            <v>0.46560000000000001</v>
          </cell>
        </row>
        <row r="42">
          <cell r="A42" t="str">
            <v>SAP</v>
          </cell>
          <cell r="D42" t="str">
            <v>EUR</v>
          </cell>
          <cell r="E42">
            <v>45980.697916666664</v>
          </cell>
          <cell r="F42">
            <v>205.35</v>
          </cell>
          <cell r="G42">
            <v>205.2</v>
          </cell>
          <cell r="H42">
            <v>205.5</v>
          </cell>
          <cell r="I42">
            <v>203.75</v>
          </cell>
          <cell r="J42">
            <v>207.55</v>
          </cell>
          <cell r="K42">
            <v>33.8506</v>
          </cell>
          <cell r="L42">
            <v>0.15</v>
          </cell>
          <cell r="M42">
            <v>7.3050000000000003E-4</v>
          </cell>
          <cell r="N42">
            <v>202.5</v>
          </cell>
          <cell r="O42">
            <v>283.5</v>
          </cell>
          <cell r="P42">
            <v>1173122</v>
          </cell>
          <cell r="Q42">
            <v>1251770</v>
          </cell>
          <cell r="R42">
            <v>1.0648</v>
          </cell>
        </row>
        <row r="43">
          <cell r="A43" t="str">
            <v>SHECY</v>
          </cell>
          <cell r="D43" t="str">
            <v>USD</v>
          </cell>
          <cell r="E43">
            <v>45980.716578171094</v>
          </cell>
          <cell r="F43">
            <v>14.33</v>
          </cell>
          <cell r="G43">
            <v>14.73</v>
          </cell>
          <cell r="H43">
            <v>14.214499999999999</v>
          </cell>
          <cell r="I43">
            <v>14.19</v>
          </cell>
          <cell r="J43">
            <v>14.73</v>
          </cell>
          <cell r="K43">
            <v>0</v>
          </cell>
          <cell r="L43">
            <v>-0.11550000000000001</v>
          </cell>
          <cell r="M43">
            <v>-8.0600000000000012E-3</v>
          </cell>
          <cell r="N43">
            <v>11.88</v>
          </cell>
          <cell r="O43">
            <v>19.38</v>
          </cell>
          <cell r="P43">
            <v>90441</v>
          </cell>
          <cell r="Q43">
            <v>5702700</v>
          </cell>
          <cell r="R43">
            <v>1.29</v>
          </cell>
        </row>
        <row r="44">
          <cell r="A44" t="str">
            <v>SSYS</v>
          </cell>
          <cell r="D44" t="str">
            <v>USD</v>
          </cell>
          <cell r="E44">
            <v>45980.727275914061</v>
          </cell>
          <cell r="F44">
            <v>8.5</v>
          </cell>
          <cell r="G44">
            <v>8.5</v>
          </cell>
          <cell r="H44">
            <v>8.4499999999999993</v>
          </cell>
          <cell r="I44">
            <v>8.43</v>
          </cell>
          <cell r="J44">
            <v>8.69</v>
          </cell>
          <cell r="K44">
            <v>0</v>
          </cell>
          <cell r="L44">
            <v>-0.05</v>
          </cell>
          <cell r="M44">
            <v>-5.8819999999999992E-3</v>
          </cell>
          <cell r="N44">
            <v>8.3571000000000009</v>
          </cell>
          <cell r="O44">
            <v>12.88</v>
          </cell>
          <cell r="P44">
            <v>202937</v>
          </cell>
          <cell r="Q44">
            <v>1018400</v>
          </cell>
          <cell r="R44">
            <v>1.5111000000000001</v>
          </cell>
        </row>
        <row r="45">
          <cell r="A45" t="str">
            <v>TSLA</v>
          </cell>
          <cell r="D45" t="str">
            <v>USD</v>
          </cell>
          <cell r="E45">
            <v>45980.727292626565</v>
          </cell>
          <cell r="F45">
            <v>401.25</v>
          </cell>
          <cell r="G45">
            <v>406</v>
          </cell>
          <cell r="H45">
            <v>402.11</v>
          </cell>
          <cell r="I45">
            <v>400.40159999999997</v>
          </cell>
          <cell r="J45">
            <v>411.78</v>
          </cell>
          <cell r="K45">
            <v>278.7978</v>
          </cell>
          <cell r="L45">
            <v>0.86</v>
          </cell>
          <cell r="M45">
            <v>2.1429999999999999E-3</v>
          </cell>
          <cell r="N45">
            <v>214.25</v>
          </cell>
          <cell r="O45">
            <v>488.53989999999999</v>
          </cell>
          <cell r="P45">
            <v>41299931</v>
          </cell>
          <cell r="Q45">
            <v>85809277</v>
          </cell>
          <cell r="R45">
            <v>1.8974</v>
          </cell>
        </row>
        <row r="46">
          <cell r="A46" t="str">
            <v>TSM</v>
          </cell>
          <cell r="D46" t="str">
            <v>USD</v>
          </cell>
          <cell r="E46">
            <v>45980.727366284373</v>
          </cell>
          <cell r="F46">
            <v>277.91000000000003</v>
          </cell>
          <cell r="G46">
            <v>277.11</v>
          </cell>
          <cell r="H46">
            <v>279.49</v>
          </cell>
          <cell r="I46">
            <v>276.32</v>
          </cell>
          <cell r="J46">
            <v>284.5489</v>
          </cell>
          <cell r="K46">
            <v>27.8111</v>
          </cell>
          <cell r="L46">
            <v>1.58</v>
          </cell>
          <cell r="M46">
            <v>5.6849999999999999E-3</v>
          </cell>
          <cell r="N46">
            <v>134.25</v>
          </cell>
          <cell r="O46">
            <v>311.36849999999998</v>
          </cell>
          <cell r="P46">
            <v>5487822</v>
          </cell>
          <cell r="Q46">
            <v>13468865</v>
          </cell>
          <cell r="R46">
            <v>1.3241000000000001</v>
          </cell>
        </row>
        <row r="47">
          <cell r="A47" t="str">
            <v>UN0</v>
          </cell>
          <cell r="D47" t="str">
            <v>EUR</v>
          </cell>
          <cell r="E47">
            <v>45980.711805555555</v>
          </cell>
          <cell r="F47">
            <v>30.45</v>
          </cell>
          <cell r="G47">
            <v>29.55</v>
          </cell>
          <cell r="H47">
            <v>30.25</v>
          </cell>
          <cell r="I47">
            <v>29.55</v>
          </cell>
          <cell r="J47">
            <v>30.25</v>
          </cell>
          <cell r="L47">
            <v>-0.2</v>
          </cell>
          <cell r="M47">
            <v>-6.5680000000000009E-3</v>
          </cell>
          <cell r="N47">
            <v>2.1</v>
          </cell>
          <cell r="O47">
            <v>73.5</v>
          </cell>
          <cell r="P47">
            <v>5</v>
          </cell>
          <cell r="Q47">
            <v>4450</v>
          </cell>
          <cell r="R47">
            <v>1.0843</v>
          </cell>
        </row>
        <row r="48">
          <cell r="A48" t="str">
            <v>UNIT</v>
          </cell>
          <cell r="D48" t="str">
            <v>USD</v>
          </cell>
          <cell r="E48">
            <v>45980.727241631248</v>
          </cell>
          <cell r="F48">
            <v>6.15</v>
          </cell>
          <cell r="G48">
            <v>6.18</v>
          </cell>
          <cell r="H48">
            <v>5.915</v>
          </cell>
          <cell r="I48">
            <v>5.89</v>
          </cell>
          <cell r="J48">
            <v>6.24</v>
          </cell>
          <cell r="K48">
            <v>1.1649</v>
          </cell>
          <cell r="L48">
            <v>-0.23499999999999999</v>
          </cell>
          <cell r="M48">
            <v>-3.8211000000000002E-2</v>
          </cell>
          <cell r="N48">
            <v>5.3</v>
          </cell>
          <cell r="O48">
            <v>10.466100000000001</v>
          </cell>
          <cell r="P48">
            <v>718508</v>
          </cell>
          <cell r="Q48">
            <v>2731638</v>
          </cell>
          <cell r="R48">
            <v>1.4695</v>
          </cell>
        </row>
        <row r="49">
          <cell r="A49" t="str">
            <v>VLVLY</v>
          </cell>
          <cell r="D49" t="str">
            <v>USD</v>
          </cell>
          <cell r="E49">
            <v>45980.716177928123</v>
          </cell>
          <cell r="F49">
            <v>27.61</v>
          </cell>
          <cell r="G49">
            <v>28.06</v>
          </cell>
          <cell r="H49">
            <v>28.004999999999999</v>
          </cell>
          <cell r="I49">
            <v>27.98</v>
          </cell>
          <cell r="J49">
            <v>28.25</v>
          </cell>
          <cell r="K49">
            <v>0</v>
          </cell>
          <cell r="L49">
            <v>0.39500000000000002</v>
          </cell>
          <cell r="M49">
            <v>1.4306000000000001E-2</v>
          </cell>
          <cell r="N49">
            <v>22.55</v>
          </cell>
          <cell r="O49">
            <v>33.33</v>
          </cell>
          <cell r="P49">
            <v>25290</v>
          </cell>
          <cell r="Q49">
            <v>2501110</v>
          </cell>
          <cell r="R49">
            <v>0.89629999999999999</v>
          </cell>
        </row>
        <row r="50">
          <cell r="A50" t="str">
            <v>VONN</v>
          </cell>
          <cell r="D50" t="str">
            <v>CHF</v>
          </cell>
          <cell r="E50">
            <v>45980.694444444445</v>
          </cell>
          <cell r="F50">
            <v>58.8</v>
          </cell>
          <cell r="G50">
            <v>58.4</v>
          </cell>
          <cell r="H50">
            <v>59.2</v>
          </cell>
          <cell r="I50">
            <v>58.2</v>
          </cell>
          <cell r="J50">
            <v>59.4</v>
          </cell>
          <cell r="K50">
            <v>13.3634</v>
          </cell>
          <cell r="L50">
            <v>0.4</v>
          </cell>
          <cell r="M50">
            <v>6.803E-3</v>
          </cell>
          <cell r="N50">
            <v>51.1</v>
          </cell>
          <cell r="O50">
            <v>69.5</v>
          </cell>
          <cell r="P50">
            <v>44698</v>
          </cell>
          <cell r="Q50">
            <v>36500</v>
          </cell>
          <cell r="R50">
            <v>0.82389999999999997</v>
          </cell>
        </row>
        <row r="51">
          <cell r="A51" t="str">
            <v>VTRS</v>
          </cell>
          <cell r="D51" t="str">
            <v>USD</v>
          </cell>
          <cell r="E51">
            <v>45980.727246388284</v>
          </cell>
          <cell r="F51">
            <v>10.71</v>
          </cell>
          <cell r="G51">
            <v>10.68</v>
          </cell>
          <cell r="H51">
            <v>10.545</v>
          </cell>
          <cell r="I51">
            <v>10.48</v>
          </cell>
          <cell r="J51">
            <v>10.68</v>
          </cell>
          <cell r="K51">
            <v>0</v>
          </cell>
          <cell r="L51">
            <v>-0.16500000000000001</v>
          </cell>
          <cell r="M51">
            <v>-1.5406E-2</v>
          </cell>
          <cell r="N51">
            <v>6.85</v>
          </cell>
          <cell r="O51">
            <v>13.55</v>
          </cell>
          <cell r="P51">
            <v>2163996</v>
          </cell>
          <cell r="Q51">
            <v>8873274</v>
          </cell>
          <cell r="R51">
            <v>0.81520000000000004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45980.727227696094</v>
          </cell>
          <cell r="F53">
            <v>119.03</v>
          </cell>
          <cell r="G53">
            <v>116.93</v>
          </cell>
          <cell r="H53">
            <v>117.58</v>
          </cell>
          <cell r="I53">
            <v>115.93</v>
          </cell>
          <cell r="J53">
            <v>117.59010000000001</v>
          </cell>
          <cell r="K53">
            <v>17.0916</v>
          </cell>
          <cell r="L53">
            <v>-1.45</v>
          </cell>
          <cell r="M53">
            <v>-1.2182E-2</v>
          </cell>
          <cell r="N53">
            <v>97.8</v>
          </cell>
          <cell r="O53">
            <v>123.21</v>
          </cell>
          <cell r="P53">
            <v>5274637</v>
          </cell>
          <cell r="Q53">
            <v>13821847</v>
          </cell>
          <cell r="R53">
            <v>0.36840000000000001</v>
          </cell>
        </row>
        <row r="54">
          <cell r="A54" t="str">
            <v>XPER</v>
          </cell>
          <cell r="D54" t="str">
            <v>USD</v>
          </cell>
          <cell r="E54">
            <v>45980.726906435157</v>
          </cell>
          <cell r="F54">
            <v>5.82</v>
          </cell>
          <cell r="G54">
            <v>5.82</v>
          </cell>
          <cell r="H54">
            <v>5.69</v>
          </cell>
          <cell r="I54">
            <v>5.6849999999999996</v>
          </cell>
          <cell r="J54">
            <v>5.875</v>
          </cell>
          <cell r="K54">
            <v>33.549500000000002</v>
          </cell>
          <cell r="L54">
            <v>-0.13</v>
          </cell>
          <cell r="M54">
            <v>-2.2336999999999999E-2</v>
          </cell>
          <cell r="N54">
            <v>5.6849999999999996</v>
          </cell>
          <cell r="O54">
            <v>11.074999999999999</v>
          </cell>
          <cell r="P54">
            <v>198908</v>
          </cell>
          <cell r="Q54">
            <v>487218</v>
          </cell>
          <cell r="R54">
            <v>1.1910000000000001</v>
          </cell>
        </row>
        <row r="55">
          <cell r="A55" t="str">
            <v>MVEALDNE</v>
          </cell>
          <cell r="D55" t="str">
            <v>EUR</v>
          </cell>
          <cell r="E55">
            <v>45980.708333333336</v>
          </cell>
          <cell r="F55">
            <v>0.68</v>
          </cell>
          <cell r="G55">
            <v>0.68200000000000005</v>
          </cell>
          <cell r="H55">
            <v>0.68799999999999994</v>
          </cell>
          <cell r="I55">
            <v>0.66400000000000003</v>
          </cell>
          <cell r="J55">
            <v>0.68799999999999994</v>
          </cell>
          <cell r="K55">
            <v>0</v>
          </cell>
          <cell r="L55">
            <v>8.0000000000000002E-3</v>
          </cell>
          <cell r="M55">
            <v>1.1765000000000001E-2</v>
          </cell>
          <cell r="N55">
            <v>0.65</v>
          </cell>
          <cell r="O55">
            <v>1.53</v>
          </cell>
          <cell r="P55">
            <v>3776</v>
          </cell>
          <cell r="Q55">
            <v>6820</v>
          </cell>
          <cell r="R55">
            <v>0.97</v>
          </cell>
        </row>
        <row r="56">
          <cell r="A56" t="str">
            <v>MVEDDD</v>
          </cell>
          <cell r="D56" t="str">
            <v>USD</v>
          </cell>
          <cell r="E56">
            <v>45980.727311353905</v>
          </cell>
          <cell r="F56">
            <v>2.08</v>
          </cell>
          <cell r="G56">
            <v>2.1</v>
          </cell>
          <cell r="H56">
            <v>2.0449999999999999</v>
          </cell>
          <cell r="I56">
            <v>2.04</v>
          </cell>
          <cell r="J56">
            <v>2.1899000000000002</v>
          </cell>
          <cell r="K56">
            <v>0</v>
          </cell>
          <cell r="L56">
            <v>-3.5000000000000003E-2</v>
          </cell>
          <cell r="M56">
            <v>-1.6827000000000002E-2</v>
          </cell>
          <cell r="N56">
            <v>1.32</v>
          </cell>
          <cell r="O56">
            <v>4.9991000000000003</v>
          </cell>
          <cell r="P56">
            <v>740466</v>
          </cell>
          <cell r="Q56">
            <v>3699877</v>
          </cell>
          <cell r="R56">
            <v>1.9366000000000001</v>
          </cell>
        </row>
        <row r="57">
          <cell r="A57" t="str">
            <v>MVEDSY</v>
          </cell>
          <cell r="D57" t="str">
            <v>EUR</v>
          </cell>
          <cell r="E57">
            <v>45980.708333333336</v>
          </cell>
          <cell r="F57">
            <v>23.18</v>
          </cell>
          <cell r="G57">
            <v>23.2</v>
          </cell>
          <cell r="H57">
            <v>23.38</v>
          </cell>
          <cell r="I57">
            <v>22.96</v>
          </cell>
          <cell r="J57">
            <v>23.56</v>
          </cell>
          <cell r="K57">
            <v>26.122900000000001</v>
          </cell>
          <cell r="L57">
            <v>0.2</v>
          </cell>
          <cell r="M57">
            <v>8.6280000000000003E-3</v>
          </cell>
          <cell r="N57">
            <v>22.96</v>
          </cell>
          <cell r="O57">
            <v>41.17</v>
          </cell>
          <cell r="P57">
            <v>2756148</v>
          </cell>
          <cell r="Q57">
            <v>1917280</v>
          </cell>
          <cell r="R57">
            <v>0.79759999999999998</v>
          </cell>
        </row>
        <row r="58">
          <cell r="A58" t="str">
            <v>MVEEOAN</v>
          </cell>
          <cell r="D58" t="str">
            <v>EUR</v>
          </cell>
          <cell r="E58">
            <v>45980.71597222222</v>
          </cell>
          <cell r="F58">
            <v>15.34</v>
          </cell>
          <cell r="G58">
            <v>15.315</v>
          </cell>
          <cell r="H58">
            <v>15.3</v>
          </cell>
          <cell r="I58">
            <v>15.23</v>
          </cell>
          <cell r="J58">
            <v>15.49</v>
          </cell>
          <cell r="K58">
            <v>13.3043</v>
          </cell>
          <cell r="L58">
            <v>-0.04</v>
          </cell>
          <cell r="M58">
            <v>-2.6079999999999996E-3</v>
          </cell>
          <cell r="N58">
            <v>7.3</v>
          </cell>
          <cell r="O58">
            <v>16.515000000000001</v>
          </cell>
          <cell r="P58">
            <v>1575</v>
          </cell>
          <cell r="Q58">
            <v>4593700</v>
          </cell>
          <cell r="R58">
            <v>0.86180000000000001</v>
          </cell>
        </row>
        <row r="59">
          <cell r="A59" t="str">
            <v>MVEENI</v>
          </cell>
          <cell r="D59" t="str">
            <v>EUR</v>
          </cell>
          <cell r="E59">
            <v>45980.708333333336</v>
          </cell>
          <cell r="F59">
            <v>16.329999999999998</v>
          </cell>
          <cell r="G59">
            <v>16.38</v>
          </cell>
          <cell r="H59">
            <v>16.218</v>
          </cell>
          <cell r="I59">
            <v>16.106000000000002</v>
          </cell>
          <cell r="J59">
            <v>16.48</v>
          </cell>
          <cell r="K59">
            <v>17.910499999999999</v>
          </cell>
          <cell r="L59">
            <v>-0.112</v>
          </cell>
          <cell r="M59">
            <v>-6.8589999999999996E-3</v>
          </cell>
          <cell r="N59">
            <v>11.01</v>
          </cell>
          <cell r="O59">
            <v>16.61</v>
          </cell>
          <cell r="P59">
            <v>8051185</v>
          </cell>
          <cell r="Q59">
            <v>8728160</v>
          </cell>
          <cell r="R59">
            <v>0.82489999999999997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45980.708333333336</v>
          </cell>
          <cell r="F61">
            <v>56.48</v>
          </cell>
          <cell r="G61">
            <v>56.42</v>
          </cell>
          <cell r="H61">
            <v>56.82</v>
          </cell>
          <cell r="I61">
            <v>55.84</v>
          </cell>
          <cell r="J61">
            <v>57.38</v>
          </cell>
          <cell r="K61">
            <v>9.0989000000000004</v>
          </cell>
          <cell r="L61">
            <v>0.34</v>
          </cell>
          <cell r="M61">
            <v>6.0200000000000002E-3</v>
          </cell>
          <cell r="N61">
            <v>24.03</v>
          </cell>
          <cell r="O61">
            <v>59.9</v>
          </cell>
          <cell r="P61">
            <v>2132855</v>
          </cell>
          <cell r="Q61">
            <v>1810960</v>
          </cell>
          <cell r="R61">
            <v>1.3862000000000001</v>
          </cell>
        </row>
        <row r="62">
          <cell r="A62" t="str">
            <v>MVEORA</v>
          </cell>
          <cell r="D62" t="str">
            <v>EUR</v>
          </cell>
          <cell r="E62">
            <v>45980.708333333336</v>
          </cell>
          <cell r="F62">
            <v>13.96</v>
          </cell>
          <cell r="G62">
            <v>13.994999999999999</v>
          </cell>
          <cell r="H62">
            <v>13.78</v>
          </cell>
          <cell r="I62">
            <v>13.67</v>
          </cell>
          <cell r="J62">
            <v>13.994999999999999</v>
          </cell>
          <cell r="K62">
            <v>43.524999999999999</v>
          </cell>
          <cell r="L62">
            <v>-0.18</v>
          </cell>
          <cell r="M62">
            <v>-1.2894000000000001E-2</v>
          </cell>
          <cell r="N62">
            <v>9.3699999999999992</v>
          </cell>
          <cell r="O62">
            <v>14.56</v>
          </cell>
          <cell r="P62">
            <v>4293347</v>
          </cell>
          <cell r="Q62">
            <v>3328620</v>
          </cell>
          <cell r="R62">
            <v>0.23849999999999999</v>
          </cell>
        </row>
        <row r="63">
          <cell r="A63" t="str">
            <v>MVERWE</v>
          </cell>
          <cell r="D63" t="str">
            <v>EUR</v>
          </cell>
          <cell r="E63">
            <v>45980.714583333334</v>
          </cell>
          <cell r="F63">
            <v>44.67</v>
          </cell>
          <cell r="G63">
            <v>44.96</v>
          </cell>
          <cell r="H63">
            <v>43.73</v>
          </cell>
          <cell r="I63">
            <v>43.7</v>
          </cell>
          <cell r="J63">
            <v>44.96</v>
          </cell>
          <cell r="K63">
            <v>14.1065</v>
          </cell>
          <cell r="L63">
            <v>-0.94</v>
          </cell>
          <cell r="M63">
            <v>-2.1042999999999999E-2</v>
          </cell>
          <cell r="N63">
            <v>14.231</v>
          </cell>
          <cell r="O63">
            <v>46.82</v>
          </cell>
          <cell r="P63">
            <v>13072</v>
          </cell>
          <cell r="Q63">
            <v>2359920</v>
          </cell>
          <cell r="R63">
            <v>0.46560000000000001</v>
          </cell>
        </row>
        <row r="64">
          <cell r="A64" t="str">
            <v>MVESAP</v>
          </cell>
          <cell r="D64" t="str">
            <v>EUR</v>
          </cell>
          <cell r="E64">
            <v>45980.697916666664</v>
          </cell>
          <cell r="F64">
            <v>205.35</v>
          </cell>
          <cell r="G64">
            <v>205.2</v>
          </cell>
          <cell r="H64">
            <v>205.5</v>
          </cell>
          <cell r="I64">
            <v>203.75</v>
          </cell>
          <cell r="J64">
            <v>207.55</v>
          </cell>
          <cell r="K64">
            <v>33.8506</v>
          </cell>
          <cell r="L64">
            <v>0.15</v>
          </cell>
          <cell r="M64">
            <v>7.3050000000000003E-4</v>
          </cell>
          <cell r="N64">
            <v>202.5</v>
          </cell>
          <cell r="O64">
            <v>283.5</v>
          </cell>
          <cell r="P64">
            <v>1173122</v>
          </cell>
          <cell r="Q64">
            <v>1251770</v>
          </cell>
          <cell r="R64">
            <v>1.0648</v>
          </cell>
        </row>
        <row r="65">
          <cell r="A65" t="str">
            <v>MVEUN0</v>
          </cell>
          <cell r="D65" t="str">
            <v>EUR</v>
          </cell>
          <cell r="E65">
            <v>45980.711805555555</v>
          </cell>
          <cell r="F65">
            <v>30.45</v>
          </cell>
          <cell r="G65">
            <v>29.55</v>
          </cell>
          <cell r="H65">
            <v>30.25</v>
          </cell>
          <cell r="I65">
            <v>29.55</v>
          </cell>
          <cell r="J65">
            <v>30.25</v>
          </cell>
          <cell r="K65">
            <v>99</v>
          </cell>
          <cell r="L65">
            <v>-0.2</v>
          </cell>
          <cell r="M65">
            <v>-6.5680000000000009E-3</v>
          </cell>
          <cell r="N65">
            <v>2.1</v>
          </cell>
          <cell r="O65">
            <v>73.5</v>
          </cell>
          <cell r="P65">
            <v>5</v>
          </cell>
          <cell r="Q65">
            <v>4450</v>
          </cell>
          <cell r="R65">
            <v>1.0843</v>
          </cell>
        </row>
        <row r="66">
          <cell r="A66" t="str">
            <v>SAFAAPL</v>
          </cell>
          <cell r="D66" t="str">
            <v>USD</v>
          </cell>
          <cell r="E66">
            <v>45980.727273888282</v>
          </cell>
          <cell r="F66">
            <v>267.44</v>
          </cell>
          <cell r="G66">
            <v>265.5</v>
          </cell>
          <cell r="H66">
            <v>270.02999999999997</v>
          </cell>
          <cell r="I66">
            <v>265.5</v>
          </cell>
          <cell r="J66">
            <v>272.20999999999998</v>
          </cell>
          <cell r="K66">
            <v>36.3598</v>
          </cell>
          <cell r="L66">
            <v>2.59</v>
          </cell>
          <cell r="M66">
            <v>9.6839999999999999E-3</v>
          </cell>
          <cell r="N66">
            <v>169.21010000000001</v>
          </cell>
          <cell r="O66">
            <v>277.32</v>
          </cell>
          <cell r="P66">
            <v>15109120</v>
          </cell>
          <cell r="Q66">
            <v>49432641</v>
          </cell>
          <cell r="R66">
            <v>1.1049</v>
          </cell>
        </row>
        <row r="67">
          <cell r="A67" t="str">
            <v>SAFAMZN</v>
          </cell>
          <cell r="D67" t="str">
            <v>USD</v>
          </cell>
          <cell r="E67">
            <v>45980.727355751565</v>
          </cell>
          <cell r="F67">
            <v>222.55</v>
          </cell>
          <cell r="G67">
            <v>223.59</v>
          </cell>
          <cell r="H67">
            <v>221.18199999999999</v>
          </cell>
          <cell r="I67">
            <v>218.53</v>
          </cell>
          <cell r="J67">
            <v>223.73500000000001</v>
          </cell>
          <cell r="K67">
            <v>31.244800000000001</v>
          </cell>
          <cell r="L67">
            <v>-1.3680000000000001</v>
          </cell>
          <cell r="M67">
            <v>-6.1470000000000006E-3</v>
          </cell>
          <cell r="N67">
            <v>161.38</v>
          </cell>
          <cell r="O67">
            <v>258.60000000000002</v>
          </cell>
          <cell r="P67">
            <v>29090882</v>
          </cell>
          <cell r="Q67">
            <v>52674749</v>
          </cell>
          <cell r="R67">
            <v>1.3831</v>
          </cell>
        </row>
        <row r="68">
          <cell r="A68" t="str">
            <v>SAFASML</v>
          </cell>
          <cell r="D68" t="str">
            <v>EUR</v>
          </cell>
          <cell r="E68">
            <v>45980.708333333336</v>
          </cell>
          <cell r="F68">
            <v>865.6</v>
          </cell>
          <cell r="G68">
            <v>861.1</v>
          </cell>
          <cell r="H68">
            <v>886.6</v>
          </cell>
          <cell r="I68">
            <v>857.3</v>
          </cell>
          <cell r="J68">
            <v>895.2</v>
          </cell>
          <cell r="K68">
            <v>34.042299999999997</v>
          </cell>
          <cell r="L68">
            <v>21</v>
          </cell>
          <cell r="M68">
            <v>2.4260999999999998E-2</v>
          </cell>
          <cell r="N68">
            <v>508.4</v>
          </cell>
          <cell r="O68">
            <v>938.6</v>
          </cell>
          <cell r="P68">
            <v>569186</v>
          </cell>
          <cell r="Q68">
            <v>557280</v>
          </cell>
          <cell r="R68">
            <v>2.1166999999999998</v>
          </cell>
        </row>
        <row r="69">
          <cell r="A69" t="str">
            <v>SAFDDD</v>
          </cell>
          <cell r="D69" t="str">
            <v>USD</v>
          </cell>
          <cell r="E69">
            <v>45980.727311353905</v>
          </cell>
          <cell r="F69">
            <v>2.08</v>
          </cell>
          <cell r="G69">
            <v>2.1</v>
          </cell>
          <cell r="H69">
            <v>2.0449999999999999</v>
          </cell>
          <cell r="I69">
            <v>2.04</v>
          </cell>
          <cell r="J69">
            <v>2.1899000000000002</v>
          </cell>
          <cell r="K69">
            <v>0</v>
          </cell>
          <cell r="L69">
            <v>-3.5000000000000003E-2</v>
          </cell>
          <cell r="M69">
            <v>-1.6827000000000002E-2</v>
          </cell>
          <cell r="N69">
            <v>1.32</v>
          </cell>
          <cell r="O69">
            <v>4.9991000000000003</v>
          </cell>
          <cell r="P69">
            <v>740466</v>
          </cell>
          <cell r="Q69">
            <v>3699877</v>
          </cell>
          <cell r="R69">
            <v>1.9366000000000001</v>
          </cell>
        </row>
        <row r="70">
          <cell r="A70" t="str">
            <v>SAFDIS</v>
          </cell>
          <cell r="D70" t="str">
            <v>USD</v>
          </cell>
          <cell r="E70">
            <v>45980.72734399297</v>
          </cell>
          <cell r="F70">
            <v>106.28</v>
          </cell>
          <cell r="G70">
            <v>106.065</v>
          </cell>
          <cell r="H70">
            <v>105.3</v>
          </cell>
          <cell r="I70">
            <v>105.11</v>
          </cell>
          <cell r="J70">
            <v>107.59</v>
          </cell>
          <cell r="K70">
            <v>15.368399999999999</v>
          </cell>
          <cell r="L70">
            <v>-0.98</v>
          </cell>
          <cell r="M70">
            <v>-9.221E-3</v>
          </cell>
          <cell r="N70">
            <v>80.099999999999994</v>
          </cell>
          <cell r="O70">
            <v>124.69</v>
          </cell>
          <cell r="P70">
            <v>4473165</v>
          </cell>
          <cell r="Q70">
            <v>10353403</v>
          </cell>
          <cell r="R70">
            <v>1.4914000000000001</v>
          </cell>
        </row>
        <row r="71">
          <cell r="A71" t="str">
            <v>SAFGM</v>
          </cell>
          <cell r="D71" t="str">
            <v>USD</v>
          </cell>
          <cell r="E71">
            <v>45980.72735310156</v>
          </cell>
          <cell r="F71">
            <v>67.930000000000007</v>
          </cell>
          <cell r="G71">
            <v>68.06</v>
          </cell>
          <cell r="H71">
            <v>69.114999999999995</v>
          </cell>
          <cell r="I71">
            <v>67.61</v>
          </cell>
          <cell r="J71">
            <v>69.66</v>
          </cell>
          <cell r="K71">
            <v>13.2934</v>
          </cell>
          <cell r="L71">
            <v>1.1850000000000001</v>
          </cell>
          <cell r="M71">
            <v>1.7444000000000001E-2</v>
          </cell>
          <cell r="N71">
            <v>41.6</v>
          </cell>
          <cell r="O71">
            <v>72.87</v>
          </cell>
          <cell r="P71">
            <v>3146190</v>
          </cell>
          <cell r="Q71">
            <v>10521927</v>
          </cell>
          <cell r="R71">
            <v>1.3051999999999999</v>
          </cell>
        </row>
        <row r="72">
          <cell r="A72" t="str">
            <v>SAFIAG</v>
          </cell>
          <cell r="D72" t="str">
            <v>GBp</v>
          </cell>
          <cell r="E72">
            <v>45980.679229015623</v>
          </cell>
          <cell r="F72">
            <v>371.3</v>
          </cell>
          <cell r="G72">
            <v>371</v>
          </cell>
          <cell r="H72">
            <v>377.6</v>
          </cell>
          <cell r="I72">
            <v>367.2</v>
          </cell>
          <cell r="J72">
            <v>380.9</v>
          </cell>
          <cell r="K72">
            <v>6.8258000000000001</v>
          </cell>
          <cell r="L72">
            <v>6.3</v>
          </cell>
          <cell r="M72">
            <v>1.6966999999999999E-2</v>
          </cell>
          <cell r="N72">
            <v>210</v>
          </cell>
          <cell r="O72">
            <v>429.3</v>
          </cell>
          <cell r="P72">
            <v>17364599</v>
          </cell>
          <cell r="Q72">
            <v>20721960</v>
          </cell>
          <cell r="R72">
            <v>2.3380999999999998</v>
          </cell>
        </row>
        <row r="73">
          <cell r="A73" t="str">
            <v>SAFMRNA</v>
          </cell>
          <cell r="D73" t="str">
            <v>USD</v>
          </cell>
          <cell r="E73">
            <v>45980.727279837498</v>
          </cell>
          <cell r="F73">
            <v>24.92</v>
          </cell>
          <cell r="G73">
            <v>24.95</v>
          </cell>
          <cell r="H73">
            <v>24.28</v>
          </cell>
          <cell r="I73">
            <v>24.105</v>
          </cell>
          <cell r="J73">
            <v>25.06</v>
          </cell>
          <cell r="K73">
            <v>0</v>
          </cell>
          <cell r="L73">
            <v>-0.64</v>
          </cell>
          <cell r="M73">
            <v>-2.5682E-2</v>
          </cell>
          <cell r="N73">
            <v>23.04</v>
          </cell>
          <cell r="O73">
            <v>48.92</v>
          </cell>
          <cell r="P73">
            <v>3247192</v>
          </cell>
          <cell r="Q73">
            <v>11525715</v>
          </cell>
          <cell r="R73">
            <v>1.1202000000000001</v>
          </cell>
        </row>
        <row r="74">
          <cell r="A74" t="str">
            <v>BLNK</v>
          </cell>
          <cell r="D74" t="str">
            <v>USD</v>
          </cell>
          <cell r="E74">
            <v>45980.727097395313</v>
          </cell>
          <cell r="F74">
            <v>1.41</v>
          </cell>
          <cell r="G74">
            <v>1.41</v>
          </cell>
          <cell r="H74">
            <v>1.365</v>
          </cell>
          <cell r="I74">
            <v>1.35</v>
          </cell>
          <cell r="J74">
            <v>1.43</v>
          </cell>
          <cell r="K74">
            <v>0</v>
          </cell>
          <cell r="L74">
            <v>-4.4999999999999998E-2</v>
          </cell>
          <cell r="M74">
            <v>-3.1914999999999999E-2</v>
          </cell>
          <cell r="N74">
            <v>0.63009999999999999</v>
          </cell>
          <cell r="O74">
            <v>2.6499000000000001</v>
          </cell>
          <cell r="P74">
            <v>809666</v>
          </cell>
          <cell r="Q74">
            <v>3136309</v>
          </cell>
          <cell r="R74">
            <v>1.8993</v>
          </cell>
        </row>
        <row r="75">
          <cell r="A75" t="str">
            <v>ENI</v>
          </cell>
          <cell r="D75" t="str">
            <v>EUR</v>
          </cell>
          <cell r="E75">
            <v>45980.708333333336</v>
          </cell>
          <cell r="F75">
            <v>16.329999999999998</v>
          </cell>
          <cell r="G75">
            <v>16.38</v>
          </cell>
          <cell r="H75">
            <v>16.218</v>
          </cell>
          <cell r="I75">
            <v>16.106000000000002</v>
          </cell>
          <cell r="J75">
            <v>16.48</v>
          </cell>
          <cell r="K75">
            <v>17.910499999999999</v>
          </cell>
          <cell r="L75">
            <v>-0.112</v>
          </cell>
          <cell r="M75">
            <v>-6.8589999999999996E-3</v>
          </cell>
          <cell r="N75">
            <v>11.01</v>
          </cell>
          <cell r="O75">
            <v>16.61</v>
          </cell>
          <cell r="P75">
            <v>8051185</v>
          </cell>
          <cell r="Q75">
            <v>8728160</v>
          </cell>
          <cell r="R75">
            <v>0.82489999999999997</v>
          </cell>
        </row>
        <row r="76">
          <cell r="A76" t="str">
            <v>EZJ</v>
          </cell>
          <cell r="D76" t="str">
            <v>GBp</v>
          </cell>
          <cell r="E76">
            <v>45980.683071411717</v>
          </cell>
          <cell r="F76">
            <v>455.8</v>
          </cell>
          <cell r="G76">
            <v>457.5</v>
          </cell>
          <cell r="H76">
            <v>462.1</v>
          </cell>
          <cell r="I76">
            <v>454</v>
          </cell>
          <cell r="J76">
            <v>469.7</v>
          </cell>
          <cell r="K76">
            <v>8.3849</v>
          </cell>
          <cell r="L76">
            <v>6.3</v>
          </cell>
          <cell r="M76">
            <v>1.3822000000000001E-2</v>
          </cell>
          <cell r="N76">
            <v>401.05</v>
          </cell>
          <cell r="O76">
            <v>594</v>
          </cell>
          <cell r="P76">
            <v>3452670</v>
          </cell>
          <cell r="Q76">
            <v>3394070</v>
          </cell>
          <cell r="R76">
            <v>2.2404999999999999</v>
          </cell>
        </row>
        <row r="77">
          <cell r="A77" t="str">
            <v>F</v>
          </cell>
          <cell r="D77" t="str">
            <v>USD</v>
          </cell>
          <cell r="E77">
            <v>45980.727233506252</v>
          </cell>
          <cell r="F77">
            <v>13.02</v>
          </cell>
          <cell r="G77">
            <v>13.04</v>
          </cell>
          <cell r="H77">
            <v>12.994999999999999</v>
          </cell>
          <cell r="I77">
            <v>12.99</v>
          </cell>
          <cell r="J77">
            <v>13.15</v>
          </cell>
          <cell r="K77">
            <v>11.1593</v>
          </cell>
          <cell r="L77">
            <v>-2.5000000000000001E-2</v>
          </cell>
          <cell r="M77">
            <v>-1.92E-3</v>
          </cell>
          <cell r="N77">
            <v>8.4405999999999999</v>
          </cell>
          <cell r="O77">
            <v>13.97</v>
          </cell>
          <cell r="P77">
            <v>19319093</v>
          </cell>
          <cell r="Q77">
            <v>130688776</v>
          </cell>
          <cell r="R77">
            <v>1.5908</v>
          </cell>
        </row>
        <row r="78">
          <cell r="A78" t="str">
            <v>GLE</v>
          </cell>
          <cell r="D78" t="str">
            <v>EUR</v>
          </cell>
          <cell r="E78">
            <v>45980.708333333336</v>
          </cell>
          <cell r="F78">
            <v>56.48</v>
          </cell>
          <cell r="G78">
            <v>56.42</v>
          </cell>
          <cell r="H78">
            <v>56.82</v>
          </cell>
          <cell r="I78">
            <v>55.84</v>
          </cell>
          <cell r="J78">
            <v>57.38</v>
          </cell>
          <cell r="K78">
            <v>9.0989000000000004</v>
          </cell>
          <cell r="L78">
            <v>0.34</v>
          </cell>
          <cell r="M78">
            <v>6.0200000000000002E-3</v>
          </cell>
          <cell r="N78">
            <v>24.03</v>
          </cell>
          <cell r="O78">
            <v>59.9</v>
          </cell>
          <cell r="P78">
            <v>2132855</v>
          </cell>
          <cell r="Q78">
            <v>1810960</v>
          </cell>
          <cell r="R78">
            <v>1.3862000000000001</v>
          </cell>
        </row>
        <row r="79">
          <cell r="A79" t="str">
            <v>GNRC</v>
          </cell>
          <cell r="D79" t="str">
            <v>USD</v>
          </cell>
          <cell r="E79">
            <v>45980.727217303123</v>
          </cell>
          <cell r="F79">
            <v>142.46</v>
          </cell>
          <cell r="G79">
            <v>144</v>
          </cell>
          <cell r="H79">
            <v>146.88999999999999</v>
          </cell>
          <cell r="I79">
            <v>143.55000000000001</v>
          </cell>
          <cell r="J79">
            <v>147.79</v>
          </cell>
          <cell r="K79">
            <v>27.950299999999999</v>
          </cell>
          <cell r="L79">
            <v>4.43</v>
          </cell>
          <cell r="M79">
            <v>3.1095999999999999E-2</v>
          </cell>
          <cell r="N79">
            <v>99.5</v>
          </cell>
          <cell r="O79">
            <v>203.2499</v>
          </cell>
          <cell r="P79">
            <v>427351</v>
          </cell>
          <cell r="Q79">
            <v>1412787</v>
          </cell>
          <cell r="R79">
            <v>1.8402000000000001</v>
          </cell>
        </row>
        <row r="80">
          <cell r="A80" t="str">
            <v>GS</v>
          </cell>
          <cell r="D80" t="str">
            <v>USD</v>
          </cell>
          <cell r="E80">
            <v>45980.72729609922</v>
          </cell>
          <cell r="F80">
            <v>776.3</v>
          </cell>
          <cell r="G80">
            <v>776.73</v>
          </cell>
          <cell r="H80">
            <v>780.89</v>
          </cell>
          <cell r="I80">
            <v>775.01</v>
          </cell>
          <cell r="J80">
            <v>785.3</v>
          </cell>
          <cell r="K80">
            <v>15.863</v>
          </cell>
          <cell r="L80">
            <v>4.59</v>
          </cell>
          <cell r="M80">
            <v>5.9130000000000007E-3</v>
          </cell>
          <cell r="N80">
            <v>439.38</v>
          </cell>
          <cell r="O80">
            <v>841.28</v>
          </cell>
          <cell r="P80">
            <v>623073</v>
          </cell>
          <cell r="Q80">
            <v>2058260</v>
          </cell>
          <cell r="R80">
            <v>1.3475999999999999</v>
          </cell>
        </row>
        <row r="81">
          <cell r="A81" t="str">
            <v>LAZR</v>
          </cell>
          <cell r="D81" t="str">
            <v>USD</v>
          </cell>
          <cell r="E81">
            <v>45980.727182789065</v>
          </cell>
          <cell r="F81">
            <v>0.86609999999999998</v>
          </cell>
          <cell r="G81">
            <v>0.9</v>
          </cell>
          <cell r="H81">
            <v>0.88580000000000003</v>
          </cell>
          <cell r="I81">
            <v>0.88049999999999995</v>
          </cell>
          <cell r="J81">
            <v>0.98280000000000001</v>
          </cell>
          <cell r="K81">
            <v>0</v>
          </cell>
          <cell r="L81">
            <v>1.9699999999999999E-2</v>
          </cell>
          <cell r="M81">
            <v>2.2745999999999999E-2</v>
          </cell>
          <cell r="N81">
            <v>0.81120000000000003</v>
          </cell>
          <cell r="O81">
            <v>12.826499999999999</v>
          </cell>
          <cell r="P81">
            <v>3481539</v>
          </cell>
          <cell r="Q81">
            <v>11174177</v>
          </cell>
          <cell r="R81">
            <v>1.5044</v>
          </cell>
        </row>
        <row r="82">
          <cell r="A82" t="str">
            <v>LUV</v>
          </cell>
          <cell r="D82" t="str">
            <v>USD</v>
          </cell>
          <cell r="E82">
            <v>45980.727174235937</v>
          </cell>
          <cell r="F82">
            <v>31.96</v>
          </cell>
          <cell r="G82">
            <v>32.35</v>
          </cell>
          <cell r="H82">
            <v>31.82</v>
          </cell>
          <cell r="I82">
            <v>31.78</v>
          </cell>
          <cell r="J82">
            <v>32.96</v>
          </cell>
          <cell r="K82">
            <v>47.556399999999996</v>
          </cell>
          <cell r="L82">
            <v>-0.14000000000000001</v>
          </cell>
          <cell r="M82">
            <v>-4.3800000000000002E-3</v>
          </cell>
          <cell r="N82">
            <v>23.815000000000001</v>
          </cell>
          <cell r="O82">
            <v>37.96</v>
          </cell>
          <cell r="P82">
            <v>2017435</v>
          </cell>
          <cell r="Q82">
            <v>9773269</v>
          </cell>
          <cell r="R82">
            <v>1.1503000000000001</v>
          </cell>
        </row>
        <row r="83">
          <cell r="A83" t="str">
            <v>MA</v>
          </cell>
          <cell r="D83" t="str">
            <v>USD</v>
          </cell>
          <cell r="E83">
            <v>45980.727312719529</v>
          </cell>
          <cell r="F83">
            <v>527.58000000000004</v>
          </cell>
          <cell r="G83">
            <v>528.29999999999995</v>
          </cell>
          <cell r="H83">
            <v>526.08249999999998</v>
          </cell>
          <cell r="I83">
            <v>525.06290000000001</v>
          </cell>
          <cell r="J83">
            <v>530.6884</v>
          </cell>
          <cell r="K83">
            <v>33.6372</v>
          </cell>
          <cell r="L83">
            <v>-1.4975000000000001</v>
          </cell>
          <cell r="M83">
            <v>-2.8379999999999998E-3</v>
          </cell>
          <cell r="N83">
            <v>465.59</v>
          </cell>
          <cell r="O83">
            <v>601.77</v>
          </cell>
          <cell r="P83">
            <v>987038</v>
          </cell>
          <cell r="Q83">
            <v>2632695</v>
          </cell>
          <cell r="R83">
            <v>0.87460000000000004</v>
          </cell>
        </row>
        <row r="84">
          <cell r="A84" t="str">
            <v>NVAX</v>
          </cell>
          <cell r="D84" t="str">
            <v>USD</v>
          </cell>
          <cell r="E84">
            <v>45980.727216330466</v>
          </cell>
          <cell r="F84">
            <v>6.57</v>
          </cell>
          <cell r="G84">
            <v>6.61</v>
          </cell>
          <cell r="H84">
            <v>6.3949999999999996</v>
          </cell>
          <cell r="I84">
            <v>6.38</v>
          </cell>
          <cell r="J84">
            <v>6.8</v>
          </cell>
          <cell r="K84">
            <v>3.5554999999999999</v>
          </cell>
          <cell r="L84">
            <v>-0.17499999999999999</v>
          </cell>
          <cell r="M84">
            <v>-2.6636000000000003E-2</v>
          </cell>
          <cell r="N84">
            <v>5.01</v>
          </cell>
          <cell r="O84">
            <v>11.55</v>
          </cell>
          <cell r="P84">
            <v>3171158</v>
          </cell>
          <cell r="Q84">
            <v>4391543</v>
          </cell>
          <cell r="R84">
            <v>2.3382000000000001</v>
          </cell>
        </row>
        <row r="85">
          <cell r="A85" t="str">
            <v>NVS</v>
          </cell>
          <cell r="D85" t="str">
            <v>USD</v>
          </cell>
          <cell r="E85">
            <v>45980.727253147656</v>
          </cell>
          <cell r="F85">
            <v>128.01</v>
          </cell>
          <cell r="G85">
            <v>128.19999999999999</v>
          </cell>
          <cell r="H85">
            <v>126.84</v>
          </cell>
          <cell r="I85">
            <v>126.31</v>
          </cell>
          <cell r="J85">
            <v>128.39500000000001</v>
          </cell>
          <cell r="K85">
            <v>17.346800000000002</v>
          </cell>
          <cell r="L85">
            <v>-1.17</v>
          </cell>
          <cell r="M85">
            <v>-9.1400000000000006E-3</v>
          </cell>
          <cell r="N85">
            <v>96.061999999999998</v>
          </cell>
          <cell r="O85">
            <v>134</v>
          </cell>
          <cell r="P85">
            <v>742944</v>
          </cell>
          <cell r="Q85">
            <v>1681658</v>
          </cell>
          <cell r="R85">
            <v>0.50309999999999999</v>
          </cell>
        </row>
        <row r="86">
          <cell r="A86" t="str">
            <v>ORA</v>
          </cell>
          <cell r="D86" t="str">
            <v>EUR</v>
          </cell>
          <cell r="E86">
            <v>45980.708333333336</v>
          </cell>
          <cell r="F86">
            <v>13.96</v>
          </cell>
          <cell r="G86">
            <v>13.994999999999999</v>
          </cell>
          <cell r="H86">
            <v>13.78</v>
          </cell>
          <cell r="I86">
            <v>13.67</v>
          </cell>
          <cell r="J86">
            <v>13.994999999999999</v>
          </cell>
          <cell r="K86">
            <v>43.524999999999999</v>
          </cell>
          <cell r="L86">
            <v>-0.18</v>
          </cell>
          <cell r="M86">
            <v>-1.2894000000000001E-2</v>
          </cell>
          <cell r="N86">
            <v>9.3699999999999992</v>
          </cell>
          <cell r="O86">
            <v>14.56</v>
          </cell>
          <cell r="P86">
            <v>4293347</v>
          </cell>
          <cell r="Q86">
            <v>3328620</v>
          </cell>
          <cell r="R86">
            <v>0.23849999999999999</v>
          </cell>
        </row>
        <row r="87">
          <cell r="A87" t="str">
            <v>OXY</v>
          </cell>
          <cell r="D87" t="str">
            <v>USD</v>
          </cell>
          <cell r="E87">
            <v>45980.727249536722</v>
          </cell>
          <cell r="F87">
            <v>42.52</v>
          </cell>
          <cell r="G87">
            <v>41.41</v>
          </cell>
          <cell r="H87">
            <v>41.484999999999999</v>
          </cell>
          <cell r="I87">
            <v>40.937100000000001</v>
          </cell>
          <cell r="J87">
            <v>41.63</v>
          </cell>
          <cell r="K87">
            <v>30.285399999999999</v>
          </cell>
          <cell r="L87">
            <v>-1.0349999999999999</v>
          </cell>
          <cell r="M87">
            <v>-2.4340999999999998E-2</v>
          </cell>
          <cell r="N87">
            <v>34.784999999999997</v>
          </cell>
          <cell r="O87">
            <v>53.2</v>
          </cell>
          <cell r="P87">
            <v>3444891</v>
          </cell>
          <cell r="Q87">
            <v>9793412</v>
          </cell>
          <cell r="R87">
            <v>0.3846</v>
          </cell>
        </row>
        <row r="88">
          <cell r="A88" t="str">
            <v>PFE</v>
          </cell>
          <cell r="D88" t="str">
            <v>USD</v>
          </cell>
          <cell r="E88">
            <v>45980.727331816408</v>
          </cell>
          <cell r="F88">
            <v>25.45</v>
          </cell>
          <cell r="G88">
            <v>25.36</v>
          </cell>
          <cell r="H88">
            <v>25.015000000000001</v>
          </cell>
          <cell r="I88">
            <v>24.9</v>
          </cell>
          <cell r="J88">
            <v>25.5</v>
          </cell>
          <cell r="K88">
            <v>14.5809</v>
          </cell>
          <cell r="L88">
            <v>-0.435</v>
          </cell>
          <cell r="M88">
            <v>-1.7092E-2</v>
          </cell>
          <cell r="N88">
            <v>20.914999999999999</v>
          </cell>
          <cell r="O88">
            <v>27.69</v>
          </cell>
          <cell r="P88">
            <v>24018212</v>
          </cell>
          <cell r="Q88">
            <v>86993985</v>
          </cell>
          <cell r="R88">
            <v>0.40799999999999997</v>
          </cell>
        </row>
        <row r="89">
          <cell r="A89" t="str">
            <v>RIG</v>
          </cell>
          <cell r="D89" t="str">
            <v>USD</v>
          </cell>
          <cell r="E89">
            <v>45980.727193020313</v>
          </cell>
          <cell r="F89">
            <v>4.13</v>
          </cell>
          <cell r="G89">
            <v>4.0149999999999997</v>
          </cell>
          <cell r="H89">
            <v>4.0949999999999998</v>
          </cell>
          <cell r="I89">
            <v>3.98</v>
          </cell>
          <cell r="J89">
            <v>4.1399999999999997</v>
          </cell>
          <cell r="K89">
            <v>0</v>
          </cell>
          <cell r="L89">
            <v>-3.5000000000000003E-2</v>
          </cell>
          <cell r="M89">
            <v>-8.4749999999999999E-3</v>
          </cell>
          <cell r="N89">
            <v>1.97</v>
          </cell>
          <cell r="O89">
            <v>4.5149999999999997</v>
          </cell>
          <cell r="P89">
            <v>16087870</v>
          </cell>
          <cell r="Q89">
            <v>56027364</v>
          </cell>
          <cell r="R89">
            <v>1.3791</v>
          </cell>
        </row>
        <row r="90">
          <cell r="A90" t="str">
            <v>RRC</v>
          </cell>
          <cell r="D90" t="str">
            <v>USD</v>
          </cell>
          <cell r="E90">
            <v>45980.727274501565</v>
          </cell>
          <cell r="F90">
            <v>39.03</v>
          </cell>
          <cell r="G90">
            <v>38.53</v>
          </cell>
          <cell r="H90">
            <v>39.075000000000003</v>
          </cell>
          <cell r="I90">
            <v>38.42</v>
          </cell>
          <cell r="J90">
            <v>39.26</v>
          </cell>
          <cell r="K90">
            <v>16.409099999999999</v>
          </cell>
          <cell r="L90">
            <v>4.4999999999999998E-2</v>
          </cell>
          <cell r="M90">
            <v>1.1529999999999999E-3</v>
          </cell>
          <cell r="N90">
            <v>30.32</v>
          </cell>
          <cell r="O90">
            <v>43.5</v>
          </cell>
          <cell r="P90">
            <v>691724</v>
          </cell>
          <cell r="Q90">
            <v>2975300</v>
          </cell>
          <cell r="R90">
            <v>0.45250000000000001</v>
          </cell>
        </row>
        <row r="91">
          <cell r="A91" t="str">
            <v>XYZ</v>
          </cell>
          <cell r="D91" t="str">
            <v>USD</v>
          </cell>
          <cell r="E91">
            <v>45980.727218078122</v>
          </cell>
          <cell r="F91">
            <v>57.64</v>
          </cell>
          <cell r="G91">
            <v>58.6</v>
          </cell>
          <cell r="H91">
            <v>57.494999999999997</v>
          </cell>
          <cell r="I91">
            <v>57.15</v>
          </cell>
          <cell r="J91">
            <v>58.7</v>
          </cell>
          <cell r="K91">
            <v>28.909400000000002</v>
          </cell>
          <cell r="L91">
            <v>-0.14499999999999999</v>
          </cell>
          <cell r="M91">
            <v>-2.516E-3</v>
          </cell>
          <cell r="N91">
            <v>44.27</v>
          </cell>
          <cell r="O91">
            <v>99.26</v>
          </cell>
          <cell r="P91">
            <v>4231796</v>
          </cell>
          <cell r="Q91">
            <v>6629601</v>
          </cell>
          <cell r="R91">
            <v>2.6939000000000002</v>
          </cell>
        </row>
        <row r="92">
          <cell r="A92" t="str">
            <v>THC</v>
          </cell>
          <cell r="D92" t="str">
            <v>USD</v>
          </cell>
          <cell r="E92">
            <v>45980.727111284374</v>
          </cell>
          <cell r="F92">
            <v>193</v>
          </cell>
          <cell r="G92">
            <v>192.595</v>
          </cell>
          <cell r="H92">
            <v>193.58</v>
          </cell>
          <cell r="I92">
            <v>190.24</v>
          </cell>
          <cell r="J92">
            <v>194.51499999999999</v>
          </cell>
          <cell r="K92">
            <v>12.866099999999999</v>
          </cell>
          <cell r="L92">
            <v>0.57999999999999996</v>
          </cell>
          <cell r="M92">
            <v>3.0049999999999999E-3</v>
          </cell>
          <cell r="N92">
            <v>109.82389999999999</v>
          </cell>
          <cell r="O92">
            <v>217.42500000000001</v>
          </cell>
          <cell r="P92">
            <v>357504</v>
          </cell>
          <cell r="Q92">
            <v>1053437</v>
          </cell>
          <cell r="R92">
            <v>1.4632000000000001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45980.715381944443</v>
          </cell>
          <cell r="F94">
            <v>9.6999999999999993</v>
          </cell>
          <cell r="G94">
            <v>9.798</v>
          </cell>
          <cell r="H94">
            <v>9.7650000000000006</v>
          </cell>
          <cell r="I94">
            <v>9.7650000000000006</v>
          </cell>
          <cell r="J94">
            <v>9.8149999999999995</v>
          </cell>
          <cell r="K94">
            <v>99</v>
          </cell>
          <cell r="L94">
            <v>6.5000000000000002E-2</v>
          </cell>
          <cell r="M94">
            <v>6.7010000000000004E-3</v>
          </cell>
          <cell r="N94">
            <v>7.4260000000000002</v>
          </cell>
          <cell r="O94">
            <v>10.672000000000001</v>
          </cell>
          <cell r="P94">
            <v>5775</v>
          </cell>
          <cell r="Q94" t="e">
            <v>#VALUE!</v>
          </cell>
          <cell r="R94">
            <v>0.58169999999999999</v>
          </cell>
        </row>
        <row r="95">
          <cell r="A95" t="str">
            <v>JBASML</v>
          </cell>
          <cell r="E95">
            <v>45980.708333333336</v>
          </cell>
          <cell r="F95">
            <v>865.6</v>
          </cell>
          <cell r="G95">
            <v>861.1</v>
          </cell>
          <cell r="H95">
            <v>886.6</v>
          </cell>
          <cell r="I95">
            <v>857.3</v>
          </cell>
          <cell r="J95">
            <v>895.2</v>
          </cell>
          <cell r="K95">
            <v>34.042299999999997</v>
          </cell>
          <cell r="L95">
            <v>21</v>
          </cell>
          <cell r="M95">
            <v>2.4260999999999998E-2</v>
          </cell>
          <cell r="N95">
            <v>508.4</v>
          </cell>
          <cell r="O95">
            <v>938.6</v>
          </cell>
          <cell r="P95">
            <v>569186</v>
          </cell>
          <cell r="Q95">
            <v>557280</v>
          </cell>
          <cell r="R95">
            <v>2.1166999999999998</v>
          </cell>
        </row>
        <row r="96">
          <cell r="A96" t="str">
            <v>JBEOAN</v>
          </cell>
          <cell r="E96">
            <v>45980.71597222222</v>
          </cell>
          <cell r="F96">
            <v>15.34</v>
          </cell>
          <cell r="G96">
            <v>15.315</v>
          </cell>
          <cell r="H96">
            <v>15.3</v>
          </cell>
          <cell r="I96">
            <v>15.23</v>
          </cell>
          <cell r="J96">
            <v>15.49</v>
          </cell>
          <cell r="K96">
            <v>13.3043</v>
          </cell>
          <cell r="L96">
            <v>-0.04</v>
          </cell>
          <cell r="M96">
            <v>-2.6079999999999996E-3</v>
          </cell>
          <cell r="N96">
            <v>7.3</v>
          </cell>
          <cell r="O96">
            <v>16.515000000000001</v>
          </cell>
          <cell r="P96">
            <v>1575</v>
          </cell>
          <cell r="Q96">
            <v>4593700</v>
          </cell>
          <cell r="R96">
            <v>0.86180000000000001</v>
          </cell>
        </row>
        <row r="99">
          <cell r="B99">
            <v>1.1528</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a>
  <a r="1" c="221">
    <v>220.22</v>
    <v>224.19</v>
    <v>227.61</v>
    <v>222.11</v>
    <v>222.13</v>
    <v>218.94</v>
    <v>218.46</v>
    <v>217.76</v>
    <v>223.35</v>
    <v>220.66</v>
    <v>225.94</v>
    <v>230.71</v>
    <v>235.01</v>
    <v>235.42</v>
    <v>234.85</v>
    <v>235.42</v>
    <v>238.15</v>
    <v>237.07</v>
    <v>234.64</v>
    <v>237.68</v>
    <v>237.42</v>
    <v>242.06</v>
    <v>236.17</v>
    <v>238.83</v>
    <v>229.15</v>
    <v>233.14</v>
    <v>232.76</v>
    <v>228.93</v>
    <v>230.37</v>
    <v>228.68</v>
    <v>226.65</v>
    <v>226.63</v>
    <v>222.88</v>
    <v>216.58</v>
    <v>212.71</v>
    <v>212.8</v>
    <v>214.35</v>
    <v>208.74</v>
    <v>212.28</v>
    <v>205.02</v>
    <v>203.8</v>
    <v>208.36</v>
    <v>200.7</v>
    <v>199.25</v>
    <v>194.54</v>
    <v>196.59</v>
    <v>198.89</v>
    <v>193.89</v>
    <v>197.95</v>
    <v>195.74</v>
    <v>192.82</v>
    <v>195.54</v>
    <v>194.95</v>
    <v>196.21</v>
    <v>203.26</v>
    <v>205.71</v>
    <v>201.13</v>
    <v>201.36</v>
    <v>192.72</v>
    <v>190.26</v>
    <v>192.17</v>
    <v>196.01</v>
    <v>178.41</v>
    <v>171</v>
    <v>175.26</v>
    <v>170.66</v>
    <v>191.1</v>
    <v>181.22</v>
    <v>184.87</v>
    <v>182.12</v>
    <v>179.59</v>
    <v>174.33</v>
    <v>172.61</v>
    <v>167.32</v>
    <v>173.18</v>
    <v>180.6</v>
    <v>186.54</v>
    <v>188.99</v>
    <v>187.7</v>
    <v>187.39</v>
    <v>184.42</v>
    <v>190.2</v>
    <v>189.98</v>
    <v>186.35</v>
    <v>185.01</v>
    <v>188.71</v>
    <v>192.08</v>
    <v>193.06</v>
    <v>208.64</v>
    <v>211.37</v>
    <v>210.25</v>
    <v>205.17</v>
    <v>205.59</v>
    <v>206.16</v>
    <v>204.07</v>
    <v>201.12</v>
    <v>203.1</v>
    <v>200.99</v>
    <v>206.02</v>
    <v>204.72</v>
    <v>205.7</v>
    <v>205.01</v>
    <v>206.65</v>
    <v>205.71</v>
    <v>207.23</v>
    <v>207.91</v>
    <v>213.57</v>
    <v>216.98</v>
    <v>217.61</v>
    <v>213.2</v>
    <v>213.24</v>
    <v>212.1</v>
    <v>216.1</v>
    <v>214.82</v>
    <v>212.52</v>
    <v>209.69</v>
    <v>208.47</v>
    <v>212.77</v>
    <v>211.99</v>
    <v>217.12</v>
    <v>223.3</v>
    <v>219.39</v>
    <v>220.46</v>
    <v>219.92</v>
    <v>223.41</v>
    <v>223.47</v>
    <v>219.36</v>
    <v>222.54</v>
    <v>222.26</v>
    <v>225.02</v>
    <v>225.69</v>
    <v>226.35</v>
    <v>223.19</v>
    <v>223.88</v>
    <v>226.13</v>
    <v>229.3</v>
    <v>227.47</v>
    <v>228.29</v>
    <v>232.23</v>
    <v>231.44</v>
    <v>232.79</v>
    <v>231.01</v>
    <v>230.19</v>
    <v>234.11</v>
    <v>214.75</v>
    <v>211.65</v>
    <v>213.75</v>
    <v>222.31</v>
    <v>223.13</v>
    <v>222.69</v>
    <v>221.3</v>
    <v>221.47</v>
    <v>224.56</v>
    <v>230.98</v>
    <v>231.03</v>
    <v>231.49</v>
    <v>228.01</v>
    <v>223.81</v>
    <v>221.95</v>
    <v>228.84</v>
    <v>227.94</v>
    <v>228.71</v>
    <v>229.12</v>
    <v>231.6</v>
    <v>229</v>
    <v>225.34</v>
    <v>225.99</v>
    <v>235.68</v>
    <v>232.33</v>
    <v>235.84</v>
    <v>238.24</v>
    <v>230.33</v>
    <v>229.95</v>
    <v>228.15</v>
    <v>231.43</v>
    <v>234.05</v>
    <v>231.62</v>
    <v>231.23</v>
    <v>231.48</v>
    <v>227.63</v>
    <v>220.71</v>
    <v>220.21</v>
    <v>218.15</v>
    <v>219.78</v>
    <v>222.17</v>
    <v>219.57</v>
    <v>220.63</v>
    <v>222.41</v>
    <v>219.51</v>
    <v>220.9</v>
    <v>221.78</v>
    <v>225.22</v>
    <v>227.74</v>
    <v>216.37</v>
    <v>220.07</v>
    <v>216.39</v>
    <v>215.57</v>
    <v>214.47</v>
    <v>213.04</v>
    <v>216.48</v>
    <v>222.03</v>
    <v>217.95</v>
    <v>221.09</v>
    <v>224.21</v>
    <v>226.97</v>
    <v>229.25</v>
    <v>230.3</v>
    <v>222.86</v>
    <v>244.22</v>
    <v>254</v>
    <v>249.32</v>
    <v>250.2</v>
    <v>243.04</v>
    <v>244.41</v>
    <v>248.4</v>
    <v>249.1</v>
    <v>244.2</v>
    <v>237.58</v>
    <v>234.69</v>
    <v>232.87</v>
    <v>222.55</v>
  </a>
</arrayData>
</file>

<file path=xl/richData/rdrichvalue.xml><?xml version="1.0" encoding="utf-8"?>
<rvData xmlns="http://schemas.microsoft.com/office/spreadsheetml/2017/richdata" count="443">
  <rv s="0">
    <fb>45979</fb>
    <v>0</v>
  </rv>
  <rv s="0">
    <fb>222.55</fb>
    <v>1</v>
  </rv>
  <rv s="0">
    <fb>45659</fb>
    <v>0</v>
  </rv>
  <rv s="0">
    <fb>220.22</fb>
    <v>1</v>
  </rv>
  <rv s="0">
    <fb>45978</fb>
    <v>0</v>
  </rv>
  <rv s="0">
    <fb>232.87</fb>
    <v>1</v>
  </rv>
  <rv s="0">
    <fb>45660</fb>
    <v>0</v>
  </rv>
  <rv s="0">
    <fb>224.19</fb>
    <v>1</v>
  </rv>
  <rv s="0">
    <fb>45975</fb>
    <v>0</v>
  </rv>
  <rv s="0">
    <fb>234.69</fb>
    <v>1</v>
  </rv>
  <rv s="0">
    <fb>45663</fb>
    <v>0</v>
  </rv>
  <rv s="0">
    <fb>227.61</fb>
    <v>1</v>
  </rv>
  <rv s="0">
    <fb>45974</fb>
    <v>0</v>
  </rv>
  <rv s="0">
    <fb>237.58</fb>
    <v>1</v>
  </rv>
  <rv s="0">
    <fb>45664</fb>
    <v>0</v>
  </rv>
  <rv s="0">
    <fb>222.11</fb>
    <v>1</v>
  </rv>
  <rv s="0">
    <fb>45973</fb>
    <v>0</v>
  </rv>
  <rv s="0">
    <fb>244.2</fb>
    <v>1</v>
  </rv>
  <rv s="0">
    <fb>45665</fb>
    <v>0</v>
  </rv>
  <rv s="0">
    <fb>222.13</fb>
    <v>1</v>
  </rv>
  <rv s="0">
    <fb>45972</fb>
    <v>0</v>
  </rv>
  <rv s="0">
    <fb>249.1</fb>
    <v>1</v>
  </rv>
  <rv s="0">
    <fb>45667</fb>
    <v>0</v>
  </rv>
  <rv s="0">
    <fb>218.94</fb>
    <v>1</v>
  </rv>
  <rv s="0">
    <fb>45971</fb>
    <v>0</v>
  </rv>
  <rv s="0">
    <fb>248.4</fb>
    <v>1</v>
  </rv>
  <rv s="0">
    <fb>45670</fb>
    <v>0</v>
  </rv>
  <rv s="0">
    <fb>218.46</fb>
    <v>1</v>
  </rv>
  <rv s="0">
    <fb>45968</fb>
    <v>0</v>
  </rv>
  <rv s="0">
    <fb>244.41</fb>
    <v>1</v>
  </rv>
  <rv s="0">
    <fb>45671</fb>
    <v>0</v>
  </rv>
  <rv s="0">
    <fb>217.76</fb>
    <v>1</v>
  </rv>
  <rv s="0">
    <fb>45967</fb>
    <v>0</v>
  </rv>
  <rv s="0">
    <fb>243.04</fb>
    <v>1</v>
  </rv>
  <rv s="0">
    <fb>45672</fb>
    <v>0</v>
  </rv>
  <rv s="0">
    <fb>223.35</fb>
    <v>1</v>
  </rv>
  <rv s="0">
    <fb>45966</fb>
    <v>0</v>
  </rv>
  <rv s="0">
    <fb>250.2</fb>
    <v>1</v>
  </rv>
  <rv s="0">
    <fb>45673</fb>
    <v>0</v>
  </rv>
  <rv s="0">
    <fb>220.66</fb>
    <v>1</v>
  </rv>
  <rv s="0">
    <fb>45965</fb>
    <v>0</v>
  </rv>
  <rv s="0">
    <fb>249.32</fb>
    <v>1</v>
  </rv>
  <rv s="0">
    <fb>45674</fb>
    <v>0</v>
  </rv>
  <rv s="0">
    <fb>225.94</fb>
    <v>1</v>
  </rv>
  <rv s="0">
    <fb>45964</fb>
    <v>0</v>
  </rv>
  <rv s="0">
    <fb>254</fb>
    <v>1</v>
  </rv>
  <rv s="0">
    <fb>45678</fb>
    <v>0</v>
  </rv>
  <rv s="0">
    <fb>230.71</fb>
    <v>1</v>
  </rv>
  <rv s="0">
    <fb>45961</fb>
    <v>0</v>
  </rv>
  <rv s="0">
    <fb>244.22</fb>
    <v>1</v>
  </rv>
  <rv s="0">
    <fb>45679</fb>
    <v>0</v>
  </rv>
  <rv s="0">
    <fb>235.01</fb>
    <v>1</v>
  </rv>
  <rv s="0">
    <fb>45960</fb>
    <v>0</v>
  </rv>
  <rv s="0">
    <fb>222.86</fb>
    <v>1</v>
  </rv>
  <rv s="0">
    <fb>45680</fb>
    <v>0</v>
  </rv>
  <rv s="0">
    <fb>235.42</fb>
    <v>1</v>
  </rv>
  <rv s="0">
    <fb>45959</fb>
    <v>0</v>
  </rv>
  <rv s="0">
    <fb>230.3</fb>
    <v>1</v>
  </rv>
  <rv s="0">
    <fb>45681</fb>
    <v>0</v>
  </rv>
  <rv s="0">
    <fb>234.85</fb>
    <v>1</v>
  </rv>
  <rv s="0">
    <fb>45958</fb>
    <v>0</v>
  </rv>
  <rv s="0">
    <fb>229.25</fb>
    <v>1</v>
  </rv>
  <rv s="0">
    <fb>45684</fb>
    <v>0</v>
  </rv>
  <rv s="0">
    <fb>45957</fb>
    <v>0</v>
  </rv>
  <rv s="0">
    <fb>226.97</fb>
    <v>1</v>
  </rv>
  <rv s="0">
    <fb>45685</fb>
    <v>0</v>
  </rv>
  <rv s="0">
    <fb>238.15</fb>
    <v>1</v>
  </rv>
  <rv s="0">
    <fb>45954</fb>
    <v>0</v>
  </rv>
  <rv s="0">
    <fb>224.21</fb>
    <v>1</v>
  </rv>
  <rv s="0">
    <fb>45686</fb>
    <v>0</v>
  </rv>
  <rv s="0">
    <fb>237.07</fb>
    <v>1</v>
  </rv>
  <rv s="0">
    <fb>45953</fb>
    <v>0</v>
  </rv>
  <rv s="0">
    <fb>221.09</fb>
    <v>1</v>
  </rv>
  <rv s="0">
    <fb>45687</fb>
    <v>0</v>
  </rv>
  <rv s="0">
    <fb>234.64</fb>
    <v>1</v>
  </rv>
  <rv s="0">
    <fb>45952</fb>
    <v>0</v>
  </rv>
  <rv s="0">
    <fb>217.95</fb>
    <v>1</v>
  </rv>
  <rv s="0">
    <fb>45688</fb>
    <v>0</v>
  </rv>
  <rv s="0">
    <fb>237.68</fb>
    <v>1</v>
  </rv>
  <rv s="0">
    <fb>45951</fb>
    <v>0</v>
  </rv>
  <rv s="0">
    <fb>222.03</fb>
    <v>1</v>
  </rv>
  <rv s="0">
    <fb>45691</fb>
    <v>0</v>
  </rv>
  <rv s="0">
    <fb>237.42</fb>
    <v>1</v>
  </rv>
  <rv s="0">
    <fb>45950</fb>
    <v>0</v>
  </rv>
  <rv s="0">
    <fb>216.48</fb>
    <v>1</v>
  </rv>
  <rv s="0">
    <fb>45692</fb>
    <v>0</v>
  </rv>
  <rv s="0">
    <fb>242.06</fb>
    <v>1</v>
  </rv>
  <rv s="0">
    <fb>45947</fb>
    <v>0</v>
  </rv>
  <rv s="0">
    <fb>213.04</fb>
    <v>1</v>
  </rv>
  <rv s="0">
    <fb>45693</fb>
    <v>0</v>
  </rv>
  <rv s="0">
    <fb>236.17</fb>
    <v>1</v>
  </rv>
  <rv s="0">
    <fb>45946</fb>
    <v>0</v>
  </rv>
  <rv s="0">
    <fb>214.47</fb>
    <v>1</v>
  </rv>
  <rv s="0">
    <fb>45694</fb>
    <v>0</v>
  </rv>
  <rv s="0">
    <fb>238.83</fb>
    <v>1</v>
  </rv>
  <rv s="0">
    <fb>45945</fb>
    <v>0</v>
  </rv>
  <rv s="0">
    <fb>215.57</fb>
    <v>1</v>
  </rv>
  <rv s="0">
    <fb>45695</fb>
    <v>0</v>
  </rv>
  <rv s="0">
    <fb>229.15</fb>
    <v>1</v>
  </rv>
  <rv s="0">
    <fb>45944</fb>
    <v>0</v>
  </rv>
  <rv s="0">
    <fb>216.39</fb>
    <v>1</v>
  </rv>
  <rv s="0">
    <fb>45698</fb>
    <v>0</v>
  </rv>
  <rv s="0">
    <fb>233.14</fb>
    <v>1</v>
  </rv>
  <rv s="0">
    <fb>45943</fb>
    <v>0</v>
  </rv>
  <rv s="0">
    <fb>220.07</fb>
    <v>1</v>
  </rv>
  <rv s="0">
    <fb>45699</fb>
    <v>0</v>
  </rv>
  <rv s="0">
    <fb>232.76</fb>
    <v>1</v>
  </rv>
  <rv s="0">
    <fb>45940</fb>
    <v>0</v>
  </rv>
  <rv s="0">
    <fb>216.37</fb>
    <v>1</v>
  </rv>
  <rv s="0">
    <fb>45700</fb>
    <v>0</v>
  </rv>
  <rv s="0">
    <fb>228.93</fb>
    <v>1</v>
  </rv>
  <rv s="0">
    <fb>45939</fb>
    <v>0</v>
  </rv>
  <rv s="0">
    <fb>227.74</fb>
    <v>1</v>
  </rv>
  <rv s="0">
    <fb>45701</fb>
    <v>0</v>
  </rv>
  <rv s="0">
    <fb>230.37</fb>
    <v>1</v>
  </rv>
  <rv s="0">
    <fb>45938</fb>
    <v>0</v>
  </rv>
  <rv s="0">
    <fb>225.22</fb>
    <v>1</v>
  </rv>
  <rv s="0">
    <fb>45702</fb>
    <v>0</v>
  </rv>
  <rv s="0">
    <fb>228.68</fb>
    <v>1</v>
  </rv>
  <rv s="0">
    <fb>45937</fb>
    <v>0</v>
  </rv>
  <rv s="0">
    <fb>221.78</fb>
    <v>1</v>
  </rv>
  <rv s="0">
    <fb>45706</fb>
    <v>0</v>
  </rv>
  <rv s="0">
    <fb>226.65</fb>
    <v>1</v>
  </rv>
  <rv s="0">
    <fb>45936</fb>
    <v>0</v>
  </rv>
  <rv s="0">
    <fb>220.9</fb>
    <v>1</v>
  </rv>
  <rv s="0">
    <fb>45707</fb>
    <v>0</v>
  </rv>
  <rv s="0">
    <fb>226.63</fb>
    <v>1</v>
  </rv>
  <rv s="0">
    <fb>45933</fb>
    <v>0</v>
  </rv>
  <rv s="0">
    <fb>219.51</fb>
    <v>1</v>
  </rv>
  <rv s="0">
    <fb>45708</fb>
    <v>0</v>
  </rv>
  <rv s="0">
    <fb>222.88</fb>
    <v>1</v>
  </rv>
  <rv s="0">
    <fb>45932</fb>
    <v>0</v>
  </rv>
  <rv s="0">
    <fb>222.41</fb>
    <v>1</v>
  </rv>
  <rv s="0">
    <fb>45709</fb>
    <v>0</v>
  </rv>
  <rv s="0">
    <fb>216.58</fb>
    <v>1</v>
  </rv>
  <rv s="0">
    <fb>45931</fb>
    <v>0</v>
  </rv>
  <rv s="0">
    <fb>220.63</fb>
    <v>1</v>
  </rv>
  <rv s="0">
    <fb>45712</fb>
    <v>0</v>
  </rv>
  <rv s="0">
    <fb>212.71</fb>
    <v>1</v>
  </rv>
  <rv s="0">
    <fb>45930</fb>
    <v>0</v>
  </rv>
  <rv s="0">
    <fb>219.57</fb>
    <v>1</v>
  </rv>
  <rv s="0">
    <fb>45713</fb>
    <v>0</v>
  </rv>
  <rv s="0">
    <fb>212.8</fb>
    <v>1</v>
  </rv>
  <rv s="0">
    <fb>45929</fb>
    <v>0</v>
  </rv>
  <rv s="0">
    <fb>222.17</fb>
    <v>1</v>
  </rv>
  <rv s="0">
    <fb>45714</fb>
    <v>0</v>
  </rv>
  <rv s="0">
    <fb>214.35</fb>
    <v>1</v>
  </rv>
  <rv s="0">
    <fb>45926</fb>
    <v>0</v>
  </rv>
  <rv s="0">
    <fb>219.78</fb>
    <v>1</v>
  </rv>
  <rv s="0">
    <fb>45715</fb>
    <v>0</v>
  </rv>
  <rv s="0">
    <fb>208.74</fb>
    <v>1</v>
  </rv>
  <rv s="0">
    <fb>45925</fb>
    <v>0</v>
  </rv>
  <rv s="0">
    <fb>218.15</fb>
    <v>1</v>
  </rv>
  <rv s="0">
    <fb>45716</fb>
    <v>0</v>
  </rv>
  <rv s="0">
    <fb>212.28</fb>
    <v>1</v>
  </rv>
  <rv s="0">
    <fb>45924</fb>
    <v>0</v>
  </rv>
  <rv s="0">
    <fb>220.21</fb>
    <v>1</v>
  </rv>
  <rv s="0">
    <fb>45719</fb>
    <v>0</v>
  </rv>
  <rv s="0">
    <fb>205.02</fb>
    <v>1</v>
  </rv>
  <rv s="0">
    <fb>45923</fb>
    <v>0</v>
  </rv>
  <rv s="0">
    <fb>220.71</fb>
    <v>1</v>
  </rv>
  <rv s="0">
    <fb>45720</fb>
    <v>0</v>
  </rv>
  <rv s="0">
    <fb>203.8</fb>
    <v>1</v>
  </rv>
  <rv s="0">
    <fb>45922</fb>
    <v>0</v>
  </rv>
  <rv s="0">
    <fb>227.63</fb>
    <v>1</v>
  </rv>
  <rv s="0">
    <fb>45721</fb>
    <v>0</v>
  </rv>
  <rv s="0">
    <fb>208.36</fb>
    <v>1</v>
  </rv>
  <rv s="0">
    <fb>45919</fb>
    <v>0</v>
  </rv>
  <rv s="0">
    <fb>231.48</fb>
    <v>1</v>
  </rv>
  <rv s="0">
    <fb>45722</fb>
    <v>0</v>
  </rv>
  <rv s="0">
    <fb>200.7</fb>
    <v>1</v>
  </rv>
  <rv s="0">
    <fb>45918</fb>
    <v>0</v>
  </rv>
  <rv s="0">
    <fb>231.23</fb>
    <v>1</v>
  </rv>
  <rv s="0">
    <fb>45723</fb>
    <v>0</v>
  </rv>
  <rv s="0">
    <fb>199.25</fb>
    <v>1</v>
  </rv>
  <rv s="0">
    <fb>45917</fb>
    <v>0</v>
  </rv>
  <rv s="0">
    <fb>231.62</fb>
    <v>1</v>
  </rv>
  <rv s="0">
    <fb>45726</fb>
    <v>0</v>
  </rv>
  <rv s="0">
    <fb>194.54</fb>
    <v>1</v>
  </rv>
  <rv s="0">
    <fb>45916</fb>
    <v>0</v>
  </rv>
  <rv s="0">
    <fb>234.05</fb>
    <v>1</v>
  </rv>
  <rv s="0">
    <fb>45727</fb>
    <v>0</v>
  </rv>
  <rv s="0">
    <fb>196.59</fb>
    <v>1</v>
  </rv>
  <rv s="0">
    <fb>45915</fb>
    <v>0</v>
  </rv>
  <rv s="0">
    <fb>231.43</fb>
    <v>1</v>
  </rv>
  <rv s="0">
    <fb>45728</fb>
    <v>0</v>
  </rv>
  <rv s="0">
    <fb>198.89</fb>
    <v>1</v>
  </rv>
  <rv s="0">
    <fb>45912</fb>
    <v>0</v>
  </rv>
  <rv s="0">
    <fb>228.15</fb>
    <v>1</v>
  </rv>
  <rv s="0">
    <fb>45729</fb>
    <v>0</v>
  </rv>
  <rv s="0">
    <fb>193.89</fb>
    <v>1</v>
  </rv>
  <rv s="0">
    <fb>45911</fb>
    <v>0</v>
  </rv>
  <rv s="0">
    <fb>229.95</fb>
    <v>1</v>
  </rv>
  <rv s="0">
    <fb>45730</fb>
    <v>0</v>
  </rv>
  <rv s="0">
    <fb>197.95</fb>
    <v>1</v>
  </rv>
  <rv s="0">
    <fb>45910</fb>
    <v>0</v>
  </rv>
  <rv s="0">
    <fb>230.33</fb>
    <v>1</v>
  </rv>
  <rv s="0">
    <fb>45733</fb>
    <v>0</v>
  </rv>
  <rv s="0">
    <fb>195.74</fb>
    <v>1</v>
  </rv>
  <rv s="0">
    <fb>45909</fb>
    <v>0</v>
  </rv>
  <rv s="0">
    <fb>238.24</fb>
    <v>1</v>
  </rv>
  <rv s="0">
    <fb>45734</fb>
    <v>0</v>
  </rv>
  <rv s="0">
    <fb>192.82</fb>
    <v>1</v>
  </rv>
  <rv s="0">
    <fb>45908</fb>
    <v>0</v>
  </rv>
  <rv s="0">
    <fb>235.84</fb>
    <v>1</v>
  </rv>
  <rv s="0">
    <fb>45735</fb>
    <v>0</v>
  </rv>
  <rv s="0">
    <fb>195.54</fb>
    <v>1</v>
  </rv>
  <rv s="0">
    <fb>45905</fb>
    <v>0</v>
  </rv>
  <rv s="0">
    <fb>232.33</fb>
    <v>1</v>
  </rv>
  <rv s="0">
    <fb>45736</fb>
    <v>0</v>
  </rv>
  <rv s="0">
    <fb>194.95</fb>
    <v>1</v>
  </rv>
  <rv s="0">
    <fb>45904</fb>
    <v>0</v>
  </rv>
  <rv s="0">
    <fb>235.68</fb>
    <v>1</v>
  </rv>
  <rv s="0">
    <fb>45737</fb>
    <v>0</v>
  </rv>
  <rv s="0">
    <fb>196.21</fb>
    <v>1</v>
  </rv>
  <rv s="0">
    <fb>45903</fb>
    <v>0</v>
  </rv>
  <rv s="0">
    <fb>225.99</fb>
    <v>1</v>
  </rv>
  <rv s="0">
    <fb>45740</fb>
    <v>0</v>
  </rv>
  <rv s="0">
    <fb>203.26</fb>
    <v>1</v>
  </rv>
  <rv s="0">
    <fb>45902</fb>
    <v>0</v>
  </rv>
  <rv s="0">
    <fb>225.34</fb>
    <v>1</v>
  </rv>
  <rv s="0">
    <fb>45741</fb>
    <v>0</v>
  </rv>
  <rv s="0">
    <fb>205.71</fb>
    <v>1</v>
  </rv>
  <rv s="0">
    <fb>45898</fb>
    <v>0</v>
  </rv>
  <rv s="0">
    <fb>229</fb>
    <v>1</v>
  </rv>
  <rv s="0">
    <fb>45742</fb>
    <v>0</v>
  </rv>
  <rv s="0">
    <fb>201.13</fb>
    <v>1</v>
  </rv>
  <rv s="0">
    <fb>45897</fb>
    <v>0</v>
  </rv>
  <rv s="0">
    <fb>231.6</fb>
    <v>1</v>
  </rv>
  <rv s="0">
    <fb>45743</fb>
    <v>0</v>
  </rv>
  <rv s="0">
    <fb>201.36</fb>
    <v>1</v>
  </rv>
  <rv s="0">
    <fb>45896</fb>
    <v>0</v>
  </rv>
  <rv s="0">
    <fb>229.12</fb>
    <v>1</v>
  </rv>
  <rv s="0">
    <fb>45744</fb>
    <v>0</v>
  </rv>
  <rv s="0">
    <fb>192.72</fb>
    <v>1</v>
  </rv>
  <rv s="0">
    <fb>45895</fb>
    <v>0</v>
  </rv>
  <rv s="0">
    <fb>228.71</fb>
    <v>1</v>
  </rv>
  <rv s="0">
    <fb>45747</fb>
    <v>0</v>
  </rv>
  <rv s="0">
    <fb>190.26</fb>
    <v>1</v>
  </rv>
  <rv s="0">
    <fb>45894</fb>
    <v>0</v>
  </rv>
  <rv s="0">
    <fb>227.94</fb>
    <v>1</v>
  </rv>
  <rv s="0">
    <fb>45748</fb>
    <v>0</v>
  </rv>
  <rv s="0">
    <fb>192.17</fb>
    <v>1</v>
  </rv>
  <rv s="0">
    <fb>45891</fb>
    <v>0</v>
  </rv>
  <rv s="0">
    <fb>228.84</fb>
    <v>1</v>
  </rv>
  <rv s="0">
    <fb>45749</fb>
    <v>0</v>
  </rv>
  <rv s="0">
    <fb>196.01</fb>
    <v>1</v>
  </rv>
  <rv s="0">
    <fb>45890</fb>
    <v>0</v>
  </rv>
  <rv s="0">
    <fb>221.95</fb>
    <v>1</v>
  </rv>
  <rv s="0">
    <fb>45750</fb>
    <v>0</v>
  </rv>
  <rv s="0">
    <fb>178.41</fb>
    <v>1</v>
  </rv>
  <rv s="0">
    <fb>45889</fb>
    <v>0</v>
  </rv>
  <rv s="0">
    <fb>223.81</fb>
    <v>1</v>
  </rv>
  <rv s="0">
    <fb>45751</fb>
    <v>0</v>
  </rv>
  <rv s="0">
    <fb>171</fb>
    <v>1</v>
  </rv>
  <rv s="0">
    <fb>45888</fb>
    <v>0</v>
  </rv>
  <rv s="0">
    <fb>228.01</fb>
    <v>1</v>
  </rv>
  <rv s="0">
    <fb>45754</fb>
    <v>0</v>
  </rv>
  <rv s="0">
    <fb>175.26</fb>
    <v>1</v>
  </rv>
  <rv s="0">
    <fb>45887</fb>
    <v>0</v>
  </rv>
  <rv s="0">
    <fb>231.49</fb>
    <v>1</v>
  </rv>
  <rv s="0">
    <fb>45755</fb>
    <v>0</v>
  </rv>
  <rv s="0">
    <fb>170.66</fb>
    <v>1</v>
  </rv>
  <rv s="0">
    <fb>45884</fb>
    <v>0</v>
  </rv>
  <rv s="0">
    <fb>231.03</fb>
    <v>1</v>
  </rv>
  <rv s="0">
    <fb>45756</fb>
    <v>0</v>
  </rv>
  <rv s="0">
    <fb>191.1</fb>
    <v>1</v>
  </rv>
  <rv s="0">
    <fb>45883</fb>
    <v>0</v>
  </rv>
  <rv s="0">
    <fb>230.98</fb>
    <v>1</v>
  </rv>
  <rv s="0">
    <fb>45757</fb>
    <v>0</v>
  </rv>
  <rv s="0">
    <fb>181.22</fb>
    <v>1</v>
  </rv>
  <rv s="0">
    <fb>45882</fb>
    <v>0</v>
  </rv>
  <rv s="0">
    <fb>224.56</fb>
    <v>1</v>
  </rv>
  <rv s="0">
    <fb>45758</fb>
    <v>0</v>
  </rv>
  <rv s="0">
    <fb>184.87</fb>
    <v>1</v>
  </rv>
  <rv s="0">
    <fb>45881</fb>
    <v>0</v>
  </rv>
  <rv s="0">
    <fb>221.47</fb>
    <v>1</v>
  </rv>
  <rv s="0">
    <fb>45761</fb>
    <v>0</v>
  </rv>
  <rv s="0">
    <fb>182.12</fb>
    <v>1</v>
  </rv>
  <rv s="0">
    <fb>45880</fb>
    <v>0</v>
  </rv>
  <rv s="0">
    <fb>221.3</fb>
    <v>1</v>
  </rv>
  <rv s="0">
    <fb>45762</fb>
    <v>0</v>
  </rv>
  <rv s="0">
    <fb>179.59</fb>
    <v>1</v>
  </rv>
  <rv s="0">
    <fb>45877</fb>
    <v>0</v>
  </rv>
  <rv s="0">
    <fb>222.69</fb>
    <v>1</v>
  </rv>
  <rv s="0">
    <fb>45763</fb>
    <v>0</v>
  </rv>
  <rv s="0">
    <fb>174.33</fb>
    <v>1</v>
  </rv>
  <rv s="0">
    <fb>45876</fb>
    <v>0</v>
  </rv>
  <rv s="0">
    <fb>223.13</fb>
    <v>1</v>
  </rv>
  <rv s="0">
    <fb>45764</fb>
    <v>0</v>
  </rv>
  <rv s="0">
    <fb>172.61</fb>
    <v>1</v>
  </rv>
  <rv s="0">
    <fb>45875</fb>
    <v>0</v>
  </rv>
  <rv s="0">
    <fb>222.31</fb>
    <v>1</v>
  </rv>
  <rv s="0">
    <fb>45768</fb>
    <v>0</v>
  </rv>
  <rv s="0">
    <fb>167.32</fb>
    <v>1</v>
  </rv>
  <rv s="0">
    <fb>45874</fb>
    <v>0</v>
  </rv>
  <rv s="0">
    <fb>213.75</fb>
    <v>1</v>
  </rv>
  <rv s="0">
    <fb>45769</fb>
    <v>0</v>
  </rv>
  <rv s="0">
    <fb>173.18</fb>
    <v>1</v>
  </rv>
  <rv s="0">
    <fb>45873</fb>
    <v>0</v>
  </rv>
  <rv s="0">
    <fb>211.65</fb>
    <v>1</v>
  </rv>
  <rv s="0">
    <fb>45770</fb>
    <v>0</v>
  </rv>
  <rv s="0">
    <fb>180.6</fb>
    <v>1</v>
  </rv>
  <rv s="0">
    <fb>45870</fb>
    <v>0</v>
  </rv>
  <rv s="0">
    <fb>214.75</fb>
    <v>1</v>
  </rv>
  <rv s="0">
    <fb>45771</fb>
    <v>0</v>
  </rv>
  <rv s="0">
    <fb>186.54</fb>
    <v>1</v>
  </rv>
  <rv s="0">
    <fb>45869</fb>
    <v>0</v>
  </rv>
  <rv s="0">
    <fb>234.11</fb>
    <v>1</v>
  </rv>
  <rv s="0">
    <fb>45772</fb>
    <v>0</v>
  </rv>
  <rv s="0">
    <fb>188.99</fb>
    <v>1</v>
  </rv>
  <rv s="0">
    <fb>45868</fb>
    <v>0</v>
  </rv>
  <rv s="0">
    <fb>230.19</fb>
    <v>1</v>
  </rv>
  <rv s="0">
    <fb>45775</fb>
    <v>0</v>
  </rv>
  <rv s="0">
    <fb>187.7</fb>
    <v>1</v>
  </rv>
  <rv s="0">
    <fb>45867</fb>
    <v>0</v>
  </rv>
  <rv s="0">
    <fb>231.01</fb>
    <v>1</v>
  </rv>
  <rv s="0">
    <fb>45776</fb>
    <v>0</v>
  </rv>
  <rv s="0">
    <fb>187.39</fb>
    <v>1</v>
  </rv>
  <rv s="0">
    <fb>45866</fb>
    <v>0</v>
  </rv>
  <rv s="0">
    <fb>232.79</fb>
    <v>1</v>
  </rv>
  <rv s="0">
    <fb>45777</fb>
    <v>0</v>
  </rv>
  <rv s="0">
    <fb>184.42</fb>
    <v>1</v>
  </rv>
  <rv s="0">
    <fb>45863</fb>
    <v>0</v>
  </rv>
  <rv s="0">
    <fb>231.44</fb>
    <v>1</v>
  </rv>
  <rv s="0">
    <fb>45778</fb>
    <v>0</v>
  </rv>
  <rv s="0">
    <fb>190.2</fb>
    <v>1</v>
  </rv>
  <rv s="0">
    <fb>45862</fb>
    <v>0</v>
  </rv>
  <rv s="0">
    <fb>232.23</fb>
    <v>1</v>
  </rv>
  <rv s="0">
    <fb>45779</fb>
    <v>0</v>
  </rv>
  <rv s="0">
    <fb>189.98</fb>
    <v>1</v>
  </rv>
  <rv s="0">
    <fb>45861</fb>
    <v>0</v>
  </rv>
  <rv s="0">
    <fb>228.29</fb>
    <v>1</v>
  </rv>
  <rv s="0">
    <fb>45782</fb>
    <v>0</v>
  </rv>
  <rv s="0">
    <fb>186.35</fb>
    <v>1</v>
  </rv>
  <rv s="0">
    <fb>45860</fb>
    <v>0</v>
  </rv>
  <rv s="0">
    <fb>227.47</fb>
    <v>1</v>
  </rv>
  <rv s="0">
    <fb>45783</fb>
    <v>0</v>
  </rv>
  <rv s="0">
    <fb>185.01</fb>
    <v>1</v>
  </rv>
  <rv s="0">
    <fb>45859</fb>
    <v>0</v>
  </rv>
  <rv s="0">
    <fb>229.3</fb>
    <v>1</v>
  </rv>
  <rv s="0">
    <fb>45784</fb>
    <v>0</v>
  </rv>
  <rv s="0">
    <fb>188.71</fb>
    <v>1</v>
  </rv>
  <rv s="0">
    <fb>45856</fb>
    <v>0</v>
  </rv>
  <rv s="0">
    <fb>226.13</fb>
    <v>1</v>
  </rv>
  <rv s="0">
    <fb>45785</fb>
    <v>0</v>
  </rv>
  <rv s="0">
    <fb>192.08</fb>
    <v>1</v>
  </rv>
  <rv s="0">
    <fb>45855</fb>
    <v>0</v>
  </rv>
  <rv s="0">
    <fb>223.88</fb>
    <v>1</v>
  </rv>
  <rv s="0">
    <fb>45786</fb>
    <v>0</v>
  </rv>
  <rv s="0">
    <fb>193.06</fb>
    <v>1</v>
  </rv>
  <rv s="0">
    <fb>45854</fb>
    <v>0</v>
  </rv>
  <rv s="0">
    <fb>223.19</fb>
    <v>1</v>
  </rv>
  <rv s="0">
    <fb>45789</fb>
    <v>0</v>
  </rv>
  <rv s="0">
    <fb>208.64</fb>
    <v>1</v>
  </rv>
  <rv s="0">
    <fb>45853</fb>
    <v>0</v>
  </rv>
  <rv s="0">
    <fb>226.35</fb>
    <v>1</v>
  </rv>
  <rv s="0">
    <fb>45790</fb>
    <v>0</v>
  </rv>
  <rv s="0">
    <fb>211.37</fb>
    <v>1</v>
  </rv>
  <rv s="0">
    <fb>45852</fb>
    <v>0</v>
  </rv>
  <rv s="0">
    <fb>225.69</fb>
    <v>1</v>
  </rv>
  <rv s="0">
    <fb>45791</fb>
    <v>0</v>
  </rv>
  <rv s="0">
    <fb>210.25</fb>
    <v>1</v>
  </rv>
  <rv s="0">
    <fb>45849</fb>
    <v>0</v>
  </rv>
  <rv s="0">
    <fb>225.02</fb>
    <v>1</v>
  </rv>
  <rv s="0">
    <fb>45792</fb>
    <v>0</v>
  </rv>
  <rv s="0">
    <fb>205.17</fb>
    <v>1</v>
  </rv>
  <rv s="0">
    <fb>45848</fb>
    <v>0</v>
  </rv>
  <rv s="0">
    <fb>222.26</fb>
    <v>1</v>
  </rv>
  <rv s="0">
    <fb>45793</fb>
    <v>0</v>
  </rv>
  <rv s="0">
    <fb>205.59</fb>
    <v>1</v>
  </rv>
  <rv s="0">
    <fb>45847</fb>
    <v>0</v>
  </rv>
  <rv s="0">
    <fb>222.54</fb>
    <v>1</v>
  </rv>
  <rv s="0">
    <fb>45796</fb>
    <v>0</v>
  </rv>
  <rv s="0">
    <fb>206.16</fb>
    <v>1</v>
  </rv>
  <rv s="0">
    <fb>45846</fb>
    <v>0</v>
  </rv>
  <rv s="0">
    <fb>219.36</fb>
    <v>1</v>
  </rv>
  <rv s="0">
    <fb>45797</fb>
    <v>0</v>
  </rv>
  <rv s="0">
    <fb>204.07</fb>
    <v>1</v>
  </rv>
  <rv s="0">
    <fb>45845</fb>
    <v>0</v>
  </rv>
  <rv s="0">
    <fb>223.47</fb>
    <v>1</v>
  </rv>
  <rv s="0">
    <fb>45798</fb>
    <v>0</v>
  </rv>
  <rv s="0">
    <fb>201.12</fb>
    <v>1</v>
  </rv>
  <rv s="0">
    <fb>45841</fb>
    <v>0</v>
  </rv>
  <rv s="0">
    <fb>223.41</fb>
    <v>1</v>
  </rv>
  <rv s="0">
    <fb>45799</fb>
    <v>0</v>
  </rv>
  <rv s="0">
    <fb>203.1</fb>
    <v>1</v>
  </rv>
  <rv s="0">
    <fb>45840</fb>
    <v>0</v>
  </rv>
  <rv s="0">
    <fb>219.92</fb>
    <v>1</v>
  </rv>
  <rv s="0">
    <fb>45800</fb>
    <v>0</v>
  </rv>
  <rv s="0">
    <fb>200.99</fb>
    <v>1</v>
  </rv>
  <rv s="0">
    <fb>45839</fb>
    <v>0</v>
  </rv>
  <rv s="0">
    <fb>220.46</fb>
    <v>1</v>
  </rv>
  <rv s="0">
    <fb>45804</fb>
    <v>0</v>
  </rv>
  <rv s="0">
    <fb>206.02</fb>
    <v>1</v>
  </rv>
  <rv s="0">
    <fb>45838</fb>
    <v>0</v>
  </rv>
  <rv s="0">
    <fb>219.39</fb>
    <v>1</v>
  </rv>
  <rv s="0">
    <fb>45805</fb>
    <v>0</v>
  </rv>
  <rv s="0">
    <fb>204.72</fb>
    <v>1</v>
  </rv>
  <rv s="0">
    <fb>45835</fb>
    <v>0</v>
  </rv>
  <rv s="0">
    <fb>223.3</fb>
    <v>1</v>
  </rv>
  <rv s="0">
    <fb>45806</fb>
    <v>0</v>
  </rv>
  <rv s="0">
    <fb>205.7</fb>
    <v>1</v>
  </rv>
  <rv s="0">
    <fb>45834</fb>
    <v>0</v>
  </rv>
  <rv s="0">
    <fb>217.12</fb>
    <v>1</v>
  </rv>
  <rv s="0">
    <fb>45807</fb>
    <v>0</v>
  </rv>
  <rv s="0">
    <fb>205.01</fb>
    <v>1</v>
  </rv>
  <rv s="0">
    <fb>45833</fb>
    <v>0</v>
  </rv>
  <rv s="0">
    <fb>211.99</fb>
    <v>1</v>
  </rv>
  <rv s="0">
    <fb>45810</fb>
    <v>0</v>
  </rv>
  <rv s="0">
    <fb>206.65</fb>
    <v>1</v>
  </rv>
  <rv s="0">
    <fb>45832</fb>
    <v>0</v>
  </rv>
  <rv s="0">
    <fb>212.77</fb>
    <v>1</v>
  </rv>
  <rv s="0">
    <fb>45811</fb>
    <v>0</v>
  </rv>
  <rv s="0">
    <fb>45831</fb>
    <v>0</v>
  </rv>
  <rv s="0">
    <fb>208.47</fb>
    <v>1</v>
  </rv>
  <rv s="0">
    <fb>45812</fb>
    <v>0</v>
  </rv>
  <rv s="0">
    <fb>207.23</fb>
    <v>1</v>
  </rv>
  <rv s="0">
    <fb>45828</fb>
    <v>0</v>
  </rv>
  <rv s="0">
    <fb>209.69</fb>
    <v>1</v>
  </rv>
  <rv s="0">
    <fb>45813</fb>
    <v>0</v>
  </rv>
  <rv s="0">
    <fb>207.91</fb>
    <v>1</v>
  </rv>
  <rv s="0">
    <fb>45826</fb>
    <v>0</v>
  </rv>
  <rv s="0">
    <fb>212.52</fb>
    <v>1</v>
  </rv>
  <rv s="0">
    <fb>45814</fb>
    <v>0</v>
  </rv>
  <rv s="0">
    <fb>213.57</fb>
    <v>1</v>
  </rv>
  <rv s="0">
    <fb>45825</fb>
    <v>0</v>
  </rv>
  <rv s="0">
    <fb>214.82</fb>
    <v>1</v>
  </rv>
  <rv s="0">
    <fb>45817</fb>
    <v>0</v>
  </rv>
  <rv s="0">
    <fb>216.98</fb>
    <v>1</v>
  </rv>
  <rv s="0">
    <fb>45824</fb>
    <v>0</v>
  </rv>
  <rv s="0">
    <fb>216.1</fb>
    <v>1</v>
  </rv>
  <rv s="0">
    <fb>45818</fb>
    <v>0</v>
  </rv>
  <rv s="0">
    <fb>217.61</fb>
    <v>1</v>
  </rv>
  <rv s="0">
    <fb>45821</fb>
    <v>0</v>
  </rv>
  <rv s="0">
    <fb>212.1</fb>
    <v>1</v>
  </rv>
  <rv s="0">
    <fb>45819</fb>
    <v>0</v>
  </rv>
  <rv s="0">
    <fb>213.2</fb>
    <v>1</v>
  </rv>
  <rv s="0">
    <fb>45820</fb>
    <v>0</v>
  </rv>
  <rv s="0">
    <fb>213.24</fb>
    <v>1</v>
  </rv>
  <rv s="1">
    <v>12</v>
    <v>0</v>
  </rv>
  <rv s="2">
    <v>12</v>
    <v>1</v>
  </rv>
  <rv s="3">
    <v>2</v>
    <v>AMZN</v>
    <v>Daily</v>
    <v>45658</v>
    <v>45980</v>
    <v>0</v>
    <v>1</v>
    <v>638990208000000000,638991885480167784,0</v>
    <v>0</v>
    <v>a1nhlh</v>
    <v>XNAS:AMZN</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67">
  <autoFilter ref="D5:V11" xr:uid="{C24FC06A-D240-FA40-895B-93FDAC41EABC}"/>
  <tableColumns count="19">
    <tableColumn id="1" xr3:uid="{DBF59C94-E574-144C-9253-6744AB5FFB29}" name="N Stock" dataDxfId="2966"/>
    <tableColumn id="2" xr3:uid="{C509194D-3462-2C43-9FF0-CFB07104C891}" name="A" dataDxfId="2965">
      <calculatedColumnFormula>IF(FIND("A",Table38[[#This Row],[S=M]],1)&lt;FIND("S",Table38[[#This Row],[S=M]],1),DeltaPercent*Table38[[#This Row],[S]],DMinusPercent*Table38[[#This Row],[S]])</calculatedColumnFormula>
    </tableColumn>
    <tableColumn id="3" xr3:uid="{34CA17A9-0A32-0640-9172-03703FD3815B}" name="B" dataDxfId="2964">
      <calculatedColumnFormula>IF(FIND("B",Table38[[#This Row],[S=M]],1)&lt;FIND("S",Table38[[#This Row],[S=M]],1),BdeltaPlus*Table38[[#This Row],[S]],BdeltaMinus*Table38[[#This Row],[S]])</calculatedColumnFormula>
    </tableColumn>
    <tableColumn id="4" xr3:uid="{27FC4983-1F63-0A4F-BE55-9FD69930E239}" name="S" dataDxfId="2963">
      <calculatedColumnFormula array="1">$G$1*IFERROR(_xlfn.IFS(LEFT(Table38[[#This Row],[S=M]],1)="S",G$4,RIGHT(Table38[[#This Row],[S=M]],1)="S",G$3),G$2)</calculatedColumnFormula>
    </tableColumn>
    <tableColumn id="6" xr3:uid="{F52CA5A5-F794-FC4F-91DB-A94C1D307D65}" name="S=M" dataDxfId="2962"/>
    <tableColumn id="7" xr3:uid="{9E5A4797-757A-3848-8AB4-DDF9CDAD983C}" name="If_SALE_Reverse" dataDxfId="2961"/>
    <tableColumn id="8" xr3:uid="{520675E8-BAE7-FC44-997F-BF87E05EFEED}" name="vsA" dataDxfId="2960" dataCellStyle="Percent">
      <calculatedColumnFormula>((Table38[[#This Row],[N Stock]])*Table38[[#This Row],[A]]-Table38[[#This Row],[S]])/((Table38[[#This Row],[N Stock]]-1)*Table38[[#This Row],[A]])</calculatedColumnFormula>
    </tableColumn>
    <tableColumn id="9" xr3:uid="{5A9F2181-C1D0-6C44-95B1-D93BB1C2E24C}" name="vsReverseCash" dataDxfId="2959" dataCellStyle="Percent">
      <calculatedColumnFormula>(Table38[[#This Row],[S]]-Table38[[#This Row],[B]])/Table38[[#This Row],[S]]</calculatedColumnFormula>
    </tableColumn>
    <tableColumn id="31" xr3:uid="{02E50B27-19BB-134D-860A-47966099B80A}" name="vsA2" dataDxfId="2958" dataCellStyle="Percent">
      <calculatedColumnFormula>(Table38[[#This Row],[S]]-Table38[[#This Row],[B]])/Table38[[#This Row],[A]]</calculatedColumnFormula>
    </tableColumn>
    <tableColumn id="32" xr3:uid="{9BA6E48B-A89C-204C-8F57-C22C80357979}" name="vsA3" dataDxfId="2957" dataCellStyle="Comma">
      <calculatedColumnFormula>(IF(Table38[[#This Row],[S]]&gt;N$4,Table38[[#This Row],[S]],N$4))</calculatedColumnFormula>
    </tableColumn>
    <tableColumn id="18" xr3:uid="{117B15A1-A542-FF4D-B25A-2E57F149E3FA}" name="BS_Max" dataDxfId="2956" dataCellStyle="Percent">
      <calculatedColumnFormula>Table38[[#This Row],[vsA3]]/N$4-1</calculatedColumnFormula>
    </tableColumn>
    <tableColumn id="33" xr3:uid="{B4B3DC01-746B-C849-B2D8-AE7797ED9BD2}" name="Column1" dataDxfId="2955">
      <calculatedColumnFormula>(IF(Table38[[#This Row],[S]]&gt;P$4,Table38[[#This Row],[S]],P$4))</calculatedColumnFormula>
    </tableColumn>
    <tableColumn id="19" xr3:uid="{ABA2E3C0-0AA2-5F49-83E3-D6BB656803D9}" name="BS__medH" dataDxfId="2954" dataCellStyle="Percent">
      <calculatedColumnFormula>Table38[[#This Row],[Column1]]/P$4-1</calculatedColumnFormula>
    </tableColumn>
    <tableColumn id="20" xr3:uid="{6DA2DD76-DE2E-4746-A5AF-A62517B50E81}" name="BS_MedL" dataDxfId="2953">
      <calculatedColumnFormula>(IF(Table38[[#This Row],[S]]&gt;R$4,Table38[[#This Row],[S]],R$4))</calculatedColumnFormula>
    </tableColumn>
    <tableColumn id="21" xr3:uid="{C15602C5-7102-674B-BE42-A2CAFC2E9D2D}" name="BS_Min" dataDxfId="2952">
      <calculatedColumnFormula>Table38[[#This Row],[BS_MedL]]/R$4-1</calculatedColumnFormula>
    </tableColumn>
    <tableColumn id="10" xr3:uid="{014DCAAF-B001-E440-9D4A-60AADD8661A7}" name="WS_Max" dataDxfId="2951">
      <calculatedColumnFormula>(IF(Table38[[#This Row],[S]]&gt;T$4,Table38[[#This Row],[S]],T$4))</calculatedColumnFormula>
    </tableColumn>
    <tableColumn id="11" xr3:uid="{522B67F5-A15E-D247-B800-4110CB228283}" name="WS_medH" dataDxfId="2950">
      <calculatedColumnFormula>Table38[[#This Row],[WS_Max]]/T$4-1</calculatedColumnFormula>
    </tableColumn>
    <tableColumn id="13" xr3:uid="{AF9519DF-3AF8-A440-B068-2104677DB4B8}" name="WS_MedL" dataDxfId="2949">
      <calculatedColumnFormula>(IF(Table38[[#This Row],[S]]&lt;R$4,Table38[[#This Row],[S]]-R$4,0))/W$4</calculatedColumnFormula>
    </tableColumn>
    <tableColumn id="17" xr3:uid="{444943D3-4074-8940-AC58-77F8D7C37EF6}" name="WS_Min" dataDxfId="2948">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47"/>
    <tableColumn id="2" xr3:uid="{14B0424C-9DBC-B449-B1C8-D632B45CA174}" name="A" dataDxfId="2946">
      <calculatedColumnFormula array="1">IFERROR(_xlfn.IFS(LEFT(J15,1)="A",15,RIGHT(J15,1)="A",5),10)</calculatedColumnFormula>
    </tableColumn>
    <tableColumn id="3" xr3:uid="{03CB87CD-0036-2945-A6EC-547AC06E2951}" name="B" dataDxfId="2945">
      <calculatedColumnFormula array="1">IFERROR(_xlfn.IFS(LEFT(J15,1)="P",15,RIGHT(J15,1)="P",5),10)</calculatedColumnFormula>
    </tableColumn>
    <tableColumn id="4" xr3:uid="{49C001A8-9686-9444-AE1C-75454EAB98C6}" name="S" dataDxfId="2944">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42">
      <calculatedColumnFormula>_xlfn.RANK.EQ(DataShift!Y704,DataShift!F704:Y704)</calculatedColumnFormula>
    </tableColumn>
    <tableColumn id="4" xr3:uid="{CB17A5EB-79C7-5E4A-B8C6-D98950D9C69A}" name="Gravity" dataDxfId="2941">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40">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51" totalsRowCount="1" headerRowDxfId="2939">
  <autoFilter ref="C20:I50" xr:uid="{715A51DA-B514-1F4B-804D-2485E44509F0}"/>
  <tableColumns count="7">
    <tableColumn id="1" xr3:uid="{0D21877A-CADF-2B42-8E32-423F99C45C4C}" name="Number" totalsRowFunction="sum" dataDxfId="760" totalsRowDxfId="391" dataCellStyle="Comma"/>
    <tableColumn id="2" xr3:uid="{C42DA1E3-B635-234F-A4E3-577435ABF9B8}" name="Price" dataDxfId="759" totalsRowDxfId="390" dataCellStyle="Comma"/>
    <tableColumn id="3" xr3:uid="{DB787670-1ECA-E445-A685-C3B2B2251296}" name="Remaining" totalsRowFunction="sum" dataDxfId="758" totalsRowDxfId="389" dataCellStyle="Comma"/>
    <tableColumn id="4" xr3:uid="{1DCD6947-F05F-4C4B-8C2D-DB6F309A0EEF}" name="Profit/Loss" totalsRowFunction="sum" dataDxfId="757" totalsRowDxfId="388" dataCellStyle="Comma"/>
    <tableColumn id="5" xr3:uid="{508DC28D-EBE5-3345-AC2B-21EC83602B2F}" name="Income" totalsRowFunction="sum" dataDxfId="756" totalsRowDxfId="387" dataCellStyle="Comma">
      <calculatedColumnFormula>IF(TabFIFO[[#This Row],[Price]]&gt;0,TabFIFO[[#This Row],[Number]]*TabFIFO[[#This Row],[Price]],0)*(1-Commission)*GBpScale</calculatedColumnFormula>
    </tableColumn>
    <tableColumn id="6" xr3:uid="{3628D5DD-DC22-E641-9462-F33F525D50BF}" name="Cost" totalsRowFunction="sum" dataDxfId="755" totalsRowDxfId="386" dataCellStyle="Comma">
      <calculatedColumnFormula>IF(TabFIFO[[#This Row],[Price]]&lt;0,TabFIFO[[#This Row],[Number]]*TabFIFO[[#This Row],[Price]],0)*(1+Commission)*GBpScale</calculatedColumnFormula>
    </tableColumn>
    <tableColumn id="7" xr3:uid="{7A2F0625-FF49-3B40-8E28-CFA71391A462}" name="M-VALUE Now" totalsRowFunction="sum" dataDxfId="754" totalsRowDxfId="385"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Y97" totalsRowCount="1" headerRowDxfId="2938" headerRowCellStyle="Comma">
  <autoFilter ref="A2:BY96" xr:uid="{ECC01DA2-60F1-BF4B-ACA3-A0F40B7E0CCC}">
    <filterColumn colId="21">
      <filters>
        <filter val="USD"/>
      </filters>
    </filterColumn>
    <filterColumn colId="31">
      <filters>
        <filter val="Buy Back"/>
      </filters>
    </filterColumn>
  </autoFilter>
  <tableColumns count="77">
    <tableColumn id="2" xr3:uid="{F544B7F8-BF97-8A45-B935-F719FB8F2358}" name="Scale" totalsRowLabel="Total" dataDxfId="2937" totalsRowDxfId="836">
      <calculatedColumnFormula>IF(_xlfn.XLOOKUP(Tab_NewTRADER[[#This Row],[ClickTick]],TabCalc[Ticker],TabCalc[Cur])="GBp",0.01,1)</calculatedColumnFormula>
    </tableColumn>
    <tableColumn id="3" xr3:uid="{A0AB56C0-34ED-7647-A2D7-CEDE051EAA0B}" name="LastBuy_RevRem_n" dataDxfId="2936" totalsRowDxfId="835">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35" totalsRowDxfId="834">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34" totalsRowDxfId="833">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33" totalsRowDxfId="832">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32" totalsRowDxfId="831"/>
    <tableColumn id="12" xr3:uid="{9C535590-941A-F34B-A9D0-236D531EC146}" name="LastSale_RevBuy$" dataDxfId="2931" totalsRowDxfId="830"/>
    <tableColumn id="13" xr3:uid="{7E4B2854-AD88-8F44-9B36-3527B92BFE22}" name="if_ReBuy_nSold" dataDxfId="2930" totalsRowDxfId="829" dataCellStyle="Comma"/>
    <tableColumn id="15" xr3:uid="{42631D78-DA6A-4346-A3E3-F0F4C7D20072}" name="Rebuy2" dataDxfId="2929" totalsRowDxfId="828" dataCellStyle="Comma"/>
    <tableColumn id="16" xr3:uid="{F090D56E-4B47-4145-BB5B-60D5505DD46A}" name="Gravity" dataDxfId="2928" totalsRowDxfId="827" dataCellStyle="Comma">
      <calculatedColumnFormula>_xlfn.XLOOKUP(Tab_NewTRADER[[#This Row],[ClickTick]],TabCalc[Ticker],ListGravity)</calculatedColumnFormula>
    </tableColumn>
    <tableColumn id="17" xr3:uid="{927E998F-857E-BC46-B779-2EB2DE193C3E}" name="Extran" dataDxfId="2927" totalsRowDxfId="826"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26" totalsRowDxfId="825"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25" totalsRowDxfId="824">
      <calculatedColumnFormula>_xlfn.XLOOKUP(Tab_NewTRADER[[#This Row],[ClickTick]],TabCalc[Ticker],TabCalc[Agiotage])</calculatedColumnFormula>
    </tableColumn>
    <tableColumn id="20" xr3:uid="{9EABC4C5-65FB-404F-89A5-5345EA1B7394}" name="RSI" dataDxfId="2924" totalsRowDxfId="823" dataCellStyle="Comma">
      <calculatedColumnFormula array="1">_xlfn.XLOOKUP(Tab_NewTRADER[[#This Row],[ClickTick]],ListTickers,Tab2RSIConventional[RSIConv20])</calculatedColumnFormula>
    </tableColumn>
    <tableColumn id="11" xr3:uid="{CBE06797-F3C5-6A42-96D8-9AEB28BD7AD5}" name="Begin/Status" dataDxfId="2923" totalsRowDxfId="822"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22" totalsRowDxfId="821" dataCellStyle="Comma">
      <calculatedColumnFormula>_xlfn.XLOOKUP(Tab_NewTRADER[[#This Row],[ClickTick]],TabCalc[Ticker],TabCalc[L_Bn])</calculatedColumnFormula>
    </tableColumn>
    <tableColumn id="31" xr3:uid="{825F8E39-5F11-C847-BB1C-676AE1329220}" name="L_Bp" dataDxfId="2921" totalsRowDxfId="820" dataCellStyle="Comma">
      <calculatedColumnFormula>_xlfn.XLOOKUP(Tab_NewTRADER[[#This Row],[ClickTick]],TabCalc[Ticker],TabCalc[L_Bp])</calculatedColumnFormula>
    </tableColumn>
    <tableColumn id="21" xr3:uid="{2641C657-2356-F646-B835-18D127562918}" name="Rev_Sale" dataDxfId="2920" totalsRowDxfId="819">
      <calculatedColumnFormula>(Tab_NewTRADER[[#This Row],[M]]+Tab_NewTRADER[[#This Row],[L_Bp]])/ABS(Tab_NewTRADER[[#This Row],[L_Bp]])</calculatedColumnFormula>
    </tableColumn>
    <tableColumn id="22" xr3:uid="{25244692-7443-104A-9C79-1FECD84A3363}" name="Sale_Back_$" totalsRowFunction="sum" dataDxfId="2919" totalsRowDxfId="818" dataCellStyle="Comma">
      <calculatedColumnFormula>_xlfn.XLOOKUP(Tab_NewTRADER[[#This Row],[ClickTick]],TabCalc[Ticker],TabCalc[Rev(MinStock)])*(1-Commission)</calculatedColumnFormula>
    </tableColumn>
    <tableColumn id="7" xr3:uid="{F9A3A5B8-9D64-6943-A241-C35EDDF8D0F4}" name="Agiotage" dataDxfId="2918" totalsRowDxfId="817" dataCellStyle="Percent">
      <calculatedColumnFormula>_xlfn.XLOOKUP(Tab_NewTRADER[[#This Row],[ClickTick]],TabCalc[Ticker],TabCalc[Agiotage])</calculatedColumnFormula>
    </tableColumn>
    <tableColumn id="42" xr3:uid="{9BAC6DB6-C430-544B-BDB9-AAA15502FAEA}" name="SncOpenYest%" totalsRowFunction="sum" dataDxfId="837" totalsRowDxfId="816">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 xr3:uid="{7D74844E-5B2F-D949-B971-43C37E3E3C7F}" name="Cur" dataDxfId="2917" totalsRowDxfId="815" dataCellStyle="Comma">
      <calculatedColumnFormula>_xlfn.XLOOKUP(Tab_NewTRADER[[#This Row],[ClickTick]],[1]!RTData[Ticker_Symbol],[1]!RTData[Currency])</calculatedColumnFormula>
    </tableColumn>
    <tableColumn id="9" xr3:uid="{5B3D0449-3083-104F-BEF1-0F8E798A3756}" name="M" dataDxfId="2916" totalsRowDxfId="814" dataCellStyle="Comma">
      <calculatedColumnFormula>_xlfn.XLOOKUP(Tab_NewTRADER[[#This Row],[ClickTick]],TabCalc[Ticker],TabCalc[M])</calculatedColumnFormula>
    </tableColumn>
    <tableColumn id="10" xr3:uid="{F52D72B4-DC2C-EE45-B71F-2C4EE61D17C5}" name="ClickTick" dataDxfId="2915" totalsRowDxfId="813">
      <calculatedColumnFormula>SORTING!B3</calculatedColumnFormula>
    </tableColumn>
    <tableColumn id="54" xr3:uid="{0D54D5B1-E447-A141-9CEA-048FB0ACF994}" name="Target1Y" dataDxfId="2914" totalsRowDxfId="812">
      <calculatedColumnFormula>_xlfn.XLOOKUP(Tab_NewTRADER[[#This Row],[ClickTick]],TabCalc[Ticker],TabCalc[Y])</calculatedColumnFormula>
    </tableColumn>
    <tableColumn id="57" xr3:uid="{FDCE0577-D7E1-F249-9712-CE7E0698766E}" name="Y_Change" dataDxfId="2913" totalsRowDxfId="811" dataCellStyle="Comma">
      <calculatedColumnFormula>_xlfn.XLOOKUP(Tab_NewTRADER[[#This Row],[ClickTick]],[1]!RTData[Ticker_Symbol],[1]!RTData[YTChange])</calculatedColumnFormula>
    </tableColumn>
    <tableColumn id="8" xr3:uid="{BAF99C80-02D2-5A42-82C6-6C8339AED17A}" name="A" dataDxfId="2912" totalsRowDxfId="810" dataCellStyle="Comma">
      <calculatedColumnFormula>-_xlfn.XLOOKUP(Tab_NewTRADER[[#This Row],[ClickTick]]&amp;2,Consolid!B$3:JZ$3,Consolid!B$4:JZ$4)</calculatedColumnFormula>
    </tableColumn>
    <tableColumn id="60" xr3:uid="{95BC142D-6E8A-B444-85FC-FEE17D092380}" name="Ch%_Yest" dataDxfId="2911" totalsRowDxfId="809" dataCellStyle="Comma">
      <calculatedColumnFormula array="1">_xlfn.XLOOKUP(Tab_NewTRADER[[#This Row],[ClickTick]],ListTickers,Tab1ChangePercent[Change%19])</calculatedColumnFormula>
    </tableColumn>
    <tableColumn id="52" xr3:uid="{972ED9E7-ED8E-7A46-B68E-39053E33CEF1}" name="N" dataDxfId="2910" totalsRowDxfId="808">
      <calculatedColumnFormula>_xlfn.XLOOKUP(Tab_NewTRADER[[#This Row],[ClickTick]],TabCalc[Ticker],TabCalc[NAfter])</calculatedColumnFormula>
    </tableColumn>
    <tableColumn id="51" xr3:uid="{0F76D38E-3AF7-B542-9195-FE404521DFE2}" name="Nbegin" dataDxfId="2909" totalsRowDxfId="807">
      <calculatedColumnFormula>_xlfn.XLOOKUP(Tab_NewTRADER[[#This Row],[ClickTick]],TabCalc[Ticker],TabCalc[Nbegin])</calculatedColumnFormula>
    </tableColumn>
    <tableColumn id="45" xr3:uid="{FDF1145F-56F7-0E48-B6F3-3D3DF3E3ADB7}" name="Glnow_/M_Value_K$" dataDxfId="764" totalsRowDxfId="806">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50" xr3:uid="{854511AA-9798-5148-A654-CF5D04AA3A37}" name="M_State" dataDxfId="2908" totalsRowDxfId="805"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calculatedColumnFormula>
    </tableColumn>
    <tableColumn id="66" xr3:uid="{0A8CF325-4CC3-7F49-A941-CC003CAE77E0}" name="Last_Buy_np" dataDxfId="841" totalsRowDxfId="804" dataCellStyle="Comma">
      <calculatedColumnFormula>TEXT(MIN(Tab_NewTRADER[[#This Row],[L_Bn]],Tab_NewTRADER[[#This Row],[N]]),"#,#0")&amp;" x "&amp;TEXT(Tab_NewTRADER[[#This Row],[L_Bp]],"#,#0.#0")</calculatedColumnFormula>
    </tableColumn>
    <tableColumn id="65" xr3:uid="{9D961C98-C781-9147-AD24-FF0094431981}" name="Re-Sale" totalsRowFunction="sum" dataDxfId="840" totalsRowDxfId="803" dataCellStyle="Comma">
      <calculatedColumnFormula array="1">_xlfn.IFS(Tab_NewTRADER[[#This Row],[M_State]]=Sale_Back,Tab_NewTRADER[[#This Row],[Sale_Back_$]], TRUE,"M = "&amp;Tab_NewTRADER[[#This Row],[M]])</calculatedColumnFormula>
    </tableColumn>
    <tableColumn id="75" xr3:uid="{1F314432-7E37-4542-80C4-D2154B5B38DA}" name="MUP-n*p" totalsRowFunction="sum" dataDxfId="847" totalsRowDxfId="802" dataCellStyle="Comma">
      <calculatedColumnFormula array="1">IF(Tab_NewTRADER[[#This Row],[M_State]]=MUp,_xlfn.IFS(Tab_NewTRADER[[#This Row],[M_State]]=MUp,MIN(Tab_NewTRADER[[#This Row],[N]],Tab_NewTRADER[[#This Row],[L_Bn]])*(Tab_NewTRADER[[#This Row],[M]]-Tab_NewTRADER[[#This Row],[L_Sp]])*Tab_NewTRADER[[#This Row],[Scale]]*ComFactor, TRUE,0),0)</calculatedColumnFormula>
    </tableColumn>
    <tableColumn id="77" xr3:uid="{C2AA2176-A210-D348-87DB-9D4AA19C9950}" name="MUP-n*(M-A)" totalsRowFunction="sum" dataDxfId="839" totalsRowDxfId="801" dataCellStyle="Comma">
      <calculatedColumnFormula array="1">_xlfn.IFS(Tab_NewTRADER[[#This Row],[M_State]]=MUp,                 MIN(Tab_NewTRADER[[#This Row],[L_Sn]],Tab_NewTRADER[[#This Row],[N]])*(Tab_NewTRADER[[#This Row],[M]]-Tab_NewTRADER[[#This Row],[A]])*Tab_NewTRADER[[#This Row],[Scale]]*ComFactor, TRUE,0)</calculatedColumnFormula>
    </tableColumn>
    <tableColumn id="76" xr3:uid="{955F6A45-1EBA-6941-B24A-6C1E50862BEA}" name="MUP-N*(M-A)2" totalsRowFunction="sum" dataDxfId="838" totalsRowDxfId="800" dataCellStyle="Comma">
      <calculatedColumnFormula array="1">_xlfn.IFS(Tab_NewTRADER[[#This Row],[M_State]]=MUp,                  Tab_NewTRADER[[#This Row],[N]]*(Tab_NewTRADER[[#This Row],[M]]-Tab_NewTRADER[[#This Row],[A]])*Tab_NewTRADER[[#This Row],[Scale]]*ComFactor, TRUE,0)</calculatedColumnFormula>
    </tableColumn>
    <tableColumn id="71" xr3:uid="{91D6D45F-729C-FD49-BA5C-F273DFFA20D7}" name="Last_Sale_np2" dataDxfId="844" totalsRowDxfId="799" dataCellStyle="Comma">
      <calculatedColumnFormula>TEXT(Tab_NewTRADER[[#This Row],[L_Sn]],"#,#0")&amp;" x "&amp;TEXT(Tab_NewTRADER[[#This Row],[L_Sp]],"#,#0.#0")</calculatedColumnFormula>
    </tableColumn>
    <tableColumn id="72" xr3:uid="{6F336945-608B-9D41-BC6D-A2362AFB85C9}" name="Re-Buy" totalsRowFunction="count" dataDxfId="846" totalsRowDxfId="798" dataCellStyle="Comma">
      <calculatedColumnFormula array="1">_xlfn.IFS(Tab_NewTRADER[[#This Row],[M_State]]=RePurchaseGain,TEXT(-Tab_NewTRADER[[#This Row],[Buy_Back]],"#,#0")&amp;"       / "&amp;TEXT(Tab_NewTRADER[[#This Row],[Rev_Buy]],"#,#00.0)%"),TRUE,"M = "&amp;Tab_NewTRADER[[#This Row],[M]])</calculatedColumnFormula>
    </tableColumn>
    <tableColumn id="69" xr3:uid="{286765DD-CFCB-A443-A245-1EEB1A43A904}" name="MLower_Lnp" totalsRowFunction="sum" dataDxfId="845" totalsRowDxfId="797" dataCellStyle="Comma">
      <calculatedColumnFormula array="1">_xlfn.IFS(Tab_NewTRADER[[#This Row],[M_State]]=MDown,TEXT(Tab_NewTRADER[[#This Row],[L_Sn]]*(Tab_NewTRADER[[#This Row],[M]]-Tab_NewTRADER[[#This Row],[L_Sp]])*ComFactor,"#,#0")&amp;"       / "&amp;TEXT((TabTRADER[[#This Row],[M]]-TabTRADER[[#This Row],[L_Sp]])/TabTRADER[[#This Row],[M]],"#,#00.0)%"),TRUE,0)</calculatedColumnFormula>
    </tableColumn>
    <tableColumn id="67" xr3:uid="{7968CDF4-BF36-DD4D-B5B4-00855B942B3D}" name="Mdown_nA" totalsRowFunction="sum" dataDxfId="843" totalsRowDxfId="796" dataCellStyle="Comma">
      <calculatedColumnFormula array="1">_xlfn.IFS(Tab_NewTRADER[[#This Row],[M_State]]=MDown,TEXT(Tab_NewTRADER[[#This Row],[N]]*(Tab_NewTRADER[[#This Row],[M]]-Tab_NewTRADER[[#This Row],[A]])*Tab_NewTRADER[[#This Row],[Scale]]*ComFactor,"#,#0")&amp;"       / "&amp;TEXT((TabTRADER[[#This Row],[M]]-TabTRADER[[#This Row],[L_Bp]])/TabTRADER[[#This Row],[M]],"#,#00.0%"),TRUE,0)</calculatedColumnFormula>
    </tableColumn>
    <tableColumn id="70" xr3:uid="{B27F1EB3-D3C6-4F4A-A48B-FDCE644B8668}" name="Buy+N*A" totalsRowFunction="sum" dataDxfId="842" totalsRowDxfId="795" dataCellStyle="Comma">
      <calculatedColumnFormula array="1">_xlfn.IFS(Tab_NewTRADER[[#This Row],[M_State]]=MDown,TEXT(Tab_NewTRADER[[#This Row],[N]]*Tab_NewTRADER[[#This Row],[M]],"#,#0")&amp;" @ "&amp;TEXT(Tab_NewTRADER[[#This Row],[A]],"#,#0.#0"),TRUE,"M = "&amp; Tab_NewTRADER[[#This Row],[M]])</calculatedColumnFormula>
    </tableColumn>
    <tableColumn id="73" xr3:uid="{0B96E01C-FA66-064D-B8CE-B29B07A3726D}" name="GL_NA" totalsRowFunction="sum" dataDxfId="2907" totalsRowDxfId="794"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906" totalsRowDxfId="793" dataCellStyle="Comma">
      <calculatedColumnFormula>Tab_NewTRADER[[#This Row],[M]]*Tab_NewTRADER[[#This Row],[N]]*(1-Commission)*Tab_NewTRADER[[#This Row],[Scale]]</calculatedColumnFormula>
    </tableColumn>
    <tableColumn id="36" xr3:uid="{10FB30A5-346F-1C46-89D5-EF5BE933EB36}" name="Rev%" dataDxfId="2905" totalsRowDxfId="792"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904" totalsRowDxfId="791"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03" totalsRowDxfId="790"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902" totalsRowDxfId="789" dataCellStyle="Percent">
      <calculatedColumnFormula>_xlfn.XLOOKUP(Tab_NewTRADER[[#This Row],[ClickTick]],TabCalc[Ticker],TabCalc[Ann%RevLB])</calculatedColumnFormula>
    </tableColumn>
    <tableColumn id="64" xr3:uid="{7540AFAE-2138-D74A-886C-0E61A6834B8D}" name="MUP2" dataDxfId="2901" totalsRowDxfId="788" dataCellStyle="Percent">
      <calculatedColumnFormula>_xlfn.XLOOKUP(Tab_NewTRADER[[#This Row],[ClickTick]],TabCalc[Ticker],TabCalc[Up20])</calculatedColumnFormula>
    </tableColumn>
    <tableColumn id="62" xr3:uid="{56742740-21B6-AC4C-9A63-6E7717F6EEFF}" name="vs.LBt%" dataDxfId="2900" totalsRowDxfId="787"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99" totalsRowDxfId="786"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898" totalsRowDxfId="785"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897" totalsRowDxfId="784"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896" totalsRowDxfId="783"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95" totalsRowDxfId="782"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94" totalsRowDxfId="781">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93" totalsRowDxfId="780"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92" totalsRowDxfId="779" dataCellStyle="Comma">
      <calculatedColumnFormula>_xlfn.XLOOKUP(Tab_NewTRADER[[#This Row],[ClickTick]],TabCalc[Ticker],TabCalc[L_Sn])</calculatedColumnFormula>
    </tableColumn>
    <tableColumn id="32" xr3:uid="{7D176C34-E1DE-F848-BEEF-6859598E4854}" name="L_Sp" dataDxfId="2891" totalsRowDxfId="778" dataCellStyle="Comma">
      <calculatedColumnFormula>_xlfn.XLOOKUP(Tab_NewTRADER[[#This Row],[ClickTick]],TabCalc[Ticker],TabCalc[L_Sp])</calculatedColumnFormula>
    </tableColumn>
    <tableColumn id="23" xr3:uid="{8D63D518-EA41-0048-9AE5-E491648C27F3}" name="Rev_Buy" dataDxfId="2890" totalsRowDxfId="777">
      <calculatedColumnFormula>-IFERROR((Tab_NewTRADER[[#This Row],[M]]-Tab_NewTRADER[[#This Row],[L_Sp]])/Tab_NewTRADER[[#This Row],[L_Sp]],0)</calculatedColumnFormula>
    </tableColumn>
    <tableColumn id="24" xr3:uid="{70C8CEC2-9935-EF4C-A760-C0DADF165FC3}" name="Buy_Back" totalsRowFunction="sum" dataDxfId="2889" totalsRowDxfId="776"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888" totalsRowDxfId="775">
      <calculatedColumnFormula>Tab_NewTRADER[[#This Row],[L_Sn]]*(Tab_NewTRADER[[#This Row],[Agiotage]]-Tab_NewTRADER[[#This Row],[M]])/(Tab_NewTRADER[[#This Row],[L_Bn]]*Tab_NewTRADER[[#This Row],[M]])</calculatedColumnFormula>
    </tableColumn>
    <tableColumn id="25" xr3:uid="{C23E21C5-B6CC-A542-9AF5-1B824F3914E6}" name="TakeGain_A" dataDxfId="2887" totalsRowDxfId="774">
      <calculatedColumnFormula>IFERROR((Tab_NewTRADER[[#This Row],[M]]-Tab_NewTRADER[[#This Row],[A]])/Tab_NewTRADER[[#This Row],[A]],0)</calculatedColumnFormula>
    </tableColumn>
    <tableColumn id="26" xr3:uid="{89433C34-C92E-3749-A695-E1BD516EDBD0}" name="Alln*M-A:GL$" dataDxfId="2886" totalsRowDxfId="773"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85" totalsRowDxfId="772" dataCellStyle="Comma"/>
    <tableColumn id="49" xr3:uid="{B5351217-27E8-9948-92FB-ACB765578519}" name="MinB/M" dataDxfId="2884" totalsRowDxfId="771" dataCellStyle="Comma"/>
    <tableColumn id="28" xr3:uid="{D6F2DA0A-7C18-DD41-96BC-99007F7745B2}" name="Tick_M_A" dataDxfId="2883" totalsRowDxfId="770">
      <calculatedColumnFormula>Tab_NewTRADER[[#This Row],[ClickTick]]&amp;": "&amp;_xlfn.XLOOKUP(Tab_NewTRADER[[#This Row],[ClickTick]],TabCalc[Ticker],TabCalc[Pile?])</calculatedColumnFormula>
    </tableColumn>
    <tableColumn id="29" xr3:uid="{0D49A582-BF99-4740-A3A3-FCED46FF1C81}" name="Status" totalsRowFunction="count" dataDxfId="2882" totalsRowDxfId="769"/>
    <tableColumn id="35" xr3:uid="{4362D88A-E648-3C43-830B-F896928DACCD}" name="Code" dataDxfId="2881" totalsRowDxfId="768">
      <calculatedColumnFormula array="1">_xlfn.TEXTJOIN("",,INDEX({"M","A","Y"}, _xlfn.SORTBY({1,2,3}, -CHOOSE({1,2,3}, Tab_NewTRADER[[#This Row],[M]], Tab_NewTRADER[[#This Row],[A]], Tab_NewTRADER[[#This Row],[Agiotage]]))))</calculatedColumnFormula>
    </tableColumn>
    <tableColumn id="37" xr3:uid="{898D08AD-3FDF-824F-9820-3B43B5420B89}" name="TonM" dataDxfId="2880" totalsRowDxfId="767">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79">
      <calculatedColumnFormula>Tab_NewTRADER[[#This Row],[L_Sn]]*Tab_NewTRADER[[#This Row],[L_Sp]]+Tab_NewTRADER[[#This Row],[SellMore]]*Tab_NewTRADER[[#This Row],[M]]</calculatedColumnFormula>
    </tableColumn>
    <tableColumn id="39" xr3:uid="{5BFEBEE3-3101-D249-BDAF-C20F1C2D5BCB}" name="SellMore" dataDxfId="2878">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77"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76" totalsRowDxfId="766">
      <calculatedColumnFormula>Tab_NewTRADER[[#This Row],[ReBuy]]/(Tab_NewTRADER[[#This Row],[L_Sn]]+Tab_NewTRADER[[#This Row],[SellMore]])</calculatedColumnFormula>
    </tableColumn>
    <tableColumn id="43" xr3:uid="{76D1A96F-FF41-BA4B-BC3C-DCC815BDD574}" name="Column7" dataDxfId="2875">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74">
      <calculatedColumnFormula>(Tab_NewTRADER[[#This Row],[M]]-Tab_NewTRADER[[#This Row],[Agiotage]])/(Tab_NewTRADER[[#This Row],[M]]-Tab_NewTRADER[[#This Row],[A]])-1</calculatedColumnFormula>
    </tableColumn>
    <tableColumn id="68" xr3:uid="{50CA317E-5938-6544-AD2F-2EC587A9F499}" name="index" dataDxfId="2873" totalsRowDxfId="765">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872">
  <autoFilter ref="A2:DF96" xr:uid="{C94A2884-1EAF-2440-ABF7-1645FA906D96}"/>
  <tableColumns count="110">
    <tableColumn id="12" xr3:uid="{0F5B2D42-2A6A-3E47-981E-DFEFA4FB933B}" name="Cur" dataDxfId="2871" totalsRowDxfId="99">
      <calculatedColumnFormula>_xlfn.XLOOKUP(TabCalc[[#This Row],[Ticker]],[1]!RTData[Ticker_Symbol],[1]!RTData[Currency])</calculatedColumnFormula>
    </tableColumn>
    <tableColumn id="11" xr3:uid="{1AECACE1-E3D9-6449-814E-049162DE6BD7}" name="Scale" dataDxfId="2870" totalsRowDxfId="98">
      <calculatedColumnFormula>IF(TabCalc[[#This Row],[Cur]]="GBP",0.01,1)</calculatedColumnFormula>
    </tableColumn>
    <tableColumn id="2" xr3:uid="{79940D82-514D-B946-ABF3-4043A316AFB0}" name="Nbegin" dataDxfId="2869">
      <calculatedColumnFormula>_xlfn.XLOOKUP(TabCalc[[#This Row],[Ticker]],DQ$3:DQ$96,DR$3:DR$96)</calculatedColumnFormula>
    </tableColumn>
    <tableColumn id="3" xr3:uid="{5B2C5F05-73FF-2042-B2C7-D6F523FC5E81}" name="PriceBeg" dataDxfId="2868" totalsRowDxfId="97">
      <calculatedColumnFormula>_xlfn.XLOOKUP(TabCalc[[#This Row],[Ticker]],DQ$3:DQ$96,DS$3:DS$96)</calculatedColumnFormula>
    </tableColumn>
    <tableColumn id="4" xr3:uid="{24DC3B7F-9B31-024E-B53D-219E6C7D5AE7}" name="ValueBegin" totalsRowFunction="sum" dataDxfId="2867" totalsRowDxfId="96">
      <calculatedColumnFormula>SUMPRODUCT(C3,D3,B3)</calculatedColumnFormula>
    </tableColumn>
    <tableColumn id="5" xr3:uid="{90E3CC6B-3435-2A4D-B969-2D690A7A4D90}" name="M_V" totalsRowFunction="sum" dataDxfId="2866" totalsRowDxfId="95">
      <calculatedColumnFormula>TabCalc[[#This Row],[NAfter]]*TabCalc[[#This Row],[M]]*TabCalc[[#This Row],[Scale]]</calculatedColumnFormula>
    </tableColumn>
    <tableColumn id="9" xr3:uid="{17196C10-F846-944B-8D6F-A909FA9CA6C3}" name="NAfter" dataDxfId="2865">
      <calculatedColumnFormula>IFERROR(TabCalc[[#This Row],[SB]]-TabCalc[[#This Row],[SST]],TabCalc[[#This Row],[SB]])</calculatedColumnFormula>
    </tableColumn>
    <tableColumn id="1" xr3:uid="{2F69AA85-E0C5-5649-9823-CAE9A5A0CBB5}" name="Ticker" totalsRowLabel="Total" dataDxfId="2864">
      <calculatedColumnFormula>[1]!RTData[[#This Row],[Ticker_Symbol]]</calculatedColumnFormula>
    </tableColumn>
    <tableColumn id="6" xr3:uid="{4AB40075-F4E8-2743-9BA0-E64582E2C63F}" name="M" dataDxfId="2863" totalsRowDxfId="94">
      <calculatedColumnFormula>_xlfn.XLOOKUP(TabCalc[[#This Row],[Ticker]],[1]!RTData[Ticker_Symbol],[1]!RTData[M-Price])</calculatedColumnFormula>
    </tableColumn>
    <tableColumn id="89" xr3:uid="{593FD77D-7493-0348-8517-405F87BFD0F2}" name="A" dataDxfId="2862" totalsRowDxfId="93" dataCellStyle="Comma">
      <calculatedColumnFormula>_xlfn.XLOOKUP(TabCalc[[#This Row],[Ticker]]&amp;2,#REF!,#REF!)</calculatedColumnFormula>
    </tableColumn>
    <tableColumn id="76" xr3:uid="{6DD12444-E9F0-8D49-B8AB-20E86CF499C6}" name="Y" dataDxfId="2861" totalsRowDxfId="92">
      <calculatedColumnFormula>_xlfn.XLOOKUP(TabCalc[[#This Row],[Ticker]],[1]!RTData[Ticker_Symbol],[1]!RTData[1YT])</calculatedColumnFormula>
    </tableColumn>
    <tableColumn id="31" xr3:uid="{2AFC8A0F-DB21-7940-9164-133266F4D5CA}" name="E" dataDxfId="2860" totalsRowDxfId="91" dataCellStyle="Comma">
      <calculatedColumnFormula>IF(OR(TabCalc[[#This Row],[NAfter]]=0,TabCalc[[#This Row],[EfCost]]&gt;0),0,TabCalc[[#This Row],[EfCost]]/TabCalc[[#This Row],[NAfter]]/TabCalc[[#This Row],[Scale]])</calculatedColumnFormula>
    </tableColumn>
    <tableColumn id="88" xr3:uid="{69D77B69-0989-0D41-89D3-E175D978C58F}" name="Ch_Today" dataDxfId="2859" totalsRowDxfId="90" dataCellStyle="Percent">
      <calculatedColumnFormula>_xlfn.XLOOKUP(TabCalc[[#This Row],[Ticker]],[1]!RTData[Ticker_Symbol],[1]!RTData[Change%])</calculatedColumnFormula>
    </tableColumn>
    <tableColumn id="94" xr3:uid="{026ACAF4-BBD8-BE46-A3D3-9212D85F81A2}" name="Up20" dataDxfId="2858" totalsRowDxfId="89" dataCellStyle="Percent"/>
    <tableColumn id="98" xr3:uid="{CBD64ADC-34AE-BE41-923A-A11C1C477BF0}" name="Imp20" dataDxfId="2857" totalsRowDxfId="88" dataCellStyle="Percent">
      <calculatedColumnFormula>TabCalc[[#This Row],[Up20]]-1+TabCalc[[#This Row],[Up20]]</calculatedColumnFormula>
    </tableColumn>
    <tableColumn id="95" xr3:uid="{C3B02805-2FCB-254F-992B-F61A900C6715}" name="DifUps" dataDxfId="2856" totalsRowDxfId="87" dataCellStyle="Percent">
      <calculatedColumnFormula>TabCalc[[#This Row],[Up20]]-TabCalc[[#This Row],[Up150]]</calculatedColumnFormula>
    </tableColumn>
    <tableColumn id="93" xr3:uid="{20FA27BE-2257-A94D-84D7-413544098B2E}" name="Up150" dataDxfId="2855" totalsRowDxfId="86" dataCellStyle="Percent"/>
    <tableColumn id="97" xr3:uid="{17A0CA6F-6756-D741-BA84-AA541111FDAD}" name="Imp150" dataDxfId="2854" totalsRowDxfId="85" dataCellStyle="Percent">
      <calculatedColumnFormula>TabCalc[[#This Row],[Up150]]-1+TabCalc[[#This Row],[Up150]]</calculatedColumnFormula>
    </tableColumn>
    <tableColumn id="99" xr3:uid="{867135F0-2D21-6C40-A1ED-DD7A80D7DF28}" name="DPWC150" totalsRowFunction="average" dataDxfId="2853" totalsRowDxfId="8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52" totalsRowDxfId="8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51" totalsRowDxfId="82" dataCellStyle="Percent"/>
    <tableColumn id="105" xr3:uid="{E585BCF0-24A6-CE48-AAD9-AA41784D95F1}" name="BMZ" dataDxfId="2850" totalsRowDxfId="81" dataCellStyle="Percent"/>
    <tableColumn id="104" xr3:uid="{11AD2B90-C720-F24E-A0C2-E6CFDE92521B}" name="NMZ" totalsRowFunction="count" dataDxfId="2849" totalsRowDxfId="80" dataCellStyle="Percent"/>
    <tableColumn id="100" xr3:uid="{8C13792E-F7C4-7147-AAFE-3C5B0E4FF22C}" name="Type" totalsRowFunction="custom" dataDxfId="2848" totalsRowDxfId="7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47" totalsRowDxfId="7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46" totalsRowDxfId="77" dataCellStyle="Comma">
      <calculatedColumnFormula>MIN(TabCalc[[#This Row],[L_Bn]],TabCalc[[#This Row],[NAfter]])*(TabCalc[[#This Row],[M]]+TabCalc[[#This Row],[L_Bp]])*TabCalc[[#This Row],[Scale]]</calculatedColumnFormula>
    </tableColumn>
    <tableColumn id="57" xr3:uid="{61CB5DD9-990C-444A-8A9A-B5A3F63AC5BA}" name="L_Bdate" dataDxfId="2845" totalsRowDxfId="76" dataCellStyle="Comma">
      <calculatedColumnFormula array="1">_xlfn.XLOOKUP(TabCalc[[#This Row],[L_Bp]],INDIRECT("TabReg["&amp;TabCalc[[#This Row],[Ticker]]&amp;"2]"),INDIRECT("TabReg["&amp;TabCalc[[#This Row],[Ticker]]&amp;"]"))</calculatedColumnFormula>
    </tableColumn>
    <tableColumn id="58" xr3:uid="{B97BBC50-62D2-D74E-B0AC-9A79AFFB8818}" name="L_Bn" dataDxfId="2844" totalsRowDxfId="75" dataCellStyle="Comma">
      <calculatedColumnFormula array="1">_xlfn.XLOOKUP(TabCalc[[#This Row],[L_Bp]],INDIRECT("TabReg["&amp;TabCalc[[#This Row],[Ticker]]&amp;"2]"),INDIRECT("TabReg["&amp;TabCalc[[#This Row],[Ticker]]&amp;"1]"))</calculatedColumnFormula>
    </tableColumn>
    <tableColumn id="55" xr3:uid="{A1199879-DD12-CB4E-AAD8-E0534D24B690}" name="L_Bp" dataDxfId="2843" totalsRowDxfId="7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842" totalsRowDxfId="73" dataCellStyle="Comma">
      <calculatedColumnFormula>IFERROR(MIN(TabCalc[[#This Row],[L_B1n]],TabCalc[[#This Row],[NAfter]])*(TabCalc[[#This Row],[M]]+TabCalc[[#This Row],[L_B1p]])*TabCalc[[#This Row],[Scale]],"")</calculatedColumnFormula>
    </tableColumn>
    <tableColumn id="66" xr3:uid="{82A32C1F-EE4F-AB4B-BF62-F8332273D8CE}" name="L_B1D" dataDxfId="2841" totalsRowDxfId="7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40" totalsRowDxfId="7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39" totalsRowDxfId="7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38" totalsRowDxfId="69" dataCellStyle="Calculation">
      <calculatedColumnFormula>IFERROR(TabCalc[[#This Row],[L_Sn]]*(TabCalc[[#This Row],[L_Sp]]-TabCalc[[#This Row],[M]])*TabCalc[[#This Row],[Scale]],"")</calculatedColumnFormula>
    </tableColumn>
    <tableColumn id="51" xr3:uid="{6CAE4E9A-EAC5-3147-B472-CEE8C1395CBA}" name="L_SDate" dataDxfId="2837" totalsRowDxfId="6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36" totalsRowDxfId="6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35" totalsRowDxfId="6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34" totalsRowDxfId="65" dataCellStyle="Calculation">
      <calculatedColumnFormula>IFERROR(TabCalc[[#This Row],[L_S1n]]*(TabCalc[[#This Row],[L_S1p]]-TabCalc[[#This Row],[M]])*TabCalc[[#This Row],[Scale]],0)</calculatedColumnFormula>
    </tableColumn>
    <tableColumn id="63" xr3:uid="{63AB1132-34CF-3A46-9EF3-A6CDF1D161BA}" name="L_S1D" dataDxfId="2833" totalsRowDxfId="6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32" totalsRowDxfId="6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31" totalsRowDxfId="6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30" totalsRowDxfId="6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29" totalsRowDxfId="6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28" totalsRowDxfId="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27" totalsRowDxfId="58" dataCellStyle="Comma">
      <calculatedColumnFormula>TabCalc[[#This Row],[Y]]/TabCalc[[#This Row],[M]]</calculatedColumnFormula>
    </tableColumn>
    <tableColumn id="62" xr3:uid="{A6A715A1-5EAC-7D4E-A0A1-D497A62E967F}" name="Refill1" dataDxfId="2826" totalsRowDxfId="5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25" totalsRowDxfId="5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24">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23">
      <calculatedColumnFormula>TabCalc[[#This Row],[NAfter]]-TabCalc[[#This Row],[Nbegin]]</calculatedColumnFormula>
    </tableColumn>
    <tableColumn id="8" xr3:uid="{3ED81788-89C0-E043-B2C8-940FCCF3F968}" name="Repulse" totalsRowFunction="min" dataDxfId="2822" totalsRowDxfId="55">
      <calculatedColumnFormula>IFERROR((TabCalc[[#This Row],[M]]-TabCalc[[#This Row],[Y]])*(TabCalc[[#This Row],[M]]-TabCalc[[#This Row],[Y]])*(TabCalc[[#This Row],[M]]-TabCalc[[#This Row],[Y]])/(TabCalc[[#This Row],[Y]]*TabCalc[[#This Row],[M]]),"")</calculatedColumnFormula>
    </tableColumn>
    <tableColumn id="10" xr3:uid="{742FEA6C-1386-9649-A227-FE3B3FEB4C46}" name="Ori_Sold" dataDxfId="2821">
      <calculatedColumnFormula>IF(G3&lt;C3,C3-G3,0)</calculatedColumnFormula>
    </tableColumn>
    <tableColumn id="13" xr3:uid="{9306F3B6-FAED-BF41-9784-D24E68FA8E08}" name="V/VA" dataDxfId="2820" dataCellStyle="Percent">
      <calculatedColumnFormula>_xlfn.XLOOKUP(TabCalc[[#This Row],[Ticker]],[1]!RTData[Ticker_Symbol],[1]!RTData[V/VA])</calculatedColumnFormula>
    </tableColumn>
    <tableColumn id="14" xr3:uid="{64584A98-1609-EA47-928A-85F6E57963D8}" name="TimeEX" dataDxfId="2819"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18" dataCellStyle="Percent">
      <calculatedColumnFormula>IF(ISNUMBER(TabCalc[[#This Row],[TimeEX]]),TabCalc[[#This Row],[V/VA]]/TabCalc[[#This Row],[TimeEX]],TabCalc[[#This Row],[V/VA]])</calculatedColumnFormula>
    </tableColumn>
    <tableColumn id="16" xr3:uid="{E95746C7-89D0-DA4D-8303-4531E4BF4FC1}" name="NoT_C" totalsRowFunction="sum" dataDxfId="2817" totalsRowDxfId="54" dataCellStyle="Comma">
      <calculatedColumnFormula array="1">INDEX(TabReg[], 1, _xlfn.XMATCH(TabCalc[[#This Row],[Ticker]]&amp;1, TabReg[#Headers], 0))</calculatedColumnFormula>
    </tableColumn>
    <tableColumn id="17" xr3:uid="{661CE259-E64B-DB47-A6BC-A5148B2937DB}" name="NoT_GL" totalsRowFunction="sum" dataDxfId="2816" totalsRowDxfId="53" dataCellStyle="Comma">
      <calculatedColumnFormula>TabCalc[[#This Row],[Nbegin]]*TabCalc[[#This Row],[M]]*TabCalc[[#This Row],[Scale]]+TabCalc[[#This Row],[ValueBegin]]</calculatedColumnFormula>
    </tableColumn>
    <tableColumn id="18" xr3:uid="{AE2EBD48-00F0-E646-B666-E964C45EF224}" name="GLStatus" totalsRowFunction="sum" dataDxfId="2815" totalsRowDxfId="52" dataCellStyle="Comma">
      <calculatedColumnFormula array="1">_xlfn.IFS(TabCalc[[#This Row],[Cost+Gain]]&gt;0,"Free",             TabCalc[[#This Row],[GL]]&gt;0,"Gainer",                TRUE,"Looser")</calculatedColumnFormula>
    </tableColumn>
    <tableColumn id="28" xr3:uid="{DB09D693-CEE2-6841-BEF2-459A1A933876}" name="AddBuys" totalsRowFunction="sum" dataDxfId="2814" totalsRowDxfId="51" dataCellStyle="Comma">
      <calculatedColumnFormula>TabCalc[[#This Row],[Tot_Paid]]-TabCalc[[#This Row],[ValueBegin]]</calculatedColumnFormula>
    </tableColumn>
    <tableColumn id="81" xr3:uid="{7891CD83-058E-0247-BEB0-98866D1BADC5}" name="AddCash" totalsRowFunction="sum" dataDxfId="2813" totalsRowDxfId="5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12" totalsRowDxfId="49" dataCellStyle="Comma">
      <calculatedColumnFormula>TabCalc[[#This Row],[M_V]]+TabCalc[[#This Row],[ValueBegin]]</calculatedColumnFormula>
    </tableColumn>
    <tableColumn id="20" xr3:uid="{F30A4AB2-55E0-994C-B1F8-F1BF294BAA34}" name="Tot_Paid" totalsRowFunction="sum" dataDxfId="2811" totalsRowDxfId="4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761" totalsRowDxfId="4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762" totalsRowDxfId="46"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763" totalsRowDxfId="45" dataCellStyle="Comma">
      <calculatedColumnFormula>TabCalc[[#This Row],[M_V]]*(1-Commission)+TabCalc[[#This Row],[EfCost]]</calculatedColumnFormula>
    </tableColumn>
    <tableColumn id="29" xr3:uid="{ECEB5A93-8BB2-A14E-B72F-CF2C9E93A299}" name="Cost+Gain" totalsRowFunction="sum" dataDxfId="2810" totalsRowDxfId="44" dataCellStyle="Comma">
      <calculatedColumnFormula>IF(        OR( TabCalc[[#This Row],[GL]]&gt;ABS(TabCalc[[#This Row],[EfCost]]),TabCalc[[#This Row],[NAfter]]=0),             TabCalc[[#This Row],[GL]],     0)</calculatedColumnFormula>
    </tableColumn>
    <tableColumn id="24" xr3:uid="{3819A9BC-F941-604F-B0CE-1F4B1F951905}" name="SB" totalsRowFunction="sum" dataDxfId="2809" totalsRowDxfId="4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08" totalsRowDxfId="42" dataCellStyle="Comma">
      <calculatedColumnFormula>TabCalc[[#This Row],[SB]]-TabCalc[[#This Row],[Nbegin]]</calculatedColumnFormula>
    </tableColumn>
    <tableColumn id="23" xr3:uid="{4E9DD018-B419-3E40-8C39-3EA46D617A64}" name="SST" totalsRowFunction="sum" dataDxfId="2807" totalsRowDxfId="4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06" totalsRowDxfId="4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805" totalsRowDxfId="39" dataCellStyle="Comma">
      <calculatedColumnFormula>IF(TabCalc[[#This Row],[EfCost]]+TabCalc[[#This Row],[M_V]]&lt;TabCalc[[#This Row],[NoT_GL]],"Pile","")</calculatedColumnFormula>
    </tableColumn>
    <tableColumn id="34" xr3:uid="{4565A2A1-5EDC-FF47-84D2-E24B40FBD98E}" name="L-ExT" dataDxfId="2804" totalsRowDxfId="38" dataCellStyle="Comma">
      <calculatedColumnFormula>_xlfn.XLOOKUP(TabCalc[[#This Row],[Ticker]],[1]!RTData[Ticker_Symbol],[1]!RTData[Last trade time])</calculatedColumnFormula>
    </tableColumn>
    <tableColumn id="32" xr3:uid="{B1DB4F36-B904-474A-B050-47338283DA35}" name="CostReduct" totalsRowFunction="sum" dataDxfId="2803" totalsRowDxfId="37" dataCellStyle="Comma">
      <calculatedColumnFormula>(TabCalc[[#This Row],[ValueBegin]]+(TabCalc[[#This Row],[M]]-TabCalc[[#This Row],[A]])*TabCalc[[#This Row],[NAfter]])*TabCalc[[#This Row],[Scale]]</calculatedColumnFormula>
    </tableColumn>
    <tableColumn id="36" xr3:uid="{170CFEF4-900E-C344-B73F-EC5E388E31F1}" name="L_I1" dataDxfId="2802" totalsRowDxfId="36" dataCellStyle="Comma">
      <calculatedColumnFormula array="1">_xlfn.XLOOKUP(TabCalc[[#This Row],[Ticker]],TabReg[[#Headers],[AAPL]:[UnknownX28]],Reg!B$72:KF$72)+3</calculatedColumnFormula>
    </tableColumn>
    <tableColumn id="37" xr3:uid="{B9D91A31-483A-7140-A42E-1CB6C1D429F2}" name="L_I2" dataDxfId="2801" totalsRowDxfId="35" dataCellStyle="Comma">
      <calculatedColumnFormula array="1">_xlfn.XLOOKUP(TabCalc[[#This Row],[Ticker]],TabReg[[#Headers],[AAPL]:[UnknownX28]],Reg!B$73:KF$73)+2</calculatedColumnFormula>
    </tableColumn>
    <tableColumn id="22" xr3:uid="{8E34A39B-834E-354F-ADB3-DB7A321ABE6F}" name="L_TD" dataDxfId="2800" totalsRowDxfId="34" dataCellStyle="Comma">
      <calculatedColumnFormula>IFERROR(MAX(TabCalc[[#This Row],[Max_SD]],TabCalc[[#This Row],[Max_PD]]),0)</calculatedColumnFormula>
    </tableColumn>
    <tableColumn id="90" xr3:uid="{487FCB73-3571-8F44-9430-C425B5EAA38E}" name="TradeType" dataDxfId="2799" totalsRowDxfId="33" dataCellStyle="Comma">
      <calculatedColumnFormula array="1">_xlfn.LET(_xlpm.LAST_T,TabCalc[[#This Row],[L_TP]],_xlfn.IFS(_xlpm.LAST_T&lt;0,"Purchase",_xlpm.LAST_T&gt;0,"Sale"))</calculatedColumnFormula>
    </tableColumn>
    <tableColumn id="38" xr3:uid="{0832896C-9759-BE41-A69C-9C619066560B}" name="L_T#" dataDxfId="2798" totalsRowDxfId="32" dataCellStyle="Comma">
      <calculatedColumnFormula array="1">INDEX(Reg!$A$1:$KF$73,TabCalc[[#This Row],[L_I1]],TabCalc[[#This Row],[L_I2]])</calculatedColumnFormula>
    </tableColumn>
    <tableColumn id="39" xr3:uid="{491797D8-2284-B54E-8576-4AE558FEB74E}" name="L_TP" dataDxfId="2797" totalsRowDxfId="31" dataCellStyle="Comma">
      <calculatedColumnFormula array="1">INDEX(Reg!$A$1:$KF$73,TabCalc[[#This Row],[L_I1]],TabCalc[[#This Row],[L_I2]]+1)</calculatedColumnFormula>
    </tableColumn>
    <tableColumn id="35" xr3:uid="{F649126A-1339-A142-93CA-70CCDF7B20D3}" name="Resale(ME)" totalsRowFunction="sum" dataDxfId="2796" totalsRowDxfId="30" dataCellStyle="Comma">
      <calculatedColumnFormula>TabCalc[[#This Row],[NAfter]]*(TabCalc[[#This Row],[M]]-IF(TabCalc[[#This Row],[E]]&gt;0,0,TabCalc[[#This Row],[A]]))</calculatedColumnFormula>
    </tableColumn>
    <tableColumn id="42" xr3:uid="{80830DD6-ED9B-6D4C-AD1D-2BB8039767D9}" name="Min_SD" dataDxfId="2795" totalsRowDxfId="29" dataCellStyle="Comma">
      <calculatedColumnFormula array="1">IFERROR(MIN(_xlfn._xlws.FILTER(INDIRECT("TabReg["&amp;TabCalc[[#This Row],[Ticker]]&amp;"]"), INDIRECT("TabReg["&amp;TabCalc[[#This Row],[Ticker]]&amp;"2]")&gt;0)),0)</calculatedColumnFormula>
    </tableColumn>
    <tableColumn id="43" xr3:uid="{F89BBC3C-4F74-EF46-A27D-4C943ADB2B3E}" name="Min_Sn" dataDxfId="2794" totalsRowDxfId="28" dataCellStyle="Comma">
      <calculatedColumnFormula array="1">IFERROR(MIN(_xlfn._xlws.FILTER(INDIRECT("TabReg["&amp;TabCalc[[#This Row],[Ticker]]&amp;"1]"), INDIRECT("TabReg["&amp;TabCalc[[#This Row],[Ticker]]&amp;"2]")&gt;0)),0)</calculatedColumnFormula>
    </tableColumn>
    <tableColumn id="44" xr3:uid="{BDAB22CD-D535-184A-8CF5-ADC254BE3DEB}" name="Min_SP" dataDxfId="2793" totalsRowDxfId="27" dataCellStyle="Comma">
      <calculatedColumnFormula array="1">IFERROR(MIN(_xlfn._xlws.FILTER(INDIRECT("TabReg["&amp;TabCalc[[#This Row],[Ticker]]&amp;"2]"), INDIRECT("TabReg["&amp;TabCalc[[#This Row],[Ticker]]&amp;"2]")&gt;0)),0)</calculatedColumnFormula>
    </tableColumn>
    <tableColumn id="45" xr3:uid="{E335D0E5-CFC2-A947-B7BD-120EA369286A}" name="Max_SD" dataDxfId="2792" totalsRowDxfId="26" dataCellStyle="Comma">
      <calculatedColumnFormula array="1">IFERROR(MAX(_xlfn._xlws.FILTER(INDIRECT("TabReg["&amp;TabCalc[[#This Row],[Ticker]]&amp;"]"), INDIRECT("TabReg["&amp;TabCalc[[#This Row],[Ticker]]&amp;"2]")&gt;0)),0)</calculatedColumnFormula>
    </tableColumn>
    <tableColumn id="46" xr3:uid="{6D449514-A79E-104D-9623-52BA62C7519E}" name="Max_Sn" dataDxfId="2791" totalsRowDxfId="25" dataCellStyle="Comma">
      <calculatedColumnFormula array="1">IFERROR(MAX(_xlfn._xlws.FILTER(INDIRECT("TabReg["&amp;TabCalc[[#This Row],[Ticker]]&amp;"1]"), INDIRECT("TabReg["&amp;TabCalc[[#This Row],[Ticker]]&amp;"2]")&gt;0)),0)</calculatedColumnFormula>
    </tableColumn>
    <tableColumn id="47" xr3:uid="{F38BA202-850B-AF4E-AA4F-8ACDF7D3D33E}" name="Max_SP" dataDxfId="2790" totalsRowDxfId="24"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89" totalsRowDxfId="23" dataCellStyle="Comma">
      <calculatedColumnFormula>-IFERROR(MIN(INDIRECT("TabConsolid["&amp;TabCalc[[#This Row],[Ticker]]&amp;"2]")),0)</calculatedColumnFormula>
    </tableColumn>
    <tableColumn id="48" xr3:uid="{A50A08BF-FE5B-B04F-AFB9-97B2140F2515}" name="Min_PD" dataDxfId="2788"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787"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786"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785"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784"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783"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782"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81"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80"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79"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78"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77"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76"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775" totalsRowDxfId="9" dataCellStyle="Comma">
      <calculatedColumnFormula>IF(TabCalc[[#This Row],[ntoBuy]]*TabCalc[[#This Row],[M]]&lt;=0,0,TabCalc[[#This Row],[ntoBuy]]*TabCalc[[#This Row],[M]])</calculatedColumnFormula>
    </tableColumn>
    <tableColumn id="79" xr3:uid="{EBF3C3E2-6DB1-E544-B094-91307A9FD36D}" name="ntoSell" dataDxfId="2774"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73" totalsRowDxfId="7" dataCellStyle="Comma">
      <calculatedColumnFormula>TabCalc[[#This Row],[ntoSell]]*TabCalc[[#This Row],[M]]</calculatedColumnFormula>
    </tableColumn>
    <tableColumn id="78" xr3:uid="{C55523C0-D45F-8642-B597-19E7E57CF51A}" name="NMA" dataDxfId="2772"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71" totalsRowDxfId="5" dataCellStyle="Comma">
      <calculatedColumnFormula>IFERROR(TabCalc[[#This Row],[NMA]]*TabCalc[[#This Row],[M]],"")</calculatedColumnFormula>
    </tableColumn>
    <tableColumn id="91" xr3:uid="{4773B977-3DE4-0E42-B9FE-48F08243F277}" name="GLMore@A" dataDxfId="2770"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69" totalsRowDxfId="3" dataCellStyle="Percent">
      <calculatedColumnFormula>IFERROR((TabCalc[[#This Row],[M]]+TabCalc[[#This Row],[L_Bp]])/ABS(TabCalc[[#This Row],[L_Bp]])/(TODAY()-TabCalc[[#This Row],[L_Bdate]])*360,"")</calculatedColumnFormula>
    </tableColumn>
    <tableColumn id="103" xr3:uid="{E450379B-1A0B-524C-B698-62CF13D40A42}" name="Median" dataDxfId="2768" totalsRowDxfId="2" dataCellStyle="Percent">
      <calculatedColumnFormula>MEDIAN(DataShift!F704:Z704)</calculatedColumnFormula>
    </tableColumn>
    <tableColumn id="107" xr3:uid="{E193DC56-5187-FA45-B1A4-DA39C98DEBAF}" name="Ag:Ch" dataDxfId="2767"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66" totalsRowDxfId="0" dataCellStyle="Comma">
      <calculatedColumnFormula>TabCalc[[#This Row],[Nbegin]]*TabCalc[[#This Row],[Scale]]*TabCalc[[#This Row],[M]]</calculatedColumnFormula>
    </tableColumn>
    <tableColumn id="110" xr3:uid="{E5C0DC06-28AA-F041-8609-A15AD282662D}" name="Column2" dataDxfId="2765"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764">
  <autoFilter ref="DQ2:DS96" xr:uid="{A89BE8A1-EE62-2A4F-B94D-8CCFEB7A2182}"/>
  <tableColumns count="3">
    <tableColumn id="1" xr3:uid="{83C2141C-EB57-9649-821A-E765DD32C16E}" name="OldTicker" dataDxfId="2763"/>
    <tableColumn id="2" xr3:uid="{F9F7757D-7FFC-2A47-A064-09E4F7795175}" name="OriStock" dataDxfId="2762"/>
    <tableColumn id="3" xr3:uid="{B7BC1A5E-7EFA-9440-97AF-1C13CBDF3B16}" name="OriPrice" dataDxfId="276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760">
  <autoFilter ref="A4:P98" xr:uid="{8F010E09-40DE-CB49-9705-081A37BD3E66}"/>
  <tableColumns count="16">
    <tableColumn id="1" xr3:uid="{D248D7C8-FE91-5D4B-93B0-CA802F8BF9F0}" name="MSGSTicker" dataDxfId="2759">
      <calculatedColumnFormula>Calc!H3</calculatedColumnFormula>
    </tableColumn>
    <tableColumn id="2" xr3:uid="{DCEA20D1-EEC9-F34D-8887-3170D7506040}" name="Static" dataDxfId="2758" dataCellStyle="Comma"/>
    <tableColumn id="3" xr3:uid="{66E8CFC1-6152-2B40-A74D-C51B3D12C26A}" name="Expectation" dataDxfId="2757"/>
    <tableColumn id="4" xr3:uid="{DAF82BBB-C5D4-2C4F-B0F3-D3EB85303B5F}" name="Change" dataDxfId="2756" dataCellStyle="Percent"/>
    <tableColumn id="5" xr3:uid="{86913868-25DE-D143-935E-08543076F0FC}" name="Agio" dataDxfId="2755"/>
    <tableColumn id="6" xr3:uid="{A8E86DB9-D431-B64F-9DE4-7C08E738DBD4}" name="RevenueM&gt;A" dataDxfId="2754"/>
    <tableColumn id="7" xr3:uid="{518090EA-8F28-9B4A-8A12-CC16C3F84E1E}" name="MarkUP" dataCellStyle="Percent"/>
    <tableColumn id="8" xr3:uid="{2C3D6668-A65F-AA42-9077-0DB8624C7676}" name="M_LIVE" dataDxfId="2753">
      <calculatedColumnFormula>Calc!I3</calculatedColumnFormula>
    </tableColumn>
    <tableColumn id="9" xr3:uid="{43FE98D8-979D-8E4C-A91E-E80C6A08278B}" name="StDate" dataDxfId="2752"/>
    <tableColumn id="10" xr3:uid="{D924EA8C-E924-5F4D-AB2A-FEFB0B39DA11}" name="Status"/>
    <tableColumn id="11" xr3:uid="{9E249F30-F4A3-034A-A05D-802CDFBDDDD1}" name="Column1" dataDxfId="2751">
      <calculatedColumnFormula>_xlfn.XLOOKUP(G5,TabCalc[Ticker],TabCalc[Agiotage])</calculatedColumnFormula>
    </tableColumn>
    <tableColumn id="12" xr3:uid="{029C6B83-00D1-E045-ABBA-AD69A72591DF}" name="Column2" dataDxfId="2750">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749">
      <calculatedColumnFormula>_xlfn.XLOOKUP(G5,TabCalc[Ticker],TabCalc[Up20])</calculatedColumnFormula>
    </tableColumn>
    <tableColumn id="14" xr3:uid="{25D0468D-5365-F54E-80A2-14573D13D064}" name="Column4" dataDxfId="2748">
      <calculatedColumnFormula>_xlfn.XLOOKUP(G5,TabCalc[Ticker],TabCalc[M])</calculatedColumnFormula>
    </tableColumn>
    <tableColumn id="15" xr3:uid="{38403065-CF68-DC4E-A1FD-7601DFE95046}" name="Column5" dataDxfId="2747">
      <calculatedColumnFormula>TODAY()</calculatedColumnFormula>
    </tableColumn>
    <tableColumn id="16" xr3:uid="{D49A7D78-707A-9D46-8D9E-EB721E9CF457}" name="Column6" dataDxfId="2746">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45" tableBorderDxfId="2744">
  <autoFilter ref="F4:Z98" xr:uid="{12BDC163-61DF-264F-92B2-E45DC613B4C4}"/>
  <tableColumns count="21">
    <tableColumn id="1" xr3:uid="{EEADBAE1-5103-2A42-AC82-712785472BF0}" name="Close0" dataDxfId="2743"/>
    <tableColumn id="2" xr3:uid="{AE7EFBB8-D06A-C040-9713-4E49B46FECE7}" name="Close1" dataDxfId="2742"/>
    <tableColumn id="3" xr3:uid="{8841397E-CEB0-F942-82C3-85FBA5B005A1}" name="Close2" dataDxfId="2741"/>
    <tableColumn id="4" xr3:uid="{4AFD7B8B-092B-F546-8C5F-44A7CACE4DF6}" name="Close3" dataDxfId="2740"/>
    <tableColumn id="5" xr3:uid="{65D3394C-DDBB-8F4A-9B2B-7C2AE4CFEBBF}" name="Close4" dataDxfId="2739"/>
    <tableColumn id="6" xr3:uid="{283C7AA4-4055-3548-8D00-36EB7B6CEE5D}" name="Close5" dataDxfId="2738"/>
    <tableColumn id="7" xr3:uid="{78CAA80F-F236-E648-9556-69668646706D}" name="Close6" dataDxfId="2737" dataCellStyle="Percent"/>
    <tableColumn id="8" xr3:uid="{744FAAA4-A199-9B4E-87F9-38DF61826509}" name="Close7" dataDxfId="2736"/>
    <tableColumn id="9" xr3:uid="{BC32CFF7-F793-3040-BCF8-1567BA8BEE70}" name="Close8" dataDxfId="2735"/>
    <tableColumn id="10" xr3:uid="{3A714541-23EB-5B4A-A7EA-1A51C49368D2}" name="Close9" dataDxfId="2734"/>
    <tableColumn id="11" xr3:uid="{F62761C7-0A15-9448-8CF3-C007A34184F4}" name="Close10" dataDxfId="2733"/>
    <tableColumn id="12" xr3:uid="{8998ECDF-4D42-274E-822A-FBFDE0359088}" name="Close11" dataDxfId="2732"/>
    <tableColumn id="13" xr3:uid="{CDE8531B-700E-3E45-874F-42552F16C3B0}" name="Close12" dataDxfId="2731" dataCellStyle="Comma"/>
    <tableColumn id="14" xr3:uid="{4F7F7C8C-725F-D745-B627-B5851174E054}" name="Close13" dataDxfId="2730"/>
    <tableColumn id="15" xr3:uid="{B764A379-6E77-524D-84CE-F3D153DC33B6}" name="Close14" dataDxfId="2729"/>
    <tableColumn id="16" xr3:uid="{4331A404-8007-CA4F-9AE0-B2C01B0833A7}" name="Close15" dataDxfId="2728"/>
    <tableColumn id="17" xr3:uid="{0E7625FB-2D36-0248-B8EB-47E2820C4276}" name="Close16" dataDxfId="2727" dataCellStyle="Comma"/>
    <tableColumn id="18" xr3:uid="{D5281074-BB4E-6F4E-AD11-1983B5F6F52A}" name="Close17" dataDxfId="2726" dataCellStyle="Comma"/>
    <tableColumn id="19" xr3:uid="{D2D3DB13-7D54-904A-B3FA-E6ECA88164A0}" name="Close18" dataDxfId="2725" dataCellStyle="Comma"/>
    <tableColumn id="20" xr3:uid="{A6BDE463-026D-A14D-A56E-1A389384E71F}" name="Close19" dataDxfId="2724"/>
    <tableColumn id="21" xr3:uid="{8739BE66-982C-0B4D-A9FA-B2E2DE7CCF03}" name="Close20" dataDxfId="2723">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22" dataDxfId="2721" tableBorderDxfId="2720">
  <autoFilter ref="F104:Z198" xr:uid="{7798B848-3F46-BA40-8424-750FBB9BF60F}"/>
  <tableColumns count="21">
    <tableColumn id="1" xr3:uid="{6FEF1508-A20B-AA45-A9AC-4C624E068446}" name="Open0" dataDxfId="2719"/>
    <tableColumn id="2" xr3:uid="{A968BA88-43F9-8744-8D9C-EE0A5FE428C5}" name="Open1" dataDxfId="2718"/>
    <tableColumn id="3" xr3:uid="{084E3773-67E5-6546-877A-017B9C02A673}" name="Open2" dataDxfId="2717"/>
    <tableColumn id="4" xr3:uid="{D159A5E9-303F-2B4C-A90F-C1854A80FA6B}" name="Open3" dataDxfId="2716"/>
    <tableColumn id="5" xr3:uid="{CE8D320D-FD87-4F41-9A24-52676668D9C7}" name="Open4" dataDxfId="2715"/>
    <tableColumn id="6" xr3:uid="{1D8AD5A2-1882-E045-9FDE-A8B14CC49F19}" name="Open5" dataDxfId="2714"/>
    <tableColumn id="7" xr3:uid="{06E18F72-7E37-A84D-A205-389EC66FF62B}" name="Open6" dataDxfId="2713"/>
    <tableColumn id="8" xr3:uid="{78284C14-C4CF-F04E-8F5D-41B356BE8667}" name="Open7" dataDxfId="2712"/>
    <tableColumn id="9" xr3:uid="{9A312717-8B10-A641-9532-CFF04B325F56}" name="Open8" dataDxfId="2711"/>
    <tableColumn id="10" xr3:uid="{913B10DB-C756-D444-9334-829A62032C37}" name="Open9" dataDxfId="2710"/>
    <tableColumn id="11" xr3:uid="{D4686E54-DA00-094B-A567-7A6FCE459B04}" name="Open10" dataDxfId="2709"/>
    <tableColumn id="12" xr3:uid="{8C32C6DF-BCB0-0F4F-8B25-02BDFE0C90E8}" name="Open11" dataDxfId="2708"/>
    <tableColumn id="13" xr3:uid="{5A561081-F5CD-6B4D-B465-1869DCBCB727}" name="Open12" dataDxfId="2707"/>
    <tableColumn id="14" xr3:uid="{B8D9766C-03C2-9B40-B56F-15C155EC7762}" name="Open13" dataDxfId="2706"/>
    <tableColumn id="15" xr3:uid="{69794E79-649D-B04A-9E6D-A1FB7FD06CC4}" name="Open14" dataDxfId="2705"/>
    <tableColumn id="16" xr3:uid="{2C43AD13-A168-9A4D-869C-1EA09EDDFD22}" name="Open15" dataDxfId="2704"/>
    <tableColumn id="17" xr3:uid="{17AFBD30-9F2E-1A4C-8AA5-71AFA3BF092C}" name="Open16" dataDxfId="2703"/>
    <tableColumn id="18" xr3:uid="{1F620BC4-C578-3545-B148-8C7E16D7F5FE}" name="Open17" dataDxfId="2702"/>
    <tableColumn id="19" xr3:uid="{B560E636-BDB1-AA40-86EC-4E1A75517D70}" name="Open18" dataDxfId="2701"/>
    <tableColumn id="20" xr3:uid="{714C2841-15F8-C249-873E-4343067B0240}" name="Open19" dataDxfId="2700"/>
    <tableColumn id="21" xr3:uid="{D347935C-0F22-024F-8C36-90AFCCDAE1AF}" name="Open20" dataDxfId="2699">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98" dataDxfId="2697" tableBorderDxfId="2696">
  <autoFilter ref="F204:Z298" xr:uid="{EB4BB861-7DAC-314C-88E1-E031AC845B22}"/>
  <tableColumns count="21">
    <tableColumn id="1" xr3:uid="{A4E5A9D6-B024-1848-9F1D-71E156809148}" name="Price0" dataDxfId="2695"/>
    <tableColumn id="2" xr3:uid="{52A5C813-441A-0F44-A905-B78DFD4A3E7C}" name="Price1" dataDxfId="2694"/>
    <tableColumn id="3" xr3:uid="{ED453191-6F79-4140-B4A3-749667D3669A}" name="Price2" dataDxfId="2693"/>
    <tableColumn id="4" xr3:uid="{2B0E655A-259C-864B-AEA5-8BFBC75DFA5F}" name="Price3" dataDxfId="2692"/>
    <tableColumn id="5" xr3:uid="{31D31267-41BA-A84C-9512-B812956F8287}" name="Price4" dataDxfId="2691"/>
    <tableColumn id="6" xr3:uid="{6E482D3D-F09A-AD46-BFEC-448C11C27A1B}" name="Price5" dataDxfId="2690"/>
    <tableColumn id="7" xr3:uid="{8DCBD691-FA2F-5C4F-8741-758F221535B8}" name="Price6" dataDxfId="2689"/>
    <tableColumn id="8" xr3:uid="{F81A28A3-D8E8-C548-BBF7-52E767E3560F}" name="Price7" dataDxfId="2688"/>
    <tableColumn id="9" xr3:uid="{F36950E3-5E7A-C44B-BDEC-5FF51E1821C0}" name="Price8" dataDxfId="2687"/>
    <tableColumn id="10" xr3:uid="{94001300-D30A-164C-9AF4-A6C18C1D8233}" name="Price9" dataDxfId="2686"/>
    <tableColumn id="11" xr3:uid="{1762A2DB-B308-ED43-944F-330F2C82AF06}" name="Price10" dataDxfId="2685"/>
    <tableColumn id="12" xr3:uid="{664B20E9-BD46-EB4E-8614-25B89B67B0C5}" name="Price11" dataDxfId="2684"/>
    <tableColumn id="13" xr3:uid="{85F76311-414E-8345-9FCC-75CCEC1CF031}" name="Price12" dataDxfId="2683"/>
    <tableColumn id="14" xr3:uid="{39B5CAB1-7AF2-ED40-844D-4C3150F8440D}" name="Price13" dataDxfId="2682"/>
    <tableColumn id="15" xr3:uid="{EAFED719-DCFC-8346-BF51-C8F86D4EF22A}" name="Price14" dataDxfId="2681"/>
    <tableColumn id="16" xr3:uid="{F0C7D109-ABBE-184B-9657-0BD76C0A19B9}" name="Price15" dataDxfId="2680"/>
    <tableColumn id="17" xr3:uid="{255011AA-1459-4E42-A3A6-ACA53BC0738C}" name="Price16" dataDxfId="2679"/>
    <tableColumn id="18" xr3:uid="{F9009A2B-6610-1349-8B9E-07FE9A1901DB}" name="Price17" dataDxfId="2678"/>
    <tableColumn id="19" xr3:uid="{F72FCCC2-2EE5-3B40-B6E1-BC512B2A567B}" name="Price18" dataDxfId="2677"/>
    <tableColumn id="20" xr3:uid="{FFF62431-CB3E-DD4C-B035-809B1E6C4777}" name="Price19" dataDxfId="2676"/>
    <tableColumn id="21" xr3:uid="{6CA9E17B-C9CB-5D40-9BDE-F4B681DB70A8}" name="Price20" dataDxfId="2675">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74" dataDxfId="2673" tableBorderDxfId="2672" dataCellStyle="Comma">
  <autoFilter ref="AB4:AV98" xr:uid="{6AB25A1F-426D-5D41-AF5C-E0BACF53B0F0}"/>
  <tableColumns count="21">
    <tableColumn id="1" xr3:uid="{C7F03BE7-11FE-E841-9EF9-83F5C6F6FF3F}" name="Stock0" dataDxfId="2671" dataCellStyle="Comma"/>
    <tableColumn id="2" xr3:uid="{18A6D9C1-5DF4-2B40-9126-0E253FF416D7}" name="Stock1" dataDxfId="2670" dataCellStyle="Comma"/>
    <tableColumn id="3" xr3:uid="{4C2FC7F7-8430-F04E-8872-D98FF3A3D75B}" name="Stock2" dataDxfId="2669" dataCellStyle="Comma"/>
    <tableColumn id="4" xr3:uid="{838478B3-3270-1143-9694-B70966ED2654}" name="Stock3" dataDxfId="2668" dataCellStyle="Comma"/>
    <tableColumn id="5" xr3:uid="{F32213CF-064E-9342-B3E7-EA3E20AC95ED}" name="Stock4" dataDxfId="2667" dataCellStyle="Comma"/>
    <tableColumn id="6" xr3:uid="{C02BEF2E-2769-C04B-B440-6091CCD42B79}" name="Stock5" dataDxfId="2666" dataCellStyle="Comma"/>
    <tableColumn id="7" xr3:uid="{0F048FA9-BD2E-1F4C-AC9C-84F2091208AD}" name="Stock6" dataDxfId="2665" dataCellStyle="Comma"/>
    <tableColumn id="8" xr3:uid="{146ACADB-FB47-A542-9FA4-6EDCECB46FC4}" name="Stock7" dataDxfId="2664" dataCellStyle="Comma"/>
    <tableColumn id="9" xr3:uid="{96904AC0-9C5F-D043-BEDD-6B33D0EC239E}" name="Stock8" dataDxfId="2663" dataCellStyle="Comma"/>
    <tableColumn id="10" xr3:uid="{61E1D695-049F-5440-81AB-7D97F9E0F5CB}" name="Stock9" dataDxfId="2662" dataCellStyle="Comma"/>
    <tableColumn id="11" xr3:uid="{66B73799-E0BE-0049-82BC-096FB61FE577}" name="Stock10" dataDxfId="2661" dataCellStyle="Comma"/>
    <tableColumn id="12" xr3:uid="{F7F319CC-4A25-7345-A1A3-E1E93F1B82F6}" name="Stock11" dataDxfId="2660" dataCellStyle="Comma"/>
    <tableColumn id="13" xr3:uid="{D935BDD0-C5FF-414D-B97A-D213626F8B26}" name="Stock12" dataDxfId="2659" dataCellStyle="Comma"/>
    <tableColumn id="14" xr3:uid="{516F2104-B757-F94E-AB0F-428E98774253}" name="Stock13" dataDxfId="2658" dataCellStyle="Comma"/>
    <tableColumn id="15" xr3:uid="{2D08D160-51A8-914D-BB06-71F9E133FF42}" name="Stock14" dataDxfId="2657" dataCellStyle="Comma"/>
    <tableColumn id="16" xr3:uid="{A6311255-1F3F-E94F-A911-9E0083E20212}" name="Stock15" dataDxfId="2656" dataCellStyle="Comma"/>
    <tableColumn id="17" xr3:uid="{63865F5A-7539-144A-A7BF-3F28BA206DC5}" name="Stock16" dataDxfId="2655" dataCellStyle="Comma"/>
    <tableColumn id="18" xr3:uid="{53365510-D756-014D-B723-CBF92DEF74E4}" name="Stock17" dataDxfId="2654" dataCellStyle="Comma"/>
    <tableColumn id="19" xr3:uid="{4526F642-C055-8A46-B59D-A903CB7704F2}" name="Stock18" dataDxfId="2653" dataCellStyle="Comma"/>
    <tableColumn id="20" xr3:uid="{4D633FC2-817A-0D44-977B-DC0ADA7FA9EA}" name="Stock19" dataDxfId="2652" dataCellStyle="Comma"/>
    <tableColumn id="21" xr3:uid="{17C3BFF9-DE7F-F049-8716-2E4A3E209A88}" name="Stock20" dataDxfId="2651"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50" dataDxfId="2649" tableBorderDxfId="2648" dataCellStyle="Percent">
  <autoFilter ref="AB104:AV198" xr:uid="{5E09C67E-B492-C14D-BA21-53D0DFBBCF19}"/>
  <tableColumns count="21">
    <tableColumn id="1" xr3:uid="{4844BFD7-46E9-AD4D-A30F-27D7E320248D}" name="XAgio0" dataDxfId="2647" dataCellStyle="Percent"/>
    <tableColumn id="2" xr3:uid="{7A1C1DBC-E8A9-9C43-8D4C-79908C623B18}" name="XAgio1" dataDxfId="2646" dataCellStyle="Percent"/>
    <tableColumn id="3" xr3:uid="{F5F51D62-A156-3A4B-B1D3-94FCD61FC950}" name="XAgio2" dataDxfId="2645" dataCellStyle="Percent"/>
    <tableColumn id="4" xr3:uid="{E7F601FB-9DA1-9646-901B-25613F200B8E}" name="XAgio3" dataDxfId="2644" dataCellStyle="Percent"/>
    <tableColumn id="5" xr3:uid="{75D6ABA4-DA21-5B45-A87C-3A40C095EEDD}" name="XAgio4" dataDxfId="2643" dataCellStyle="Percent"/>
    <tableColumn id="6" xr3:uid="{456553CB-4622-3A40-868B-E76C74ECEC20}" name="XAgio5" dataDxfId="2642" dataCellStyle="Percent"/>
    <tableColumn id="7" xr3:uid="{A3974414-65F7-E44F-9012-7BB38B2A109D}" name="XAgio6" dataDxfId="2641" dataCellStyle="Percent"/>
    <tableColumn id="8" xr3:uid="{9AF89B43-794D-0044-8721-675D2C6D4F3E}" name="XAgio7" dataDxfId="2640" dataCellStyle="Percent"/>
    <tableColumn id="9" xr3:uid="{F5B7FA23-D7FE-BC47-9591-E9DA8FF929C2}" name="XAgio8" dataDxfId="2639" dataCellStyle="Percent"/>
    <tableColumn id="10" xr3:uid="{65D900EF-8A52-3C44-9629-8C6C9CD41130}" name="XAgio9" dataDxfId="2638" dataCellStyle="Percent"/>
    <tableColumn id="11" xr3:uid="{5E70DF05-8BA0-2D41-982A-D2D655974B5A}" name="XAgio10" dataDxfId="2637" dataCellStyle="Percent"/>
    <tableColumn id="12" xr3:uid="{B092C649-E1A7-3344-B40E-2BF9506A0880}" name="XAgio11" dataDxfId="2636" dataCellStyle="Percent"/>
    <tableColumn id="13" xr3:uid="{840DE593-5252-9C4A-BE7A-3D48632B63B7}" name="XAgio12" dataDxfId="2635" dataCellStyle="Percent"/>
    <tableColumn id="14" xr3:uid="{2E89F770-65D9-BB4A-B172-0E7996075FB4}" name="XAgio13" dataDxfId="2634" dataCellStyle="Percent"/>
    <tableColumn id="15" xr3:uid="{F177428E-AD8D-DF4B-A7AA-B15CB23DB9E4}" name="XAgio14" dataDxfId="2633" dataCellStyle="Percent"/>
    <tableColumn id="16" xr3:uid="{BCD73CCF-78D3-EC44-880D-FD6173967D68}" name="XAgio15" dataDxfId="2632" dataCellStyle="Percent"/>
    <tableColumn id="17" xr3:uid="{972D2180-01FF-264F-BA6C-033AD490130B}" name="XAgio16" dataDxfId="2631" dataCellStyle="Percent"/>
    <tableColumn id="18" xr3:uid="{BA2DE4B4-20B3-5943-8FBF-B47FBCAB9092}" name="XAgio17" dataDxfId="2630" dataCellStyle="Percent"/>
    <tableColumn id="19" xr3:uid="{34B59026-2C3D-8B4A-A730-B5D8AC1FD6FA}" name="XAgio18" dataDxfId="2629" dataCellStyle="Percent"/>
    <tableColumn id="20" xr3:uid="{9D4953E9-4D29-F647-B767-013FD23C3406}" name="XAgio19" dataDxfId="2628" dataCellStyle="Percent"/>
    <tableColumn id="21" xr3:uid="{C64D4FA9-A244-B04F-ABB2-1CF53E36712C}" name="XAgio20" dataDxfId="2627"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26" dataDxfId="2625" tableBorderDxfId="2624" dataCellStyle="Comma">
  <autoFilter ref="AB204:AV298" xr:uid="{A0EA3112-2FB6-FF42-841C-1FCA71A552B8}"/>
  <tableColumns count="21">
    <tableColumn id="1" xr3:uid="{AFEB9715-0820-D341-B6DD-56D90ACA4EB8}" name="AVGChan0" totalsRowLabel="Total" dataDxfId="2623" dataCellStyle="Comma"/>
    <tableColumn id="2" xr3:uid="{C5555382-638A-5E4F-9F9E-F76D19F860CD}" name="AVGChan1" dataDxfId="2622" dataCellStyle="Comma"/>
    <tableColumn id="3" xr3:uid="{CC180859-B3A9-A74D-854E-75282058C806}" name="AVGChan2" dataDxfId="2621" dataCellStyle="Comma"/>
    <tableColumn id="4" xr3:uid="{0B2BD7AB-D580-E44F-9EE2-E63D10A83637}" name="AVGChan3" dataDxfId="2620" dataCellStyle="Comma"/>
    <tableColumn id="5" xr3:uid="{A007109A-0054-AC49-B4CC-AC0ABA7FCC51}" name="AVGChan4" dataDxfId="2619" dataCellStyle="Comma"/>
    <tableColumn id="6" xr3:uid="{ADA20693-A5A5-AE4B-B88C-B65CB781B96B}" name="AVGChan5" dataDxfId="2618" dataCellStyle="Comma"/>
    <tableColumn id="7" xr3:uid="{7D26F7E4-E81D-D340-9014-5ACD0B49DD1E}" name="AVGChan6" dataDxfId="2617" dataCellStyle="Comma"/>
    <tableColumn id="8" xr3:uid="{4FEFA07A-6190-8C40-852E-B947C25694E4}" name="AVGChan7" dataDxfId="2616" dataCellStyle="Comma"/>
    <tableColumn id="9" xr3:uid="{200C4B95-289F-6742-B20B-64883DC43885}" name="AVGChan8" dataDxfId="2615" dataCellStyle="Comma"/>
    <tableColumn id="10" xr3:uid="{4C9BF29D-D210-D542-ACA3-179CDDE9DAF7}" name="AVGChan9" dataDxfId="2614" dataCellStyle="Comma"/>
    <tableColumn id="11" xr3:uid="{B85A0FFF-0B92-E545-AA74-114F3489EF28}" name="AVGChan10" dataDxfId="2613" dataCellStyle="Comma"/>
    <tableColumn id="12" xr3:uid="{36FAB0C0-8931-7C4A-A4D4-F1D9B93019C4}" name="AVGChan11" dataDxfId="2612" dataCellStyle="Comma"/>
    <tableColumn id="13" xr3:uid="{3F14D851-FC58-CF45-A44B-BEB6ECE74CF5}" name="AVGChan12" dataDxfId="2611" dataCellStyle="Comma"/>
    <tableColumn id="14" xr3:uid="{76BFA56E-7A6D-D648-8E97-C919C4B1D64E}" name="AVGChan13" dataDxfId="2610" dataCellStyle="Comma"/>
    <tableColumn id="15" xr3:uid="{42ECD6EE-13DD-CA41-8888-DBF465AE6675}" name="AVGChan14" dataDxfId="2609" dataCellStyle="Comma"/>
    <tableColumn id="16" xr3:uid="{4A0F3AFD-AFF8-4845-BF6E-71EEAC694084}" name="AVGChan15" dataDxfId="2608" dataCellStyle="Comma"/>
    <tableColumn id="17" xr3:uid="{BB41E69B-766F-CA4C-8F73-8229D71B0FBD}" name="AVGChan16" dataDxfId="2607" dataCellStyle="Comma"/>
    <tableColumn id="18" xr3:uid="{4E0F70D5-E77D-5544-BB80-5273D6D6DAD6}" name="AVGChan17" dataDxfId="2606" dataCellStyle="Comma"/>
    <tableColumn id="19" xr3:uid="{C0969DD6-BF9F-4F43-AE89-B3456AD8AEBA}" name="AVGChan18" dataDxfId="2605" dataCellStyle="Comma"/>
    <tableColumn id="20" xr3:uid="{3B8AD847-1069-8C45-ABC0-C614EB40C498}" name="AVGChan19" dataDxfId="2604" dataCellStyle="Comma"/>
    <tableColumn id="21" xr3:uid="{6E962B66-DD99-C04D-82E7-4A68E8C053FD}" name="AVGChan20" totalsRowFunction="max" dataDxfId="2603" totalsRowDxfId="2602"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01" dataDxfId="2600" tableBorderDxfId="2599">
  <autoFilter ref="F304:Z398" xr:uid="{8341DCDD-9E59-2740-A24A-0BAB86A4C294}"/>
  <tableColumns count="21">
    <tableColumn id="1" xr3:uid="{05BF7933-5282-7743-AAEF-BA70016123D1}" name="Low0" dataDxfId="2598"/>
    <tableColumn id="2" xr3:uid="{AEBAE2DC-B6D6-0D45-8ED5-23D6DE0D188E}" name="Low1" dataDxfId="2597"/>
    <tableColumn id="3" xr3:uid="{7397E65D-0B52-944C-B00D-ACBE6FC8970C}" name="Low2" dataDxfId="2596"/>
    <tableColumn id="4" xr3:uid="{65199958-FB50-644B-A6CD-D9B4A6A31C81}" name="Low3" dataDxfId="2595"/>
    <tableColumn id="5" xr3:uid="{D4E76AA6-38FC-044A-8136-1857F432C2D3}" name="Low4" dataDxfId="2594"/>
    <tableColumn id="6" xr3:uid="{ED22DB04-9A39-FA4C-A400-F3A5E3819087}" name="Low5" dataDxfId="2593"/>
    <tableColumn id="7" xr3:uid="{0691BBF2-D7EE-5E42-95D5-979DA294E3E7}" name="Low6" dataDxfId="2592"/>
    <tableColumn id="8" xr3:uid="{74FD8EEA-5F19-9447-855C-6D265EC39B98}" name="Low7" dataDxfId="2591"/>
    <tableColumn id="9" xr3:uid="{E09EB8DA-7DAF-AB45-BDDC-046B45CF7281}" name="Low8" dataDxfId="2590"/>
    <tableColumn id="10" xr3:uid="{3878FE9A-1C85-B84F-AC92-CB845274D16C}" name="Low9" dataDxfId="2589"/>
    <tableColumn id="11" xr3:uid="{B8430559-485B-B541-8B61-B3AA3978406D}" name="Low10" dataDxfId="2588"/>
    <tableColumn id="12" xr3:uid="{37EF61DB-B6C4-5742-A9A0-AAEAD0B7FCE6}" name="Low11" dataDxfId="2587"/>
    <tableColumn id="13" xr3:uid="{B119276C-5FBF-1A44-8632-7C3C430B2A4D}" name="Low12" dataDxfId="2586"/>
    <tableColumn id="14" xr3:uid="{49F0F70A-AA8D-204B-9C66-28455E39E699}" name="Low13" dataDxfId="2585"/>
    <tableColumn id="15" xr3:uid="{1A9F3FC6-0480-244A-91A4-82DAB8F1B54C}" name="Low14" dataDxfId="2584"/>
    <tableColumn id="16" xr3:uid="{547FE690-F1C5-B04D-B2DF-6360BB404F5A}" name="Low15" dataDxfId="2583"/>
    <tableColumn id="17" xr3:uid="{D819DC47-43F2-AC44-883E-2374E2163BF7}" name="Low16" dataDxfId="2582"/>
    <tableColumn id="18" xr3:uid="{88351988-EF51-384B-AC10-2BC7C2582A51}" name="Low17" dataDxfId="2581"/>
    <tableColumn id="19" xr3:uid="{01380C41-88F2-4D41-8C9D-E40D9F6441F5}" name="Low18" dataDxfId="2580"/>
    <tableColumn id="20" xr3:uid="{84321462-E49A-E747-ABFD-DD17E624EC5A}" name="Low19" dataDxfId="2579"/>
    <tableColumn id="21" xr3:uid="{684AE721-DDC5-814C-9DAE-F132DA57CEBA}" name="Low20" dataDxfId="2578">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77" dataDxfId="2576" tableBorderDxfId="2575" dataCellStyle="Comma">
  <autoFilter ref="AB304:AV398" xr:uid="{505C5E5D-245B-A747-9456-0A0E743C05A8}"/>
  <tableColumns count="21">
    <tableColumn id="1" xr3:uid="{F7696D4B-4AED-544C-B7C4-D7CE117BA3E4}" name="Sald0" dataDxfId="2574" dataCellStyle="Comma"/>
    <tableColumn id="2" xr3:uid="{715ED5A9-49EF-A648-85DA-96BA79BF9465}" name="Sald1" dataDxfId="2573" dataCellStyle="Comma"/>
    <tableColumn id="3" xr3:uid="{C7F806CC-F109-4247-B40E-74E3AE1489B3}" name="Sald2" dataDxfId="2572" dataCellStyle="Comma"/>
    <tableColumn id="4" xr3:uid="{18B41461-0D38-0849-89C0-982034BE0F82}" name="Sald3" dataDxfId="2571" dataCellStyle="Comma"/>
    <tableColumn id="5" xr3:uid="{8298E28E-80F4-1048-8A5F-010EBB7B8A3E}" name="Sald4" dataDxfId="2570" dataCellStyle="Comma"/>
    <tableColumn id="6" xr3:uid="{32D5C376-8552-A04D-9ED9-02FE6C79D9A2}" name="Sald5" dataDxfId="2569" dataCellStyle="Comma"/>
    <tableColumn id="7" xr3:uid="{0ABF3F59-1C72-A14A-9072-D4A990EA8CE3}" name="Sald6" dataDxfId="2568" dataCellStyle="Comma"/>
    <tableColumn id="8" xr3:uid="{0FD2AAEC-31D8-8C4D-A76B-31EAAFF62550}" name="Sald7" dataDxfId="2567" dataCellStyle="Comma"/>
    <tableColumn id="9" xr3:uid="{F861BBF0-6B76-7944-AEF1-EE42D7F8BE67}" name="Sald8" dataDxfId="2566" dataCellStyle="Comma"/>
    <tableColumn id="10" xr3:uid="{C7145DD9-60A5-6649-B81D-9A811F1A04C8}" name="Sald9" dataDxfId="2565" dataCellStyle="Comma"/>
    <tableColumn id="11" xr3:uid="{44B06E69-05E2-7E4A-AC70-25BCA74106DD}" name="Sald10" dataDxfId="2564" dataCellStyle="Comma"/>
    <tableColumn id="12" xr3:uid="{A3625923-E054-3845-B42D-2D38393132BF}" name="Sald11" dataDxfId="2563" dataCellStyle="Comma"/>
    <tableColumn id="13" xr3:uid="{CF2D3173-D401-C247-BA64-D3BECA1113C9}" name="Sald12" dataDxfId="2562" dataCellStyle="Comma"/>
    <tableColumn id="14" xr3:uid="{7CA064B5-3FF3-5347-A4DA-C9135895E78E}" name="Sald13" dataDxfId="2561" dataCellStyle="Comma"/>
    <tableColumn id="15" xr3:uid="{F88906F4-6EF3-8D44-AFB3-7F6171120460}" name="Sald14" dataDxfId="2560" dataCellStyle="Comma"/>
    <tableColumn id="16" xr3:uid="{08BE88DE-285E-DD4E-9B94-ABF49BDF2583}" name="Sald15" dataDxfId="2559" dataCellStyle="Comma"/>
    <tableColumn id="17" xr3:uid="{FF350C71-FB06-814C-AB62-C38F3BD8773D}" name="Sald16" dataDxfId="2558" dataCellStyle="Comma"/>
    <tableColumn id="18" xr3:uid="{871A4128-CC31-834F-9E52-C6732E47E371}" name="Sald17" dataDxfId="2557" dataCellStyle="Comma"/>
    <tableColumn id="19" xr3:uid="{CEC6770B-F0F3-E944-84DF-0EB3CF5BF1C5}" name="Sald18" dataDxfId="2556" dataCellStyle="Comma"/>
    <tableColumn id="20" xr3:uid="{4ED80F33-FFBC-754A-BC03-7BBA30F2CF36}" name="Sald19" dataDxfId="2555" dataCellStyle="Comma"/>
    <tableColumn id="21" xr3:uid="{EE7FE24F-4084-A047-A96A-BFD7777A0526}" name="Sald20" dataDxfId="2554"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53" dataDxfId="2552" tableBorderDxfId="2551">
  <autoFilter ref="F404:Z498" xr:uid="{72791BE6-AE3B-984E-9283-1FCA25508BF8}"/>
  <tableColumns count="21">
    <tableColumn id="1" xr3:uid="{5F2442DC-292F-7E44-9E79-EC5946746F80}" name="High0" dataDxfId="2550"/>
    <tableColumn id="2" xr3:uid="{0549D8C8-5CD6-D547-AA4E-06EF2CCBBC47}" name="High1" dataDxfId="2549"/>
    <tableColumn id="3" xr3:uid="{9808B4C7-981B-8E41-932E-5EEDB044D191}" name="High2" dataDxfId="2548"/>
    <tableColumn id="4" xr3:uid="{B0305D9C-4013-9546-B636-C1949178510D}" name="High3" dataDxfId="2547"/>
    <tableColumn id="5" xr3:uid="{F9E69E5D-F110-9B48-9329-9C8765C01A16}" name="High4" dataDxfId="2546"/>
    <tableColumn id="6" xr3:uid="{48A1E920-9742-9B42-B5B4-CE8842722C58}" name="High5" dataDxfId="2545"/>
    <tableColumn id="7" xr3:uid="{0FAA0644-82A0-C647-85BA-148C691889ED}" name="High6" dataDxfId="2544"/>
    <tableColumn id="8" xr3:uid="{E26B2014-11CB-6C43-9007-791975CDE457}" name="High7" dataDxfId="2543"/>
    <tableColumn id="9" xr3:uid="{BB5A97F1-1D0F-3B40-9D75-3BC9680046D9}" name="High8" dataDxfId="2542"/>
    <tableColumn id="10" xr3:uid="{9937F62A-F0DE-504F-9DDF-9B58BBCDF30D}" name="High9" dataDxfId="2541"/>
    <tableColumn id="11" xr3:uid="{29A4776E-C258-E74A-ADF9-5D021108CAC4}" name="High10" dataDxfId="2540"/>
    <tableColumn id="12" xr3:uid="{8849CFF6-7CC5-C142-AF6B-ADEA6C57F16A}" name="High11" dataDxfId="2539"/>
    <tableColumn id="13" xr3:uid="{633224FB-FB56-3346-B3D4-7815BD0EE8D2}" name="High12" dataDxfId="2538"/>
    <tableColumn id="14" xr3:uid="{AE8EB41C-C141-E34D-998C-B0CD93824B2C}" name="High13" dataDxfId="2537"/>
    <tableColumn id="15" xr3:uid="{D5C19F64-CCDC-C14F-9A29-B00650B50A72}" name="High14" dataDxfId="2536"/>
    <tableColumn id="16" xr3:uid="{30340F11-A4CE-D545-A219-2AE57981DD72}" name="High15" dataDxfId="2535"/>
    <tableColumn id="17" xr3:uid="{DC13C9CF-21E4-0341-AC85-77254CBA4C10}" name="High16" dataDxfId="2534"/>
    <tableColumn id="18" xr3:uid="{8B477E38-014E-7349-BDEF-006CC12B5F71}" name="High17" dataDxfId="2533"/>
    <tableColumn id="19" xr3:uid="{244FB7EE-D034-2C4B-855E-A5622CFD9DCC}" name="High18" dataDxfId="2532"/>
    <tableColumn id="20" xr3:uid="{BE6D664C-133B-0D49-9894-15834393E697}" name="High19" dataDxfId="2531"/>
    <tableColumn id="21" xr3:uid="{0D39CB33-A7F6-3446-97CA-74E68796A5EF}" name="High20" dataDxfId="2530">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29" dataDxfId="2528" tableBorderDxfId="2527" dataCellStyle="Comma">
  <autoFilter ref="AB504:AV598" xr:uid="{2059310D-912B-5146-8786-585E1C6FFCF2}"/>
  <tableColumns count="21">
    <tableColumn id="1" xr3:uid="{C4347E4A-86BC-5043-97CE-45A14B956E41}" name="M_Val0" dataDxfId="2526" dataCellStyle="Comma"/>
    <tableColumn id="2" xr3:uid="{B1FF6CEC-79A5-F849-8927-C7B81EC7DECC}" name="M_Val1" dataDxfId="2525" dataCellStyle="Comma"/>
    <tableColumn id="3" xr3:uid="{A3EF44CD-266F-BE4D-AA64-EC5EB34BABDE}" name="M_Val2" dataDxfId="2524" dataCellStyle="Comma"/>
    <tableColumn id="4" xr3:uid="{33FCDB11-ACFC-144C-96FF-80A724DEA2D2}" name="M_Val3" dataDxfId="2523" dataCellStyle="Comma"/>
    <tableColumn id="5" xr3:uid="{ECF85600-2A51-6B4A-A8AA-85CC4E8C8A69}" name="M_Val4" dataDxfId="2522" dataCellStyle="Comma"/>
    <tableColumn id="6" xr3:uid="{DA6F66BD-BF68-A745-930D-40C93490CE38}" name="M_Val5" dataDxfId="2521" dataCellStyle="Comma"/>
    <tableColumn id="7" xr3:uid="{3825427F-1753-8E4B-9F49-DC786B094ADF}" name="M_Val6" dataDxfId="2520" dataCellStyle="Comma"/>
    <tableColumn id="8" xr3:uid="{DE50C296-7BE6-2344-ADBB-42DDE8201D63}" name="M_Val7" dataDxfId="2519" dataCellStyle="Comma"/>
    <tableColumn id="9" xr3:uid="{6E7F2388-373F-3347-A802-C9769737C04E}" name="M_Val8" dataDxfId="2518" dataCellStyle="Comma"/>
    <tableColumn id="10" xr3:uid="{A785C2B5-06C3-8744-8BCE-7DF4FD77BC91}" name="M_Val9" dataDxfId="2517" dataCellStyle="Comma"/>
    <tableColumn id="11" xr3:uid="{8C7CA10E-47BD-E84A-BD5C-1A0BE803DEC1}" name="M_Val10" dataDxfId="2516" dataCellStyle="Comma"/>
    <tableColumn id="12" xr3:uid="{1E4D3DAF-E7FF-874F-9172-DEC7EE7EAB78}" name="M_Val11" dataDxfId="2515" dataCellStyle="Comma"/>
    <tableColumn id="13" xr3:uid="{92B8A6BB-8666-2348-B666-A1B1F7225487}" name="M_Val12" dataDxfId="2514" dataCellStyle="Comma"/>
    <tableColumn id="14" xr3:uid="{2BB9A822-DD2E-954F-B6F7-E6E26EE77E8B}" name="M_Val13" dataDxfId="2513" dataCellStyle="Comma"/>
    <tableColumn id="15" xr3:uid="{155B15D5-436D-664E-8647-3917F45F9F75}" name="M_Val14" dataDxfId="2512" dataCellStyle="Comma"/>
    <tableColumn id="16" xr3:uid="{2317AB74-4C6E-FC4A-8D59-B4EA62202F18}" name="M_Val15" dataDxfId="2511" dataCellStyle="Comma"/>
    <tableColumn id="17" xr3:uid="{FA0A4F43-775A-E940-A9B0-C394FF2B3489}" name="M_Val16" dataDxfId="2510" dataCellStyle="Comma"/>
    <tableColumn id="18" xr3:uid="{914B7672-9B72-E249-BB28-1D744A2474DA}" name="M_Val17" dataDxfId="2509" dataCellStyle="Comma"/>
    <tableColumn id="19" xr3:uid="{FEAB0C78-F15D-434B-A119-CE6A5430E083}" name="M_Val18" dataDxfId="2508" dataCellStyle="Comma"/>
    <tableColumn id="20" xr3:uid="{7060E8A2-F8A5-8741-9D69-3F1A5F8B6BF0}" name="M_Val19" dataDxfId="2507" dataCellStyle="Comma"/>
    <tableColumn id="21" xr3:uid="{FA8ABABE-3921-3E45-831B-C8F137C9C488}" name="M_Val20" dataDxfId="2506"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05" dataDxfId="2504" tableBorderDxfId="2503">
  <autoFilter ref="F504:Z598" xr:uid="{36432D48-615D-1C48-A920-5E65086EABA8}"/>
  <tableColumns count="21">
    <tableColumn id="1" xr3:uid="{6AB3A1F6-3AFC-8A45-971A-236D7AC7AB72}" name="PE0" dataDxfId="2502"/>
    <tableColumn id="2" xr3:uid="{C1F36B94-A69D-D048-9AB8-5EA83B7C9B99}" name="PE1" dataDxfId="2501"/>
    <tableColumn id="3" xr3:uid="{63661DA8-D795-6C49-A71B-41F019D21DDC}" name="PE2" dataDxfId="2500"/>
    <tableColumn id="4" xr3:uid="{D5A54A31-FEF4-BA4E-9B48-3EEF87AD1F14}" name="PE3" dataDxfId="2499"/>
    <tableColumn id="5" xr3:uid="{B65A08F3-5A74-754D-A3C6-8CDB9EF676C2}" name="PE4" dataDxfId="2498"/>
    <tableColumn id="6" xr3:uid="{7D4695C5-0843-EF45-A864-194AC78A2520}" name="PE5" dataDxfId="2497"/>
    <tableColumn id="7" xr3:uid="{35BB55FC-B3A0-964C-AEA0-9AA1136AF415}" name="PE6" dataDxfId="2496"/>
    <tableColumn id="8" xr3:uid="{1D2CBFF1-8B15-A84D-81C4-481E8A48D1DC}" name="PE7" dataDxfId="2495"/>
    <tableColumn id="9" xr3:uid="{A828A73C-F96B-5249-93ED-64ED903CA99D}" name="PE8" dataDxfId="2494"/>
    <tableColumn id="10" xr3:uid="{8870CD52-48DF-8841-998E-4E415A2751E6}" name="PE9" dataDxfId="2493"/>
    <tableColumn id="11" xr3:uid="{93CEE660-F7F2-1242-8DB3-9770EDC47297}" name="PE10" dataDxfId="2492"/>
    <tableColumn id="12" xr3:uid="{7271FB2D-1E6B-FE46-89C9-E6D759BE0E9C}" name="PE11" dataDxfId="2491"/>
    <tableColumn id="13" xr3:uid="{F5323927-9C3C-1445-8A2F-D173633B0D4C}" name="PE12" dataDxfId="2490"/>
    <tableColumn id="14" xr3:uid="{F94286AA-0AD1-F44B-A550-F7D2B757B377}" name="PE13" dataDxfId="2489"/>
    <tableColumn id="15" xr3:uid="{3E87B3EC-0708-2840-B184-905CF0494D38}" name="PE14" dataDxfId="2488"/>
    <tableColumn id="16" xr3:uid="{937EBC93-3781-5349-A2AC-956E22021E08}" name="PE15" dataDxfId="2487"/>
    <tableColumn id="17" xr3:uid="{638B58F0-3B34-CD4E-B605-167004C8346E}" name="PE16" dataDxfId="2486"/>
    <tableColumn id="18" xr3:uid="{E1AD3DD0-1478-964D-8994-FF3EA6BE4C0F}" name="PE17" dataDxfId="2485"/>
    <tableColumn id="19" xr3:uid="{9E8E221E-BFCA-BA44-9CF6-97E06234E423}" name="PE18" dataDxfId="2484"/>
    <tableColumn id="20" xr3:uid="{C4FBB163-9E7D-C545-98D8-5012D5EBEE1F}" name="PE19" dataDxfId="2483"/>
    <tableColumn id="21" xr3:uid="{EB5F2E20-930D-4648-8D82-E36CBF64AD58}" name="PE20" dataDxfId="2482">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81" dataDxfId="2480" tableBorderDxfId="2479" dataCellStyle="Comma">
  <autoFilter ref="AB604:AV698" xr:uid="{3609B58A-1615-B540-A3F4-6B519A654E28}"/>
  <tableColumns count="21">
    <tableColumn id="1" xr3:uid="{A0B04F0D-EC99-2549-B887-D57FA0D5E86F}" name="Gravity0" dataDxfId="2478" dataCellStyle="Percent"/>
    <tableColumn id="2" xr3:uid="{8D4C8AFE-708C-3547-976C-9A96BCBB8AFE}" name="Gravity1" dataDxfId="2477" dataCellStyle="Percent"/>
    <tableColumn id="3" xr3:uid="{7DFEBD87-178F-F64B-84A1-99F2119E39BA}" name="Gravity2" dataDxfId="2476" dataCellStyle="Percent"/>
    <tableColumn id="4" xr3:uid="{1D750563-D4F9-1A4D-A506-0AFE6C2D1D11}" name="Gravity3" dataDxfId="2475" dataCellStyle="Percent"/>
    <tableColumn id="5" xr3:uid="{0C9EE0C1-A0F5-A74E-8AB9-1AFD9B1C16DB}" name="Gravity4" dataDxfId="2474" dataCellStyle="Percent"/>
    <tableColumn id="6" xr3:uid="{9B19E6A0-AB29-C740-A355-E5A5CAD21CAB}" name="Gravity5" dataDxfId="2473" dataCellStyle="Percent"/>
    <tableColumn id="7" xr3:uid="{C28A85C1-D8C2-CA41-8F08-02E8F8024840}" name="Gravity6" dataDxfId="2472" dataCellStyle="Percent"/>
    <tableColumn id="8" xr3:uid="{357255E7-2CA0-0A43-9C09-B4D68962DF89}" name="Gravity7" dataDxfId="2471" dataCellStyle="Percent"/>
    <tableColumn id="9" xr3:uid="{C55B8262-AD8C-5141-BB34-1E2036804933}" name="Gravity8" dataDxfId="2470" dataCellStyle="Percent"/>
    <tableColumn id="10" xr3:uid="{298C0C4D-7682-4740-A283-7CAC9012D782}" name="Gravity9" dataDxfId="2469" dataCellStyle="Percent"/>
    <tableColumn id="11" xr3:uid="{B2D984E2-F2D7-B140-A5DB-627777F1DCD8}" name="Gravity10" dataDxfId="2468" dataCellStyle="Percent"/>
    <tableColumn id="12" xr3:uid="{9BB8DE4A-EB39-9548-A681-07940F2F801B}" name="Gravity11" dataDxfId="2467" dataCellStyle="Percent"/>
    <tableColumn id="13" xr3:uid="{76A3DECB-D825-C34E-8854-40CC9AFC168B}" name="Gravity12" dataDxfId="2466" dataCellStyle="Percent"/>
    <tableColumn id="14" xr3:uid="{AB485574-61F2-474C-89CB-FD8087756B5F}" name="Gravity13" dataDxfId="2465" dataCellStyle="Percent"/>
    <tableColumn id="15" xr3:uid="{438E0A68-B270-F947-817C-A58D392C7C30}" name="Gravity14" dataDxfId="2464" dataCellStyle="Percent"/>
    <tableColumn id="16" xr3:uid="{2B03B8A5-CB2F-C04E-B9AF-40D10250B197}" name="Gravity15" dataDxfId="2463" dataCellStyle="Percent"/>
    <tableColumn id="17" xr3:uid="{8387BA87-3B28-BE46-AD30-96A306038D1F}" name="Gravity16" dataDxfId="2462" dataCellStyle="Percent"/>
    <tableColumn id="18" xr3:uid="{F7904E93-BC46-0140-B3D6-49F92A3C3B5D}" name="Gravity17" dataDxfId="2461" dataCellStyle="Percent"/>
    <tableColumn id="19" xr3:uid="{672772F2-D35C-FE45-9C9E-A94C236B7B44}" name="Gravity18" dataDxfId="2460" dataCellStyle="Percent"/>
    <tableColumn id="20" xr3:uid="{208290DE-04CD-8449-90BB-B19A0603A99B}" name="Gravity19" dataDxfId="2459" dataCellStyle="Percent"/>
    <tableColumn id="21" xr3:uid="{D3DBFB11-389F-5340-8DDD-4E481D36F033}" name="Gravity20" dataDxfId="2458"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57" dataDxfId="2456" tableBorderDxfId="2455">
  <autoFilter ref="F604:Z698" xr:uid="{4DCF9413-627E-A447-A977-39461A12B0A3}"/>
  <tableColumns count="21">
    <tableColumn id="1" xr3:uid="{6C815857-AD36-514F-8897-BFA64C5DF519}" name="Change0" dataDxfId="2454"/>
    <tableColumn id="2" xr3:uid="{D38C3A03-2443-AD4B-AABC-4865D01815F2}" name="Change1" dataDxfId="2453"/>
    <tableColumn id="3" xr3:uid="{F6A50E01-2E70-8A44-A203-8594C9A07E19}" name="Change2" dataDxfId="2452"/>
    <tableColumn id="4" xr3:uid="{706AC2D7-888F-424A-A18C-849A98565C59}" name="Change3" dataDxfId="2451"/>
    <tableColumn id="5" xr3:uid="{560434CF-FA00-224C-B78C-55A65C6677B2}" name="Change4" dataDxfId="2450"/>
    <tableColumn id="6" xr3:uid="{9BB8986A-CB07-764B-974F-0200B964D48F}" name="Change5" dataDxfId="2449"/>
    <tableColumn id="7" xr3:uid="{A2BACA41-D491-AB49-BEA6-9772D4BD92BB}" name="Change6" dataDxfId="2448"/>
    <tableColumn id="8" xr3:uid="{B018DF0E-1556-A640-A7CD-653956B49AF4}" name="Change7" dataDxfId="2447"/>
    <tableColumn id="9" xr3:uid="{0589AC3B-0F4E-9B4F-BB47-CE809EB1DBF8}" name="Change8" dataDxfId="2446"/>
    <tableColumn id="10" xr3:uid="{43E47C43-9E48-B94B-A809-58536D8414BF}" name="Change9" dataDxfId="2445"/>
    <tableColumn id="11" xr3:uid="{A0D7F08A-CDD4-414F-9F26-553F599CBBF1}" name="Change10" dataDxfId="2444"/>
    <tableColumn id="12" xr3:uid="{488D9FD5-AC07-7A41-BD58-03C91357C94E}" name="Change11" dataDxfId="2443"/>
    <tableColumn id="13" xr3:uid="{EE9196AD-D051-6B4A-A202-A7144C6DFD66}" name="Change12" dataDxfId="2442"/>
    <tableColumn id="14" xr3:uid="{98450C78-3B61-1240-A662-7D5D61F30136}" name="Change13" dataDxfId="2441"/>
    <tableColumn id="15" xr3:uid="{EFA82915-6798-D846-878D-4446ABAE0933}" name="Change14" dataDxfId="2440"/>
    <tableColumn id="16" xr3:uid="{1CB917FE-8C88-4342-92DA-8B016542CFD2}" name="Change15" dataDxfId="2439"/>
    <tableColumn id="17" xr3:uid="{42105FB5-22CD-9342-866F-5BA47B717B37}" name="Change16" dataDxfId="2438"/>
    <tableColumn id="18" xr3:uid="{9FDA4AD2-5AA7-AC4E-BDB4-8AA2B4A4A42A}" name="Change17" dataDxfId="2437"/>
    <tableColumn id="19" xr3:uid="{6F1473B0-92BE-D749-A143-3A92C357032F}" name="Change18" dataDxfId="2436"/>
    <tableColumn id="20" xr3:uid="{25B55CEC-14E6-7E42-9FB8-CC16C431ABE7}" name="Change19" dataDxfId="2435"/>
    <tableColumn id="21" xr3:uid="{C59011F9-9453-234D-A348-16CE831E6078}" name="Change20" dataDxfId="2434">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33" dataDxfId="2432" tableBorderDxfId="2431" dataCellStyle="Comma">
  <autoFilter ref="AB703:AV797" xr:uid="{A5611BBA-DEBB-A742-816E-7FD6E0ADDC18}"/>
  <tableColumns count="21">
    <tableColumn id="1" xr3:uid="{9E345079-25ED-314A-BD31-D6BE104235D5}" name="Price_R_0" dataDxfId="2430" dataCellStyle="Comma"/>
    <tableColumn id="2" xr3:uid="{814A6345-1ED8-FE41-9109-8CD80D16593D}" name="Price_R_1" dataDxfId="2429" dataCellStyle="Comma"/>
    <tableColumn id="3" xr3:uid="{63A5BA5B-6637-7146-BCAB-AF0A6BD84542}" name="Price_R_2" dataDxfId="2428" dataCellStyle="Comma"/>
    <tableColumn id="4" xr3:uid="{C60CA0E4-422E-874F-B78B-A323C8C52AD9}" name="Price_R_3" dataDxfId="2427" dataCellStyle="Comma"/>
    <tableColumn id="5" xr3:uid="{7482E8DF-E6B5-9E41-8E12-A7E87DCC4331}" name="Price_R_4" dataDxfId="2426" dataCellStyle="Comma"/>
    <tableColumn id="6" xr3:uid="{D2D2A512-B5A8-7944-8FDD-4BCD959F2381}" name="Price_R_5" dataDxfId="2425" dataCellStyle="Comma"/>
    <tableColumn id="7" xr3:uid="{4F82805C-CC22-E74C-B851-5D6D0D84B7DC}" name="Price_R_6" dataDxfId="2424" dataCellStyle="Comma"/>
    <tableColumn id="8" xr3:uid="{BE4CDE83-DB86-9A48-85B9-E2A9B9E30C11}" name="Price_R_7" dataDxfId="2423" dataCellStyle="Comma"/>
    <tableColumn id="9" xr3:uid="{6C1BF96F-8EDB-6946-A2F3-C983E0C0C055}" name="Price_R_8" dataDxfId="2422" dataCellStyle="Comma"/>
    <tableColumn id="10" xr3:uid="{DA1EB53F-7FEE-8641-A52B-536EA3AB1DAC}" name="Price_R_9" dataDxfId="2421" dataCellStyle="Comma"/>
    <tableColumn id="11" xr3:uid="{A78F983A-0F51-D747-8420-29D3EA740487}" name="Price_R_10" dataDxfId="2420" dataCellStyle="Comma"/>
    <tableColumn id="12" xr3:uid="{6EE0B1E4-6446-F242-8E37-5BC854705E77}" name="Price_R_11" dataDxfId="2419" dataCellStyle="Comma"/>
    <tableColumn id="13" xr3:uid="{B85618C8-1B52-2A43-94AF-62D2CF27CAA3}" name="Price_R_12" dataDxfId="2418" dataCellStyle="Comma"/>
    <tableColumn id="14" xr3:uid="{6F404DC1-D1DD-7741-9D45-4928A4B19C45}" name="Price_R_13" dataDxfId="2417" dataCellStyle="Comma"/>
    <tableColumn id="15" xr3:uid="{B9BCB79E-3DF6-A845-AA0F-D76186F6F272}" name="Price_R_14" dataDxfId="2416" dataCellStyle="Comma"/>
    <tableColumn id="16" xr3:uid="{A3C7848D-67D3-FF45-8B42-6D9A6E4C865F}" name="Price_R_15" dataDxfId="2415" dataCellStyle="Comma"/>
    <tableColumn id="17" xr3:uid="{6385658D-D996-6E49-96D3-AC27BD18C68D}" name="Price_R_16" dataDxfId="2414" dataCellStyle="Comma"/>
    <tableColumn id="18" xr3:uid="{6755F4F7-AB0E-1140-BD86-0CEB49445E3C}" name="Price_R_17" dataDxfId="2413" dataCellStyle="Comma"/>
    <tableColumn id="19" xr3:uid="{5F2B6E7B-CF5C-004B-BBB8-34AC8C1B33C1}" name="Price_R_18" dataDxfId="2412" dataCellStyle="Comma"/>
    <tableColumn id="20" xr3:uid="{5BBB4D31-9AF3-3C40-A301-74F15E49AF4B}" name="Price_R_19" dataDxfId="2411" dataCellStyle="Comma"/>
    <tableColumn id="21" xr3:uid="{F53B7264-073C-B04C-AB0C-D9A23BDED3A3}" name="Price_R_20" dataDxfId="2410"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09" dataDxfId="2408" tableBorderDxfId="2407" dataCellStyle="Percent">
  <autoFilter ref="F703:Z797" xr:uid="{217639E3-C9A3-E441-ACF7-1F3F452949DB}"/>
  <tableColumns count="21">
    <tableColumn id="1" xr3:uid="{07F85B24-C0AB-654A-99EE-FF2231A0E5E9}" name="Change%0" dataDxfId="2406" totalsRowDxfId="2405" dataCellStyle="Percent"/>
    <tableColumn id="2" xr3:uid="{6277BEEF-ED87-8F44-856D-A182DAC7D192}" name="Change%1" dataDxfId="2404" totalsRowDxfId="2403" dataCellStyle="Percent"/>
    <tableColumn id="3" xr3:uid="{81173F8B-762A-6F48-A5CE-466659ED4610}" name="Change%2" dataDxfId="2402" totalsRowDxfId="2401" dataCellStyle="Percent"/>
    <tableColumn id="4" xr3:uid="{5FAB3EA3-5005-BF42-8BD0-60FA27AB26A0}" name="Change%3" dataDxfId="2400" totalsRowDxfId="2399" dataCellStyle="Percent"/>
    <tableColumn id="5" xr3:uid="{263B0787-0B05-754C-BD4B-2E271E2ECCC7}" name="Change%4" dataDxfId="2398" totalsRowDxfId="2397" dataCellStyle="Percent"/>
    <tableColumn id="6" xr3:uid="{30CF5F57-193D-0442-A594-4E8DE2F03ADB}" name="Change%5" dataDxfId="2396" totalsRowDxfId="2395" dataCellStyle="Percent"/>
    <tableColumn id="7" xr3:uid="{4B8BFE6B-2BED-4D42-AEC9-87DFA508274E}" name="Change%6" dataDxfId="2394" totalsRowDxfId="2393" dataCellStyle="Percent"/>
    <tableColumn id="8" xr3:uid="{07CEB146-02E3-E541-9100-0CB50F4E0739}" name="Change%7" dataDxfId="2392" totalsRowDxfId="2391" dataCellStyle="Percent"/>
    <tableColumn id="9" xr3:uid="{4CDDB7A4-680A-2340-B992-0DC78E17A997}" name="Change%8" dataDxfId="2390" totalsRowDxfId="2389" dataCellStyle="Percent"/>
    <tableColumn id="10" xr3:uid="{9AA5B541-EC12-DE45-B4D3-4EE2138C5D3C}" name="Change%9" dataDxfId="2388" totalsRowDxfId="2387" dataCellStyle="Percent"/>
    <tableColumn id="11" xr3:uid="{DA0F2F38-7866-354A-AF05-3F766DEF3C41}" name="Change%10" dataDxfId="2386" totalsRowDxfId="2385" dataCellStyle="Percent"/>
    <tableColumn id="12" xr3:uid="{ACEEC37C-251A-744A-A91C-58964EEB2458}" name="Change%11" dataDxfId="2384" totalsRowDxfId="2383" dataCellStyle="Percent"/>
    <tableColumn id="13" xr3:uid="{64EA9527-9991-AA4B-B95F-7836E1D6B699}" name="Change%12" dataDxfId="2382" totalsRowDxfId="2381" dataCellStyle="Percent"/>
    <tableColumn id="14" xr3:uid="{BF77A13F-B55D-E945-85FD-1B2DEE78796D}" name="Change%13" dataDxfId="2380" totalsRowDxfId="2379" dataCellStyle="Percent"/>
    <tableColumn id="15" xr3:uid="{37253EE7-EBB5-FB4C-AAD0-28CC218B6D0F}" name="Change%14" dataDxfId="2378" totalsRowDxfId="2377" dataCellStyle="Percent"/>
    <tableColumn id="16" xr3:uid="{67C0BADF-9353-854D-BCD6-DB9E43EE9E3E}" name="Change%15" dataDxfId="2376" totalsRowDxfId="2375" dataCellStyle="Percent"/>
    <tableColumn id="17" xr3:uid="{8C76684D-54C9-0441-8A71-E4B91154A635}" name="Change%16" dataDxfId="2374" totalsRowDxfId="2373" dataCellStyle="Percent"/>
    <tableColumn id="18" xr3:uid="{09F452FF-F0DF-F44D-8DCF-4990F34FA347}" name="Change%17" dataDxfId="2372" totalsRowDxfId="2371" dataCellStyle="Percent"/>
    <tableColumn id="19" xr3:uid="{0F279240-DB4F-A344-BDFA-918E88A0673B}" name="Change%18" dataDxfId="2370" totalsRowDxfId="2369" dataCellStyle="Percent"/>
    <tableColumn id="20" xr3:uid="{1D897499-2474-6042-AF31-D19B07F64D1C}" name="Change%19" dataDxfId="2368" totalsRowDxfId="2367" dataCellStyle="Percent"/>
    <tableColumn id="21" xr3:uid="{2E614D1E-AA18-8C46-95FC-92384A1FC5E5}" name="Change%20" dataDxfId="2366" totalsRowDxfId="2365"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64" dataDxfId="2363" tableBorderDxfId="2362" dataCellStyle="Comma">
  <autoFilter ref="AB803:AV897" xr:uid="{1DC97B12-567A-5F43-B215-F635C4FFAF56}"/>
  <tableColumns count="21">
    <tableColumn id="1" xr3:uid="{727EC8D5-2244-CA4D-B85E-1371B26803A7}" name="CH-R-0" dataDxfId="2361" dataCellStyle="Comma"/>
    <tableColumn id="2" xr3:uid="{1D4D9313-D8EA-EE45-834B-B8110298E57E}" name="CH-R-1" dataDxfId="2360" dataCellStyle="Comma"/>
    <tableColumn id="3" xr3:uid="{BFBBF7D3-3ACF-E04D-8ACF-5FC756167FF7}" name="CH-R-2" dataDxfId="2359" dataCellStyle="Comma"/>
    <tableColumn id="4" xr3:uid="{8AB840F2-736F-CA41-A42D-74A8241D8796}" name="CH-R-3" dataDxfId="2358" dataCellStyle="Comma"/>
    <tableColumn id="5" xr3:uid="{5D1E54CB-AE29-0144-B1FC-B3B15533987B}" name="CH-R-4" dataDxfId="2357" dataCellStyle="Comma"/>
    <tableColumn id="6" xr3:uid="{BA1BC152-62C6-244E-85BC-7E4C47ECE56F}" name="CH-R-5" dataDxfId="2356" dataCellStyle="Comma"/>
    <tableColumn id="7" xr3:uid="{0FB3DBC1-359D-0D4A-A6BD-6D34EB9BE4B5}" name="CH-R-6" dataDxfId="2355" dataCellStyle="Comma"/>
    <tableColumn id="8" xr3:uid="{C5DF6FC7-DD4A-6B48-936C-A6C0052CA0E2}" name="CH-R-7" dataDxfId="2354" dataCellStyle="Comma"/>
    <tableColumn id="9" xr3:uid="{294D38E4-945E-E243-AF30-979EE13B6E0E}" name="CH-R-8" dataDxfId="2353" dataCellStyle="Comma"/>
    <tableColumn id="10" xr3:uid="{1003CB93-FC9A-3047-A4AD-4014B5E1BDB1}" name="CH-R-9" dataDxfId="2352" dataCellStyle="Comma"/>
    <tableColumn id="11" xr3:uid="{59E8ED13-A37B-A548-9E5F-0C631205C7A6}" name="CH-R-10" dataDxfId="2351" dataCellStyle="Comma"/>
    <tableColumn id="12" xr3:uid="{F8B58B23-BC44-2C4F-94DD-52848147470C}" name="CH-R-11" dataDxfId="2350" dataCellStyle="Comma"/>
    <tableColumn id="13" xr3:uid="{6587F87F-94FF-3948-A1ED-50697B285DD9}" name="CH-R-12" dataDxfId="2349" dataCellStyle="Comma"/>
    <tableColumn id="14" xr3:uid="{5F72F02E-D1EB-0A48-AC14-631092D2AB8F}" name="CH-R-13" dataDxfId="2348" dataCellStyle="Comma"/>
    <tableColumn id="15" xr3:uid="{40CDB037-F34C-2C46-A44D-4EEB99A4F48A}" name="CH-R-14" dataDxfId="2347" dataCellStyle="Comma"/>
    <tableColumn id="16" xr3:uid="{36A7D946-56B9-424A-AC3F-16C20613B32D}" name="CH-R-15" dataDxfId="2346" dataCellStyle="Comma"/>
    <tableColumn id="17" xr3:uid="{98778DB8-B67D-2440-B38A-5470013D7E4A}" name="CH-R-16" dataDxfId="2345" dataCellStyle="Comma"/>
    <tableColumn id="18" xr3:uid="{4B26C77F-CDA1-384A-A838-99098596B1CA}" name="CH-R-17" dataDxfId="2344" dataCellStyle="Comma"/>
    <tableColumn id="19" xr3:uid="{D80360C1-FD36-B649-BA53-444CF7B6B399}" name="CH-R-18" dataDxfId="2343" dataCellStyle="Comma"/>
    <tableColumn id="20" xr3:uid="{70AEF62D-042F-584F-A3F6-7A20A448F2FA}" name="CH-R-19" dataDxfId="2342" dataCellStyle="Comma"/>
    <tableColumn id="21" xr3:uid="{0399200B-8517-864B-BB3B-55D173BBA511}" name="CH-R-20" dataDxfId="2341"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40" dataDxfId="2339" tableBorderDxfId="2338">
  <autoFilter ref="F803:Z896" xr:uid="{DE443FDB-A09F-D546-9DCC-6F79C8591A3A}"/>
  <tableColumns count="21">
    <tableColumn id="1" xr3:uid="{66DF501E-0E04-284D-AE56-250C1181933A}" name="LOW520" dataDxfId="2337"/>
    <tableColumn id="2" xr3:uid="{51019CAA-7B7B-8843-BBCF-5E5CF4955750}" name="LOW521" dataDxfId="2336"/>
    <tableColumn id="3" xr3:uid="{2F991A5F-695C-964A-B29C-4DD5E41602D3}" name="LOW522" dataDxfId="2335"/>
    <tableColumn id="4" xr3:uid="{AB3D5084-566B-2B4F-9C79-27669957BB9F}" name="LOW523" dataDxfId="2334"/>
    <tableColumn id="5" xr3:uid="{6C53359E-20BC-C146-9D57-DC52E93E1D0E}" name="LOW524" dataDxfId="2333"/>
    <tableColumn id="6" xr3:uid="{70979044-9A70-5441-A295-C2836D7D4EED}" name="LOW525" dataDxfId="2332"/>
    <tableColumn id="7" xr3:uid="{80D3193C-0073-D342-AB91-282BC9934C5D}" name="LOW526" dataDxfId="2331"/>
    <tableColumn id="8" xr3:uid="{1F04BB25-949C-A647-B2F5-3D7AAD3EE4C5}" name="LOW527" dataDxfId="2330"/>
    <tableColumn id="9" xr3:uid="{9BA5549A-8A81-D144-8C7C-F545ADD31E5A}" name="LOW528" dataDxfId="2329"/>
    <tableColumn id="10" xr3:uid="{8500AE99-78F5-2544-959C-444C1B16D49C}" name="LOW529" dataDxfId="2328"/>
    <tableColumn id="11" xr3:uid="{3DB600FC-DD7E-DA49-BBB5-1B3A8D390CA1}" name="LOW530" dataDxfId="2327"/>
    <tableColumn id="12" xr3:uid="{B776E02F-5049-7C41-9287-FC66BD83FD7C}" name="LOW531" dataDxfId="2326"/>
    <tableColumn id="13" xr3:uid="{2A31C167-B981-AA42-AD62-98EB96BEFE66}" name="LOW532" dataDxfId="2325"/>
    <tableColumn id="14" xr3:uid="{D9B09FFF-8924-C041-A13C-2CF52F057E93}" name="LOW533" dataDxfId="2324"/>
    <tableColumn id="15" xr3:uid="{C89D40B5-88F9-7F40-9C11-C00C2540EF0B}" name="LOW534" dataDxfId="2323"/>
    <tableColumn id="16" xr3:uid="{5B579388-FC67-8E4A-91A7-9373EE02FD6D}" name="LOW535" dataDxfId="2322"/>
    <tableColumn id="17" xr3:uid="{BA4BE745-0FD6-B44F-B87F-E6D03EF83F74}" name="LOW536" dataDxfId="2321"/>
    <tableColumn id="18" xr3:uid="{4F99BD31-6BBB-4C4E-AF0E-C5201824FB40}" name="LOW537" dataDxfId="2320"/>
    <tableColumn id="19" xr3:uid="{027111A8-F0C3-2E49-B4C8-66CA04669A75}" name="LOW538" dataDxfId="2319"/>
    <tableColumn id="20" xr3:uid="{898C76AA-1E86-5248-9312-D2A982DF2BC1}" name="LOW539" dataDxfId="2318"/>
    <tableColumn id="21" xr3:uid="{4ED07DB6-2955-E747-8AD4-966FA8287E02}" name="LOW540" dataDxfId="2317">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16" dataDxfId="2315" tableBorderDxfId="2314">
  <autoFilter ref="F902:Z996" xr:uid="{A1989BE9-E4C8-204A-8EC4-E515463D6985}"/>
  <tableColumns count="21">
    <tableColumn id="1" xr3:uid="{CCDAF27B-3366-AB41-9C05-67D8AB44D4C7}" name="HIGH520" dataDxfId="2313" dataCellStyle="Comma"/>
    <tableColumn id="2" xr3:uid="{66800E83-F458-F641-A4A6-8E929A7BC7C5}" name="HIGH521" dataDxfId="2312"/>
    <tableColumn id="3" xr3:uid="{50281050-1392-2349-A75F-437D63C0923A}" name="HIGH522" dataDxfId="2311"/>
    <tableColumn id="4" xr3:uid="{02987E0E-C4C8-F64F-A903-54444C25D7A5}" name="HIGH523" dataDxfId="2310"/>
    <tableColumn id="5" xr3:uid="{1C8321CF-3789-B942-8086-84D8FC5EF89B}" name="HIGH524" dataDxfId="2309"/>
    <tableColumn id="6" xr3:uid="{8EF5F9E0-0987-2244-862B-B4A06B974900}" name="HIGH525" dataDxfId="2308"/>
    <tableColumn id="7" xr3:uid="{74B46C00-40B4-3A45-8BC9-0EC98E687645}" name="HIGH526" dataDxfId="2307"/>
    <tableColumn id="8" xr3:uid="{13302214-C76A-9E43-852A-951084F77FEA}" name="HIGH527" dataDxfId="2306"/>
    <tableColumn id="9" xr3:uid="{36EAB480-A1A3-084D-BFBC-05E7EE00265E}" name="HIGH528" dataDxfId="2305"/>
    <tableColumn id="10" xr3:uid="{F3503877-08D5-6948-B0C1-AC821D9C45C5}" name="HIGH529" dataDxfId="2304"/>
    <tableColumn id="11" xr3:uid="{32C868C5-378D-FF40-812E-1D62D5C262B5}" name="HIGH530" dataDxfId="2303"/>
    <tableColumn id="12" xr3:uid="{974976C8-811B-B542-9ACC-A07556104D5D}" name="HIGH531" dataDxfId="2302"/>
    <tableColumn id="13" xr3:uid="{8EFA0DD6-DC2A-FB4D-BFF3-7DD01DC6CD24}" name="HIGH532" dataDxfId="2301"/>
    <tableColumn id="14" xr3:uid="{A6F85B1E-9147-4F47-A979-FBAEA4A15F17}" name="HIGH533" dataDxfId="2300"/>
    <tableColumn id="15" xr3:uid="{F3D09233-8B42-B448-BF0C-B6AB160E9B03}" name="HIGH534" dataDxfId="2299"/>
    <tableColumn id="16" xr3:uid="{FEB17489-56E2-BF43-A14A-29AF2FB81F6F}" name="HIGH535" dataDxfId="2298"/>
    <tableColumn id="17" xr3:uid="{B41E1FB1-F71C-2348-8B12-860AF115417C}" name="HIGH536" dataDxfId="2297"/>
    <tableColumn id="18" xr3:uid="{C1BB1E6B-5675-A346-A11C-A87C031AD1A5}" name="HIGH537" dataDxfId="2296"/>
    <tableColumn id="19" xr3:uid="{86E6ADFF-340C-9146-9B5E-4E9C76C88F59}" name="HIGH538" dataDxfId="2295"/>
    <tableColumn id="20" xr3:uid="{EFB55E1D-EB5D-FD4F-ABE5-FB8031ED630E}" name="HIGH539" dataDxfId="2294"/>
    <tableColumn id="21" xr3:uid="{5617BEFC-D126-7146-A1A8-E3206935A4F5}" name="HIGH540" dataDxfId="2293">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92" dataDxfId="2291" tableBorderDxfId="2290">
  <autoFilter ref="F1001:Z1095" xr:uid="{8DAF20EC-FF35-DE4F-9098-7E9343F0641B}"/>
  <tableColumns count="21">
    <tableColumn id="1" xr3:uid="{B3E72227-C152-6545-AAB1-0674C78DD4CA}" name="Volume0" dataDxfId="2289"/>
    <tableColumn id="2" xr3:uid="{44BDEDA8-E930-DC4B-82C0-675E1102E708}" name="Volume1" dataDxfId="2288"/>
    <tableColumn id="3" xr3:uid="{2B2A1DCE-B9EC-3F43-BD26-58D797066ACD}" name="Volume2" dataDxfId="2287"/>
    <tableColumn id="4" xr3:uid="{DFE41D08-A256-C94D-B744-ECF9E816875C}" name="Volume3" dataDxfId="2286"/>
    <tableColumn id="5" xr3:uid="{C0DF0F2F-58F0-714A-9FF4-A8682A1F3C0B}" name="Volume4" dataDxfId="2285"/>
    <tableColumn id="6" xr3:uid="{6173CC3E-D986-EC43-984F-D946E06D5B94}" name="Volume5" dataDxfId="2284"/>
    <tableColumn id="7" xr3:uid="{114AAB9D-4B2B-A647-9313-BCBA903A3513}" name="Volume6" dataDxfId="2283"/>
    <tableColumn id="8" xr3:uid="{53EFA4DE-9A07-FE47-A251-BB8D255E4EB8}" name="Volume7" dataDxfId="2282"/>
    <tableColumn id="9" xr3:uid="{18C94A55-2F25-084A-9640-943067E91284}" name="Volume8" dataDxfId="2281"/>
    <tableColumn id="10" xr3:uid="{836BAD23-7619-4645-8764-EB77B1427659}" name="Volume9" dataDxfId="2280"/>
    <tableColumn id="11" xr3:uid="{E4A6B4E0-74F0-8D4B-96CF-D56C7DD8F08A}" name="Volume10" dataDxfId="2279"/>
    <tableColumn id="12" xr3:uid="{C1A9A2E3-93CC-3041-9EC2-31623DCABB6C}" name="Volume11" dataDxfId="2278"/>
    <tableColumn id="13" xr3:uid="{E0142E08-C564-E443-9FC7-0607E2316E25}" name="Volume12" dataDxfId="2277"/>
    <tableColumn id="14" xr3:uid="{8D53300E-D5DB-7B42-8845-1B0A2E494262}" name="Volume13" dataDxfId="2276"/>
    <tableColumn id="15" xr3:uid="{9DFECEBD-3B06-3E43-AF7E-8644958914AE}" name="Volume14" dataDxfId="2275"/>
    <tableColumn id="16" xr3:uid="{DC69221A-F447-8A42-A5D4-462EE430A9BC}" name="Volume15" dataDxfId="2274"/>
    <tableColumn id="17" xr3:uid="{86A2E9AF-0E5A-0F4A-B409-7F6E53DA4CCF}" name="Volume16" dataDxfId="2273"/>
    <tableColumn id="18" xr3:uid="{746B717B-21BA-4346-96B2-7048F7EA0275}" name="Volume17" dataDxfId="2272"/>
    <tableColumn id="19" xr3:uid="{F6963C48-F97C-6D47-BE9D-5BB0B53684CD}" name="Volume18" dataDxfId="2271"/>
    <tableColumn id="20" xr3:uid="{B44B7DF5-2539-D747-8014-370786A69140}" name="Volume19" dataDxfId="2270"/>
    <tableColumn id="21" xr3:uid="{CD202E5D-BEC6-DC45-83A1-369B18AD153F}" name="Volume20" dataDxfId="2269">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68" dataDxfId="2267" tableBorderDxfId="2266" dataCellStyle="Comma">
  <autoFilter ref="F1100:Z1194" xr:uid="{3EE0B227-8581-DE42-9CB7-10D8CA661FF2}"/>
  <tableColumns count="21">
    <tableColumn id="1" xr3:uid="{C85E8DCA-5245-5048-8F18-181D1CC88078}" name="VolumeAV0" dataDxfId="2265" dataCellStyle="Comma"/>
    <tableColumn id="2" xr3:uid="{552BBB2F-D8F3-9E4F-8187-798F57E91491}" name="VolumeAV1" dataDxfId="2264" dataCellStyle="Comma"/>
    <tableColumn id="3" xr3:uid="{E206F8A1-0B59-7A4C-84A7-52F3D3E42580}" name="VolumeAV2" dataDxfId="2263" dataCellStyle="Comma"/>
    <tableColumn id="4" xr3:uid="{7A6E365D-A83C-BF4C-B6FB-F9815FE99ED7}" name="VolumeAV3" dataDxfId="2262" dataCellStyle="Comma"/>
    <tableColumn id="5" xr3:uid="{AA8BBD46-ADC4-DF45-B244-3F7AAE4826E9}" name="VolumeAV4" dataDxfId="2261" dataCellStyle="Comma"/>
    <tableColumn id="6" xr3:uid="{F877F64B-6397-4642-B5BD-0B3AD6FF5DB0}" name="VolumeAV5" dataDxfId="2260" dataCellStyle="Comma"/>
    <tableColumn id="7" xr3:uid="{55A6F6E2-CA7E-3044-8359-1172E697A40B}" name="VolumeAV6" dataDxfId="2259" dataCellStyle="Comma"/>
    <tableColumn id="8" xr3:uid="{CDA1A456-FD81-0E41-9FC9-B01A1A75506A}" name="VolumeAV7" dataDxfId="2258" dataCellStyle="Comma"/>
    <tableColumn id="9" xr3:uid="{F9EA7004-940F-4E42-9E05-45ACC60D31E3}" name="VolumeAV8" dataDxfId="2257" dataCellStyle="Comma"/>
    <tableColumn id="10" xr3:uid="{32FCDE73-4126-D643-A9EA-46C7A1AB5C2C}" name="VolumeAV9" dataDxfId="2256" dataCellStyle="Comma"/>
    <tableColumn id="11" xr3:uid="{7439CF2B-B03F-B349-A5AD-03A86DA63C60}" name="VolumeAV10" dataDxfId="2255" dataCellStyle="Comma"/>
    <tableColumn id="12" xr3:uid="{C0B9B680-5103-AE4E-ABA5-DC0D3B8256CD}" name="VolumeAV11" dataDxfId="2254" dataCellStyle="Comma"/>
    <tableColumn id="13" xr3:uid="{23A5D386-C520-0B4B-BF4E-FAAA66D794D4}" name="VolumeAV12" dataDxfId="2253" dataCellStyle="Comma"/>
    <tableColumn id="14" xr3:uid="{98A613A1-A0C8-CE4A-BD85-8FE3FB18160D}" name="VolumeAV13" dataDxfId="2252" dataCellStyle="Comma"/>
    <tableColumn id="15" xr3:uid="{A7A58C4F-A83C-2D4A-B754-9B307634A5A4}" name="VolumeAV14" dataDxfId="2251" dataCellStyle="Comma"/>
    <tableColumn id="16" xr3:uid="{F8BBBBA1-2662-2841-82D7-65FA8FA94BC2}" name="VolumeAV15" dataDxfId="2250" dataCellStyle="Comma"/>
    <tableColumn id="17" xr3:uid="{1E3A524D-09C1-1547-98DB-667D506C3291}" name="VolumeAV16" dataDxfId="2249" dataCellStyle="Comma"/>
    <tableColumn id="18" xr3:uid="{75328263-19F5-9E41-A079-EA70EAB2BD37}" name="VolumeAV17" dataDxfId="2248" dataCellStyle="Comma"/>
    <tableColumn id="19" xr3:uid="{7429A8D8-0A57-E74F-9269-8E54044F49AB}" name="VolumeAV18" dataDxfId="2247" dataCellStyle="Comma"/>
    <tableColumn id="20" xr3:uid="{575D40F2-3F48-1D4D-9813-1574FF33990B}" name="VolumeAV19" dataDxfId="2246" dataCellStyle="Comma"/>
    <tableColumn id="21" xr3:uid="{E4DCEDCE-1D73-E54B-8746-C7B82073AA57}" name="VolumeAV20" dataDxfId="2245"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44" dataDxfId="2243" tableBorderDxfId="2242">
  <autoFilter ref="F1199:Z1293" xr:uid="{071FD0FF-AECC-C844-91B0-2D3814BAA800}"/>
  <tableColumns count="21">
    <tableColumn id="1" xr3:uid="{3E6BCBC8-17C5-D544-8397-29CB96C09FB0}" name="BETA0" dataDxfId="2241"/>
    <tableColumn id="2" xr3:uid="{EA9DF148-0896-0241-9853-BCCF84E573C7}" name="BETA1" dataDxfId="2240"/>
    <tableColumn id="3" xr3:uid="{305CE689-D655-3047-8897-0CB222FC9C97}" name="BETA2" dataDxfId="2239"/>
    <tableColumn id="4" xr3:uid="{B642F9B5-64FD-F541-A471-56F96D4838D5}" name="BETA3" dataDxfId="2238"/>
    <tableColumn id="5" xr3:uid="{7D408C4F-A6DA-7744-90B5-58BED4DCA387}" name="BETA4" dataDxfId="2237"/>
    <tableColumn id="6" xr3:uid="{1C388ED8-51FC-FC4B-8218-215A76F7FE67}" name="BETA5" dataDxfId="2236"/>
    <tableColumn id="7" xr3:uid="{E7CDFCD7-DA4D-2449-AF1E-C02968632992}" name="BETA6" dataDxfId="2235"/>
    <tableColumn id="8" xr3:uid="{85FC13AF-AA4A-F542-9735-2441281158E1}" name="BETA7" dataDxfId="2234"/>
    <tableColumn id="9" xr3:uid="{99F619D1-DC28-C640-9EA1-3B3528D0F909}" name="BETA8" dataDxfId="2233"/>
    <tableColumn id="10" xr3:uid="{8EF98610-5953-1744-9F07-FCBA4B8DAD80}" name="BETA9" dataDxfId="2232"/>
    <tableColumn id="11" xr3:uid="{48405BC4-9142-8448-A3A7-0E5B30515726}" name="BETA10" dataDxfId="2231"/>
    <tableColumn id="12" xr3:uid="{4B254EFA-F69B-CD48-95A7-E3DD170FDAF6}" name="BETA11" dataDxfId="2230"/>
    <tableColumn id="13" xr3:uid="{F4BD7B80-FE62-584F-87F5-9610991B2DF9}" name="BETA12" dataDxfId="2229"/>
    <tableColumn id="14" xr3:uid="{997D1600-D275-2448-9059-48C623B70DBD}" name="BETA13" dataDxfId="2228"/>
    <tableColumn id="15" xr3:uid="{7FB75DCB-5880-334F-A05B-5C68FD891D9C}" name="BETA14" dataDxfId="2227"/>
    <tableColumn id="16" xr3:uid="{29D4352B-3770-A444-8C39-24FF6DCF527D}" name="BETA15" dataDxfId="2226"/>
    <tableColumn id="17" xr3:uid="{CC6C6D3F-4D9E-FB4E-870B-9E37C67A1E94}" name="BETA16" dataDxfId="2225"/>
    <tableColumn id="18" xr3:uid="{B6C6B591-4B12-5B48-B6EE-A7BF688195FF}" name="BETA17" dataDxfId="2224"/>
    <tableColumn id="19" xr3:uid="{91C40A07-D511-6C45-9282-58D43AF5D020}" name="BETA18" dataDxfId="2223"/>
    <tableColumn id="20" xr3:uid="{4980A1EB-51EE-2C4F-B65C-97ED9A3D26B5}" name="BETA19" dataDxfId="2222"/>
    <tableColumn id="21" xr3:uid="{C4D8FCC4-CF6E-EF4C-8612-A56614867063}" name="BETA20" dataDxfId="2221">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20" dataDxfId="2219" tableBorderDxfId="2218" dataCellStyle="Comma">
  <autoFilter ref="AB902:AV996" xr:uid="{6B77735E-46E6-7545-A642-770D818A2D75}"/>
  <tableColumns count="21">
    <tableColumn id="1" xr3:uid="{78A7C6E8-2822-4343-B8B3-B58D5A5C861C}" name="RSI0" dataDxfId="2217" dataCellStyle="Comma"/>
    <tableColumn id="2" xr3:uid="{E98CCE09-2573-4E47-ACFE-022664B84B4C}" name="RSI1" dataDxfId="2216" dataCellStyle="Comma"/>
    <tableColumn id="3" xr3:uid="{ACFE02A1-D8BD-EB4A-B834-5B28E9ACC18D}" name="RSI2" dataDxfId="2215" dataCellStyle="Comma"/>
    <tableColumn id="4" xr3:uid="{B6282100-5411-B14D-A9C9-B2CAC437FBB9}" name="RSI3" dataDxfId="2214" dataCellStyle="Comma"/>
    <tableColumn id="5" xr3:uid="{7A8EE7B4-22B4-404D-B15A-BC6B8B952E38}" name="RSI4" dataDxfId="2213" dataCellStyle="Comma"/>
    <tableColumn id="6" xr3:uid="{2989F0E1-E812-514F-95E6-26AA98E62E04}" name="RSI5" dataDxfId="2212" dataCellStyle="Comma"/>
    <tableColumn id="7" xr3:uid="{A8D8FA8D-9763-1640-AB49-A2CC0DF27AD9}" name="RSI6" dataDxfId="2211" dataCellStyle="Comma"/>
    <tableColumn id="8" xr3:uid="{2383B8DB-8E34-2045-80E5-BFC5F537D306}" name="RSI7" dataDxfId="2210" dataCellStyle="Comma"/>
    <tableColumn id="9" xr3:uid="{BEE36186-0446-AA4E-A48D-58473919680F}" name="RSI8" dataDxfId="2209" dataCellStyle="Comma"/>
    <tableColumn id="10" xr3:uid="{3056AA09-B75A-3F47-BA0C-4BC0730AA9A2}" name="RSI9" dataDxfId="2208" dataCellStyle="Comma"/>
    <tableColumn id="11" xr3:uid="{88D58233-4FE5-6D43-8260-B992739672EC}" name="RSI10" dataDxfId="2207" dataCellStyle="Comma"/>
    <tableColumn id="12" xr3:uid="{D08F0A16-307A-CB4E-B109-169320FBD1E9}" name="RSI11" dataDxfId="2206" dataCellStyle="Comma"/>
    <tableColumn id="13" xr3:uid="{5675D356-6E8F-7140-84E2-2760931C0061}" name="RSI12" dataDxfId="2205" dataCellStyle="Comma"/>
    <tableColumn id="14" xr3:uid="{56E1F75D-E50B-6941-9C85-C8456F3A502D}" name="RSI13" dataDxfId="2204" dataCellStyle="Comma"/>
    <tableColumn id="15" xr3:uid="{0EB5233D-4800-3B48-8C4D-83F182791517}" name="RSI14" dataDxfId="2203" dataCellStyle="Comma"/>
    <tableColumn id="16" xr3:uid="{F1DA6FAA-219D-DB40-888E-4B8355632C3E}" name="RSI15" dataDxfId="2202" dataCellStyle="Comma"/>
    <tableColumn id="17" xr3:uid="{87038607-300B-9A4E-8AB1-32360C0BCED1}" name="RSI16" dataDxfId="2201" dataCellStyle="Comma"/>
    <tableColumn id="18" xr3:uid="{216E4659-AF11-2749-A023-E9DBCA3D3FA2}" name="RSI17" dataDxfId="2200" dataCellStyle="Comma"/>
    <tableColumn id="19" xr3:uid="{3369DE30-2A5A-4049-8BC3-16DCF75D83FE}" name="RSI18" dataDxfId="2199" dataCellStyle="Comma"/>
    <tableColumn id="20" xr3:uid="{48350DE2-6BE5-1345-84B2-782B10F06A03}" name="RSI19" dataDxfId="2198" dataCellStyle="Comma"/>
    <tableColumn id="21" xr3:uid="{48474E5F-00E7-A24D-9184-B6F5A16251A0}" name="RSI20" dataDxfId="2197"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96" dataDxfId="2195" tableBorderDxfId="2194" dataCellStyle="Comma">
  <autoFilter ref="AB1001:AV1095" xr:uid="{55876AF5-DDC5-0C46-8253-9CE2A2026D21}"/>
  <tableColumns count="21">
    <tableColumn id="1" xr3:uid="{7881D38C-EE57-AD43-9C51-A2D36B2DD1C0}" name="RSIConv0" dataDxfId="2193" dataCellStyle="Comma"/>
    <tableColumn id="2" xr3:uid="{273702F5-9D3C-9F4A-80D0-0DCDBB3DCD59}" name="RSIConv1" dataDxfId="2192" dataCellStyle="Comma"/>
    <tableColumn id="3" xr3:uid="{83DCA11F-CA44-8848-8B85-F0B2E37C4F0C}" name="RSIConv2" dataDxfId="2191" dataCellStyle="Comma"/>
    <tableColumn id="4" xr3:uid="{55C21B30-B418-0D45-AD39-1565CF1997A1}" name="RSIConv3" dataDxfId="2190" dataCellStyle="Comma"/>
    <tableColumn id="5" xr3:uid="{BB9B84B0-BCEB-794C-8FF2-D58E69348C06}" name="RSIConv4" dataDxfId="2189" dataCellStyle="Comma"/>
    <tableColumn id="6" xr3:uid="{097186E5-7C8A-3F41-B35A-49384289CD0F}" name="RSIConv5" dataDxfId="2188" dataCellStyle="Comma"/>
    <tableColumn id="7" xr3:uid="{CC05FA3D-FFB7-BE47-99D3-2646C96C0CBF}" name="RSIConv6" dataDxfId="2187" dataCellStyle="Comma"/>
    <tableColumn id="8" xr3:uid="{CB2150CC-BF4D-D345-A7AA-4181448136A7}" name="RSIConv7" dataDxfId="2186" dataCellStyle="Comma"/>
    <tableColumn id="9" xr3:uid="{72A1979C-0FD2-9F4E-AFE5-CBD747F6B4AA}" name="RSIConv8" dataDxfId="2185" dataCellStyle="Comma"/>
    <tableColumn id="10" xr3:uid="{D515DCE0-17C5-8E42-BAD4-109A2A5298F0}" name="RSIConv9" dataDxfId="2184" dataCellStyle="Comma"/>
    <tableColumn id="11" xr3:uid="{F44C4C40-F6CC-1941-9573-4BA0D73A8D58}" name="RSIConv10" dataDxfId="2183" dataCellStyle="Comma"/>
    <tableColumn id="12" xr3:uid="{4DE80765-1FE2-A649-B6F3-0C2B4518761C}" name="RSIConv11" dataDxfId="2182" dataCellStyle="Comma"/>
    <tableColumn id="13" xr3:uid="{8544D363-8B56-7C43-95EE-FFDB1DEA969C}" name="RSIConv12" dataDxfId="2181" dataCellStyle="Comma"/>
    <tableColumn id="14" xr3:uid="{D60B5757-70FA-A245-9445-8A97AB6A0396}" name="RSIConv13" dataDxfId="2180" dataCellStyle="Comma"/>
    <tableColumn id="15" xr3:uid="{B4235226-F5D9-DD46-910F-103FE2B1C3B9}" name="RSIConv14" dataDxfId="2179" dataCellStyle="Comma"/>
    <tableColumn id="16" xr3:uid="{05479B02-8B5D-8441-B9F1-DB51C7A70F30}" name="RSIConv15" dataDxfId="2178" dataCellStyle="Comma"/>
    <tableColumn id="17" xr3:uid="{2C4FA0F3-DB10-274D-8CF3-2AE6D06CE419}" name="RSIConv16" dataDxfId="2177" dataCellStyle="Comma"/>
    <tableColumn id="18" xr3:uid="{58D242FC-0690-DD47-B0BA-60ED63154F95}" name="RSIConv17" dataDxfId="2176" dataCellStyle="Comma"/>
    <tableColumn id="19" xr3:uid="{65EAB3BB-4FC4-6448-B97E-F13E83B68528}" name="RSIConv18" dataDxfId="2175" dataCellStyle="Comma"/>
    <tableColumn id="20" xr3:uid="{E85541A1-4E16-B549-87E0-867D3FA7AB11}" name="RSIConv19" dataDxfId="2174" dataCellStyle="Comma"/>
    <tableColumn id="21" xr3:uid="{62EE7DD4-57B6-1B4B-BB14-920C26DA151F}" name="RSIConv20" dataDxfId="2173"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72" dataDxfId="2171" tableBorderDxfId="2170" dataCellStyle="Comma">
  <autoFilter ref="AB1100:AV1194" xr:uid="{A6858140-8021-514E-B3E1-C7BF94FA0033}"/>
  <tableColumns count="21">
    <tableColumn id="1" xr3:uid="{E298D0BD-45AF-4148-9BAD-429094EF8271}" name="Cash0" dataDxfId="2169" dataCellStyle="Comma"/>
    <tableColumn id="2" xr3:uid="{86547C8D-C915-714E-9477-0F23E52B00F6}" name="Cash1" dataDxfId="2168" dataCellStyle="Comma"/>
    <tableColumn id="3" xr3:uid="{36D62499-6FBB-044B-ABE4-67E8EC92B406}" name="Cash2" dataDxfId="2167" dataCellStyle="Comma"/>
    <tableColumn id="4" xr3:uid="{95CBFF96-C40A-394B-871E-117B86F71A75}" name="Cash3" dataDxfId="2166" dataCellStyle="Comma"/>
    <tableColumn id="5" xr3:uid="{40B0C993-D356-544E-8F72-B25CD1561DB9}" name="Cash4" dataDxfId="2165" dataCellStyle="Comma"/>
    <tableColumn id="6" xr3:uid="{16105271-212F-7F47-BCE1-3C465279D64E}" name="Cash5" dataDxfId="2164" dataCellStyle="Comma"/>
    <tableColumn id="7" xr3:uid="{9B523121-22D5-7D4C-9773-B20E7E733C34}" name="Cash6" dataDxfId="2163" dataCellStyle="Comma"/>
    <tableColumn id="8" xr3:uid="{99749C28-89C2-3D49-97C2-E4C4640DF6DA}" name="Cash7" dataDxfId="2162" dataCellStyle="Comma"/>
    <tableColumn id="9" xr3:uid="{5111F612-3907-904E-986D-8892DD33995C}" name="Cash8" dataDxfId="2161" dataCellStyle="Comma"/>
    <tableColumn id="10" xr3:uid="{E08E9B9D-14BA-5440-95B0-D4AFDB52F61F}" name="Cash9" dataDxfId="2160" dataCellStyle="Comma"/>
    <tableColumn id="11" xr3:uid="{D271A389-E25F-104D-9413-0FD54B41EEAE}" name="Cash10" dataDxfId="2159" dataCellStyle="Comma"/>
    <tableColumn id="12" xr3:uid="{3B4A241E-9074-734F-915D-7726D458DCAF}" name="Cash11" dataDxfId="2158" dataCellStyle="Comma"/>
    <tableColumn id="13" xr3:uid="{E8D8F957-8CFE-914E-B859-B221C47E58B2}" name="Cash12" dataDxfId="2157" dataCellStyle="Comma"/>
    <tableColumn id="14" xr3:uid="{113831A1-CC99-3B42-B8F5-AFEB1DC22D33}" name="Cash13" dataDxfId="2156" dataCellStyle="Comma"/>
    <tableColumn id="15" xr3:uid="{0E765A96-5FE3-4C4B-82B8-8B3F51B4536C}" name="Cash14" dataDxfId="2155" dataCellStyle="Comma"/>
    <tableColumn id="16" xr3:uid="{F2C78A88-D1BC-014E-8114-18527AC2CB5B}" name="Cash15" dataDxfId="2154" dataCellStyle="Comma"/>
    <tableColumn id="17" xr3:uid="{D2964560-F4EE-6344-A6DE-47921DE660C0}" name="Cash16" dataDxfId="2153" dataCellStyle="Comma"/>
    <tableColumn id="18" xr3:uid="{4FD8EDF7-D5A7-1440-B477-3FF6B70BEDD0}" name="Cash17" dataDxfId="2152" dataCellStyle="Comma"/>
    <tableColumn id="19" xr3:uid="{3649DE1E-D435-714F-BB19-EF3402C6AF22}" name="Cash18" dataDxfId="2151" dataCellStyle="Comma"/>
    <tableColumn id="20" xr3:uid="{701D1C02-DFD0-784A-9F28-745E11161D7E}" name="Cash19" dataDxfId="2150" dataCellStyle="Comma"/>
    <tableColumn id="21" xr3:uid="{0C684961-AF54-3648-8593-3FE8563E6C51}" name="Cash20" dataDxfId="2149"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48" dataDxfId="2147" tableBorderDxfId="2146" dataCellStyle="Comma">
  <autoFilter ref="AB1199:AV1293" xr:uid="{0A5A3FC2-1860-534B-8DD0-10BDA217BDFE}"/>
  <tableColumns count="21">
    <tableColumn id="1" xr3:uid="{B7BE4C83-4F89-A148-9BFD-EF937D226141}" name="RevSale0" dataDxfId="2145" dataCellStyle="Comma"/>
    <tableColumn id="2" xr3:uid="{D9B00968-AB75-D341-95A0-B5E0538F519B}" name="RevSale1" dataDxfId="2144" dataCellStyle="Comma"/>
    <tableColumn id="3" xr3:uid="{848EC437-A5F6-CD42-94EE-ADC9AE69EB25}" name="RevSale2" dataDxfId="2143" dataCellStyle="Comma"/>
    <tableColumn id="4" xr3:uid="{1B494BF3-2E0F-8F4A-9955-142385E1F8BD}" name="RevSale3" dataDxfId="2142" dataCellStyle="Comma"/>
    <tableColumn id="5" xr3:uid="{48A95940-B649-F245-BDFB-40FD49B4EEA9}" name="RevSale4" dataDxfId="2141" dataCellStyle="Comma"/>
    <tableColumn id="6" xr3:uid="{F29C926F-5AD5-DB46-A4C8-38488FC88563}" name="RevSale5" dataDxfId="2140" dataCellStyle="Comma"/>
    <tableColumn id="7" xr3:uid="{40881A88-B6CC-1748-AE84-DBBF15CDD664}" name="RevSale6" dataDxfId="2139" dataCellStyle="Comma"/>
    <tableColumn id="8" xr3:uid="{06780BEA-27AA-E74D-A331-9525B9D24152}" name="RevSale7" dataDxfId="2138" dataCellStyle="Comma"/>
    <tableColumn id="9" xr3:uid="{0900939F-F515-6C46-888D-909EDE9F09FB}" name="RevSale8" dataDxfId="2137" dataCellStyle="Comma"/>
    <tableColumn id="10" xr3:uid="{0DE3B22B-7FDD-5F47-B41E-5678A133FE87}" name="RevSale9" dataDxfId="2136" dataCellStyle="Comma"/>
    <tableColumn id="11" xr3:uid="{F662376C-7504-8046-9CD8-038237C565B0}" name="RevSale10" dataDxfId="2135" dataCellStyle="Comma"/>
    <tableColumn id="12" xr3:uid="{007BA40B-4C88-4243-B8BD-C61A273884FA}" name="RevSale11" dataDxfId="2134" dataCellStyle="Comma"/>
    <tableColumn id="13" xr3:uid="{9000EAA8-2766-DC4D-8C59-5A2A0FF49296}" name="RevSale12" dataDxfId="2133" dataCellStyle="Comma"/>
    <tableColumn id="14" xr3:uid="{6FC4A1EC-D5E3-3A4E-8294-EC201288D435}" name="RevSale13" dataDxfId="2132" dataCellStyle="Comma"/>
    <tableColumn id="15" xr3:uid="{43639010-CC3B-D243-B85E-C1E15232EBDC}" name="RevSale14" dataDxfId="2131" dataCellStyle="Comma"/>
    <tableColumn id="16" xr3:uid="{61BFA615-44B6-9D4C-B74F-B6FFE6E04A2D}" name="RevSale15" dataDxfId="2130" dataCellStyle="Comma"/>
    <tableColumn id="17" xr3:uid="{D569100A-7B22-4E4A-970A-85E3A0A201C1}" name="RevSale16" dataDxfId="2129" dataCellStyle="Comma"/>
    <tableColumn id="18" xr3:uid="{06F7FE50-0662-3A4D-9EE3-8DB9F5D70BFF}" name="RevSale17" dataDxfId="2128" dataCellStyle="Comma"/>
    <tableColumn id="19" xr3:uid="{15DF4D6C-5238-9246-BC08-243E825E1949}" name="RevSale18" dataDxfId="2127" dataCellStyle="Comma"/>
    <tableColumn id="20" xr3:uid="{49CC288D-DED6-E54C-AE81-4FB2F509C2FB}" name="RevSale19" dataDxfId="2126" dataCellStyle="Comma"/>
    <tableColumn id="21" xr3:uid="{106C00F1-2979-8B4B-BB61-4D1DF0F6F9E0}" name="RevSale20" dataDxfId="2125"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24" dataDxfId="2123" tableBorderDxfId="2122" dataCellStyle="Comma">
  <autoFilter ref="AB1298:AV1392" xr:uid="{029B3B90-231D-984A-8913-4BD26833EE55}"/>
  <tableColumns count="21">
    <tableColumn id="1" xr3:uid="{6A48BBC4-9F8C-E241-ABF9-8B082D07A915}" name="RevBuy0" dataDxfId="2121" dataCellStyle="Comma"/>
    <tableColumn id="2" xr3:uid="{3DC22D7D-8F33-224B-9FD3-A02E0E52A654}" name="RevBuy1" dataDxfId="2120" dataCellStyle="Comma"/>
    <tableColumn id="3" xr3:uid="{BFA86469-714F-604A-83B7-ADBDA419AAAC}" name="RevBuy2" dataDxfId="2119" dataCellStyle="Comma"/>
    <tableColumn id="4" xr3:uid="{BD5D4CEC-DFA9-A645-B64D-5478236122ED}" name="RevBuy3" dataDxfId="2118" dataCellStyle="Comma"/>
    <tableColumn id="5" xr3:uid="{FEEEA6B5-12EE-CA49-BC91-E9808CF75D06}" name="RevBuy4" dataDxfId="2117" dataCellStyle="Comma"/>
    <tableColumn id="6" xr3:uid="{8DDFBBE0-AB23-7641-A24A-F97BF48C35AC}" name="RevBuy5" dataDxfId="2116" dataCellStyle="Comma"/>
    <tableColumn id="7" xr3:uid="{9AAFF624-6153-C640-9CA1-6E9EAE0C62E6}" name="RevBuy6" dataDxfId="2115" dataCellStyle="Comma"/>
    <tableColumn id="8" xr3:uid="{3CE951EB-53B3-1244-B40C-ACD7AE718ADE}" name="RevBuy7" dataDxfId="2114" dataCellStyle="Comma"/>
    <tableColumn id="9" xr3:uid="{0F49B9D0-426D-C34B-8BC8-3409AFDA4ABC}" name="RevBuy8" dataDxfId="2113" dataCellStyle="Comma"/>
    <tableColumn id="10" xr3:uid="{9A0FBB4F-5D77-2B4B-99E0-824364A5297D}" name="RevBuy9" dataDxfId="2112" dataCellStyle="Comma"/>
    <tableColumn id="11" xr3:uid="{A6DFA062-72DB-994D-B9D4-26B6405DD395}" name="RevBuy10" dataDxfId="2111" dataCellStyle="Comma"/>
    <tableColumn id="12" xr3:uid="{7393EDBB-4FCA-B149-8058-EB9D09947DDE}" name="RevBuy11" dataDxfId="2110" dataCellStyle="Comma"/>
    <tableColumn id="13" xr3:uid="{0E6A4A32-6A6F-174A-95B9-58836CFD2CB3}" name="RevBuy12" dataDxfId="2109" dataCellStyle="Comma"/>
    <tableColumn id="14" xr3:uid="{2CF43023-9A75-C748-985A-9E29BD626892}" name="RevBuy13" dataDxfId="2108" dataCellStyle="Comma"/>
    <tableColumn id="15" xr3:uid="{4E36864A-377C-3A48-BC00-50578A6E506F}" name="RevBuy14" dataDxfId="2107" dataCellStyle="Comma"/>
    <tableColumn id="16" xr3:uid="{DB1CD117-EFF8-1840-99D4-2D16851999F1}" name="RevBuy15" dataDxfId="2106" dataCellStyle="Comma"/>
    <tableColumn id="17" xr3:uid="{42B2D85B-B956-8E40-9443-86D19B1A05D9}" name="RevBuy16" dataDxfId="2105" dataCellStyle="Comma"/>
    <tableColumn id="18" xr3:uid="{512DE7CC-E954-994C-A03A-4ABBD8962618}" name="RevBuy17" dataDxfId="2104" dataCellStyle="Comma"/>
    <tableColumn id="19" xr3:uid="{695A19CA-5D3E-ED4B-97F1-6D391036EF05}" name="RevBuy18" dataDxfId="2103" dataCellStyle="Comma"/>
    <tableColumn id="20" xr3:uid="{B2119E64-AACB-A14C-9559-514A472B4B21}" name="RevBuy19" dataDxfId="2102" dataCellStyle="Comma"/>
    <tableColumn id="21" xr3:uid="{2163EE0E-D715-DF4A-AEE0-8201AC51B898}" name="RevBuy20" dataDxfId="2101"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00" dataDxfId="2099" tableBorderDxfId="2098" dataCellStyle="Comma">
  <autoFilter ref="AB1397:AV1491" xr:uid="{A862798D-1A6F-4F4B-9D3C-CC5F9499011B}"/>
  <tableColumns count="21">
    <tableColumn id="1" xr3:uid="{3AC0D457-1D0C-7F49-A40F-0DE88B6B346F}" name="ExtraV0" dataDxfId="2097" totalsRowDxfId="2096" dataCellStyle="Comma"/>
    <tableColumn id="2" xr3:uid="{BBA9E372-2827-524A-8766-E691E6346A00}" name="ExtraV1" dataDxfId="2095" totalsRowDxfId="2094" dataCellStyle="Comma"/>
    <tableColumn id="3" xr3:uid="{86FFF09D-F252-5D4A-B7AE-018C7F417359}" name="ExtraV2" dataDxfId="2093" totalsRowDxfId="2092" dataCellStyle="Comma"/>
    <tableColumn id="4" xr3:uid="{EC3B54C3-0BA1-454F-B2AE-A9D80F740098}" name="ExtraV3" dataDxfId="2091" totalsRowDxfId="2090" dataCellStyle="Comma"/>
    <tableColumn id="5" xr3:uid="{D993D839-87B0-0E40-8C6F-15665A8E8072}" name="ExtraV4" dataDxfId="2089" totalsRowDxfId="2088" dataCellStyle="Comma"/>
    <tableColumn id="6" xr3:uid="{1BFB46B7-C176-504F-8EBB-26171A3D0521}" name="ExtraV5" dataDxfId="2087" totalsRowDxfId="2086" dataCellStyle="Comma"/>
    <tableColumn id="7" xr3:uid="{2B054E70-6A65-2841-B5D4-1D5AA57C8782}" name="ExtraV6" dataDxfId="2085" totalsRowDxfId="2084" dataCellStyle="Comma"/>
    <tableColumn id="8" xr3:uid="{68325155-E45A-FC4D-97C1-76858716F55F}" name="ExtraV7" dataDxfId="2083" totalsRowDxfId="2082" dataCellStyle="Comma"/>
    <tableColumn id="9" xr3:uid="{C54B2B53-F7FD-7A49-BDA6-04D9B4EF7741}" name="ExtraV8" dataDxfId="2081" totalsRowDxfId="2080" dataCellStyle="Comma"/>
    <tableColumn id="10" xr3:uid="{6B6BA1C0-34D2-A141-93A2-236370689F5C}" name="ExtraV9" dataDxfId="2079" totalsRowDxfId="2078" dataCellStyle="Comma"/>
    <tableColumn id="11" xr3:uid="{05AD6B97-9023-594F-8540-CDDA816224C7}" name="ExtraV10" dataDxfId="2077" totalsRowDxfId="2076" dataCellStyle="Comma"/>
    <tableColumn id="12" xr3:uid="{AE2DB8DB-D042-3345-AE75-DF958B831776}" name="ExtraV11" dataDxfId="2075" totalsRowDxfId="2074" dataCellStyle="Comma"/>
    <tableColumn id="13" xr3:uid="{DB617589-A099-C643-8929-3D2CA9AFC0F5}" name="ExtraV12" dataDxfId="2073" totalsRowDxfId="2072" dataCellStyle="Comma"/>
    <tableColumn id="14" xr3:uid="{CD892BF4-9983-4847-9C5F-D9B2BB0D5F2D}" name="ExtraV13" dataDxfId="2071" totalsRowDxfId="2070" dataCellStyle="Comma"/>
    <tableColumn id="15" xr3:uid="{8E18B52E-0B40-1F43-8E69-05D5D9F2074B}" name="ExtraV14" dataDxfId="2069" totalsRowDxfId="2068" dataCellStyle="Comma"/>
    <tableColumn id="16" xr3:uid="{077DD0B2-C59F-8E48-9793-B86BF53B2326}" name="ExtraV15" dataDxfId="2067" totalsRowDxfId="2066" dataCellStyle="Comma"/>
    <tableColumn id="17" xr3:uid="{FA7FEF7D-BB41-C94D-AD7E-65D253D5E0B2}" name="ExtraV16" dataDxfId="2065" totalsRowDxfId="2064" dataCellStyle="Comma"/>
    <tableColumn id="18" xr3:uid="{DE9E75AC-9C77-CB44-9498-19B521B8BE07}" name="ExtraV17" dataDxfId="2063" totalsRowDxfId="2062" dataCellStyle="Comma"/>
    <tableColumn id="19" xr3:uid="{2FEDB87D-6676-E142-B6C6-4C01E32E4F0A}" name="ExtraV18" dataDxfId="2061" totalsRowDxfId="2060" dataCellStyle="Comma"/>
    <tableColumn id="20" xr3:uid="{2FCA0075-35A7-1B40-8488-C039CCE16E9D}" name="ExtraV19" dataDxfId="2059" totalsRowDxfId="2058" dataCellStyle="Comma"/>
    <tableColumn id="21" xr3:uid="{8B815B8D-74CB-1A4D-B00D-1F6DAD74FC4B}" name="ExtraV20" dataDxfId="2057" totalsRowDxfId="2056"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55" dataDxfId="2054" tableBorderDxfId="2053" dataCellStyle="Percent">
  <autoFilter ref="AB1496:AV1590" xr:uid="{0F744D99-CBDB-A840-B675-EB13CC0AC422}"/>
  <tableColumns count="21">
    <tableColumn id="1" xr3:uid="{E1EC9148-EB38-344A-9ECF-E8F28A8A49A8}" name="Rev_GL0" dataDxfId="2052" dataCellStyle="Percent"/>
    <tableColumn id="2" xr3:uid="{4187F546-585D-D945-A89B-784CBB16D86B}" name="Rev_GL1" dataDxfId="2051" dataCellStyle="Percent"/>
    <tableColumn id="3" xr3:uid="{952B18A9-1809-FD4A-A0D4-0B8C6B10222D}" name="Rev_GL2" dataDxfId="2050" dataCellStyle="Percent"/>
    <tableColumn id="4" xr3:uid="{454132EA-52DC-4B46-84C9-F8C1817AAA8B}" name="Rev_GL3" dataDxfId="2049" dataCellStyle="Percent"/>
    <tableColumn id="5" xr3:uid="{46042E51-AD37-D64B-9F54-0AECB1CF208E}" name="Rev_GL4" dataDxfId="2048" dataCellStyle="Percent"/>
    <tableColumn id="6" xr3:uid="{88F9D56A-B70E-5F42-94D8-D65259D09AB6}" name="Rev_GL5" dataDxfId="2047" dataCellStyle="Percent"/>
    <tableColumn id="7" xr3:uid="{E66AADF7-66BC-6945-B6C8-8DE9B67D7D8C}" name="Rev_GL6" dataDxfId="2046" dataCellStyle="Percent"/>
    <tableColumn id="8" xr3:uid="{37DCCF9B-EF3C-2E46-A599-23C1C4979010}" name="Rev_GL7" dataDxfId="2045" dataCellStyle="Percent"/>
    <tableColumn id="9" xr3:uid="{E3EC2144-FCFD-4A4A-9A90-DBEB5288EF9F}" name="Rev_GL8" dataDxfId="2044" dataCellStyle="Percent"/>
    <tableColumn id="10" xr3:uid="{F8204BC8-8C71-AC4D-94AB-07EF311BCDB1}" name="Rev_GL9" dataDxfId="2043" dataCellStyle="Percent"/>
    <tableColumn id="11" xr3:uid="{9BC9C872-1F07-7B4D-9217-6A0B6AF47865}" name="Rev_GL10" dataDxfId="2042" dataCellStyle="Percent"/>
    <tableColumn id="12" xr3:uid="{120827D9-3318-D744-9216-DC27D3CF5968}" name="Rev_GL11" dataDxfId="2041" dataCellStyle="Percent"/>
    <tableColumn id="13" xr3:uid="{5D3F0E9B-693A-E944-918D-50F58C26C2C4}" name="Rev_GL12" dataDxfId="2040" dataCellStyle="Percent"/>
    <tableColumn id="14" xr3:uid="{17E4A056-EF9A-6746-8B3A-898BFDD6A696}" name="Rev_GL13" dataDxfId="2039" dataCellStyle="Percent"/>
    <tableColumn id="15" xr3:uid="{FFEBDC05-8049-534C-A5B3-7EBE90032BE1}" name="Rev_GL14" dataDxfId="2038" dataCellStyle="Percent"/>
    <tableColumn id="16" xr3:uid="{0A197748-CDC1-C64A-AE17-D22E200567DB}" name="Rev_GL15" dataDxfId="2037" dataCellStyle="Percent"/>
    <tableColumn id="17" xr3:uid="{42E0E5EF-910E-5F4E-9CF1-9CFAEC4C8700}" name="Rev_GL16" dataDxfId="2036" dataCellStyle="Percent"/>
    <tableColumn id="18" xr3:uid="{8B111263-3695-3044-B75D-C98410149243}" name="Rev_GL17" dataDxfId="2035" dataCellStyle="Percent"/>
    <tableColumn id="19" xr3:uid="{C3255BF8-7FCD-D64A-97FB-553379A81A55}" name="Rev_GL18" dataDxfId="2034" dataCellStyle="Percent"/>
    <tableColumn id="20" xr3:uid="{7A6EE87E-0D4C-D14A-B440-FBF691F1A8D2}" name="Rev_GL19" dataDxfId="2033" dataCellStyle="Percent"/>
    <tableColumn id="21" xr3:uid="{2E0D70B8-5AC9-9044-8C37-930BC7209F87}" name="Rev_GL20" dataDxfId="2032"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31" dataDxfId="2030" tableBorderDxfId="2029" dataCellStyle="Percent">
  <autoFilter ref="F1298:Z1392" xr:uid="{AF2A9EC8-851C-1C46-8C70-3CD3F3C868AC}"/>
  <tableColumns count="21">
    <tableColumn id="1" xr3:uid="{CA2857FA-1FC2-104D-B66E-371CA24537CD}" name="Naft0" dataDxfId="2028" dataCellStyle="Percent"/>
    <tableColumn id="2" xr3:uid="{8C525679-2502-FF45-B2B9-12506AA3F644}" name="Naft1" dataDxfId="2027" dataCellStyle="Percent"/>
    <tableColumn id="3" xr3:uid="{AD993A4C-A7F1-E342-9EC4-C90192C82B31}" name="Naft2" dataDxfId="2026" dataCellStyle="Percent"/>
    <tableColumn id="4" xr3:uid="{40B8B76F-5171-D54D-BF06-A4AC21350B3B}" name="Naft3" dataDxfId="2025" dataCellStyle="Percent"/>
    <tableColumn id="5" xr3:uid="{762033C0-4281-1746-84F3-542BF017FA4B}" name="Naft4" dataDxfId="2024" dataCellStyle="Percent"/>
    <tableColumn id="6" xr3:uid="{FAFE4B64-0CB1-994E-8F05-C5E44C8DDB03}" name="Naft5" dataDxfId="2023" dataCellStyle="Percent"/>
    <tableColumn id="7" xr3:uid="{AF0D904D-7647-BB48-8D6E-B302E22C3C1C}" name="Naft6" dataDxfId="2022" dataCellStyle="Percent"/>
    <tableColumn id="8" xr3:uid="{CF096B0E-2F7F-924E-BA91-4DC10C6E3ED9}" name="Naft7" dataDxfId="2021" dataCellStyle="Percent"/>
    <tableColumn id="9" xr3:uid="{C3C4E1F9-90C6-9646-BC1A-573E5493DC64}" name="Naft8" dataDxfId="2020" dataCellStyle="Percent"/>
    <tableColumn id="10" xr3:uid="{8A89D7FB-45BB-7642-A43A-239F682092E7}" name="Naft9" dataDxfId="2019" dataCellStyle="Percent"/>
    <tableColumn id="11" xr3:uid="{6CB557D2-EFB9-2E40-ADFE-F1D06A55A2C1}" name="Naft10" dataDxfId="2018" dataCellStyle="Percent"/>
    <tableColumn id="12" xr3:uid="{D7F02D6C-BB3C-D747-B902-F6B6DDD59B57}" name="Naft11" dataDxfId="2017" dataCellStyle="Percent"/>
    <tableColumn id="13" xr3:uid="{FD8D6943-9FA6-EA49-BBD9-F5E3DDB53BE7}" name="Naft12" dataDxfId="2016" dataCellStyle="Percent"/>
    <tableColumn id="14" xr3:uid="{2393C95D-1173-E448-837B-713DEFB9753C}" name="Naft13" dataDxfId="2015" dataCellStyle="Percent"/>
    <tableColumn id="15" xr3:uid="{E4C43FA3-A3C8-D340-985B-1BEA174F8B98}" name="Naft14" dataDxfId="2014" dataCellStyle="Percent"/>
    <tableColumn id="16" xr3:uid="{5F4E9827-A41F-8D4B-B649-51F74733E28D}" name="Naft15" dataDxfId="2013" dataCellStyle="Percent"/>
    <tableColumn id="17" xr3:uid="{DC3B667D-F4B9-8648-ACF1-C0371C364AA1}" name="Naft16" dataDxfId="2012" dataCellStyle="Percent"/>
    <tableColumn id="18" xr3:uid="{3E4D8A11-1F61-DE42-9951-C0BA46393626}" name="Naft17" dataDxfId="2011" dataCellStyle="Percent"/>
    <tableColumn id="19" xr3:uid="{50825E73-0383-E743-BD57-1CC0EAEE123B}" name="Naft18" dataDxfId="2010" dataCellStyle="Percent"/>
    <tableColumn id="20" xr3:uid="{BF93579D-889E-5B4A-A245-055F31FD5F5F}" name="Naft19" dataDxfId="2009" dataCellStyle="Percent"/>
    <tableColumn id="21" xr3:uid="{1A3DDD58-5298-C144-A846-CB3FD97B6F3B}" name="Naft20" dataDxfId="200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07" dataDxfId="2006" tableBorderDxfId="2005">
  <autoFilter ref="F1397:Z1491" xr:uid="{F6EF671C-15EB-6340-A931-CD19935BD39E}"/>
  <tableColumns count="21">
    <tableColumn id="1" xr3:uid="{3937D0B6-0B63-584B-8662-4CF442418B39}" name="Free2_0" dataDxfId="2004"/>
    <tableColumn id="2" xr3:uid="{297E75E7-30A8-614A-BC6B-7EDF8EA51692}" name="Free2_1" dataDxfId="2003"/>
    <tableColumn id="3" xr3:uid="{7F7BAB67-5081-FE41-B799-765A7833B5F6}" name="Free2_2" dataDxfId="2002"/>
    <tableColumn id="4" xr3:uid="{700C6907-FB66-B04F-81CB-5569C38B311E}" name="Free2_3" dataDxfId="2001"/>
    <tableColumn id="5" xr3:uid="{E20B3C31-90B8-D44C-9ECA-BC79BF5194CC}" name="Free2_4" dataDxfId="2000"/>
    <tableColumn id="6" xr3:uid="{27ADA4AC-F4C1-944D-8D1E-59B6112D7B6E}" name="Free2_5" dataDxfId="1999"/>
    <tableColumn id="7" xr3:uid="{97FCEADF-673E-2044-B069-C5D83CC6CD02}" name="Free2_6" dataDxfId="1998"/>
    <tableColumn id="8" xr3:uid="{2DAEB5D8-A75B-6345-B212-BABEC279EF4F}" name="Free2_7" dataDxfId="1997"/>
    <tableColumn id="9" xr3:uid="{D048A8D0-4C56-164A-B9F6-25853F5C87FB}" name="Free2_8" dataDxfId="1996"/>
    <tableColumn id="10" xr3:uid="{1B9502C7-37BD-1F47-9E14-6E91E86574DE}" name="Free2_9" dataDxfId="1995"/>
    <tableColumn id="11" xr3:uid="{9B6DF665-04C4-7649-852D-B0E5327053BC}" name="Free2_10" dataDxfId="1994"/>
    <tableColumn id="12" xr3:uid="{ABA824BF-6AB3-F848-89AE-8ACE9C246B08}" name="Free2_11" dataDxfId="1993"/>
    <tableColumn id="13" xr3:uid="{BE8860B0-2B51-9346-9587-0367E9E40239}" name="Free2_12" dataDxfId="1992"/>
    <tableColumn id="14" xr3:uid="{3BEA1E54-18D2-6740-93C2-7BD649B58A23}" name="Free2_13" dataDxfId="1991"/>
    <tableColumn id="15" xr3:uid="{79159609-704E-8146-B86F-5E75085DE96C}" name="Free2_14" dataDxfId="1990"/>
    <tableColumn id="16" xr3:uid="{E8E7FE0B-CAFC-A648-A958-2ACB64144D08}" name="Free2_15" dataDxfId="1989"/>
    <tableColumn id="17" xr3:uid="{D33B5289-1DC5-5447-8C39-5A33CEF0329C}" name="Free2_16" dataDxfId="1988"/>
    <tableColumn id="18" xr3:uid="{A4005841-AE7D-4E45-B5E4-DCCB8C0DAF66}" name="Free2_17" dataDxfId="1987"/>
    <tableColumn id="19" xr3:uid="{BF68ED05-57C6-CF48-97AC-E91CD45EE53C}" name="Free2_18" dataDxfId="1986"/>
    <tableColumn id="20" xr3:uid="{E9FBBC2B-85F5-8242-86CF-10EB4C79D58D}" name="Free2_19" dataDxfId="1985"/>
    <tableColumn id="21" xr3:uid="{29DD2BEB-9881-8043-9502-DA3DA8E0EC3C}" name="Free2_20" dataDxfId="198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83" dataDxfId="1982" tableBorderDxfId="1981" dataCellStyle="Comma">
  <autoFilter ref="AB404:AV498" xr:uid="{A5A966C8-A895-2142-9D9C-4A177559753C}"/>
  <tableColumns count="21">
    <tableColumn id="1" xr3:uid="{086170E0-912A-0046-8C70-71421FDB86CB}" name="Saldo_5Day0" dataDxfId="1980" dataCellStyle="Comma"/>
    <tableColumn id="2" xr3:uid="{C47EE9E0-CEB9-744E-A9B1-030E5081996F}" name="Saldo_5Day1" dataDxfId="1979" dataCellStyle="Comma"/>
    <tableColumn id="3" xr3:uid="{0374466B-D15D-8849-BFAB-F2C39763E33E}" name="Saldo_5Day2" dataDxfId="1978" dataCellStyle="Comma"/>
    <tableColumn id="4" xr3:uid="{3DC4E1AB-5240-2B47-95A1-A9FED5CB7931}" name="Saldo_5Day3" dataDxfId="1977" dataCellStyle="Comma"/>
    <tableColumn id="5" xr3:uid="{AD8D194A-067C-D54B-B1FC-6AA332CE1097}" name="Saldo_5Day4" dataDxfId="1976" dataCellStyle="Comma"/>
    <tableColumn id="6" xr3:uid="{B5DAB107-F4BA-3846-B1DF-1BB15544E5EB}" name="Saldo_5Day5" dataDxfId="1975" dataCellStyle="Comma"/>
    <tableColumn id="7" xr3:uid="{FC981E9A-3BB2-EC42-9BD0-4739A49F449B}" name="Saldo_5Day6" dataDxfId="1974" dataCellStyle="Comma"/>
    <tableColumn id="8" xr3:uid="{0D786F90-14A9-EC46-B54E-55D2023B3BAB}" name="Saldo_5Day7" dataDxfId="1973" dataCellStyle="Comma"/>
    <tableColumn id="9" xr3:uid="{640827C4-D151-714F-9431-310E739241DB}" name="Saldo_5Day8" dataDxfId="1972" dataCellStyle="Comma"/>
    <tableColumn id="10" xr3:uid="{883C6F42-8C48-8A47-A661-A9DC638F12F2}" name="Saldo_5Day9" dataDxfId="1971" dataCellStyle="Comma"/>
    <tableColumn id="11" xr3:uid="{CEF2A3F7-C727-D942-BBAD-594BB418F823}" name="Saldo_5Day10" dataDxfId="1970" dataCellStyle="Comma"/>
    <tableColumn id="12" xr3:uid="{A3DB2142-E94A-AD4D-9220-463878802587}" name="Saldo_5Day11" dataDxfId="1969" dataCellStyle="Comma"/>
    <tableColumn id="13" xr3:uid="{1FFAEF3D-A638-0843-889A-A25ABD8D4445}" name="Saldo_5Day12" dataDxfId="1968" dataCellStyle="Comma"/>
    <tableColumn id="14" xr3:uid="{66353A91-21E4-6345-9E5E-23B2AA7D6228}" name="Saldo_5Day13" dataDxfId="1967" dataCellStyle="Comma"/>
    <tableColumn id="15" xr3:uid="{4FA84C89-1A8F-284D-9C13-78D90BBF6266}" name="Saldo_5Day14" dataDxfId="1966" dataCellStyle="Comma"/>
    <tableColumn id="16" xr3:uid="{AEB3F103-A250-9D40-91AE-588B1AF73D28}" name="Saldo_5Day15" dataDxfId="1965" dataCellStyle="Comma"/>
    <tableColumn id="17" xr3:uid="{89C20C78-7E59-C74D-AF29-1A8CCB46B1D9}" name="Saldo_5Day16" dataDxfId="1964" dataCellStyle="Comma"/>
    <tableColumn id="18" xr3:uid="{44BE309E-DDA6-0F4A-98BD-B8D4F08F3A35}" name="Saldo_5Day17" dataDxfId="1963" dataCellStyle="Comma"/>
    <tableColumn id="19" xr3:uid="{F644A9A2-2953-9D41-B057-FC93AC10643A}" name="Saldo_5Day18" dataDxfId="1962" dataCellStyle="Comma"/>
    <tableColumn id="20" xr3:uid="{913F3E58-BEA0-7047-9081-6EE33487BB80}" name="Saldo_5Day19" dataDxfId="1961" dataCellStyle="Comma"/>
    <tableColumn id="21" xr3:uid="{AF453376-8DDF-764F-B09C-84B72B80BF75}" name="Saldo_5Day20" dataDxfId="1960"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59" totalsRowDxfId="753"/>
    <tableColumn id="2" xr3:uid="{C0145B90-171D-F843-922B-5308D656256B}" name="Summary1" dataDxfId="1958" totalsRowDxfId="752"/>
    <tableColumn id="3" xr3:uid="{13B89441-86AC-2245-A728-E49F31DB3D6A}" name="Summary2" dataDxfId="1957" totalsRowDxfId="751"/>
    <tableColumn id="4" xr3:uid="{1B918288-DC53-904B-AB84-4C90F09BE4EC}" name="Summary3" dataDxfId="1956" totalsRowDxfId="750"/>
    <tableColumn id="5" xr3:uid="{48DD1F16-0C12-8349-8732-19827F0EAE9F}" name="Summary4" dataDxfId="1955" totalsRowDxfId="749"/>
    <tableColumn id="6" xr3:uid="{D4E4DABC-EA23-ED49-81B2-4BFF2A0772F9}" name="Summary5" dataDxfId="1954" totalsRowDxfId="748"/>
    <tableColumn id="7" xr3:uid="{4C49F7EE-3ECF-174B-A361-EC8BFAA95624}" name="Summary6" dataDxfId="1953" totalsRowDxfId="747" dataCellStyle="Percent"/>
    <tableColumn id="8" xr3:uid="{816A286C-4A21-3144-93B8-B400778D576A}" name="Summary7" dataDxfId="1952" totalsRowDxfId="746"/>
    <tableColumn id="9" xr3:uid="{59E1500E-A932-4840-BA3E-5B3025BB1454}" name="Summary8" dataDxfId="1951" totalsRowDxfId="745"/>
    <tableColumn id="10" xr3:uid="{F96B4C1B-365D-1741-B72A-531258FFE2BC}" name="Summary9" dataDxfId="1950" totalsRowDxfId="744"/>
    <tableColumn id="11" xr3:uid="{77C9D1FE-F025-D54B-8787-3FC4E59E56AD}" name="Summary10" dataDxfId="1949" totalsRowDxfId="743"/>
    <tableColumn id="12" xr3:uid="{47411572-1EC6-254C-9838-49A66022B7E4}" name="Summary11" dataDxfId="1948" totalsRowDxfId="742"/>
    <tableColumn id="13" xr3:uid="{60CF3707-8850-F148-BBF5-A0EE9B808735}" name="Summary12" dataDxfId="1947" totalsRowDxfId="741" dataCellStyle="Comma"/>
    <tableColumn id="14" xr3:uid="{3A0F36B9-4B29-0A4C-A448-D9CF99B8C62F}" name="Summary13" dataDxfId="1946" totalsRowDxfId="740"/>
    <tableColumn id="15" xr3:uid="{C63BF0B5-FDDE-D043-A434-8FF7E3AE8994}" name="Summary14" dataDxfId="1945" totalsRowDxfId="739"/>
    <tableColumn id="16" xr3:uid="{07929D4C-E2BA-E64A-AA43-4BF7D1D5E3A2}" name="Summary15" dataDxfId="1944" totalsRowDxfId="738"/>
    <tableColumn id="17" xr3:uid="{A2E5D0AD-33EE-F140-9570-FEF3580B722F}" name="Summary16" dataDxfId="1943" totalsRowDxfId="737"/>
    <tableColumn id="18" xr3:uid="{379DD2CB-9A5C-D142-A1F0-8F2739E2CFA8}" name="Summary17" dataDxfId="1942" totalsRowDxfId="736" dataCellStyle="Percent"/>
    <tableColumn id="19" xr3:uid="{268245B6-FCB0-084E-A766-46A83AED1DB3}" name="Summary18" dataDxfId="1941" totalsRowDxfId="735" dataCellStyle="Comma"/>
    <tableColumn id="20" xr3:uid="{861CA8D0-B5BD-6F48-80D5-D373641A59B8}" name="Summary19" dataDxfId="1940" totalsRowDxfId="734"/>
    <tableColumn id="21" xr3:uid="{2D6D6470-C27B-9441-BFD7-B5A6B11B21EE}" name="Summary20" dataDxfId="1939" totalsRowDxfId="73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38" dataCellStyle="Percent">
  <autoFilter ref="F1496:Z1590" xr:uid="{BD0B59F9-75A4-6345-9840-A2E778B47C79}"/>
  <tableColumns count="21">
    <tableColumn id="1" xr3:uid="{3DEEB649-1545-504F-B74F-9FE969CBD76A}" name="MarkUp0" dataDxfId="1937" dataCellStyle="Percent"/>
    <tableColumn id="2" xr3:uid="{A6C89CFF-07F2-8B49-AAA7-95B57C6AEA42}" name="MarkUp1" dataDxfId="1936" dataCellStyle="Percent"/>
    <tableColumn id="3" xr3:uid="{80775B53-35F4-1742-A64B-DBC41620A5F8}" name="MarkUp2" dataDxfId="1935" dataCellStyle="Percent"/>
    <tableColumn id="4" xr3:uid="{789F2A95-FF0D-514F-A880-E9C55248174B}" name="MarkUp3" dataDxfId="1934" dataCellStyle="Percent"/>
    <tableColumn id="5" xr3:uid="{DB0D0239-7981-3C47-AD76-C782554E8AB8}" name="MarkUp4" dataDxfId="1933" dataCellStyle="Percent"/>
    <tableColumn id="6" xr3:uid="{544A8C51-585B-F848-8A7B-A1008FDFDF37}" name="MarkUp5" dataDxfId="1932" dataCellStyle="Percent"/>
    <tableColumn id="7" xr3:uid="{A575BF9D-8361-714D-B07E-8D0E262F5FBB}" name="MarkUp6" dataDxfId="1931" dataCellStyle="Percent"/>
    <tableColumn id="8" xr3:uid="{0B8D438E-DFEB-DA4D-8453-53E9B370F907}" name="MarkUp7" dataDxfId="1930" dataCellStyle="Percent"/>
    <tableColumn id="9" xr3:uid="{DA3BFA50-3B0C-844C-8D33-C1F303E0855D}" name="MarkUp8" dataDxfId="1929" dataCellStyle="Percent"/>
    <tableColumn id="10" xr3:uid="{8E2DFA05-ADCD-0240-B8AC-9A068217E1F3}" name="MarkUp9" dataDxfId="1928" dataCellStyle="Percent"/>
    <tableColumn id="11" xr3:uid="{1799051C-A221-0543-BE05-0E219A76BB16}" name="MarkUp10" dataDxfId="1927" dataCellStyle="Percent"/>
    <tableColumn id="12" xr3:uid="{98820823-ACB0-1F49-AA92-A32FD2BAD762}" name="MarkUp11" dataDxfId="1926" dataCellStyle="Percent"/>
    <tableColumn id="13" xr3:uid="{C19E583A-0D28-FB48-9A8A-B5A7CB5484A4}" name="MarkUp12" dataDxfId="1925" dataCellStyle="Percent"/>
    <tableColumn id="14" xr3:uid="{8059EBA1-5F47-CF46-84AB-5A12E88D8D2C}" name="MarkUp13" dataDxfId="1924" dataCellStyle="Percent"/>
    <tableColumn id="15" xr3:uid="{510C91B6-E50C-FC46-BFA2-6964EC87E14B}" name="MarkUp14" dataDxfId="1923" dataCellStyle="Percent"/>
    <tableColumn id="16" xr3:uid="{8C82C0B6-D9ED-CE4B-AED9-78058B4F22DA}" name="MarkUp15" dataDxfId="1922" dataCellStyle="Percent"/>
    <tableColumn id="17" xr3:uid="{1CC24814-7184-0C4B-A764-BAC31484FFD7}" name="MarkUp16" dataDxfId="1921" dataCellStyle="Percent"/>
    <tableColumn id="18" xr3:uid="{254EACA1-0431-EB47-9340-65308D62D404}" name="MarkUp17" dataDxfId="1920" dataCellStyle="Percent"/>
    <tableColumn id="19" xr3:uid="{B63624E4-0107-AE46-B98F-363678F4DBF5}" name="MarkUp18" dataDxfId="1919" dataCellStyle="Percent"/>
    <tableColumn id="20" xr3:uid="{096A92CA-4B2E-E442-A2EC-DE652EE21C06}" name="MarkUp19" dataDxfId="1918" dataCellStyle="Percent"/>
    <tableColumn id="21" xr3:uid="{92E1C85C-4F66-6340-BEBE-C53E1E837A88}" name="MarkUp20" dataDxfId="191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16" dataCellStyle="Percent">
  <autoFilter ref="F1596:Z1689" xr:uid="{D5BEC7A6-EF60-3B46-B9E8-034B7BBF3E15}"/>
  <tableColumns count="21">
    <tableColumn id="1" xr3:uid="{2C2B2823-339F-4D4E-B506-4D9D2FD31170}" name="Sum**2_0" dataDxfId="1915" dataCellStyle="Percent"/>
    <tableColumn id="2" xr3:uid="{63B31B64-D53D-D148-A12E-0035DE733783}" name="Sum**2_1" dataDxfId="1914" dataCellStyle="Percent"/>
    <tableColumn id="3" xr3:uid="{AB7122E0-6AA1-2345-9984-477938E242DE}" name="Sum**2_2" dataDxfId="1913" dataCellStyle="Percent"/>
    <tableColumn id="4" xr3:uid="{C1F1B198-A6E5-6E4B-9EFE-3A79002AA194}" name="Sum**2_3" dataDxfId="1912" dataCellStyle="Percent"/>
    <tableColumn id="5" xr3:uid="{CD8ADFDF-0FAA-2F4B-A5BA-D3744B56DB65}" name="Sum**2_4" dataDxfId="1911" dataCellStyle="Percent"/>
    <tableColumn id="6" xr3:uid="{A773326D-FA9D-F645-8327-6BD976AF582F}" name="Sum**2_5" dataDxfId="1910" dataCellStyle="Percent"/>
    <tableColumn id="7" xr3:uid="{819DBD76-9239-DC4A-9670-B59537B37853}" name="Sum**2_6" dataDxfId="1909" dataCellStyle="Percent"/>
    <tableColumn id="8" xr3:uid="{9E873F49-2374-174D-9563-D76244E18328}" name="Sum**2_7" dataDxfId="1908" dataCellStyle="Percent"/>
    <tableColumn id="9" xr3:uid="{B103D527-25A1-D646-AD0A-2D6D80419144}" name="Sum**2_8" dataDxfId="1907" dataCellStyle="Percent"/>
    <tableColumn id="10" xr3:uid="{96CCA32E-3C73-7142-BF4C-C158F7B37810}" name="Sum**2_9" dataDxfId="1906" dataCellStyle="Percent"/>
    <tableColumn id="11" xr3:uid="{56B7687B-91AF-4445-A28F-2881C7A6A6CD}" name="Sum**2_10" dataDxfId="1905" dataCellStyle="Percent"/>
    <tableColumn id="12" xr3:uid="{DB2A6F66-3621-8846-9226-BC837F3A8607}" name="Sum**2_11" dataDxfId="1904" dataCellStyle="Percent"/>
    <tableColumn id="13" xr3:uid="{AF2CAAB5-0134-4944-A2DF-51F7D4C73924}" name="Sum**2_12" dataDxfId="1903" dataCellStyle="Percent"/>
    <tableColumn id="14" xr3:uid="{96835407-A70C-7447-8F4F-990440ABEC87}" name="Sum**2_13" dataDxfId="1902" dataCellStyle="Percent"/>
    <tableColumn id="15" xr3:uid="{CA0AA75C-43E5-784B-8D61-06F3C41CF8A0}" name="Sum**2_14" dataDxfId="1901" dataCellStyle="Percent"/>
    <tableColumn id="16" xr3:uid="{13A8CBF4-DB9A-B849-8F2C-A0A188E0DF2A}" name="Sum**2_15" dataDxfId="1900" dataCellStyle="Percent"/>
    <tableColumn id="17" xr3:uid="{1F0AAC37-63D2-6F47-A469-FCC7FEF1D822}" name="Sum**2_16" dataDxfId="1899" dataCellStyle="Percent"/>
    <tableColumn id="18" xr3:uid="{A2F60BCE-BEE7-654C-BC93-9A7FA97E5352}" name="Sum**2_17" dataDxfId="1898" dataCellStyle="Percent"/>
    <tableColumn id="19" xr3:uid="{C3C24884-56D0-D04B-B09F-B980FE86E022}" name="Sum**2_18" dataDxfId="1897" dataCellStyle="Percent"/>
    <tableColumn id="20" xr3:uid="{87579DA9-E185-BD4F-B501-5C2BD25EC567}" name="Sum**2_19" dataDxfId="1896" dataCellStyle="Percent"/>
    <tableColumn id="21" xr3:uid="{8C3E0B6F-730F-3540-A789-4533BE6E2F4F}" name="Sum**2_20" dataDxfId="189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94" dataCellStyle="Percent">
  <autoFilter ref="AB1595:AV1689" xr:uid="{E6A8CF0B-7BCE-7A42-AF72-2FEB89DD3A0B}"/>
  <tableColumns count="21">
    <tableColumn id="1" xr3:uid="{9EDCB166-851C-9C48-A224-9B8BFE7FE3EA}" name="Sum**2_0" dataDxfId="1893" dataCellStyle="Percent"/>
    <tableColumn id="2" xr3:uid="{61601C57-E293-4C4A-A5AB-3FE09D2D2FF9}" name="Sum**2_1" dataDxfId="1892" dataCellStyle="Percent"/>
    <tableColumn id="3" xr3:uid="{1C26E27A-CF61-7E4F-9A2A-AF52B8F9FA0A}" name="Sum**2_2" dataDxfId="1891" dataCellStyle="Percent"/>
    <tableColumn id="4" xr3:uid="{75C65365-474A-3D45-ADC6-D2047EA06590}" name="Sum**2_3" dataDxfId="1890" dataCellStyle="Percent"/>
    <tableColumn id="5" xr3:uid="{09B33CCF-A873-244E-AC3B-291C83A0BE67}" name="Sum**2_4" dataDxfId="1889" dataCellStyle="Percent"/>
    <tableColumn id="6" xr3:uid="{9B1510FE-6D6F-5A4A-9B5A-BD71A0794CEE}" name="Sum**2_5" dataDxfId="1888" dataCellStyle="Percent"/>
    <tableColumn id="7" xr3:uid="{31F83491-B3A3-D54A-BA15-B163AC5F2C9A}" name="Sum**2_6" dataDxfId="1887" dataCellStyle="Percent"/>
    <tableColumn id="8" xr3:uid="{9979AA70-2D99-DE49-B7D5-D643B1001152}" name="Sum**2_7" dataDxfId="1886" dataCellStyle="Percent"/>
    <tableColumn id="9" xr3:uid="{56FDE8E4-7BDA-C045-92CE-C96F0478841C}" name="Sum**2_8" dataDxfId="1885" dataCellStyle="Percent"/>
    <tableColumn id="10" xr3:uid="{BF651EAC-5DE6-8C4B-ABC0-7FF266F414FD}" name="Sum**2_9" dataDxfId="1884" dataCellStyle="Percent"/>
    <tableColumn id="11" xr3:uid="{3274233F-09E2-B64E-8CBF-8506F78A99B0}" name="Sum**2_10" dataDxfId="1883" dataCellStyle="Percent"/>
    <tableColumn id="12" xr3:uid="{CD61E0F9-09BC-1745-A795-3F33957E3D3B}" name="Sum**2_11" dataDxfId="1882" dataCellStyle="Percent"/>
    <tableColumn id="13" xr3:uid="{BABFF967-AEF7-3644-A589-7A5B73F2D156}" name="Sum**2_12" dataDxfId="1881" dataCellStyle="Percent"/>
    <tableColumn id="14" xr3:uid="{D196ECB2-3F4E-6544-B4EC-2376A142D915}" name="Sum**2_13" dataDxfId="1880" dataCellStyle="Percent"/>
    <tableColumn id="15" xr3:uid="{4D81CFC7-992B-D642-904A-CBCDCAD97394}" name="Sum**2_14" dataDxfId="1879" dataCellStyle="Percent"/>
    <tableColumn id="16" xr3:uid="{5C315818-8E3C-1848-ABAE-9D4300EDBD1B}" name="Sum**2_15" dataDxfId="1878" dataCellStyle="Percent"/>
    <tableColumn id="17" xr3:uid="{728CDA8F-F9BB-C84B-83D6-434A28B7A69E}" name="Sum**2_16" dataDxfId="1877" dataCellStyle="Percent"/>
    <tableColumn id="18" xr3:uid="{AB73409A-6B6D-6B4B-9F6A-31BD45FAC5D4}" name="Sum**2_17" dataDxfId="1876" dataCellStyle="Percent"/>
    <tableColumn id="19" xr3:uid="{27A4013B-1966-EE44-AF6E-83D9EAC45769}" name="Sum**2_18" dataDxfId="1875" dataCellStyle="Percent"/>
    <tableColumn id="20" xr3:uid="{E4C94DB5-B5B2-DE4C-93AC-18C099042A0A}" name="Sum**2_19" dataDxfId="1874" dataCellStyle="Percent"/>
    <tableColumn id="21" xr3:uid="{8DDFD0E0-45EB-0249-B5F1-B1404A2BB9D0}" name="Sum**2_20" dataDxfId="187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72"/>
    <tableColumn id="6" xr3:uid="{6CD35761-7716-F844-8AFD-9AD0DA2D1AAF}" name="YTChg5" dataDxfId="1871"/>
    <tableColumn id="7" xr3:uid="{78E5C771-5566-C94D-8D04-27B9FB5E7651}" name="YTChg6" dataDxfId="1870" dataCellStyle="Percent"/>
    <tableColumn id="8" xr3:uid="{73C26D4B-48AF-3D46-B671-432194BF504C}" name="YTChg7" dataDxfId="1869"/>
    <tableColumn id="9" xr3:uid="{83E7FC4C-38C3-4B44-8912-AA08D1092E9E}" name="YTChg8"/>
    <tableColumn id="10" xr3:uid="{48CE05BF-DA40-BF42-A501-A01DD1FF524B}" name="YTChg9" dataDxfId="1868"/>
    <tableColumn id="11" xr3:uid="{37C00FB8-016E-0345-8F7E-90F263DB49E6}" name="YTChg10" dataDxfId="1867"/>
    <tableColumn id="12" xr3:uid="{DA1D9B79-9E70-634C-AB9A-E8C7256E6781}" name="YTChg11"/>
    <tableColumn id="13" xr3:uid="{474BC66F-E848-2F48-A010-419F1A8E34C7}" name="YTChg12" dataDxfId="186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65" dataCellStyle="Percent"/>
    <tableColumn id="19" xr3:uid="{40EB9D23-041A-834B-BA45-C29E2B36BACA}" name="YTChg18" dataDxfId="186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63" totalsRowDxfId="1861" tableBorderDxfId="1862">
  <autoFilter ref="A3:KF71" xr:uid="{6184EC62-F546-EC44-B85F-22666178BACB}"/>
  <tableColumns count="292">
    <tableColumn id="1" xr3:uid="{57623EC6-295D-6C46-8762-F4C1DD08499F}" name="RegIndex" dataDxfId="1860" totalsRowDxfId="1859">
      <calculatedColumnFormula>ROW() - ROW(TabReg[[#Headers],[RegIndex]])</calculatedColumnFormula>
    </tableColumn>
    <tableColumn id="2" xr3:uid="{59C53E03-08BC-7241-A405-B961C9CD4E4C}" name="AAPL" totalsRowFunction="custom" dataDxfId="1858" totalsRowDxfId="1857">
      <totalsRowFormula>COUNT(TabReg[AAPL])</totalsRowFormula>
    </tableColumn>
    <tableColumn id="3" xr3:uid="{E8ED35B7-2399-6041-8311-C19BDE1DDA95}" name="AAPL1" totalsRowFunction="custom" dataDxfId="1856" totalsRowDxfId="1855" dataCellStyle="Comma">
      <totalsRowFormula>COUNT(TabReg[AAPL1])</totalsRowFormula>
    </tableColumn>
    <tableColumn id="4" xr3:uid="{C3865FAF-DC26-3B45-AC2D-579945EE4DE2}" name="AAPL2" totalsRowFunction="custom" dataDxfId="1854" totalsRowDxfId="1853" dataCellStyle="Comma">
      <totalsRowFormula>COUNT(TabReg[AAPL2])</totalsRowFormula>
    </tableColumn>
    <tableColumn id="5" xr3:uid="{58414643-D5EF-DC42-BE18-AFAB1AA967A3}" name="ADEA" totalsRowFunction="custom" dataDxfId="1852" totalsRowDxfId="1851">
      <totalsRowFormula>COUNT(TabReg[ADEA])</totalsRowFormula>
    </tableColumn>
    <tableColumn id="6" xr3:uid="{770722DB-0B2C-4149-8CBF-EBAC14770B02}" name="ADEA1" totalsRowFunction="custom" dataDxfId="1850" totalsRowDxfId="1849" dataCellStyle="Comma">
      <totalsRowFormula>COUNT(TabReg[ADEA1])</totalsRowFormula>
    </tableColumn>
    <tableColumn id="7" xr3:uid="{ADBB0985-AFC7-0A49-AAD9-9FD8A0ADA9E8}" name="ADEA2" totalsRowFunction="custom" dataDxfId="1848" totalsRowDxfId="1847" dataCellStyle="Comma">
      <totalsRowFormula>COUNT(TabReg[ADEA2])</totalsRowFormula>
    </tableColumn>
    <tableColumn id="8" xr3:uid="{F9B8D055-A3B6-6049-AB67-FD35F31EAD12}" name="AET" totalsRowFunction="custom" dataDxfId="1846" totalsRowDxfId="1845">
      <totalsRowFormula>COUNT(TabReg[AET])</totalsRowFormula>
    </tableColumn>
    <tableColumn id="9" xr3:uid="{4F1B47E7-AE09-DE47-9326-7E38373F590D}" name="AET1" totalsRowFunction="custom" dataDxfId="1844" totalsRowDxfId="1843" dataCellStyle="Comma">
      <totalsRowFormula>COUNT(TabReg[AET1])</totalsRowFormula>
    </tableColumn>
    <tableColumn id="10" xr3:uid="{C55D7E50-6E70-8245-AF6D-9B0AF1B842F6}" name="AET2" totalsRowFunction="custom" dataDxfId="1842" totalsRowDxfId="1841" dataCellStyle="Comma">
      <totalsRowFormula>COUNT(TabReg[AET2])</totalsRowFormula>
    </tableColumn>
    <tableColumn id="11" xr3:uid="{75AEAC53-9C89-8F4E-A89E-5819F07855E8}" name="AMZN" totalsRowFunction="custom" dataDxfId="1840" totalsRowDxfId="1839">
      <totalsRowFormula>COUNT(TabReg[AMZN])</totalsRowFormula>
    </tableColumn>
    <tableColumn id="12" xr3:uid="{50DF90F7-5FF8-F84C-9DEF-B56AE90E9FE1}" name="AMZN1" totalsRowFunction="custom" dataDxfId="1838" totalsRowDxfId="1837" dataCellStyle="Comma">
      <totalsRowFormula>COUNT(TabReg[AMZN1])</totalsRowFormula>
    </tableColumn>
    <tableColumn id="13" xr3:uid="{BB3AD602-9B27-A44D-956D-E044A03841B0}" name="AMZN2" totalsRowFunction="custom" dataDxfId="1836" totalsRowDxfId="1835" dataCellStyle="Comma">
      <totalsRowFormula>COUNT(TabReg[AMZN2])</totalsRowFormula>
    </tableColumn>
    <tableColumn id="14" xr3:uid="{49715757-C441-334A-8359-CB03A54D44A0}" name="ALDNE" totalsRowFunction="custom" dataDxfId="1834" totalsRowDxfId="1833" dataCellStyle="Comma">
      <totalsRowFormula>COUNT(TabReg[ALDNE])</totalsRowFormula>
    </tableColumn>
    <tableColumn id="15" xr3:uid="{2367F0AA-874E-0F49-8743-948F4AA0066D}" name="ALDNE1" totalsRowFunction="custom" dataDxfId="1832" totalsRowDxfId="1831" dataCellStyle="Comma">
      <totalsRowFormula>COUNT(TabReg[ALDNE1])</totalsRowFormula>
    </tableColumn>
    <tableColumn id="16" xr3:uid="{136C77A7-D877-524E-A602-4F388B4DC883}" name="ALDNE2" totalsRowFunction="custom" dataDxfId="1830" totalsRowDxfId="1829" dataCellStyle="Comma">
      <totalsRowFormula>COUNT(TabReg[ALDNE2])</totalsRowFormula>
    </tableColumn>
    <tableColumn id="179" xr3:uid="{24648F26-5ACD-B54B-A6CE-ED445344889D}" name="ASML" totalsRowFunction="custom" dataDxfId="1828" totalsRowDxfId="1827" dataCellStyle="Comma">
      <totalsRowFormula>COUNT(TabReg[ASML])</totalsRowFormula>
    </tableColumn>
    <tableColumn id="180" xr3:uid="{4685999F-AD40-C34D-B18F-9AE018200409}" name="ASML1" totalsRowFunction="custom" dataDxfId="1826" totalsRowDxfId="1825" dataCellStyle="Comma">
      <totalsRowFormula>COUNT(TabReg[ASML1])</totalsRowFormula>
    </tableColumn>
    <tableColumn id="181" xr3:uid="{4FFE09BD-40A8-0846-9183-DCBB01B1E7C1}" name="ASML2" totalsRowFunction="custom" dataDxfId="1824" totalsRowDxfId="1823" dataCellStyle="Comma">
      <totalsRowFormula>COUNT(TabReg[ASML2])</totalsRowFormula>
    </tableColumn>
    <tableColumn id="175" xr3:uid="{C078EC90-D9D7-E54A-B14B-6247837CA7D1}" name="AVGO" dataDxfId="1822" totalsRowDxfId="1821" dataCellStyle="Comma"/>
    <tableColumn id="174" xr3:uid="{4907FD99-23B8-0C46-B85B-0B8F78B3E102}" name="AVGO1" dataDxfId="1820" totalsRowDxfId="1819" dataCellStyle="Comma"/>
    <tableColumn id="173" xr3:uid="{BBB39EE6-6F6F-BE4E-ABA4-34B7CD29B270}" name="AVGO2" dataDxfId="1818" totalsRowDxfId="1817" dataCellStyle="Comma"/>
    <tableColumn id="279" xr3:uid="{7779299B-53A0-B24B-931D-BAB9A59FEE4F}" name="AZN" totalsRowFunction="custom" dataDxfId="1816" totalsRowDxfId="1815" dataCellStyle="Comma">
      <totalsRowFormula>COUNT(TabReg[AZN])</totalsRowFormula>
    </tableColumn>
    <tableColumn id="280" xr3:uid="{E931132A-A088-874A-B802-74955F5A51ED}" name="AZN1" totalsRowFunction="custom" dataDxfId="1814" totalsRowDxfId="1813" dataCellStyle="Comma">
      <totalsRowFormula>COUNT(TabReg[AZN1])</totalsRowFormula>
    </tableColumn>
    <tableColumn id="278" xr3:uid="{2DB0600A-9980-454D-B57C-8E1729380840}" name="AZN2" totalsRowFunction="custom" dataDxfId="1812" totalsRowDxfId="1811" dataCellStyle="Comma">
      <totalsRowFormula>COUNT(TabReg[AZN2])</totalsRowFormula>
    </tableColumn>
    <tableColumn id="290" xr3:uid="{3A948DBC-E554-114B-9856-05ED7CFD7F8C}" name="BLDP" totalsRowFunction="custom" dataDxfId="1810" totalsRowDxfId="1809" dataCellStyle="Comma">
      <totalsRowFormula>COUNT(TabReg[BLDP])</totalsRowFormula>
    </tableColumn>
    <tableColumn id="291" xr3:uid="{EBF4CFFB-7F3F-A648-AA96-9F683DEB40C2}" name="BLDP1" totalsRowFunction="custom" dataDxfId="1808" totalsRowDxfId="1807" dataCellStyle="Comma">
      <totalsRowFormula>COUNT(TabReg[BLDP1])</totalsRowFormula>
    </tableColumn>
    <tableColumn id="292" xr3:uid="{DEF375A3-1AEB-1447-AAA1-210FF59FFAB3}" name="BLDP2" totalsRowFunction="custom" dataDxfId="1806" totalsRowDxfId="1805" dataCellStyle="Comma">
      <totalsRowFormula>COUNT(TabReg[BLDP2])</totalsRowFormula>
    </tableColumn>
    <tableColumn id="281" xr3:uid="{3B2EE5F2-7BA3-4944-9A29-0E94A422A457}" name="BMRA" totalsRowFunction="custom" dataDxfId="1804" totalsRowDxfId="1803" dataCellStyle="Comma">
      <totalsRowFormula>COUNT(TabReg[BMRA])</totalsRowFormula>
    </tableColumn>
    <tableColumn id="282" xr3:uid="{7CAF9C5B-8DD1-DC42-8DE9-44E2726437AF}" name="BMRA1" totalsRowFunction="custom" dataDxfId="1802" totalsRowDxfId="1801" dataCellStyle="Comma">
      <totalsRowFormula>COUNT(TabReg[BMRA1])</totalsRowFormula>
    </tableColumn>
    <tableColumn id="283" xr3:uid="{86EB1738-523E-9446-A1FD-BA96C5EEC9D8}" name="BMRA2" totalsRowFunction="custom" dataDxfId="1800" totalsRowDxfId="1799" dataCellStyle="Comma">
      <totalsRowFormula>COUNT(TabReg[BMRA2])</totalsRowFormula>
    </tableColumn>
    <tableColumn id="17" xr3:uid="{6CE9E4BB-2E28-D048-BEC8-1E8072E45461}" name="C" totalsRowFunction="custom" dataDxfId="1798" totalsRowDxfId="1797" dataCellStyle="Comma">
      <totalsRowFormula>COUNT(TabReg[C])</totalsRowFormula>
    </tableColumn>
    <tableColumn id="18" xr3:uid="{9335FB1F-2111-9347-8BEA-BA672F606FE1}" name="C1" totalsRowFunction="custom" dataDxfId="1796" totalsRowDxfId="1795" dataCellStyle="Comma">
      <totalsRowFormula>COUNT(TabReg[C1])</totalsRowFormula>
    </tableColumn>
    <tableColumn id="19" xr3:uid="{47B8B9DB-56E0-4849-B633-AB8E567BC6A2}" name="C2" totalsRowFunction="custom" dataDxfId="1794" totalsRowDxfId="1793" dataCellStyle="Comma">
      <totalsRowFormula>COUNT(TabReg[C2])</totalsRowFormula>
    </tableColumn>
    <tableColumn id="20" xr3:uid="{66BF6E62-9341-8D45-8C56-4B59337C40DE}" name="CSCO" totalsRowFunction="custom" dataDxfId="1792" totalsRowDxfId="1791" dataCellStyle="Comma">
      <totalsRowFormula>COUNT(TabReg[CSCO])</totalsRowFormula>
    </tableColumn>
    <tableColumn id="21" xr3:uid="{0766B374-52D4-2947-BA01-337368F5998F}" name="CSCO1" totalsRowFunction="custom" dataDxfId="1790" totalsRowDxfId="1789" dataCellStyle="Comma">
      <totalsRowFormula>COUNT(TabReg[CSCO1])</totalsRowFormula>
    </tableColumn>
    <tableColumn id="22" xr3:uid="{9342CC24-A8C2-5B40-86F8-AEAC5372742F}" name="CSCO2" totalsRowFunction="custom" dataDxfId="1788" totalsRowDxfId="1787" dataCellStyle="Comma">
      <totalsRowFormula>COUNT(TabReg[CSCO2])</totalsRowFormula>
    </tableColumn>
    <tableColumn id="23" xr3:uid="{3B6738B7-B322-7B41-9D51-6C47F21F1EC2}" name="CVS" totalsRowFunction="custom" dataDxfId="1786" totalsRowDxfId="1785" dataCellStyle="Comma">
      <totalsRowFormula>COUNT(TabReg[CVS])</totalsRowFormula>
    </tableColumn>
    <tableColumn id="24" xr3:uid="{69FD021F-7252-9E48-A9C1-B58E1E44090C}" name="CVS1" totalsRowFunction="custom" dataDxfId="1784" totalsRowDxfId="1783" dataCellStyle="Comma">
      <totalsRowFormula>COUNT(TabReg[CVS1])</totalsRowFormula>
    </tableColumn>
    <tableColumn id="25" xr3:uid="{1459F42D-6ADD-C642-9895-1BEA61E6EB67}" name="CVS2" totalsRowFunction="custom" dataDxfId="1782" totalsRowDxfId="1781" dataCellStyle="Comma">
      <totalsRowFormula>COUNT(TabReg[CVS2])</totalsRowFormula>
    </tableColumn>
    <tableColumn id="26" xr3:uid="{063E938B-FAE4-744E-9F28-8F39125ADC16}" name="DDD" totalsRowFunction="custom" dataDxfId="1780" totalsRowDxfId="1779">
      <totalsRowFormula>COUNT(TabReg[DDD])</totalsRowFormula>
    </tableColumn>
    <tableColumn id="27" xr3:uid="{1C7D2960-4D7C-3A43-864A-9D2F2207D012}" name="DDD1" totalsRowFunction="custom" dataDxfId="1778" totalsRowDxfId="1777" dataCellStyle="Comma">
      <totalsRowFormula>COUNT(TabReg[DDD1])</totalsRowFormula>
    </tableColumn>
    <tableColumn id="28" xr3:uid="{1BEB1AF9-8C3C-B04C-9A62-E35492C2C4B4}" name="DDD2" totalsRowFunction="custom" dataDxfId="1776" totalsRowDxfId="1775" dataCellStyle="Comma">
      <totalsRowFormula>COUNT(TabReg[DDD2])</totalsRowFormula>
    </tableColumn>
    <tableColumn id="29" xr3:uid="{ABF122A5-B5D9-754E-898C-5A469C089337}" name="DIS" totalsRowFunction="custom" dataDxfId="1774" totalsRowDxfId="1773">
      <totalsRowFormula>COUNT(TabReg[DIS])</totalsRowFormula>
    </tableColumn>
    <tableColumn id="30" xr3:uid="{7C2A5D2F-4040-8040-8346-E75A957CFF74}" name="DIS1" totalsRowFunction="custom" dataDxfId="1772" totalsRowDxfId="1771" dataCellStyle="Comma">
      <totalsRowFormula>COUNT(TabReg[DIS1])</totalsRowFormula>
    </tableColumn>
    <tableColumn id="31" xr3:uid="{3D5AE59B-27C1-0F4D-8490-91E3B001EC18}" name="DIS2" totalsRowFunction="custom" dataDxfId="1770" totalsRowDxfId="1769" dataCellStyle="Comma">
      <totalsRowFormula>COUNT(TabReg[DIS2])</totalsRowFormula>
    </tableColumn>
    <tableColumn id="32" xr3:uid="{D9A01F25-6BC9-2A4C-BE7A-8A095A4F4699}" name="DSY" totalsRowFunction="custom" dataDxfId="1768" totalsRowDxfId="1767">
      <totalsRowFormula>COUNT(TabReg[DSY])</totalsRowFormula>
    </tableColumn>
    <tableColumn id="33" xr3:uid="{345BC183-7AAE-3C47-BE0D-B82379F2CAE1}" name="DSY1" totalsRowFunction="custom" dataDxfId="1766" totalsRowDxfId="1765" dataCellStyle="Comma">
      <totalsRowFormula>COUNT(TabReg[DSY1])</totalsRowFormula>
    </tableColumn>
    <tableColumn id="34" xr3:uid="{25CD66A3-4CD6-E742-B453-45470819DC16}" name="DSY2" totalsRowFunction="custom" dataDxfId="1764" totalsRowDxfId="1763" dataCellStyle="Comma">
      <totalsRowFormula>COUNT(TabReg[DSY2])</totalsRowFormula>
    </tableColumn>
    <tableColumn id="35" xr3:uid="{D83AFDCF-42BD-564D-9427-1D78C6682439}" name="DVA" totalsRowFunction="custom" dataDxfId="1762" totalsRowDxfId="1761">
      <totalsRowFormula>COUNT(TabReg[DVA])</totalsRowFormula>
    </tableColumn>
    <tableColumn id="36" xr3:uid="{C061890B-B5E9-6841-8038-940695CA8CF1}" name="DVA1" totalsRowFunction="custom" dataDxfId="1760" totalsRowDxfId="1759" dataCellStyle="Comma">
      <totalsRowFormula>COUNT(TabReg[DVA1])</totalsRowFormula>
    </tableColumn>
    <tableColumn id="37" xr3:uid="{BDA00239-5392-EB47-861F-6CC9421DE4C2}" name="DVA2" totalsRowFunction="custom" dataDxfId="1758" totalsRowDxfId="1757" dataCellStyle="Comma">
      <totalsRowFormula>COUNT(TabReg[DVA2])</totalsRowFormula>
    </tableColumn>
    <tableColumn id="38" xr3:uid="{EAB6CDF7-DCC5-3947-82F8-B20B36657868}" name="DXC" totalsRowFunction="custom" dataDxfId="1756" totalsRowDxfId="1755">
      <totalsRowFormula>COUNT(TabReg[DXC])</totalsRowFormula>
    </tableColumn>
    <tableColumn id="39" xr3:uid="{70295CBC-7FD4-C542-97C0-076D2DBB8560}" name="DXC1" totalsRowFunction="custom" dataDxfId="1754" totalsRowDxfId="1753" dataCellStyle="Comma">
      <totalsRowFormula>COUNT(TabReg[DXC1])</totalsRowFormula>
    </tableColumn>
    <tableColumn id="40" xr3:uid="{FD803DE8-0F34-1F4F-B4CA-C142B6124013}" name="DXC2" totalsRowFunction="custom" dataDxfId="1752" totalsRowDxfId="1751" dataCellStyle="Comma">
      <totalsRowFormula>COUNT(TabReg[DXC2])</totalsRowFormula>
    </tableColumn>
    <tableColumn id="41" xr3:uid="{883A6563-5D30-3647-A642-03C1D2587F09}" name="EOAN" totalsRowFunction="custom" dataDxfId="1750" totalsRowDxfId="1749">
      <totalsRowFormula>COUNT(TabReg[EOAN])</totalsRowFormula>
    </tableColumn>
    <tableColumn id="42" xr3:uid="{DA9DDAAE-CAB2-6143-95E1-1416DF9923B1}" name="EOAN1" totalsRowFunction="custom" dataDxfId="1748" totalsRowDxfId="1747" dataCellStyle="Comma">
      <totalsRowFormula>COUNT(TabReg[EOAN1])</totalsRowFormula>
    </tableColumn>
    <tableColumn id="43" xr3:uid="{313E3763-ACA8-6547-84D3-3905F0AEFB64}" name="EOAN2" totalsRowFunction="custom" dataDxfId="1746" totalsRowDxfId="1745" dataCellStyle="Comma">
      <totalsRowFormula>COUNT(TabReg[EOAN2])</totalsRowFormula>
    </tableColumn>
    <tableColumn id="44" xr3:uid="{DE961D13-327B-554F-B7CF-C73C3AEF6BBD}" name="EPIX" totalsRowFunction="custom" dataDxfId="1744" totalsRowDxfId="1743">
      <totalsRowFormula>COUNT(TabReg[EPIX])</totalsRowFormula>
    </tableColumn>
    <tableColumn id="45" xr3:uid="{6C6AE2AF-0CFC-044D-B320-623532E243D7}" name="EPIX1" totalsRowFunction="custom" dataDxfId="1742" totalsRowDxfId="1741" dataCellStyle="Comma">
      <totalsRowFormula>COUNT(TabReg[EPIX1])</totalsRowFormula>
    </tableColumn>
    <tableColumn id="46" xr3:uid="{A85AEFAE-0C46-2342-A2A0-03C1C03F2383}" name="EPIX2" totalsRowFunction="custom" dataDxfId="1740" totalsRowDxfId="1739" dataCellStyle="Comma">
      <totalsRowFormula>COUNT(TabReg[EPIX2])</totalsRowFormula>
    </tableColumn>
    <tableColumn id="47" xr3:uid="{1034943A-F82F-A944-8F7E-1E4A894BCAF1}" name="GM" totalsRowFunction="custom" dataDxfId="1738" totalsRowDxfId="1737">
      <totalsRowFormula>COUNT(TabReg[GM])</totalsRowFormula>
    </tableColumn>
    <tableColumn id="48" xr3:uid="{51DE31AC-13D3-CD46-B5FE-5DA3D9A31D71}" name="GM1" totalsRowFunction="custom" dataDxfId="1736" totalsRowDxfId="1735" dataCellStyle="Comma">
      <totalsRowFormula>COUNT(TabReg[GM1])</totalsRowFormula>
    </tableColumn>
    <tableColumn id="49" xr3:uid="{574522F8-74D0-F04C-86A4-21E8FF51BAF4}" name="GM2" totalsRowFunction="custom" dataDxfId="1734" totalsRowDxfId="1733" dataCellStyle="Comma">
      <totalsRowFormula>COUNT(TabReg[GM2])</totalsRowFormula>
    </tableColumn>
    <tableColumn id="50" xr3:uid="{F1F680B7-6221-4B43-9EEC-42EADC72535E}" name="HPE" totalsRowFunction="custom" dataDxfId="1732" totalsRowDxfId="1731">
      <totalsRowFormula>COUNT(TabReg[HPE])</totalsRowFormula>
    </tableColumn>
    <tableColumn id="51" xr3:uid="{A794E8F2-2178-E945-A531-C9DEAC87C0CF}" name="HPE1" totalsRowFunction="custom" dataDxfId="1730" totalsRowDxfId="1729" dataCellStyle="Comma">
      <totalsRowFormula>COUNT(TabReg[HPE1])</totalsRowFormula>
    </tableColumn>
    <tableColumn id="52" xr3:uid="{74900C8F-AF95-EF44-8790-FF51D716DB9C}" name="HPE2" totalsRowFunction="custom" dataDxfId="1728" totalsRowDxfId="1727" dataCellStyle="Comma">
      <totalsRowFormula>COUNT(TabReg[HPE2])</totalsRowFormula>
    </tableColumn>
    <tableColumn id="53" xr3:uid="{9E4C7D64-DCA6-8149-AAA3-41838EBEED0F}" name="HPQ" totalsRowFunction="custom" dataDxfId="1726" totalsRowDxfId="1725">
      <totalsRowFormula>COUNT(TabReg[HPQ])</totalsRowFormula>
    </tableColumn>
    <tableColumn id="54" xr3:uid="{3322AA64-E865-144B-80CB-759A3279236E}" name="HPQ1" totalsRowFunction="custom" dataDxfId="1724" totalsRowDxfId="1723" dataCellStyle="Comma">
      <totalsRowFormula>COUNT(TabReg[HPQ1])</totalsRowFormula>
    </tableColumn>
    <tableColumn id="55" xr3:uid="{94334F80-D1DF-404A-B3D8-EF0FA062E0F9}" name="HPQ2" totalsRowFunction="custom" dataDxfId="1722" totalsRowDxfId="1721" dataCellStyle="Comma">
      <totalsRowFormula>COUNT(TabReg[HPQ2])</totalsRowFormula>
    </tableColumn>
    <tableColumn id="284" xr3:uid="{B51A72A3-F030-9F40-92FE-BF02BB2A5D59}" name="IAG" totalsRowFunction="custom" dataDxfId="1720" totalsRowDxfId="1719">
      <totalsRowFormula>COUNT(TabReg[IAG])</totalsRowFormula>
    </tableColumn>
    <tableColumn id="285" xr3:uid="{CEA5A13B-039C-444A-8A33-BDB427ADC196}" name="IAG1" totalsRowFunction="custom" dataDxfId="1718" totalsRowDxfId="1717" dataCellStyle="Comma">
      <totalsRowFormula>COUNT(TabReg[IAG1])</totalsRowFormula>
    </tableColumn>
    <tableColumn id="286" xr3:uid="{2E05A3E4-533D-F646-8DBA-FDCA0D064519}" name="IAG2" totalsRowFunction="custom" dataDxfId="1716" totalsRowDxfId="1715" dataCellStyle="Comma">
      <totalsRowFormula>COUNT(TabReg[IAG2])</totalsRowFormula>
    </tableColumn>
    <tableColumn id="56" xr3:uid="{6F12E7F1-8AF1-1846-AF5B-31B60034E0D7}" name="KR" totalsRowFunction="custom" dataDxfId="1714" totalsRowDxfId="1713">
      <totalsRowFormula>COUNT(TabReg[KR])</totalsRowFormula>
    </tableColumn>
    <tableColumn id="57" xr3:uid="{5BEC4E93-146D-7245-8EDE-093807DDEE21}" name="KR1" totalsRowFunction="custom" dataDxfId="1712" totalsRowDxfId="1711" dataCellStyle="Comma">
      <totalsRowFormula>COUNT(TabReg[KR1])</totalsRowFormula>
    </tableColumn>
    <tableColumn id="58" xr3:uid="{717517AC-D851-A04B-9414-52C005882D84}" name="KR2" totalsRowFunction="custom" dataDxfId="1710" totalsRowDxfId="1709" dataCellStyle="Comma">
      <totalsRowFormula>COUNT(TabReg[KR2])</totalsRowFormula>
    </tableColumn>
    <tableColumn id="59" xr3:uid="{D021B57D-07DD-E947-B756-65EFC624E3F3}" name="LNSR" totalsRowFunction="custom" dataDxfId="1708" totalsRowDxfId="1707">
      <totalsRowFormula>COUNT(TabReg[LNSR])</totalsRowFormula>
    </tableColumn>
    <tableColumn id="60" xr3:uid="{66BE0145-D170-4D49-8DAC-3456350BE6D9}" name="LNSR1" totalsRowFunction="custom" dataDxfId="1706" totalsRowDxfId="1705" dataCellStyle="Comma">
      <totalsRowFormula>COUNT(TabReg[LNSR1])</totalsRowFormula>
    </tableColumn>
    <tableColumn id="61" xr3:uid="{7AD7594E-BCF1-7E48-8728-03B525428275}" name="LNSR2" totalsRowFunction="custom" dataDxfId="1704" totalsRowDxfId="1703" dataCellStyle="Comma">
      <totalsRowFormula>COUNT(TabReg[LNSR2])</totalsRowFormula>
    </tableColumn>
    <tableColumn id="62" xr3:uid="{43377BA1-60BD-EE40-894C-18287FDB1B16}" name="LUMN" totalsRowFunction="custom" dataDxfId="1702" totalsRowDxfId="1701">
      <totalsRowFormula>COUNT(TabReg[LUMN])</totalsRowFormula>
    </tableColumn>
    <tableColumn id="63" xr3:uid="{AD8D0B7B-217E-934B-A293-F7C63FBED141}" name="LUMN1" totalsRowFunction="custom" dataDxfId="1700" totalsRowDxfId="1699" dataCellStyle="Comma">
      <totalsRowFormula>COUNT(TabReg[LUMN1])</totalsRowFormula>
    </tableColumn>
    <tableColumn id="64" xr3:uid="{A870C284-0CA4-AE40-9EE1-3AB29BC5D4F3}" name="LUMN2" totalsRowFunction="custom" dataDxfId="1698" totalsRowDxfId="1697" dataCellStyle="Comma">
      <totalsRowFormula>COUNT(TabReg[LUMN2])</totalsRowFormula>
    </tableColumn>
    <tableColumn id="65" xr3:uid="{E275E28D-3757-9044-A4A4-D99F5D566005}" name="MRNA" totalsRowFunction="custom" dataDxfId="1696" totalsRowDxfId="1695">
      <totalsRowFormula>COUNT(TabReg[MRNA])</totalsRowFormula>
    </tableColumn>
    <tableColumn id="66" xr3:uid="{6AD855FC-9BBF-C445-985D-CA7838F8FD2D}" name="MRNA1" totalsRowFunction="custom" dataDxfId="1694" totalsRowDxfId="1693" dataCellStyle="Comma">
      <totalsRowFormula>COUNT(TabReg[MRNA1])</totalsRowFormula>
    </tableColumn>
    <tableColumn id="67" xr3:uid="{3068B037-08B2-D448-9549-6A149801D195}" name="MRNA2" totalsRowFunction="custom" dataDxfId="1692" totalsRowDxfId="1691" dataCellStyle="Comma">
      <totalsRowFormula>COUNT(TabReg[MRNA2])</totalsRowFormula>
    </tableColumn>
    <tableColumn id="68" xr3:uid="{49549E71-6C51-4A4C-B492-0153C310953B}" name="MSFT" totalsRowFunction="custom" dataDxfId="1690" totalsRowDxfId="1689">
      <totalsRowFormula>COUNT(TabReg[MSFT])</totalsRowFormula>
    </tableColumn>
    <tableColumn id="69" xr3:uid="{8DF195BA-794A-0A40-8685-FAE62977224A}" name="MSFT1" totalsRowFunction="custom" dataDxfId="1688" totalsRowDxfId="1687" dataCellStyle="Comma">
      <totalsRowFormula>COUNT(TabReg[MSFT1])</totalsRowFormula>
    </tableColumn>
    <tableColumn id="70" xr3:uid="{E7B650AE-A343-1F4D-B438-EAF54796762D}" name="MSFT2" totalsRowFunction="custom" dataDxfId="1686" totalsRowDxfId="1685" dataCellStyle="Comma">
      <totalsRowFormula>COUNT(TabReg[MSFT2])</totalsRowFormula>
    </tableColumn>
    <tableColumn id="71" xr3:uid="{4607C2AF-82CF-2243-A48D-A39169CBA57A}" name="NEE" totalsRowFunction="custom" dataDxfId="1684" totalsRowDxfId="1683">
      <totalsRowFormula>COUNT(TabReg[NEE])</totalsRowFormula>
    </tableColumn>
    <tableColumn id="72" xr3:uid="{5D4EB61A-7397-9E47-8536-E31BAAA24355}" name="NEE1" totalsRowFunction="custom" dataDxfId="1682" totalsRowDxfId="1681" dataCellStyle="Comma">
      <totalsRowFormula>COUNT(TabReg[NEE1])</totalsRowFormula>
    </tableColumn>
    <tableColumn id="73" xr3:uid="{B6AABF8F-F7D4-BB41-AAD4-AFCC47585858}" name="NEE2" totalsRowFunction="custom" dataDxfId="1680" totalsRowDxfId="1679" dataCellStyle="Comma">
      <totalsRowFormula>COUNT(TabReg[NEE2])</totalsRowFormula>
    </tableColumn>
    <tableColumn id="74" xr3:uid="{52882C01-3B38-C744-BF22-E05F01808FEE}" name="NEM" totalsRowFunction="custom" dataDxfId="1678" totalsRowDxfId="1677">
      <totalsRowFormula>COUNT(TabReg[NEM])</totalsRowFormula>
    </tableColumn>
    <tableColumn id="75" xr3:uid="{24398854-C209-6C4B-9B66-920EB4C8B544}" name="NEM1" totalsRowFunction="custom" dataDxfId="1676" totalsRowDxfId="1675" dataCellStyle="Comma">
      <totalsRowFormula>COUNT(TabReg[NEM1])</totalsRowFormula>
    </tableColumn>
    <tableColumn id="76" xr3:uid="{3597365E-AEEA-6047-A23F-2848214BCC19}" name="NEM2" totalsRowFunction="custom" dataDxfId="1674" totalsRowDxfId="1673" dataCellStyle="Comma">
      <totalsRowFormula>COUNT(TabReg[NEM2])</totalsRowFormula>
    </tableColumn>
    <tableColumn id="77" xr3:uid="{4BD1BB60-3B6E-B547-9FE0-2B384EFF0910}" name="NFLX" totalsRowFunction="custom" dataDxfId="1672" totalsRowDxfId="1671">
      <totalsRowFormula>COUNT(TabReg[NFLX])</totalsRowFormula>
    </tableColumn>
    <tableColumn id="78" xr3:uid="{CAF9351A-3A29-0D44-B1EE-3271D7689AFA}" name="NFLX1" totalsRowFunction="custom" dataDxfId="1670" totalsRowDxfId="1669" dataCellStyle="Comma">
      <totalsRowFormula>COUNT(TabReg[NFLX1])</totalsRowFormula>
    </tableColumn>
    <tableColumn id="79" xr3:uid="{0510658C-3791-4748-BD84-8C9883EE2448}" name="NFLX2" totalsRowFunction="custom" dataDxfId="1668" totalsRowDxfId="1667" dataCellStyle="Comma">
      <totalsRowFormula>COUNT(TabReg[NFLX2])</totalsRowFormula>
    </tableColumn>
    <tableColumn id="80" xr3:uid="{442BD350-9075-D64B-8A88-64DCBE51B30A}" name="NOTE" totalsRowFunction="custom" dataDxfId="1666" totalsRowDxfId="1665">
      <totalsRowFormula>COUNT(TabReg[NOTE])</totalsRowFormula>
    </tableColumn>
    <tableColumn id="81" xr3:uid="{6DE1FDFB-FFF4-AC4C-AF68-9F7F0CF3B558}" name="NOTE1" totalsRowFunction="custom" dataDxfId="1664" totalsRowDxfId="1663" dataCellStyle="Comma">
      <totalsRowFormula>COUNT(TabReg[NOTE1])</totalsRowFormula>
    </tableColumn>
    <tableColumn id="82" xr3:uid="{DE24F44E-8FA3-B048-82A8-E77F97825CA4}" name="NOTE2" totalsRowFunction="custom" dataDxfId="1662" totalsRowDxfId="1661" dataCellStyle="Comma">
      <totalsRowFormula>COUNT(TabReg[NOTE2])</totalsRowFormula>
    </tableColumn>
    <tableColumn id="83" xr3:uid="{9F6B78F2-DBBC-1A46-A62D-57E0901EF550}" name="PAAS" totalsRowFunction="custom" dataDxfId="1660" totalsRowDxfId="1659">
      <totalsRowFormula>COUNT(TabReg[PAAS])</totalsRowFormula>
    </tableColumn>
    <tableColumn id="84" xr3:uid="{0C908565-3389-EC4E-A6AB-52D31DD4689D}" name="PAAS1" totalsRowFunction="custom" dataDxfId="1658" totalsRowDxfId="1657" dataCellStyle="Comma">
      <totalsRowFormula>COUNT(TabReg[PAAS1])</totalsRowFormula>
    </tableColumn>
    <tableColumn id="85" xr3:uid="{2B626666-3F4C-DA47-9281-BDA5E66093CD}" name="PAAS2" totalsRowFunction="custom" dataDxfId="1656" totalsRowDxfId="1655" dataCellStyle="Comma">
      <totalsRowFormula>COUNT(TabReg[PAAS2])</totalsRowFormula>
    </tableColumn>
    <tableColumn id="86" xr3:uid="{F4E3303B-0E98-4C4C-AE0B-E64934CC95A6}" name="PROF" totalsRowFunction="custom" dataDxfId="1654" totalsRowDxfId="1653">
      <totalsRowFormula>COUNT(TabReg[PROF])</totalsRowFormula>
    </tableColumn>
    <tableColumn id="87" xr3:uid="{DE03D08F-9F3C-D449-A3B5-8748D00BFE01}" name="PROF1" totalsRowFunction="custom" dataDxfId="1652" totalsRowDxfId="1651" dataCellStyle="Comma">
      <totalsRowFormula>COUNT(TabReg[PROF1])</totalsRowFormula>
    </tableColumn>
    <tableColumn id="88" xr3:uid="{3569531C-2EA3-5B48-A18A-1DCF94D98401}" name="PROF2" totalsRowFunction="custom" dataDxfId="1650" totalsRowDxfId="1649" dataCellStyle="Comma">
      <totalsRowFormula>COUNT(TabReg[PROF2])</totalsRowFormula>
    </tableColumn>
    <tableColumn id="89" xr3:uid="{75113B95-6171-E140-BB9D-63439FA70099}" name="POET" totalsRowFunction="custom" dataDxfId="1648" totalsRowDxfId="1647">
      <totalsRowFormula>COUNT(TabReg[POET])</totalsRowFormula>
    </tableColumn>
    <tableColumn id="90" xr3:uid="{83152C3B-8CD6-B143-9EB4-93109EC82770}" name="POET1" totalsRowFunction="custom" dataDxfId="1646" totalsRowDxfId="1645" dataCellStyle="Comma">
      <totalsRowFormula>COUNT(TabReg[POET1])</totalsRowFormula>
    </tableColumn>
    <tableColumn id="91" xr3:uid="{3E7BB71D-2688-9E47-A610-5D73CD9AA787}" name="POET2" totalsRowFunction="custom" dataDxfId="1644" totalsRowDxfId="1643" dataCellStyle="Comma">
      <totalsRowFormula>COUNT(TabReg[POET2])</totalsRowFormula>
    </tableColumn>
    <tableColumn id="92" xr3:uid="{CE5B0666-9EC2-054D-AFC3-C980131F81B8}" name="PW" totalsRowFunction="custom" dataDxfId="1642" totalsRowDxfId="1641">
      <totalsRowFormula>COUNT(TabReg[PW])</totalsRowFormula>
    </tableColumn>
    <tableColumn id="93" xr3:uid="{0E0F1866-7C84-6648-9FED-367E22A8B639}" name="PW1" totalsRowFunction="custom" dataDxfId="1640" totalsRowDxfId="1639" dataCellStyle="Comma">
      <totalsRowFormula>COUNT(TabReg[PW1])</totalsRowFormula>
    </tableColumn>
    <tableColumn id="94" xr3:uid="{73BAB3D4-5375-1246-9E6A-2A0B4994EC3C}" name="PW2" totalsRowFunction="custom" dataDxfId="1638" totalsRowDxfId="1637" dataCellStyle="Comma">
      <totalsRowFormula>COUNT(TabReg[PW2])</totalsRowFormula>
    </tableColumn>
    <tableColumn id="95" xr3:uid="{62667957-E2C9-3A47-8AEA-85E8FB7BF330}" name="RIGL" totalsRowFunction="custom" dataDxfId="1636" totalsRowDxfId="1635">
      <totalsRowFormula>COUNT(TabReg[RIGL])</totalsRowFormula>
    </tableColumn>
    <tableColumn id="96" xr3:uid="{8F4D9886-9333-4148-B2C7-5C81493AE4BD}" name="RIGL1" totalsRowFunction="custom" dataDxfId="1634" totalsRowDxfId="1633" dataCellStyle="Comma">
      <totalsRowFormula>COUNT(TabReg[RIGL1])</totalsRowFormula>
    </tableColumn>
    <tableColumn id="97" xr3:uid="{680094D7-06F8-524C-BA76-746BA0D1D205}" name="RIGL2" totalsRowFunction="custom" dataDxfId="1632" totalsRowDxfId="1631" dataCellStyle="Comma">
      <totalsRowFormula>COUNT(TabReg[RIGL2])</totalsRowFormula>
    </tableColumn>
    <tableColumn id="98" xr3:uid="{D886DD55-C3E7-634E-8462-B3FD2D56434A}" name="RWE" totalsRowFunction="custom" dataDxfId="1630" totalsRowDxfId="1629">
      <totalsRowFormula>COUNT(TabReg[RWE])</totalsRowFormula>
    </tableColumn>
    <tableColumn id="99" xr3:uid="{0A4DDF35-0DBD-7440-B2AE-2C35740FECF2}" name="RWE1" totalsRowFunction="custom" dataDxfId="1628" totalsRowDxfId="1627" dataCellStyle="Comma">
      <totalsRowFormula>COUNT(TabReg[RWE1])</totalsRowFormula>
    </tableColumn>
    <tableColumn id="100" xr3:uid="{6A68AE46-0376-A040-8013-9EF9BEF52B13}" name="RWE2" totalsRowFunction="custom" dataDxfId="1626" totalsRowDxfId="1625" dataCellStyle="Comma">
      <totalsRowFormula>COUNT(TabReg[RWE2])</totalsRowFormula>
    </tableColumn>
    <tableColumn id="185" xr3:uid="{DE00E83F-2920-024F-B423-12D5FAE83151}" name="SAP" totalsRowFunction="custom" dataDxfId="1624" totalsRowDxfId="1623">
      <totalsRowFormula>COUNT(TabReg[SAP])</totalsRowFormula>
    </tableColumn>
    <tableColumn id="186" xr3:uid="{3F10E388-7AB3-E043-80E3-1DED6BD713F1}" name="SAP1" totalsRowFunction="custom" dataDxfId="1622" totalsRowDxfId="1621" dataCellStyle="Comma">
      <totalsRowFormula>COUNT(TabReg[SAP1])</totalsRowFormula>
    </tableColumn>
    <tableColumn id="187" xr3:uid="{E8D0D7A6-83F5-A64B-96E4-6B51993BBD00}" name="SAP2" totalsRowFunction="custom" dataDxfId="1620" totalsRowDxfId="1619">
      <totalsRowFormula>COUNT(TabReg[SAP2])</totalsRowFormula>
    </tableColumn>
    <tableColumn id="188" xr3:uid="{C8262558-0B27-4A44-BF9A-0898AD5C5095}" name="SHECY" totalsRowFunction="custom" dataDxfId="1618" totalsRowDxfId="1617">
      <totalsRowFormula>COUNT(TabReg[SHECY])</totalsRowFormula>
    </tableColumn>
    <tableColumn id="189" xr3:uid="{2C6CC351-BB1F-AA4A-860C-3C1D2C50A4FC}" name="SHECY1" totalsRowFunction="custom" dataDxfId="1616" totalsRowDxfId="1615" dataCellStyle="Comma">
      <totalsRowFormula>COUNT(TabReg[SHECY1])</totalsRowFormula>
    </tableColumn>
    <tableColumn id="190" xr3:uid="{98889618-47DC-2149-B0F2-6618201B43B0}" name="SHECY2" totalsRowFunction="custom" dataDxfId="1614" totalsRowDxfId="1613">
      <totalsRowFormula>COUNT(TabReg[SHECY2])</totalsRowFormula>
    </tableColumn>
    <tableColumn id="101" xr3:uid="{521C5459-0F23-5347-9B6A-EDC0A3E3BC25}" name="SSYS" totalsRowFunction="custom" dataDxfId="1612" totalsRowDxfId="1611">
      <totalsRowFormula>COUNT(TabReg[SSYS])</totalsRowFormula>
    </tableColumn>
    <tableColumn id="102" xr3:uid="{6FB8136B-6631-984D-9D04-2A5E527DD95D}" name="SSYS1" totalsRowFunction="custom" dataDxfId="1610" totalsRowDxfId="1609" dataCellStyle="Comma">
      <totalsRowFormula>COUNT(TabReg[SSYS1])</totalsRowFormula>
    </tableColumn>
    <tableColumn id="103" xr3:uid="{913E48BF-4356-634C-ADC3-621D146F4A17}" name="SSYS2" totalsRowFunction="custom" dataDxfId="1608" totalsRowDxfId="1607" dataCellStyle="Comma">
      <totalsRowFormula>COUNT(TabReg[SSYS2])</totalsRowFormula>
    </tableColumn>
    <tableColumn id="104" xr3:uid="{2456B9BF-4D21-D54C-A793-6973577C34DE}" name="TSLA" totalsRowFunction="custom" dataDxfId="1606" totalsRowDxfId="1605">
      <totalsRowFormula>COUNT(TabReg[TSLA])</totalsRowFormula>
    </tableColumn>
    <tableColumn id="105" xr3:uid="{B8E3C6CF-2410-9448-99CC-EA470C412ADB}" name="TSLA1" totalsRowFunction="custom" dataDxfId="1604" totalsRowDxfId="1603" dataCellStyle="Comma">
      <totalsRowFormula>COUNT(TabReg[TSLA1])</totalsRowFormula>
    </tableColumn>
    <tableColumn id="106" xr3:uid="{6DABB6B4-568C-E242-BA9A-66B1823D06FB}" name="TSLA2" totalsRowFunction="custom" dataDxfId="1602" totalsRowDxfId="1601" dataCellStyle="Comma">
      <totalsRowFormula>COUNT(TabReg[TSLA2])</totalsRowFormula>
    </tableColumn>
    <tableColumn id="107" xr3:uid="{7B18E74E-1F96-DE49-A713-7E8C042E7F88}" name="TSM" totalsRowFunction="custom" dataDxfId="1600" totalsRowDxfId="1599">
      <totalsRowFormula>COUNT(TabReg[TSM])</totalsRowFormula>
    </tableColumn>
    <tableColumn id="108" xr3:uid="{D12190D1-9044-9141-ADD8-0871FA1688C0}" name="TSM1" totalsRowFunction="custom" dataDxfId="1598" totalsRowDxfId="1597" dataCellStyle="Comma">
      <totalsRowFormula>COUNT(TabReg[TSM1])</totalsRowFormula>
    </tableColumn>
    <tableColumn id="109" xr3:uid="{1B66B6A6-B718-8F42-98E0-CD76F0D5A829}" name="TSM2" totalsRowFunction="custom" dataDxfId="1596" totalsRowDxfId="1595" dataCellStyle="Comma">
      <totalsRowFormula>COUNT(TabReg[TSM2])</totalsRowFormula>
    </tableColumn>
    <tableColumn id="110" xr3:uid="{1A945ACE-273D-734A-8C83-77BB5E8319BD}" name="UN0" totalsRowFunction="custom" dataDxfId="1594" totalsRowDxfId="1593">
      <totalsRowFormula>COUNT(TabReg[UN0])</totalsRowFormula>
    </tableColumn>
    <tableColumn id="111" xr3:uid="{3DA9E56D-F97D-F74D-9B25-778FFC4532B6}" name="UN01" totalsRowFunction="custom" dataDxfId="1592" totalsRowDxfId="1591" dataCellStyle="Comma">
      <totalsRowFormula>COUNT(TabReg[UN01])</totalsRowFormula>
    </tableColumn>
    <tableColumn id="112" xr3:uid="{D83DF0EE-56BB-804E-88D8-BCDE3B64BC7E}" name="UN02" totalsRowFunction="custom" dataDxfId="1590" totalsRowDxfId="1589" dataCellStyle="Comma">
      <totalsRowFormula>COUNT(TabReg[UN02])</totalsRowFormula>
    </tableColumn>
    <tableColumn id="113" xr3:uid="{AB6DA1FE-83BC-8C44-AE28-39191AE0A338}" name="UNIT" totalsRowFunction="custom" dataDxfId="1588" totalsRowDxfId="1587">
      <totalsRowFormula>COUNT(TabReg[UNIT])</totalsRowFormula>
    </tableColumn>
    <tableColumn id="114" xr3:uid="{C4F3FB31-D6F1-2447-8736-7372F6D4C91C}" name="UNIT1" totalsRowFunction="custom" dataDxfId="1586" totalsRowDxfId="1585" dataCellStyle="Comma">
      <totalsRowFormula>COUNT(TabReg[UNIT1])</totalsRowFormula>
    </tableColumn>
    <tableColumn id="115" xr3:uid="{AB5F6294-8139-4A49-8631-32C384FB1DBC}" name="UNIT2" totalsRowFunction="custom" dataDxfId="1584" totalsRowDxfId="1583" dataCellStyle="Comma">
      <totalsRowFormula>COUNT(TabReg[UNIT2])</totalsRowFormula>
    </tableColumn>
    <tableColumn id="191" xr3:uid="{AD95F93D-62BB-8646-881A-FDCF1F4203E3}" name="Free" totalsRowFunction="custom" dataDxfId="1582" totalsRowDxfId="1581">
      <totalsRowFormula>COUNT(TabReg[Free])</totalsRowFormula>
    </tableColumn>
    <tableColumn id="192" xr3:uid="{751C8CA5-9FC6-6144-8379-1FF0AC9B4A7C}" name="Free1" totalsRowFunction="custom" dataDxfId="1580" totalsRowDxfId="1579" dataCellStyle="Comma">
      <totalsRowFormula>COUNT(TabReg[Free1])</totalsRowFormula>
    </tableColumn>
    <tableColumn id="193" xr3:uid="{37F82F33-F30B-EA48-B816-29C8A5F9F7B9}" name="Free2" totalsRowFunction="custom" dataDxfId="1578" totalsRowDxfId="1577">
      <totalsRowFormula>COUNT(TabReg[Free2])</totalsRowFormula>
    </tableColumn>
    <tableColumn id="233" xr3:uid="{5C4BF384-1740-CB49-8025-B346D90C0917}" name="VLVLY" totalsRowFunction="custom" dataDxfId="1576" totalsRowDxfId="1575">
      <totalsRowFormula>COUNT(TabReg[VLVLY])</totalsRowFormula>
    </tableColumn>
    <tableColumn id="234" xr3:uid="{6B24C139-13D4-CD4F-AA1F-A361E6F76F4F}" name="VLVLY1" totalsRowFunction="custom" dataDxfId="1574" totalsRowDxfId="1573" dataCellStyle="Comma">
      <totalsRowFormula>COUNT(TabReg[VLVLY1])</totalsRowFormula>
    </tableColumn>
    <tableColumn id="235" xr3:uid="{12493D9D-4297-CF46-B66F-1559E8FB14BE}" name="VLVLY2" totalsRowFunction="custom" dataDxfId="1572" totalsRowDxfId="1571">
      <totalsRowFormula>COUNT(TabReg[VLVLY2])</totalsRowFormula>
    </tableColumn>
    <tableColumn id="236" xr3:uid="{7E0EDE3A-36BF-2B41-B80B-CC97CAEA7DE6}" name="VONN" totalsRowFunction="custom" dataDxfId="1570" totalsRowDxfId="1569">
      <totalsRowFormula>COUNT(TabReg[VONN])</totalsRowFormula>
    </tableColumn>
    <tableColumn id="237" xr3:uid="{8B33F160-B82A-B345-A971-DA3D869687B4}" name="VONN1" totalsRowFunction="custom" dataDxfId="1568" totalsRowDxfId="1567" dataCellStyle="Comma">
      <totalsRowFormula>COUNT(TabReg[VONN1])</totalsRowFormula>
    </tableColumn>
    <tableColumn id="238" xr3:uid="{8182C875-990C-F64B-9F13-C9023F898A5D}" name="VONN2" totalsRowFunction="custom" dataDxfId="1566" totalsRowDxfId="1565" dataCellStyle="Comma">
      <totalsRowFormula>COUNT(TabReg[VONN2])</totalsRowFormula>
    </tableColumn>
    <tableColumn id="116" xr3:uid="{EAFA0E97-DD26-2746-8568-280408AB6E0E}" name="VTRS" totalsRowFunction="custom" dataDxfId="1564" totalsRowDxfId="1563">
      <totalsRowFormula>COUNT(TabReg[VTRS])</totalsRowFormula>
    </tableColumn>
    <tableColumn id="117" xr3:uid="{F4925C9A-0EA1-854B-9D01-DD31D1925353}" name="VTRS1" totalsRowFunction="custom" dataDxfId="1562" totalsRowDxfId="1561" dataCellStyle="Comma">
      <totalsRowFormula>COUNT(TabReg[VTRS1])</totalsRowFormula>
    </tableColumn>
    <tableColumn id="118" xr3:uid="{FDD4CF08-9B2E-2740-B044-F3F004164CAB}" name="VTRS2" totalsRowFunction="custom" dataDxfId="1560" totalsRowDxfId="1559" dataCellStyle="Comma">
      <totalsRowFormula>COUNT(TabReg[VTRS2])</totalsRowFormula>
    </tableColumn>
    <tableColumn id="119" xr3:uid="{FC06DF00-5468-524C-8EDC-8EEF915AA6FD}" name="WBA" totalsRowFunction="custom" dataDxfId="1558" totalsRowDxfId="1557">
      <totalsRowFormula>COUNT(TabReg[WBA])</totalsRowFormula>
    </tableColumn>
    <tableColumn id="120" xr3:uid="{D5C360EB-B8B1-A741-B40E-C08576251C87}" name="WBA1" totalsRowFunction="custom" dataDxfId="1556" totalsRowDxfId="1555" dataCellStyle="Comma">
      <totalsRowFormula>COUNT(TabReg[WBA1])</totalsRowFormula>
    </tableColumn>
    <tableColumn id="121" xr3:uid="{39CEDF0B-E2E3-E448-9E9B-A947524DF97B}" name="WBA2" totalsRowFunction="custom" dataDxfId="1554" totalsRowDxfId="1553" dataCellStyle="Comma">
      <totalsRowFormula>COUNT(TabReg[WBA2])</totalsRowFormula>
    </tableColumn>
    <tableColumn id="122" xr3:uid="{51611324-95E2-7A49-B281-67A46FC8D674}" name="XOM" totalsRowFunction="custom" dataDxfId="1552" totalsRowDxfId="1551">
      <totalsRowFormula>COUNT(TabReg[XOM])</totalsRowFormula>
    </tableColumn>
    <tableColumn id="123" xr3:uid="{13422B36-F155-B840-B2CF-B05574FDF663}" name="XOM1" totalsRowFunction="custom" dataDxfId="1550" totalsRowDxfId="1549" dataCellStyle="Comma">
      <totalsRowFormula>COUNT(TabReg[XOM1])</totalsRowFormula>
    </tableColumn>
    <tableColumn id="124" xr3:uid="{764EB640-E02A-5C4B-8207-C8D40970E5C7}" name="XOM2" totalsRowFunction="custom" dataDxfId="1548" totalsRowDxfId="1547" dataCellStyle="Comma">
      <totalsRowFormula>COUNT(TabReg[XOM2])</totalsRowFormula>
    </tableColumn>
    <tableColumn id="125" xr3:uid="{2E708A98-1149-AD42-A6A9-5C9860AA9242}" name="XPER" totalsRowFunction="custom" dataDxfId="1546" totalsRowDxfId="1545">
      <totalsRowFormula>COUNT(TabReg[XPER])</totalsRowFormula>
    </tableColumn>
    <tableColumn id="126" xr3:uid="{93528364-BF0F-7144-A219-2BB9427F4E0B}" name="XPER1" totalsRowFunction="custom" dataDxfId="1544" totalsRowDxfId="1543" dataCellStyle="Comma">
      <totalsRowFormula>COUNT(TabReg[XPER1])</totalsRowFormula>
    </tableColumn>
    <tableColumn id="127" xr3:uid="{6FA0AB33-2B74-8741-86CE-5DD24EAFB0AE}" name="XPER2" totalsRowFunction="custom" dataDxfId="1542" totalsRowDxfId="1541" dataCellStyle="Comma">
      <totalsRowFormula>COUNT(TabReg[XPER2])</totalsRowFormula>
    </tableColumn>
    <tableColumn id="128" xr3:uid="{C486E5C1-6BEC-8C4B-86D1-C3E8153030D4}" name="MVEALDNE" totalsRowFunction="custom" dataDxfId="1540" totalsRowDxfId="1539">
      <totalsRowFormula>COUNT(TabReg[MVEALDNE])</totalsRowFormula>
    </tableColumn>
    <tableColumn id="129" xr3:uid="{3FB451E6-2946-8040-A85E-6B646D511A9C}" name="MVEALDNE1" totalsRowFunction="custom" dataDxfId="1538" totalsRowDxfId="1537" dataCellStyle="Comma">
      <totalsRowFormula>COUNT(TabReg[MVEALDNE1])</totalsRowFormula>
    </tableColumn>
    <tableColumn id="130" xr3:uid="{626584AD-E5BE-944D-BE1F-698427DA51F7}" name="MVEALDNE2" totalsRowFunction="custom" dataDxfId="1536" totalsRowDxfId="1535" dataCellStyle="Comma">
      <totalsRowFormula>COUNT(TabReg[MVEALDNE2])</totalsRowFormula>
    </tableColumn>
    <tableColumn id="131" xr3:uid="{DD68A5C2-4B08-024C-9778-DA46318A392D}" name="MVEDDD" totalsRowFunction="custom" dataDxfId="1534" totalsRowDxfId="1533">
      <totalsRowFormula>COUNT(TabReg[MVEDDD])</totalsRowFormula>
    </tableColumn>
    <tableColumn id="132" xr3:uid="{D9A558E3-596C-5C4F-936E-47C954B63F35}" name="MVEDDD1" totalsRowFunction="custom" dataDxfId="1532" totalsRowDxfId="1531" dataCellStyle="Comma">
      <totalsRowFormula>COUNT(TabReg[MVEDDD1])</totalsRowFormula>
    </tableColumn>
    <tableColumn id="133" xr3:uid="{7120DB8C-7514-FA48-A08E-5B247085EBF9}" name="MVEDDD2" totalsRowFunction="custom" dataDxfId="1530" totalsRowDxfId="1529" dataCellStyle="Comma">
      <totalsRowFormula>COUNT(TabReg[MVEDDD2])</totalsRowFormula>
    </tableColumn>
    <tableColumn id="134" xr3:uid="{2FD8B1C9-64F0-584A-A7F0-676B72893EB0}" name="MVEDSY" totalsRowFunction="custom" dataDxfId="1528" totalsRowDxfId="1527">
      <totalsRowFormula>COUNT(TabReg[MVEDSY])</totalsRowFormula>
    </tableColumn>
    <tableColumn id="135" xr3:uid="{D76DA24F-4421-F847-B121-A8F4A193BD82}" name="MVEDSY1" totalsRowFunction="custom" dataDxfId="1526" totalsRowDxfId="1525" dataCellStyle="Comma">
      <totalsRowFormula>COUNT(TabReg[MVEDSY1])</totalsRowFormula>
    </tableColumn>
    <tableColumn id="136" xr3:uid="{396A0ECB-755E-104D-A8E3-7A5B2AE7C6EA}" name="MVEDSY2" totalsRowFunction="custom" dataDxfId="1524" totalsRowDxfId="1523" dataCellStyle="Comma">
      <totalsRowFormula>COUNT(TabReg[MVEDSY2])</totalsRowFormula>
    </tableColumn>
    <tableColumn id="137" xr3:uid="{2C0B4D1E-F3B5-484A-9C4B-65760000E495}" name="MVEEOAN" totalsRowFunction="custom" dataDxfId="1522" totalsRowDxfId="1521">
      <totalsRowFormula>COUNT(TabReg[MVEEOAN])</totalsRowFormula>
    </tableColumn>
    <tableColumn id="138" xr3:uid="{1FF1B771-C944-A04A-B9B9-0F3D9C680168}" name="MVEEOAN1" totalsRowFunction="custom" dataDxfId="1520" totalsRowDxfId="1519" dataCellStyle="Comma">
      <totalsRowFormula>COUNT(TabReg[MVEEOAN1])</totalsRowFormula>
    </tableColumn>
    <tableColumn id="139" xr3:uid="{66A5709F-8CE1-C54D-A79D-76E0054D3090}" name="MVEEOAN2" totalsRowFunction="custom" dataDxfId="1518" totalsRowDxfId="1517" dataCellStyle="Comma">
      <totalsRowFormula>COUNT(TabReg[MVEEOAN2])</totalsRowFormula>
    </tableColumn>
    <tableColumn id="140" xr3:uid="{6631A4B3-359A-FC4A-ADBD-0EC86E90A804}" name="MVEENI" totalsRowFunction="custom" dataDxfId="1516" totalsRowDxfId="1515">
      <totalsRowFormula>COUNT(TabReg[MVEENI])</totalsRowFormula>
    </tableColumn>
    <tableColumn id="141" xr3:uid="{A95026D5-E0DE-2C40-B806-896DAD5080B2}" name="MVEENI1" totalsRowFunction="custom" dataDxfId="1514" totalsRowDxfId="1513" dataCellStyle="Comma">
      <totalsRowFormula>COUNT(TabReg[MVEENI1])</totalsRowFormula>
    </tableColumn>
    <tableColumn id="142" xr3:uid="{F8B96B9E-4850-7843-AD4B-6B4E2A697D2B}" name="MVEENI2" totalsRowFunction="custom" dataDxfId="1512" totalsRowDxfId="1511" dataCellStyle="Comma">
      <totalsRowFormula>COUNT(TabReg[MVEENI2])</totalsRowFormula>
    </tableColumn>
    <tableColumn id="143" xr3:uid="{10AC4A37-9481-6542-84E4-55D1CA14160D}" name="MVEEPIX" totalsRowFunction="custom" dataDxfId="1510" totalsRowDxfId="1509">
      <totalsRowFormula>COUNT(TabReg[MVEEPIX])</totalsRowFormula>
    </tableColumn>
    <tableColumn id="144" xr3:uid="{299E26EE-7492-CC43-869A-F15EBBF8E46C}" name="MVEEPIX1" totalsRowFunction="custom" dataDxfId="1508" totalsRowDxfId="1507" dataCellStyle="Comma">
      <totalsRowFormula>COUNT(TabReg[MVEEPIX1])</totalsRowFormula>
    </tableColumn>
    <tableColumn id="145" xr3:uid="{C8D192BC-03B4-D644-8664-CCB8652B8687}" name="MVEEPIX2" totalsRowFunction="custom" dataDxfId="1506" totalsRowDxfId="1505" dataCellStyle="Comma">
      <totalsRowFormula>COUNT(TabReg[MVEEPIX2])</totalsRowFormula>
    </tableColumn>
    <tableColumn id="146" xr3:uid="{798AB43E-D927-AA4A-952C-C7A4EED1515C}" name="MVEGLE" totalsRowFunction="custom" dataDxfId="1504" totalsRowDxfId="1503">
      <totalsRowFormula>COUNT(TabReg[MVEGLE])</totalsRowFormula>
    </tableColumn>
    <tableColumn id="147" xr3:uid="{29D52BAD-01AC-9843-99E2-108D85712955}" name="MVEGLE1" totalsRowFunction="custom" dataDxfId="1502" totalsRowDxfId="1501" dataCellStyle="Comma">
      <totalsRowFormula>COUNT(TabReg[MVEGLE1])</totalsRowFormula>
    </tableColumn>
    <tableColumn id="148" xr3:uid="{91A1A354-6935-214C-B655-6FA5D05B6148}" name="MVEGLE2" totalsRowFunction="custom" dataDxfId="1500" totalsRowDxfId="1499" dataCellStyle="Comma">
      <totalsRowFormula>COUNT(TabReg[MVEGLE2])</totalsRowFormula>
    </tableColumn>
    <tableColumn id="149" xr3:uid="{63EC1406-ED3D-7248-BC5E-B3891B5F1C34}" name="MVEORA" totalsRowFunction="custom" dataDxfId="1498" totalsRowDxfId="1497">
      <totalsRowFormula>COUNT(TabReg[MVEORA])</totalsRowFormula>
    </tableColumn>
    <tableColumn id="150" xr3:uid="{BD96D106-F762-CA4F-9926-DCA72A4EFCF8}" name="MVEORA1" totalsRowFunction="custom" dataDxfId="1496" totalsRowDxfId="1495" dataCellStyle="Comma">
      <totalsRowFormula>COUNT(TabReg[MVEORA1])</totalsRowFormula>
    </tableColumn>
    <tableColumn id="151" xr3:uid="{6F6EEB8A-4418-9F48-B010-D1102DED03E8}" name="MVEORA2" totalsRowFunction="custom" dataDxfId="1494" totalsRowDxfId="1493" dataCellStyle="Comma">
      <totalsRowFormula>COUNT(TabReg[MVEORA2])</totalsRowFormula>
    </tableColumn>
    <tableColumn id="152" xr3:uid="{08AF805C-499B-CA44-8B1B-09DDD9BDDA89}" name="MVERWE" totalsRowFunction="custom" dataDxfId="1492" totalsRowDxfId="1491">
      <totalsRowFormula>COUNT(TabReg[MVERWE])</totalsRowFormula>
    </tableColumn>
    <tableColumn id="153" xr3:uid="{73DE675B-333C-8042-A051-7C22080AA480}" name="MVERWE1" totalsRowFunction="custom" dataDxfId="1490" totalsRowDxfId="1489" dataCellStyle="Comma">
      <totalsRowFormula>COUNT(TabReg[MVERWE1])</totalsRowFormula>
    </tableColumn>
    <tableColumn id="154" xr3:uid="{3F90A3E1-83FC-5F43-9DEE-1A1BF3455758}" name="MVERWE2" totalsRowFunction="custom" dataDxfId="1488" totalsRowDxfId="1487" dataCellStyle="Comma">
      <totalsRowFormula>COUNT(TabReg[MVERWE2])</totalsRowFormula>
    </tableColumn>
    <tableColumn id="155" xr3:uid="{E9F565FB-317B-7B48-8D94-56DBC6AB96D8}" name="MVESAP" totalsRowFunction="custom" dataDxfId="1486" totalsRowDxfId="1485">
      <totalsRowFormula>COUNT(TabReg[MVESAP])</totalsRowFormula>
    </tableColumn>
    <tableColumn id="156" xr3:uid="{877F9E2B-72C9-1D43-8E9B-7585F3B9C5A8}" name="MVESAP1" totalsRowFunction="custom" dataDxfId="1484" totalsRowDxfId="1483" dataCellStyle="Comma">
      <totalsRowFormula>COUNT(TabReg[MVESAP1])</totalsRowFormula>
    </tableColumn>
    <tableColumn id="157" xr3:uid="{095D7B94-97D5-F04F-8693-4C0766693B3D}" name="MVESAP2" totalsRowFunction="custom" dataDxfId="1482" totalsRowDxfId="1481" dataCellStyle="Comma">
      <totalsRowFormula>COUNT(TabReg[MVESAP2])</totalsRowFormula>
    </tableColumn>
    <tableColumn id="158" xr3:uid="{6DAC9D38-B756-EA4C-9F7A-8677964ECEE7}" name="MVEUN0" totalsRowFunction="custom" dataDxfId="1480" totalsRowDxfId="1479">
      <totalsRowFormula>COUNT(TabReg[MVEUN0])</totalsRowFormula>
    </tableColumn>
    <tableColumn id="159" xr3:uid="{A8EC8BAE-FF6E-2249-9250-9AA033F9ED29}" name="MVEUN01" totalsRowFunction="custom" dataDxfId="1478" totalsRowDxfId="1477" dataCellStyle="Comma">
      <totalsRowFormula>COUNT(TabReg[MVEUN01])</totalsRowFormula>
    </tableColumn>
    <tableColumn id="160" xr3:uid="{F612F125-1D81-1E44-874A-33914890A832}" name="MVEUN02" totalsRowFunction="custom" dataDxfId="1476" totalsRowDxfId="1475" dataCellStyle="Comma">
      <totalsRowFormula>COUNT(TabReg[MVEUN02])</totalsRowFormula>
    </tableColumn>
    <tableColumn id="245" xr3:uid="{87DB3F20-52D6-CA4E-88EA-60775FA48471}" name="SAFAAPL" totalsRowFunction="custom" dataDxfId="1474" totalsRowDxfId="1473">
      <totalsRowFormula>COUNT(TabReg[SAFAAPL])</totalsRowFormula>
    </tableColumn>
    <tableColumn id="246" xr3:uid="{20517EE6-352A-AD43-8441-3441B61C1D89}" name="SAFAAPL1" totalsRowFunction="custom" dataDxfId="1472" totalsRowDxfId="1471" dataCellStyle="Comma">
      <totalsRowFormula>COUNT(TabReg[SAFAAPL1])</totalsRowFormula>
    </tableColumn>
    <tableColumn id="247" xr3:uid="{3C4F3F09-49B3-EA48-ABFA-662F1DB33DA3}" name="SAFAAPL2" totalsRowFunction="custom" dataDxfId="1470" totalsRowDxfId="1469">
      <totalsRowFormula>COUNT(TabReg[SAFAAPL2])</totalsRowFormula>
    </tableColumn>
    <tableColumn id="248" xr3:uid="{AABFB2F9-1399-A74B-9F06-69E103AFB9CD}" name="SAFAMZN" totalsRowFunction="custom" dataDxfId="1468" totalsRowDxfId="1467">
      <totalsRowFormula>COUNT(TabReg[SAFAMZN])</totalsRowFormula>
    </tableColumn>
    <tableColumn id="249" xr3:uid="{D38CCD21-85E7-5243-8853-685BFE452284}" name="SAFAMZN1" totalsRowFunction="custom" dataDxfId="1466" totalsRowDxfId="1465" dataCellStyle="Comma">
      <totalsRowFormula>COUNT(TabReg[SAFAMZN1])</totalsRowFormula>
    </tableColumn>
    <tableColumn id="250" xr3:uid="{E22F61D9-4EB0-B94C-8F20-A63DF62D6B14}" name="SAFAMZN2" totalsRowFunction="custom" dataDxfId="1464" totalsRowDxfId="1463">
      <totalsRowFormula>COUNT(TabReg[SAFAMZN2])</totalsRowFormula>
    </tableColumn>
    <tableColumn id="251" xr3:uid="{F25F604C-FECA-CA4F-B82A-F2731B9AB9E2}" name="SAFASML" totalsRowFunction="custom" dataDxfId="1462" totalsRowDxfId="1461">
      <totalsRowFormula>COUNT(TabReg[SAFASML])</totalsRowFormula>
    </tableColumn>
    <tableColumn id="252" xr3:uid="{30ACA57E-5B73-3341-B584-158624B040E3}" name="SAFASML1" totalsRowFunction="custom" dataDxfId="1460" totalsRowDxfId="1459" dataCellStyle="Comma">
      <totalsRowFormula>COUNT(TabReg[SAFASML1])</totalsRowFormula>
    </tableColumn>
    <tableColumn id="253" xr3:uid="{20ED69C9-1D65-6341-8E2D-F366D2B2C54B}" name="SAFASML2" totalsRowFunction="custom" dataDxfId="1458" totalsRowDxfId="1457">
      <totalsRowFormula>COUNT(TabReg[SAFASML2])</totalsRowFormula>
    </tableColumn>
    <tableColumn id="254" xr3:uid="{2C63720C-5818-4944-BDB8-32411EDB5BB5}" name="SAFDDD" totalsRowFunction="custom" dataDxfId="1456" totalsRowDxfId="1455">
      <totalsRowFormula>COUNT(TabReg[SAFDDD])</totalsRowFormula>
    </tableColumn>
    <tableColumn id="255" xr3:uid="{D31C2829-AC58-5245-9282-3889257E506D}" name="SAFDDD1" totalsRowFunction="custom" dataDxfId="1454" totalsRowDxfId="1453" dataCellStyle="Comma">
      <totalsRowFormula>COUNT(TabReg[SAFDDD1])</totalsRowFormula>
    </tableColumn>
    <tableColumn id="256" xr3:uid="{E7DF0399-71E8-B642-B9E4-D0FDA4593657}" name="SAFDDD2" totalsRowFunction="custom" dataDxfId="1452" totalsRowDxfId="1451">
      <totalsRowFormula>COUNT(TabReg[SAFDDD2])</totalsRowFormula>
    </tableColumn>
    <tableColumn id="194" xr3:uid="{F93F1814-DD60-0A4E-8EA3-934D7D95DB83}" name="SAFDIS" totalsRowFunction="custom" dataDxfId="1450" totalsRowDxfId="1449">
      <totalsRowFormula>COUNT(TabReg[SAFDIS])</totalsRowFormula>
    </tableColumn>
    <tableColumn id="195" xr3:uid="{A22E8D43-4FB7-1445-8926-DD20EC462EE2}" name="SAFDIS1" totalsRowFunction="custom" dataDxfId="1448" totalsRowDxfId="1447" dataCellStyle="Comma">
      <totalsRowFormula>COUNT(TabReg[SAFDIS1])</totalsRowFormula>
    </tableColumn>
    <tableColumn id="196" xr3:uid="{730E80A0-73EA-F14F-B023-90418CB7FF94}" name="SAFDIS2" totalsRowFunction="custom" dataDxfId="1446" totalsRowDxfId="1445" dataCellStyle="Comma">
      <totalsRowFormula>COUNT(TabReg[SAFDIS2])</totalsRowFormula>
    </tableColumn>
    <tableColumn id="197" xr3:uid="{6EBEAD56-C7F4-BE4A-B558-A5F2DBB0CE46}" name="SAFGM" totalsRowFunction="custom" dataDxfId="1444" totalsRowDxfId="1443">
      <totalsRowFormula>COUNT(TabReg[SAFGM])</totalsRowFormula>
    </tableColumn>
    <tableColumn id="198" xr3:uid="{8550DAEC-2C07-FC46-A369-CE27ACA32089}" name="SAFGM1" totalsRowFunction="custom" dataDxfId="1442" totalsRowDxfId="1441" dataCellStyle="Comma">
      <totalsRowFormula>COUNT(TabReg[SAFGM1])</totalsRowFormula>
    </tableColumn>
    <tableColumn id="199" xr3:uid="{076EBF9E-377C-F747-82A7-FA7768DD8DC4}" name="SAFGM2" totalsRowFunction="custom" dataDxfId="1440" totalsRowDxfId="1439" dataCellStyle="Comma">
      <totalsRowFormula>COUNT(TabReg[SAFGM2])</totalsRowFormula>
    </tableColumn>
    <tableColumn id="200" xr3:uid="{735B8A44-120B-FF4C-AAEF-AFACB3D9DFCF}" name="SAFIAG" totalsRowFunction="custom" dataDxfId="1438" totalsRowDxfId="1437">
      <totalsRowFormula>COUNT(TabReg[SAFIAG])</totalsRowFormula>
    </tableColumn>
    <tableColumn id="201" xr3:uid="{A329D987-F158-744A-9A1D-8059162935DD}" name="SAFIAG1" totalsRowFunction="custom" dataDxfId="1436" totalsRowDxfId="1435" dataCellStyle="Comma">
      <totalsRowFormula>COUNT(TabReg[SAFIAG1])</totalsRowFormula>
    </tableColumn>
    <tableColumn id="296" xr3:uid="{CA00107A-3584-4E4D-9727-9DD9D29E985C}" name="SAFIAG2" totalsRowFunction="custom" dataDxfId="1434" totalsRowDxfId="1433" dataCellStyle="Comma">
      <totalsRowFormula>COUNT(TabReg[SAFIAG2])</totalsRowFormula>
    </tableColumn>
    <tableColumn id="297" xr3:uid="{C33A51F9-76AA-7E4A-8F99-9984D22DF038}" name="SAFMRNA" totalsRowFunction="custom" dataDxfId="1432" totalsRowDxfId="1431" dataCellStyle="Comma">
      <totalsRowFormula>COUNT(TabReg[SAFMRNA])</totalsRowFormula>
    </tableColumn>
    <tableColumn id="298" xr3:uid="{38EAE1F2-CCA3-2243-8FA9-8C83A7C2E83E}" name="SAFMRNA1" totalsRowFunction="custom" dataDxfId="1430" totalsRowDxfId="1429" dataCellStyle="Comma">
      <totalsRowFormula>COUNT(TabReg[SAFMRNA1])</totalsRowFormula>
    </tableColumn>
    <tableColumn id="202" xr3:uid="{58031338-9EAE-DB42-B765-E2B6B518A683}" name="SAFMRNA2" totalsRowFunction="custom" dataDxfId="1428" totalsRowDxfId="1427" dataCellStyle="Comma">
      <totalsRowFormula>COUNT(TabReg[SAFMRNA2])</totalsRowFormula>
    </tableColumn>
    <tableColumn id="299" xr3:uid="{4C1E3C38-AA96-C24E-95A1-3B57744A500F}" name="BLNK" totalsRowFunction="custom" dataDxfId="1426" totalsRowDxfId="1425">
      <totalsRowFormula>COUNT(TabReg[BLNK])</totalsRowFormula>
    </tableColumn>
    <tableColumn id="300" xr3:uid="{023BBB79-E8CA-254F-9A5F-6769DEF86DEB}" name="BLNK1" totalsRowFunction="custom" dataDxfId="1424" totalsRowDxfId="1423" dataCellStyle="Comma">
      <totalsRowFormula>COUNT(TabReg[BLNK1])</totalsRowFormula>
    </tableColumn>
    <tableColumn id="301" xr3:uid="{8FF7052C-5BC8-6246-B336-C9608EE0C4D8}" name="BLNK2" totalsRowFunction="custom" dataDxfId="1422" totalsRowDxfId="1421" dataCellStyle="Comma">
      <totalsRowFormula>COUNT(TabReg[BLNK2])</totalsRowFormula>
    </tableColumn>
    <tableColumn id="203" xr3:uid="{5146FD2A-2827-254E-AC2D-0ACF26A0C74F}" name="ENI" totalsRowFunction="custom" dataDxfId="1420" totalsRowDxfId="1419">
      <totalsRowFormula>COUNT(TabReg[ENI])</totalsRowFormula>
    </tableColumn>
    <tableColumn id="204" xr3:uid="{6DC93B63-70C5-4745-A0E8-9B1894B72882}" name="ENI1" totalsRowFunction="custom" dataDxfId="1418" totalsRowDxfId="1417" dataCellStyle="Comma">
      <totalsRowFormula>COUNT(TabReg[ENI1])</totalsRowFormula>
    </tableColumn>
    <tableColumn id="205" xr3:uid="{1586E4F1-AF55-7943-9C5C-6F56BC0D13FB}" name="ENI2" totalsRowFunction="custom" dataDxfId="1416" totalsRowDxfId="1415" dataCellStyle="Comma">
      <totalsRowFormula>COUNT(TabReg[ENI2])</totalsRowFormula>
    </tableColumn>
    <tableColumn id="206" xr3:uid="{F90D6620-764A-014D-8E1D-2C110AC0BDCF}" name="EZJ" totalsRowFunction="custom" dataDxfId="1414" totalsRowDxfId="1413">
      <totalsRowFormula>COUNT(TabReg[EZJ])</totalsRowFormula>
    </tableColumn>
    <tableColumn id="207" xr3:uid="{AEF036D2-CA8D-5244-B754-038CD142E280}" name="EZJ1" totalsRowFunction="custom" dataDxfId="1412" totalsRowDxfId="1411" dataCellStyle="Comma">
      <totalsRowFormula>COUNT(TabReg[EZJ1])</totalsRowFormula>
    </tableColumn>
    <tableColumn id="208" xr3:uid="{172612BD-38A4-9045-8225-B6BACB6E0938}" name="EZJ2" totalsRowFunction="custom" dataDxfId="1410" totalsRowDxfId="1409" dataCellStyle="Comma">
      <totalsRowFormula>COUNT(TabReg[EZJ2])</totalsRowFormula>
    </tableColumn>
    <tableColumn id="257" xr3:uid="{897D4C8A-78D4-D145-ACA9-1DF7996B1927}" name="F" totalsRowFunction="custom" dataDxfId="1408" totalsRowDxfId="1407">
      <totalsRowFormula>COUNT(TabReg[F])</totalsRowFormula>
    </tableColumn>
    <tableColumn id="258" xr3:uid="{A7D8D583-1B05-8148-91A8-CEB2BB055274}" name="F1" totalsRowFunction="custom" dataDxfId="1406" totalsRowDxfId="1405" dataCellStyle="Comma">
      <totalsRowFormula>COUNT(TabReg[F1])</totalsRowFormula>
    </tableColumn>
    <tableColumn id="259" xr3:uid="{22766649-0D25-BF4F-85D7-B86CDF58DA39}" name="F2" totalsRowFunction="custom" dataDxfId="1404" totalsRowDxfId="1403" dataCellStyle="Comma">
      <totalsRowFormula>COUNT(TabReg[F2])</totalsRowFormula>
    </tableColumn>
    <tableColumn id="260" xr3:uid="{FCD11F79-1C56-6C45-AC2E-082E924CB4A3}" name="GLE" totalsRowFunction="custom" dataDxfId="1402" totalsRowDxfId="1401">
      <totalsRowFormula>COUNT(TabReg[GLE])</totalsRowFormula>
    </tableColumn>
    <tableColumn id="261" xr3:uid="{5EB7E023-E38C-DD45-912B-0DFE7A6D3146}" name="GLE1" totalsRowFunction="custom" dataDxfId="1400" totalsRowDxfId="1399" dataCellStyle="Comma">
      <totalsRowFormula>COUNT(TabReg[GLE1])</totalsRowFormula>
    </tableColumn>
    <tableColumn id="262" xr3:uid="{FC176C26-7A73-DB43-BD0A-E6EE991D681A}" name="GLE2" totalsRowFunction="custom" dataDxfId="1398" totalsRowDxfId="1397" dataCellStyle="Comma">
      <totalsRowFormula>COUNT(TabReg[GLE2])</totalsRowFormula>
    </tableColumn>
    <tableColumn id="263" xr3:uid="{9446E411-2C2F-D343-A67C-95ED97E45DA5}" name="GNRC" totalsRowFunction="custom" dataDxfId="1396" totalsRowDxfId="1395">
      <totalsRowFormula>COUNT(TabReg[GNRC])</totalsRowFormula>
    </tableColumn>
    <tableColumn id="264" xr3:uid="{F3FE8B53-FAAF-CB4E-A4D7-0F5EE1683F9E}" name="GNRC1" totalsRowFunction="custom" dataDxfId="1394" totalsRowDxfId="1393" dataCellStyle="Comma">
      <totalsRowFormula>COUNT(TabReg[GNRC1])</totalsRowFormula>
    </tableColumn>
    <tableColumn id="265" xr3:uid="{E75747AB-0FE8-A948-9AB7-15132E227017}" name="GNRC2" totalsRowFunction="custom" dataDxfId="1392" totalsRowDxfId="1391" dataCellStyle="Comma">
      <totalsRowFormula>COUNT(TabReg[GNRC2])</totalsRowFormula>
    </tableColumn>
    <tableColumn id="209" xr3:uid="{131BFBC2-6A94-CC42-BD9A-855C7FE85C35}" name="GS" totalsRowFunction="custom" dataDxfId="1390" totalsRowDxfId="1389">
      <totalsRowFormula>COUNT(TabReg[GS])</totalsRowFormula>
    </tableColumn>
    <tableColumn id="210" xr3:uid="{A78ED95C-9665-9742-8BFA-99A9C75BC404}" name="GS1" totalsRowFunction="custom" dataDxfId="1388" totalsRowDxfId="1387" dataCellStyle="Comma">
      <totalsRowFormula>COUNT(TabReg[GS1])</totalsRowFormula>
    </tableColumn>
    <tableColumn id="211" xr3:uid="{8F5C146D-8344-9C4B-BCA6-5AF63729897B}" name="GS2" totalsRowFunction="custom" dataDxfId="1386" totalsRowDxfId="1385" dataCellStyle="Comma">
      <totalsRowFormula>COUNT(TabReg[GS2])</totalsRowFormula>
    </tableColumn>
    <tableColumn id="266" xr3:uid="{20F2F446-BE57-094C-9573-EB81C34762AF}" name="LAZR" totalsRowFunction="custom" dataDxfId="1384" totalsRowDxfId="1383">
      <totalsRowFormula>COUNT(TabReg[LAZR])</totalsRowFormula>
    </tableColumn>
    <tableColumn id="267" xr3:uid="{F00BD279-0ECA-F743-9538-36D809B80CD3}" name="LAZR1" totalsRowFunction="custom" dataDxfId="1382" totalsRowDxfId="1381" dataCellStyle="Comma">
      <totalsRowFormula>COUNT(TabReg[LAZR1])</totalsRowFormula>
    </tableColumn>
    <tableColumn id="268" xr3:uid="{1D038EDA-DE9D-4245-89D8-B2C045C70A6C}" name="LAZR2" totalsRowFunction="custom" dataDxfId="1380" totalsRowDxfId="1379">
      <totalsRowFormula>COUNT(TabReg[LAZR2])</totalsRowFormula>
    </tableColumn>
    <tableColumn id="269" xr3:uid="{F16F4EFF-2D64-E744-A3AC-95F9B17CEA2F}" name="LUV" totalsRowFunction="custom" dataDxfId="1378" totalsRowDxfId="1377">
      <totalsRowFormula>COUNT(TabReg[LUV])</totalsRowFormula>
    </tableColumn>
    <tableColumn id="270" xr3:uid="{AC39F39E-E54F-1B4B-81E0-A9D66F18D678}" name="LUV1" totalsRowFunction="custom" dataDxfId="1376" totalsRowDxfId="1375" dataCellStyle="Comma">
      <totalsRowFormula>COUNT(TabReg[LUV1])</totalsRowFormula>
    </tableColumn>
    <tableColumn id="271" xr3:uid="{DDA01EC9-A8EC-E340-8856-045E57C154E5}" name="LUV2" totalsRowFunction="custom" dataDxfId="1374" totalsRowDxfId="1373" dataCellStyle="Comma">
      <totalsRowFormula>COUNT(TabReg[LUV2])</totalsRowFormula>
    </tableColumn>
    <tableColumn id="272" xr3:uid="{749351A6-512B-204B-84E4-670FAACD0369}" name="MA" totalsRowFunction="custom" dataDxfId="1372" totalsRowDxfId="1371">
      <totalsRowFormula>COUNT(TabReg[MA])</totalsRowFormula>
    </tableColumn>
    <tableColumn id="273" xr3:uid="{828049A8-7C35-B542-8930-68C89091C4D8}" name="MA1" totalsRowFunction="custom" dataDxfId="1370" totalsRowDxfId="1369" dataCellStyle="Comma">
      <totalsRowFormula>COUNT(TabReg[MA1])</totalsRowFormula>
    </tableColumn>
    <tableColumn id="274" xr3:uid="{B1925B35-79A0-C947-AF5A-95C1B54AAD2D}" name="MA2" totalsRowFunction="custom" dataDxfId="1368" totalsRowDxfId="1367">
      <totalsRowFormula>COUNT(TabReg[MA2])</totalsRowFormula>
    </tableColumn>
    <tableColumn id="275" xr3:uid="{9E1D1A56-BAC9-7447-BC8D-85593A0856D6}" name="NVAX" totalsRowFunction="custom" dataDxfId="1366" totalsRowDxfId="1365">
      <totalsRowFormula>COUNT(TabReg[NVAX])</totalsRowFormula>
    </tableColumn>
    <tableColumn id="276" xr3:uid="{0B75FE73-7F51-5D4E-9BEB-979D6617649C}" name="NVAX1" totalsRowFunction="custom" dataDxfId="1364" totalsRowDxfId="1363" dataCellStyle="Comma">
      <totalsRowFormula>COUNT(TabReg[NVAX1])</totalsRowFormula>
    </tableColumn>
    <tableColumn id="277" xr3:uid="{4A6A0493-9483-CA4A-885C-1B1C245534E5}" name="NVAX2" totalsRowFunction="custom" dataDxfId="1362" totalsRowDxfId="1361">
      <totalsRowFormula>COUNT(TabReg[NVAX2])</totalsRowFormula>
    </tableColumn>
    <tableColumn id="287" xr3:uid="{7D4C2FDC-F45E-014B-8CCA-692692C22E13}" name="NVS" totalsRowFunction="custom" dataDxfId="1360" totalsRowDxfId="1359">
      <totalsRowFormula>COUNT(TabReg[NVS])</totalsRowFormula>
    </tableColumn>
    <tableColumn id="288" xr3:uid="{FBCE367A-3707-9948-B314-F8D5000F6BF9}" name="NVS1" totalsRowFunction="custom" dataDxfId="1358" totalsRowDxfId="1357" dataCellStyle="Comma">
      <totalsRowFormula>COUNT(TabReg[NVS1])</totalsRowFormula>
    </tableColumn>
    <tableColumn id="289" xr3:uid="{15239B29-1C46-C24A-8E4B-52142A0760BA}" name="NVS2" totalsRowFunction="custom" dataDxfId="1356" totalsRowDxfId="1355">
      <totalsRowFormula>COUNT(TabReg[NVS2])</totalsRowFormula>
    </tableColumn>
    <tableColumn id="293" xr3:uid="{9E5FA77E-2974-304D-BF26-38A14FFED41C}" name="ORA" totalsRowFunction="custom" dataDxfId="1354" totalsRowDxfId="1353">
      <totalsRowFormula>COUNT(TabReg[ORA])</totalsRowFormula>
    </tableColumn>
    <tableColumn id="294" xr3:uid="{EAFF0433-5E40-6A4A-8274-D6B66E885F64}" name="ORA1" totalsRowFunction="custom" dataDxfId="1352" totalsRowDxfId="1351" dataCellStyle="Comma">
      <totalsRowFormula>COUNT(TabReg[ORA1])</totalsRowFormula>
    </tableColumn>
    <tableColumn id="295" xr3:uid="{98FDE75C-EEE2-D945-8F39-C938380B1DCF}" name="ORA2" totalsRowFunction="custom" dataDxfId="1350" totalsRowDxfId="1349">
      <totalsRowFormula>COUNT(TabReg[ORA2])</totalsRowFormula>
    </tableColumn>
    <tableColumn id="341" xr3:uid="{79F0B853-990E-F048-9DB7-48CEDB15D449}" name="OXY" totalsRowFunction="custom" dataDxfId="1348" totalsRowDxfId="1347">
      <totalsRowFormula>COUNT(TabReg[OXY])</totalsRowFormula>
    </tableColumn>
    <tableColumn id="342" xr3:uid="{67D8C685-D16D-354A-B89E-7171813BBACB}" name="OXY1" totalsRowFunction="custom" dataDxfId="1346" totalsRowDxfId="1345" dataCellStyle="Comma">
      <totalsRowFormula>COUNT(TabReg[OXY1])</totalsRowFormula>
    </tableColumn>
    <tableColumn id="343" xr3:uid="{28DE8418-782B-5944-BAEF-72062E46E63B}" name="OXY2" totalsRowFunction="custom" dataDxfId="1344" totalsRowDxfId="1343">
      <totalsRowFormula>COUNT(TabReg[OXY2])</totalsRowFormula>
    </tableColumn>
    <tableColumn id="344" xr3:uid="{89941348-5FF4-CB40-BC45-E8D2587B0B46}" name="PFE" totalsRowFunction="custom" dataDxfId="1342" totalsRowDxfId="1341">
      <totalsRowFormula>COUNT(TabReg[PFE])</totalsRowFormula>
    </tableColumn>
    <tableColumn id="345" xr3:uid="{244BE308-157C-A446-BC34-CFC3E87F727E}" name="PFE1" totalsRowFunction="custom" dataDxfId="1340" totalsRowDxfId="1339" dataCellStyle="Comma">
      <totalsRowFormula>COUNT(TabReg[PFE1])</totalsRowFormula>
    </tableColumn>
    <tableColumn id="346" xr3:uid="{D5E76701-0AE3-1E47-92EE-A72611DC786D}" name="PFE2" totalsRowFunction="custom" dataDxfId="1338" totalsRowDxfId="1337">
      <totalsRowFormula>COUNT(TabReg[PFE2])</totalsRowFormula>
    </tableColumn>
    <tableColumn id="347" xr3:uid="{E30CEE26-CE01-2644-851E-A54AC199B369}" name="RIG" totalsRowFunction="custom" dataDxfId="1336" totalsRowDxfId="1335">
      <totalsRowFormula>COUNT(TabReg[RIG])</totalsRowFormula>
    </tableColumn>
    <tableColumn id="348" xr3:uid="{0BDB8355-85ED-0F48-B9D2-BE4BFC6AB116}" name="RIG1" totalsRowFunction="custom" dataDxfId="1334" totalsRowDxfId="1333" dataCellStyle="Comma">
      <totalsRowFormula>COUNT(TabReg[RIG1])</totalsRowFormula>
    </tableColumn>
    <tableColumn id="349" xr3:uid="{A9F9D8BA-10B6-E84E-A870-0D7A28806645}" name="RIG2" totalsRowFunction="custom" dataDxfId="1332" totalsRowDxfId="1331">
      <totalsRowFormula>COUNT(TabReg[RIG2])</totalsRowFormula>
    </tableColumn>
    <tableColumn id="212" xr3:uid="{F30CC0DB-52A4-E744-A741-C26358086BAC}" name="RRC" totalsRowFunction="custom" dataDxfId="1330" totalsRowDxfId="1329">
      <totalsRowFormula>COUNT(TabReg[RRC])</totalsRowFormula>
    </tableColumn>
    <tableColumn id="213" xr3:uid="{56C3BFFD-3193-F64F-B26B-CEEED7BF9A3F}" name="RRC1" totalsRowFunction="custom" dataDxfId="1328" totalsRowDxfId="1327" dataCellStyle="Comma">
      <totalsRowFormula>COUNT(TabReg[RRC1])</totalsRowFormula>
    </tableColumn>
    <tableColumn id="214" xr3:uid="{8DE967B3-1687-0848-A144-0C489B72A69B}" name="RRC2" totalsRowFunction="custom" dataDxfId="1326" totalsRowDxfId="1325" dataCellStyle="Comma">
      <totalsRowFormula>COUNT(TabReg[RRC2])</totalsRowFormula>
    </tableColumn>
    <tableColumn id="215" xr3:uid="{622EC914-822C-924A-AEF5-A27E19DF6037}" name="XYZ" totalsRowFunction="custom" dataDxfId="1324" totalsRowDxfId="1323">
      <totalsRowFormula>COUNT(TabReg[XYZ])</totalsRowFormula>
    </tableColumn>
    <tableColumn id="216" xr3:uid="{B030C74E-0D3D-6541-B7BB-48BF89C99809}" name="XYZ1" totalsRowFunction="custom" dataDxfId="1322" totalsRowDxfId="1321" dataCellStyle="Comma">
      <totalsRowFormula>COUNT(TabReg[XYZ1])</totalsRowFormula>
    </tableColumn>
    <tableColumn id="217" xr3:uid="{ACEFFD2C-EAB6-9948-989F-D7D5AC701829}" name="XYZ2" totalsRowFunction="custom" dataDxfId="1320" totalsRowDxfId="1319" dataCellStyle="Comma">
      <totalsRowFormula>COUNT(TabReg[XYZ2])</totalsRowFormula>
    </tableColumn>
    <tableColumn id="218" xr3:uid="{4CD2CE15-E36E-3E42-A306-F305A7C90830}" name="THC" totalsRowFunction="custom" dataDxfId="1318" totalsRowDxfId="1317">
      <totalsRowFormula>COUNT(TabReg[THC])</totalsRowFormula>
    </tableColumn>
    <tableColumn id="219" xr3:uid="{C11F035D-CDF4-174B-9BE6-F7593779E4D8}" name="THC1" totalsRowFunction="custom" dataDxfId="1316" totalsRowDxfId="1315" dataCellStyle="Comma">
      <totalsRowFormula>COUNT(TabReg[THC1])</totalsRowFormula>
    </tableColumn>
    <tableColumn id="220" xr3:uid="{2A06D532-4E45-4645-BB9C-323A66479BFA}" name="THC2" totalsRowFunction="custom" dataDxfId="1314" totalsRowDxfId="1313" dataCellStyle="Comma">
      <totalsRowFormula>COUNT(TabReg[THC2])</totalsRowFormula>
    </tableColumn>
    <tableColumn id="221" xr3:uid="{6EA5B267-5542-3547-8C51-B4865046DAB9}" name="X" totalsRowFunction="custom" dataDxfId="1312" totalsRowDxfId="1311">
      <totalsRowFormula>COUNT(TabReg[X])</totalsRowFormula>
    </tableColumn>
    <tableColumn id="222" xr3:uid="{365245E0-D863-7643-BC5B-7BD0ECB1DE4C}" name="X1" totalsRowFunction="custom" dataDxfId="1310" totalsRowDxfId="1309" dataCellStyle="Comma">
      <totalsRowFormula>COUNT(TabReg[X1])</totalsRowFormula>
    </tableColumn>
    <tableColumn id="223" xr3:uid="{DCD6AC1F-F77E-0741-AC5D-657E140B6DC2}" name="X2" totalsRowFunction="custom" dataDxfId="1308" totalsRowDxfId="1307" dataCellStyle="Comma">
      <totalsRowFormula>COUNT(TabReg[X2])</totalsRowFormula>
    </tableColumn>
    <tableColumn id="302" xr3:uid="{12D2B534-7A04-F54F-80F6-A11D14B88280}" name="LOCK" totalsRowFunction="custom" dataDxfId="1306" totalsRowDxfId="1305">
      <totalsRowFormula>COUNT(TabReg[LOCK])</totalsRowFormula>
    </tableColumn>
    <tableColumn id="303" xr3:uid="{8CFAE27D-A663-E64A-BF5D-1F73B5863089}" name="LOCK1" totalsRowFunction="custom" dataDxfId="1304" totalsRowDxfId="1303" dataCellStyle="Comma">
      <totalsRowFormula>COUNT(TabReg[LOCK1])</totalsRowFormula>
    </tableColumn>
    <tableColumn id="304" xr3:uid="{D90F9136-0218-FB4C-836E-08A741E13B5A}" name="LOCK2" totalsRowFunction="custom" dataDxfId="1302" totalsRowDxfId="1301" dataCellStyle="Comma">
      <totalsRowFormula>COUNT(TabReg[LOCK2])</totalsRowFormula>
    </tableColumn>
    <tableColumn id="161" xr3:uid="{A9E992B2-11DC-8849-A7E9-148965BC4326}" name="JBASML" totalsRowFunction="custom" dataDxfId="1300" totalsRowDxfId="129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298" totalsRowDxfId="129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296" totalsRowDxfId="129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294" totalsRowDxfId="129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292" totalsRowDxfId="129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290" totalsRowDxfId="128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288" totalsRowDxfId="128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286" totalsRowDxfId="128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284" totalsRowDxfId="128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282" totalsRowDxfId="128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280" totalsRowDxfId="127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278" totalsRowDxfId="127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276" headerRowCellStyle="Comma">
  <autoFilter ref="A2:BU96" xr:uid="{1355A38B-5BD1-D249-AD6D-96E02BC9C311}">
    <filterColumn colId="30">
      <filters>
        <filter val="Sale Back"/>
      </filters>
    </filterColumn>
  </autoFilter>
  <tableColumns count="73">
    <tableColumn id="2" xr3:uid="{AB1EC51C-CE10-C44F-8563-D562A0774781}" name="Scale" totalsRowLabel="Total" dataDxfId="1275" totalsRowDxfId="916">
      <calculatedColumnFormula>IF(_xlfn.XLOOKUP(TabTRADER[[#This Row],[ClickTick]],TabCalc[Ticker],TabCalc[Cur])="GBp",0.01,1)</calculatedColumnFormula>
    </tableColumn>
    <tableColumn id="3" xr3:uid="{85E73ED8-4FDB-0D4B-87C7-1C8139DDD84A}" name="LastBuy_RevRem_n" dataDxfId="1274" totalsRowDxfId="915">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273" totalsRowDxfId="91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272" totalsRowDxfId="913">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271" totalsRowDxfId="91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270" totalsRowDxfId="911"/>
    <tableColumn id="12" xr3:uid="{F165B824-ACDF-0044-A649-45E93AB88C03}" name="LastSale_RevBuy$" dataDxfId="1269" totalsRowDxfId="910"/>
    <tableColumn id="13" xr3:uid="{C007EDF1-F9A7-A54D-B9A5-63A7F0F2DE88}" name="if_ReBuy_nSold" dataDxfId="1268" totalsRowDxfId="909" dataCellStyle="Comma"/>
    <tableColumn id="15" xr3:uid="{7D769024-523A-604D-B662-648DD5B77A3D}" name="Rebuy2" dataDxfId="1267" totalsRowDxfId="908" dataCellStyle="Comma"/>
    <tableColumn id="16" xr3:uid="{E3F0170B-738A-4C4A-B89A-95794135EB60}" name="Gravity" dataDxfId="1266" totalsRowDxfId="907" dataCellStyle="Comma">
      <calculatedColumnFormula>_xlfn.XLOOKUP(TabTRADER[[#This Row],[ClickTick]],TabCalc[Ticker],ListGravity)</calculatedColumnFormula>
    </tableColumn>
    <tableColumn id="17" xr3:uid="{294D7F67-21E5-8B44-89D8-1F7A1CA93BAB}" name="Extran" dataDxfId="1265" totalsRowDxfId="906"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264" totalsRowDxfId="905"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63" totalsRowDxfId="904">
      <calculatedColumnFormula>_xlfn.XLOOKUP(TabTRADER[[#This Row],[ClickTick]],TabCalc[Ticker],TabCalc[Agiotage])</calculatedColumnFormula>
    </tableColumn>
    <tableColumn id="20" xr3:uid="{42A2A74C-CA9D-004F-8FB3-8DE0DE7852F9}" name="RSI" dataDxfId="1262" totalsRowDxfId="903" dataCellStyle="Comma">
      <calculatedColumnFormula array="1">_xlfn.XLOOKUP(TabTRADER[[#This Row],[ClickTick]],ListTickers,Tab2RSIConventional[RSIConv20])</calculatedColumnFormula>
    </tableColumn>
    <tableColumn id="11" xr3:uid="{9014D1F9-34DC-3748-977E-00BCAAA27F23}" name="Begin/Status" dataDxfId="1261" totalsRowDxfId="90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60" totalsRowDxfId="901" dataCellStyle="Comma">
      <calculatedColumnFormula>_xlfn.XLOOKUP(TabTRADER[[#This Row],[ClickTick]],TabCalc[Ticker],TabCalc[L_Bn])</calculatedColumnFormula>
    </tableColumn>
    <tableColumn id="31" xr3:uid="{528D52A3-6941-1949-A034-665AD9FAE6A1}" name="L_Bp" dataDxfId="1259" totalsRowDxfId="900" dataCellStyle="Comma">
      <calculatedColumnFormula>_xlfn.XLOOKUP(TabTRADER[[#This Row],[ClickTick]],TabCalc[Ticker],TabCalc[L_Bp])</calculatedColumnFormula>
    </tableColumn>
    <tableColumn id="21" xr3:uid="{708FCF43-CBDB-8F4F-8472-28891FF733C4}" name="Rev_Sale" dataDxfId="1258" totalsRowDxfId="899">
      <calculatedColumnFormula>(TabTRADER[[#This Row],[M]]+TabTRADER[[#This Row],[L_Bp]])/ABS(TabTRADER[[#This Row],[L_Bp]])</calculatedColumnFormula>
    </tableColumn>
    <tableColumn id="22" xr3:uid="{FE1A96A1-072C-D74B-83F4-42AA4B053368}" name="Sale_Back_$" totalsRowFunction="sum" dataDxfId="1257" totalsRowDxfId="898" dataCellStyle="Comma">
      <calculatedColumnFormula>_xlfn.XLOOKUP(TabTRADER[[#This Row],[ClickTick]],TabCalc[Ticker],TabCalc[Rev(MinStock)])*(1-Commission)</calculatedColumnFormula>
    </tableColumn>
    <tableColumn id="7" xr3:uid="{E41693E9-FA9D-724E-8373-ADDD00EA5A62}" name="Agiotage" dataDxfId="1256" totalsRowDxfId="897" dataCellStyle="Percent">
      <calculatedColumnFormula>_xlfn.XLOOKUP(TabTRADER[[#This Row],[ClickTick]],TabCalc[Ticker],TabCalc[Agiotage])</calculatedColumnFormula>
    </tableColumn>
    <tableColumn id="42" xr3:uid="{7CC4EE64-3885-9F45-8D66-FF4F8A62FA79}" name="SncOpenYest%" totalsRowFunction="sum" dataDxfId="1255" totalsRowDxfId="896">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54" totalsRowDxfId="895" dataCellStyle="Comma">
      <calculatedColumnFormula>_xlfn.XLOOKUP(TabTRADER[[#This Row],[ClickTick]],[1]!RTData[Ticker_Symbol],[1]!RTData[Currency])</calculatedColumnFormula>
    </tableColumn>
    <tableColumn id="9" xr3:uid="{AB89C7C7-F885-7043-91BD-2951C5C799FB}" name="M" dataDxfId="1253" totalsRowDxfId="894" dataCellStyle="Comma">
      <calculatedColumnFormula>_xlfn.XLOOKUP(TabTRADER[[#This Row],[ClickTick]],TabCalc[Ticker],TabCalc[M])</calculatedColumnFormula>
    </tableColumn>
    <tableColumn id="10" xr3:uid="{A64F3714-DFF9-6546-B45D-A323AD90D7C9}" name="ClickTick" dataDxfId="1252" totalsRowDxfId="893">
      <calculatedColumnFormula>SORTING!B3</calculatedColumnFormula>
    </tableColumn>
    <tableColumn id="54" xr3:uid="{EBDD1601-CCB5-FD46-832E-ACF4F62B8FAF}" name="Target1Y" dataDxfId="1251" totalsRowDxfId="892">
      <calculatedColumnFormula>_xlfn.XLOOKUP(TabTRADER[[#This Row],[ClickTick]],TabCalc[Ticker],TabCalc[Y])</calculatedColumnFormula>
    </tableColumn>
    <tableColumn id="57" xr3:uid="{AC840AB4-C360-B048-B882-E681719F5339}" name="Y_Change" dataDxfId="1250" totalsRowDxfId="891" dataCellStyle="Comma">
      <calculatedColumnFormula>_xlfn.XLOOKUP(TabTRADER[[#This Row],[ClickTick]],[1]!RTData[Ticker_Symbol],[1]!RTData[YTChange])</calculatedColumnFormula>
    </tableColumn>
    <tableColumn id="8" xr3:uid="{C207CF0F-86BD-F844-8AD2-9525818B008A}" name="A" dataDxfId="1249" totalsRowDxfId="890" dataCellStyle="Comma"/>
    <tableColumn id="60" xr3:uid="{455EB8C9-4981-D846-9DA9-DBC931878F14}" name="Ch%_Yest" dataDxfId="1248" totalsRowDxfId="889" dataCellStyle="Comma">
      <calculatedColumnFormula array="1">_xlfn.XLOOKUP(TabTRADER[[#This Row],[ClickTick]],ListTickers,Tab1ChangePercent[Change%19])</calculatedColumnFormula>
    </tableColumn>
    <tableColumn id="52" xr3:uid="{68C8CE58-14CD-8543-8CA6-0BDBACC71AB6}" name="N" dataDxfId="1247" totalsRowDxfId="888">
      <calculatedColumnFormula>_xlfn.XLOOKUP(TabTRADER[[#This Row],[ClickTick]],TabCalc[Ticker],TabCalc[NAfter])</calculatedColumnFormula>
    </tableColumn>
    <tableColumn id="45" xr3:uid="{DAA0B676-9E0E-864B-BD4C-31777526BBCA}" name="Glnow_/M_Value_K$" dataDxfId="1246" totalsRowDxfId="887">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245" totalsRowDxfId="886"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917" totalsRowDxfId="885"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244" totalsRowDxfId="884"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848" totalsRowDxfId="883"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918" totalsRowDxfId="882"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920" totalsRowDxfId="881" dataCellStyle="Comma"/>
    <tableColumn id="71" xr3:uid="{58E37E07-46BA-BE41-BFAD-14A7826B9516}" name="Buy_np" dataDxfId="919" totalsRowDxfId="880"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921" totalsRowDxfId="879" dataCellStyle="Comma"/>
    <tableColumn id="69" xr3:uid="{3CBE5C8F-2442-4141-B77E-2C711B18F46A}" name="Buy_NA" dataDxfId="922" totalsRowDxfId="878" dataCellStyle="Comma"/>
    <tableColumn id="51" xr3:uid="{4AD58491-CF6F-7743-AF1C-D80979FA3C92}" name="GL_R/M_NA" totalsRowFunction="sum" dataDxfId="1243" totalsRowDxfId="877"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242" totalsRowDxfId="876"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241" totalsRowDxfId="875"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40" totalsRowDxfId="87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239" totalsRowDxfId="873" dataCellStyle="Percent">
      <calculatedColumnFormula>_xlfn.XLOOKUP(TabTRADER[[#This Row],[ClickTick]],TabCalc[Ticker],TabCalc[Ann%RevLB])</calculatedColumnFormula>
    </tableColumn>
    <tableColumn id="64" xr3:uid="{67659519-1C42-244B-921B-725F68AA979B}" name="MUP" dataDxfId="1238" totalsRowDxfId="872" dataCellStyle="Percent">
      <calculatedColumnFormula>_xlfn.XLOOKUP(TabTRADER[[#This Row],[ClickTick]],TabCalc[Ticker],TabCalc[Up20])</calculatedColumnFormula>
    </tableColumn>
    <tableColumn id="62" xr3:uid="{BD8F261A-D478-8F4A-BEDF-C53705997463}" name="vs.LBt%" dataDxfId="1237" totalsRowDxfId="871"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236" totalsRowDxfId="87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235" totalsRowDxfId="869"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234" totalsRowDxfId="868"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233" totalsRowDxfId="867"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232" totalsRowDxfId="866"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231" totalsRowDxfId="865">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230" totalsRowDxfId="86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229" totalsRowDxfId="863" dataCellStyle="Comma">
      <calculatedColumnFormula>_xlfn.XLOOKUP(TabTRADER[[#This Row],[ClickTick]],TabCalc[Ticker],TabCalc[L_Sn])</calculatedColumnFormula>
    </tableColumn>
    <tableColumn id="32" xr3:uid="{089D5B01-CA85-1A4E-8FB3-81A40C89B0F9}" name="L_Sp" dataDxfId="1228" totalsRowDxfId="862" dataCellStyle="Comma">
      <calculatedColumnFormula>_xlfn.XLOOKUP(TabTRADER[[#This Row],[ClickTick]],TabCalc[Ticker],TabCalc[L_Sp])</calculatedColumnFormula>
    </tableColumn>
    <tableColumn id="23" xr3:uid="{A3EEAFE0-9CBA-FC42-8ECA-46F817BA644B}" name="Rev_Buy" dataDxfId="1227" totalsRowDxfId="861">
      <calculatedColumnFormula>-IFERROR((TabTRADER[[#This Row],[M]]-TabTRADER[[#This Row],[L_Sp]])/TabTRADER[[#This Row],[L_Sp]],0)</calculatedColumnFormula>
    </tableColumn>
    <tableColumn id="24" xr3:uid="{3F91613F-AC29-AB41-B5A5-812FE6F84343}" name="Buy_Back" totalsRowFunction="sum" dataDxfId="1226" totalsRowDxfId="860" dataCellStyle="Comma">
      <calculatedColumnFormula>TabTRADER[[#This Row],[L_Sn]]*(TabTRADER[[#This Row],[M]]-TabTRADER[[#This Row],[L_Sp]])*(1-Commission)*TabTRADER[[#This Row],[Scale]]</calculatedColumnFormula>
    </tableColumn>
    <tableColumn id="34" xr3:uid="{C0AAEF90-D448-6047-B6DE-CB0FE45089CF}" name="Rev_B@Y" totalsRowFunction="max" dataDxfId="1225" totalsRowDxfId="859">
      <calculatedColumnFormula>TabTRADER[[#This Row],[L_Sn]]*(TabTRADER[[#This Row],[Agiotage]]-TabTRADER[[#This Row],[M]])/(TabTRADER[[#This Row],[L_Bn]]*TabTRADER[[#This Row],[M]])</calculatedColumnFormula>
    </tableColumn>
    <tableColumn id="25" xr3:uid="{AAE29823-FB0F-F640-9407-FB84AE6E64B6}" name="TakeGain_A" dataDxfId="1224" totalsRowDxfId="858">
      <calculatedColumnFormula>IFERROR((TabTRADER[[#This Row],[M]]-TabTRADER[[#This Row],[A]])/TabTRADER[[#This Row],[A]],0)</calculatedColumnFormula>
    </tableColumn>
    <tableColumn id="26" xr3:uid="{7550FC06-5A93-6F46-B561-83A49DA6DDC1}" name="Alln*M-A:GL$" dataDxfId="1223" totalsRowDxfId="857"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222" totalsRowDxfId="856" dataCellStyle="Comma"/>
    <tableColumn id="49" xr3:uid="{744FF3A2-F5E4-9545-B57B-D8CDE6F502E1}" name="MinB/M" dataDxfId="1221" totalsRowDxfId="855" dataCellStyle="Comma"/>
    <tableColumn id="28" xr3:uid="{B960CEB6-2522-4147-8EDC-C07732CFB8E5}" name="Tick_M_A" dataDxfId="1220" totalsRowDxfId="854">
      <calculatedColumnFormula>TabTRADER[[#This Row],[ClickTick]]&amp;": "&amp;_xlfn.XLOOKUP(TabTRADER[[#This Row],[ClickTick]],TabCalc[Ticker],TabCalc[Pile?])</calculatedColumnFormula>
    </tableColumn>
    <tableColumn id="29" xr3:uid="{16DF2913-98AD-B246-8118-794256FA3500}" name="Status" totalsRowFunction="count" dataDxfId="1219" totalsRowDxfId="853"/>
    <tableColumn id="35" xr3:uid="{F14A80AE-E62C-DF48-99D4-9293058E44B1}" name="Code" dataDxfId="1218" totalsRowDxfId="852">
      <calculatedColumnFormula array="1">_xlfn.TEXTJOIN("",,INDEX({"M","A","Y"}, _xlfn.SORTBY({1,2,3}, -CHOOSE({1,2,3}, TabTRADER[[#This Row],[M]], TabTRADER[[#This Row],[A]], TabTRADER[[#This Row],[Agiotage]]))))</calculatedColumnFormula>
    </tableColumn>
    <tableColumn id="37" xr3:uid="{E6B8B070-0576-C54E-8049-42AD03CF00A9}" name="TonM" dataDxfId="1217" totalsRowDxfId="851">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216">
      <calculatedColumnFormula>TabTRADER[[#This Row],[L_Sn]]*TabTRADER[[#This Row],[L_Sp]]+TabTRADER[[#This Row],[SellMore]]*TabTRADER[[#This Row],[M]]</calculatedColumnFormula>
    </tableColumn>
    <tableColumn id="39" xr3:uid="{493C574C-1BCF-3241-AFCD-2265A016AB75}" name="SellMore" dataDxfId="1215"/>
    <tableColumn id="40" xr3:uid="{A99302DF-FBDC-D545-91AF-29D9F0C0AE01}" name="NoStock" dataDxfId="1214" dataCellStyle="Percent"/>
    <tableColumn id="41" xr3:uid="{877B67EB-D7DA-554B-951C-D198CA8535FE}" name="HOLD" dataDxfId="1213" totalsRowDxfId="850">
      <calculatedColumnFormula>TabTRADER[[#This Row],[ReBuy]]/(TabTRADER[[#This Row],[L_Sn]]+TabTRADER[[#This Row],[SellMore]])</calculatedColumnFormula>
    </tableColumn>
    <tableColumn id="43" xr3:uid="{92F17730-71E8-AE49-A350-B41610408C9D}" name="Column7" dataDxfId="121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211">
      <calculatedColumnFormula>(TabTRADER[[#This Row],[M]]-TabTRADER[[#This Row],[Agiotage]])/(TabTRADER[[#This Row],[M]]-TabTRADER[[#This Row],[A]])-1</calculatedColumnFormula>
    </tableColumn>
    <tableColumn id="68" xr3:uid="{09E388EE-11E8-EE40-AFDA-665C399A4A38}" name="index" dataDxfId="1210" totalsRowDxfId="849">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209" tableBorderDxfId="1208">
  <autoFilter ref="B3:JZ36" xr:uid="{B9FDB8E1-C2D8-CA44-9290-EA3B066D98B2}"/>
  <tableColumns count="285">
    <tableColumn id="1" xr3:uid="{4F3C6718-1B2B-FE44-B8C7-4CA3C7D81539}" name="AAPL" totalsRowFunction="sum" dataDxfId="1207" totalsRowDxfId="384" dataCellStyle="Comma">
      <calculatedColumnFormula>C4*(_xlfn.XLOOKUP(B$3,TabCalc[Ticker],TabCalc[M])+D4)</calculatedColumnFormula>
    </tableColumn>
    <tableColumn id="2" xr3:uid="{FF2983F9-BF22-2A43-A1DE-D6A2929E69C2}" name="AAPL1" totalsRowFunction="sum" dataDxfId="1206" totalsRowDxfId="383" dataCellStyle="Comma"/>
    <tableColumn id="3" xr3:uid="{AE90608B-5D45-834A-9CEC-916B02A0BF70}" name="AAPL2" totalsRowFunction="average" dataDxfId="1205" totalsRowDxfId="382" dataCellStyle="Comma"/>
    <tableColumn id="4" xr3:uid="{4B747254-4228-9644-99B3-FF68845A1767}" name="ADEA" totalsRowFunction="sum" dataDxfId="1204" totalsRowDxfId="381" dataCellStyle="Comma">
      <calculatedColumnFormula>F4*(_xlfn.XLOOKUP(E$3,TabCalc[Ticker],TabCalc[M])+G4)</calculatedColumnFormula>
    </tableColumn>
    <tableColumn id="5" xr3:uid="{A192C7BC-8A1A-024C-AEFD-A4B09613ABCA}" name="ADEA1" totalsRowFunction="sum" dataDxfId="1203" totalsRowDxfId="380" dataCellStyle="Comma"/>
    <tableColumn id="6" xr3:uid="{86DBBBB8-C822-A042-882E-DAF1F6E7F1A9}" name="ADEA2" totalsRowFunction="average" dataDxfId="1202" totalsRowDxfId="379" dataCellStyle="Comma"/>
    <tableColumn id="7" xr3:uid="{CDB0D2D9-A20E-9F44-855D-B737E27A8610}" name="AET" totalsRowFunction="sum" dataDxfId="1201" totalsRowDxfId="378" dataCellStyle="Comma">
      <calculatedColumnFormula>I4*(_xlfn.XLOOKUP(H$3,TabCalc[Ticker],TabCalc[M])+J4)</calculatedColumnFormula>
    </tableColumn>
    <tableColumn id="8" xr3:uid="{F7C57E98-EFA4-264D-A1A8-5E18578768AC}" name="AET1" totalsRowFunction="sum" dataDxfId="1200" totalsRowDxfId="377" dataCellStyle="Comma"/>
    <tableColumn id="9" xr3:uid="{5E45A015-732A-FE4C-B729-DE274A6016E0}" name="AET2" totalsRowFunction="average" dataDxfId="1199" totalsRowDxfId="376" dataCellStyle="Comma"/>
    <tableColumn id="10" xr3:uid="{29B6658B-8137-294C-BDFD-629EF915B030}" name="AMZN" totalsRowFunction="sum" dataDxfId="1198" totalsRowDxfId="375" dataCellStyle="Comma">
      <calculatedColumnFormula>L4*(_xlfn.XLOOKUP(K$3,TabCalc[Ticker],TabCalc[M])+M4)</calculatedColumnFormula>
    </tableColumn>
    <tableColumn id="11" xr3:uid="{D51515D0-AD0A-7042-83F6-2930DDECDC82}" name="AMZN1" totalsRowFunction="sum" dataDxfId="1197" totalsRowDxfId="374" dataCellStyle="Comma"/>
    <tableColumn id="12" xr3:uid="{D6411F6F-1618-5046-A24E-F795B967A62E}" name="AMZN2" totalsRowFunction="average" dataDxfId="1196" totalsRowDxfId="373" dataCellStyle="Comma"/>
    <tableColumn id="13" xr3:uid="{8C7D245B-EC8F-414A-AE20-9F53131FF92C}" name="ALDNE" totalsRowFunction="sum" dataDxfId="1195" totalsRowDxfId="372" dataCellStyle="Comma">
      <calculatedColumnFormula>O4*(_xlfn.XLOOKUP(N$3,TabCalc[Ticker],TabCalc[M])+P4)</calculatedColumnFormula>
    </tableColumn>
    <tableColumn id="14" xr3:uid="{9A5ACEE4-9677-974E-BBC5-32C8CE678401}" name="ALDNE1" totalsRowFunction="sum" dataDxfId="1194" totalsRowDxfId="371" dataCellStyle="Comma"/>
    <tableColumn id="15" xr3:uid="{C9CC9906-076E-B542-90B7-A75EAA4C486F}" name="ALDNE2" totalsRowFunction="average" dataDxfId="1193" totalsRowDxfId="370" dataCellStyle="Comma"/>
    <tableColumn id="16" xr3:uid="{04CB329C-3089-0945-9AC7-48EFD8C7E2D0}" name="ASML" totalsRowFunction="sum" dataDxfId="1192" totalsRowDxfId="369" dataCellStyle="Comma">
      <calculatedColumnFormula>R4*(_xlfn.XLOOKUP(Q$3,TabCalc[Ticker],TabCalc[M])+S4)</calculatedColumnFormula>
    </tableColumn>
    <tableColumn id="17" xr3:uid="{B77296A8-A666-6444-97C5-8C071857CF23}" name="ASML1" totalsRowFunction="sum" dataDxfId="1191" totalsRowDxfId="368" dataCellStyle="Comma"/>
    <tableColumn id="18" xr3:uid="{83202C9D-48DB-5B48-B948-26C6A8D48AB1}" name="ASML2" totalsRowFunction="average" dataDxfId="1190" totalsRowDxfId="367" dataCellStyle="Comma"/>
    <tableColumn id="19" xr3:uid="{FB5345B6-A211-DB42-A1E9-A005590036FF}" name="AVGO" dataDxfId="1189" totalsRowDxfId="366" dataCellStyle="Comma">
      <calculatedColumnFormula>U4*(_xlfn.XLOOKUP(T$3,TabCalc[Ticker],TabCalc[M])+V4)</calculatedColumnFormula>
    </tableColumn>
    <tableColumn id="20" xr3:uid="{68D705CA-90AF-6242-9C88-DFDD951676B9}" name="AVGO1" dataDxfId="1188" totalsRowDxfId="365" dataCellStyle="Comma"/>
    <tableColumn id="21" xr3:uid="{C5D19C38-801A-6A46-8BA6-8B94CC71900F}" name="AVGO2" dataDxfId="1187" totalsRowDxfId="364" dataCellStyle="Comma"/>
    <tableColumn id="22" xr3:uid="{A277A45B-54A4-0A4D-A9D7-28389A195826}" name="AZN" dataDxfId="1186" totalsRowDxfId="363" dataCellStyle="Comma">
      <calculatedColumnFormula>X4*(_xlfn.XLOOKUP(W$3,TabCalc[Ticker],TabCalc[M])+Y4)</calculatedColumnFormula>
    </tableColumn>
    <tableColumn id="23" xr3:uid="{92B99FAD-1108-734D-8297-53766E839787}" name="AZN1" dataDxfId="1185" totalsRowDxfId="362" dataCellStyle="Comma"/>
    <tableColumn id="24" xr3:uid="{82125733-91A0-0E43-98ED-EE5820A40A2D}" name="AZN2" dataDxfId="1184" totalsRowDxfId="361" dataCellStyle="Comma"/>
    <tableColumn id="25" xr3:uid="{11C1CFCE-DD1E-034E-9F0B-6EAC1073C537}" name="BLDP" dataDxfId="1183" totalsRowDxfId="360" dataCellStyle="Comma">
      <calculatedColumnFormula>AA4*(_xlfn.XLOOKUP(Z$3,TabCalc[Ticker],TabCalc[M])+AB4)</calculatedColumnFormula>
    </tableColumn>
    <tableColumn id="26" xr3:uid="{360D253A-CA28-5E4D-B955-B8406C4A5F9E}" name="BLDP1" dataDxfId="1182" totalsRowDxfId="359" dataCellStyle="Comma"/>
    <tableColumn id="27" xr3:uid="{78BB3D99-F937-4F43-8875-B7E23A6FA32B}" name="BLDP2" dataDxfId="1181" totalsRowDxfId="358" dataCellStyle="Comma"/>
    <tableColumn id="28" xr3:uid="{C59C5AD3-A4D8-7B4F-83F9-EFA750C2D5EB}" name="BMRA" dataDxfId="1180" totalsRowDxfId="357" dataCellStyle="Comma">
      <calculatedColumnFormula>AD4*(_xlfn.XLOOKUP(AC$3,TabCalc[Ticker],TabCalc[M])+AE4)</calculatedColumnFormula>
    </tableColumn>
    <tableColumn id="29" xr3:uid="{30176083-A0E5-FE4E-8CA3-9FF85C53DAA0}" name="BMRA1" dataDxfId="1179" totalsRowDxfId="356" dataCellStyle="Comma"/>
    <tableColumn id="30" xr3:uid="{157B3467-E16E-6B4C-B0AC-345A122E272E}" name="BMRA2" dataDxfId="1178" totalsRowDxfId="355" dataCellStyle="Comma"/>
    <tableColumn id="31" xr3:uid="{09259404-461E-4B42-97D7-BC216348265E}" name="C" dataDxfId="1177" totalsRowDxfId="354" dataCellStyle="Comma">
      <calculatedColumnFormula>AG4*(_xlfn.XLOOKUP(AF$3,TabCalc[Ticker],TabCalc[M])+AH4)</calculatedColumnFormula>
    </tableColumn>
    <tableColumn id="32" xr3:uid="{C2842856-FA06-F241-9877-F4F2A22D62C0}" name="C1" dataDxfId="1176" totalsRowDxfId="353" dataCellStyle="Comma"/>
    <tableColumn id="33" xr3:uid="{CE4D0E24-6414-C94A-9600-A11AABD3BC40}" name="C2" dataDxfId="1175" totalsRowDxfId="352" dataCellStyle="Comma"/>
    <tableColumn id="34" xr3:uid="{078D17E2-A2D5-3D4D-B742-157B8CB3F0BA}" name="CSCO" dataDxfId="1174" totalsRowDxfId="351" dataCellStyle="Comma">
      <calculatedColumnFormula>AJ4*(_xlfn.XLOOKUP(AI$3,TabCalc[Ticker],TabCalc[M])+AK4)</calculatedColumnFormula>
    </tableColumn>
    <tableColumn id="35" xr3:uid="{DA4CCFB4-3785-A448-BD12-B24CFFE15100}" name="CSCO1" dataDxfId="1173" totalsRowDxfId="350" dataCellStyle="Comma"/>
    <tableColumn id="36" xr3:uid="{706D3649-B8D9-CB46-85BB-2503E26E2C17}" name="CSCO2" dataDxfId="1172" totalsRowDxfId="349" dataCellStyle="Comma"/>
    <tableColumn id="37" xr3:uid="{C664F6F7-12B5-6842-8880-53DF3553EBE5}" name="CVS" dataDxfId="1171" totalsRowDxfId="348" dataCellStyle="Comma">
      <calculatedColumnFormula>AM4*(_xlfn.XLOOKUP(AL$3,TabCalc[Ticker],TabCalc[M])+AN4)</calculatedColumnFormula>
    </tableColumn>
    <tableColumn id="38" xr3:uid="{4661F2A7-EF10-8F47-A857-292ADCBC9FD1}" name="CVS1" dataDxfId="1170" totalsRowDxfId="347" dataCellStyle="Comma"/>
    <tableColumn id="39" xr3:uid="{846CEC17-7EC7-E84E-B199-0C0E8960419B}" name="CVS2" dataDxfId="1169" totalsRowDxfId="346" dataCellStyle="Comma"/>
    <tableColumn id="40" xr3:uid="{4DCD0661-9DF9-CE49-90F9-D694D57AE82F}" name="DDD" dataDxfId="1168" totalsRowDxfId="345" dataCellStyle="Comma">
      <calculatedColumnFormula>AP4*(_xlfn.XLOOKUP(AO$3,TabCalc[Ticker],TabCalc[M])+AQ4)</calculatedColumnFormula>
    </tableColumn>
    <tableColumn id="41" xr3:uid="{65C42C47-BEEF-5A43-8793-34D0816F3BC5}" name="DDD1" dataDxfId="1167" totalsRowDxfId="344" dataCellStyle="Comma"/>
    <tableColumn id="42" xr3:uid="{3B8ABE3C-1DCC-6A4B-970C-E21CDF07AC21}" name="DDD2" dataDxfId="1166" totalsRowDxfId="343" dataCellStyle="Comma"/>
    <tableColumn id="43" xr3:uid="{1569A28F-F511-5C4D-8DD6-30ACA757E7E7}" name="DIS" dataDxfId="1165" totalsRowDxfId="342" dataCellStyle="Comma">
      <calculatedColumnFormula>AS4*(_xlfn.XLOOKUP(AR$3,TabCalc[Ticker],TabCalc[M])+AT4)</calculatedColumnFormula>
    </tableColumn>
    <tableColumn id="44" xr3:uid="{E403B095-56DF-0641-9062-C7B3671154B2}" name="DIS1" dataDxfId="1164" totalsRowDxfId="341" dataCellStyle="Comma"/>
    <tableColumn id="45" xr3:uid="{8DFBDE8E-AC27-7A42-BE30-25EF0C39ED2D}" name="DIS2" dataDxfId="1163" totalsRowDxfId="340" dataCellStyle="Comma"/>
    <tableColumn id="46" xr3:uid="{6046D983-09F2-8342-B55E-38DC94662758}" name="DSY" dataDxfId="1162" totalsRowDxfId="339" dataCellStyle="Comma">
      <calculatedColumnFormula>AV4*(_xlfn.XLOOKUP(AU$3,TabCalc[Ticker],TabCalc[M])+AW4)</calculatedColumnFormula>
    </tableColumn>
    <tableColumn id="47" xr3:uid="{F8D640E4-7B06-4C41-8CCD-2056E9C5A036}" name="DSY1" dataDxfId="1161" totalsRowDxfId="338" dataCellStyle="Comma"/>
    <tableColumn id="48" xr3:uid="{B16CF993-FFAD-8348-9062-209D2EB1063C}" name="DSY2" dataDxfId="1160" totalsRowDxfId="337" dataCellStyle="Comma"/>
    <tableColumn id="49" xr3:uid="{16299194-B209-E04F-B83E-22E206A94209}" name="DVA" dataDxfId="1159" totalsRowDxfId="336" dataCellStyle="Comma">
      <calculatedColumnFormula>AY4*(_xlfn.XLOOKUP(AX$3,TabCalc[Ticker],TabCalc[M])+AZ4)</calculatedColumnFormula>
    </tableColumn>
    <tableColumn id="50" xr3:uid="{B0D37179-E335-0D45-9DAC-63F72DFDB690}" name="DVA1" dataDxfId="1158" totalsRowDxfId="335" dataCellStyle="Comma"/>
    <tableColumn id="51" xr3:uid="{4A45E220-F558-E14A-9111-D79E6AEE9F87}" name="DVA2" dataDxfId="1157" totalsRowDxfId="334" dataCellStyle="Comma"/>
    <tableColumn id="52" xr3:uid="{5FE7A652-62D3-034A-85CF-95616062006C}" name="DXC" dataDxfId="1156" totalsRowDxfId="333" dataCellStyle="Comma">
      <calculatedColumnFormula>BB4*(_xlfn.XLOOKUP(BA$3,TabCalc[Ticker],TabCalc[M])+BC4)</calculatedColumnFormula>
    </tableColumn>
    <tableColumn id="53" xr3:uid="{83D50AE1-D96C-5A4F-BBB5-435FC1C1CDCD}" name="DXC1" dataDxfId="1155" totalsRowDxfId="332" dataCellStyle="Comma"/>
    <tableColumn id="54" xr3:uid="{FD007891-17F4-544B-A18C-7CF33EC95A98}" name="DXC2" dataDxfId="1154" totalsRowDxfId="331" dataCellStyle="Comma"/>
    <tableColumn id="55" xr3:uid="{9AD98B59-186F-4645-B06F-1EFB866D9D3A}" name="EOAN" dataDxfId="1153" totalsRowDxfId="330" dataCellStyle="Comma">
      <calculatedColumnFormula>BE4*(_xlfn.XLOOKUP(BD$3,TabCalc[Ticker],TabCalc[M])+BF4)</calculatedColumnFormula>
    </tableColumn>
    <tableColumn id="56" xr3:uid="{2C37859C-05A6-2F46-A430-12020E97CDDA}" name="EOAN1" dataDxfId="1152" totalsRowDxfId="329" dataCellStyle="Comma"/>
    <tableColumn id="57" xr3:uid="{39A52E6F-F4D8-0A42-B6F4-7E059D490412}" name="EOAN2" dataDxfId="1151" totalsRowDxfId="328" dataCellStyle="Comma"/>
    <tableColumn id="58" xr3:uid="{7BBECE56-3D92-2F42-9FC8-DB87EB6560AC}" name="EPIX" dataDxfId="1150" totalsRowDxfId="327" dataCellStyle="Comma">
      <calculatedColumnFormula>BH4*(_xlfn.XLOOKUP(BG$3,TabCalc[Ticker],TabCalc[M])+BI4)</calculatedColumnFormula>
    </tableColumn>
    <tableColumn id="59" xr3:uid="{334321B6-C136-5045-B0D8-C45B5968E1F4}" name="EPIX1" dataDxfId="1149" totalsRowDxfId="326" dataCellStyle="Comma"/>
    <tableColumn id="60" xr3:uid="{65990670-CFEB-7B48-9CA3-1AA957BC261E}" name="EPIX2" dataDxfId="1148" totalsRowDxfId="325" dataCellStyle="Comma"/>
    <tableColumn id="61" xr3:uid="{336FC4A6-72E6-AD47-BB46-577B146714F1}" name="GM" dataDxfId="1147" totalsRowDxfId="324" dataCellStyle="Comma">
      <calculatedColumnFormula>BK4*(_xlfn.XLOOKUP(BJ$3,TabCalc[Ticker],TabCalc[M])+BL4)</calculatedColumnFormula>
    </tableColumn>
    <tableColumn id="62" xr3:uid="{C4B9154B-A497-C746-A22E-268498C355B1}" name="GM1" dataDxfId="1146" totalsRowDxfId="323" dataCellStyle="Comma"/>
    <tableColumn id="63" xr3:uid="{533CB1C3-2006-3A44-82D6-50E2F60B1390}" name="GM2" dataDxfId="1145" totalsRowDxfId="322" dataCellStyle="Comma"/>
    <tableColumn id="64" xr3:uid="{64C92ADD-B441-A54B-B34F-ACC0AAA55A6D}" name="HPE" dataDxfId="1144" totalsRowDxfId="321" dataCellStyle="Comma">
      <calculatedColumnFormula>BN4*(_xlfn.XLOOKUP(BM$3,TabCalc[Ticker],TabCalc[M])+BO4)</calculatedColumnFormula>
    </tableColumn>
    <tableColumn id="65" xr3:uid="{DDC3C698-57C9-8E40-9B44-03AEF5E2D33E}" name="HPE1" dataDxfId="1143" totalsRowDxfId="320" dataCellStyle="Comma"/>
    <tableColumn id="66" xr3:uid="{FE47C51F-A166-3D4F-B502-DB6D6F219911}" name="HPE2" dataDxfId="1142" totalsRowDxfId="319" dataCellStyle="Comma"/>
    <tableColumn id="67" xr3:uid="{17E23500-7942-B64E-82CA-F7883926C605}" name="HPQ" dataDxfId="1141" totalsRowDxfId="318" dataCellStyle="Comma">
      <calculatedColumnFormula>BQ4*(_xlfn.XLOOKUP(BP$3,TabCalc[Ticker],TabCalc[M])+BR4)</calculatedColumnFormula>
    </tableColumn>
    <tableColumn id="68" xr3:uid="{CA289335-17CB-674A-8A96-84F9C9BFB456}" name="HPQ1" dataDxfId="1140" totalsRowDxfId="317" dataCellStyle="Comma"/>
    <tableColumn id="69" xr3:uid="{D3EAC5FA-188A-F74E-956B-23A739D82BE2}" name="HPQ2" dataDxfId="1139" totalsRowDxfId="316" dataCellStyle="Comma"/>
    <tableColumn id="70" xr3:uid="{F794EEC2-757B-0B4C-A97F-488A63CF054F}" name="IAG" dataDxfId="1138" totalsRowDxfId="315" dataCellStyle="Comma">
      <calculatedColumnFormula>BT4*(_xlfn.XLOOKUP(BS$3,TabCalc[Ticker],TabCalc[M])+BU4)</calculatedColumnFormula>
    </tableColumn>
    <tableColumn id="71" xr3:uid="{C8D9C546-3E1E-3944-8CAE-5102C0B702A7}" name="IAG1" dataDxfId="1137" totalsRowDxfId="314" dataCellStyle="Comma"/>
    <tableColumn id="72" xr3:uid="{2711F9B5-1A47-ED40-91E3-53338F3897E5}" name="IAG2" dataDxfId="1136" totalsRowDxfId="313" dataCellStyle="Comma"/>
    <tableColumn id="73" xr3:uid="{F5FC5392-4456-AB4B-8BA4-9DBAE831115C}" name="KR" dataDxfId="1135" totalsRowDxfId="312" dataCellStyle="Comma">
      <calculatedColumnFormula>BW4*(_xlfn.XLOOKUP(BV$3,TabCalc[Ticker],TabCalc[M])+BX4)</calculatedColumnFormula>
    </tableColumn>
    <tableColumn id="74" xr3:uid="{777F8583-92B7-8F41-859A-79C3721421C1}" name="KR1" dataDxfId="1134" totalsRowDxfId="311" dataCellStyle="Comma"/>
    <tableColumn id="75" xr3:uid="{E99A7506-8017-FC4E-9CA2-52E6F7C05881}" name="KR2" dataDxfId="1133" totalsRowDxfId="310" dataCellStyle="Comma"/>
    <tableColumn id="76" xr3:uid="{920BB91C-1886-7148-98B1-FDFF98736F14}" name="LNSR" dataDxfId="1132" totalsRowDxfId="309" dataCellStyle="Comma">
      <calculatedColumnFormula>BZ4*(_xlfn.XLOOKUP(BY$3,TabCalc[Ticker],TabCalc[M])+CA4)</calculatedColumnFormula>
    </tableColumn>
    <tableColumn id="77" xr3:uid="{0CA43B86-716C-254E-860A-62C5E5FF6526}" name="LNSR1" dataDxfId="1131" totalsRowDxfId="308" dataCellStyle="Comma"/>
    <tableColumn id="78" xr3:uid="{7AEF95B8-712B-F642-87C9-6A9501098ED9}" name="LNSR2" dataDxfId="1130" totalsRowDxfId="307" dataCellStyle="Comma"/>
    <tableColumn id="79" xr3:uid="{3CDEC1EC-7A39-7C41-A8F5-6DD96DF561A2}" name="LUMN" dataDxfId="1129" totalsRowDxfId="306" dataCellStyle="Comma">
      <calculatedColumnFormula>CC4*(_xlfn.XLOOKUP(CB$3,TabCalc[Ticker],TabCalc[M])+CD4)</calculatedColumnFormula>
    </tableColumn>
    <tableColumn id="80" xr3:uid="{075ED823-73A8-3140-A535-39CB4912DA86}" name="LUMN1" dataDxfId="1128" totalsRowDxfId="305" dataCellStyle="Comma"/>
    <tableColumn id="81" xr3:uid="{EF42D74A-4522-2241-832E-A1E70E9145F9}" name="LUMN2" dataDxfId="1127" totalsRowDxfId="304" dataCellStyle="Comma"/>
    <tableColumn id="82" xr3:uid="{FAD1EB90-EE7E-7E4D-8F6A-D530C21860C4}" name="MRNA" dataDxfId="1126" totalsRowDxfId="303" dataCellStyle="Comma">
      <calculatedColumnFormula>CF4*(_xlfn.XLOOKUP(CE$3,TabCalc[Ticker],TabCalc[M])+CG4)</calculatedColumnFormula>
    </tableColumn>
    <tableColumn id="83" xr3:uid="{E96325F3-3FFB-4945-97DF-3E0B895B32BA}" name="MRNA1" dataDxfId="1125" totalsRowDxfId="302" dataCellStyle="Comma"/>
    <tableColumn id="84" xr3:uid="{38C36CD7-FFF3-B94D-BBA2-E3FCEDD9E2C9}" name="MRNA2" dataDxfId="1124" totalsRowDxfId="301" dataCellStyle="Comma"/>
    <tableColumn id="85" xr3:uid="{D3F7B5A1-68CB-DD47-95A2-C2A2F4FEB49A}" name="MSFT" dataDxfId="1123" totalsRowDxfId="300" dataCellStyle="Comma">
      <calculatedColumnFormula>CI4*(_xlfn.XLOOKUP(CH$3,TabCalc[Ticker],TabCalc[M])+CJ4)</calculatedColumnFormula>
    </tableColumn>
    <tableColumn id="86" xr3:uid="{498E253A-4894-CC4A-8BDB-D493B847ADEE}" name="MSFT1" dataDxfId="1122" totalsRowDxfId="299" dataCellStyle="Comma"/>
    <tableColumn id="87" xr3:uid="{6B7745C3-9073-9F42-86E9-6E29F372AB19}" name="MSFT2" dataDxfId="1121" totalsRowDxfId="298" dataCellStyle="Comma"/>
    <tableColumn id="88" xr3:uid="{7967BFC4-C0E3-5F41-B5FB-B99F8B1F4F60}" name="NEE" dataDxfId="1120" totalsRowDxfId="297" dataCellStyle="Comma">
      <calculatedColumnFormula>CL4*(_xlfn.XLOOKUP(CK$3,TabCalc[Ticker],TabCalc[M])+CM4)</calculatedColumnFormula>
    </tableColumn>
    <tableColumn id="89" xr3:uid="{E26FAAA2-E84A-664D-A186-5B869A89DE66}" name="NEE1" dataDxfId="1119" totalsRowDxfId="296" dataCellStyle="Comma"/>
    <tableColumn id="90" xr3:uid="{D4457184-AC90-FF46-A98C-28B4FE42662F}" name="NEE2" dataDxfId="1118" totalsRowDxfId="295" dataCellStyle="Comma"/>
    <tableColumn id="91" xr3:uid="{0350E67E-C364-DC45-860A-163A20CB2AF7}" name="NEM" dataDxfId="1117" totalsRowDxfId="294" dataCellStyle="Comma">
      <calculatedColumnFormula>CO4*(_xlfn.XLOOKUP(CN$3,TabCalc[Ticker],TabCalc[M])+CP4)</calculatedColumnFormula>
    </tableColumn>
    <tableColumn id="92" xr3:uid="{CC763123-44C0-0B48-8910-25EBF34C057F}" name="NEM1" dataDxfId="1116" totalsRowDxfId="293" dataCellStyle="Comma"/>
    <tableColumn id="93" xr3:uid="{BC59D84A-BD01-F546-A05F-73A544F2A66B}" name="NEM2" dataDxfId="1115" totalsRowDxfId="292" dataCellStyle="Comma"/>
    <tableColumn id="94" xr3:uid="{01C43689-6564-574E-8C2F-3218C46EED39}" name="NFLX" dataDxfId="1114" totalsRowDxfId="291" dataCellStyle="Comma">
      <calculatedColumnFormula>CR4*(_xlfn.XLOOKUP(CQ$3,TabCalc[Ticker],TabCalc[M])+CS4)</calculatedColumnFormula>
    </tableColumn>
    <tableColumn id="95" xr3:uid="{C61EBA53-FA20-E14E-AC13-AF5A204B1D64}" name="NFLX1" dataDxfId="1113" totalsRowDxfId="290" dataCellStyle="Comma"/>
    <tableColumn id="96" xr3:uid="{528E1A3F-ADF3-A041-AF88-A5D1CBE54694}" name="NFLX2" dataDxfId="1112" totalsRowDxfId="289" dataCellStyle="Comma"/>
    <tableColumn id="97" xr3:uid="{EE8DB3DE-C84A-7142-9DBE-22152BE7F05C}" name="NOTE" dataDxfId="1111" totalsRowDxfId="288" dataCellStyle="Comma">
      <calculatedColumnFormula>CU4*(_xlfn.XLOOKUP(CT$3,TabCalc[Ticker],TabCalc[M])+CV4)</calculatedColumnFormula>
    </tableColumn>
    <tableColumn id="98" xr3:uid="{3EB79190-BE55-FF41-A5B8-89261ABFCCEF}" name="NOTE1" dataDxfId="1110" totalsRowDxfId="287" dataCellStyle="Comma"/>
    <tableColumn id="99" xr3:uid="{C275B362-7AF8-D04D-A60A-29807754C61A}" name="NOTE2" dataDxfId="1109" totalsRowDxfId="286" dataCellStyle="Comma"/>
    <tableColumn id="100" xr3:uid="{84156E29-C75E-1549-93F0-4C22B621E470}" name="PAAS" dataDxfId="1108" totalsRowDxfId="285" dataCellStyle="Comma">
      <calculatedColumnFormula>CX4*(_xlfn.XLOOKUP(CW$3,TabCalc[Ticker],TabCalc[M])+CY4)</calculatedColumnFormula>
    </tableColumn>
    <tableColumn id="101" xr3:uid="{3074A862-D4A8-BC4A-8525-FBE77503EFCE}" name="PAAS1" dataDxfId="1107" totalsRowDxfId="284" dataCellStyle="Comma"/>
    <tableColumn id="102" xr3:uid="{B774B9E2-AFA0-CC40-8434-1E869C710642}" name="PAAS2" dataDxfId="1106" totalsRowDxfId="283" dataCellStyle="Comma"/>
    <tableColumn id="103" xr3:uid="{F59B1991-C44E-1842-B560-FD6BA7BF65E1}" name="PROF" dataDxfId="1105" totalsRowDxfId="282" dataCellStyle="Comma">
      <calculatedColumnFormula>DA4*(_xlfn.XLOOKUP(CZ$3,TabCalc[Ticker],TabCalc[M])+DB4)</calculatedColumnFormula>
    </tableColumn>
    <tableColumn id="104" xr3:uid="{7A648921-782B-094B-9AC1-9A3182FADEE7}" name="PROF1" dataDxfId="1104" totalsRowDxfId="281" dataCellStyle="Comma"/>
    <tableColumn id="105" xr3:uid="{E134CDF6-54A6-104D-A588-BD86FD67040F}" name="PROF2" dataDxfId="1103" totalsRowDxfId="280" dataCellStyle="Comma"/>
    <tableColumn id="106" xr3:uid="{86D65F56-DF53-CC4A-9E19-B529E65F1C75}" name="POET" dataDxfId="1102" totalsRowDxfId="279" dataCellStyle="Comma">
      <calculatedColumnFormula>DD4*(_xlfn.XLOOKUP(DC$3,TabCalc[Ticker],TabCalc[M])+DE4)</calculatedColumnFormula>
    </tableColumn>
    <tableColumn id="107" xr3:uid="{E9280078-06B8-9649-8650-511767770BD3}" name="POET1" dataDxfId="1101" totalsRowDxfId="278" dataCellStyle="Comma"/>
    <tableColumn id="108" xr3:uid="{2E35D0FA-1511-8C47-B29B-8A3751083E79}" name="POET2" dataDxfId="1100" totalsRowDxfId="277" dataCellStyle="Comma"/>
    <tableColumn id="109" xr3:uid="{ACDC3A1B-310F-344D-A25D-EFAF2DA754F5}" name="PW" dataDxfId="1099" totalsRowDxfId="276" dataCellStyle="Comma">
      <calculatedColumnFormula>DG4*(_xlfn.XLOOKUP(DF$3,TabCalc[Ticker],TabCalc[M])+DH4)</calculatedColumnFormula>
    </tableColumn>
    <tableColumn id="110" xr3:uid="{FAEE4FEA-62CA-294D-ABF9-4563064E6BA8}" name="PW1" dataDxfId="1098" totalsRowDxfId="275" dataCellStyle="Comma"/>
    <tableColumn id="111" xr3:uid="{80FF5CFA-8F63-894A-9C56-7A6A804F620F}" name="PW2" dataDxfId="1097" totalsRowDxfId="274" dataCellStyle="Comma"/>
    <tableColumn id="112" xr3:uid="{FE3C1657-D29A-254B-8304-D173720389C1}" name="RIGL" dataDxfId="1096" totalsRowDxfId="273" dataCellStyle="Comma">
      <calculatedColumnFormula>DJ4*(_xlfn.XLOOKUP(DI$3,TabCalc[Ticker],TabCalc[M])+DK4)</calculatedColumnFormula>
    </tableColumn>
    <tableColumn id="113" xr3:uid="{39AEED7D-52C8-8347-BCA2-C8207398A415}" name="RIGL1" dataDxfId="1095" totalsRowDxfId="272" dataCellStyle="Comma"/>
    <tableColumn id="114" xr3:uid="{65A5449B-6191-3848-AAE6-E474979A4826}" name="RIGL2" dataDxfId="1094" totalsRowDxfId="271" dataCellStyle="Comma"/>
    <tableColumn id="115" xr3:uid="{64B37DD2-A420-3A4C-BB41-103D11E44E00}" name="RWE" dataDxfId="1093" totalsRowDxfId="270" dataCellStyle="Comma">
      <calculatedColumnFormula>DM4*(_xlfn.XLOOKUP(DL$3,TabCalc[Ticker],TabCalc[M])+DN4)</calculatedColumnFormula>
    </tableColumn>
    <tableColumn id="116" xr3:uid="{0C8DB87B-3DFF-F849-803F-304BE29ACE6F}" name="RWE1" dataDxfId="1092" totalsRowDxfId="269" dataCellStyle="Comma"/>
    <tableColumn id="117" xr3:uid="{F03B718E-935E-5944-8702-A489484FF2A5}" name="RWE2" dataDxfId="1091" totalsRowDxfId="268" dataCellStyle="Comma"/>
    <tableColumn id="118" xr3:uid="{E81E3112-8486-004F-A62E-9163C465EABC}" name="SAP" dataDxfId="1090" totalsRowDxfId="267" dataCellStyle="Comma">
      <calculatedColumnFormula>DP4*(_xlfn.XLOOKUP(DO$3,TabCalc[Ticker],TabCalc[M])+DQ4)</calculatedColumnFormula>
    </tableColumn>
    <tableColumn id="119" xr3:uid="{DF7A2077-A8B7-B24B-BCC7-9A5CE980BB63}" name="SAP1" dataDxfId="1089" totalsRowDxfId="266" dataCellStyle="Comma"/>
    <tableColumn id="120" xr3:uid="{81BAD1BF-576A-C14A-B5BC-22A810BF9C8B}" name="SAP2" dataDxfId="1088" totalsRowDxfId="265" dataCellStyle="Comma"/>
    <tableColumn id="121" xr3:uid="{F83ADD54-B4F0-BE40-98DA-A3F47F9655A7}" name="SHECY" dataDxfId="1087" totalsRowDxfId="264" dataCellStyle="Comma">
      <calculatedColumnFormula>DS4*(_xlfn.XLOOKUP(DR$3,TabCalc[Ticker],TabCalc[M])+DT4)</calculatedColumnFormula>
    </tableColumn>
    <tableColumn id="122" xr3:uid="{22AC636A-1AE3-5E4B-B841-E385E86CDD56}" name="SHECY1" dataDxfId="1086" totalsRowDxfId="263" dataCellStyle="Comma"/>
    <tableColumn id="123" xr3:uid="{388F1694-2482-C14D-B433-CDD72262C7F2}" name="SHECY2" dataDxfId="1085" totalsRowDxfId="262" dataCellStyle="Comma"/>
    <tableColumn id="124" xr3:uid="{20F10A2E-5921-DF40-8350-2F803C2D284F}" name="SSYS" dataDxfId="1084" totalsRowDxfId="261" dataCellStyle="Comma">
      <calculatedColumnFormula>DV4*(_xlfn.XLOOKUP(DU$3,TabCalc[Ticker],TabCalc[M])+DW4)</calculatedColumnFormula>
    </tableColumn>
    <tableColumn id="125" xr3:uid="{CFB45D49-E59D-E94A-91A9-6D7BFA0DA4BF}" name="SSYS1" dataDxfId="1083" totalsRowDxfId="260" dataCellStyle="Comma"/>
    <tableColumn id="126" xr3:uid="{FBE6F387-DE88-A54B-8EDA-5A7F03478FE9}" name="SSYS2" dataDxfId="1082" totalsRowDxfId="259" dataCellStyle="Comma"/>
    <tableColumn id="127" xr3:uid="{729B6E9F-E8D7-8743-8199-94F998ED5529}" name="TSLA" dataDxfId="1081" totalsRowDxfId="258" dataCellStyle="Comma">
      <calculatedColumnFormula>DY4*(_xlfn.XLOOKUP(DX$3,TabCalc[Ticker],TabCalc[M])+DZ4)</calculatedColumnFormula>
    </tableColumn>
    <tableColumn id="128" xr3:uid="{5FC83869-9BDE-DB42-89C9-A75961A28912}" name="TSLA1" dataDxfId="1080" totalsRowDxfId="257" dataCellStyle="Comma"/>
    <tableColumn id="129" xr3:uid="{7ED7429F-A831-2741-B223-E18CF879D0FF}" name="TSLA2" dataDxfId="1079" totalsRowDxfId="256" dataCellStyle="Comma"/>
    <tableColumn id="130" xr3:uid="{8F2F86A1-AB73-4C45-B6A3-71BCA5A197E9}" name="TSM" dataDxfId="1078" totalsRowDxfId="255" dataCellStyle="Comma">
      <calculatedColumnFormula>EB4*(_xlfn.XLOOKUP(EA$3,TabCalc[Ticker],TabCalc[M])+EC4)</calculatedColumnFormula>
    </tableColumn>
    <tableColumn id="131" xr3:uid="{44F96535-4AB3-654D-9E97-294D66B63AA9}" name="TSM1" dataDxfId="1077" totalsRowDxfId="254" dataCellStyle="Comma"/>
    <tableColumn id="132" xr3:uid="{C9083538-F7CF-244B-BA6D-8F04FACB053E}" name="TSM2" dataDxfId="1076" totalsRowDxfId="253" dataCellStyle="Comma"/>
    <tableColumn id="133" xr3:uid="{FC95878B-E72D-B64D-A477-817226300E96}" name="UN0" dataDxfId="1075" totalsRowDxfId="252" dataCellStyle="Comma">
      <calculatedColumnFormula>EE4*(_xlfn.XLOOKUP(ED$3,TabCalc[Ticker],TabCalc[M])+EF4)</calculatedColumnFormula>
    </tableColumn>
    <tableColumn id="134" xr3:uid="{7E5B9EDF-F393-2448-A152-B30F39B596FD}" name="UN01" dataDxfId="1074" totalsRowDxfId="251" dataCellStyle="Comma"/>
    <tableColumn id="135" xr3:uid="{65FB4079-20B9-BC47-9D99-5CC5FE09BDF5}" name="UN02" dataDxfId="1073" totalsRowDxfId="250" dataCellStyle="Comma"/>
    <tableColumn id="136" xr3:uid="{6D8B7C95-E8BD-CF4E-A0F8-6ACCCE764AF4}" name="UNIT" dataDxfId="1072" totalsRowDxfId="249" dataCellStyle="Comma">
      <calculatedColumnFormula>EH4*(_xlfn.XLOOKUP(EG$3,TabCalc[Ticker],TabCalc[M])+EI4)</calculatedColumnFormula>
    </tableColumn>
    <tableColumn id="137" xr3:uid="{0F1D805F-0864-C14A-9BA6-E30A638F801B}" name="UNIT1" dataDxfId="1071" totalsRowDxfId="248" dataCellStyle="Comma"/>
    <tableColumn id="138" xr3:uid="{8339927D-798A-374E-952D-498E693C2F81}" name="UNIT2" dataDxfId="1070" totalsRowDxfId="247" dataCellStyle="Comma"/>
    <tableColumn id="139" xr3:uid="{E86CE4B2-67C3-E946-99EE-215F9AFBB44B}" name="Free" dataDxfId="1069" totalsRowDxfId="246" dataCellStyle="Comma">
      <calculatedColumnFormula>EK4*(_xlfn.XLOOKUP(EJ$3,TabCalc[Ticker],TabCalc[M])+EL4)</calculatedColumnFormula>
    </tableColumn>
    <tableColumn id="140" xr3:uid="{2A1F7BD6-D7FB-5149-B6B0-D7DE17D011FF}" name="Free1" dataDxfId="1068" totalsRowDxfId="245" dataCellStyle="Comma"/>
    <tableColumn id="141" xr3:uid="{33907480-858B-7E4F-AFC4-0EDC7312C3F7}" name="Free2" dataDxfId="1067" totalsRowDxfId="244" dataCellStyle="Comma"/>
    <tableColumn id="142" xr3:uid="{00D1CCC4-1D2A-0345-A1E0-9F720EA238C8}" name="VLVLY" dataDxfId="1066" totalsRowDxfId="243" dataCellStyle="Comma">
      <calculatedColumnFormula>EN4*(_xlfn.XLOOKUP(EM$3,TabCalc[Ticker],TabCalc[M])+EO4)</calculatedColumnFormula>
    </tableColumn>
    <tableColumn id="143" xr3:uid="{ECF23EF1-8B60-9744-9A10-58CBC82F4625}" name="VLVLY1" dataDxfId="1065" totalsRowDxfId="242" dataCellStyle="Comma"/>
    <tableColumn id="144" xr3:uid="{7004DF05-E0F2-794A-AB5E-B44C42C1B293}" name="VLVLY2" dataDxfId="1064" totalsRowDxfId="241" dataCellStyle="Comma"/>
    <tableColumn id="145" xr3:uid="{41F14CA5-D644-7844-92B5-1CDA6AD1EDBD}" name="VONN" dataDxfId="1063" totalsRowDxfId="240" dataCellStyle="Comma">
      <calculatedColumnFormula>EQ4*(_xlfn.XLOOKUP(EP$3,TabCalc[Ticker],TabCalc[M])+ER4)</calculatedColumnFormula>
    </tableColumn>
    <tableColumn id="146" xr3:uid="{D4CB0390-24B1-184E-9999-820F8A0A3E71}" name="VONN1" dataDxfId="1062" totalsRowDxfId="239" dataCellStyle="Comma"/>
    <tableColumn id="147" xr3:uid="{0F61E6EC-5AA7-4E4E-9881-330A85520104}" name="VONN2" dataDxfId="1061" totalsRowDxfId="238" dataCellStyle="Comma"/>
    <tableColumn id="148" xr3:uid="{42C8BF39-DEFC-3D4D-8A5D-2BA2E330D8D9}" name="VTRS" dataDxfId="1060" totalsRowDxfId="237" dataCellStyle="Comma">
      <calculatedColumnFormula>ET4*(_xlfn.XLOOKUP(ES$3,TabCalc[Ticker],TabCalc[M])+EU4)</calculatedColumnFormula>
    </tableColumn>
    <tableColumn id="149" xr3:uid="{0E05FFE0-E1FD-7241-BD67-7FD0BF47A6E7}" name="VTRS1" dataDxfId="1059" totalsRowDxfId="236" dataCellStyle="Comma"/>
    <tableColumn id="150" xr3:uid="{4D304682-5B3C-9443-A1F2-DD94157006BF}" name="VTRS2" dataDxfId="1058" totalsRowDxfId="235" dataCellStyle="Comma"/>
    <tableColumn id="151" xr3:uid="{6FAB44FC-5959-A841-BE04-05A288B83A96}" name="WBA" dataDxfId="1057" totalsRowDxfId="234" dataCellStyle="Comma">
      <calculatedColumnFormula>EW4*(_xlfn.XLOOKUP(EV$3,TabCalc[Ticker],TabCalc[M])+EX4)</calculatedColumnFormula>
    </tableColumn>
    <tableColumn id="152" xr3:uid="{EB1E6E75-1A3D-F54A-BDAC-B7FB81FAAA76}" name="WBA1" dataDxfId="1056" totalsRowDxfId="233" dataCellStyle="Comma"/>
    <tableColumn id="153" xr3:uid="{0E0D2AAF-3A9E-9B42-B1C7-78FF8512709B}" name="WBA2" dataDxfId="1055" totalsRowDxfId="232"/>
    <tableColumn id="154" xr3:uid="{78C7D213-AD65-A147-B2D4-136490099172}" name="XOM" dataDxfId="1054" totalsRowDxfId="231" dataCellStyle="Comma">
      <calculatedColumnFormula>EZ4*(_xlfn.XLOOKUP(EY$3,TabCalc[Ticker],TabCalc[M])+FA4)</calculatedColumnFormula>
    </tableColumn>
    <tableColumn id="155" xr3:uid="{5FC889AE-E8E8-0C48-B5C2-8A78C0BB67CB}" name="XOM1" dataDxfId="1053" totalsRowDxfId="230" dataCellStyle="Comma"/>
    <tableColumn id="156" xr3:uid="{4431D097-8451-014D-BC06-B1985AD57878}" name="XOM2" dataDxfId="1052" totalsRowDxfId="229"/>
    <tableColumn id="157" xr3:uid="{0E46A2D5-3273-B447-BEED-AE25F7D069CD}" name="XPER" dataDxfId="1051" totalsRowDxfId="228" dataCellStyle="Comma">
      <calculatedColumnFormula>FC4*(_xlfn.XLOOKUP(FB$3,TabCalc[Ticker],TabCalc[M])+FD4)</calculatedColumnFormula>
    </tableColumn>
    <tableColumn id="158" xr3:uid="{E61E2579-C816-774A-B173-ABA6CCC18EE0}" name="XPER1" dataDxfId="1050" totalsRowDxfId="227" dataCellStyle="Comma"/>
    <tableColumn id="159" xr3:uid="{265E885E-1CAF-0748-9DE0-769739590A1B}" name="XPER2" dataDxfId="1049" totalsRowDxfId="226"/>
    <tableColumn id="160" xr3:uid="{3820CAC2-68B6-3748-A506-ADBB9F837618}" name="MVEALDNE" dataDxfId="1048" totalsRowDxfId="225" dataCellStyle="Comma">
      <calculatedColumnFormula>FF4*(_xlfn.XLOOKUP(FE$3,TabCalc[Ticker],TabCalc[M])+FG4)</calculatedColumnFormula>
    </tableColumn>
    <tableColumn id="161" xr3:uid="{A0543065-1D11-C54C-960C-D08B13ADB829}" name="MVEALDNE1" dataDxfId="1047" totalsRowDxfId="224" dataCellStyle="Comma"/>
    <tableColumn id="162" xr3:uid="{BD3314F7-04D1-874A-8549-329C72734F3D}" name="MVEALDNE2" dataDxfId="1046" totalsRowDxfId="223" dataCellStyle="Comma"/>
    <tableColumn id="163" xr3:uid="{C8F49C24-279A-A346-B056-A737A6F85AE9}" name="MVEDDD" dataDxfId="1045" totalsRowDxfId="222" dataCellStyle="Comma">
      <calculatedColumnFormula>FI4*(_xlfn.XLOOKUP(FH$3,TabCalc[Ticker],TabCalc[M])+FJ4)</calculatedColumnFormula>
    </tableColumn>
    <tableColumn id="164" xr3:uid="{B06AB4B5-078A-424C-87F9-13B7C649DD51}" name="MVEDDD1" dataDxfId="1044" totalsRowDxfId="221" dataCellStyle="Comma"/>
    <tableColumn id="165" xr3:uid="{5D1FC6AB-E21E-C246-A0CF-D8247A189BAC}" name="MVEDDD2" dataDxfId="1043" totalsRowDxfId="220" dataCellStyle="Comma"/>
    <tableColumn id="166" xr3:uid="{75E6225D-62D5-4742-AFA8-9736C31E2BFF}" name="MVEDSY" dataDxfId="1042" totalsRowDxfId="219" dataCellStyle="Comma">
      <calculatedColumnFormula>FL4*(_xlfn.XLOOKUP(FK$3,TabCalc[Ticker],TabCalc[M])+FM4)</calculatedColumnFormula>
    </tableColumn>
    <tableColumn id="167" xr3:uid="{966A6923-293E-2444-9A23-5F7BB5A04262}" name="MVEDSY1" dataDxfId="1041" totalsRowDxfId="218" dataCellStyle="Comma"/>
    <tableColumn id="168" xr3:uid="{1118E635-3B19-DB46-9F11-B12BB1E875FC}" name="MVEDSY2" dataDxfId="1040" totalsRowDxfId="217" dataCellStyle="Comma"/>
    <tableColumn id="169" xr3:uid="{2E957AA9-B081-A14E-9108-FF128A790B84}" name="MVEEOAN" dataDxfId="1039" totalsRowDxfId="216" dataCellStyle="Comma">
      <calculatedColumnFormula>FO4*(_xlfn.XLOOKUP(FN$3,TabCalc[Ticker],TabCalc[M])+FP4)</calculatedColumnFormula>
    </tableColumn>
    <tableColumn id="170" xr3:uid="{A0606DA9-0DC0-D14E-94B7-BDC8F26A844B}" name="MVEEOAN1" dataDxfId="1038" totalsRowDxfId="215" dataCellStyle="Comma"/>
    <tableColumn id="171" xr3:uid="{03F498C0-CF20-AC4C-813D-E60D1042341A}" name="MVEEOAN2" dataDxfId="1037" totalsRowDxfId="214" dataCellStyle="Comma"/>
    <tableColumn id="172" xr3:uid="{D4905E0E-6225-7A4B-B4D3-C4A9E8817C59}" name="MVEENI" dataDxfId="1036" totalsRowDxfId="213" dataCellStyle="Comma">
      <calculatedColumnFormula>FR4*(_xlfn.XLOOKUP(FQ$3,TabCalc[Ticker],TabCalc[M])+FS4)</calculatedColumnFormula>
    </tableColumn>
    <tableColumn id="173" xr3:uid="{64B53446-A0B1-8246-B470-E50AB2C5EDC9}" name="MVEENI1" dataDxfId="1035" totalsRowDxfId="212" dataCellStyle="Comma"/>
    <tableColumn id="174" xr3:uid="{1EE87B8D-7646-2748-9950-418A6569C95E}" name="MVEENI2" dataDxfId="1034" totalsRowDxfId="211" dataCellStyle="Comma"/>
    <tableColumn id="175" xr3:uid="{CE13D8FB-3DD0-2D4D-8B70-CBBD6D591004}" name="MVEEPIX" dataDxfId="1033" totalsRowDxfId="210" dataCellStyle="Comma">
      <calculatedColumnFormula>FU4*(_xlfn.XLOOKUP(FT$3,TabCalc[Ticker],TabCalc[M])+FV4)</calculatedColumnFormula>
    </tableColumn>
    <tableColumn id="176" xr3:uid="{9685FEC9-D23A-4A49-A43D-9AFF22AF6B6B}" name="MVEEPIX1" dataDxfId="1032" totalsRowDxfId="209" dataCellStyle="Comma"/>
    <tableColumn id="177" xr3:uid="{DD9AA91E-A700-B044-9B39-2039AD46446A}" name="MVEEPIX2" dataDxfId="1031" totalsRowDxfId="208" dataCellStyle="Comma"/>
    <tableColumn id="178" xr3:uid="{E730A607-73BA-6741-8FD9-2DB67F9B782A}" name="MVEGLE" dataDxfId="1030" totalsRowDxfId="207" dataCellStyle="Comma">
      <calculatedColumnFormula>FX4*(_xlfn.XLOOKUP(FW$3,TabCalc[Ticker],TabCalc[M])+FY4)</calculatedColumnFormula>
    </tableColumn>
    <tableColumn id="179" xr3:uid="{BEB0F207-007F-BD4F-92A0-37F8695434E9}" name="MVEGLE1" dataDxfId="1029" totalsRowDxfId="206" dataCellStyle="Comma"/>
    <tableColumn id="180" xr3:uid="{29F037D3-4405-6543-B349-A70079931FB1}" name="MVEGLE2" dataDxfId="1028" totalsRowDxfId="205" dataCellStyle="Comma"/>
    <tableColumn id="181" xr3:uid="{C8B245DB-DF16-FC4F-931F-E81CB9BBF7B2}" name="MVEORA" dataDxfId="1027" totalsRowDxfId="204" dataCellStyle="Comma">
      <calculatedColumnFormula>GA4*(_xlfn.XLOOKUP(FZ$3,TabCalc[Ticker],TabCalc[M])+GB4)</calculatedColumnFormula>
    </tableColumn>
    <tableColumn id="182" xr3:uid="{D903C307-9791-7445-84DE-4733652E096C}" name="MVEORA1" dataDxfId="1026" totalsRowDxfId="203" dataCellStyle="Comma"/>
    <tableColumn id="183" xr3:uid="{B918E06A-7F74-4B48-9C49-E84E94857CE2}" name="MVEORA2" dataDxfId="1025" totalsRowDxfId="202" dataCellStyle="Comma"/>
    <tableColumn id="184" xr3:uid="{15C75F0C-7812-B844-9CE0-4120E521988E}" name="MVERWE" dataDxfId="1024" totalsRowDxfId="201" dataCellStyle="Comma">
      <calculatedColumnFormula>GD4*(_xlfn.XLOOKUP(GC$3,TabCalc[Ticker],TabCalc[M])+GE4)</calculatedColumnFormula>
    </tableColumn>
    <tableColumn id="185" xr3:uid="{F34D96F3-8856-124C-B582-F166D95DE24E}" name="MVERWE1" dataDxfId="1023" totalsRowDxfId="200" dataCellStyle="Comma"/>
    <tableColumn id="186" xr3:uid="{7C6D5177-8805-364D-96E9-808F000002BE}" name="MVERWE2" dataDxfId="1022" totalsRowDxfId="199" dataCellStyle="Comma"/>
    <tableColumn id="187" xr3:uid="{6FDB4658-5ED5-3B4F-9594-F34A6C55A047}" name="MVESAP" dataDxfId="1021" totalsRowDxfId="198" dataCellStyle="Comma">
      <calculatedColumnFormula>GG4*(_xlfn.XLOOKUP(GF$3,TabCalc[Ticker],TabCalc[M])+GH4)</calculatedColumnFormula>
    </tableColumn>
    <tableColumn id="188" xr3:uid="{9172DE0E-F5D9-6D45-9FA5-13F9353D77CE}" name="MVESAP1" dataDxfId="1020" totalsRowDxfId="197" dataCellStyle="Comma"/>
    <tableColumn id="189" xr3:uid="{440AACDB-64D0-FB4F-8A2A-D0897192C709}" name="MVESAP2" dataDxfId="1019" totalsRowDxfId="196" dataCellStyle="Comma"/>
    <tableColumn id="190" xr3:uid="{0FCF7579-5965-604A-A65D-258362E4C2BE}" name="MVEUN0" dataDxfId="1018" totalsRowDxfId="195" dataCellStyle="Comma">
      <calculatedColumnFormula>GJ4*(_xlfn.XLOOKUP(GI$3,TabCalc[Ticker],TabCalc[M])+GK4)</calculatedColumnFormula>
    </tableColumn>
    <tableColumn id="191" xr3:uid="{57F9CA37-2493-8148-8436-143BE0A5D9E0}" name="MVEUN01" dataDxfId="1017" totalsRowDxfId="194" dataCellStyle="Comma"/>
    <tableColumn id="192" xr3:uid="{DFD39CE4-780E-884B-BC2E-280709B1BCDA}" name="MVEUN02" dataDxfId="1016" totalsRowDxfId="193" dataCellStyle="Comma"/>
    <tableColumn id="193" xr3:uid="{E3D86E5C-3036-3745-9926-210CAAFAD7C8}" name="SAFAAPL" totalsRowFunction="sum" dataDxfId="1015" totalsRowDxfId="192" dataCellStyle="Comma">
      <calculatedColumnFormula>GM4*(_xlfn.XLOOKUP(GL$3,TabCalc[Ticker],TabCalc[M])+GN4)</calculatedColumnFormula>
    </tableColumn>
    <tableColumn id="194" xr3:uid="{FF18444A-A208-FE43-9CFF-64026A262E73}" name="SAFAAPL1" totalsRowFunction="sum" dataDxfId="1014" totalsRowDxfId="191" dataCellStyle="Comma"/>
    <tableColumn id="195" xr3:uid="{84176513-3FA0-1545-94D9-D44CFF5883FA}" name="SAFAAPL2" totalsRowFunction="average" dataDxfId="1013" totalsRowDxfId="190" dataCellStyle="Comma"/>
    <tableColumn id="196" xr3:uid="{4CBA2AA6-F524-194B-A9E1-1915FFFFA4C8}" name="SAFAMZN" totalsRowFunction="sum" dataDxfId="1012" totalsRowDxfId="189" dataCellStyle="Comma">
      <calculatedColumnFormula>GP4*(_xlfn.XLOOKUP(GO$3,TabCalc[Ticker],TabCalc[M])+GQ4)</calculatedColumnFormula>
    </tableColumn>
    <tableColumn id="197" xr3:uid="{AE80B7F0-A13E-BD45-803B-55C1C01EE9C5}" name="SAFAMZN1" totalsRowFunction="sum" dataDxfId="1011" totalsRowDxfId="188" dataCellStyle="Comma"/>
    <tableColumn id="198" xr3:uid="{64F06311-56C7-E84F-BD4C-989A8B345110}" name="SAFAMZN2" totalsRowFunction="average" dataDxfId="1010" totalsRowDxfId="187" dataCellStyle="Comma"/>
    <tableColumn id="199" xr3:uid="{775363EB-0F54-C541-8562-4A379B17EADC}" name="SAFASML" totalsRowFunction="sum" dataDxfId="1009" totalsRowDxfId="186" dataCellStyle="Comma">
      <calculatedColumnFormula>GS4*(_xlfn.XLOOKUP(GR$3,TabCalc[Ticker],TabCalc[M])+GT4)</calculatedColumnFormula>
    </tableColumn>
    <tableColumn id="200" xr3:uid="{46C8FB70-49E5-DA4E-B9C6-85E89CBBB5D2}" name="SAFASML1" totalsRowFunction="sum" dataDxfId="1008" totalsRowDxfId="185" dataCellStyle="Comma"/>
    <tableColumn id="201" xr3:uid="{5CFC5AE2-BB9E-BF4E-9536-714C86396EB9}" name="SAFASML2" totalsRowFunction="average" dataDxfId="1007" totalsRowDxfId="184" dataCellStyle="Comma"/>
    <tableColumn id="202" xr3:uid="{2B388994-C6C9-0145-B61B-B365A9E7944D}" name="SAFDDD" totalsRowFunction="sum" dataDxfId="1006" totalsRowDxfId="183" dataCellStyle="Comma">
      <calculatedColumnFormula>GV4*(_xlfn.XLOOKUP(GU$3,TabCalc[Ticker],TabCalc[M])+GW4)</calculatedColumnFormula>
    </tableColumn>
    <tableColumn id="203" xr3:uid="{EC7D730F-171D-5841-B2E3-8CCB70DE842F}" name="SAFDDD1" totalsRowFunction="sum" dataDxfId="1005" totalsRowDxfId="182" dataCellStyle="Comma"/>
    <tableColumn id="204" xr3:uid="{5FAAEB35-DECD-244B-B6B4-4926CB30645A}" name="SAFDDD2" totalsRowFunction="average" dataDxfId="1004" totalsRowDxfId="181" dataCellStyle="Comma"/>
    <tableColumn id="205" xr3:uid="{AED14D0A-9588-F14F-9433-95F490D9E17E}" name="SAFDIS" totalsRowFunction="sum" dataDxfId="1003" totalsRowDxfId="180" dataCellStyle="Comma">
      <calculatedColumnFormula>GY4*(_xlfn.XLOOKUP(GX$3,TabCalc[Ticker],TabCalc[M])+GZ4)</calculatedColumnFormula>
    </tableColumn>
    <tableColumn id="206" xr3:uid="{114427FC-7455-B04A-A6DD-826FA591A5EE}" name="SAFDIS1" totalsRowFunction="sum" dataDxfId="1002" totalsRowDxfId="179" dataCellStyle="Comma"/>
    <tableColumn id="207" xr3:uid="{237C6617-E1E6-9A45-A95E-AF4856201610}" name="SAFDIS2" totalsRowFunction="average" dataDxfId="1001" totalsRowDxfId="178" dataCellStyle="Comma"/>
    <tableColumn id="208" xr3:uid="{4E509DFA-86B7-CD4F-9F15-18F2851CBFE7}" name="SAFGM" totalsRowFunction="sum" dataDxfId="1000" totalsRowDxfId="177" dataCellStyle="Comma">
      <calculatedColumnFormula>HB4*(_xlfn.XLOOKUP(HA$3,TabCalc[Ticker],TabCalc[M])+HC4)</calculatedColumnFormula>
    </tableColumn>
    <tableColumn id="209" xr3:uid="{E12ABEE4-9265-9343-9331-DC1DBFA56091}" name="SAFGM1" totalsRowFunction="sum" dataDxfId="999" totalsRowDxfId="176" dataCellStyle="Comma"/>
    <tableColumn id="210" xr3:uid="{B4D1E6C5-EA57-0545-9936-5131B6AFAB33}" name="SAFGM2" totalsRowFunction="average" dataDxfId="998" totalsRowDxfId="175" dataCellStyle="Comma"/>
    <tableColumn id="211" xr3:uid="{27E94563-2841-AF44-882D-8B7C4CF26E41}" name="SAFIAG" totalsRowFunction="sum" dataDxfId="997" totalsRowDxfId="174" dataCellStyle="Comma">
      <calculatedColumnFormula>HE4*(_xlfn.XLOOKUP(HD$3,TabCalc[Ticker],TabCalc[M])+HF4)</calculatedColumnFormula>
    </tableColumn>
    <tableColumn id="212" xr3:uid="{015596F7-028B-EF41-8610-35212F6C6E0A}" name="SAFIAG1" totalsRowFunction="sum" dataDxfId="996" totalsRowDxfId="173" dataCellStyle="Comma"/>
    <tableColumn id="213" xr3:uid="{1E90A488-7D24-2641-89A0-5E10BB30D3E2}" name="SAFIAG2" totalsRowFunction="average" dataDxfId="995" totalsRowDxfId="172" dataCellStyle="Comma"/>
    <tableColumn id="214" xr3:uid="{E2934692-5F80-5142-A085-BAB3016D1D7D}" name="SAFMRNA" totalsRowFunction="sum" dataDxfId="994" totalsRowDxfId="171" dataCellStyle="Comma">
      <calculatedColumnFormula>HH4*(_xlfn.XLOOKUP(HG$3,TabCalc[Ticker],TabCalc[M])+HI4)</calculatedColumnFormula>
    </tableColumn>
    <tableColumn id="215" xr3:uid="{B5288CAF-4E4E-6A41-8D03-CFF98B939A73}" name="SAFMRNA1" totalsRowFunction="sum" dataDxfId="993" totalsRowDxfId="170" dataCellStyle="Comma"/>
    <tableColumn id="216" xr3:uid="{E379AF68-9AF7-5645-B486-E8B292B5F7C7}" name="SAFMRNA2" totalsRowFunction="average" dataDxfId="992" totalsRowDxfId="169" dataCellStyle="Comma"/>
    <tableColumn id="217" xr3:uid="{7669526C-C45D-164B-B7FC-D486C9FF0CED}" name="BLNK" totalsRowFunction="sum" dataDxfId="991" totalsRowDxfId="168" dataCellStyle="Comma">
      <calculatedColumnFormula>HK4*(_xlfn.XLOOKUP(HJ$3,TabCalc[Ticker],TabCalc[M])+HL4)</calculatedColumnFormula>
    </tableColumn>
    <tableColumn id="218" xr3:uid="{EB728490-D337-F843-A196-E31315AE89DA}" name="BLNK1" totalsRowFunction="sum" dataDxfId="990" totalsRowDxfId="167" dataCellStyle="Comma"/>
    <tableColumn id="219" xr3:uid="{49A5A043-B549-214A-915F-58CDC0E497DA}" name="BLNK2" totalsRowFunction="average" dataDxfId="989" totalsRowDxfId="166" dataCellStyle="Comma"/>
    <tableColumn id="220" xr3:uid="{C225E383-5B3A-D246-BE92-549A7117AA19}" name="ENI" totalsRowFunction="sum" dataDxfId="988" totalsRowDxfId="165" dataCellStyle="Comma">
      <calculatedColumnFormula>HN4*(_xlfn.XLOOKUP(HM$3,TabCalc[Ticker],TabCalc[M])+HO4)</calculatedColumnFormula>
    </tableColumn>
    <tableColumn id="221" xr3:uid="{58DD1976-BCC3-1641-94EA-C37E2379D322}" name="ENI1" totalsRowFunction="sum" dataDxfId="987" totalsRowDxfId="164" dataCellStyle="Comma"/>
    <tableColumn id="222" xr3:uid="{91099446-2ED1-AD42-B338-64989653AEF5}" name="ENI2" totalsRowFunction="average" dataDxfId="986" totalsRowDxfId="163" dataCellStyle="Comma"/>
    <tableColumn id="223" xr3:uid="{94D8AF40-ECA0-354C-B75F-5D3226599EFC}" name="EZJ" totalsRowFunction="sum" dataDxfId="985" totalsRowDxfId="162" dataCellStyle="Comma">
      <calculatedColumnFormula>HQ4*(_xlfn.XLOOKUP(HP$3,TabCalc[Ticker],TabCalc[M])+HR4)</calculatedColumnFormula>
    </tableColumn>
    <tableColumn id="224" xr3:uid="{BF26A8AA-5B90-794F-BD83-D51B4040DBC5}" name="EZJ1" totalsRowFunction="sum" dataDxfId="984" totalsRowDxfId="161" dataCellStyle="Comma"/>
    <tableColumn id="225" xr3:uid="{3689C227-DC38-A04E-94B5-D5FC6B66A85B}" name="EZJ2" totalsRowFunction="average" dataDxfId="983" totalsRowDxfId="160" dataCellStyle="Comma"/>
    <tableColumn id="226" xr3:uid="{FB7C2B18-95F9-9F48-B6F8-7107918C37B0}" name="F" totalsRowFunction="sum" dataDxfId="982" totalsRowDxfId="159" dataCellStyle="Comma">
      <calculatedColumnFormula>HT4*(_xlfn.XLOOKUP(HS$3,TabCalc[Ticker],TabCalc[M])+HU4)</calculatedColumnFormula>
    </tableColumn>
    <tableColumn id="227" xr3:uid="{59201844-A7EE-0D4E-A913-002521A7DFF7}" name="F1" totalsRowFunction="sum" dataDxfId="981" totalsRowDxfId="158" dataCellStyle="Comma"/>
    <tableColumn id="228" xr3:uid="{2784B2D6-D849-AD47-9AE6-C37C7F718EDC}" name="F2" totalsRowFunction="average" dataDxfId="980" totalsRowDxfId="157" dataCellStyle="Comma"/>
    <tableColumn id="229" xr3:uid="{5172CAD0-43DE-4A44-B3CF-A2D7F6ECA044}" name="GLE" totalsRowFunction="sum" dataDxfId="979" totalsRowDxfId="156" dataCellStyle="Comma">
      <calculatedColumnFormula>HW4*(_xlfn.XLOOKUP(HV$3,TabCalc[Ticker],TabCalc[M])+HX4)</calculatedColumnFormula>
    </tableColumn>
    <tableColumn id="230" xr3:uid="{1A17A66C-4D5C-8947-A874-ED96997253F5}" name="GLE1" totalsRowFunction="sum" dataDxfId="978" totalsRowDxfId="155" dataCellStyle="Comma"/>
    <tableColumn id="231" xr3:uid="{51390D36-859F-F947-9F17-40DF6678074C}" name="GLE2" totalsRowFunction="average" dataDxfId="977" totalsRowDxfId="154" dataCellStyle="Comma"/>
    <tableColumn id="232" xr3:uid="{E898C86B-1F4A-6D40-BBD5-FA08BEBDF164}" name="GNRC" totalsRowFunction="sum" dataDxfId="976" totalsRowDxfId="153" dataCellStyle="Comma">
      <calculatedColumnFormula>HZ4*(_xlfn.XLOOKUP(HY$3,TabCalc[Ticker],TabCalc[M])+IA4)</calculatedColumnFormula>
    </tableColumn>
    <tableColumn id="233" xr3:uid="{740B70BA-648E-4E48-A652-F470085294B4}" name="GNRC1" totalsRowFunction="sum" dataDxfId="975" totalsRowDxfId="152" dataCellStyle="Comma"/>
    <tableColumn id="234" xr3:uid="{2F969E41-2934-A047-B1B2-9FFA73F86BA4}" name="GNRC2" totalsRowFunction="average" dataDxfId="974" totalsRowDxfId="151" dataCellStyle="Comma"/>
    <tableColumn id="235" xr3:uid="{68E93E7C-D13A-3E44-9E22-D0A4371CD0F0}" name="GS" totalsRowFunction="sum" dataDxfId="973" totalsRowDxfId="150" dataCellStyle="Comma">
      <calculatedColumnFormula>IC4*(_xlfn.XLOOKUP(IB$3,TabCalc[Ticker],TabCalc[M])+ID4)</calculatedColumnFormula>
    </tableColumn>
    <tableColumn id="236" xr3:uid="{389DA179-71AB-FE4B-A39A-C93BCB1FB2E4}" name="GS1" totalsRowFunction="sum" dataDxfId="972" totalsRowDxfId="149" dataCellStyle="Comma"/>
    <tableColumn id="237" xr3:uid="{2E819FD9-9936-F240-8450-6DC6610CEBF5}" name="GS2" totalsRowFunction="average" dataDxfId="971" totalsRowDxfId="148" dataCellStyle="Comma"/>
    <tableColumn id="238" xr3:uid="{FB45914F-65A5-4241-B148-E2F60812B6C3}" name="LAZR" totalsRowFunction="sum" dataDxfId="970" totalsRowDxfId="147" dataCellStyle="Comma">
      <calculatedColumnFormula>IF4*(_xlfn.XLOOKUP(IE$3,TabCalc[Ticker],TabCalc[M])+IG4)</calculatedColumnFormula>
    </tableColumn>
    <tableColumn id="239" xr3:uid="{CF8C5BB1-A44F-1047-93BE-D4E505F70014}" name="LAZR1" totalsRowFunction="sum" dataDxfId="969" totalsRowDxfId="146" dataCellStyle="Comma"/>
    <tableColumn id="240" xr3:uid="{BBB6BF29-FDD1-8B42-AB8F-CC2B044F8E0E}" name="LAZR2" totalsRowFunction="average" dataDxfId="968" totalsRowDxfId="145" dataCellStyle="Comma"/>
    <tableColumn id="241" xr3:uid="{4626281E-0051-5F41-918A-C974DAD7A8B8}" name="LUV" totalsRowFunction="sum" dataDxfId="967" totalsRowDxfId="144" dataCellStyle="Comma">
      <calculatedColumnFormula>II4*(_xlfn.XLOOKUP(IH$3,TabCalc[Ticker],TabCalc[M])+IJ4)</calculatedColumnFormula>
    </tableColumn>
    <tableColumn id="242" xr3:uid="{DC6573B8-8548-A54D-B782-F4BA2982C75A}" name="LUV1" totalsRowFunction="sum" dataDxfId="966" totalsRowDxfId="143" dataCellStyle="Comma"/>
    <tableColumn id="243" xr3:uid="{7D3946E4-49FC-A94A-BA1E-9C8B10F808C3}" name="LUV2" totalsRowFunction="average" dataDxfId="965" totalsRowDxfId="142" dataCellStyle="Comma"/>
    <tableColumn id="244" xr3:uid="{95FF93E3-248C-7F4E-8C0F-13E06B2E9B5F}" name="MA" totalsRowFunction="sum" dataDxfId="964" totalsRowDxfId="141" dataCellStyle="Comma">
      <calculatedColumnFormula>IL4*(_xlfn.XLOOKUP(IK$3,TabCalc[Ticker],TabCalc[M])+IM4)</calculatedColumnFormula>
    </tableColumn>
    <tableColumn id="245" xr3:uid="{8D711E27-1BEF-FC4B-A240-9FF85F1F4FFE}" name="MA1" totalsRowFunction="sum" dataDxfId="963" totalsRowDxfId="140" dataCellStyle="Comma"/>
    <tableColumn id="246" xr3:uid="{C373D45E-C415-5A43-A25D-920AB52AD15D}" name="MA2" totalsRowFunction="average" dataDxfId="962" totalsRowDxfId="139" dataCellStyle="Comma"/>
    <tableColumn id="247" xr3:uid="{B5DB9542-EF25-ED46-912C-E96C598C5B95}" name="NVAX" totalsRowFunction="sum" dataDxfId="961" totalsRowDxfId="138" dataCellStyle="Comma">
      <calculatedColumnFormula>IO4*(_xlfn.XLOOKUP(IN$3,TabCalc[Ticker],TabCalc[M])+IP4)</calculatedColumnFormula>
    </tableColumn>
    <tableColumn id="248" xr3:uid="{E9ED7765-27CF-5540-915B-9709575A569F}" name="NVAX1" totalsRowFunction="sum" dataDxfId="960" totalsRowDxfId="137" dataCellStyle="Comma"/>
    <tableColumn id="249" xr3:uid="{5C6E1216-E6D3-E749-B59D-76C0424F9D79}" name="NVAX2" totalsRowFunction="average" dataDxfId="959" totalsRowDxfId="136" dataCellStyle="Comma"/>
    <tableColumn id="250" xr3:uid="{703D6D6F-409A-4640-870E-8E56D1AEAA52}" name="NVS" totalsRowFunction="sum" dataDxfId="958" totalsRowDxfId="135" dataCellStyle="Comma">
      <calculatedColumnFormula>IR4*(_xlfn.XLOOKUP(IQ$3,TabCalc[Ticker],TabCalc[M]))</calculatedColumnFormula>
    </tableColumn>
    <tableColumn id="251" xr3:uid="{3C12C176-2B62-4145-B89E-20D020A45A29}" name="NVS1" totalsRowFunction="sum" dataDxfId="957" totalsRowDxfId="134" dataCellStyle="Comma"/>
    <tableColumn id="252" xr3:uid="{DA81076B-11C3-DD41-B2AE-FBB09632E161}" name="NVS2" totalsRowFunction="average" dataDxfId="956" totalsRowDxfId="133" dataCellStyle="Comma"/>
    <tableColumn id="253" xr3:uid="{A4E40067-3EDA-2B47-B781-77DE32A0C3A4}" name="ORA" totalsRowFunction="sum" dataDxfId="955" totalsRowDxfId="132" dataCellStyle="Comma">
      <calculatedColumnFormula>IU4*(_xlfn.XLOOKUP(IT$3,TabCalc[Ticker],TabCalc[M])+IV4)</calculatedColumnFormula>
    </tableColumn>
    <tableColumn id="254" xr3:uid="{EDE806CC-445C-D949-BA1D-8437B5C6C058}" name="ORA1" totalsRowFunction="sum" dataDxfId="954" totalsRowDxfId="131" dataCellStyle="Comma"/>
    <tableColumn id="255" xr3:uid="{F483F38C-62A6-2347-925B-49625ADB435F}" name="ORA2" totalsRowFunction="average" dataDxfId="953" totalsRowDxfId="130" dataCellStyle="Comma"/>
    <tableColumn id="256" xr3:uid="{E840F141-B187-4E46-9FE1-56FE22148CE0}" name="OXY" totalsRowFunction="sum" dataDxfId="952" totalsRowDxfId="129" dataCellStyle="Comma">
      <calculatedColumnFormula>IX4*(_xlfn.XLOOKUP(IW$3,TabCalc[Ticker],TabCalc[M])+IY4)</calculatedColumnFormula>
    </tableColumn>
    <tableColumn id="257" xr3:uid="{BB4D994A-23E5-F243-9E5A-EE72A43E6583}" name="OXY1" totalsRowFunction="sum" dataDxfId="951" totalsRowDxfId="128" dataCellStyle="Comma"/>
    <tableColumn id="258" xr3:uid="{6B4719B5-2341-5347-B41B-3E893EFD8F32}" name="OXY2" totalsRowFunction="average" dataDxfId="950" totalsRowDxfId="127" dataCellStyle="Comma"/>
    <tableColumn id="259" xr3:uid="{B9F8C50C-AC54-B245-901E-AC81835A888D}" name="PFE" totalsRowFunction="sum" dataDxfId="949" totalsRowDxfId="126" dataCellStyle="Comma">
      <calculatedColumnFormula>JA4*(_xlfn.XLOOKUP(IZ$3,TabCalc[Ticker],TabCalc[M])+JB4)</calculatedColumnFormula>
    </tableColumn>
    <tableColumn id="260" xr3:uid="{200440A7-9597-5541-B06F-5394908ECBD4}" name="PFE1" totalsRowFunction="sum" dataDxfId="948" totalsRowDxfId="125" dataCellStyle="Comma"/>
    <tableColumn id="261" xr3:uid="{BD830D5D-B303-4E4C-90F5-1BE90210D860}" name="PFE2" totalsRowFunction="average" dataDxfId="947" totalsRowDxfId="124" dataCellStyle="Comma"/>
    <tableColumn id="262" xr3:uid="{E95C3C1D-D1DA-7341-A6C7-350240ABB556}" name="RIG" totalsRowFunction="sum" dataDxfId="946" totalsRowDxfId="123" dataCellStyle="Comma">
      <calculatedColumnFormula>JD4*(_xlfn.XLOOKUP(JC$3,TabCalc[Ticker],TabCalc[M])+JE4)</calculatedColumnFormula>
    </tableColumn>
    <tableColumn id="263" xr3:uid="{903313B4-7B9D-154A-AE3D-77FD3F20BF47}" name="RIG1" totalsRowFunction="sum" dataDxfId="945" totalsRowDxfId="122" dataCellStyle="Comma"/>
    <tableColumn id="264" xr3:uid="{E9244164-4FD9-7746-BD3E-4849A574AB73}" name="RIG2" totalsRowFunction="sum" dataDxfId="944" totalsRowDxfId="121" dataCellStyle="Comma"/>
    <tableColumn id="265" xr3:uid="{9B1C2547-CF68-CF4F-93A0-EA05F87A3A64}" name="RRC" totalsRowFunction="sum" dataDxfId="943" totalsRowDxfId="120" dataCellStyle="Comma">
      <calculatedColumnFormula>JG4*(_xlfn.XLOOKUP(JF$3,TabCalc[Ticker],TabCalc[M])+JH4)</calculatedColumnFormula>
    </tableColumn>
    <tableColumn id="266" xr3:uid="{CD08F2A2-DF91-AA4D-959F-CFB14552D844}" name="RRC1" totalsRowFunction="sum" dataDxfId="942" totalsRowDxfId="119" dataCellStyle="Comma"/>
    <tableColumn id="267" xr3:uid="{CDC2D8B0-B269-7744-BD53-210E13C0BD55}" name="RRC2" totalsRowFunction="average" dataDxfId="941" totalsRowDxfId="118" dataCellStyle="Comma"/>
    <tableColumn id="268" xr3:uid="{845D5BAB-F92C-FF45-8A4C-8139058F1117}" name="XYZ" totalsRowFunction="sum" dataDxfId="940" totalsRowDxfId="117" dataCellStyle="Comma">
      <calculatedColumnFormula>JJ4*(_xlfn.XLOOKUP(JI$3,TabCalc[Ticker],TabCalc[M])+JK4)</calculatedColumnFormula>
    </tableColumn>
    <tableColumn id="269" xr3:uid="{A539E0AA-586B-1245-BC7F-E4BA7C46540E}" name="XYZ1" totalsRowFunction="sum" dataDxfId="939" totalsRowDxfId="116" dataCellStyle="Comma"/>
    <tableColumn id="270" xr3:uid="{6E0B2157-4642-5045-B4BB-094AE6BFA747}" name="XYZ2" totalsRowFunction="average" dataDxfId="938" totalsRowDxfId="115" dataCellStyle="Comma"/>
    <tableColumn id="271" xr3:uid="{9D7AA151-B32B-AF46-8E71-B15590BD1888}" name="THC" totalsRowFunction="sum" dataDxfId="937" totalsRowDxfId="114" dataCellStyle="Comma">
      <calculatedColumnFormula>JM4*(_xlfn.XLOOKUP(JL$3,TabCalc[Ticker],TabCalc[M])+JN4)</calculatedColumnFormula>
    </tableColumn>
    <tableColumn id="272" xr3:uid="{1578BB9F-0EBD-3D44-A97E-58279FD356E8}" name="THC1" totalsRowFunction="sum" dataDxfId="936" totalsRowDxfId="113" dataCellStyle="Comma"/>
    <tableColumn id="273" xr3:uid="{E1B590BB-BE88-E842-931D-959A64574D89}" name="THC2" totalsRowFunction="average" dataDxfId="935" totalsRowDxfId="112" dataCellStyle="Comma"/>
    <tableColumn id="274" xr3:uid="{2C6A0043-B3F5-0E42-9DCF-DB694535043F}" name="X" totalsRowFunction="sum" dataDxfId="934" totalsRowDxfId="111" dataCellStyle="Comma">
      <calculatedColumnFormula>JP4*(_xlfn.XLOOKUP(JO$3,TabCalc[Ticker],TabCalc[M])+JQ4)</calculatedColumnFormula>
    </tableColumn>
    <tableColumn id="275" xr3:uid="{618B8C28-7E04-1844-8C5A-7C077244BE3C}" name="X1" totalsRowFunction="sum" dataDxfId="933" totalsRowDxfId="110" dataCellStyle="Comma"/>
    <tableColumn id="276" xr3:uid="{4BE104A1-9211-4F4C-94BA-24883EE05EB2}" name="X2" totalsRowFunction="average" dataDxfId="932" totalsRowDxfId="109" dataCellStyle="Comma"/>
    <tableColumn id="277" xr3:uid="{9CF61E2D-7D69-3A47-BA46-58E661CC2A03}" name="LOCK" totalsRowFunction="sum" dataDxfId="931" totalsRowDxfId="108" dataCellStyle="Comma">
      <calculatedColumnFormula>JS4*(_xlfn.XLOOKUP(JR$3,TabCalc[Ticker],TabCalc[M])+JT4)</calculatedColumnFormula>
    </tableColumn>
    <tableColumn id="278" xr3:uid="{3CEABE9C-FBED-B14E-B347-305053C76B00}" name="LOCK1" totalsRowFunction="sum" dataDxfId="930" totalsRowDxfId="107" dataCellStyle="Comma"/>
    <tableColumn id="279" xr3:uid="{0C18DBDC-FECC-3341-B235-DF1E9063D6FB}" name="LOCK2" totalsRowFunction="average" dataDxfId="929" totalsRowDxfId="106" dataCellStyle="Comma"/>
    <tableColumn id="280" xr3:uid="{0957126C-3AC2-FC46-9CCE-9CDB97F3259D}" name="JBASML" totalsRowFunction="sum" dataDxfId="928" totalsRowDxfId="105" dataCellStyle="Comma">
      <calculatedColumnFormula>JV4*(_xlfn.XLOOKUP(JU$3,TabCalc[Ticker],TabCalc[M])+JW4)</calculatedColumnFormula>
    </tableColumn>
    <tableColumn id="281" xr3:uid="{4E796D8B-0B1A-A24E-846F-D5CA1530C11A}" name="JBASML1" totalsRowFunction="sum" dataDxfId="927" totalsRowDxfId="104" dataCellStyle="Comma"/>
    <tableColumn id="282" xr3:uid="{05B1CEE8-DE7A-8648-AA60-B3D6FFC1C0B4}" name="JBASML2" totalsRowFunction="average" dataDxfId="926" totalsRowDxfId="103" dataCellStyle="Comma"/>
    <tableColumn id="283" xr3:uid="{D1D8A769-1420-5846-BE54-E349675C5315}" name="JBEOAN" totalsRowFunction="sum" dataDxfId="925" totalsRowDxfId="102" dataCellStyle="Comma">
      <calculatedColumnFormula>JY4*(_xlfn.XLOOKUP(JX$3,TabCalc[Ticker],TabCalc[M])+JZ4)</calculatedColumnFormula>
    </tableColumn>
    <tableColumn id="284" xr3:uid="{AFC92BED-9DE5-594B-8735-E720CDAEFC29}" name="JBEOAN1" totalsRowFunction="sum" dataDxfId="924" totalsRowDxfId="101" dataCellStyle="Comma"/>
    <tableColumn id="285" xr3:uid="{5F4263ED-C98D-B847-B128-EAB2E7CD8E43}" name="JBEOAN2" totalsRowFunction="average" dataDxfId="923" totalsRowDxfId="1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U1" dT="2025-08-28T10:23:30.50" personId="{8A1DC52A-7F3B-174C-A58C-47297FBFA3B2}" id="{B5F78448-1A24-3445-BC51-3FDCDECB54F2}">
    <text xml:space="preserve">R stays for Remaining
Don't buy if M&gt;A, or M&gt; max(R)
</text>
  </threadedComment>
  <threadedComment ref="AY1" dT="2025-08-28T10:23:30.50" personId="{8A1DC52A-7F3B-174C-A58C-47297FBFA3B2}" id="{05B94FF1-C652-FB42-AE21-EDA09AAC7DAA}">
    <text xml:space="preserve">R stays for Remaining
Don't buy if M&gt;A, or M&gt; max(R)
</text>
  </threadedComment>
  <threadedComment ref="BC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N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O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11-04T19:07:46.19" personId="{8A1DC52A-7F3B-174C-A58C-47297FBFA3B2}" id="{0EC12689-F29E-2641-9932-0F643920699C}">
    <text>If =0: a buy price from Consolid exists &gt;M!</text>
  </threadedComment>
  <threadedComment ref="AS2" dT="2025-07-28T10:00:57.64" personId="{8A1DC52A-7F3B-174C-A58C-47297FBFA3B2}" id="{CD3FDA64-583E-104E-856B-5C770D2E46B6}">
    <text>SellMore: M vs. A</text>
  </threadedComment>
  <threadedComment ref="AV2" dT="2025-09-09T14:34:22.22" personId="{8A1DC52A-7F3B-174C-A58C-47297FBFA3B2}" id="{882D910F-B27F-FF45-9B9E-C68D9FF6475E}">
    <text xml:space="preserve">Annualized GL for the last purchase:
(M-PurchasePrice)/days*360
</text>
  </threadedComment>
  <threadedComment ref="AW2" dT="2025-09-09T14:32:45.09" personId="{8A1DC52A-7F3B-174C-A58C-47297FBFA3B2}" id="{59252814-2AE6-114E-9C13-D7D5B8500FAC}">
    <text xml:space="preserve">Markov chain probability to go Up (history of 3-cell chains DZU) </text>
  </threadedComment>
  <threadedComment ref="BC2" dT="2025-06-30T16:22:35.12" personId="{8A1DC52A-7F3B-174C-A58C-47297FBFA3B2}" id="{A37C6F9D-0452-E74E-B605-B00643A0B7FA}">
    <text>Traps are made by the last trade only.</text>
  </threadedComment>
  <threadedComment ref="BT2" dT="2025-09-29T11:45:54.58" personId="{8A1DC52A-7F3B-174C-A58C-47297FBFA3B2}" id="{985B3F7A-7673-B645-AC30-E54D2A88D4F6}">
    <text>Number of shares bought at  highest price that is smaller  than or equal to lookup value (negative market price -M)</text>
  </threadedComment>
  <threadedComment ref="BJ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996">
        <v>500</v>
      </c>
      <c r="DW11" s="991">
        <v>-896.1</v>
      </c>
    </row>
    <row r="12" spans="1:127" x14ac:dyDescent="0.3">
      <c r="B12" s="144" t="s">
        <v>196</v>
      </c>
      <c r="C12" s="89" t="s">
        <v>676</v>
      </c>
      <c r="D12" s="116" t="s">
        <v>956</v>
      </c>
      <c r="I12" t="s">
        <v>981</v>
      </c>
      <c r="K12" t="s">
        <v>1004</v>
      </c>
      <c r="L12" t="s">
        <v>1022</v>
      </c>
      <c r="AA12" s="409" t="str">
        <v>E</v>
      </c>
      <c r="AC12" t="s">
        <v>1624</v>
      </c>
      <c r="DN12" s="990">
        <v>300</v>
      </c>
      <c r="DO12" s="991">
        <v>-602.54999999999995</v>
      </c>
      <c r="DQ12" s="994"/>
      <c r="DR12" s="995"/>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2">
        <v>-603.79999999999995</v>
      </c>
      <c r="DR13" s="993">
        <v>200</v>
      </c>
      <c r="DU13" s="138">
        <v>45468</v>
      </c>
      <c r="DV13" s="996">
        <v>500</v>
      </c>
      <c r="DW13" s="991">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0">
        <v>500</v>
      </c>
      <c r="DO14" s="991">
        <v>-622.20000000000005</v>
      </c>
      <c r="DQ14" s="994"/>
      <c r="DR14" s="995"/>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994">
        <v>-632.79999999999995</v>
      </c>
      <c r="DR15" s="995">
        <v>300</v>
      </c>
      <c r="DU15" s="167">
        <v>45490</v>
      </c>
      <c r="DV15" s="996">
        <v>500</v>
      </c>
      <c r="DW15" s="991">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0">
        <v>100</v>
      </c>
      <c r="DO16" s="991">
        <v>-632.95000000000005</v>
      </c>
      <c r="DQ16" s="992">
        <v>-632.95000000000005</v>
      </c>
      <c r="DR16" s="993">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994">
        <v>-645.5</v>
      </c>
      <c r="DR17" s="995">
        <v>200</v>
      </c>
      <c r="DU17" s="167">
        <v>45495</v>
      </c>
      <c r="DV17" s="996">
        <v>500</v>
      </c>
      <c r="DW17" s="991">
        <v>-857.1</v>
      </c>
    </row>
    <row r="18" spans="1:127" x14ac:dyDescent="0.3">
      <c r="A18" t="s">
        <v>176</v>
      </c>
      <c r="B18" s="145" t="s">
        <v>176</v>
      </c>
      <c r="C18" s="144" t="s">
        <v>690</v>
      </c>
      <c r="D18" s="173" t="s">
        <v>957</v>
      </c>
      <c r="E18" t="s">
        <v>738</v>
      </c>
      <c r="I18" t="s">
        <v>967</v>
      </c>
      <c r="J18" t="s">
        <v>131</v>
      </c>
      <c r="AA18" s="409" t="str">
        <v>Imp150</v>
      </c>
      <c r="DN18" s="990">
        <v>200</v>
      </c>
      <c r="DO18" s="991">
        <v>-647.1</v>
      </c>
      <c r="DQ18" s="994">
        <v>-647.29999999999995</v>
      </c>
      <c r="DR18" s="995">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994">
        <v>-647.1</v>
      </c>
      <c r="DR19" s="995">
        <v>200</v>
      </c>
      <c r="DU19" s="167">
        <v>45523</v>
      </c>
      <c r="DV19" s="996">
        <v>300</v>
      </c>
      <c r="DW19" s="991">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0">
        <v>1000</v>
      </c>
      <c r="DO20" s="991">
        <v>-653.1</v>
      </c>
      <c r="DQ20" s="994"/>
      <c r="DR20" s="995"/>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2">
        <v>-653.70000000000005</v>
      </c>
      <c r="DR21" s="993">
        <v>1000</v>
      </c>
      <c r="DU21" s="167">
        <v>45575</v>
      </c>
      <c r="DV21" s="996">
        <v>200</v>
      </c>
      <c r="DW21" s="991">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0">
        <v>200</v>
      </c>
      <c r="DO22" s="991">
        <v>-690.9</v>
      </c>
      <c r="DQ22" s="994"/>
      <c r="DR22" s="995"/>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2"/>
      <c r="DR23" s="993"/>
      <c r="DU23" s="167">
        <v>45593</v>
      </c>
      <c r="DV23" s="996">
        <v>1000</v>
      </c>
      <c r="DW23" s="991">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0">
        <v>200</v>
      </c>
      <c r="DO24" s="991">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2"/>
      <c r="DR25" s="993"/>
      <c r="DU25" s="167">
        <v>45670</v>
      </c>
      <c r="DV25" s="996">
        <v>200</v>
      </c>
      <c r="DW25" s="991">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0">
        <v>200</v>
      </c>
      <c r="DO26" s="991">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996">
        <v>200</v>
      </c>
      <c r="DW27" s="991">
        <v>748.4</v>
      </c>
    </row>
    <row r="28" spans="1:127" x14ac:dyDescent="0.3">
      <c r="A28" t="s">
        <v>166</v>
      </c>
      <c r="B28" s="145" t="s">
        <v>748</v>
      </c>
      <c r="C28" s="89" t="s">
        <v>958</v>
      </c>
      <c r="D28" s="173" t="s">
        <v>957</v>
      </c>
      <c r="E28" t="s">
        <v>749</v>
      </c>
      <c r="I28" t="s">
        <v>991</v>
      </c>
      <c r="J28" t="s">
        <v>1008</v>
      </c>
      <c r="AA28" s="409" t="str">
        <v>L_Bn</v>
      </c>
      <c r="DN28" s="990">
        <v>100</v>
      </c>
      <c r="DO28" s="991">
        <v>-717.1</v>
      </c>
      <c r="DQ28" s="994"/>
      <c r="DR28" s="995"/>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996">
        <v>500</v>
      </c>
      <c r="DW29" s="991">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2">
        <v>-602.54999999999995</v>
      </c>
      <c r="DR31" s="993">
        <v>300</v>
      </c>
      <c r="DU31" s="167">
        <v>45701</v>
      </c>
      <c r="DV31" s="996">
        <v>100</v>
      </c>
      <c r="DW31" s="991">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994">
        <v>-599.29999999999995</v>
      </c>
      <c r="DR32" s="995">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2">
        <v>636.70000000000005</v>
      </c>
      <c r="DR33" s="993"/>
      <c r="DU33" s="167">
        <v>45706</v>
      </c>
      <c r="DV33" s="996">
        <v>100</v>
      </c>
      <c r="DW33" s="991">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994">
        <v>646.20000000000005</v>
      </c>
      <c r="DR34" s="995"/>
      <c r="DU34" s="897">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2">
        <v>-622.20000000000005</v>
      </c>
      <c r="DR35" s="993">
        <v>500</v>
      </c>
      <c r="DU35" s="897">
        <v>45713</v>
      </c>
      <c r="DV35" s="996">
        <v>300</v>
      </c>
      <c r="DW35" s="991">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994">
        <v>667.2</v>
      </c>
      <c r="DR36" s="995"/>
      <c r="DU36" s="897">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897">
        <v>45735</v>
      </c>
      <c r="DV37" s="996">
        <v>300</v>
      </c>
      <c r="DW37" s="99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897">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897">
        <v>45749</v>
      </c>
      <c r="DV39" s="996">
        <v>200</v>
      </c>
      <c r="DW39" s="99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897">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897">
        <v>45856</v>
      </c>
      <c r="DV41" s="996">
        <v>100</v>
      </c>
      <c r="DW41" s="99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897">
        <v>45856</v>
      </c>
      <c r="DV42" s="122">
        <v>200</v>
      </c>
      <c r="DW42" s="162">
        <v>-645.5</v>
      </c>
    </row>
    <row r="43" spans="1:127" ht="92" x14ac:dyDescent="0.3">
      <c r="A43" s="139" t="s">
        <v>168</v>
      </c>
      <c r="B43" s="145" t="s">
        <v>168</v>
      </c>
      <c r="C43" s="89" t="s">
        <v>938</v>
      </c>
      <c r="D43" t="s">
        <v>765</v>
      </c>
      <c r="AA43" s="409" t="str">
        <v>SinceClose</v>
      </c>
      <c r="AC43" s="408" t="s">
        <v>1633</v>
      </c>
      <c r="DU43" s="897">
        <v>45860</v>
      </c>
      <c r="DV43" s="996">
        <v>300</v>
      </c>
      <c r="DW43" s="991">
        <v>-602.54999999999995</v>
      </c>
    </row>
    <row r="44" spans="1:127" x14ac:dyDescent="0.3">
      <c r="A44" s="139" t="s">
        <v>658</v>
      </c>
      <c r="B44" s="145" t="s">
        <v>766</v>
      </c>
      <c r="C44" s="89" t="s">
        <v>939</v>
      </c>
      <c r="D44" t="s">
        <v>767</v>
      </c>
      <c r="AA44" s="409" t="str">
        <v>PreDay</v>
      </c>
      <c r="DU44" s="897">
        <v>45874</v>
      </c>
      <c r="DV44" s="122">
        <v>500</v>
      </c>
      <c r="DW44" s="162">
        <v>-599.29999999999995</v>
      </c>
    </row>
    <row r="45" spans="1:127" x14ac:dyDescent="0.3">
      <c r="A45" s="87" t="s">
        <v>646</v>
      </c>
      <c r="B45" s="145" t="s">
        <v>768</v>
      </c>
      <c r="C45" t="s">
        <v>686</v>
      </c>
      <c r="D45" t="s">
        <v>769</v>
      </c>
      <c r="AA45" s="409" t="str">
        <v>Gravity</v>
      </c>
      <c r="AC45" t="s">
        <v>1634</v>
      </c>
      <c r="DU45" s="897">
        <v>45888</v>
      </c>
      <c r="DV45" s="996">
        <v>500</v>
      </c>
      <c r="DW45" s="991">
        <v>636.70000000000005</v>
      </c>
    </row>
    <row r="46" spans="1:127" ht="92" x14ac:dyDescent="0.3">
      <c r="A46" s="87" t="s">
        <v>659</v>
      </c>
      <c r="B46" s="145" t="s">
        <v>770</v>
      </c>
      <c r="AA46" s="409" t="str">
        <v>Refill1</v>
      </c>
      <c r="AC46" s="408" t="s">
        <v>1635</v>
      </c>
      <c r="DU46" s="897">
        <v>45895</v>
      </c>
      <c r="DV46" s="122">
        <v>500</v>
      </c>
      <c r="DW46" s="162">
        <v>646.20000000000005</v>
      </c>
    </row>
    <row r="47" spans="1:127" x14ac:dyDescent="0.3">
      <c r="A47" s="126" t="s">
        <v>942</v>
      </c>
      <c r="B47" s="145" t="s">
        <v>771</v>
      </c>
      <c r="C47" s="89" t="s">
        <v>729</v>
      </c>
      <c r="AA47" s="409" t="str">
        <v>Refill2</v>
      </c>
      <c r="AC47" t="s">
        <v>1636</v>
      </c>
      <c r="DU47" s="138">
        <v>45902</v>
      </c>
      <c r="DV47" s="996">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996">
        <v>500</v>
      </c>
      <c r="DL85" s="991">
        <v>-896.1</v>
      </c>
      <c r="DN85" t="s">
        <v>2462</v>
      </c>
      <c r="DO85" s="579">
        <v>500</v>
      </c>
      <c r="DP85" s="162">
        <v>-599.29999999999995</v>
      </c>
      <c r="DR85" t="s">
        <v>2463</v>
      </c>
      <c r="DS85" s="992">
        <v>-653.70000000000005</v>
      </c>
      <c r="DT85" s="993">
        <v>1000</v>
      </c>
      <c r="DV85" s="138" cm="1">
        <f t="array" ref="DV85:DX122">_xlfn.SORTBY(DJ85:DL122, DL85:DL122,-1)</f>
        <v>45476</v>
      </c>
      <c r="DW85" s="996">
        <v>510</v>
      </c>
      <c r="DX85" s="991">
        <v>982.8</v>
      </c>
      <c r="DZ85" s="992" cm="1">
        <f t="array" ref="DZ85:EA122">_xlfn.SORTBY(DS85:DT122, DS85:DS122,-1)</f>
        <v>748.4</v>
      </c>
      <c r="EA85" s="993">
        <v>0</v>
      </c>
      <c r="EB85" s="991"/>
      <c r="EC85" s="11" t="s">
        <v>2465</v>
      </c>
      <c r="ED85" s="579">
        <v>500</v>
      </c>
      <c r="EE85" s="162">
        <v>-599.29999999999995</v>
      </c>
      <c r="EF85" s="11" t="s">
        <v>2467</v>
      </c>
      <c r="EG85" s="992">
        <v>-599.29999999999995</v>
      </c>
      <c r="EH85" s="993">
        <v>500</v>
      </c>
      <c r="EI85" s="11" t="s">
        <v>2466</v>
      </c>
      <c r="EJ85" s="138">
        <v>45874</v>
      </c>
      <c r="EK85" s="996">
        <v>500</v>
      </c>
      <c r="EL85" s="991">
        <v>-599.29999999999995</v>
      </c>
      <c r="EN85" s="138" cm="1">
        <f t="array" ref="EN85:EP122">_xlfn.SORTBY(DJ85:DL122, DJ85:DJ122,-1)</f>
        <v>45908</v>
      </c>
      <c r="EO85" s="996">
        <v>200</v>
      </c>
      <c r="EP85" s="991">
        <v>667.2</v>
      </c>
    </row>
    <row r="86" spans="1:146" x14ac:dyDescent="0.3">
      <c r="B86" s="145" t="s">
        <v>639</v>
      </c>
      <c r="C86" t="s">
        <v>725</v>
      </c>
      <c r="D86" t="s">
        <v>798</v>
      </c>
      <c r="AA86" s="409" t="str">
        <v>Max_Buy_P</v>
      </c>
      <c r="DJ86" s="137">
        <v>45453</v>
      </c>
      <c r="DK86" s="122">
        <v>490</v>
      </c>
      <c r="DL86" s="162">
        <v>954.5</v>
      </c>
      <c r="DO86" s="990">
        <v>300</v>
      </c>
      <c r="DP86" s="991">
        <v>-602.54999999999995</v>
      </c>
      <c r="DS86" s="994">
        <v>729.4</v>
      </c>
      <c r="DT86" s="995"/>
      <c r="DV86" s="138">
        <v>45453</v>
      </c>
      <c r="DW86" s="996">
        <v>490</v>
      </c>
      <c r="DX86" s="991">
        <v>954.5</v>
      </c>
      <c r="DZ86" s="992">
        <v>745.4</v>
      </c>
      <c r="EA86" s="993">
        <v>0</v>
      </c>
      <c r="EB86" s="991"/>
      <c r="ED86" s="990">
        <v>300</v>
      </c>
      <c r="EE86" s="991">
        <v>-602.54999999999995</v>
      </c>
      <c r="EG86" s="992">
        <v>-602.54999999999995</v>
      </c>
      <c r="EH86" s="993">
        <v>300</v>
      </c>
      <c r="EJ86" s="138">
        <v>45860</v>
      </c>
      <c r="EK86" s="996">
        <v>300</v>
      </c>
      <c r="EL86" s="991">
        <v>-602.54999999999995</v>
      </c>
      <c r="EN86" s="138">
        <v>45902</v>
      </c>
      <c r="EO86" s="996">
        <v>500</v>
      </c>
      <c r="EP86" s="991">
        <v>-622.20000000000005</v>
      </c>
    </row>
    <row r="87" spans="1:146" x14ac:dyDescent="0.3">
      <c r="B87" s="145" t="s">
        <v>640</v>
      </c>
      <c r="C87" t="s">
        <v>722</v>
      </c>
      <c r="D87" t="s">
        <v>798</v>
      </c>
      <c r="AA87" s="409" t="str">
        <v>Min_PD</v>
      </c>
      <c r="DJ87" s="138">
        <v>45468</v>
      </c>
      <c r="DK87" s="996">
        <v>500</v>
      </c>
      <c r="DL87" s="991">
        <v>-945</v>
      </c>
      <c r="DO87" s="579">
        <v>200</v>
      </c>
      <c r="DP87" s="162">
        <v>-603.79999999999995</v>
      </c>
      <c r="DS87" s="992">
        <v>-706.2</v>
      </c>
      <c r="DT87" s="993">
        <v>200</v>
      </c>
      <c r="DV87" s="138">
        <v>45523</v>
      </c>
      <c r="DW87" s="996">
        <v>300</v>
      </c>
      <c r="DX87" s="991">
        <v>826.52670000000001</v>
      </c>
      <c r="DZ87" s="992">
        <v>737.1</v>
      </c>
      <c r="EA87" s="993">
        <v>0</v>
      </c>
      <c r="EB87" s="991"/>
      <c r="ED87" s="579">
        <v>200</v>
      </c>
      <c r="EE87" s="162">
        <v>-603.79999999999995</v>
      </c>
      <c r="EG87" s="992">
        <v>-603.79999999999995</v>
      </c>
      <c r="EH87" s="993">
        <v>200</v>
      </c>
      <c r="EJ87" s="138">
        <v>45749</v>
      </c>
      <c r="EK87" s="996">
        <v>200</v>
      </c>
      <c r="EL87" s="991">
        <v>-603.79999999999995</v>
      </c>
      <c r="EN87" s="138">
        <v>45895</v>
      </c>
      <c r="EO87" s="996">
        <v>500</v>
      </c>
      <c r="EP87" s="991">
        <v>646.20000000000005</v>
      </c>
    </row>
    <row r="88" spans="1:146" x14ac:dyDescent="0.3">
      <c r="B88" s="145" t="s">
        <v>799</v>
      </c>
      <c r="AA88" s="409" t="str">
        <v>Min_Pn</v>
      </c>
      <c r="DJ88" s="124">
        <v>45476</v>
      </c>
      <c r="DK88" s="122">
        <v>510</v>
      </c>
      <c r="DL88" s="162">
        <v>982.8</v>
      </c>
      <c r="DO88" s="990">
        <v>500</v>
      </c>
      <c r="DP88" s="991">
        <v>-622.20000000000005</v>
      </c>
      <c r="DS88" s="994">
        <v>745.4</v>
      </c>
      <c r="DT88" s="995"/>
      <c r="DV88" s="138">
        <v>45679</v>
      </c>
      <c r="DW88" s="996">
        <v>200</v>
      </c>
      <c r="DX88" s="991">
        <v>748.4</v>
      </c>
      <c r="DZ88" s="992">
        <v>729.4</v>
      </c>
      <c r="EA88" s="993">
        <v>0</v>
      </c>
      <c r="EB88" s="991"/>
      <c r="ED88" s="990">
        <v>500</v>
      </c>
      <c r="EE88" s="991">
        <v>-622.20000000000005</v>
      </c>
      <c r="EG88" s="992">
        <v>-622.20000000000005</v>
      </c>
      <c r="EH88" s="993">
        <v>500</v>
      </c>
      <c r="EJ88" s="138">
        <v>45902</v>
      </c>
      <c r="EK88" s="996">
        <v>500</v>
      </c>
      <c r="EL88" s="991">
        <v>-622.20000000000005</v>
      </c>
      <c r="EN88" s="138">
        <v>45888</v>
      </c>
      <c r="EO88" s="996">
        <v>500</v>
      </c>
      <c r="EP88" s="991">
        <v>636.70000000000005</v>
      </c>
    </row>
    <row r="89" spans="1:146" x14ac:dyDescent="0.3">
      <c r="B89" s="145" t="s">
        <v>800</v>
      </c>
      <c r="AA89" s="409" t="str">
        <v>Min_PP</v>
      </c>
      <c r="DJ89" s="167">
        <v>45490</v>
      </c>
      <c r="DK89" s="996">
        <v>500</v>
      </c>
      <c r="DL89" s="991">
        <v>-879.74199999999996</v>
      </c>
      <c r="DO89" s="579">
        <v>300</v>
      </c>
      <c r="DP89" s="162">
        <v>-632.79999999999995</v>
      </c>
      <c r="DS89" s="992">
        <v>748.4</v>
      </c>
      <c r="DT89" s="993"/>
      <c r="DV89" s="138">
        <v>45677</v>
      </c>
      <c r="DW89" s="996">
        <v>500</v>
      </c>
      <c r="DX89" s="991">
        <v>745.4</v>
      </c>
      <c r="DZ89" s="992">
        <v>667.6</v>
      </c>
      <c r="EA89" s="993">
        <v>0</v>
      </c>
      <c r="EB89" s="991"/>
      <c r="ED89" s="579">
        <v>300</v>
      </c>
      <c r="EE89" s="162">
        <v>-632.79999999999995</v>
      </c>
      <c r="EG89" s="992">
        <v>-632.79999999999995</v>
      </c>
      <c r="EH89" s="993">
        <v>300</v>
      </c>
      <c r="EJ89" s="138">
        <v>45726</v>
      </c>
      <c r="EK89" s="996">
        <v>300</v>
      </c>
      <c r="EL89" s="991">
        <v>-632.79999999999995</v>
      </c>
      <c r="EN89" s="138">
        <v>45874</v>
      </c>
      <c r="EO89" s="996">
        <v>500</v>
      </c>
      <c r="EP89" s="991">
        <v>-599.29999999999995</v>
      </c>
    </row>
    <row r="90" spans="1:146" x14ac:dyDescent="0.3">
      <c r="B90" s="145" t="s">
        <v>801</v>
      </c>
      <c r="AA90" s="409" t="str">
        <v>Max_PD</v>
      </c>
      <c r="DJ90" s="167">
        <v>45491</v>
      </c>
      <c r="DK90" s="122">
        <v>500</v>
      </c>
      <c r="DL90" s="162">
        <v>-860.48699999999997</v>
      </c>
      <c r="DO90" s="990">
        <v>100</v>
      </c>
      <c r="DP90" s="991">
        <v>-632.95000000000005</v>
      </c>
      <c r="DS90" s="994">
        <v>-715.55</v>
      </c>
      <c r="DT90" s="995">
        <v>200</v>
      </c>
      <c r="DV90" s="138">
        <v>45701</v>
      </c>
      <c r="DW90" s="996">
        <v>100</v>
      </c>
      <c r="DX90" s="991">
        <v>737.1</v>
      </c>
      <c r="DZ90" s="992">
        <v>667.2</v>
      </c>
      <c r="EA90" s="993">
        <v>0</v>
      </c>
      <c r="EB90" s="991"/>
      <c r="ED90" s="990">
        <v>100</v>
      </c>
      <c r="EE90" s="991">
        <v>-632.95000000000005</v>
      </c>
      <c r="EG90" s="992">
        <v>-632.95000000000005</v>
      </c>
      <c r="EH90" s="993">
        <v>100</v>
      </c>
      <c r="EJ90" s="138">
        <v>45856</v>
      </c>
      <c r="EK90" s="996">
        <v>100</v>
      </c>
      <c r="EL90" s="991">
        <v>-632.95000000000005</v>
      </c>
      <c r="EN90" s="138">
        <v>45860</v>
      </c>
      <c r="EO90" s="996">
        <v>300</v>
      </c>
      <c r="EP90" s="991">
        <v>-602.54999999999995</v>
      </c>
    </row>
    <row r="91" spans="1:146" x14ac:dyDescent="0.3">
      <c r="B91" s="145" t="s">
        <v>802</v>
      </c>
      <c r="AA91" s="409" t="str">
        <v>Max_Pn</v>
      </c>
      <c r="DJ91" s="167">
        <v>45495</v>
      </c>
      <c r="DK91" s="996">
        <v>500</v>
      </c>
      <c r="DL91" s="991">
        <v>-857.1</v>
      </c>
      <c r="DO91" s="579">
        <v>200</v>
      </c>
      <c r="DP91" s="162">
        <v>-645.5</v>
      </c>
      <c r="DS91" s="992">
        <v>-701.05</v>
      </c>
      <c r="DT91" s="993">
        <v>500</v>
      </c>
      <c r="DV91" s="138">
        <v>45663</v>
      </c>
      <c r="DW91" s="996">
        <v>200</v>
      </c>
      <c r="DX91" s="991">
        <v>729.4</v>
      </c>
      <c r="DZ91" s="992">
        <v>646.20000000000005</v>
      </c>
      <c r="EA91" s="993">
        <v>0</v>
      </c>
      <c r="EB91" s="991"/>
      <c r="ED91" s="579">
        <v>200</v>
      </c>
      <c r="EE91" s="162">
        <v>-645.5</v>
      </c>
      <c r="EG91" s="992">
        <v>-645.5</v>
      </c>
      <c r="EH91" s="993">
        <v>200</v>
      </c>
      <c r="EJ91" s="138">
        <v>45856</v>
      </c>
      <c r="EK91" s="996">
        <v>200</v>
      </c>
      <c r="EL91" s="991">
        <v>-645.5</v>
      </c>
      <c r="EN91" s="138">
        <v>45856</v>
      </c>
      <c r="EO91" s="996">
        <v>100</v>
      </c>
      <c r="EP91" s="991">
        <v>-632.95000000000005</v>
      </c>
    </row>
    <row r="92" spans="1:146" x14ac:dyDescent="0.3">
      <c r="B92" s="143"/>
      <c r="AA92" s="409" t="str">
        <v>Max_PP</v>
      </c>
      <c r="DJ92" s="167">
        <v>45506</v>
      </c>
      <c r="DK92" s="122">
        <v>300</v>
      </c>
      <c r="DL92" s="162">
        <v>-763.5</v>
      </c>
      <c r="DO92" s="990">
        <v>200</v>
      </c>
      <c r="DP92" s="991">
        <v>-647.1</v>
      </c>
      <c r="DS92" s="994">
        <v>-647.1</v>
      </c>
      <c r="DT92" s="995">
        <v>200</v>
      </c>
      <c r="DV92" s="138">
        <v>45735</v>
      </c>
      <c r="DW92" s="996">
        <v>300</v>
      </c>
      <c r="DX92" s="991">
        <v>667.6</v>
      </c>
      <c r="DZ92" s="992">
        <v>636.70000000000005</v>
      </c>
      <c r="EA92" s="993">
        <v>0</v>
      </c>
      <c r="EB92" s="991"/>
      <c r="ED92" s="990">
        <v>200</v>
      </c>
      <c r="EE92" s="991">
        <v>-647.1</v>
      </c>
      <c r="EG92" s="992">
        <v>-647.1</v>
      </c>
      <c r="EH92" s="993">
        <v>200</v>
      </c>
      <c r="EJ92" s="138">
        <v>45684</v>
      </c>
      <c r="EK92" s="996">
        <v>200</v>
      </c>
      <c r="EL92" s="991">
        <v>-647.1</v>
      </c>
      <c r="EN92" s="138">
        <v>45856</v>
      </c>
      <c r="EO92" s="996">
        <v>200</v>
      </c>
      <c r="EP92" s="991">
        <v>-645.5</v>
      </c>
    </row>
    <row r="93" spans="1:146" x14ac:dyDescent="0.3">
      <c r="B93" s="149" t="s">
        <v>803</v>
      </c>
      <c r="C93" t="s">
        <v>696</v>
      </c>
      <c r="D93" t="s">
        <v>702</v>
      </c>
      <c r="AA93" s="409" t="str">
        <v>BS2D</v>
      </c>
      <c r="DJ93" s="167">
        <v>45523</v>
      </c>
      <c r="DK93" s="996">
        <v>300</v>
      </c>
      <c r="DL93" s="991">
        <v>826.52670000000001</v>
      </c>
      <c r="DO93" s="579">
        <v>300</v>
      </c>
      <c r="DP93" s="162">
        <v>-647.29999999999995</v>
      </c>
      <c r="DS93" s="992">
        <v>737.1</v>
      </c>
      <c r="DT93" s="993"/>
      <c r="DV93" s="138">
        <v>45908</v>
      </c>
      <c r="DW93" s="996">
        <v>200</v>
      </c>
      <c r="DX93" s="991">
        <v>667.2</v>
      </c>
      <c r="DZ93" s="992">
        <v>-599.29999999999995</v>
      </c>
      <c r="EA93" s="993">
        <v>500</v>
      </c>
      <c r="EB93" s="991"/>
      <c r="ED93" s="579">
        <v>300</v>
      </c>
      <c r="EE93" s="162">
        <v>-647.29999999999995</v>
      </c>
      <c r="EG93" s="992">
        <v>-647.29999999999995</v>
      </c>
      <c r="EH93" s="993">
        <v>300</v>
      </c>
      <c r="EJ93" s="138">
        <v>45743</v>
      </c>
      <c r="EK93" s="996">
        <v>300</v>
      </c>
      <c r="EL93" s="991">
        <v>-647.29999999999995</v>
      </c>
      <c r="EN93" s="138">
        <v>45833</v>
      </c>
      <c r="EO93" s="996">
        <v>200</v>
      </c>
      <c r="EP93" s="991">
        <v>-695.5</v>
      </c>
    </row>
    <row r="94" spans="1:146" x14ac:dyDescent="0.3">
      <c r="B94" s="149" t="s">
        <v>804</v>
      </c>
      <c r="C94" t="s">
        <v>700</v>
      </c>
      <c r="D94" t="s">
        <v>805</v>
      </c>
      <c r="AA94" s="409" t="str">
        <v>BS2n</v>
      </c>
      <c r="DJ94" s="167">
        <v>45531</v>
      </c>
      <c r="DK94" s="122">
        <v>300</v>
      </c>
      <c r="DL94" s="162">
        <v>-791.4</v>
      </c>
      <c r="DO94" s="990">
        <v>1000</v>
      </c>
      <c r="DP94" s="991">
        <v>-653.1</v>
      </c>
      <c r="DS94" s="994">
        <v>-724.24</v>
      </c>
      <c r="DT94" s="995">
        <v>100</v>
      </c>
      <c r="DV94" s="138">
        <v>45895</v>
      </c>
      <c r="DW94" s="996">
        <v>500</v>
      </c>
      <c r="DX94" s="991">
        <v>646.20000000000005</v>
      </c>
      <c r="DZ94" s="992">
        <v>-602.54999999999995</v>
      </c>
      <c r="EA94" s="993">
        <v>300</v>
      </c>
      <c r="EB94" s="991"/>
      <c r="ED94" s="990">
        <v>1000</v>
      </c>
      <c r="EE94" s="991">
        <v>-653.1</v>
      </c>
      <c r="EG94" s="992">
        <v>-653.70000000000005</v>
      </c>
      <c r="EH94" s="993">
        <v>1000</v>
      </c>
      <c r="EJ94" s="138">
        <v>45583</v>
      </c>
      <c r="EK94" s="996">
        <v>500</v>
      </c>
      <c r="EL94" s="991">
        <v>-653.1</v>
      </c>
      <c r="EN94" s="138">
        <v>45749</v>
      </c>
      <c r="EO94" s="996">
        <v>200</v>
      </c>
      <c r="EP94" s="991">
        <v>-603.79999999999995</v>
      </c>
    </row>
    <row r="95" spans="1:146" x14ac:dyDescent="0.3">
      <c r="B95" s="149" t="s">
        <v>806</v>
      </c>
      <c r="C95" t="s">
        <v>701</v>
      </c>
      <c r="D95" t="s">
        <v>807</v>
      </c>
      <c r="AA95" s="409" t="str">
        <v>BS2P</v>
      </c>
      <c r="DJ95" s="167">
        <v>45575</v>
      </c>
      <c r="DK95" s="996">
        <v>200</v>
      </c>
      <c r="DL95" s="991">
        <v>-761.4</v>
      </c>
      <c r="DO95" s="579">
        <v>300</v>
      </c>
      <c r="DP95" s="162">
        <v>-653.70000000000005</v>
      </c>
      <c r="DS95" s="992">
        <v>-717.1</v>
      </c>
      <c r="DT95" s="993">
        <v>100</v>
      </c>
      <c r="DV95" s="138">
        <v>45888</v>
      </c>
      <c r="DW95" s="996">
        <v>500</v>
      </c>
      <c r="DX95" s="991">
        <v>636.70000000000005</v>
      </c>
      <c r="DZ95" s="992">
        <v>-603.79999999999995</v>
      </c>
      <c r="EA95" s="993">
        <v>200</v>
      </c>
      <c r="EB95" s="991"/>
      <c r="ED95" s="579">
        <v>300</v>
      </c>
      <c r="EE95" s="162">
        <v>-653.70000000000005</v>
      </c>
      <c r="EG95" s="997">
        <v>-690.9</v>
      </c>
      <c r="EH95" s="998">
        <v>300</v>
      </c>
      <c r="EJ95" s="138">
        <v>45593</v>
      </c>
      <c r="EK95" s="996">
        <v>1000</v>
      </c>
      <c r="EL95" s="991">
        <v>-653.70000000000005</v>
      </c>
      <c r="EN95" s="138">
        <v>45743</v>
      </c>
      <c r="EO95" s="996">
        <v>300</v>
      </c>
      <c r="EP95" s="991">
        <v>-647.29999999999995</v>
      </c>
    </row>
    <row r="96" spans="1:146" x14ac:dyDescent="0.3">
      <c r="B96" s="150" t="s">
        <v>808</v>
      </c>
      <c r="C96" t="s">
        <v>703</v>
      </c>
      <c r="AA96" s="409" t="str">
        <v>WB2D</v>
      </c>
      <c r="DJ96" s="167">
        <v>45583</v>
      </c>
      <c r="DK96" s="122">
        <v>500</v>
      </c>
      <c r="DL96" s="162">
        <v>-653.1</v>
      </c>
      <c r="DO96" s="990">
        <v>200</v>
      </c>
      <c r="DP96" s="991">
        <v>-690.9</v>
      </c>
      <c r="DS96" s="994">
        <v>-706.6</v>
      </c>
      <c r="DT96" s="995">
        <v>100</v>
      </c>
      <c r="DV96" s="138">
        <v>45874</v>
      </c>
      <c r="DW96" s="996">
        <v>500</v>
      </c>
      <c r="DX96" s="991">
        <v>-599.29999999999995</v>
      </c>
      <c r="DZ96" s="992">
        <v>-622.20000000000005</v>
      </c>
      <c r="EA96" s="993">
        <v>500</v>
      </c>
      <c r="EB96" s="991"/>
      <c r="ED96" s="990">
        <v>200</v>
      </c>
      <c r="EE96" s="991">
        <v>-690.9</v>
      </c>
      <c r="EG96" s="997">
        <v>-695.5</v>
      </c>
      <c r="EH96" s="998">
        <v>200</v>
      </c>
      <c r="EJ96" s="138">
        <v>45713</v>
      </c>
      <c r="EK96" s="996">
        <v>300</v>
      </c>
      <c r="EL96" s="991">
        <v>-690.9</v>
      </c>
      <c r="EN96" s="138">
        <v>45735</v>
      </c>
      <c r="EO96" s="996">
        <v>300</v>
      </c>
      <c r="EP96" s="991">
        <v>667.6</v>
      </c>
    </row>
    <row r="97" spans="1:146" x14ac:dyDescent="0.3">
      <c r="B97" s="149" t="s">
        <v>809</v>
      </c>
      <c r="C97" t="s">
        <v>704</v>
      </c>
      <c r="AA97" s="409" t="str">
        <v>WB2n</v>
      </c>
      <c r="DJ97" s="167">
        <v>45593</v>
      </c>
      <c r="DK97" s="996">
        <v>1000</v>
      </c>
      <c r="DL97" s="991">
        <v>-653.70000000000005</v>
      </c>
      <c r="DO97" s="579">
        <v>500</v>
      </c>
      <c r="DP97" s="162">
        <v>-695.5</v>
      </c>
      <c r="DS97" s="992">
        <v>-690.9</v>
      </c>
      <c r="DT97" s="993">
        <v>300</v>
      </c>
      <c r="DV97" s="138">
        <v>45860</v>
      </c>
      <c r="DW97" s="996">
        <v>300</v>
      </c>
      <c r="DX97" s="991">
        <v>-602.54999999999995</v>
      </c>
      <c r="DZ97" s="992">
        <v>-632.79999999999995</v>
      </c>
      <c r="EA97" s="993">
        <v>300</v>
      </c>
      <c r="EB97" s="991"/>
      <c r="ED97" s="579">
        <v>500</v>
      </c>
      <c r="EE97" s="162">
        <v>-695.5</v>
      </c>
      <c r="EG97" s="997">
        <v>-701.05</v>
      </c>
      <c r="EH97" s="998">
        <v>500</v>
      </c>
      <c r="EJ97" s="138">
        <v>45833</v>
      </c>
      <c r="EK97" s="996">
        <v>200</v>
      </c>
      <c r="EL97" s="991">
        <v>-695.5</v>
      </c>
      <c r="EN97" s="138">
        <v>45726</v>
      </c>
      <c r="EO97" s="996">
        <v>300</v>
      </c>
      <c r="EP97" s="991">
        <v>-632.79999999999995</v>
      </c>
    </row>
    <row r="98" spans="1:146" x14ac:dyDescent="0.3">
      <c r="B98" s="149" t="s">
        <v>810</v>
      </c>
      <c r="C98" t="s">
        <v>698</v>
      </c>
      <c r="AA98" s="409" t="str">
        <v>WB2P</v>
      </c>
      <c r="DJ98" s="167">
        <v>45663</v>
      </c>
      <c r="DK98" s="122">
        <v>200</v>
      </c>
      <c r="DL98" s="162">
        <v>729.4</v>
      </c>
      <c r="DO98" s="990">
        <v>200</v>
      </c>
      <c r="DP98" s="991">
        <v>-701.05</v>
      </c>
      <c r="DS98" s="994">
        <v>-632.79999999999995</v>
      </c>
      <c r="DT98" s="995">
        <v>300</v>
      </c>
      <c r="DV98" s="138">
        <v>45749</v>
      </c>
      <c r="DW98" s="996">
        <v>200</v>
      </c>
      <c r="DX98" s="991">
        <v>-603.79999999999995</v>
      </c>
      <c r="DZ98" s="992">
        <v>-632.95000000000005</v>
      </c>
      <c r="EA98" s="993">
        <v>100</v>
      </c>
      <c r="EB98" s="991"/>
      <c r="ED98" s="990">
        <v>200</v>
      </c>
      <c r="EE98" s="991">
        <v>-701.05</v>
      </c>
      <c r="EG98" s="997">
        <v>-706.2</v>
      </c>
      <c r="EH98" s="998">
        <v>200</v>
      </c>
      <c r="EJ98" s="138">
        <v>45681</v>
      </c>
      <c r="EK98" s="996">
        <v>500</v>
      </c>
      <c r="EL98" s="991">
        <v>-701.05</v>
      </c>
      <c r="EN98" s="138">
        <v>45713</v>
      </c>
      <c r="EO98" s="996">
        <v>100</v>
      </c>
      <c r="EP98" s="991">
        <v>-706.6</v>
      </c>
    </row>
    <row r="99" spans="1:146" x14ac:dyDescent="0.3">
      <c r="B99" s="149" t="s">
        <v>811</v>
      </c>
      <c r="C99" t="s">
        <v>699</v>
      </c>
      <c r="AA99" s="409" t="str">
        <v>ntoBuy</v>
      </c>
      <c r="DJ99" s="167">
        <v>45670</v>
      </c>
      <c r="DK99" s="996">
        <v>200</v>
      </c>
      <c r="DL99" s="991">
        <v>-706.2</v>
      </c>
      <c r="DO99" s="579">
        <v>100</v>
      </c>
      <c r="DP99" s="162">
        <v>-706.2</v>
      </c>
      <c r="DS99" s="992">
        <v>667.6</v>
      </c>
      <c r="DT99" s="993"/>
      <c r="DV99" s="138">
        <v>45902</v>
      </c>
      <c r="DW99" s="996">
        <v>500</v>
      </c>
      <c r="DX99" s="991">
        <v>-622.20000000000005</v>
      </c>
      <c r="DZ99" s="992">
        <v>-645.5</v>
      </c>
      <c r="EA99" s="993">
        <v>200</v>
      </c>
      <c r="EB99" s="991"/>
      <c r="ED99" s="579">
        <v>100</v>
      </c>
      <c r="EE99" s="162">
        <v>-706.2</v>
      </c>
      <c r="EG99" s="997">
        <v>-706.6</v>
      </c>
      <c r="EH99" s="998">
        <v>100</v>
      </c>
      <c r="EJ99" s="138">
        <v>45670</v>
      </c>
      <c r="EK99" s="996">
        <v>200</v>
      </c>
      <c r="EL99" s="991">
        <v>-706.2</v>
      </c>
      <c r="EN99" s="138">
        <v>45713</v>
      </c>
      <c r="EO99" s="996">
        <v>300</v>
      </c>
      <c r="EP99" s="991">
        <v>-690.9</v>
      </c>
    </row>
    <row r="100" spans="1:146" x14ac:dyDescent="0.3">
      <c r="B100" s="150" t="s">
        <v>662</v>
      </c>
      <c r="AA100" s="409" t="str">
        <v>BuyCost</v>
      </c>
      <c r="DJ100" s="167">
        <v>45677</v>
      </c>
      <c r="DK100" s="122">
        <v>500</v>
      </c>
      <c r="DL100" s="162">
        <v>745.4</v>
      </c>
      <c r="DO100" s="990">
        <v>200</v>
      </c>
      <c r="DP100" s="991">
        <v>-706.6</v>
      </c>
      <c r="DS100" s="994">
        <v>-647.29999999999995</v>
      </c>
      <c r="DT100" s="995">
        <v>300</v>
      </c>
      <c r="DV100" s="138">
        <v>45726</v>
      </c>
      <c r="DW100" s="996">
        <v>300</v>
      </c>
      <c r="DX100" s="991">
        <v>-632.79999999999995</v>
      </c>
      <c r="DZ100" s="992">
        <v>-647.1</v>
      </c>
      <c r="EA100" s="993">
        <v>200</v>
      </c>
      <c r="EB100" s="991"/>
      <c r="ED100" s="990">
        <v>200</v>
      </c>
      <c r="EE100" s="991">
        <v>-706.6</v>
      </c>
      <c r="EG100" s="997">
        <v>-715.55</v>
      </c>
      <c r="EH100" s="998">
        <v>200</v>
      </c>
      <c r="EJ100" s="138">
        <v>45713</v>
      </c>
      <c r="EK100" s="996">
        <v>100</v>
      </c>
      <c r="EL100" s="991">
        <v>-706.6</v>
      </c>
      <c r="EN100" s="138">
        <v>45706</v>
      </c>
      <c r="EO100" s="996">
        <v>100</v>
      </c>
      <c r="EP100" s="991">
        <v>-724.24</v>
      </c>
    </row>
    <row r="101" spans="1:146" x14ac:dyDescent="0.3">
      <c r="B101" s="150" t="s">
        <v>812</v>
      </c>
      <c r="C101" t="s">
        <v>705</v>
      </c>
      <c r="D101" t="s">
        <v>813</v>
      </c>
      <c r="AA101" s="409" t="str">
        <v>ntoSell</v>
      </c>
      <c r="DJ101" s="167">
        <v>45679</v>
      </c>
      <c r="DK101" s="996">
        <v>200</v>
      </c>
      <c r="DL101" s="991">
        <v>748.4</v>
      </c>
      <c r="DO101" s="579">
        <v>100</v>
      </c>
      <c r="DP101" s="162">
        <v>-715.55</v>
      </c>
      <c r="DS101" s="992">
        <v>-603.79999999999995</v>
      </c>
      <c r="DT101" s="993">
        <v>200</v>
      </c>
      <c r="DV101" s="138">
        <v>45856</v>
      </c>
      <c r="DW101" s="996">
        <v>100</v>
      </c>
      <c r="DX101" s="991">
        <v>-632.95000000000005</v>
      </c>
      <c r="DZ101" s="992">
        <v>-647.29999999999995</v>
      </c>
      <c r="EA101" s="993">
        <v>300</v>
      </c>
      <c r="EB101" s="991"/>
      <c r="ED101" s="579">
        <v>100</v>
      </c>
      <c r="EE101" s="162">
        <v>-715.55</v>
      </c>
      <c r="EG101" s="997">
        <v>-717.1</v>
      </c>
      <c r="EH101" s="998">
        <v>100</v>
      </c>
      <c r="EJ101" s="138">
        <v>45680</v>
      </c>
      <c r="EK101" s="996">
        <v>200</v>
      </c>
      <c r="EL101" s="991">
        <v>-715.55</v>
      </c>
      <c r="EN101" s="138">
        <v>45706</v>
      </c>
      <c r="EO101" s="996">
        <v>100</v>
      </c>
      <c r="EP101" s="991">
        <v>-717.1</v>
      </c>
    </row>
    <row r="102" spans="1:146" x14ac:dyDescent="0.3">
      <c r="B102" s="150" t="s">
        <v>814</v>
      </c>
      <c r="C102" t="s">
        <v>706</v>
      </c>
      <c r="AA102" s="409" t="str">
        <v>vReverse</v>
      </c>
      <c r="DJ102" s="167">
        <v>45680</v>
      </c>
      <c r="DK102" s="122">
        <v>200</v>
      </c>
      <c r="DL102" s="162">
        <v>-715.55</v>
      </c>
      <c r="DO102" s="990">
        <v>100</v>
      </c>
      <c r="DP102" s="991">
        <v>-717.1</v>
      </c>
      <c r="DS102" s="994">
        <v>-695.5</v>
      </c>
      <c r="DT102" s="995">
        <v>200</v>
      </c>
      <c r="DV102" s="138">
        <v>45856</v>
      </c>
      <c r="DW102" s="996">
        <v>200</v>
      </c>
      <c r="DX102" s="991">
        <v>-645.5</v>
      </c>
      <c r="DZ102" s="992">
        <v>-653.70000000000005</v>
      </c>
      <c r="EA102" s="993">
        <v>1000</v>
      </c>
      <c r="EB102" s="991"/>
      <c r="ED102" s="990">
        <v>100</v>
      </c>
      <c r="EE102" s="991">
        <v>-717.1</v>
      </c>
      <c r="EG102" s="997">
        <v>-724.24</v>
      </c>
      <c r="EH102" s="998">
        <v>100</v>
      </c>
      <c r="EJ102" s="138">
        <v>45706</v>
      </c>
      <c r="EK102" s="996">
        <v>100</v>
      </c>
      <c r="EL102" s="991">
        <v>-717.1</v>
      </c>
      <c r="EN102" s="138">
        <v>45701</v>
      </c>
      <c r="EO102" s="996">
        <v>100</v>
      </c>
      <c r="EP102" s="991">
        <v>737.1</v>
      </c>
    </row>
    <row r="103" spans="1:146" x14ac:dyDescent="0.3">
      <c r="B103" s="150" t="s">
        <v>815</v>
      </c>
      <c r="C103" t="s">
        <v>707</v>
      </c>
      <c r="AA103" s="409" t="str">
        <v>NMA</v>
      </c>
      <c r="DJ103" s="167">
        <v>45681</v>
      </c>
      <c r="DK103" s="996">
        <v>500</v>
      </c>
      <c r="DL103" s="991">
        <v>-701.05</v>
      </c>
      <c r="DS103" s="992">
        <v>-632.95000000000005</v>
      </c>
      <c r="DT103" s="993">
        <v>100</v>
      </c>
      <c r="DV103" s="138">
        <v>45684</v>
      </c>
      <c r="DW103" s="996">
        <v>200</v>
      </c>
      <c r="DX103" s="991">
        <v>-647.1</v>
      </c>
      <c r="DZ103" s="992">
        <v>-690.9</v>
      </c>
      <c r="EA103" s="993">
        <v>300</v>
      </c>
      <c r="EB103" s="991"/>
      <c r="ED103" s="82">
        <f>SUM(ED85:ED94)</f>
        <v>3600</v>
      </c>
      <c r="EG103" s="88">
        <f>SUM(EG85:EG94)</f>
        <v>-6287.2</v>
      </c>
      <c r="EH103" s="88">
        <f>SUM(EH85:EH94)</f>
        <v>3600</v>
      </c>
      <c r="EJ103" s="138">
        <v>45706</v>
      </c>
      <c r="EK103" s="996">
        <v>100</v>
      </c>
      <c r="EL103" s="991">
        <v>-724.24</v>
      </c>
      <c r="EN103" s="138">
        <v>45684</v>
      </c>
      <c r="EO103" s="996">
        <v>200</v>
      </c>
      <c r="EP103" s="991">
        <v>-647.1</v>
      </c>
    </row>
    <row r="104" spans="1:146" x14ac:dyDescent="0.3">
      <c r="B104" s="150" t="s">
        <v>816</v>
      </c>
      <c r="C104" t="s">
        <v>708</v>
      </c>
      <c r="AA104" s="409" t="str">
        <v>Revenue</v>
      </c>
      <c r="DJ104" s="167">
        <v>45684</v>
      </c>
      <c r="DK104" s="122">
        <v>200</v>
      </c>
      <c r="DL104" s="162">
        <v>-647.1</v>
      </c>
      <c r="DS104" s="994">
        <v>-645.5</v>
      </c>
      <c r="DT104" s="995">
        <v>200</v>
      </c>
      <c r="DV104" s="138">
        <v>45743</v>
      </c>
      <c r="DW104" s="996">
        <v>300</v>
      </c>
      <c r="DX104" s="991">
        <v>-647.29999999999995</v>
      </c>
      <c r="DZ104" s="992">
        <v>-695.5</v>
      </c>
      <c r="EA104" s="993">
        <v>200</v>
      </c>
      <c r="EB104" s="991"/>
      <c r="EJ104" s="138">
        <v>45575</v>
      </c>
      <c r="EK104" s="996">
        <v>200</v>
      </c>
      <c r="EL104" s="991">
        <v>-761.4</v>
      </c>
      <c r="EN104" s="138">
        <v>45681</v>
      </c>
      <c r="EO104" s="996">
        <v>500</v>
      </c>
      <c r="EP104" s="991">
        <v>-701.05</v>
      </c>
    </row>
    <row r="105" spans="1:146" x14ac:dyDescent="0.3">
      <c r="A105" s="92"/>
      <c r="B105" s="151" t="s">
        <v>714</v>
      </c>
      <c r="AA105" s="409" t="str">
        <v>GLMore@A</v>
      </c>
      <c r="DJ105" s="167">
        <v>45701</v>
      </c>
      <c r="DK105" s="996">
        <v>100</v>
      </c>
      <c r="DL105" s="991">
        <v>737.1</v>
      </c>
      <c r="DS105" s="992">
        <v>-602.54999999999995</v>
      </c>
      <c r="DT105" s="993">
        <v>300</v>
      </c>
      <c r="DV105" s="138">
        <v>45583</v>
      </c>
      <c r="DW105" s="996">
        <v>500</v>
      </c>
      <c r="DX105" s="991">
        <v>-653.1</v>
      </c>
      <c r="DZ105" s="992">
        <v>-701.05</v>
      </c>
      <c r="EA105" s="993">
        <v>500</v>
      </c>
      <c r="EB105" s="991"/>
      <c r="EJ105" s="138">
        <v>45506</v>
      </c>
      <c r="EK105" s="996">
        <v>300</v>
      </c>
      <c r="EL105" s="991">
        <v>-763.5</v>
      </c>
      <c r="EN105" s="138">
        <v>45680</v>
      </c>
      <c r="EO105" s="996">
        <v>200</v>
      </c>
      <c r="EP105" s="991">
        <v>-715.55</v>
      </c>
    </row>
    <row r="106" spans="1:146" x14ac:dyDescent="0.3">
      <c r="A106" s="92"/>
      <c r="B106" s="151" t="s">
        <v>709</v>
      </c>
      <c r="D106" t="s">
        <v>817</v>
      </c>
      <c r="AA106" s="409" t="str">
        <v>Ann%RevLB</v>
      </c>
      <c r="DJ106" s="167">
        <v>45706</v>
      </c>
      <c r="DK106" s="122">
        <v>100</v>
      </c>
      <c r="DL106" s="162">
        <v>-724.24</v>
      </c>
      <c r="DS106" s="994">
        <v>-599.29999999999995</v>
      </c>
      <c r="DT106" s="995">
        <v>500</v>
      </c>
      <c r="DV106" s="138">
        <v>45593</v>
      </c>
      <c r="DW106" s="996">
        <v>1000</v>
      </c>
      <c r="DX106" s="991">
        <v>-653.70000000000005</v>
      </c>
      <c r="DZ106" s="992">
        <v>-706.2</v>
      </c>
      <c r="EA106" s="993">
        <v>200</v>
      </c>
      <c r="EB106" s="991"/>
      <c r="EJ106" s="138">
        <v>45531</v>
      </c>
      <c r="EK106" s="996">
        <v>300</v>
      </c>
      <c r="EL106" s="991">
        <v>-791.4</v>
      </c>
      <c r="EN106" s="138">
        <v>45679</v>
      </c>
      <c r="EO106" s="996">
        <v>200</v>
      </c>
      <c r="EP106" s="991">
        <v>748.4</v>
      </c>
    </row>
    <row r="107" spans="1:146" x14ac:dyDescent="0.3">
      <c r="B107" s="150" t="s">
        <v>818</v>
      </c>
      <c r="AA107" s="409" t="str">
        <v>Median</v>
      </c>
      <c r="DJ107" s="167">
        <v>45706</v>
      </c>
      <c r="DK107" s="996">
        <v>100</v>
      </c>
      <c r="DL107" s="991">
        <v>-717.1</v>
      </c>
      <c r="DS107" s="992">
        <v>636.70000000000005</v>
      </c>
      <c r="DT107" s="993"/>
      <c r="DV107" s="138">
        <v>45713</v>
      </c>
      <c r="DW107" s="996">
        <v>300</v>
      </c>
      <c r="DX107" s="991">
        <v>-690.9</v>
      </c>
      <c r="DZ107" s="992">
        <v>-706.6</v>
      </c>
      <c r="EA107" s="993">
        <v>100</v>
      </c>
      <c r="EB107" s="991"/>
      <c r="EJ107" s="138">
        <v>45495</v>
      </c>
      <c r="EK107" s="996">
        <v>500</v>
      </c>
      <c r="EL107" s="991">
        <v>-857.1</v>
      </c>
      <c r="EN107" s="138">
        <v>45677</v>
      </c>
      <c r="EO107" s="996">
        <v>500</v>
      </c>
      <c r="EP107" s="991">
        <v>745.4</v>
      </c>
    </row>
    <row r="108" spans="1:146" x14ac:dyDescent="0.3">
      <c r="B108" s="150" t="s">
        <v>819</v>
      </c>
      <c r="C108" t="s">
        <v>711</v>
      </c>
      <c r="D108" t="s">
        <v>820</v>
      </c>
      <c r="AA108" s="409" t="str">
        <v>Ag:Ch</v>
      </c>
      <c r="DJ108" s="897">
        <v>45713</v>
      </c>
      <c r="DK108" s="122">
        <v>100</v>
      </c>
      <c r="DL108" s="162">
        <v>-706.6</v>
      </c>
      <c r="DS108" s="994">
        <v>646.20000000000005</v>
      </c>
      <c r="DT108" s="995"/>
      <c r="DV108" s="138">
        <v>45833</v>
      </c>
      <c r="DW108" s="996">
        <v>200</v>
      </c>
      <c r="DX108" s="991">
        <v>-695.5</v>
      </c>
      <c r="DZ108" s="992">
        <v>-715.55</v>
      </c>
      <c r="EA108" s="993">
        <v>200</v>
      </c>
      <c r="EB108" s="991"/>
      <c r="EJ108" s="138">
        <v>45491</v>
      </c>
      <c r="EK108" s="996">
        <v>500</v>
      </c>
      <c r="EL108" s="991">
        <v>-860.48699999999997</v>
      </c>
      <c r="EN108" s="138">
        <v>45670</v>
      </c>
      <c r="EO108" s="996">
        <v>200</v>
      </c>
      <c r="EP108" s="991">
        <v>-706.2</v>
      </c>
    </row>
    <row r="109" spans="1:146" x14ac:dyDescent="0.3">
      <c r="B109" s="150" t="s">
        <v>712</v>
      </c>
      <c r="AA109" s="409" t="str">
        <v>Column1</v>
      </c>
      <c r="DJ109" s="897">
        <v>45713</v>
      </c>
      <c r="DK109" s="996">
        <v>300</v>
      </c>
      <c r="DL109" s="991">
        <v>-690.9</v>
      </c>
      <c r="DS109" s="992">
        <v>-622.20000000000005</v>
      </c>
      <c r="DT109" s="993">
        <v>500</v>
      </c>
      <c r="DV109" s="138">
        <v>45681</v>
      </c>
      <c r="DW109" s="996">
        <v>500</v>
      </c>
      <c r="DX109" s="991">
        <v>-701.05</v>
      </c>
      <c r="DZ109" s="992">
        <v>-717.1</v>
      </c>
      <c r="EA109" s="993">
        <v>100</v>
      </c>
      <c r="EB109" s="991"/>
      <c r="EJ109" s="138">
        <v>45490</v>
      </c>
      <c r="EK109" s="996">
        <v>500</v>
      </c>
      <c r="EL109" s="991">
        <v>-879.74199999999996</v>
      </c>
      <c r="EN109" s="138">
        <v>45663</v>
      </c>
      <c r="EO109" s="996">
        <v>200</v>
      </c>
      <c r="EP109" s="991">
        <v>729.4</v>
      </c>
    </row>
    <row r="110" spans="1:146" x14ac:dyDescent="0.3">
      <c r="B110" s="150" t="s">
        <v>821</v>
      </c>
      <c r="C110" t="s">
        <v>710</v>
      </c>
      <c r="AA110" s="409" t="str">
        <v>Column2</v>
      </c>
      <c r="DJ110" s="897">
        <v>45726</v>
      </c>
      <c r="DK110" s="122">
        <v>300</v>
      </c>
      <c r="DL110" s="162">
        <v>-632.79999999999995</v>
      </c>
      <c r="DS110" s="994">
        <v>667.2</v>
      </c>
      <c r="DT110" s="995"/>
      <c r="DV110" s="138">
        <v>45670</v>
      </c>
      <c r="DW110" s="996">
        <v>200</v>
      </c>
      <c r="DX110" s="991">
        <v>-706.2</v>
      </c>
      <c r="DZ110" s="992">
        <v>-724.24</v>
      </c>
      <c r="EA110" s="993">
        <v>100</v>
      </c>
      <c r="EB110" s="991"/>
      <c r="EJ110" s="138">
        <v>40544</v>
      </c>
      <c r="EK110" s="996">
        <v>500</v>
      </c>
      <c r="EL110" s="991">
        <v>-896.1</v>
      </c>
      <c r="EN110" s="138">
        <v>45593</v>
      </c>
      <c r="EO110" s="996">
        <v>1000</v>
      </c>
      <c r="EP110" s="991">
        <v>-653.70000000000005</v>
      </c>
    </row>
    <row r="111" spans="1:146" x14ac:dyDescent="0.3">
      <c r="B111" s="150" t="s">
        <v>822</v>
      </c>
      <c r="C111" t="s">
        <v>713</v>
      </c>
      <c r="DJ111" s="897">
        <v>45735</v>
      </c>
      <c r="DK111" s="996">
        <v>300</v>
      </c>
      <c r="DL111" s="991">
        <v>667.6</v>
      </c>
      <c r="DV111" s="138">
        <v>45713</v>
      </c>
      <c r="DW111" s="996">
        <v>100</v>
      </c>
      <c r="DX111" s="991">
        <v>-706.6</v>
      </c>
      <c r="DZ111" s="992">
        <v>0</v>
      </c>
      <c r="EA111" s="993">
        <v>0</v>
      </c>
      <c r="EB111" s="991"/>
      <c r="EJ111" s="138">
        <v>45468</v>
      </c>
      <c r="EK111" s="996">
        <v>500</v>
      </c>
      <c r="EL111" s="991">
        <v>-945</v>
      </c>
      <c r="EN111" s="138">
        <v>45583</v>
      </c>
      <c r="EO111" s="996">
        <v>500</v>
      </c>
      <c r="EP111" s="991">
        <v>-653.1</v>
      </c>
    </row>
    <row r="112" spans="1:146" x14ac:dyDescent="0.3">
      <c r="B112" s="150" t="s">
        <v>823</v>
      </c>
      <c r="DJ112" s="897">
        <v>45743</v>
      </c>
      <c r="DK112" s="122">
        <v>300</v>
      </c>
      <c r="DL112" s="162">
        <v>-647.29999999999995</v>
      </c>
      <c r="DV112" s="138">
        <v>45680</v>
      </c>
      <c r="DW112" s="996">
        <v>200</v>
      </c>
      <c r="DX112" s="991">
        <v>-715.55</v>
      </c>
      <c r="DZ112" s="992">
        <v>0</v>
      </c>
      <c r="EA112" s="993">
        <v>0</v>
      </c>
      <c r="EB112" s="991"/>
      <c r="EK112">
        <f>SUMIF(EK85:EK94,"&gt;"&amp;$EG$95,EK85:EK94)</f>
        <v>3100</v>
      </c>
      <c r="EN112" s="138">
        <v>45575</v>
      </c>
      <c r="EO112" s="996">
        <v>200</v>
      </c>
      <c r="EP112" s="991">
        <v>-761.4</v>
      </c>
    </row>
    <row r="113" spans="1:146" x14ac:dyDescent="0.3">
      <c r="B113" s="150" t="s">
        <v>824</v>
      </c>
      <c r="DJ113" s="897">
        <v>45749</v>
      </c>
      <c r="DK113" s="996">
        <v>200</v>
      </c>
      <c r="DL113" s="991">
        <v>-603.79999999999995</v>
      </c>
      <c r="DV113" s="138">
        <v>45706</v>
      </c>
      <c r="DW113" s="996">
        <v>100</v>
      </c>
      <c r="DX113" s="991">
        <v>-717.1</v>
      </c>
      <c r="DZ113" s="992">
        <v>0</v>
      </c>
      <c r="EA113" s="993">
        <v>0</v>
      </c>
      <c r="EB113" s="991"/>
      <c r="EN113" s="138">
        <v>45531</v>
      </c>
      <c r="EO113" s="996">
        <v>300</v>
      </c>
      <c r="EP113" s="991">
        <v>-791.4</v>
      </c>
    </row>
    <row r="114" spans="1:146" x14ac:dyDescent="0.3">
      <c r="B114" s="150" t="s">
        <v>825</v>
      </c>
      <c r="C114" t="s">
        <v>715</v>
      </c>
      <c r="DJ114" s="897">
        <v>45833</v>
      </c>
      <c r="DK114" s="122">
        <v>200</v>
      </c>
      <c r="DL114" s="162">
        <v>-695.5</v>
      </c>
      <c r="DV114" s="138">
        <v>45706</v>
      </c>
      <c r="DW114" s="996">
        <v>100</v>
      </c>
      <c r="DX114" s="991">
        <v>-724.24</v>
      </c>
      <c r="DZ114" s="992">
        <v>0</v>
      </c>
      <c r="EA114" s="993">
        <v>0</v>
      </c>
      <c r="EB114" s="991"/>
      <c r="EN114" s="138">
        <v>45523</v>
      </c>
      <c r="EO114" s="996">
        <v>300</v>
      </c>
      <c r="EP114" s="991">
        <v>826.52670000000001</v>
      </c>
    </row>
    <row r="115" spans="1:146" x14ac:dyDescent="0.3">
      <c r="B115" s="150" t="s">
        <v>826</v>
      </c>
      <c r="C115" t="s">
        <v>716</v>
      </c>
      <c r="DJ115" s="897">
        <v>45856</v>
      </c>
      <c r="DK115" s="996">
        <v>100</v>
      </c>
      <c r="DL115" s="991">
        <v>-632.95000000000005</v>
      </c>
      <c r="DV115" s="138">
        <v>45575</v>
      </c>
      <c r="DW115" s="996">
        <v>200</v>
      </c>
      <c r="DX115" s="991">
        <v>-761.4</v>
      </c>
      <c r="DZ115" s="992">
        <v>0</v>
      </c>
      <c r="EA115" s="993">
        <v>0</v>
      </c>
      <c r="EB115" s="991"/>
      <c r="EN115" s="138">
        <v>45506</v>
      </c>
      <c r="EO115" s="996">
        <v>300</v>
      </c>
      <c r="EP115" s="991">
        <v>-763.5</v>
      </c>
    </row>
    <row r="116" spans="1:146" x14ac:dyDescent="0.3">
      <c r="B116" s="150" t="s">
        <v>827</v>
      </c>
      <c r="C116" t="s">
        <v>717</v>
      </c>
      <c r="D116" t="s">
        <v>828</v>
      </c>
      <c r="DJ116" s="897">
        <v>45856</v>
      </c>
      <c r="DK116" s="122">
        <v>200</v>
      </c>
      <c r="DL116" s="162">
        <v>-645.5</v>
      </c>
      <c r="DV116" s="138">
        <v>45506</v>
      </c>
      <c r="DW116" s="996">
        <v>300</v>
      </c>
      <c r="DX116" s="991">
        <v>-763.5</v>
      </c>
      <c r="DZ116" s="992">
        <v>0</v>
      </c>
      <c r="EA116" s="993">
        <v>0</v>
      </c>
      <c r="EB116" s="991"/>
      <c r="EN116" s="138">
        <v>45495</v>
      </c>
      <c r="EO116" s="996">
        <v>500</v>
      </c>
      <c r="EP116" s="991">
        <v>-857.1</v>
      </c>
    </row>
    <row r="117" spans="1:146" x14ac:dyDescent="0.3">
      <c r="B117" s="150" t="s">
        <v>829</v>
      </c>
      <c r="C117" t="s">
        <v>718</v>
      </c>
      <c r="D117" t="s">
        <v>830</v>
      </c>
      <c r="DJ117" s="897">
        <v>45860</v>
      </c>
      <c r="DK117" s="996">
        <v>300</v>
      </c>
      <c r="DL117" s="991">
        <v>-602.54999999999995</v>
      </c>
      <c r="DV117" s="138">
        <v>45531</v>
      </c>
      <c r="DW117" s="996">
        <v>300</v>
      </c>
      <c r="DX117" s="991">
        <v>-791.4</v>
      </c>
      <c r="DZ117" s="992">
        <v>0</v>
      </c>
      <c r="EA117" s="993">
        <v>0</v>
      </c>
      <c r="EN117" s="138">
        <v>45491</v>
      </c>
      <c r="EO117" s="996">
        <v>500</v>
      </c>
      <c r="EP117" s="991">
        <v>-860.48699999999997</v>
      </c>
    </row>
    <row r="118" spans="1:146" x14ac:dyDescent="0.3">
      <c r="B118" s="150" t="s">
        <v>831</v>
      </c>
      <c r="C118" t="s">
        <v>719</v>
      </c>
      <c r="D118" t="s">
        <v>832</v>
      </c>
      <c r="DJ118" s="897">
        <v>45874</v>
      </c>
      <c r="DK118" s="122">
        <v>500</v>
      </c>
      <c r="DL118" s="162">
        <v>-599.29999999999995</v>
      </c>
      <c r="DV118" s="138">
        <v>45495</v>
      </c>
      <c r="DW118" s="996">
        <v>500</v>
      </c>
      <c r="DX118" s="991">
        <v>-857.1</v>
      </c>
      <c r="DZ118" s="992">
        <v>0</v>
      </c>
      <c r="EA118" s="993">
        <v>0</v>
      </c>
      <c r="EN118" s="138">
        <v>45490</v>
      </c>
      <c r="EO118" s="996">
        <v>500</v>
      </c>
      <c r="EP118" s="991">
        <v>-879.74199999999996</v>
      </c>
    </row>
    <row r="119" spans="1:146" x14ac:dyDescent="0.3">
      <c r="B119" s="150" t="s">
        <v>721</v>
      </c>
      <c r="D119" t="s">
        <v>833</v>
      </c>
      <c r="DJ119" s="897">
        <v>45888</v>
      </c>
      <c r="DK119" s="996">
        <v>500</v>
      </c>
      <c r="DL119" s="991">
        <v>636.70000000000005</v>
      </c>
      <c r="DV119" s="138">
        <v>45491</v>
      </c>
      <c r="DW119" s="996">
        <v>500</v>
      </c>
      <c r="DX119" s="991">
        <v>-860.48699999999997</v>
      </c>
      <c r="DZ119" s="992">
        <v>0</v>
      </c>
      <c r="EA119" s="993">
        <v>0</v>
      </c>
      <c r="EN119" s="138">
        <v>45476</v>
      </c>
      <c r="EO119" s="996">
        <v>510</v>
      </c>
      <c r="EP119" s="991">
        <v>982.8</v>
      </c>
    </row>
    <row r="120" spans="1:146" x14ac:dyDescent="0.3">
      <c r="B120" s="150" t="s">
        <v>834</v>
      </c>
      <c r="C120" t="s">
        <v>1017</v>
      </c>
      <c r="DJ120" s="897">
        <v>45895</v>
      </c>
      <c r="DK120" s="122">
        <v>500</v>
      </c>
      <c r="DL120" s="162">
        <v>646.20000000000005</v>
      </c>
      <c r="DV120" s="138">
        <v>45490</v>
      </c>
      <c r="DW120" s="996">
        <v>500</v>
      </c>
      <c r="DX120" s="991">
        <v>-879.74199999999996</v>
      </c>
      <c r="DZ120" s="992">
        <v>0</v>
      </c>
      <c r="EA120" s="993">
        <v>0</v>
      </c>
      <c r="EN120" s="138">
        <v>45468</v>
      </c>
      <c r="EO120" s="996">
        <v>500</v>
      </c>
      <c r="EP120" s="991">
        <v>-945</v>
      </c>
    </row>
    <row r="121" spans="1:146" x14ac:dyDescent="0.3">
      <c r="B121" s="150" t="s">
        <v>835</v>
      </c>
      <c r="DJ121" s="138">
        <v>45902</v>
      </c>
      <c r="DK121" s="996">
        <v>500</v>
      </c>
      <c r="DL121" s="778">
        <v>-622.20000000000005</v>
      </c>
      <c r="DV121" s="138">
        <v>40544</v>
      </c>
      <c r="DW121" s="996">
        <v>500</v>
      </c>
      <c r="DX121" s="991">
        <v>-896.1</v>
      </c>
      <c r="DZ121" s="992">
        <v>0</v>
      </c>
      <c r="EA121" s="993">
        <v>0</v>
      </c>
      <c r="EN121" s="138">
        <v>45453</v>
      </c>
      <c r="EO121" s="996">
        <v>490</v>
      </c>
      <c r="EP121" s="991">
        <v>954.5</v>
      </c>
    </row>
    <row r="122" spans="1:146" x14ac:dyDescent="0.3">
      <c r="B122" s="150" t="s">
        <v>836</v>
      </c>
      <c r="DJ122" s="138">
        <v>45908</v>
      </c>
      <c r="DK122" s="122">
        <v>200</v>
      </c>
      <c r="DL122" s="778">
        <v>667.2</v>
      </c>
      <c r="DV122" s="138">
        <v>45468</v>
      </c>
      <c r="DW122" s="996">
        <v>500</v>
      </c>
      <c r="DX122" s="991">
        <v>-945</v>
      </c>
      <c r="DZ122" s="992">
        <v>0</v>
      </c>
      <c r="EA122" s="993">
        <v>0</v>
      </c>
      <c r="EN122" s="138">
        <v>40544</v>
      </c>
      <c r="EO122" s="996">
        <v>500</v>
      </c>
      <c r="EP122" s="991">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2668</v>
      </c>
    </row>
    <row r="132" spans="1:2" x14ac:dyDescent="0.3">
      <c r="B132" t="s">
        <v>2669</v>
      </c>
    </row>
    <row r="133" spans="1:2" x14ac:dyDescent="0.3">
      <c r="B133" t="s">
        <v>2673</v>
      </c>
    </row>
    <row r="134" spans="1:2" x14ac:dyDescent="0.3">
      <c r="B134" t="s">
        <v>2690</v>
      </c>
    </row>
    <row r="135" spans="1:2" x14ac:dyDescent="0.3">
      <c r="B135" t="s">
        <v>2691</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19</v>
      </c>
      <c r="C3">
        <f>_xlfn.RANK.EQ(DataShift!Y704,DataShift!F704:Y704)</f>
        <v>5</v>
      </c>
      <c r="D3" t="e">
        <f>_xlfn.RANK.EQ(DataShift!AU605,DataShift!AB605:AU605)</f>
        <v>#N/A</v>
      </c>
      <c r="G3">
        <f>_xlfn.RANK.EQ(DataShift!Y205,DataShift!F205:Y205)</f>
        <v>5</v>
      </c>
      <c r="H3">
        <f>_xlfn.RANK.AVG(DataShift!Y205,DataShift!F205:Y205)</f>
        <v>5.5</v>
      </c>
      <c r="I3" s="90">
        <f>_xlfn.PERCENTRANK.INC(DataShift!F205:Y205,DataShift!Y205)</f>
        <v>0.73599999999999999</v>
      </c>
      <c r="J3" s="90"/>
    </row>
    <row r="4" spans="1:10" x14ac:dyDescent="0.3">
      <c r="A4" t="str">
        <f ca="1">TabCalc[[#This Row],[Ticker]]</f>
        <v>ADEA</v>
      </c>
      <c r="B4">
        <f>_xlfn.RANK.EQ(DataShift!AU106,DataShift!AB106:AU106)</f>
        <v>20</v>
      </c>
      <c r="C4">
        <f>_xlfn.RANK.EQ(DataShift!Y705,DataShift!F705:Y705)</f>
        <v>14</v>
      </c>
      <c r="D4" t="e">
        <f>_xlfn.RANK.EQ(DataShift!AU606,DataShift!AB606:AU606)</f>
        <v>#N/A</v>
      </c>
      <c r="G4">
        <f>_xlfn.RANK.EQ(DataShift!Y206,DataShift!F206:Y206)</f>
        <v>20</v>
      </c>
      <c r="H4">
        <f>_xlfn.RANK.AVG(DataShift!Y206,DataShift!F206:Y206)</f>
        <v>20</v>
      </c>
      <c r="I4" s="90">
        <f>_xlfn.PERCENTRANK.INC(DataShift!F206:Y206,DataShift!Y206)</f>
        <v>0</v>
      </c>
    </row>
    <row r="5" spans="1:10" x14ac:dyDescent="0.3">
      <c r="A5" t="str">
        <f ca="1">TabCalc[[#This Row],[Ticker]]</f>
        <v>AET</v>
      </c>
      <c r="B5">
        <f>_xlfn.RANK.EQ(DataShift!AU107,DataShift!AB107:AU107)</f>
        <v>2</v>
      </c>
      <c r="C5">
        <f>_xlfn.RANK.EQ(DataShift!Y706,DataShift!F706:Y706)</f>
        <v>11</v>
      </c>
      <c r="D5" t="e">
        <f>_xlfn.RANK.EQ(DataShift!AU607,DataShift!AB607:AU607)</f>
        <v>#N/A</v>
      </c>
      <c r="G5">
        <f>_xlfn.RANK.EQ(DataShift!Y207,DataShift!F207:Y207)</f>
        <v>4</v>
      </c>
      <c r="H5">
        <f>_xlfn.RANK.AVG(DataShift!Y207,DataShift!F207:Y207)</f>
        <v>5.5</v>
      </c>
      <c r="I5" s="90">
        <f>_xlfn.PERCENTRANK.INC(DataShift!F207:Y207,DataShift!Y207)</f>
        <v>0.68400000000000005</v>
      </c>
    </row>
    <row r="6" spans="1:10" x14ac:dyDescent="0.3">
      <c r="A6" t="str">
        <f ca="1">TabCalc[[#This Row],[Ticker]]</f>
        <v>AMZN</v>
      </c>
      <c r="B6">
        <f>_xlfn.RANK.EQ(DataShift!AU108,DataShift!AB108:AU108)</f>
        <v>19</v>
      </c>
      <c r="C6">
        <f>_xlfn.RANK.EQ(DataShift!Y707,DataShift!F707:Y707)</f>
        <v>11</v>
      </c>
      <c r="D6" t="e">
        <f>_xlfn.RANK.EQ(DataShift!AU608,DataShift!AB608:AU608)</f>
        <v>#N/A</v>
      </c>
      <c r="G6">
        <f>_xlfn.RANK.EQ(DataShift!Y208,DataShift!F208:Y208)</f>
        <v>12</v>
      </c>
      <c r="H6">
        <f>_xlfn.RANK.AVG(DataShift!Y208,DataShift!F208:Y208)</f>
        <v>12</v>
      </c>
      <c r="I6" s="90">
        <f>_xlfn.PERCENTRANK.INC(DataShift!F208:Y208,DataShift!Y208)</f>
        <v>0.42099999999999999</v>
      </c>
    </row>
    <row r="7" spans="1:10" x14ac:dyDescent="0.3">
      <c r="A7" t="str">
        <f ca="1">TabCalc[[#This Row],[Ticker]]</f>
        <v>ALDNE</v>
      </c>
      <c r="B7">
        <f>_xlfn.RANK.EQ(DataShift!AU109,DataShift!AB109:AU109)</f>
        <v>11</v>
      </c>
      <c r="C7">
        <f>_xlfn.RANK.EQ(DataShift!Y708,DataShift!F708:Y708)</f>
        <v>5</v>
      </c>
      <c r="D7" t="e">
        <f>_xlfn.RANK.EQ(DataShift!AU609,DataShift!AB609:AU609)</f>
        <v>#N/A</v>
      </c>
      <c r="G7">
        <f>_xlfn.RANK.EQ(DataShift!Y209,DataShift!F209:Y209)</f>
        <v>18</v>
      </c>
      <c r="H7">
        <f>_xlfn.RANK.AVG(DataShift!Y209,DataShift!F209:Y209)</f>
        <v>18</v>
      </c>
      <c r="I7" s="90">
        <f>_xlfn.PERCENTRANK.INC(DataShift!F209:Y209,DataShift!Y209)</f>
        <v>0.105</v>
      </c>
    </row>
    <row r="8" spans="1:10" x14ac:dyDescent="0.3">
      <c r="A8" t="str">
        <f ca="1">TabCalc[[#This Row],[Ticker]]</f>
        <v>ASML</v>
      </c>
      <c r="B8">
        <f>_xlfn.RANK.EQ(DataShift!AU110,DataShift!AB110:AU110)</f>
        <v>6</v>
      </c>
      <c r="C8">
        <f>_xlfn.RANK.EQ(DataShift!Y709,DataShift!F709:Y709)</f>
        <v>3</v>
      </c>
      <c r="D8" t="e">
        <f>_xlfn.RANK.EQ(DataShift!AU610,DataShift!AB610:AU610)</f>
        <v>#N/A</v>
      </c>
      <c r="G8">
        <f>_xlfn.RANK.EQ(DataShift!Y210,DataShift!F210:Y210)</f>
        <v>11</v>
      </c>
      <c r="H8">
        <f>_xlfn.RANK.AVG(DataShift!Y210,DataShift!F210:Y210)</f>
        <v>11</v>
      </c>
      <c r="I8" s="90">
        <f>_xlfn.PERCENTRANK.INC(DataShift!F210:Y210,DataShift!Y210)</f>
        <v>0.47299999999999998</v>
      </c>
    </row>
    <row r="9" spans="1:10" hidden="1" x14ac:dyDescent="0.3">
      <c r="A9" t="str">
        <f ca="1">TabCalc[[#This Row],[Ticker]]</f>
        <v>AVGO</v>
      </c>
      <c r="B9">
        <f>_xlfn.RANK.EQ(DataShift!AU112,DataShift!AB112:AU112)</f>
        <v>8</v>
      </c>
      <c r="C9">
        <f>_xlfn.RANK.EQ(DataShift!Y711,DataShift!F711:Y711)</f>
        <v>15</v>
      </c>
      <c r="D9" t="e">
        <f>_xlfn.RANK.EQ(DataShift!AU612,DataShift!AB612:AU612)</f>
        <v>#N/A</v>
      </c>
      <c r="G9">
        <f>_xlfn.RANK.EQ(DataShift!Y212,DataShift!F212:Y212)</f>
        <v>3</v>
      </c>
      <c r="H9">
        <f>_xlfn.RANK.AVG(DataShift!Y212,DataShift!F212:Y212)</f>
        <v>3</v>
      </c>
      <c r="I9" s="90">
        <f>_xlfn.PERCENTRANK.INC(DataShift!F212:Y212,DataShift!Y212)</f>
        <v>0.89400000000000002</v>
      </c>
    </row>
    <row r="10" spans="1:10" hidden="1" x14ac:dyDescent="0.3">
      <c r="A10" t="str">
        <f ca="1">TabCalc[[#This Row],[Ticker]]</f>
        <v>AZN</v>
      </c>
      <c r="B10">
        <f>_xlfn.RANK.EQ(DataShift!AU113,DataShift!AB113:AU113)</f>
        <v>19</v>
      </c>
      <c r="C10">
        <f>_xlfn.RANK.EQ(DataShift!Y712,DataShift!F712:Y712)</f>
        <v>12</v>
      </c>
      <c r="D10" t="e">
        <f>_xlfn.RANK.EQ(DataShift!AU613,DataShift!AB613:AU613)</f>
        <v>#N/A</v>
      </c>
      <c r="G10">
        <f>_xlfn.RANK.EQ(DataShift!Y213,DataShift!F213:Y213)</f>
        <v>20</v>
      </c>
      <c r="H10">
        <f>_xlfn.RANK.AVG(DataShift!Y213,DataShift!F213:Y213)</f>
        <v>20</v>
      </c>
      <c r="I10" s="90">
        <f>_xlfn.PERCENTRANK.INC(DataShift!F213:Y213,DataShift!Y213)</f>
        <v>0</v>
      </c>
    </row>
    <row r="11" spans="1:10" hidden="1" x14ac:dyDescent="0.3">
      <c r="A11" t="str">
        <f ca="1">TabCalc[[#This Row],[Ticker]]</f>
        <v>BLDP</v>
      </c>
      <c r="B11">
        <f>_xlfn.RANK.EQ(DataShift!AU114,DataShift!AB114:AU114)</f>
        <v>20</v>
      </c>
      <c r="C11">
        <f>_xlfn.RANK.EQ(DataShift!Y713,DataShift!F713:Y713)</f>
        <v>14</v>
      </c>
      <c r="D11" t="e">
        <f>_xlfn.RANK.EQ(DataShift!AU614,DataShift!AB614:AU614)</f>
        <v>#N/A</v>
      </c>
      <c r="G11">
        <f>_xlfn.RANK.EQ(DataShift!Y214,DataShift!F214:Y214)</f>
        <v>20</v>
      </c>
      <c r="H11">
        <f>_xlfn.RANK.AVG(DataShift!Y214,DataShift!F214:Y214)</f>
        <v>20</v>
      </c>
      <c r="I11" s="90">
        <f>_xlfn.PERCENTRANK.INC(DataShift!F214:Y214,DataShift!Y214)</f>
        <v>0</v>
      </c>
    </row>
    <row r="12" spans="1:10" hidden="1" x14ac:dyDescent="0.3">
      <c r="A12" t="str">
        <f ca="1">TabCalc[[#This Row],[Ticker]]</f>
        <v>BMRA</v>
      </c>
      <c r="B12">
        <f>_xlfn.RANK.EQ(DataShift!AU115,DataShift!AB115:AU115)</f>
        <v>19</v>
      </c>
      <c r="C12">
        <f>_xlfn.RANK.EQ(DataShift!Y714,DataShift!F714:Y714)</f>
        <v>5</v>
      </c>
      <c r="D12" t="e">
        <f>_xlfn.RANK.EQ(DataShift!AU615,DataShift!AB615:AU615)</f>
        <v>#N/A</v>
      </c>
      <c r="G12">
        <f>_xlfn.RANK.EQ(DataShift!Y215,DataShift!F215:Y215)</f>
        <v>10</v>
      </c>
      <c r="H12">
        <f>_xlfn.RANK.AVG(DataShift!Y215,DataShift!F215:Y215)</f>
        <v>10</v>
      </c>
      <c r="I12" s="90">
        <f>_xlfn.PERCENTRANK.INC(DataShift!F215:Y215,DataShift!Y215)</f>
        <v>0.52600000000000002</v>
      </c>
    </row>
    <row r="13" spans="1:10" hidden="1" x14ac:dyDescent="0.3">
      <c r="A13" t="str">
        <f ca="1">TabCalc[[#This Row],[Ticker]]</f>
        <v>C</v>
      </c>
      <c r="B13">
        <f>_xlfn.RANK.EQ(DataShift!AU116,DataShift!AB116:AU116)</f>
        <v>19</v>
      </c>
      <c r="C13">
        <f>_xlfn.RANK.EQ(DataShift!Y715,DataShift!F715:Y715)</f>
        <v>5</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19</v>
      </c>
      <c r="C14">
        <f>_xlfn.RANK.EQ(DataShift!Y716,DataShift!F716:Y716)</f>
        <v>19</v>
      </c>
      <c r="D14" t="e">
        <f>_xlfn.RANK.EQ(DataShift!AU617,DataShift!AB617:AU617)</f>
        <v>#N/A</v>
      </c>
      <c r="G14">
        <f>_xlfn.RANK.EQ(DataShift!Y217,DataShift!F217:Y217)</f>
        <v>20</v>
      </c>
      <c r="H14">
        <f>_xlfn.RANK.AVG(DataShift!Y217,DataShift!F217:Y217)</f>
        <v>20</v>
      </c>
      <c r="I14" s="90">
        <f>_xlfn.PERCENTRANK.INC(DataShift!F217:Y217,DataShift!Y217)</f>
        <v>0</v>
      </c>
    </row>
    <row r="15" spans="1:10" hidden="1" x14ac:dyDescent="0.3">
      <c r="A15" t="str">
        <f ca="1">TabCalc[[#This Row],[Ticker]]</f>
        <v>CVS</v>
      </c>
      <c r="B15">
        <f>_xlfn.RANK.EQ(DataShift!AU118,DataShift!AB118:AU118)</f>
        <v>19</v>
      </c>
      <c r="C15">
        <f>_xlfn.RANK.EQ(DataShift!Y717,DataShift!F717:Y717)</f>
        <v>12</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19</v>
      </c>
      <c r="C16">
        <f>_xlfn.RANK.EQ(DataShift!Y718,DataShift!F718:Y718)</f>
        <v>14</v>
      </c>
      <c r="D16" t="e">
        <f>_xlfn.RANK.EQ(DataShift!AU619,DataShift!AB619:AU619)</f>
        <v>#N/A</v>
      </c>
      <c r="G16">
        <f>_xlfn.RANK.EQ(DataShift!Y219,DataShift!F219:Y219)</f>
        <v>20</v>
      </c>
      <c r="H16">
        <f>_xlfn.RANK.AVG(DataShift!Y219,DataShift!F219:Y219)</f>
        <v>20</v>
      </c>
      <c r="I16" s="90">
        <f>_xlfn.PERCENTRANK.INC(DataShift!F219:Y219,DataShift!Y219)</f>
        <v>0</v>
      </c>
    </row>
    <row r="17" spans="1:9" hidden="1" x14ac:dyDescent="0.3">
      <c r="A17" t="str">
        <f ca="1">TabCalc[[#This Row],[Ticker]]</f>
        <v>DIS</v>
      </c>
      <c r="B17">
        <f>_xlfn.RANK.EQ(DataShift!AU120,DataShift!AB120:AU120)</f>
        <v>5</v>
      </c>
      <c r="C17">
        <f>_xlfn.RANK.EQ(DataShift!Y719,DataShift!F719:Y719)</f>
        <v>5</v>
      </c>
      <c r="D17" t="e">
        <f>_xlfn.RANK.EQ(DataShift!AU620,DataShift!AB620:AU620)</f>
        <v>#N/A</v>
      </c>
      <c r="G17">
        <f>_xlfn.RANK.EQ(DataShift!Y220,DataShift!F220:Y220)</f>
        <v>17</v>
      </c>
      <c r="H17">
        <f>_xlfn.RANK.AVG(DataShift!Y220,DataShift!F220:Y220)</f>
        <v>17</v>
      </c>
      <c r="I17" s="90">
        <f>_xlfn.PERCENTRANK.INC(DataShift!F220:Y220,DataShift!Y220)</f>
        <v>0.157</v>
      </c>
    </row>
    <row r="18" spans="1:9" hidden="1" x14ac:dyDescent="0.3">
      <c r="A18" t="str">
        <f ca="1">TabCalc[[#This Row],[Ticker]]</f>
        <v>DSY</v>
      </c>
      <c r="B18">
        <f>_xlfn.RANK.EQ(DataShift!AU121,DataShift!AB121:AU121)</f>
        <v>20</v>
      </c>
      <c r="C18">
        <f>_xlfn.RANK.EQ(DataShift!Y720,DataShift!F720:Y720)</f>
        <v>18</v>
      </c>
      <c r="D18" t="e">
        <f>_xlfn.RANK.EQ(DataShift!AU621,DataShift!AB621:AU621)</f>
        <v>#N/A</v>
      </c>
      <c r="G18">
        <f>_xlfn.RANK.EQ(DataShift!Y221,DataShift!F221:Y221)</f>
        <v>20</v>
      </c>
      <c r="H18">
        <f>_xlfn.RANK.AVG(DataShift!Y221,DataShift!F221:Y221)</f>
        <v>20</v>
      </c>
      <c r="I18" s="90">
        <f>_xlfn.PERCENTRANK.INC(DataShift!F221:Y221,DataShift!Y221)</f>
        <v>0</v>
      </c>
    </row>
    <row r="19" spans="1:9" hidden="1" x14ac:dyDescent="0.3">
      <c r="A19" t="str">
        <f ca="1">TabCalc[[#This Row],[Ticker]]</f>
        <v>DVA</v>
      </c>
      <c r="B19">
        <f>_xlfn.RANK.EQ(DataShift!AU122,DataShift!AB122:AU122)</f>
        <v>19</v>
      </c>
      <c r="C19">
        <f>_xlfn.RANK.EQ(DataShift!Y721,DataShift!F721:Y721)</f>
        <v>14</v>
      </c>
      <c r="D19" t="e">
        <f>_xlfn.RANK.EQ(DataShift!AU622,DataShift!AB622:AU622)</f>
        <v>#N/A</v>
      </c>
      <c r="G19">
        <f>_xlfn.RANK.EQ(DataShift!Y222,DataShift!F222:Y222)</f>
        <v>20</v>
      </c>
      <c r="H19">
        <f>_xlfn.RANK.AVG(DataShift!Y222,DataShift!F222:Y222)</f>
        <v>20</v>
      </c>
      <c r="I19" s="90">
        <f>_xlfn.PERCENTRANK.INC(DataShift!F222:Y222,DataShift!Y222)</f>
        <v>0</v>
      </c>
    </row>
    <row r="20" spans="1:9" hidden="1" x14ac:dyDescent="0.3">
      <c r="A20" t="str">
        <f ca="1">TabCalc[[#This Row],[Ticker]]</f>
        <v>DXC</v>
      </c>
      <c r="B20">
        <f>_xlfn.RANK.EQ(DataShift!AU123,DataShift!AB123:AU123)</f>
        <v>19</v>
      </c>
      <c r="C20">
        <f>_xlfn.RANK.EQ(DataShift!Y722,DataShift!F722:Y722)</f>
        <v>12</v>
      </c>
      <c r="D20" t="e">
        <f>_xlfn.RANK.EQ(DataShift!AU623,DataShift!AB623:AU623)</f>
        <v>#N/A</v>
      </c>
      <c r="G20">
        <f>_xlfn.RANK.EQ(DataShift!Y223,DataShift!F223:Y223)</f>
        <v>18</v>
      </c>
      <c r="H20">
        <f>_xlfn.RANK.AVG(DataShift!Y223,DataShift!F223:Y223)</f>
        <v>18</v>
      </c>
      <c r="I20" s="90">
        <f>_xlfn.PERCENTRANK.INC(DataShift!F223:Y223,DataShift!Y223)</f>
        <v>0.105</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19</v>
      </c>
      <c r="C22">
        <f>_xlfn.RANK.EQ(DataShift!Y724,DataShift!F724:Y724)</f>
        <v>7</v>
      </c>
      <c r="D22" t="e">
        <f>_xlfn.RANK.EQ(DataShift!AU625,DataShift!AB625:AU625)</f>
        <v>#N/A</v>
      </c>
      <c r="G22">
        <f>_xlfn.RANK.EQ(DataShift!Y225,DataShift!F225:Y225)</f>
        <v>6</v>
      </c>
      <c r="H22">
        <f>_xlfn.RANK.AVG(DataShift!Y225,DataShift!F225:Y225)</f>
        <v>6</v>
      </c>
      <c r="I22" s="90">
        <f>_xlfn.PERCENTRANK.INC(DataShift!F225:Y225,DataShift!Y225)</f>
        <v>0.73599999999999999</v>
      </c>
    </row>
    <row r="23" spans="1:9" hidden="1" x14ac:dyDescent="0.3">
      <c r="A23" t="str">
        <f ca="1">TabCalc[[#This Row],[Ticker]]</f>
        <v>GM</v>
      </c>
      <c r="B23">
        <f>_xlfn.RANK.EQ(DataShift!AU126,DataShift!AB126:AU126)</f>
        <v>19</v>
      </c>
      <c r="C23">
        <f>_xlfn.RANK.EQ(DataShift!Y725,DataShift!F725:Y725)</f>
        <v>16</v>
      </c>
      <c r="D23" t="e">
        <f>_xlfn.RANK.EQ(DataShift!AU626,DataShift!AB626:AU626)</f>
        <v>#N/A</v>
      </c>
      <c r="G23">
        <f>_xlfn.RANK.EQ(DataShift!Y226,DataShift!F226:Y226)</f>
        <v>20</v>
      </c>
      <c r="H23">
        <f>_xlfn.RANK.AVG(DataShift!Y226,DataShift!F226:Y226)</f>
        <v>20</v>
      </c>
      <c r="I23" s="90">
        <f>_xlfn.PERCENTRANK.INC(DataShift!F226:Y226,DataShift!Y226)</f>
        <v>0</v>
      </c>
    </row>
    <row r="24" spans="1:9" hidden="1" x14ac:dyDescent="0.3">
      <c r="A24" t="str">
        <f ca="1">TabCalc[[#This Row],[Ticker]]</f>
        <v>HPE</v>
      </c>
      <c r="B24">
        <f>_xlfn.RANK.EQ(DataShift!AU127,DataShift!AB127:AU127)</f>
        <v>19</v>
      </c>
      <c r="C24">
        <f>_xlfn.RANK.EQ(DataShift!Y726,DataShift!F726:Y726)</f>
        <v>14</v>
      </c>
      <c r="D24" t="e">
        <f>_xlfn.RANK.EQ(DataShift!AU627,DataShift!AB627:AU627)</f>
        <v>#N/A</v>
      </c>
      <c r="G24">
        <f>_xlfn.RANK.EQ(DataShift!Y227,DataShift!F227:Y227)</f>
        <v>20</v>
      </c>
      <c r="H24">
        <f>_xlfn.RANK.AVG(DataShift!Y227,DataShift!F227:Y227)</f>
        <v>20</v>
      </c>
      <c r="I24" s="90">
        <f>_xlfn.PERCENTRANK.INC(DataShift!F227:Y227,DataShift!Y227)</f>
        <v>0</v>
      </c>
    </row>
    <row r="25" spans="1:9" hidden="1" x14ac:dyDescent="0.3">
      <c r="A25" t="str">
        <f ca="1">TabCalc[[#This Row],[Ticker]]</f>
        <v>HPQ</v>
      </c>
      <c r="B25">
        <f>_xlfn.RANK.EQ(DataShift!AU128,DataShift!AB128:AU128)</f>
        <v>13</v>
      </c>
      <c r="C25">
        <f>_xlfn.RANK.EQ(DataShift!Y727,DataShift!F727:Y727)</f>
        <v>3</v>
      </c>
      <c r="D25" t="e">
        <f>_xlfn.RANK.EQ(DataShift!AU628,DataShift!AB628:AU628)</f>
        <v>#N/A</v>
      </c>
      <c r="G25">
        <f>_xlfn.RANK.EQ(DataShift!Y228,DataShift!F228:Y228)</f>
        <v>18</v>
      </c>
      <c r="H25">
        <f>_xlfn.RANK.AVG(DataShift!Y228,DataShift!F228:Y228)</f>
        <v>18</v>
      </c>
      <c r="I25" s="90">
        <f>_xlfn.PERCENTRANK.INC(DataShift!F228:Y228,DataShift!Y228)</f>
        <v>0.105</v>
      </c>
    </row>
    <row r="26" spans="1:9" hidden="1" x14ac:dyDescent="0.3">
      <c r="A26" t="str">
        <f ca="1">TabCalc[[#This Row],[Ticker]]</f>
        <v>IAG</v>
      </c>
      <c r="B26">
        <f>_xlfn.RANK.EQ(DataShift!AU129,DataShift!AB129:AU129)</f>
        <v>19</v>
      </c>
      <c r="C26">
        <f>_xlfn.RANK.EQ(DataShift!Y728,DataShift!F728:Y728)</f>
        <v>10</v>
      </c>
      <c r="D26" t="e">
        <f>_xlfn.RANK.EQ(DataShift!AU629,DataShift!AB629:AU629)</f>
        <v>#N/A</v>
      </c>
      <c r="G26">
        <f>_xlfn.RANK.EQ(DataShift!Y229,DataShift!F229:Y229)</f>
        <v>12</v>
      </c>
      <c r="H26">
        <f>_xlfn.RANK.AVG(DataShift!Y229,DataShift!F229:Y229)</f>
        <v>12</v>
      </c>
      <c r="I26" s="90">
        <f>_xlfn.PERCENTRANK.INC(DataShift!F229:Y229,DataShift!Y229)</f>
        <v>0.42099999999999999</v>
      </c>
    </row>
    <row r="27" spans="1:9" hidden="1" x14ac:dyDescent="0.3">
      <c r="A27" t="str">
        <f ca="1">TabCalc[[#This Row],[Ticker]]</f>
        <v>KR</v>
      </c>
      <c r="B27">
        <f>_xlfn.RANK.EQ(DataShift!AU130,DataShift!AB130:AU130)</f>
        <v>20</v>
      </c>
      <c r="C27">
        <f>_xlfn.RANK.EQ(DataShift!Y729,DataShift!F729:Y729)</f>
        <v>5</v>
      </c>
      <c r="D27" t="e">
        <f>_xlfn.RANK.EQ(DataShift!AU630,DataShift!AB630:AU630)</f>
        <v>#N/A</v>
      </c>
      <c r="G27">
        <f>_xlfn.RANK.EQ(DataShift!Y230,DataShift!F230:Y230)</f>
        <v>19</v>
      </c>
      <c r="H27">
        <f>_xlfn.RANK.AVG(DataShift!Y230,DataShift!F230:Y230)</f>
        <v>19</v>
      </c>
      <c r="I27" s="90">
        <f>_xlfn.PERCENTRANK.INC(DataShift!F230:Y230,DataShift!Y230)</f>
        <v>5.1999999999999998E-2</v>
      </c>
    </row>
    <row r="28" spans="1:9" hidden="1" x14ac:dyDescent="0.3">
      <c r="A28" t="str">
        <f ca="1">TabCalc[[#This Row],[Ticker]]</f>
        <v>LNSR</v>
      </c>
      <c r="B28">
        <f>_xlfn.RANK.EQ(DataShift!AU131,DataShift!AB131:AU131)</f>
        <v>19</v>
      </c>
      <c r="C28">
        <f>_xlfn.RANK.EQ(DataShift!Y730,DataShift!F730:Y730)</f>
        <v>11</v>
      </c>
      <c r="D28" t="e">
        <f>_xlfn.RANK.EQ(DataShift!AU631,DataShift!AB631:AU631)</f>
        <v>#N/A</v>
      </c>
      <c r="G28">
        <f>_xlfn.RANK.EQ(DataShift!Y231,DataShift!F231:Y231)</f>
        <v>12</v>
      </c>
      <c r="H28">
        <f>_xlfn.RANK.AVG(DataShift!Y231,DataShift!F231:Y231)</f>
        <v>12</v>
      </c>
      <c r="I28" s="90">
        <f>_xlfn.PERCENTRANK.INC(DataShift!F231:Y231,DataShift!Y231)</f>
        <v>0.42099999999999999</v>
      </c>
    </row>
    <row r="29" spans="1:9" hidden="1" x14ac:dyDescent="0.3">
      <c r="A29" t="str">
        <f ca="1">TabCalc[[#This Row],[Ticker]]</f>
        <v>LUMN</v>
      </c>
      <c r="B29">
        <f>_xlfn.RANK.EQ(DataShift!AU132,DataShift!AB132:AU132)</f>
        <v>19</v>
      </c>
      <c r="C29">
        <f>_xlfn.RANK.EQ(DataShift!Y731,DataShift!F731:Y731)</f>
        <v>17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19</v>
      </c>
      <c r="C30">
        <f>_xlfn.RANK.EQ(DataShift!Y732,DataShift!F732:Y732)</f>
        <v>17</v>
      </c>
      <c r="D30" t="e">
        <f>_xlfn.RANK.EQ(DataShift!AU633,DataShift!AB633:AU633)</f>
        <v>#N/A</v>
      </c>
      <c r="G30">
        <f>_xlfn.RANK.EQ(DataShift!Y233,DataShift!F233:Y233)</f>
        <v>20</v>
      </c>
      <c r="H30">
        <f>_xlfn.RANK.AVG(DataShift!Y233,DataShift!F233:Y233)</f>
        <v>20</v>
      </c>
      <c r="I30" s="90">
        <f>_xlfn.PERCENTRANK.INC(DataShift!F233:Y233,DataShift!Y233)</f>
        <v>0</v>
      </c>
    </row>
    <row r="31" spans="1:9" hidden="1" x14ac:dyDescent="0.3">
      <c r="A31" t="str">
        <f ca="1">TabCalc[[#This Row],[Ticker]]</f>
        <v>MSFT</v>
      </c>
      <c r="B31">
        <f>_xlfn.RANK.EQ(DataShift!AU134,DataShift!AB134:AU134)</f>
        <v>19</v>
      </c>
      <c r="C31">
        <f>_xlfn.RANK.EQ(DataShift!Y733,DataShift!F733:Y733)</f>
        <v>10</v>
      </c>
      <c r="D31" t="e">
        <f>_xlfn.RANK.EQ(DataShift!AU634,DataShift!AB634:AU634)</f>
        <v>#N/A</v>
      </c>
      <c r="G31">
        <f>_xlfn.RANK.EQ(DataShift!Y234,DataShift!F234:Y234)</f>
        <v>5</v>
      </c>
      <c r="H31">
        <f>_xlfn.RANK.AVG(DataShift!Y234,DataShift!F234:Y234)</f>
        <v>5</v>
      </c>
      <c r="I31" s="90">
        <f>_xlfn.PERCENTRANK.INC(DataShift!F234:Y234,DataShift!Y234)</f>
        <v>0.78900000000000003</v>
      </c>
    </row>
    <row r="32" spans="1:9" hidden="1" x14ac:dyDescent="0.3">
      <c r="A32" t="str">
        <f ca="1">TabCalc[[#This Row],[Ticker]]</f>
        <v>NEE</v>
      </c>
      <c r="B32">
        <f>_xlfn.RANK.EQ(DataShift!AU135,DataShift!AB135:AU135)</f>
        <v>19</v>
      </c>
      <c r="C32">
        <f>_xlfn.RANK.EQ(DataShift!Y734,DataShift!F734:Y734)</f>
        <v>9</v>
      </c>
      <c r="D32" t="e">
        <f>_xlfn.RANK.EQ(DataShift!AU635,DataShift!AB635:AU635)</f>
        <v>#N/A</v>
      </c>
      <c r="G32">
        <f>_xlfn.RANK.EQ(DataShift!Y235,DataShift!F235:Y235)</f>
        <v>8</v>
      </c>
      <c r="H32">
        <f>_xlfn.RANK.AVG(DataShift!Y235,DataShift!F235:Y235)</f>
        <v>8</v>
      </c>
      <c r="I32" s="90">
        <f>_xlfn.PERCENTRANK.INC(DataShift!F235:Y235,DataShift!Y235)</f>
        <v>0.63100000000000001</v>
      </c>
    </row>
    <row r="33" spans="1:9" hidden="1" x14ac:dyDescent="0.3">
      <c r="A33" t="str">
        <f ca="1">TabCalc[[#This Row],[Ticker]]</f>
        <v>NEM</v>
      </c>
      <c r="B33">
        <f>_xlfn.RANK.EQ(DataShift!AU136,DataShift!AB136:AU136)</f>
        <v>19</v>
      </c>
      <c r="C33">
        <f>_xlfn.RANK.EQ(DataShift!Y735,DataShift!F735:Y735)</f>
        <v>18</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19</v>
      </c>
      <c r="C34">
        <f>_xlfn.RANK.EQ(DataShift!Y736,DataShift!F736:Y736)</f>
        <v>13</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19</v>
      </c>
      <c r="C35">
        <f>_xlfn.RANK.EQ(DataShift!Y737,DataShift!F737:Y737)</f>
        <v>11</v>
      </c>
      <c r="D35" t="e">
        <f>_xlfn.RANK.EQ(DataShift!AU638,DataShift!AB638:AU638)</f>
        <v>#N/A</v>
      </c>
      <c r="G35">
        <f>_xlfn.RANK.EQ(DataShift!Y238,DataShift!F238:Y238)</f>
        <v>6</v>
      </c>
      <c r="H35">
        <f>_xlfn.RANK.AVG(DataShift!Y238,DataShift!F238:Y238)</f>
        <v>6</v>
      </c>
      <c r="I35" s="90">
        <f>_xlfn.PERCENTRANK.INC(DataShift!F238:Y238,DataShift!Y238)</f>
        <v>0.73599999999999999</v>
      </c>
    </row>
    <row r="36" spans="1:9" hidden="1" x14ac:dyDescent="0.3">
      <c r="A36" t="str">
        <f ca="1">TabCalc[[#This Row],[Ticker]]</f>
        <v>PAAS</v>
      </c>
      <c r="B36">
        <f>_xlfn.RANK.EQ(DataShift!AU139,DataShift!AB139:AU139)</f>
        <v>16</v>
      </c>
      <c r="C36">
        <f>_xlfn.RANK.EQ(DataShift!Y738,DataShift!F738:Y738)</f>
        <v>17</v>
      </c>
      <c r="D36" t="e">
        <f>_xlfn.RANK.EQ(DataShift!AU639,DataShift!AB639:AU639)</f>
        <v>#N/A</v>
      </c>
      <c r="G36">
        <f>_xlfn.RANK.EQ(DataShift!Y239,DataShift!F239:Y239)</f>
        <v>5</v>
      </c>
      <c r="H36">
        <f>_xlfn.RANK.AVG(DataShift!Y239,DataShift!F239:Y239)</f>
        <v>5</v>
      </c>
      <c r="I36" s="90">
        <f>_xlfn.PERCENTRANK.INC(DataShift!F239:Y239,DataShift!Y239)</f>
        <v>0.78900000000000003</v>
      </c>
    </row>
    <row r="37" spans="1:9" hidden="1" x14ac:dyDescent="0.3">
      <c r="A37" t="str">
        <f ca="1">TabCalc[[#This Row],[Ticker]]</f>
        <v>PROF</v>
      </c>
      <c r="B37">
        <f>_xlfn.RANK.EQ(DataShift!AU140,DataShift!AB140:AU140)</f>
        <v>19</v>
      </c>
      <c r="C37">
        <f>_xlfn.RANK.EQ(DataShift!Y739,DataShift!F739:Y739)</f>
        <v>11</v>
      </c>
      <c r="D37" t="e">
        <f>_xlfn.RANK.EQ(DataShift!AU640,DataShift!AB640:AU640)</f>
        <v>#N/A</v>
      </c>
      <c r="G37">
        <f>_xlfn.RANK.EQ(DataShift!Y240,DataShift!F240:Y240)</f>
        <v>20</v>
      </c>
      <c r="H37">
        <f>_xlfn.RANK.AVG(DataShift!Y240,DataShift!F240:Y240)</f>
        <v>20</v>
      </c>
      <c r="I37" s="90">
        <f>_xlfn.PERCENTRANK.INC(DataShift!F240:Y240,DataShift!Y240)</f>
        <v>0</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19</v>
      </c>
      <c r="H38">
        <f>_xlfn.RANK.AVG(DataShift!Y241,DataShift!F241:Y241)</f>
        <v>19</v>
      </c>
      <c r="I38" s="90">
        <f>_xlfn.PERCENTRANK.INC(DataShift!F241:Y241,DataShift!Y241)</f>
        <v>5.1999999999999998E-2</v>
      </c>
    </row>
    <row r="39" spans="1:9" hidden="1" x14ac:dyDescent="0.3">
      <c r="A39" t="str">
        <f ca="1">TabCalc[[#This Row],[Ticker]]</f>
        <v>PW</v>
      </c>
      <c r="B39">
        <f>_xlfn.RANK.EQ(DataShift!AU142,DataShift!AB142:AU142)</f>
        <v>8</v>
      </c>
      <c r="C39">
        <f>_xlfn.RANK.EQ(DataShift!Y741,DataShift!F741:Y741)</f>
        <v>20</v>
      </c>
      <c r="D39" t="e">
        <f>_xlfn.RANK.EQ(DataShift!AU642,DataShift!AB642:AU642)</f>
        <v>#N/A</v>
      </c>
      <c r="G39">
        <f>_xlfn.RANK.EQ(DataShift!Y242,DataShift!F242:Y242)</f>
        <v>2</v>
      </c>
      <c r="H39">
        <f>_xlfn.RANK.AVG(DataShift!Y242,DataShift!F242:Y242)</f>
        <v>2</v>
      </c>
      <c r="I39" s="90">
        <f>_xlfn.PERCENTRANK.INC(DataShift!F242:Y242,DataShift!Y242)</f>
        <v>0.94699999999999995</v>
      </c>
    </row>
    <row r="40" spans="1:9" hidden="1" x14ac:dyDescent="0.3">
      <c r="A40" t="str">
        <f ca="1">TabCalc[[#This Row],[Ticker]]</f>
        <v>RIGL</v>
      </c>
      <c r="B40">
        <f>_xlfn.RANK.EQ(DataShift!AU143,DataShift!AB143:AU143)</f>
        <v>4</v>
      </c>
      <c r="C40">
        <f>_xlfn.RANK.EQ(DataShift!Y742,DataShift!F742:Y742)</f>
        <v>20</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14</v>
      </c>
      <c r="C41">
        <f>_xlfn.RANK.EQ(DataShift!Y743,DataShift!F743:Y743)</f>
        <v>9</v>
      </c>
      <c r="D41" t="e">
        <f>_xlfn.RANK.EQ(DataShift!AU644,DataShift!AB644:AU644)</f>
        <v>#N/A</v>
      </c>
      <c r="G41">
        <f>_xlfn.RANK.EQ(DataShift!Y244,DataShift!F244:Y244)</f>
        <v>19</v>
      </c>
      <c r="H41">
        <f>_xlfn.RANK.AVG(DataShift!Y244,DataShift!F244:Y244)</f>
        <v>19</v>
      </c>
      <c r="I41" s="90">
        <f>_xlfn.PERCENTRANK.INC(DataShift!F244:Y244,DataShift!Y244)</f>
        <v>5.1999999999999998E-2</v>
      </c>
    </row>
    <row r="42" spans="1:9" hidden="1" x14ac:dyDescent="0.3">
      <c r="A42" t="str">
        <f ca="1">TabCalc[[#This Row],[Ticker]]</f>
        <v>SAP</v>
      </c>
      <c r="B42">
        <f>_xlfn.RANK.EQ(DataShift!AU145,DataShift!AB145:AU145)</f>
        <v>20</v>
      </c>
      <c r="C42">
        <f>_xlfn.RANK.EQ(DataShift!Y744,DataShift!F744:Y744)</f>
        <v>12</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x14ac:dyDescent="0.3">
      <c r="A43" t="str">
        <f ca="1">TabCalc[[#This Row],[Ticker]]</f>
        <v>SHECY</v>
      </c>
      <c r="B43">
        <f>_xlfn.RANK.EQ(DataShift!AU146,DataShift!AB146:AU146)</f>
        <v>19</v>
      </c>
      <c r="C43">
        <f>_xlfn.RANK.EQ(DataShift!Y745,DataShift!F745:Y745)</f>
        <v>10</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19</v>
      </c>
      <c r="C44">
        <f>_xlfn.RANK.EQ(DataShift!Y746,DataShift!F746:Y746)</f>
        <v>9</v>
      </c>
      <c r="D44" t="e">
        <f>_xlfn.RANK.EQ(DataShift!AU647,DataShift!AB647:AU647)</f>
        <v>#N/A</v>
      </c>
      <c r="G44">
        <f>_xlfn.RANK.EQ(DataShift!Y247,DataShift!F247:Y247)</f>
        <v>19</v>
      </c>
      <c r="H44">
        <f>_xlfn.RANK.AVG(DataShift!Y247,DataShift!F247:Y247)</f>
        <v>19</v>
      </c>
      <c r="I44" s="90">
        <f>_xlfn.PERCENTRANK.INC(DataShift!F247:Y247,DataShift!Y247)</f>
        <v>5.1999999999999998E-2</v>
      </c>
    </row>
    <row r="45" spans="1:9" hidden="1" x14ac:dyDescent="0.3">
      <c r="A45" t="str">
        <f ca="1">TabCalc[[#This Row],[Ticker]]</f>
        <v>TSLA</v>
      </c>
      <c r="B45">
        <f>_xlfn.RANK.EQ(DataShift!AU148,DataShift!AB148:AU148)</f>
        <v>19</v>
      </c>
      <c r="C45">
        <f>_xlfn.RANK.EQ(DataShift!Y747,DataShift!F747:Y747)</f>
        <v>8</v>
      </c>
      <c r="D45" t="e">
        <f>_xlfn.RANK.EQ(DataShift!AU648,DataShift!AB648:AU648)</f>
        <v>#N/A</v>
      </c>
      <c r="G45">
        <f>_xlfn.RANK.EQ(DataShift!Y248,DataShift!F248:Y248)</f>
        <v>19</v>
      </c>
      <c r="H45">
        <f>_xlfn.RANK.AVG(DataShift!Y248,DataShift!F248:Y248)</f>
        <v>19</v>
      </c>
      <c r="I45" s="90">
        <f>_xlfn.PERCENTRANK.INC(DataShift!F248:Y248,DataShift!Y248)</f>
        <v>5.1999999999999998E-2</v>
      </c>
    </row>
    <row r="46" spans="1:9" hidden="1" x14ac:dyDescent="0.3">
      <c r="A46" t="str">
        <f ca="1">TabCalc[[#This Row],[Ticker]]</f>
        <v>TSM</v>
      </c>
      <c r="B46">
        <f>_xlfn.RANK.EQ(DataShift!AU149,DataShift!AB149:AU149)</f>
        <v>19</v>
      </c>
      <c r="C46">
        <f>_xlfn.RANK.EQ(DataShift!Y748,DataShift!F748:Y748)</f>
        <v>12</v>
      </c>
      <c r="D46" t="e">
        <f>_xlfn.RANK.EQ(DataShift!AU649,DataShift!AB649:AU649)</f>
        <v>#N/A</v>
      </c>
      <c r="G46">
        <f>_xlfn.RANK.EQ(DataShift!Y249,DataShift!F249:Y249)</f>
        <v>11</v>
      </c>
      <c r="H46">
        <f>_xlfn.RANK.AVG(DataShift!Y249,DataShift!F249:Y249)</f>
        <v>11.5</v>
      </c>
      <c r="I46" s="90">
        <f>_xlfn.PERCENTRANK.INC(DataShift!F249:Y249,DataShift!Y249)</f>
        <v>0.42099999999999999</v>
      </c>
    </row>
    <row r="47" spans="1:9" hidden="1" x14ac:dyDescent="0.3">
      <c r="A47" t="str">
        <f ca="1">TabCalc[[#This Row],[Ticker]]</f>
        <v>UN0</v>
      </c>
      <c r="B47">
        <f>_xlfn.RANK.EQ(DataShift!AU150,DataShift!AB150:AU150)</f>
        <v>20</v>
      </c>
      <c r="C47">
        <f>_xlfn.RANK.EQ(DataShift!Y749,DataShift!F749:Y749)</f>
        <v>20</v>
      </c>
      <c r="D47" t="e">
        <f>_xlfn.RANK.EQ(DataShift!AU650,DataShift!AB650:AU650)</f>
        <v>#N/A</v>
      </c>
      <c r="G47">
        <f>_xlfn.RANK.EQ(DataShift!Y250,DataShift!F250:Y250)</f>
        <v>10</v>
      </c>
      <c r="H47">
        <f>_xlfn.RANK.AVG(DataShift!Y250,DataShift!F250:Y250)</f>
        <v>10</v>
      </c>
      <c r="I47" s="90">
        <f>_xlfn.PERCENTRANK.INC(DataShift!F250:Y250,DataShift!Y250)</f>
        <v>0.52600000000000002</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18</v>
      </c>
      <c r="C49">
        <f>_xlfn.RANK.EQ(DataShift!Y750,DataShift!F750:Y750)</f>
        <v>3</v>
      </c>
      <c r="D49" t="e">
        <f>_xlfn.RANK.EQ(DataShift!AU651,DataShift!AB651:AU651)</f>
        <v>#N/A</v>
      </c>
      <c r="G49">
        <f>_xlfn.RANK.EQ(DataShift!Y251,DataShift!F251:Y251)</f>
        <v>3</v>
      </c>
      <c r="H49">
        <f>_xlfn.RANK.AVG(DataShift!Y251,DataShift!F251:Y251)</f>
        <v>3</v>
      </c>
      <c r="I49" s="90">
        <f>_xlfn.PERCENTRANK.INC(DataShift!F251:Y251,DataShift!Y251)</f>
        <v>0.89400000000000002</v>
      </c>
    </row>
    <row r="50" spans="1:9" hidden="1" x14ac:dyDescent="0.3">
      <c r="A50" t="str">
        <f ca="1">TabCalc[[#This Row],[Ticker]]</f>
        <v>VONN</v>
      </c>
      <c r="B50">
        <f>_xlfn.RANK.EQ(DataShift!AU152,DataShift!AB152:AU152)</f>
        <v>7</v>
      </c>
      <c r="C50">
        <f>_xlfn.RANK.EQ(DataShift!Y751,DataShift!F751:Y751)</f>
        <v>5</v>
      </c>
      <c r="D50" t="e">
        <f>_xlfn.RANK.EQ(DataShift!AU652,DataShift!AB652:AU652)</f>
        <v>#N/A</v>
      </c>
      <c r="G50">
        <f>_xlfn.RANK.EQ(DataShift!Y252,DataShift!F252:Y252)</f>
        <v>13</v>
      </c>
      <c r="H50">
        <f>_xlfn.RANK.AVG(DataShift!Y252,DataShift!F252:Y252)</f>
        <v>13</v>
      </c>
      <c r="I50" s="90">
        <f>_xlfn.PERCENTRANK.INC(DataShift!F252:Y252,DataShift!Y252)</f>
        <v>0.36799999999999999</v>
      </c>
    </row>
    <row r="51" spans="1:9" hidden="1" x14ac:dyDescent="0.3">
      <c r="A51" t="str">
        <f ca="1">TabCalc[[#This Row],[Ticker]]</f>
        <v>VTRS</v>
      </c>
      <c r="B51">
        <f>_xlfn.RANK.EQ(DataShift!AU153,DataShift!AB153:AU153)</f>
        <v>20</v>
      </c>
      <c r="C51">
        <f>_xlfn.RANK.EQ(DataShift!Y752,DataShift!F752:Y752)</f>
        <v>18</v>
      </c>
      <c r="D51" t="e">
        <f>_xlfn.RANK.EQ(DataShift!AU653,DataShift!AB653:AU653)</f>
        <v>#N/A</v>
      </c>
      <c r="G51">
        <f>_xlfn.RANK.EQ(DataShift!Y253,DataShift!F253:Y253)</f>
        <v>4</v>
      </c>
      <c r="H51">
        <f>_xlfn.RANK.AVG(DataShift!Y253,DataShift!F253:Y253)</f>
        <v>4</v>
      </c>
      <c r="I51" s="90">
        <f>_xlfn.PERCENTRANK.INC(DataShift!F253:Y253,DataShift!Y253)</f>
        <v>0.84199999999999997</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19</v>
      </c>
      <c r="C53">
        <f>_xlfn.RANK.EQ(DataShift!Y754,DataShift!F754:Y754)</f>
        <v>19</v>
      </c>
      <c r="D53" t="e">
        <f>_xlfn.RANK.EQ(DataShift!AU655,DataShift!AB655:AU655)</f>
        <v>#N/A</v>
      </c>
      <c r="G53">
        <f>_xlfn.RANK.EQ(DataShift!Y255,DataShift!F255:Y255)</f>
        <v>3</v>
      </c>
      <c r="H53">
        <f>_xlfn.RANK.AVG(DataShift!Y255,DataShift!F255:Y255)</f>
        <v>3</v>
      </c>
      <c r="I53" s="90">
        <f>_xlfn.PERCENTRANK.INC(DataShift!F255:Y255,DataShift!Y255)</f>
        <v>0.89400000000000002</v>
      </c>
    </row>
    <row r="54" spans="1:9" hidden="1" x14ac:dyDescent="0.3">
      <c r="A54" t="str">
        <f ca="1">TabCalc[[#This Row],[Ticker]]</f>
        <v>XPER</v>
      </c>
      <c r="B54">
        <f>_xlfn.RANK.EQ(DataShift!AU156,DataShift!AB156:AU156)</f>
        <v>19</v>
      </c>
      <c r="C54">
        <f>_xlfn.RANK.EQ(DataShift!Y755,DataShift!F755:Y755)</f>
        <v>15</v>
      </c>
      <c r="D54" t="e">
        <f>_xlfn.RANK.EQ(DataShift!AU656,DataShift!AB656:AU656)</f>
        <v>#N/A</v>
      </c>
      <c r="G54">
        <f>_xlfn.RANK.EQ(DataShift!Y256,DataShift!F256:Y256)</f>
        <v>20</v>
      </c>
      <c r="H54">
        <f>_xlfn.RANK.AVG(DataShift!Y256,DataShift!F256:Y256)</f>
        <v>20</v>
      </c>
      <c r="I54" s="90">
        <f>_xlfn.PERCENTRANK.INC(DataShift!F256:Y256,DataShift!Y256)</f>
        <v>0</v>
      </c>
    </row>
    <row r="55" spans="1:9" hidden="1" x14ac:dyDescent="0.3">
      <c r="A55" t="str">
        <f ca="1">TabCalc[[#This Row],[Ticker]]</f>
        <v>MVEALDNE</v>
      </c>
      <c r="B55">
        <f>_xlfn.RANK.EQ(DataShift!AU157,DataShift!AB157:AU157)</f>
        <v>11</v>
      </c>
      <c r="C55">
        <f>_xlfn.RANK.EQ(DataShift!Y756,DataShift!F756:Y756)</f>
        <v>5</v>
      </c>
      <c r="D55" t="e">
        <f>_xlfn.RANK.EQ(DataShift!AU657,DataShift!AB657:AU657)</f>
        <v>#N/A</v>
      </c>
      <c r="G55">
        <f>_xlfn.RANK.EQ(DataShift!Y257,DataShift!F257:Y257)</f>
        <v>18</v>
      </c>
      <c r="H55">
        <f>_xlfn.RANK.AVG(DataShift!Y257,DataShift!F257:Y257)</f>
        <v>18</v>
      </c>
      <c r="I55" s="90">
        <f>_xlfn.PERCENTRANK.INC(DataShift!F257:Y257,DataShift!Y257)</f>
        <v>0.105</v>
      </c>
    </row>
    <row r="56" spans="1:9" hidden="1" x14ac:dyDescent="0.3">
      <c r="A56" t="str">
        <f ca="1">TabCalc[[#This Row],[Ticker]]</f>
        <v>MVEDDD</v>
      </c>
      <c r="B56">
        <f>_xlfn.RANK.EQ(DataShift!AU158,DataShift!AB158:AU158)</f>
        <v>19</v>
      </c>
      <c r="C56">
        <f>_xlfn.RANK.EQ(DataShift!Y757,DataShift!F757:Y757)</f>
        <v>12</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5</v>
      </c>
      <c r="C57">
        <f>_xlfn.RANK.EQ(DataShift!Y758,DataShift!F758:Y758)</f>
        <v>5</v>
      </c>
      <c r="D57" t="e">
        <f>_xlfn.RANK.EQ(DataShift!AU659,DataShift!AB659:AU659)</f>
        <v>#N/A</v>
      </c>
      <c r="G57">
        <f>_xlfn.RANK.EQ(DataShift!Y259,DataShift!F259:Y259)</f>
        <v>17</v>
      </c>
      <c r="H57">
        <f>_xlfn.RANK.AVG(DataShift!Y259,DataShift!F259:Y259)</f>
        <v>17</v>
      </c>
      <c r="I57" s="90">
        <f>_xlfn.PERCENTRANK.INC(DataShift!F259:Y259,DataShift!Y259)</f>
        <v>0.157</v>
      </c>
    </row>
    <row r="58" spans="1:9" hidden="1" x14ac:dyDescent="0.3">
      <c r="A58" t="str">
        <f ca="1">TabCalc[[#This Row],[Ticker]]</f>
        <v>MVEEOAN</v>
      </c>
      <c r="B58">
        <f>_xlfn.RANK.EQ(DataShift!AU160,DataShift!AB160:AU160)</f>
        <v>19</v>
      </c>
      <c r="C58">
        <f>_xlfn.RANK.EQ(DataShift!Y759,DataShift!F759:Y759)</f>
        <v>12</v>
      </c>
      <c r="D58" t="e">
        <f>_xlfn.RANK.EQ(DataShift!AU660,DataShift!AB660:AU660)</f>
        <v>#N/A</v>
      </c>
      <c r="G58">
        <f>_xlfn.RANK.EQ(DataShift!Y260,DataShift!F260:Y260)</f>
        <v>18</v>
      </c>
      <c r="H58">
        <f>_xlfn.RANK.AVG(DataShift!Y260,DataShift!F260:Y260)</f>
        <v>18</v>
      </c>
      <c r="I58" s="90">
        <f>_xlfn.PERCENTRANK.INC(DataShift!F260:Y260,DataShift!Y260)</f>
        <v>0.105</v>
      </c>
    </row>
    <row r="59" spans="1:9" hidden="1" x14ac:dyDescent="0.3">
      <c r="A59" t="str">
        <f ca="1">TabCalc[[#This Row],[Ticker]]</f>
        <v>MVEENI</v>
      </c>
      <c r="B59">
        <f>_xlfn.RANK.EQ(DataShift!AU161,DataShift!AB161:AU161)</f>
        <v>7</v>
      </c>
      <c r="C59">
        <f>_xlfn.RANK.EQ(DataShift!Y760,DataShift!F760:Y760)</f>
        <v>19</v>
      </c>
      <c r="D59" t="e">
        <f>_xlfn.RANK.EQ(DataShift!AU661,DataShift!AB661:AU661)</f>
        <v>#N/A</v>
      </c>
      <c r="G59">
        <f>_xlfn.RANK.EQ(DataShift!Y261,DataShift!F261:Y261)</f>
        <v>3</v>
      </c>
      <c r="H59">
        <f>_xlfn.RANK.AVG(DataShift!Y261,DataShift!F261:Y261)</f>
        <v>3</v>
      </c>
      <c r="I59" s="90">
        <f>_xlfn.PERCENTRANK.INC(DataShift!F261:Y261,DataShift!Y261)</f>
        <v>0.89400000000000002</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3</v>
      </c>
      <c r="C61">
        <f>_xlfn.RANK.EQ(DataShift!Y762,DataShift!F762:Y762)</f>
        <v>7</v>
      </c>
      <c r="D61" t="e">
        <f>_xlfn.RANK.EQ(DataShift!AU663,DataShift!AB663:AU663)</f>
        <v>#N/A</v>
      </c>
      <c r="G61">
        <f>_xlfn.RANK.EQ(DataShift!Y263,DataShift!F263:Y263)</f>
        <v>2</v>
      </c>
      <c r="H61">
        <f>_xlfn.RANK.AVG(DataShift!Y263,DataShift!F263:Y263)</f>
        <v>2</v>
      </c>
      <c r="I61" s="90">
        <f>_xlfn.PERCENTRANK.INC(DataShift!F263:Y263,DataShift!Y263)</f>
        <v>0.94699999999999995</v>
      </c>
    </row>
    <row r="62" spans="1:9" hidden="1" x14ac:dyDescent="0.3">
      <c r="A62" t="str">
        <f ca="1">TabCalc[[#This Row],[Ticker]]</f>
        <v>MVEORA</v>
      </c>
      <c r="B62">
        <f>_xlfn.RANK.EQ(DataShift!AU164,DataShift!AB164:AU164)</f>
        <v>3</v>
      </c>
      <c r="C62">
        <f>_xlfn.RANK.EQ(DataShift!Y763,DataShift!F763:Y763)</f>
        <v>17</v>
      </c>
      <c r="D62" t="e">
        <f>_xlfn.RANK.EQ(DataShift!AU664,DataShift!AB664:AU664)</f>
        <v>#N/A</v>
      </c>
      <c r="G62">
        <f>_xlfn.RANK.EQ(DataShift!Y264,DataShift!F264:Y264)</f>
        <v>16</v>
      </c>
      <c r="H62">
        <f>_xlfn.RANK.AVG(DataShift!Y264,DataShift!F264:Y264)</f>
        <v>16</v>
      </c>
      <c r="I62" s="90">
        <f>_xlfn.PERCENTRANK.INC(DataShift!F264:Y264,DataShift!Y264)</f>
        <v>0.21</v>
      </c>
    </row>
    <row r="63" spans="1:9" hidden="1" x14ac:dyDescent="0.3">
      <c r="A63" t="str">
        <f ca="1">TabCalc[[#This Row],[Ticker]]</f>
        <v>MVERWE</v>
      </c>
      <c r="B63">
        <f>_xlfn.RANK.EQ(DataShift!AU165,DataShift!AB165:AU165)</f>
        <v>4</v>
      </c>
      <c r="C63">
        <f>_xlfn.RANK.EQ(DataShift!Y764,DataShift!F764:Y764)</f>
        <v>20</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14</v>
      </c>
      <c r="C64">
        <f>_xlfn.RANK.EQ(DataShift!Y765,DataShift!F765:Y765)</f>
        <v>9</v>
      </c>
      <c r="D64" t="e">
        <f>_xlfn.RANK.EQ(DataShift!AU666,DataShift!AB666:AU666)</f>
        <v>#N/A</v>
      </c>
      <c r="G64">
        <f>_xlfn.RANK.EQ(DataShift!Y266,DataShift!F266:Y266)</f>
        <v>19</v>
      </c>
      <c r="H64">
        <f>_xlfn.RANK.AVG(DataShift!Y266,DataShift!F266:Y266)</f>
        <v>19</v>
      </c>
      <c r="I64" s="90">
        <f>_xlfn.PERCENTRANK.INC(DataShift!F266:Y266,DataShift!Y266)</f>
        <v>5.1999999999999998E-2</v>
      </c>
    </row>
    <row r="65" spans="1:9" hidden="1" x14ac:dyDescent="0.3">
      <c r="A65" t="str">
        <f ca="1">TabCalc[[#This Row],[Ticker]]</f>
        <v>MVEUN0</v>
      </c>
      <c r="B65">
        <f>_xlfn.RANK.EQ(DataShift!AU167,DataShift!AB167:AU167)</f>
        <v>19</v>
      </c>
      <c r="C65">
        <f>_xlfn.RANK.EQ(DataShift!Y766,DataShift!F766:Y766)</f>
        <v>12</v>
      </c>
      <c r="D65" t="e">
        <f>_xlfn.RANK.EQ(DataShift!AU667,DataShift!AB667:AU667)</f>
        <v>#N/A</v>
      </c>
      <c r="G65">
        <f>_xlfn.RANK.EQ(DataShift!Y267,DataShift!F267:Y267)</f>
        <v>11</v>
      </c>
      <c r="H65">
        <f>_xlfn.RANK.AVG(DataShift!Y267,DataShift!F267:Y267)</f>
        <v>11.5</v>
      </c>
      <c r="I65" s="90">
        <f>_xlfn.PERCENTRANK.INC(DataShift!F267:Y267,DataShift!Y267)</f>
        <v>0.42099999999999999</v>
      </c>
    </row>
    <row r="66" spans="1:9" hidden="1" x14ac:dyDescent="0.3">
      <c r="A66" t="str">
        <f ca="1">TabCalc[[#This Row],[Ticker]]</f>
        <v>SAFAAPL</v>
      </c>
      <c r="B66">
        <f>_xlfn.RANK.EQ(DataShift!AU168,DataShift!AB168:AU168)</f>
        <v>19</v>
      </c>
      <c r="C66">
        <f>_xlfn.RANK.EQ(DataShift!Y767,DataShift!F767:Y767)</f>
        <v>5</v>
      </c>
      <c r="D66" t="e">
        <f>_xlfn.RANK.EQ(DataShift!AU668,DataShift!AB668:AU668)</f>
        <v>#N/A</v>
      </c>
      <c r="G66">
        <f>_xlfn.RANK.EQ(DataShift!Y268,DataShift!F268:Y268)</f>
        <v>5</v>
      </c>
      <c r="H66">
        <f>_xlfn.RANK.AVG(DataShift!Y268,DataShift!F268:Y268)</f>
        <v>5.5</v>
      </c>
      <c r="I66" s="90">
        <f>_xlfn.PERCENTRANK.INC(DataShift!F268:Y268,DataShift!Y268)</f>
        <v>0.73599999999999999</v>
      </c>
    </row>
    <row r="67" spans="1:9" hidden="1" x14ac:dyDescent="0.3">
      <c r="A67" t="str">
        <f ca="1">TabCalc[[#This Row],[Ticker]]</f>
        <v>SAFAMZN</v>
      </c>
      <c r="B67">
        <f>_xlfn.RANK.EQ(DataShift!AU169,DataShift!AB169:AU169)</f>
        <v>19</v>
      </c>
      <c r="C67">
        <f>_xlfn.RANK.EQ(DataShift!Y768,DataShift!F768:Y768)</f>
        <v>11</v>
      </c>
      <c r="D67" t="e">
        <f>_xlfn.RANK.EQ(DataShift!AU669,DataShift!AB669:AU669)</f>
        <v>#N/A</v>
      </c>
      <c r="G67">
        <f>_xlfn.RANK.EQ(DataShift!Y269,DataShift!F269:Y269)</f>
        <v>12</v>
      </c>
      <c r="H67">
        <f>_xlfn.RANK.AVG(DataShift!Y269,DataShift!F269:Y269)</f>
        <v>12</v>
      </c>
      <c r="I67" s="90">
        <f>_xlfn.PERCENTRANK.INC(DataShift!F269:Y269,DataShift!Y269)</f>
        <v>0.42099999999999999</v>
      </c>
    </row>
    <row r="68" spans="1:9" hidden="1" x14ac:dyDescent="0.3">
      <c r="A68" t="str">
        <f ca="1">TabCalc[[#This Row],[Ticker]]</f>
        <v>SAFASML</v>
      </c>
      <c r="B68">
        <f>_xlfn.RANK.EQ(DataShift!AU170,DataShift!AB170:AU170)</f>
        <v>6</v>
      </c>
      <c r="C68">
        <f>_xlfn.RANK.EQ(DataShift!Y769,DataShift!F769:Y769)</f>
        <v>3</v>
      </c>
      <c r="D68" t="e">
        <f>_xlfn.RANK.EQ(DataShift!AU670,DataShift!AB670:AU670)</f>
        <v>#N/A</v>
      </c>
      <c r="G68">
        <f>_xlfn.RANK.EQ(DataShift!Y270,DataShift!F270:Y270)</f>
        <v>11</v>
      </c>
      <c r="H68">
        <f>_xlfn.RANK.AVG(DataShift!Y270,DataShift!F270:Y270)</f>
        <v>11</v>
      </c>
      <c r="I68" s="90">
        <f>_xlfn.PERCENTRANK.INC(DataShift!F270:Y270,DataShift!Y270)</f>
        <v>0.47299999999999998</v>
      </c>
    </row>
    <row r="69" spans="1:9" hidden="1" x14ac:dyDescent="0.3">
      <c r="A69" t="str">
        <f ca="1">TabCalc[[#This Row],[Ticker]]</f>
        <v>SAFDDD</v>
      </c>
      <c r="B69">
        <f>_xlfn.RANK.EQ(DataShift!AU171,DataShift!AB171:AU171)</f>
        <v>19</v>
      </c>
      <c r="C69">
        <f>_xlfn.RANK.EQ(DataShift!Y770,DataShift!F770:Y770)</f>
        <v>12</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19</v>
      </c>
      <c r="C70">
        <f>_xlfn.RANK.EQ(DataShift!Y771,DataShift!F771:Y771)</f>
        <v>14</v>
      </c>
      <c r="D70" t="e">
        <f>_xlfn.RANK.EQ(DataShift!AU672,DataShift!AB672:AU672)</f>
        <v>#N/A</v>
      </c>
      <c r="G70">
        <f>_xlfn.RANK.EQ(DataShift!Y272,DataShift!F272:Y272)</f>
        <v>20</v>
      </c>
      <c r="H70">
        <f>_xlfn.RANK.AVG(DataShift!Y272,DataShift!F272:Y272)</f>
        <v>20</v>
      </c>
      <c r="I70" s="90">
        <f>_xlfn.PERCENTRANK.INC(DataShift!F272:Y272,DataShift!Y272)</f>
        <v>0</v>
      </c>
    </row>
    <row r="71" spans="1:9" hidden="1" x14ac:dyDescent="0.3">
      <c r="A71" t="str">
        <f ca="1">TabCalc[[#This Row],[Ticker]]</f>
        <v>SAFGM</v>
      </c>
      <c r="B71">
        <f>_xlfn.RANK.EQ(DataShift!AU173,DataShift!AB173:AU173)</f>
        <v>19</v>
      </c>
      <c r="C71">
        <f>_xlfn.RANK.EQ(DataShift!Y772,DataShift!F772:Y772)</f>
        <v>7</v>
      </c>
      <c r="D71" t="e">
        <f>_xlfn.RANK.EQ(DataShift!AU673,DataShift!AB673:AU673)</f>
        <v>#N/A</v>
      </c>
      <c r="G71">
        <f>_xlfn.RANK.EQ(DataShift!Y273,DataShift!F273:Y273)</f>
        <v>6</v>
      </c>
      <c r="H71">
        <f>_xlfn.RANK.AVG(DataShift!Y273,DataShift!F273:Y273)</f>
        <v>6</v>
      </c>
      <c r="I71" s="90">
        <f>_xlfn.PERCENTRANK.INC(DataShift!F273:Y273,DataShift!Y273)</f>
        <v>0.73599999999999999</v>
      </c>
    </row>
    <row r="72" spans="1:9" hidden="1" x14ac:dyDescent="0.3">
      <c r="A72" t="str">
        <f ca="1">TabCalc[[#This Row],[Ticker]]</f>
        <v>SAFIAG</v>
      </c>
      <c r="B72">
        <f>_xlfn.RANK.EQ(DataShift!AU174,DataShift!AB174:AU174)</f>
        <v>13</v>
      </c>
      <c r="C72">
        <f>_xlfn.RANK.EQ(DataShift!Y773,DataShift!F773:Y773)</f>
        <v>3</v>
      </c>
      <c r="D72" t="e">
        <f>_xlfn.RANK.EQ(DataShift!AU674,DataShift!AB674:AU674)</f>
        <v>#N/A</v>
      </c>
      <c r="G72">
        <f>_xlfn.RANK.EQ(DataShift!Y274,DataShift!F274:Y274)</f>
        <v>18</v>
      </c>
      <c r="H72">
        <f>_xlfn.RANK.AVG(DataShift!Y274,DataShift!F274:Y274)</f>
        <v>18</v>
      </c>
      <c r="I72" s="90">
        <f>_xlfn.PERCENTRANK.INC(DataShift!F274:Y274,DataShift!Y274)</f>
        <v>0.105</v>
      </c>
    </row>
    <row r="73" spans="1:9" hidden="1" x14ac:dyDescent="0.3">
      <c r="A73" t="str">
        <f ca="1">TabCalc[[#This Row],[Ticker]]</f>
        <v>SAFMRNA</v>
      </c>
      <c r="B73">
        <f>_xlfn.RANK.EQ(DataShift!AU175,DataShift!AB175:AU175)</f>
        <v>19</v>
      </c>
      <c r="C73">
        <f>_xlfn.RANK.EQ(DataShift!Y774,DataShift!F774:Y774)</f>
        <v>17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19</v>
      </c>
      <c r="C74">
        <f>_xlfn.RANK.EQ(DataShift!Y775,DataShift!F775:Y775)</f>
        <v>10</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7</v>
      </c>
      <c r="C75">
        <f>_xlfn.RANK.EQ(DataShift!Y776,DataShift!F776:Y776)</f>
        <v>19</v>
      </c>
      <c r="D75" t="e">
        <f>_xlfn.RANK.EQ(DataShift!AU677,DataShift!AB677:AU677)</f>
        <v>#N/A</v>
      </c>
      <c r="G75">
        <f>_xlfn.RANK.EQ(DataShift!Y277,DataShift!F277:Y277)</f>
        <v>3</v>
      </c>
      <c r="H75">
        <f>_xlfn.RANK.AVG(DataShift!Y277,DataShift!F277:Y277)</f>
        <v>3</v>
      </c>
      <c r="I75" s="90">
        <f>_xlfn.PERCENTRANK.INC(DataShift!F277:Y277,DataShift!Y277)</f>
        <v>0.89400000000000002</v>
      </c>
    </row>
    <row r="76" spans="1:9" hidden="1" x14ac:dyDescent="0.3">
      <c r="A76" t="str">
        <f ca="1">TabCalc[[#This Row],[Ticker]]</f>
        <v>EZJ</v>
      </c>
      <c r="B76">
        <f>_xlfn.RANK.EQ(DataShift!AU178,DataShift!AB178:AU178)</f>
        <v>7</v>
      </c>
      <c r="C76">
        <f>_xlfn.RANK.EQ(DataShift!Y777,DataShift!F777:Y777)</f>
        <v>5</v>
      </c>
      <c r="D76" t="e">
        <f>_xlfn.RANK.EQ(DataShift!AU678,DataShift!AB678:AU678)</f>
        <v>#N/A</v>
      </c>
      <c r="G76">
        <f>_xlfn.RANK.EQ(DataShift!Y278,DataShift!F278:Y278)</f>
        <v>19</v>
      </c>
      <c r="H76">
        <f>_xlfn.RANK.AVG(DataShift!Y278,DataShift!F278:Y278)</f>
        <v>19</v>
      </c>
      <c r="I76" s="90">
        <f>_xlfn.PERCENTRANK.INC(DataShift!F278:Y278,DataShift!Y278)</f>
        <v>5.1999999999999998E-2</v>
      </c>
    </row>
    <row r="77" spans="1:9" hidden="1" x14ac:dyDescent="0.3">
      <c r="A77" t="str">
        <f ca="1">TabCalc[[#This Row],[Ticker]]</f>
        <v>F</v>
      </c>
      <c r="B77">
        <f>_xlfn.RANK.EQ(DataShift!AU179,DataShift!AB179:AU179)</f>
        <v>19</v>
      </c>
      <c r="C77">
        <f>_xlfn.RANK.EQ(DataShift!Y778,DataShift!F778:Y778)</f>
        <v>12</v>
      </c>
      <c r="D77" t="e">
        <f>_xlfn.RANK.EQ(DataShift!AU679,DataShift!AB679:AU679)</f>
        <v>#N/A</v>
      </c>
      <c r="G77">
        <f>_xlfn.RANK.EQ(DataShift!Y279,DataShift!F279:Y279)</f>
        <v>10</v>
      </c>
      <c r="H77">
        <f>_xlfn.RANK.AVG(DataShift!Y279,DataShift!F279:Y279)</f>
        <v>10</v>
      </c>
      <c r="I77" s="90">
        <f>_xlfn.PERCENTRANK.INC(DataShift!F279:Y279,DataShift!Y279)</f>
        <v>0.52600000000000002</v>
      </c>
    </row>
    <row r="78" spans="1:9" hidden="1" x14ac:dyDescent="0.3">
      <c r="A78" t="str">
        <f ca="1">TabCalc[[#This Row],[Ticker]]</f>
        <v>GLE</v>
      </c>
      <c r="B78">
        <f>_xlfn.RANK.EQ(DataShift!AU180,DataShift!AB180:AU180)</f>
        <v>3</v>
      </c>
      <c r="C78">
        <f>_xlfn.RANK.EQ(DataShift!Y779,DataShift!F779:Y779)</f>
        <v>7</v>
      </c>
      <c r="D78" t="e">
        <f>_xlfn.RANK.EQ(DataShift!AU680,DataShift!AB680:AU680)</f>
        <v>#N/A</v>
      </c>
      <c r="G78">
        <f>_xlfn.RANK.EQ(DataShift!Y280,DataShift!F280:Y280)</f>
        <v>2</v>
      </c>
      <c r="H78">
        <f>_xlfn.RANK.AVG(DataShift!Y280,DataShift!F280:Y280)</f>
        <v>2</v>
      </c>
      <c r="I78" s="90">
        <f>_xlfn.PERCENTRANK.INC(DataShift!F280:Y280,DataShift!Y280)</f>
        <v>0.94699999999999995</v>
      </c>
    </row>
    <row r="79" spans="1:9" hidden="1" x14ac:dyDescent="0.3">
      <c r="A79" t="str">
        <f ca="1">TabCalc[[#This Row],[Ticker]]</f>
        <v>GNRC</v>
      </c>
      <c r="B79">
        <f>_xlfn.RANK.EQ(DataShift!AU181,DataShift!AB181:AU181)</f>
        <v>20</v>
      </c>
      <c r="C79">
        <f>_xlfn.RANK.EQ(DataShift!Y780,DataShift!F780:Y780)</f>
        <v>4</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19</v>
      </c>
      <c r="C80">
        <f>_xlfn.RANK.EQ(DataShift!Y781,DataShift!F781:Y781)</f>
        <v>7</v>
      </c>
      <c r="D80" t="e">
        <f>_xlfn.RANK.EQ(DataShift!AU682,DataShift!AB682:AU682)</f>
        <v>#N/A</v>
      </c>
      <c r="G80">
        <f>_xlfn.RANK.EQ(DataShift!Y282,DataShift!F282:Y282)</f>
        <v>10</v>
      </c>
      <c r="H80">
        <f>_xlfn.RANK.AVG(DataShift!Y282,DataShift!F282:Y282)</f>
        <v>10</v>
      </c>
      <c r="I80" s="90">
        <f>_xlfn.PERCENTRANK.INC(DataShift!F282:Y282,DataShift!Y282)</f>
        <v>0.52600000000000002</v>
      </c>
    </row>
    <row r="81" spans="1:9" hidden="1" x14ac:dyDescent="0.3">
      <c r="A81" t="str">
        <f ca="1">TabCalc[[#This Row],[Ticker]]</f>
        <v>LAZR</v>
      </c>
      <c r="B81">
        <f>_xlfn.RANK.EQ(DataShift!AU183,DataShift!AB183:AU183)</f>
        <v>19</v>
      </c>
      <c r="C81">
        <f>_xlfn.RANK.EQ(DataShift!Y782,DataShift!F782:Y782)</f>
        <v>6</v>
      </c>
      <c r="D81" t="e">
        <f>_xlfn.RANK.EQ(DataShift!AU683,DataShift!AB683:AU683)</f>
        <v>#N/A</v>
      </c>
      <c r="G81">
        <f>_xlfn.RANK.EQ(DataShift!Y283,DataShift!F283:Y283)</f>
        <v>19</v>
      </c>
      <c r="H81">
        <f>_xlfn.RANK.AVG(DataShift!Y283,DataShift!F283:Y283)</f>
        <v>19</v>
      </c>
      <c r="I81" s="90">
        <f>_xlfn.PERCENTRANK.INC(DataShift!F283:Y283,DataShift!Y283)</f>
        <v>5.1999999999999998E-2</v>
      </c>
    </row>
    <row r="82" spans="1:9" hidden="1" x14ac:dyDescent="0.3">
      <c r="A82" t="str">
        <f ca="1">TabCalc[[#This Row],[Ticker]]</f>
        <v>LUV</v>
      </c>
      <c r="B82">
        <f>_xlfn.RANK.EQ(DataShift!AU184,DataShift!AB184:AU184)</f>
        <v>19</v>
      </c>
      <c r="C82">
        <f>_xlfn.RANK.EQ(DataShift!Y783,DataShift!F783:Y783)</f>
        <v>11</v>
      </c>
      <c r="D82" t="e">
        <f>_xlfn.RANK.EQ(DataShift!AU684,DataShift!AB684:AU684)</f>
        <v>#N/A</v>
      </c>
      <c r="G82">
        <f>_xlfn.RANK.EQ(DataShift!Y284,DataShift!F284:Y284)</f>
        <v>14</v>
      </c>
      <c r="H82">
        <f>_xlfn.RANK.AVG(DataShift!Y284,DataShift!F284:Y284)</f>
        <v>14</v>
      </c>
      <c r="I82" s="90">
        <f>_xlfn.PERCENTRANK.INC(DataShift!F284:Y284,DataShift!Y284)</f>
        <v>0.315</v>
      </c>
    </row>
    <row r="83" spans="1:9" hidden="1" x14ac:dyDescent="0.3">
      <c r="A83" t="str">
        <f ca="1">TabCalc[[#This Row],[Ticker]]</f>
        <v>MA</v>
      </c>
      <c r="B83">
        <f>_xlfn.RANK.EQ(DataShift!AU185,DataShift!AB185:AU185)</f>
        <v>19</v>
      </c>
      <c r="C83">
        <f>_xlfn.RANK.EQ(DataShift!Y784,DataShift!F784:Y784)</f>
        <v>14</v>
      </c>
      <c r="D83" t="e">
        <f>_xlfn.RANK.EQ(DataShift!AU685,DataShift!AB685:AU685)</f>
        <v>#N/A</v>
      </c>
      <c r="G83">
        <f>_xlfn.RANK.EQ(DataShift!Y285,DataShift!F285:Y285)</f>
        <v>20</v>
      </c>
      <c r="H83">
        <f>_xlfn.RANK.AVG(DataShift!Y285,DataShift!F285:Y285)</f>
        <v>20</v>
      </c>
      <c r="I83" s="90">
        <f>_xlfn.PERCENTRANK.INC(DataShift!F285:Y285,DataShift!Y285)</f>
        <v>0</v>
      </c>
    </row>
    <row r="84" spans="1:9" hidden="1" x14ac:dyDescent="0.3">
      <c r="A84" t="str">
        <f ca="1">TabCalc[[#This Row],[Ticker]]</f>
        <v>NVAX</v>
      </c>
      <c r="B84">
        <f>_xlfn.RANK.EQ(DataShift!AU186,DataShift!AB186:AU186)</f>
        <v>14</v>
      </c>
      <c r="C84">
        <f>_xlfn.RANK.EQ(DataShift!Y785,DataShift!F785:Y785)</f>
        <v>16</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19</v>
      </c>
      <c r="C85">
        <f>_xlfn.RANK.EQ(DataShift!Y786,DataShift!F786:Y786)</f>
        <v>16</v>
      </c>
      <c r="D85" t="e">
        <f>_xlfn.RANK.EQ(DataShift!AU687,DataShift!AB687:AU687)</f>
        <v>#N/A</v>
      </c>
      <c r="G85">
        <f>_xlfn.RANK.EQ(DataShift!Y287,DataShift!F287:Y287)</f>
        <v>14</v>
      </c>
      <c r="H85">
        <f>_xlfn.RANK.AVG(DataShift!Y287,DataShift!F287:Y287)</f>
        <v>14</v>
      </c>
      <c r="I85" s="90">
        <f>_xlfn.PERCENTRANK.INC(DataShift!F287:Y287,DataShift!Y287)</f>
        <v>0.315</v>
      </c>
    </row>
    <row r="86" spans="1:9" hidden="1" x14ac:dyDescent="0.3">
      <c r="A86" t="str">
        <f ca="1">TabCalc[[#This Row],[Ticker]]</f>
        <v>ORA</v>
      </c>
      <c r="B86">
        <f>_xlfn.RANK.EQ(DataShift!AU188,DataShift!AB188:AU188)</f>
        <v>3</v>
      </c>
      <c r="C86">
        <f>_xlfn.RANK.EQ(DataShift!Y787,DataShift!F787:Y787)</f>
        <v>17</v>
      </c>
      <c r="D86" t="e">
        <f>_xlfn.RANK.EQ(DataShift!AU688,DataShift!AB688:AU688)</f>
        <v>#N/A</v>
      </c>
      <c r="G86">
        <f>_xlfn.RANK.EQ(DataShift!Y288,DataShift!F288:Y288)</f>
        <v>16</v>
      </c>
      <c r="H86">
        <f>_xlfn.RANK.AVG(DataShift!Y288,DataShift!F288:Y288)</f>
        <v>16</v>
      </c>
      <c r="I86" s="90">
        <f>_xlfn.PERCENTRANK.INC(DataShift!F288:Y288,DataShift!Y288)</f>
        <v>0.21</v>
      </c>
    </row>
    <row r="87" spans="1:9" hidden="1" x14ac:dyDescent="0.3">
      <c r="A87" t="str">
        <f ca="1">TabCalc[[#This Row],[Ticker]]</f>
        <v>OXY</v>
      </c>
      <c r="B87">
        <f>_xlfn.RANK.EQ(DataShift!AU189,DataShift!AB189:AU189)</f>
        <v>19</v>
      </c>
      <c r="C87">
        <f>_xlfn.RANK.EQ(DataShift!Y788,DataShift!F788:Y788)</f>
        <v>19</v>
      </c>
      <c r="D87" t="e">
        <f>_xlfn.RANK.EQ(DataShift!AU689,DataShift!AB689:AU689)</f>
        <v>#N/A</v>
      </c>
      <c r="G87">
        <f>_xlfn.RANK.EQ(DataShift!Y289,DataShift!F289:Y289)</f>
        <v>10</v>
      </c>
      <c r="H87">
        <f>_xlfn.RANK.AVG(DataShift!Y289,DataShift!F289:Y289)</f>
        <v>10</v>
      </c>
      <c r="I87" s="90">
        <f>_xlfn.PERCENTRANK.INC(DataShift!F289:Y289,DataShift!Y289)</f>
        <v>0.52600000000000002</v>
      </c>
    </row>
    <row r="88" spans="1:9" hidden="1" x14ac:dyDescent="0.3">
      <c r="A88" t="str">
        <f ca="1">TabCalc[[#This Row],[Ticker]]</f>
        <v>PFE</v>
      </c>
      <c r="B88">
        <f>_xlfn.RANK.EQ(DataShift!AU190,DataShift!AB190:AU190)</f>
        <v>19</v>
      </c>
      <c r="C88">
        <f>_xlfn.RANK.EQ(DataShift!Y789,DataShift!F789:Y789)</f>
        <v>19</v>
      </c>
      <c r="D88" t="e">
        <f>_xlfn.RANK.EQ(DataShift!AU690,DataShift!AB690:AU690)</f>
        <v>#N/A</v>
      </c>
      <c r="G88">
        <f>_xlfn.RANK.EQ(DataShift!Y290,DataShift!F290:Y290)</f>
        <v>3</v>
      </c>
      <c r="H88">
        <f>_xlfn.RANK.AVG(DataShift!Y290,DataShift!F290:Y290)</f>
        <v>3</v>
      </c>
      <c r="I88" s="90">
        <f>_xlfn.PERCENTRANK.INC(DataShift!F290:Y290,DataShift!Y290)</f>
        <v>0.89400000000000002</v>
      </c>
    </row>
    <row r="89" spans="1:9" hidden="1" x14ac:dyDescent="0.3">
      <c r="A89" t="str">
        <f ca="1">TabCalc[[#This Row],[Ticker]]</f>
        <v>RIG</v>
      </c>
      <c r="B89">
        <f>_xlfn.RANK.EQ(DataShift!AU191,DataShift!AB191:AU191)</f>
        <v>20</v>
      </c>
      <c r="C89">
        <f>_xlfn.RANK.EQ(DataShift!Y790,DataShift!F790:Y790)</f>
        <v>15</v>
      </c>
      <c r="D89" t="e">
        <f>_xlfn.RANK.EQ(DataShift!AU691,DataShift!AB691:AU691)</f>
        <v>#N/A</v>
      </c>
      <c r="G89">
        <f>_xlfn.RANK.EQ(DataShift!Y291,DataShift!F291:Y291)</f>
        <v>2</v>
      </c>
      <c r="H89">
        <f>_xlfn.RANK.AVG(DataShift!Y291,DataShift!F291:Y291)</f>
        <v>2</v>
      </c>
      <c r="I89" s="90">
        <f>_xlfn.PERCENTRANK.INC(DataShift!F291:Y291,DataShift!Y291)</f>
        <v>0.94699999999999995</v>
      </c>
    </row>
    <row r="90" spans="1:9" x14ac:dyDescent="0.3">
      <c r="A90" t="str">
        <f ca="1">TabCalc[[#This Row],[Ticker]]</f>
        <v>RRC</v>
      </c>
      <c r="B90">
        <f>_xlfn.RANK.EQ(DataShift!AU192,DataShift!AB192:AU192)</f>
        <v>20</v>
      </c>
      <c r="C90">
        <f>_xlfn.RANK.EQ(DataShift!Y791,DataShift!F791:Y791)</f>
        <v>11</v>
      </c>
      <c r="D90" t="e">
        <f>_xlfn.RANK.EQ(DataShift!AU692,DataShift!AB692:AU692)</f>
        <v>#N/A</v>
      </c>
      <c r="G90">
        <f>_xlfn.RANK.EQ(DataShift!Y292,DataShift!F292:Y292)</f>
        <v>1</v>
      </c>
      <c r="H90">
        <f>_xlfn.RANK.AVG(DataShift!Y292,DataShift!F292:Y292)</f>
        <v>1</v>
      </c>
      <c r="I90" s="90">
        <f>_xlfn.PERCENTRANK.INC(DataShift!F292:Y292,DataShift!Y292)</f>
        <v>1</v>
      </c>
    </row>
    <row r="91" spans="1:9" x14ac:dyDescent="0.3">
      <c r="A91" t="str">
        <f ca="1">TabCalc[[#This Row],[Ticker]]</f>
        <v>XYZ</v>
      </c>
      <c r="B91">
        <f>_xlfn.RANK.EQ(DataShift!AU193,DataShift!AB193:AU193)</f>
        <v>18</v>
      </c>
      <c r="C91">
        <f>_xlfn.RANK.EQ(DataShift!Y792,DataShift!F792:Y792)</f>
        <v>10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18</v>
      </c>
      <c r="C92">
        <f>_xlfn.RANK.EQ(DataShift!Y793,DataShift!F793:Y793)</f>
        <v>14</v>
      </c>
      <c r="D92" t="e">
        <f>_xlfn.RANK.EQ(DataShift!AU694,DataShift!AB694:AU694)</f>
        <v>#N/A</v>
      </c>
      <c r="G92">
        <f>_xlfn.RANK.EQ(DataShift!Y294,DataShift!F294:Y294)</f>
        <v>18</v>
      </c>
      <c r="H92">
        <f>_xlfn.RANK.AVG(DataShift!Y294,DataShift!F294:Y294)</f>
        <v>18</v>
      </c>
      <c r="I92" s="90">
        <f>_xlfn.PERCENTRANK.INC(DataShift!F294:Y294,DataShift!Y294)</f>
        <v>0.105</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19</v>
      </c>
      <c r="C94">
        <f>_xlfn.RANK.EQ(DataShift!Y797,DataShift!F797:Y797)</f>
        <v>12</v>
      </c>
      <c r="D94" t="e">
        <f>_xlfn.RANK.EQ(DataShift!AU698,DataShift!AB698:AU698)</f>
        <v>#N/A</v>
      </c>
      <c r="G94">
        <f>_xlfn.RANK.EQ(DataShift!Y298,DataShift!F298:Y298)</f>
        <v>18</v>
      </c>
      <c r="H94">
        <f>_xlfn.RANK.AVG(DataShift!Y298,DataShift!F298:Y298)</f>
        <v>18</v>
      </c>
      <c r="I94" s="90">
        <f>_xlfn.PERCENTRANK.INC(DataShift!F298:Y298,DataShift!Y298)</f>
        <v>0.105</v>
      </c>
    </row>
    <row r="95" spans="1:9" x14ac:dyDescent="0.3">
      <c r="A95" t="str">
        <f ca="1">TabCalc[[#This Row],[Ticker]]</f>
        <v>JBASML</v>
      </c>
      <c r="B95">
        <f>_xlfn.RANK.EQ(DataShift!AU196,DataShift!AB196:AU196)</f>
        <v>1</v>
      </c>
      <c r="C95">
        <f>_xlfn.RANK.EQ(DataShift!Y795,DataShift!F795:Y795)</f>
        <v>6</v>
      </c>
      <c r="D95" t="e">
        <f>_xlfn.RANK.EQ(DataShift!AU696,DataShift!AB696:AU696)</f>
        <v>#N/A</v>
      </c>
      <c r="G95">
        <f>_xlfn.RANK.EQ(DataShift!Y296,DataShift!F296:Y296)</f>
        <v>20</v>
      </c>
      <c r="H95">
        <f>_xlfn.RANK.AVG(DataShift!Y296,DataShift!F296:Y296)</f>
        <v>20</v>
      </c>
      <c r="I95" s="90">
        <f>_xlfn.PERCENTRANK.INC(DataShift!F296:Y296,DataShift!Y296)</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76" t="s">
        <v>2661</v>
      </c>
      <c r="T1" s="102"/>
      <c r="U1" s="1076" t="s">
        <v>2666</v>
      </c>
      <c r="AB1" s="102"/>
      <c r="AC1" s="1074" t="s">
        <v>662</v>
      </c>
      <c r="AD1" s="102"/>
      <c r="AG1" s="1074" t="s">
        <v>2514</v>
      </c>
      <c r="AH1" s="105"/>
      <c r="AI1" s="1074" t="s">
        <v>2513</v>
      </c>
      <c r="AJ1" s="106"/>
      <c r="AK1" s="1074" t="s">
        <v>2197</v>
      </c>
      <c r="AL1" s="104"/>
      <c r="AM1" s="1074" t="s">
        <v>2507</v>
      </c>
      <c r="AN1" s="1075"/>
      <c r="AO1" s="1074" t="s">
        <v>2508</v>
      </c>
      <c r="AP1" s="1075"/>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3839355.6756559992</v>
      </c>
      <c r="I3" t="str" cm="1">
        <f t="array" aca="1" ref="I3:J96" ca="1">_xlfn._xlws.SORT(CHOOSE({1,2},D3:D96,Tab1ChangePercent[Change%19]),2,-1)</f>
        <v>GNRC</v>
      </c>
      <c r="J3" s="561">
        <f ca="1"/>
        <v>3.1095999999999999E-2</v>
      </c>
      <c r="K3" s="153" t="str" cm="1">
        <f t="array" aca="1" ref="K3:L96" ca="1">_xlfn._xlws.SORT(CHOOSE({1,2},D3:D96,Tab1ChangePercent[Change%20]),2,-1)</f>
        <v>GNRC</v>
      </c>
      <c r="L3" s="561">
        <f ca="1"/>
        <v>3.1095999999999999E-2</v>
      </c>
      <c r="M3" s="1" t="str" cm="1">
        <f t="array" aca="1" ref="M3:N96" ca="1">_xlfn._xlws.SORT(CHOOSE({1,2},D3:D96,TabCalc[GLMore@A]),2,-1)</f>
        <v>MSFT</v>
      </c>
      <c r="N3" s="560">
        <f ca="1"/>
        <v>1495568.4</v>
      </c>
      <c r="O3" t="str" cm="1">
        <f t="array" aca="1" ref="O3:P96" ca="1">_xlfn._xlws.SORT(CHOOSE({1,2},D3:D96,TabTRADER[Buy_Back]),2,-1)</f>
        <v>SAFIAG</v>
      </c>
      <c r="P3" s="560">
        <f ca="1"/>
        <v>75483.232000000004</v>
      </c>
      <c r="Q3" t="str" cm="1">
        <f t="array" aca="1" ref="Q3:R96" ca="1">_xlfn._xlws.SORT(CHOOSE({1,2},D3:D96,Tab2SumChangePercent[AVGChan20]),2,-1)</f>
        <v>UNIT</v>
      </c>
      <c r="R3" s="650" t="e">
        <f ca="1"/>
        <v>#REF!</v>
      </c>
      <c r="S3" t="str" cm="1">
        <f t="array" aca="1" ref="S3:T96" ca="1">_xlfn._xlws.SORT(CHOOSE({1,2},D3:D96,Tab2Saldo[Sald20]),2,-1)</f>
        <v>ASML</v>
      </c>
      <c r="T3" s="87">
        <f ca="1"/>
        <v>89250</v>
      </c>
      <c r="U3" t="str" cm="1">
        <f t="array" aca="1" ref="U3:V96" ca="1">_xlfn._xlws.SORT(CHOOSE({1,2},D3:D96,Tab2Saldo5Days[Saldo_5Day20]),2,-1)</f>
        <v>MSFT</v>
      </c>
      <c r="V3" s="87">
        <f ca="1"/>
        <v>32046</v>
      </c>
      <c r="W3" t="str" cm="1">
        <f t="array" aca="1" ref="W3:X96" ca="1">_xlfn._xlws.SORT(CHOOSE({1,2},D3:D96,Tab2Free2[Price_R_20]),2,1)</f>
        <v>C</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7">
        <f ca="1"/>
        <v>0</v>
      </c>
      <c r="AG3" t="str" cm="1">
        <f t="array" aca="1" ref="AG3:AH96" ca="1">_xlfn._xlws.SORT(CHOOSE({1,2},D3:D96,Tab2RevSale[RevSale20]),2,-1)</f>
        <v>LOCK</v>
      </c>
      <c r="AH3" s="87">
        <f ca="1"/>
        <v>341167.50000000006</v>
      </c>
      <c r="AI3" t="str" cm="1">
        <f t="array" aca="1" ref="AI3:AJ96" ca="1">_xlfn._xlws.SORT(CHOOSE({1,2},D3:D96,Tab2ReBuy[RevBuy20]),2,-1)</f>
        <v>MRNA</v>
      </c>
      <c r="AJ3" s="87">
        <f ca="1"/>
        <v>95939.999999999985</v>
      </c>
      <c r="AK3" s="90" t="str" cm="1">
        <f t="array" aca="1" ref="AK3:AL96" ca="1">_xlfn._xlws.SORT(CHOOSE({1,2},D3:D96,Tab2SumChangePercent[AVGChan20]),2,-1)</f>
        <v>UNIT</v>
      </c>
      <c r="AL3" s="310" t="e">
        <f ca="1"/>
        <v>#REF!</v>
      </c>
      <c r="AM3" t="str" cm="1">
        <f t="array" aca="1" ref="AM3:AN96" ca="1">_xlfn._xlws.SORT(CHOOSE({1,2},TabTRADER[ClickTick],TabTRADER[SellMore(/A)]),2,-1)</f>
        <v>LNSR</v>
      </c>
      <c r="AN3" s="310" t="str">
        <f ca="1"/>
        <v/>
      </c>
      <c r="AO3" t="str" cm="1">
        <f t="array" aca="1" ref="AO3:AP96" ca="1">_xlfn._xlws.SORT(CHOOSE({1,2},TabTRADER[ClickTick],TabTRADER[BuyMore]),2,)</f>
        <v>LOCK</v>
      </c>
      <c r="AP3" s="310">
        <f ca="1"/>
        <v>-0.45574900153609837</v>
      </c>
      <c r="AQ3" s="87" t="str" cm="1">
        <f t="array" aca="1" ref="AQ3:AR96" ca="1">_xlfn._xlws.SORT(CHOOSE({1,2},D3:D96,TabCalc[Ann%RevLB]),2,-1)</f>
        <v>NVAX</v>
      </c>
      <c r="AR3" s="90">
        <f ca="1"/>
        <v>24229.894736842103</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EPIX</v>
      </c>
      <c r="F4" s="559">
        <f ca="1"/>
        <v>1.8522760022071003</v>
      </c>
      <c r="G4" s="153" t="str">
        <f ca="1"/>
        <v>NFLX</v>
      </c>
      <c r="H4" s="560">
        <f ca="1"/>
        <v>1444994.9653740001</v>
      </c>
      <c r="I4" t="str">
        <f ca="1"/>
        <v>ASML</v>
      </c>
      <c r="J4" s="561">
        <f ca="1"/>
        <v>2.4260999999999998E-2</v>
      </c>
      <c r="K4" s="153" t="str">
        <f ca="1"/>
        <v>ASML</v>
      </c>
      <c r="L4" s="561">
        <f ca="1"/>
        <v>2.4260999999999998E-2</v>
      </c>
      <c r="M4" s="1" t="str">
        <f ca="1"/>
        <v>ASML</v>
      </c>
      <c r="N4" s="560">
        <f ca="1"/>
        <v>808036.76470588241</v>
      </c>
      <c r="O4" t="str">
        <f ca="1"/>
        <v>GLE</v>
      </c>
      <c r="P4" s="560">
        <f ca="1"/>
        <v>51306.256000000001</v>
      </c>
      <c r="Q4" t="str">
        <f ca="1"/>
        <v>POET</v>
      </c>
      <c r="R4" s="650">
        <f ca="1"/>
        <v>1.2478422619047622E-2</v>
      </c>
      <c r="S4" t="str">
        <f ca="1"/>
        <v>AAPL</v>
      </c>
      <c r="T4" s="87">
        <f ca="1"/>
        <v>43034.999999999534</v>
      </c>
      <c r="U4" t="str">
        <f ca="1"/>
        <v>AAPL</v>
      </c>
      <c r="V4" s="87">
        <f ca="1"/>
        <v>28499.999999999534</v>
      </c>
      <c r="W4" t="str">
        <f ca="1"/>
        <v>EOAN</v>
      </c>
      <c r="X4">
        <f ca="1"/>
        <v>1</v>
      </c>
      <c r="Y4" t="str">
        <f ca="1"/>
        <v>WBA</v>
      </c>
      <c r="Z4">
        <f ca="1"/>
        <v>1</v>
      </c>
      <c r="AA4" t="str">
        <f ca="1"/>
        <v>EOAN</v>
      </c>
      <c r="AB4" t="e">
        <f ca="1"/>
        <v>#DIV/0!</v>
      </c>
      <c r="AC4" t="str">
        <f ca="1"/>
        <v>EOAN</v>
      </c>
      <c r="AD4" t="e">
        <f ca="1"/>
        <v>#DIV/0!</v>
      </c>
      <c r="AE4" t="str">
        <f ca="1"/>
        <v>AVGO</v>
      </c>
      <c r="AF4" s="87">
        <f ca="1"/>
        <v>0</v>
      </c>
      <c r="AG4" t="str">
        <f ca="1"/>
        <v>JBASML</v>
      </c>
      <c r="AH4" s="87">
        <f ca="1"/>
        <v>32572.000000000004</v>
      </c>
      <c r="AI4" t="str">
        <f ca="1"/>
        <v>EPIX</v>
      </c>
      <c r="AJ4" s="87">
        <f ca="1"/>
        <v>55687.999999999993</v>
      </c>
      <c r="AK4" s="90" t="str">
        <f ca="1"/>
        <v>POET</v>
      </c>
      <c r="AL4" s="310">
        <f ca="1"/>
        <v>1.2478422619047622E-2</v>
      </c>
      <c r="AM4" t="str">
        <f ca="1"/>
        <v>NFLX</v>
      </c>
      <c r="AN4" s="310" t="str">
        <f ca="1"/>
        <v/>
      </c>
      <c r="AO4" t="str">
        <f ca="1"/>
        <v>GLE</v>
      </c>
      <c r="AP4" s="310">
        <f ca="1"/>
        <v>-0.45525751495952127</v>
      </c>
      <c r="AQ4" s="87" t="str">
        <f ca="1"/>
        <v>RIGL</v>
      </c>
      <c r="AR4" s="90">
        <f ca="1"/>
        <v>11.750088245675967</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MVEEPIX</v>
      </c>
      <c r="F5" s="559">
        <f ca="1"/>
        <v>1.8522760022071003</v>
      </c>
      <c r="G5" s="153" t="str">
        <f ca="1"/>
        <v>NEM</v>
      </c>
      <c r="H5" s="560">
        <f ca="1"/>
        <v>1264507.868818</v>
      </c>
      <c r="I5" t="str">
        <f ca="1"/>
        <v>SAFASML</v>
      </c>
      <c r="J5" s="561">
        <f ca="1"/>
        <v>2.4260999999999998E-2</v>
      </c>
      <c r="K5" s="153" t="str">
        <f ca="1"/>
        <v>SAFASML</v>
      </c>
      <c r="L5" s="561">
        <f ca="1"/>
        <v>2.4260999999999998E-2</v>
      </c>
      <c r="M5" s="1" t="str">
        <f ca="1"/>
        <v>AAPL</v>
      </c>
      <c r="N5" s="560">
        <f ca="1"/>
        <v>551107.3899999999</v>
      </c>
      <c r="O5" t="str">
        <f ca="1"/>
        <v>MVERWE</v>
      </c>
      <c r="P5" s="560">
        <f ca="1"/>
        <v>41361.808961999988</v>
      </c>
      <c r="Q5" t="str">
        <f ca="1"/>
        <v>BLNK</v>
      </c>
      <c r="R5" s="650">
        <f ca="1"/>
        <v>8.9638869047619033E-3</v>
      </c>
      <c r="S5" t="str">
        <f ca="1"/>
        <v>VONN</v>
      </c>
      <c r="T5" s="87">
        <f ca="1"/>
        <v>15360</v>
      </c>
      <c r="U5" t="str">
        <f ca="1"/>
        <v>VONN</v>
      </c>
      <c r="V5" s="87">
        <f ca="1"/>
        <v>18560</v>
      </c>
      <c r="W5" t="str">
        <f ca="1"/>
        <v>WBA</v>
      </c>
      <c r="X5">
        <f ca="1"/>
        <v>1</v>
      </c>
      <c r="Y5" t="str">
        <f ca="1"/>
        <v>MVEEPIX</v>
      </c>
      <c r="Z5">
        <f ca="1"/>
        <v>1</v>
      </c>
      <c r="AA5" t="str">
        <f ca="1"/>
        <v>WBA</v>
      </c>
      <c r="AB5" t="e">
        <f ca="1"/>
        <v>#DIV/0!</v>
      </c>
      <c r="AC5" t="str">
        <f ca="1"/>
        <v>WBA</v>
      </c>
      <c r="AD5" t="e">
        <f ca="1"/>
        <v>#DIV/0!</v>
      </c>
      <c r="AE5" t="str">
        <f ca="1"/>
        <v>AZN</v>
      </c>
      <c r="AF5" s="87">
        <f ca="1"/>
        <v>0</v>
      </c>
      <c r="AG5" t="str">
        <f ca="1"/>
        <v>MVEENI</v>
      </c>
      <c r="AH5" s="87">
        <f ca="1"/>
        <v>26063.999999999993</v>
      </c>
      <c r="AI5" t="str">
        <f ca="1"/>
        <v>XPER</v>
      </c>
      <c r="AJ5" s="87">
        <f ca="1"/>
        <v>34992</v>
      </c>
      <c r="AK5" s="90" t="str">
        <f ca="1"/>
        <v>BLNK</v>
      </c>
      <c r="AL5" s="310">
        <f ca="1"/>
        <v>8.9638869047619033E-3</v>
      </c>
      <c r="AM5" t="str">
        <f ca="1"/>
        <v>VLVLY</v>
      </c>
      <c r="AN5" s="310" t="str">
        <f ca="1"/>
        <v/>
      </c>
      <c r="AO5" t="str">
        <f ca="1"/>
        <v>X</v>
      </c>
      <c r="AP5" s="310">
        <f ca="1"/>
        <v>-0.43809952589350848</v>
      </c>
      <c r="AQ5" s="87" t="str">
        <f ca="1"/>
        <v>NEM</v>
      </c>
      <c r="AR5" s="90">
        <f ca="1"/>
        <v>2.6516227180527392</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AET</v>
      </c>
      <c r="F6" s="559">
        <f ca="1"/>
        <v>1.831612965464017</v>
      </c>
      <c r="G6" s="153" t="str">
        <f ca="1"/>
        <v>EOAN</v>
      </c>
      <c r="H6" s="560">
        <f ca="1"/>
        <v>1157319.4220999999</v>
      </c>
      <c r="I6" t="str">
        <f ca="1"/>
        <v>JBASML</v>
      </c>
      <c r="J6" s="561">
        <f ca="1"/>
        <v>2.4260999999999998E-2</v>
      </c>
      <c r="K6" s="153" t="str">
        <f ca="1"/>
        <v>JBASML</v>
      </c>
      <c r="L6" s="561">
        <f ca="1"/>
        <v>2.4260999999999998E-2</v>
      </c>
      <c r="M6" s="1" t="str">
        <f ca="1"/>
        <v>NEM</v>
      </c>
      <c r="N6" s="560">
        <f ca="1"/>
        <v>504147.91000000009</v>
      </c>
      <c r="O6" t="str">
        <f ca="1"/>
        <v>SAFGM</v>
      </c>
      <c r="P6" s="560">
        <f ca="1"/>
        <v>40856.69567999999</v>
      </c>
      <c r="Q6" t="str">
        <f ca="1"/>
        <v>NOTE</v>
      </c>
      <c r="R6" s="650">
        <f ca="1"/>
        <v>7.4263696428571429E-3</v>
      </c>
      <c r="S6" t="str">
        <f ca="1"/>
        <v>ALDNE</v>
      </c>
      <c r="T6" s="87">
        <f ca="1"/>
        <v>15179.999999999534</v>
      </c>
      <c r="U6" t="str">
        <f ca="1"/>
        <v>ALDNE</v>
      </c>
      <c r="V6" s="87">
        <f ca="1"/>
        <v>10119.999999999534</v>
      </c>
      <c r="W6" t="str">
        <f ca="1"/>
        <v>MVEEPIX</v>
      </c>
      <c r="X6">
        <f ca="1"/>
        <v>1</v>
      </c>
      <c r="Y6" t="str">
        <f ca="1"/>
        <v>X</v>
      </c>
      <c r="Z6">
        <f ca="1"/>
        <v>1</v>
      </c>
      <c r="AA6" t="str">
        <f ca="1"/>
        <v>MVEEPIX</v>
      </c>
      <c r="AB6" t="e">
        <f ca="1"/>
        <v>#DIV/0!</v>
      </c>
      <c r="AC6" t="str">
        <f ca="1"/>
        <v>MVEEPIX</v>
      </c>
      <c r="AD6" t="e">
        <f ca="1"/>
        <v>#DIV/0!</v>
      </c>
      <c r="AE6" t="str">
        <f ca="1"/>
        <v>C</v>
      </c>
      <c r="AF6" s="87">
        <f ca="1"/>
        <v>0</v>
      </c>
      <c r="AG6" t="str">
        <f ca="1"/>
        <v>IAG</v>
      </c>
      <c r="AH6" s="87">
        <f ca="1"/>
        <v>25717.600000000006</v>
      </c>
      <c r="AI6" t="str">
        <f ca="1"/>
        <v>DXC</v>
      </c>
      <c r="AJ6" s="87">
        <f ca="1"/>
        <v>32840</v>
      </c>
      <c r="AK6" s="90" t="str">
        <f ca="1"/>
        <v>NOTE</v>
      </c>
      <c r="AL6" s="310">
        <f ca="1"/>
        <v>7.4263696428571429E-3</v>
      </c>
      <c r="AM6" t="str">
        <f ca="1"/>
        <v>XOM</v>
      </c>
      <c r="AN6" s="310" t="str">
        <f ca="1"/>
        <v/>
      </c>
      <c r="AO6" t="str">
        <f ca="1"/>
        <v>RWE</v>
      </c>
      <c r="AP6" s="310">
        <f ca="1"/>
        <v>-0.35384628401554991</v>
      </c>
      <c r="AQ6" s="87" t="str">
        <f ca="1"/>
        <v>SAFASML</v>
      </c>
      <c r="AR6" s="90">
        <f ca="1"/>
        <v>1.6793437947846375</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DSY</v>
      </c>
      <c r="F7" s="559">
        <f ca="1"/>
        <v>1.4375302511891848</v>
      </c>
      <c r="G7" s="153" t="str">
        <f ca="1"/>
        <v>IAG</v>
      </c>
      <c r="H7" s="560">
        <f ca="1"/>
        <v>1148019.3488344601</v>
      </c>
      <c r="I7" t="str">
        <f ca="1"/>
        <v>LAZR</v>
      </c>
      <c r="J7" s="561">
        <f ca="1"/>
        <v>2.2745999999999999E-2</v>
      </c>
      <c r="K7" s="153" t="str">
        <f ca="1"/>
        <v>LAZR</v>
      </c>
      <c r="L7" s="561">
        <f ca="1"/>
        <v>2.2745999999999999E-2</v>
      </c>
      <c r="M7" s="1" t="str">
        <f ca="1"/>
        <v>LOCK</v>
      </c>
      <c r="N7" s="560">
        <f ca="1"/>
        <v>341167.50000000006</v>
      </c>
      <c r="O7" t="str">
        <f ca="1"/>
        <v>RWE</v>
      </c>
      <c r="P7" s="560">
        <f ca="1"/>
        <v>33097.72159999999</v>
      </c>
      <c r="Q7" t="str">
        <f ca="1"/>
        <v>LUV</v>
      </c>
      <c r="R7" s="650">
        <f ca="1"/>
        <v>6.8821369047619039E-3</v>
      </c>
      <c r="S7" t="str">
        <f ca="1"/>
        <v>TSM</v>
      </c>
      <c r="T7" s="87">
        <f ca="1"/>
        <v>10710</v>
      </c>
      <c r="U7" t="str">
        <f ca="1"/>
        <v>TSM</v>
      </c>
      <c r="V7" s="87">
        <f ca="1"/>
        <v>4326</v>
      </c>
      <c r="W7" t="str">
        <f ca="1"/>
        <v>RRC</v>
      </c>
      <c r="X7">
        <f ca="1"/>
        <v>1</v>
      </c>
      <c r="Y7" t="str">
        <f ca="1"/>
        <v>ASML</v>
      </c>
      <c r="Z7">
        <f ca="1"/>
        <v>3</v>
      </c>
      <c r="AA7" t="str">
        <f ca="1"/>
        <v>X</v>
      </c>
      <c r="AB7" t="e">
        <f ca="1"/>
        <v>#DIV/0!</v>
      </c>
      <c r="AC7" t="str">
        <f ca="1"/>
        <v>X</v>
      </c>
      <c r="AD7" t="e">
        <f ca="1"/>
        <v>#DIV/0!</v>
      </c>
      <c r="AE7" t="str">
        <f ca="1"/>
        <v>CSCO</v>
      </c>
      <c r="AF7" s="87">
        <f ca="1"/>
        <v>0</v>
      </c>
      <c r="AG7" t="str">
        <f ca="1"/>
        <v>SAFAAPL</v>
      </c>
      <c r="AH7" s="87">
        <f ca="1"/>
        <v>20656.69999999999</v>
      </c>
      <c r="AI7" t="str">
        <f ca="1"/>
        <v>MVESAP</v>
      </c>
      <c r="AJ7" s="87">
        <f ca="1"/>
        <v>30990.000000000007</v>
      </c>
      <c r="AK7" s="90" t="str">
        <f ca="1"/>
        <v>LUV</v>
      </c>
      <c r="AL7" s="310">
        <f ca="1"/>
        <v>6.8821369047619039E-3</v>
      </c>
      <c r="AM7" t="str">
        <f ca="1"/>
        <v>MVEGLE</v>
      </c>
      <c r="AN7" s="310" t="str">
        <f ca="1"/>
        <v/>
      </c>
      <c r="AO7" t="str">
        <f ca="1"/>
        <v>RIGL</v>
      </c>
      <c r="AP7" s="310">
        <f ca="1"/>
        <v>-0.3312729857819906</v>
      </c>
      <c r="AQ7" s="87" t="str">
        <f ca="1"/>
        <v>KR</v>
      </c>
      <c r="AR7" s="90">
        <f ca="1"/>
        <v>1.4545454545454546</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MVEDSY</v>
      </c>
      <c r="F8" s="559">
        <f ca="1"/>
        <v>1.4375302511891848</v>
      </c>
      <c r="G8" s="153" t="str">
        <f ca="1"/>
        <v>AAPL</v>
      </c>
      <c r="H8" s="560">
        <f ca="1"/>
        <v>1142054.627475</v>
      </c>
      <c r="I8" t="str">
        <f ca="1"/>
        <v>AVGO</v>
      </c>
      <c r="J8" s="561">
        <f ca="1"/>
        <v>2.1937999999999999E-2</v>
      </c>
      <c r="K8" s="153" t="str">
        <f ca="1"/>
        <v>AVGO</v>
      </c>
      <c r="L8" s="561">
        <f ca="1"/>
        <v>2.1937999999999999E-2</v>
      </c>
      <c r="M8" s="1" t="str">
        <f ca="1"/>
        <v>TSM</v>
      </c>
      <c r="N8" s="560">
        <f ca="1"/>
        <v>339917.31937500014</v>
      </c>
      <c r="O8" t="str">
        <f ca="1"/>
        <v>X</v>
      </c>
      <c r="P8" s="560">
        <f ca="1"/>
        <v>29750.846160000008</v>
      </c>
      <c r="Q8" t="str">
        <f ca="1"/>
        <v>RRC</v>
      </c>
      <c r="R8" s="650">
        <f ca="1"/>
        <v>4.7254047619047623E-3</v>
      </c>
      <c r="S8" t="str">
        <f ca="1"/>
        <v>IAG</v>
      </c>
      <c r="T8" s="87">
        <f ca="1"/>
        <v>6600</v>
      </c>
      <c r="U8" t="str">
        <f ca="1"/>
        <v>KR</v>
      </c>
      <c r="V8" s="87">
        <f ca="1"/>
        <v>4280</v>
      </c>
      <c r="W8" t="str">
        <f ca="1"/>
        <v>X</v>
      </c>
      <c r="X8">
        <f ca="1"/>
        <v>1</v>
      </c>
      <c r="Y8" t="str">
        <f ca="1"/>
        <v>HPQ</v>
      </c>
      <c r="Z8">
        <f ca="1"/>
        <v>3</v>
      </c>
      <c r="AA8" t="str">
        <f ca="1"/>
        <v>EPIX</v>
      </c>
      <c r="AB8">
        <f ca="1"/>
        <v>82</v>
      </c>
      <c r="AC8" t="str">
        <f ca="1"/>
        <v>MVEENI</v>
      </c>
      <c r="AD8">
        <f ca="1"/>
        <v>82</v>
      </c>
      <c r="AE8" t="str">
        <f ca="1"/>
        <v>CVS</v>
      </c>
      <c r="AF8" s="87">
        <f ca="1"/>
        <v>0</v>
      </c>
      <c r="AG8" t="str">
        <f ca="1"/>
        <v>SAFASML</v>
      </c>
      <c r="AH8" s="87">
        <f ca="1"/>
        <v>20404.3</v>
      </c>
      <c r="AI8" t="str">
        <f ca="1"/>
        <v>SAFMRNA</v>
      </c>
      <c r="AJ8" s="87">
        <f ca="1"/>
        <v>19964</v>
      </c>
      <c r="AK8" s="90" t="str">
        <f ca="1"/>
        <v>RRC</v>
      </c>
      <c r="AL8" s="310">
        <f ca="1"/>
        <v>4.7254047619047623E-3</v>
      </c>
      <c r="AM8" t="str">
        <f ca="1"/>
        <v>SAFGM</v>
      </c>
      <c r="AN8" s="310" t="str">
        <f ca="1"/>
        <v/>
      </c>
      <c r="AO8" t="str">
        <f ca="1"/>
        <v>LUMN</v>
      </c>
      <c r="AP8" s="310">
        <f ca="1"/>
        <v>-0.32817551563539588</v>
      </c>
      <c r="AQ8" s="87" t="str">
        <f ca="1"/>
        <v>RIG</v>
      </c>
      <c r="AR8" s="90">
        <f ca="1"/>
        <v>1.312997347480106</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MVEORA</v>
      </c>
      <c r="F9" s="559">
        <f ca="1"/>
        <v>1.2898279166741773</v>
      </c>
      <c r="G9" s="153" t="str">
        <f ca="1"/>
        <v>TSM</v>
      </c>
      <c r="H9" s="560">
        <f ca="1"/>
        <v>870543.35919720004</v>
      </c>
      <c r="I9" t="str">
        <f ca="1"/>
        <v>GM</v>
      </c>
      <c r="J9" s="561">
        <f ca="1"/>
        <v>1.7444000000000001E-2</v>
      </c>
      <c r="K9" s="153" t="str">
        <f ca="1"/>
        <v>GM</v>
      </c>
      <c r="L9" s="561">
        <f ca="1"/>
        <v>1.7444000000000001E-2</v>
      </c>
      <c r="M9" s="1" t="str">
        <f ca="1"/>
        <v>AMZN</v>
      </c>
      <c r="N9" s="560">
        <f ca="1"/>
        <v>216281.21999999974</v>
      </c>
      <c r="O9" t="str">
        <f ca="1"/>
        <v>GM</v>
      </c>
      <c r="P9" s="560">
        <f ca="1"/>
        <v>21211.885331999991</v>
      </c>
      <c r="Q9" t="str">
        <f ca="1"/>
        <v>NEE</v>
      </c>
      <c r="R9" s="650">
        <f ca="1"/>
        <v>4.6334285714285705E-3</v>
      </c>
      <c r="S9" t="str">
        <f ca="1"/>
        <v>SAFASML</v>
      </c>
      <c r="T9" s="87">
        <f ca="1"/>
        <v>6375</v>
      </c>
      <c r="U9" t="str">
        <f ca="1"/>
        <v>NOTE</v>
      </c>
      <c r="V9" s="87">
        <f ca="1"/>
        <v>3933.4199999999983</v>
      </c>
      <c r="W9" t="str">
        <f ca="1"/>
        <v>PW</v>
      </c>
      <c r="X9">
        <f ca="1"/>
        <v>2</v>
      </c>
      <c r="Y9" t="str">
        <f ca="1"/>
        <v>UNIT</v>
      </c>
      <c r="Z9">
        <f ca="1"/>
        <v>3</v>
      </c>
      <c r="AA9" t="str">
        <f ca="1"/>
        <v>SAFGM</v>
      </c>
      <c r="AB9">
        <f ca="1"/>
        <v>82</v>
      </c>
      <c r="AC9" t="str">
        <f ca="1"/>
        <v>ENI</v>
      </c>
      <c r="AD9">
        <f ca="1"/>
        <v>82</v>
      </c>
      <c r="AE9" t="str">
        <f ca="1"/>
        <v>EOAN</v>
      </c>
      <c r="AF9" s="87">
        <f ca="1"/>
        <v>0</v>
      </c>
      <c r="AG9" t="str">
        <f ca="1"/>
        <v>NEM</v>
      </c>
      <c r="AH9" s="87">
        <f ca="1"/>
        <v>17430.000000000007</v>
      </c>
      <c r="AI9" t="str">
        <f ca="1"/>
        <v>MVEDSY</v>
      </c>
      <c r="AJ9" s="87">
        <f ca="1"/>
        <v>16630</v>
      </c>
      <c r="AK9" s="90" t="str">
        <f ca="1"/>
        <v>NEE</v>
      </c>
      <c r="AL9" s="310">
        <f ca="1"/>
        <v>4.6334285714285705E-3</v>
      </c>
      <c r="AM9" t="str">
        <f ca="1"/>
        <v>SAFIAG</v>
      </c>
      <c r="AN9" s="310" t="str">
        <f ca="1"/>
        <v/>
      </c>
      <c r="AO9" t="str">
        <f ca="1"/>
        <v>GM</v>
      </c>
      <c r="AP9" s="310">
        <f ca="1"/>
        <v>-0.32726179555812768</v>
      </c>
      <c r="AQ9" s="87" t="str">
        <f ca="1"/>
        <v>GLE</v>
      </c>
      <c r="AR9" s="90">
        <f ca="1"/>
        <v>1.1333794056668969</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ORA</v>
      </c>
      <c r="F10" s="559">
        <f ca="1"/>
        <v>1.2898279166741773</v>
      </c>
      <c r="G10" s="153" t="str">
        <f ca="1"/>
        <v>ASML</v>
      </c>
      <c r="H10" s="560">
        <f ca="1"/>
        <v>812413.33210600028</v>
      </c>
      <c r="I10" t="str">
        <f ca="1"/>
        <v>SAFGM</v>
      </c>
      <c r="J10" s="561">
        <f ca="1"/>
        <v>1.7444000000000001E-2</v>
      </c>
      <c r="K10" s="153" t="str">
        <f ca="1"/>
        <v>SAFGM</v>
      </c>
      <c r="L10" s="561">
        <f ca="1"/>
        <v>1.7444000000000001E-2</v>
      </c>
      <c r="M10" s="1" t="str">
        <f ca="1"/>
        <v>IAG</v>
      </c>
      <c r="N10" s="560">
        <f ca="1"/>
        <v>103878.02000000006</v>
      </c>
      <c r="O10" t="str">
        <f ca="1"/>
        <v>XOM</v>
      </c>
      <c r="P10" s="560">
        <f ca="1"/>
        <v>18330.217199999988</v>
      </c>
      <c r="Q10" t="str">
        <f ca="1"/>
        <v>IAG</v>
      </c>
      <c r="R10" s="650">
        <f ca="1"/>
        <v>4.1446904761904763E-3</v>
      </c>
      <c r="S10" t="str">
        <f ca="1"/>
        <v>JBASML</v>
      </c>
      <c r="T10" s="87">
        <f ca="1"/>
        <v>5100</v>
      </c>
      <c r="U10" t="str">
        <f ca="1"/>
        <v>ASML</v>
      </c>
      <c r="V10" s="87">
        <f ca="1"/>
        <v>3930</v>
      </c>
      <c r="W10" t="str">
        <f ca="1"/>
        <v>MVEGLE</v>
      </c>
      <c r="X10">
        <f ca="1"/>
        <v>2</v>
      </c>
      <c r="Y10" t="str">
        <f ca="1"/>
        <v>VLVLY</v>
      </c>
      <c r="Z10">
        <f ca="1"/>
        <v>3</v>
      </c>
      <c r="AA10" t="str">
        <f ca="1"/>
        <v>MVEENI</v>
      </c>
      <c r="AB10">
        <f ca="1"/>
        <v>73</v>
      </c>
      <c r="AC10" t="str">
        <f ca="1"/>
        <v>RIG</v>
      </c>
      <c r="AD10">
        <f ca="1"/>
        <v>78</v>
      </c>
      <c r="AE10" t="str">
        <f ca="1"/>
        <v>EPIX</v>
      </c>
      <c r="AF10" s="87">
        <f ca="1"/>
        <v>0</v>
      </c>
      <c r="AG10" t="str">
        <f ca="1"/>
        <v>BLNK</v>
      </c>
      <c r="AH10" s="87">
        <f ca="1"/>
        <v>14120</v>
      </c>
      <c r="AI10" t="str">
        <f ca="1"/>
        <v>DVA</v>
      </c>
      <c r="AJ10" s="87">
        <f ca="1"/>
        <v>14679.999999999996</v>
      </c>
      <c r="AK10" s="90" t="str">
        <f ca="1"/>
        <v>IAG</v>
      </c>
      <c r="AL10" s="310">
        <f ca="1"/>
        <v>4.1446904761904763E-3</v>
      </c>
      <c r="AM10" t="str">
        <f ca="1"/>
        <v>F</v>
      </c>
      <c r="AN10" s="310" t="str">
        <f ca="1"/>
        <v/>
      </c>
      <c r="AO10" t="str">
        <f ca="1"/>
        <v>MSFT</v>
      </c>
      <c r="AP10" s="310">
        <f ca="1"/>
        <v>-0.3162295863214683</v>
      </c>
      <c r="AQ10" s="87" t="str">
        <f ca="1"/>
        <v>CSCO</v>
      </c>
      <c r="AR10" s="90">
        <f ca="1"/>
        <v>1.0985714285714285</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VONN</v>
      </c>
      <c r="F11" s="559">
        <f ca="1"/>
        <v>1.2246027397260273</v>
      </c>
      <c r="G11" s="153" t="str">
        <f ca="1"/>
        <v>AMZN</v>
      </c>
      <c r="H11" s="560">
        <f ca="1"/>
        <v>679816.75462799985</v>
      </c>
      <c r="I11" t="str">
        <f ca="1"/>
        <v>IAG</v>
      </c>
      <c r="J11" s="561">
        <f ca="1"/>
        <v>1.6966999999999999E-2</v>
      </c>
      <c r="K11" s="153" t="str">
        <f ca="1"/>
        <v>IAG</v>
      </c>
      <c r="L11" s="561">
        <f ca="1"/>
        <v>1.6966999999999999E-2</v>
      </c>
      <c r="M11" s="1" t="str">
        <f ca="1"/>
        <v>MVEENI</v>
      </c>
      <c r="N11" s="560">
        <f ca="1"/>
        <v>100421.20000000001</v>
      </c>
      <c r="O11" t="str">
        <f ca="1"/>
        <v>JBASML</v>
      </c>
      <c r="P11" s="560">
        <f ca="1"/>
        <v>17474.447999999993</v>
      </c>
      <c r="Q11" t="str">
        <f ca="1"/>
        <v>DIS</v>
      </c>
      <c r="R11" s="650">
        <f ca="1"/>
        <v>3.7841809523809534E-3</v>
      </c>
      <c r="S11" t="str">
        <f ca="1"/>
        <v>RIG</v>
      </c>
      <c r="T11" s="87">
        <f ca="1"/>
        <v>3440</v>
      </c>
      <c r="U11" t="str">
        <f ca="1"/>
        <v>UN0</v>
      </c>
      <c r="V11" s="87">
        <f ca="1"/>
        <v>2100</v>
      </c>
      <c r="W11" t="str">
        <f ca="1"/>
        <v>GLE</v>
      </c>
      <c r="X11">
        <f ca="1"/>
        <v>2</v>
      </c>
      <c r="Y11" t="str">
        <f ca="1"/>
        <v>SAFASML</v>
      </c>
      <c r="Z11">
        <f ca="1"/>
        <v>3</v>
      </c>
      <c r="AA11" t="str">
        <f ca="1"/>
        <v>ENI</v>
      </c>
      <c r="AB11">
        <f ca="1"/>
        <v>73</v>
      </c>
      <c r="AC11" t="str">
        <f ca="1"/>
        <v>EPIX</v>
      </c>
      <c r="AD11">
        <f ca="1"/>
        <v>71</v>
      </c>
      <c r="AE11" t="str">
        <f ca="1"/>
        <v>GM</v>
      </c>
      <c r="AF11" s="87">
        <f ca="1"/>
        <v>0</v>
      </c>
      <c r="AG11" t="str">
        <f ca="1"/>
        <v>RIGL</v>
      </c>
      <c r="AH11" s="87">
        <f ca="1"/>
        <v>13870.000000000004</v>
      </c>
      <c r="AI11" t="str">
        <f ca="1"/>
        <v>NVAX</v>
      </c>
      <c r="AJ11" s="87">
        <f ca="1"/>
        <v>14455.000000000002</v>
      </c>
      <c r="AK11" s="90" t="str">
        <f ca="1"/>
        <v>DIS</v>
      </c>
      <c r="AL11" s="310">
        <f ca="1"/>
        <v>3.7841809523809534E-3</v>
      </c>
      <c r="AM11" t="str">
        <f ca="1"/>
        <v>GLE</v>
      </c>
      <c r="AN11" s="310" t="str">
        <f ca="1"/>
        <v/>
      </c>
      <c r="AO11" t="str">
        <f ca="1"/>
        <v>SAFGM</v>
      </c>
      <c r="AP11" s="310">
        <f ca="1"/>
        <v>-0.29894088114012868</v>
      </c>
      <c r="AQ11" s="87" t="str">
        <f ca="1"/>
        <v>NEE</v>
      </c>
      <c r="AR11" s="90">
        <f ca="1"/>
        <v>0.99304018628245849</v>
      </c>
      <c r="AS11" s="94" t="str">
        <f ca="1"/>
        <v>AAPL</v>
      </c>
      <c r="AT11" s="90">
        <f ca="1"/>
        <v>0</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MVEGLE</v>
      </c>
      <c r="F12" s="559">
        <f ca="1"/>
        <v>1.1777482661130008</v>
      </c>
      <c r="G12" s="153" t="str">
        <f ca="1"/>
        <v>LOCK</v>
      </c>
      <c r="H12" s="560">
        <f ca="1"/>
        <v>338139.55170000001</v>
      </c>
      <c r="I12" t="str">
        <f ca="1"/>
        <v>SAFIAG</v>
      </c>
      <c r="J12" s="561">
        <f ca="1"/>
        <v>1.6966999999999999E-2</v>
      </c>
      <c r="K12" s="153" t="str">
        <f ca="1"/>
        <v>SAFIAG</v>
      </c>
      <c r="L12" s="561">
        <f ca="1"/>
        <v>1.6966999999999999E-2</v>
      </c>
      <c r="M12" s="1" t="str">
        <f ca="1"/>
        <v>SAFASML</v>
      </c>
      <c r="N12" s="560">
        <f ca="1"/>
        <v>58056.761999999995</v>
      </c>
      <c r="O12" t="str">
        <f ca="1"/>
        <v>RRC</v>
      </c>
      <c r="P12" s="560">
        <f ca="1"/>
        <v>16038.192000000005</v>
      </c>
      <c r="Q12" t="str">
        <f ca="1"/>
        <v>MVEDSY</v>
      </c>
      <c r="R12" s="650">
        <f ca="1"/>
        <v>3.7841809523809534E-3</v>
      </c>
      <c r="S12" t="str">
        <f ca="1"/>
        <v>MVEALDNE</v>
      </c>
      <c r="T12" s="87">
        <f ca="1"/>
        <v>3030</v>
      </c>
      <c r="U12" t="str">
        <f ca="1"/>
        <v>MVEALDNE</v>
      </c>
      <c r="V12" s="87">
        <f ca="1"/>
        <v>2020</v>
      </c>
      <c r="W12" t="str">
        <f ca="1"/>
        <v>RIG</v>
      </c>
      <c r="X12">
        <f ca="1"/>
        <v>2</v>
      </c>
      <c r="Y12" t="str">
        <f ca="1"/>
        <v>SAFIAG</v>
      </c>
      <c r="Z12">
        <f ca="1"/>
        <v>3</v>
      </c>
      <c r="AA12" t="str">
        <f ca="1"/>
        <v>RIG</v>
      </c>
      <c r="AB12">
        <f ca="1"/>
        <v>73</v>
      </c>
      <c r="AC12" t="str">
        <f ca="1"/>
        <v>XOM</v>
      </c>
      <c r="AD12">
        <f ca="1"/>
        <v>71</v>
      </c>
      <c r="AE12" t="str">
        <f ca="1"/>
        <v>HPE</v>
      </c>
      <c r="AF12" s="87">
        <f ca="1"/>
        <v>0</v>
      </c>
      <c r="AG12" t="str">
        <f ca="1"/>
        <v>ENI</v>
      </c>
      <c r="AH12" s="87">
        <f ca="1"/>
        <v>13493.480000000007</v>
      </c>
      <c r="AI12" t="str">
        <f ca="1"/>
        <v>NFLX</v>
      </c>
      <c r="AJ12" s="87">
        <f ca="1"/>
        <v>13575.999999999993</v>
      </c>
      <c r="AK12" s="90" t="str">
        <f ca="1"/>
        <v>MVEDSY</v>
      </c>
      <c r="AL12" s="310">
        <f ca="1"/>
        <v>3.7841809523809534E-3</v>
      </c>
      <c r="AM12" t="str">
        <f ca="1"/>
        <v>GS</v>
      </c>
      <c r="AN12" s="310" t="str">
        <f ca="1"/>
        <v/>
      </c>
      <c r="AO12" t="str">
        <f ca="1"/>
        <v>NEM</v>
      </c>
      <c r="AP12" s="310">
        <f ca="1"/>
        <v>-0.29037208173982537</v>
      </c>
      <c r="AQ12" s="87" t="str">
        <f ca="1"/>
        <v>PROF</v>
      </c>
      <c r="AR12" s="90">
        <f ca="1"/>
        <v>0.99091659785301378</v>
      </c>
      <c r="AS12" s="94" t="str">
        <f ca="1"/>
        <v>ADEA</v>
      </c>
      <c r="AT12" s="90">
        <f ca="1"/>
        <v>0</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GLE</v>
      </c>
      <c r="F13" s="559">
        <f ca="1"/>
        <v>1.1777482661130008</v>
      </c>
      <c r="G13" s="153" t="str">
        <f ca="1"/>
        <v>JBEOAN</v>
      </c>
      <c r="H13" s="560">
        <f ca="1"/>
        <v>304125.26885460003</v>
      </c>
      <c r="I13" t="str">
        <f ca="1"/>
        <v>VLVLY</v>
      </c>
      <c r="J13" s="561">
        <f ca="1"/>
        <v>1.4306000000000001E-2</v>
      </c>
      <c r="K13" s="153" t="str">
        <f ca="1"/>
        <v>VLVLY</v>
      </c>
      <c r="L13" s="561">
        <f ca="1"/>
        <v>1.4306000000000001E-2</v>
      </c>
      <c r="M13" s="1" t="str">
        <f ca="1"/>
        <v>THC</v>
      </c>
      <c r="N13" s="560">
        <f ca="1"/>
        <v>49648.11500000002</v>
      </c>
      <c r="O13" t="str">
        <f ca="1"/>
        <v>GS</v>
      </c>
      <c r="P13" s="560">
        <f ca="1"/>
        <v>14860.2626</v>
      </c>
      <c r="Q13" t="str">
        <f ca="1"/>
        <v>PW</v>
      </c>
      <c r="R13" s="650">
        <f ca="1"/>
        <v>3.1980952380952464E-3</v>
      </c>
      <c r="S13" t="str">
        <f ca="1"/>
        <v>MVEGLE</v>
      </c>
      <c r="T13" s="87">
        <f ca="1"/>
        <v>2800</v>
      </c>
      <c r="U13" t="str">
        <f ca="1"/>
        <v>RIG</v>
      </c>
      <c r="V13" s="87">
        <f ca="1"/>
        <v>1760</v>
      </c>
      <c r="W13" t="str">
        <f ca="1"/>
        <v>AVGO</v>
      </c>
      <c r="X13">
        <f ca="1"/>
        <v>3</v>
      </c>
      <c r="Y13" t="str">
        <f ca="1"/>
        <v>JBASML</v>
      </c>
      <c r="Z13">
        <f ca="1"/>
        <v>3</v>
      </c>
      <c r="AA13" t="str">
        <f ca="1"/>
        <v>AAPL</v>
      </c>
      <c r="AB13">
        <f ca="1"/>
        <v>72</v>
      </c>
      <c r="AC13" t="str">
        <f ca="1"/>
        <v>SAFGM</v>
      </c>
      <c r="AD13">
        <f ca="1"/>
        <v>71</v>
      </c>
      <c r="AE13" t="str">
        <f ca="1"/>
        <v>IAG</v>
      </c>
      <c r="AF13" s="87">
        <f ca="1"/>
        <v>0</v>
      </c>
      <c r="AG13" t="str">
        <f ca="1"/>
        <v>AMZN</v>
      </c>
      <c r="AH13" s="87">
        <f ca="1"/>
        <v>12323.999999999956</v>
      </c>
      <c r="AI13" t="str">
        <f ca="1"/>
        <v>SSYS</v>
      </c>
      <c r="AJ13" s="87">
        <f ca="1"/>
        <v>12952.599900000003</v>
      </c>
      <c r="AK13" s="90" t="str">
        <f ca="1"/>
        <v>PW</v>
      </c>
      <c r="AL13" s="310">
        <f ca="1"/>
        <v>3.1980952380952464E-3</v>
      </c>
      <c r="AM13" t="str">
        <f ca="1"/>
        <v>NVAX</v>
      </c>
      <c r="AN13" s="310" t="str">
        <f ca="1"/>
        <v/>
      </c>
      <c r="AO13" t="str">
        <f ca="1"/>
        <v>MVEEOAN</v>
      </c>
      <c r="AP13" s="310">
        <f ca="1"/>
        <v>-0.27972418300653595</v>
      </c>
      <c r="AQ13" s="87" t="str">
        <f ca="1"/>
        <v>PAAS</v>
      </c>
      <c r="AR13" s="90">
        <f ca="1"/>
        <v>0.96265976754064286</v>
      </c>
      <c r="AS13" s="94" t="str">
        <f ca="1"/>
        <v>AET</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ASML</v>
      </c>
      <c r="F14" s="559">
        <f ca="1"/>
        <v>1.0213644846396783</v>
      </c>
      <c r="G14" s="153" t="str">
        <f ca="1"/>
        <v>THC</v>
      </c>
      <c r="H14" s="560">
        <f ca="1"/>
        <v>282763.11720480002</v>
      </c>
      <c r="I14" t="str">
        <f ca="1"/>
        <v>EZJ</v>
      </c>
      <c r="J14" s="561">
        <f ca="1"/>
        <v>1.3822000000000001E-2</v>
      </c>
      <c r="K14" s="153" t="str">
        <f ca="1"/>
        <v>EZJ</v>
      </c>
      <c r="L14" s="561">
        <f ca="1"/>
        <v>1.3822000000000001E-2</v>
      </c>
      <c r="M14" s="1" t="str">
        <f ca="1"/>
        <v>RIG</v>
      </c>
      <c r="N14" s="560">
        <f ca="1"/>
        <v>34414.999999999985</v>
      </c>
      <c r="O14" t="str">
        <f ca="1"/>
        <v>NEM</v>
      </c>
      <c r="P14" s="560">
        <f ca="1"/>
        <v>12218.15</v>
      </c>
      <c r="Q14" t="str">
        <f ca="1"/>
        <v>NEM</v>
      </c>
      <c r="R14" s="650">
        <f ca="1"/>
        <v>3.0258416666666642E-3</v>
      </c>
      <c r="S14" t="str">
        <f ca="1"/>
        <v>GNRC</v>
      </c>
      <c r="T14" s="87">
        <f ca="1"/>
        <v>2601</v>
      </c>
      <c r="U14" t="str">
        <f ca="1"/>
        <v>OXY</v>
      </c>
      <c r="V14" s="87">
        <f ca="1"/>
        <v>1520</v>
      </c>
      <c r="W14" t="str">
        <f ca="1"/>
        <v>RIGL</v>
      </c>
      <c r="X14">
        <f ca="1"/>
        <v>3</v>
      </c>
      <c r="Y14" t="str">
        <f ca="1"/>
        <v>GNRC</v>
      </c>
      <c r="Z14">
        <f ca="1"/>
        <v>4</v>
      </c>
      <c r="AA14" t="str">
        <f ca="1"/>
        <v>SAFAAPL</v>
      </c>
      <c r="AB14">
        <f ca="1"/>
        <v>72</v>
      </c>
      <c r="AC14" t="str">
        <f ca="1"/>
        <v>IAG</v>
      </c>
      <c r="AD14">
        <f ca="1"/>
        <v>70</v>
      </c>
      <c r="AE14" t="str">
        <f ca="1"/>
        <v>LNSR</v>
      </c>
      <c r="AF14" s="87">
        <f ca="1"/>
        <v>0</v>
      </c>
      <c r="AG14" t="str">
        <f ca="1"/>
        <v>CSCO</v>
      </c>
      <c r="AH14" s="87">
        <f ca="1"/>
        <v>11073.599999999999</v>
      </c>
      <c r="AI14" t="str">
        <f ca="1"/>
        <v>SAFDDD</v>
      </c>
      <c r="AJ14" s="87">
        <f ca="1"/>
        <v>12265.000000000002</v>
      </c>
      <c r="AK14" s="90" t="str">
        <f ca="1"/>
        <v>NEM</v>
      </c>
      <c r="AL14" s="310">
        <f ca="1"/>
        <v>3.0258416666666642E-3</v>
      </c>
      <c r="AM14" t="str">
        <f ca="1"/>
        <v>NVS</v>
      </c>
      <c r="AN14" s="310" t="str">
        <f ca="1"/>
        <v/>
      </c>
      <c r="AO14" t="str">
        <f ca="1"/>
        <v>IAG</v>
      </c>
      <c r="AP14" s="310">
        <f ca="1"/>
        <v>-0.27770068855932212</v>
      </c>
      <c r="AQ14" s="87" t="str">
        <f ca="1"/>
        <v>X</v>
      </c>
      <c r="AR14" s="90">
        <f ca="1"/>
        <v>0.86791240947261206</v>
      </c>
      <c r="AS14" s="94" t="str">
        <f ca="1"/>
        <v>AMZN</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SAFASML</v>
      </c>
      <c r="F15" s="559">
        <f ca="1"/>
        <v>1.0213644846396783</v>
      </c>
      <c r="G15" s="153" t="str">
        <f ca="1"/>
        <v>SAFASML</v>
      </c>
      <c r="H15" s="560">
        <f ca="1"/>
        <v>179521.51245079999</v>
      </c>
      <c r="I15" t="str">
        <f ca="1"/>
        <v>C</v>
      </c>
      <c r="J15" s="561">
        <f ca="1"/>
        <v>1.3019000000000001E-2</v>
      </c>
      <c r="K15" s="153" t="str">
        <f ca="1"/>
        <v>C</v>
      </c>
      <c r="L15" s="561">
        <f ca="1"/>
        <v>1.3019000000000001E-2</v>
      </c>
      <c r="M15" s="1" t="str">
        <f ca="1"/>
        <v>MVEORA</v>
      </c>
      <c r="N15" s="560">
        <f ca="1"/>
        <v>32969.999999999978</v>
      </c>
      <c r="O15" t="str">
        <f ca="1"/>
        <v>SAFASML</v>
      </c>
      <c r="P15" s="560">
        <f ca="1"/>
        <v>12193.813439999998</v>
      </c>
      <c r="Q15" t="str">
        <f ca="1"/>
        <v>VLVLY</v>
      </c>
      <c r="R15" s="650">
        <f ca="1"/>
        <v>2.9196113095238101E-3</v>
      </c>
      <c r="S15" t="str">
        <f ca="1"/>
        <v>MVEDSY</v>
      </c>
      <c r="T15" s="87">
        <f ca="1"/>
        <v>2160</v>
      </c>
      <c r="U15" t="str">
        <f ca="1"/>
        <v>LAZR</v>
      </c>
      <c r="V15" s="87">
        <f ca="1"/>
        <v>1331.4444000000021</v>
      </c>
      <c r="W15" t="str">
        <f ca="1"/>
        <v>VLVLY</v>
      </c>
      <c r="X15">
        <f ca="1"/>
        <v>3</v>
      </c>
      <c r="Y15" t="str">
        <f ca="1"/>
        <v>AAPL</v>
      </c>
      <c r="Z15">
        <f ca="1"/>
        <v>5</v>
      </c>
      <c r="AA15" t="str">
        <f ca="1"/>
        <v>XOM</v>
      </c>
      <c r="AB15">
        <f ca="1"/>
        <v>69</v>
      </c>
      <c r="AC15" t="str">
        <f ca="1"/>
        <v>UN0</v>
      </c>
      <c r="AD15">
        <f ca="1"/>
        <v>65</v>
      </c>
      <c r="AE15" t="str">
        <f ca="1"/>
        <v>LUMN</v>
      </c>
      <c r="AF15" s="87">
        <f ca="1"/>
        <v>0</v>
      </c>
      <c r="AG15" t="str">
        <f ca="1"/>
        <v>AZN</v>
      </c>
      <c r="AH15" s="87">
        <f ca="1"/>
        <v>9565.0499999999993</v>
      </c>
      <c r="AI15" t="str">
        <f ca="1"/>
        <v>POET</v>
      </c>
      <c r="AJ15" s="87">
        <f ca="1"/>
        <v>12214</v>
      </c>
      <c r="AK15" s="90" t="str">
        <f ca="1"/>
        <v>VLVLY</v>
      </c>
      <c r="AL15" s="310">
        <f ca="1"/>
        <v>2.9196113095238101E-3</v>
      </c>
      <c r="AM15" t="str">
        <f ca="1"/>
        <v>ORA</v>
      </c>
      <c r="AN15" s="310" t="str">
        <f ca="1"/>
        <v/>
      </c>
      <c r="AO15" t="str">
        <f ca="1"/>
        <v>TSM</v>
      </c>
      <c r="AP15" s="310">
        <f ca="1"/>
        <v>-0.27286792401636323</v>
      </c>
      <c r="AQ15" s="87" t="str">
        <f ca="1"/>
        <v>BLNK</v>
      </c>
      <c r="AR15" s="90">
        <f ca="1"/>
        <v>0.8600898803400292</v>
      </c>
      <c r="AS15" s="94" t="str">
        <f ca="1"/>
        <v>ALDNE</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JBASML</v>
      </c>
      <c r="F16" s="559">
        <f ca="1"/>
        <v>1.0213644846396783</v>
      </c>
      <c r="G16" s="153" t="str">
        <f ca="1"/>
        <v>SAFIAG</v>
      </c>
      <c r="H16" s="560">
        <f ca="1"/>
        <v>177976.53899999999</v>
      </c>
      <c r="I16" t="str">
        <f ca="1"/>
        <v>LNSR</v>
      </c>
      <c r="J16" s="561">
        <f ca="1"/>
        <v>1.2036E-2</v>
      </c>
      <c r="K16" s="153" t="str">
        <f ca="1"/>
        <v>LNSR</v>
      </c>
      <c r="L16" s="561">
        <f ca="1"/>
        <v>1.2036E-2</v>
      </c>
      <c r="M16" s="1" t="str">
        <f ca="1"/>
        <v>JBASML</v>
      </c>
      <c r="N16" s="560">
        <f ca="1"/>
        <v>32572.000000000004</v>
      </c>
      <c r="O16" t="str">
        <f ca="1"/>
        <v>RIGL</v>
      </c>
      <c r="P16" s="560">
        <f ca="1"/>
        <v>9954.0520000000033</v>
      </c>
      <c r="Q16" t="str">
        <f ca="1"/>
        <v>AVGO</v>
      </c>
      <c r="R16" s="650">
        <f ca="1"/>
        <v>2.9141833333333339E-3</v>
      </c>
      <c r="S16" t="str">
        <f ca="1"/>
        <v>UN0</v>
      </c>
      <c r="T16" s="87">
        <f ca="1"/>
        <v>2100</v>
      </c>
      <c r="U16" t="str">
        <f ca="1"/>
        <v>IAG</v>
      </c>
      <c r="V16" s="87">
        <f ca="1"/>
        <v>1270</v>
      </c>
      <c r="W16" t="str">
        <f ca="1"/>
        <v>XOM</v>
      </c>
      <c r="X16">
        <f ca="1"/>
        <v>3</v>
      </c>
      <c r="Y16" t="str">
        <f ca="1"/>
        <v>ALDNE</v>
      </c>
      <c r="Z16">
        <f ca="1"/>
        <v>5</v>
      </c>
      <c r="AA16" t="str">
        <f ca="1"/>
        <v>PW</v>
      </c>
      <c r="AB16">
        <f ca="1"/>
        <v>68</v>
      </c>
      <c r="AC16" t="str">
        <f ca="1"/>
        <v>AVGO</v>
      </c>
      <c r="AD16">
        <f ca="1"/>
        <v>64</v>
      </c>
      <c r="AE16" t="str">
        <f ca="1"/>
        <v>MSFT</v>
      </c>
      <c r="AF16" s="87">
        <f ca="1"/>
        <v>0</v>
      </c>
      <c r="AG16" t="str">
        <f ca="1"/>
        <v>RIG</v>
      </c>
      <c r="AH16" s="87">
        <f ca="1"/>
        <v>9294.9999999999982</v>
      </c>
      <c r="AI16" t="str">
        <f ca="1"/>
        <v>DSY</v>
      </c>
      <c r="AJ16" s="87">
        <f ca="1"/>
        <v>11520.000000000004</v>
      </c>
      <c r="AK16" s="90" t="str">
        <f ca="1"/>
        <v>AVGO</v>
      </c>
      <c r="AL16" s="310">
        <f ca="1"/>
        <v>2.9141833333333339E-3</v>
      </c>
      <c r="AM16" t="str">
        <f ca="1"/>
        <v>PFE</v>
      </c>
      <c r="AN16" s="310" t="str">
        <f ca="1"/>
        <v/>
      </c>
      <c r="AO16" t="str">
        <f ca="1"/>
        <v>CVS</v>
      </c>
      <c r="AP16" s="310">
        <f ca="1"/>
        <v>-0.26907225857105471</v>
      </c>
      <c r="AQ16" s="87" t="str">
        <f ca="1"/>
        <v>AAPL</v>
      </c>
      <c r="AR16" s="90">
        <f ca="1"/>
        <v>0.84213136361856644</v>
      </c>
      <c r="AS16" s="94" t="str">
        <f ca="1"/>
        <v>ASML</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EZJ</v>
      </c>
      <c r="F17" s="559">
        <f ca="1"/>
        <v>1.0172654070187122</v>
      </c>
      <c r="G17" s="153" t="str">
        <f ca="1"/>
        <v>SAFAMZN</v>
      </c>
      <c r="H17" s="560">
        <f ca="1"/>
        <v>158812.93818659999</v>
      </c>
      <c r="I17" t="str">
        <f ca="1"/>
        <v>ALDNE</v>
      </c>
      <c r="J17" s="561">
        <f ca="1"/>
        <v>1.1765000000000001E-2</v>
      </c>
      <c r="K17" s="153" t="str">
        <f ca="1"/>
        <v>ALDNE</v>
      </c>
      <c r="L17" s="561">
        <f ca="1"/>
        <v>1.1765000000000001E-2</v>
      </c>
      <c r="M17" s="1" t="str">
        <f ca="1"/>
        <v>SAFAMZN</v>
      </c>
      <c r="N17" s="560">
        <f ca="1"/>
        <v>24723</v>
      </c>
      <c r="O17" t="str">
        <f ca="1"/>
        <v>NVS</v>
      </c>
      <c r="P17" s="560">
        <f ca="1"/>
        <v>9507.0173200000045</v>
      </c>
      <c r="Q17" t="str">
        <f ca="1"/>
        <v>MSFT</v>
      </c>
      <c r="R17" s="650">
        <f ca="1"/>
        <v>2.1292142857142855E-3</v>
      </c>
      <c r="S17" t="str">
        <f ca="1"/>
        <v>SAFAAPL</v>
      </c>
      <c r="T17" s="87">
        <f ca="1"/>
        <v>1585.4999999999854</v>
      </c>
      <c r="U17" t="str">
        <f ca="1"/>
        <v>CSCO</v>
      </c>
      <c r="V17" s="87">
        <f ca="1"/>
        <v>1143.6000000000058</v>
      </c>
      <c r="W17" t="str">
        <f ca="1"/>
        <v>MVEENI</v>
      </c>
      <c r="X17">
        <f ca="1"/>
        <v>3</v>
      </c>
      <c r="Y17" t="str">
        <f ca="1"/>
        <v>BMRA</v>
      </c>
      <c r="Z17">
        <f ca="1"/>
        <v>5</v>
      </c>
      <c r="AA17" t="str">
        <f ca="1"/>
        <v>F</v>
      </c>
      <c r="AB17">
        <f ca="1"/>
        <v>68</v>
      </c>
      <c r="AC17" t="str">
        <f ca="1"/>
        <v>PW</v>
      </c>
      <c r="AD17">
        <f ca="1"/>
        <v>64</v>
      </c>
      <c r="AE17" t="str">
        <f ca="1"/>
        <v>NEE</v>
      </c>
      <c r="AF17" s="87">
        <f ca="1"/>
        <v>0</v>
      </c>
      <c r="AG17" t="str">
        <f ca="1"/>
        <v>KR</v>
      </c>
      <c r="AH17" s="87">
        <f ca="1"/>
        <v>7719.9999999999991</v>
      </c>
      <c r="AI17" t="str">
        <f ca="1"/>
        <v>DIS</v>
      </c>
      <c r="AJ17" s="87">
        <f ca="1"/>
        <v>11263.999999999998</v>
      </c>
      <c r="AK17" s="90" t="str">
        <f ca="1"/>
        <v>MSFT</v>
      </c>
      <c r="AL17" s="310">
        <f ca="1"/>
        <v>2.1292142857142855E-3</v>
      </c>
      <c r="AM17" t="str">
        <f ca="1"/>
        <v>RRC</v>
      </c>
      <c r="AN17" s="310" t="str">
        <f ca="1"/>
        <v/>
      </c>
      <c r="AO17" t="str">
        <f ca="1"/>
        <v>SAFASML</v>
      </c>
      <c r="AP17" s="310">
        <f ca="1"/>
        <v>-0.26452989848860814</v>
      </c>
      <c r="AQ17" s="87" t="str">
        <f ca="1"/>
        <v>SAFIAG</v>
      </c>
      <c r="AR17" s="90">
        <f ca="1"/>
        <v>0.8069087086342871</v>
      </c>
      <c r="AS17" s="94" t="str">
        <f ca="1"/>
        <v>AVGO</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LOCK</v>
      </c>
      <c r="F18" s="559">
        <f ca="1"/>
        <v>1</v>
      </c>
      <c r="G18" s="153" t="str">
        <f ca="1"/>
        <v>HPE</v>
      </c>
      <c r="H18" s="560">
        <f ca="1"/>
        <v>153881.6648</v>
      </c>
      <c r="I18" t="str">
        <f ca="1"/>
        <v>MVEALDNE</v>
      </c>
      <c r="J18" s="561">
        <f ca="1"/>
        <v>1.1765000000000001E-2</v>
      </c>
      <c r="K18" s="153" t="str">
        <f ca="1"/>
        <v>MVEALDNE</v>
      </c>
      <c r="L18" s="561">
        <f ca="1"/>
        <v>1.1765000000000001E-2</v>
      </c>
      <c r="M18" s="1" t="str">
        <f ca="1"/>
        <v>SAFAAPL</v>
      </c>
      <c r="N18" s="560">
        <f ca="1"/>
        <v>24561.540799999995</v>
      </c>
      <c r="O18" t="str">
        <f ca="1"/>
        <v>MVEGLE</v>
      </c>
      <c r="P18" s="560">
        <f ca="1"/>
        <v>9325.69</v>
      </c>
      <c r="Q18" t="str">
        <f ca="1"/>
        <v>GNRC</v>
      </c>
      <c r="R18" s="650">
        <f ca="1"/>
        <v>1.3152857142857161E-3</v>
      </c>
      <c r="S18" t="str">
        <f ca="1"/>
        <v>THC</v>
      </c>
      <c r="T18" s="87">
        <f ca="1"/>
        <v>1477.5</v>
      </c>
      <c r="U18" t="str">
        <f ca="1"/>
        <v>SAFAAPL</v>
      </c>
      <c r="V18" s="87">
        <f ca="1"/>
        <v>1049.9999999999854</v>
      </c>
      <c r="W18" t="str">
        <f ca="1"/>
        <v>MVERWE</v>
      </c>
      <c r="X18">
        <f ca="1"/>
        <v>3</v>
      </c>
      <c r="Y18" t="str">
        <f ca="1"/>
        <v>C</v>
      </c>
      <c r="Z18">
        <f ca="1"/>
        <v>5</v>
      </c>
      <c r="AA18" t="str">
        <f ca="1"/>
        <v>IAG</v>
      </c>
      <c r="AB18">
        <f ca="1"/>
        <v>66</v>
      </c>
      <c r="AC18" t="str">
        <f ca="1"/>
        <v>VONN</v>
      </c>
      <c r="AD18">
        <f ca="1"/>
        <v>63</v>
      </c>
      <c r="AE18" t="str">
        <f ca="1"/>
        <v>PAAS</v>
      </c>
      <c r="AF18" s="87">
        <f ca="1"/>
        <v>0</v>
      </c>
      <c r="AG18" t="str">
        <f ca="1"/>
        <v>NVAX</v>
      </c>
      <c r="AH18" s="87">
        <f ca="1"/>
        <v>7033.3999999999987</v>
      </c>
      <c r="AI18" t="str">
        <f ca="1"/>
        <v>DDD</v>
      </c>
      <c r="AJ18" s="87">
        <f ca="1"/>
        <v>11050</v>
      </c>
      <c r="AK18" s="90" t="str">
        <f ca="1"/>
        <v>GNRC</v>
      </c>
      <c r="AL18" s="310">
        <f ca="1"/>
        <v>1.3152857142857161E-3</v>
      </c>
      <c r="AM18" t="str">
        <f ca="1"/>
        <v>LOCK</v>
      </c>
      <c r="AN18" s="310" t="str">
        <f ca="1"/>
        <v/>
      </c>
      <c r="AO18" t="str">
        <f ca="1"/>
        <v>ASML</v>
      </c>
      <c r="AP18" s="310">
        <f ca="1"/>
        <v>-0.26299662424861664</v>
      </c>
      <c r="AQ18" s="87" t="str">
        <f ca="1"/>
        <v>IAG</v>
      </c>
      <c r="AR18" s="90">
        <f ca="1"/>
        <v>0.80129914802610269</v>
      </c>
      <c r="AS18" s="94" t="str">
        <f ca="1"/>
        <v>AZN</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SAP</v>
      </c>
      <c r="F19" s="559">
        <f ca="1"/>
        <v>0.93717056647786734</v>
      </c>
      <c r="G19" s="153" t="str">
        <f ca="1"/>
        <v>AZN</v>
      </c>
      <c r="H19" s="560">
        <f ca="1"/>
        <v>152985.45830999996</v>
      </c>
      <c r="I19" t="str">
        <f ca="1"/>
        <v>CSCO</v>
      </c>
      <c r="J19" s="561">
        <f ca="1"/>
        <v>1.1679E-2</v>
      </c>
      <c r="K19" s="153" t="str">
        <f ca="1"/>
        <v>CSCO</v>
      </c>
      <c r="L19" s="561">
        <f ca="1"/>
        <v>1.1679E-2</v>
      </c>
      <c r="M19" s="1" t="str">
        <f ca="1"/>
        <v>ENI</v>
      </c>
      <c r="N19" s="560">
        <f ca="1"/>
        <v>22566.499999999993</v>
      </c>
      <c r="O19" t="str">
        <f ca="1"/>
        <v>CSCO</v>
      </c>
      <c r="P19" s="560">
        <f ca="1"/>
        <v>8910.3726399999978</v>
      </c>
      <c r="Q19" t="str">
        <f ca="1"/>
        <v>XOM</v>
      </c>
      <c r="R19" s="650">
        <f ca="1"/>
        <v>1.3016690476190473E-3</v>
      </c>
      <c r="S19" t="str">
        <f ca="1"/>
        <v>AVGO</v>
      </c>
      <c r="T19" s="87">
        <f ca="1"/>
        <v>1454</v>
      </c>
      <c r="U19" t="str">
        <f ca="1"/>
        <v>MVEDSY</v>
      </c>
      <c r="V19" s="87">
        <f ca="1"/>
        <v>720</v>
      </c>
      <c r="W19" t="str">
        <f ca="1"/>
        <v>ENI</v>
      </c>
      <c r="X19">
        <f ca="1"/>
        <v>3</v>
      </c>
      <c r="Y19" t="str">
        <f ca="1"/>
        <v>DIS</v>
      </c>
      <c r="Z19">
        <f ca="1"/>
        <v>5</v>
      </c>
      <c r="AA19" t="str">
        <f ca="1"/>
        <v>THC</v>
      </c>
      <c r="AB19">
        <f ca="1"/>
        <v>66</v>
      </c>
      <c r="AC19" t="str">
        <f ca="1"/>
        <v>AAPL</v>
      </c>
      <c r="AD19">
        <f ca="1"/>
        <v>59</v>
      </c>
      <c r="AE19" t="str">
        <f ca="1"/>
        <v>PROF</v>
      </c>
      <c r="AF19" s="87">
        <f ca="1"/>
        <v>0</v>
      </c>
      <c r="AG19" t="str">
        <f ca="1"/>
        <v>WBA</v>
      </c>
      <c r="AH19" s="87">
        <f ca="1"/>
        <v>5760.2999999999993</v>
      </c>
      <c r="AI19" t="str">
        <f ca="1"/>
        <v>THC</v>
      </c>
      <c r="AJ19" s="87">
        <f ca="1"/>
        <v>10959.99999999998</v>
      </c>
      <c r="AK19" s="90" t="str">
        <f ca="1"/>
        <v>XOM</v>
      </c>
      <c r="AL19" s="310">
        <f ca="1"/>
        <v>1.3016690476190473E-3</v>
      </c>
      <c r="AM19" t="str">
        <f ca="1"/>
        <v>JBEOAN</v>
      </c>
      <c r="AN19" s="310" t="str">
        <f ca="1"/>
        <v/>
      </c>
      <c r="AO19" t="str">
        <f ca="1"/>
        <v>SAFAAPL</v>
      </c>
      <c r="AP19" s="310">
        <f ca="1"/>
        <v>-0.26248160892175998</v>
      </c>
      <c r="AQ19" s="87" t="str">
        <f ca="1"/>
        <v>SAFAAPL</v>
      </c>
      <c r="AR19" s="90">
        <f ca="1"/>
        <v>0.80116725195895822</v>
      </c>
      <c r="AS19" s="94" t="str">
        <f ca="1"/>
        <v>BLDP</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MVESAP</v>
      </c>
      <c r="F20" s="559">
        <f ca="1"/>
        <v>0.93717056647786734</v>
      </c>
      <c r="G20" s="153" t="str">
        <f ca="1"/>
        <v>RIGL</v>
      </c>
      <c r="H20" s="560">
        <f ca="1"/>
        <v>152452.69817200012</v>
      </c>
      <c r="I20" t="str">
        <f ca="1"/>
        <v>NEM</v>
      </c>
      <c r="J20" s="561">
        <f ca="1"/>
        <v>1.149E-2</v>
      </c>
      <c r="K20" s="153" t="str">
        <f ca="1"/>
        <v>NEM</v>
      </c>
      <c r="L20" s="561">
        <f ca="1"/>
        <v>1.149E-2</v>
      </c>
      <c r="M20" s="1" t="str">
        <f ca="1"/>
        <v>PAAS</v>
      </c>
      <c r="N20" s="560">
        <f ca="1"/>
        <v>18475</v>
      </c>
      <c r="O20" t="str">
        <f ca="1"/>
        <v>MVEEOAN</v>
      </c>
      <c r="P20" s="560">
        <f ca="1"/>
        <v>8171.2992400000003</v>
      </c>
      <c r="Q20" t="str">
        <f ca="1"/>
        <v>DXC</v>
      </c>
      <c r="R20" s="650">
        <f ca="1"/>
        <v>1.0391130952380951E-3</v>
      </c>
      <c r="S20" t="str">
        <f ca="1"/>
        <v>EZJ</v>
      </c>
      <c r="T20" s="87">
        <f ca="1"/>
        <v>1380</v>
      </c>
      <c r="U20" t="str">
        <f ca="1"/>
        <v>XOM</v>
      </c>
      <c r="V20" s="87">
        <f ca="1"/>
        <v>515</v>
      </c>
      <c r="W20" t="str">
        <f ca="1"/>
        <v>PFE</v>
      </c>
      <c r="X20">
        <f ca="1"/>
        <v>3</v>
      </c>
      <c r="Y20" t="str">
        <f ca="1"/>
        <v>KR</v>
      </c>
      <c r="Z20">
        <f ca="1"/>
        <v>5</v>
      </c>
      <c r="AA20" t="str">
        <f ca="1"/>
        <v>C</v>
      </c>
      <c r="AB20">
        <f ca="1"/>
        <v>65</v>
      </c>
      <c r="AC20" t="str">
        <f ca="1"/>
        <v>SAFAAPL</v>
      </c>
      <c r="AD20">
        <f ca="1"/>
        <v>59</v>
      </c>
      <c r="AE20" t="str">
        <f ca="1"/>
        <v>POET</v>
      </c>
      <c r="AF20" s="87">
        <f ca="1"/>
        <v>0</v>
      </c>
      <c r="AG20" t="str">
        <f ca="1"/>
        <v>VTRS</v>
      </c>
      <c r="AH20" s="87">
        <f ca="1"/>
        <v>5424.9999999999955</v>
      </c>
      <c r="AI20" t="str">
        <f ca="1"/>
        <v>OXY</v>
      </c>
      <c r="AJ20" s="87">
        <f ca="1"/>
        <v>10375</v>
      </c>
      <c r="AK20" s="90" t="str">
        <f ca="1"/>
        <v>DXC</v>
      </c>
      <c r="AL20" s="310">
        <f ca="1"/>
        <v>1.0391130952380951E-3</v>
      </c>
      <c r="AM20" t="str">
        <f ca="1"/>
        <v>X</v>
      </c>
      <c r="AN20" s="310">
        <f ca="1"/>
        <v>0.76947185529598539</v>
      </c>
      <c r="AO20" t="str">
        <f ca="1"/>
        <v>BLDP</v>
      </c>
      <c r="AP20" s="310">
        <f ca="1"/>
        <v>-0.24820168895144262</v>
      </c>
      <c r="AQ20" s="87" t="str">
        <f ca="1"/>
        <v>VTRS</v>
      </c>
      <c r="AR20" s="90">
        <f ca="1"/>
        <v>0.7507207380357479</v>
      </c>
      <c r="AS20" s="94" t="str">
        <f ca="1"/>
        <v>C</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MVEENI</v>
      </c>
      <c r="F21" s="559">
        <f ca="1"/>
        <v>0.92243783340360397</v>
      </c>
      <c r="G21" s="153" t="str">
        <f ca="1"/>
        <v>CSCO</v>
      </c>
      <c r="H21" s="560">
        <f ca="1"/>
        <v>138866.59964999996</v>
      </c>
      <c r="I21" t="str">
        <f ca="1"/>
        <v>PAAS</v>
      </c>
      <c r="J21" s="561">
        <f ca="1"/>
        <v>1.1032E-2</v>
      </c>
      <c r="K21" s="153" t="str">
        <f ca="1"/>
        <v>PAAS</v>
      </c>
      <c r="L21" s="561">
        <f ca="1"/>
        <v>1.1032E-2</v>
      </c>
      <c r="M21" s="1" t="str">
        <f ca="1"/>
        <v>JBEOAN</v>
      </c>
      <c r="N21" s="560">
        <f ca="1"/>
        <v>17782.461000000025</v>
      </c>
      <c r="O21" t="str">
        <f ca="1"/>
        <v>LNSR</v>
      </c>
      <c r="P21" s="560">
        <f ca="1"/>
        <v>4877.2859999999973</v>
      </c>
      <c r="Q21" t="str">
        <f ca="1"/>
        <v>MVEEOAN</v>
      </c>
      <c r="R21" s="650">
        <f ca="1"/>
        <v>1.0391130952380951E-3</v>
      </c>
      <c r="S21" t="str">
        <f ca="1"/>
        <v>SAP</v>
      </c>
      <c r="T21" s="87">
        <f ca="1"/>
        <v>1140</v>
      </c>
      <c r="U21" t="str">
        <f ca="1"/>
        <v>SAFASML</v>
      </c>
      <c r="V21" s="87">
        <f ca="1"/>
        <v>450</v>
      </c>
      <c r="W21" t="str">
        <f ca="1"/>
        <v>AET</v>
      </c>
      <c r="X21">
        <f ca="1"/>
        <v>4</v>
      </c>
      <c r="Y21" t="str">
        <f ca="1"/>
        <v>VONN</v>
      </c>
      <c r="Z21">
        <f ca="1"/>
        <v>5</v>
      </c>
      <c r="AA21" t="str">
        <f ca="1"/>
        <v>UN0</v>
      </c>
      <c r="AB21">
        <f ca="1"/>
        <v>63</v>
      </c>
      <c r="AC21" t="str">
        <f ca="1"/>
        <v>F</v>
      </c>
      <c r="AD21">
        <f ca="1"/>
        <v>59</v>
      </c>
      <c r="AE21" t="str">
        <f ca="1"/>
        <v>RIGL</v>
      </c>
      <c r="AF21" s="87">
        <f ca="1"/>
        <v>0</v>
      </c>
      <c r="AG21" t="str">
        <f ca="1"/>
        <v>AAPL</v>
      </c>
      <c r="AH21" s="87">
        <f ca="1"/>
        <v>4301.9999999999927</v>
      </c>
      <c r="AI21" t="str">
        <f ca="1"/>
        <v>PFE</v>
      </c>
      <c r="AJ21" s="87">
        <f ca="1"/>
        <v>9823.2720000000008</v>
      </c>
      <c r="AK21" s="90" t="str">
        <f ca="1"/>
        <v>MVEEOAN</v>
      </c>
      <c r="AL21" s="310">
        <f ca="1"/>
        <v>1.0391130952380951E-3</v>
      </c>
      <c r="AM21" t="str">
        <f ca="1"/>
        <v>RWE</v>
      </c>
      <c r="AN21" s="310">
        <f ca="1"/>
        <v>0.54000930560451166</v>
      </c>
      <c r="AO21" t="str">
        <f ca="1"/>
        <v>MVERWE</v>
      </c>
      <c r="AP21" s="310">
        <f ca="1"/>
        <v>-0.24579689000686025</v>
      </c>
      <c r="AQ21" s="87" t="str">
        <f ca="1"/>
        <v>RWE</v>
      </c>
      <c r="AR21" s="90">
        <f ca="1"/>
        <v>0.70876405934565945</v>
      </c>
      <c r="AS21" s="94" t="str">
        <f ca="1"/>
        <v>CSCO</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ENI</v>
      </c>
      <c r="F22" s="559">
        <f ca="1"/>
        <v>0.92243783340360397</v>
      </c>
      <c r="G22" s="153" t="str">
        <f ca="1"/>
        <v>VONN</v>
      </c>
      <c r="H22" s="560">
        <f ca="1"/>
        <v>133916.38920600002</v>
      </c>
      <c r="I22" t="str">
        <f ca="1"/>
        <v>AAPL</v>
      </c>
      <c r="J22" s="561">
        <f ca="1"/>
        <v>9.6839999999999999E-3</v>
      </c>
      <c r="K22" s="153" t="str">
        <f ca="1"/>
        <v>AAPL</v>
      </c>
      <c r="L22" s="561">
        <f ca="1"/>
        <v>9.6839999999999999E-3</v>
      </c>
      <c r="M22" s="1" t="str">
        <f ca="1"/>
        <v>AVGO</v>
      </c>
      <c r="N22" s="560">
        <f ca="1"/>
        <v>15447.395836500003</v>
      </c>
      <c r="O22" t="str">
        <f ca="1"/>
        <v>MVEENI</v>
      </c>
      <c r="P22" s="560">
        <f ca="1"/>
        <v>4380.5808000000025</v>
      </c>
      <c r="Q22" t="str">
        <f ca="1"/>
        <v>JBEOAN</v>
      </c>
      <c r="R22" s="650">
        <f ca="1"/>
        <v>1.0391130952380951E-3</v>
      </c>
      <c r="S22" t="str">
        <f ca="1"/>
        <v>CSCO</v>
      </c>
      <c r="T22" s="87">
        <f ca="1"/>
        <v>1023.6000000000058</v>
      </c>
      <c r="U22" t="str">
        <f ca="1"/>
        <v>MVEUN0</v>
      </c>
      <c r="V22" s="87">
        <f ca="1"/>
        <v>392</v>
      </c>
      <c r="W22" t="str">
        <f ca="1"/>
        <v>VTRS</v>
      </c>
      <c r="X22">
        <f ca="1"/>
        <v>4</v>
      </c>
      <c r="Y22" t="str">
        <f ca="1"/>
        <v>MVEALDNE</v>
      </c>
      <c r="Z22">
        <f ca="1"/>
        <v>5</v>
      </c>
      <c r="AA22" t="str">
        <f ca="1"/>
        <v>BMRA</v>
      </c>
      <c r="AB22">
        <f ca="1"/>
        <v>57</v>
      </c>
      <c r="AC22" t="str">
        <f ca="1"/>
        <v>BMRA</v>
      </c>
      <c r="AD22">
        <f ca="1"/>
        <v>58</v>
      </c>
      <c r="AE22" t="str">
        <f ca="1"/>
        <v>RWE</v>
      </c>
      <c r="AF22" s="87">
        <f ca="1"/>
        <v>0</v>
      </c>
      <c r="AG22" t="str">
        <f ca="1"/>
        <v>PAAS</v>
      </c>
      <c r="AH22" s="87">
        <f ca="1"/>
        <v>4155.0000000000045</v>
      </c>
      <c r="AI22" t="str">
        <f ca="1"/>
        <v>GNRC</v>
      </c>
      <c r="AJ22" s="87">
        <f ca="1"/>
        <v>9024</v>
      </c>
      <c r="AK22" s="90" t="str">
        <f ca="1"/>
        <v>JBEOAN</v>
      </c>
      <c r="AL22" s="310">
        <f ca="1"/>
        <v>1.0391130952380951E-3</v>
      </c>
      <c r="AM22" t="str">
        <f ca="1"/>
        <v>RIGL</v>
      </c>
      <c r="AN22" s="310">
        <f ca="1"/>
        <v>0.48831408400988369</v>
      </c>
      <c r="AO22" t="str">
        <f ca="1"/>
        <v>PAAS</v>
      </c>
      <c r="AP22" s="310">
        <f ca="1"/>
        <v>-0.24259740192257728</v>
      </c>
      <c r="AQ22" s="87" t="str">
        <f ca="1"/>
        <v>AZN</v>
      </c>
      <c r="AR22" s="90">
        <f ca="1"/>
        <v>0.64874186109603904</v>
      </c>
      <c r="AS22" s="94" t="str">
        <f ca="1"/>
        <v>CVS</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RIGL</v>
      </c>
      <c r="F23" s="559">
        <f ca="1"/>
        <v>0.84475008589206868</v>
      </c>
      <c r="G23" s="153" t="str">
        <f ca="1"/>
        <v>SAFAAPL</v>
      </c>
      <c r="H23" s="560">
        <f ca="1"/>
        <v>126904.25528399996</v>
      </c>
      <c r="I23" t="str">
        <f ca="1"/>
        <v>SAFAAPL</v>
      </c>
      <c r="J23" s="561">
        <f ca="1"/>
        <v>9.6839999999999999E-3</v>
      </c>
      <c r="K23" s="153" t="str">
        <f ca="1"/>
        <v>SAFAAPL</v>
      </c>
      <c r="L23" s="561">
        <f ca="1"/>
        <v>9.6839999999999999E-3</v>
      </c>
      <c r="M23" s="1" t="str">
        <f ca="1"/>
        <v>BLDP</v>
      </c>
      <c r="N23" s="560">
        <f ca="1"/>
        <v>13959.999999999998</v>
      </c>
      <c r="O23" t="str">
        <f ca="1"/>
        <v>ORA</v>
      </c>
      <c r="P23" s="560">
        <f ca="1"/>
        <v>3490.8999999999996</v>
      </c>
      <c r="Q23" t="str">
        <f ca="1"/>
        <v>OXY</v>
      </c>
      <c r="R23" s="650">
        <f ca="1"/>
        <v>3.5675000000000051E-4</v>
      </c>
      <c r="S23" t="str">
        <f ca="1"/>
        <v>DSY</v>
      </c>
      <c r="T23" s="87">
        <f ca="1"/>
        <v>720</v>
      </c>
      <c r="U23" t="str">
        <f ca="1"/>
        <v>JBASML</v>
      </c>
      <c r="V23" s="87">
        <f ca="1"/>
        <v>360</v>
      </c>
      <c r="W23" t="str">
        <f ca="1"/>
        <v>AAPL</v>
      </c>
      <c r="X23">
        <f ca="1"/>
        <v>5</v>
      </c>
      <c r="Y23" t="str">
        <f ca="1"/>
        <v>MVEDSY</v>
      </c>
      <c r="Z23">
        <f ca="1"/>
        <v>5</v>
      </c>
      <c r="AA23" t="str">
        <f ca="1"/>
        <v>AVGO</v>
      </c>
      <c r="AB23">
        <f ca="1"/>
        <v>55</v>
      </c>
      <c r="AC23" t="str">
        <f ca="1"/>
        <v>OXY</v>
      </c>
      <c r="AD23">
        <f ca="1"/>
        <v>58</v>
      </c>
      <c r="AE23" t="str">
        <f ca="1"/>
        <v>SSYS</v>
      </c>
      <c r="AF23" s="87">
        <f ca="1"/>
        <v>0</v>
      </c>
      <c r="AG23" t="str">
        <f ca="1"/>
        <v>SAFAMZN</v>
      </c>
      <c r="AH23" s="87">
        <f ca="1"/>
        <v>3965.9999999999941</v>
      </c>
      <c r="AI23" t="str">
        <f ca="1"/>
        <v>MVEUN0</v>
      </c>
      <c r="AJ23" s="87">
        <f ca="1"/>
        <v>7651.84</v>
      </c>
      <c r="AK23" s="90" t="str">
        <f ca="1"/>
        <v>OXY</v>
      </c>
      <c r="AL23" s="310">
        <f ca="1"/>
        <v>3.5675000000000051E-4</v>
      </c>
      <c r="AM23" t="str">
        <f ca="1"/>
        <v>LUMN</v>
      </c>
      <c r="AN23" s="310">
        <f ca="1"/>
        <v>0.48149055501844795</v>
      </c>
      <c r="AO23" t="str">
        <f ca="1"/>
        <v>AVGO</v>
      </c>
      <c r="AP23" s="310">
        <f ca="1"/>
        <v>-0.22456447734718513</v>
      </c>
      <c r="AQ23" s="87" t="str">
        <f ca="1"/>
        <v>JBEOAN</v>
      </c>
      <c r="AR23" s="90">
        <f ca="1"/>
        <v>0.59405940594059536</v>
      </c>
      <c r="AS23" s="94" t="str">
        <f ca="1"/>
        <v>DDD</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IAG</v>
      </c>
      <c r="F24" s="559">
        <f ca="1"/>
        <v>0.83798052886889074</v>
      </c>
      <c r="G24" s="153" t="str">
        <f ca="1"/>
        <v>KR</v>
      </c>
      <c r="H24" s="560">
        <f ca="1"/>
        <v>114783.55877399998</v>
      </c>
      <c r="I24" t="str">
        <f ca="1"/>
        <v>DSY</v>
      </c>
      <c r="J24" s="561">
        <f ca="1"/>
        <v>8.6280000000000003E-3</v>
      </c>
      <c r="K24" s="153" t="str">
        <f ca="1"/>
        <v>DSY</v>
      </c>
      <c r="L24" s="561">
        <f ca="1"/>
        <v>8.6280000000000003E-3</v>
      </c>
      <c r="M24" s="1" t="str">
        <f ca="1"/>
        <v>RIGL</v>
      </c>
      <c r="N24" s="560">
        <f ca="1"/>
        <v>13870.000000000004</v>
      </c>
      <c r="O24" t="str">
        <f ca="1"/>
        <v>F</v>
      </c>
      <c r="P24" s="560">
        <f ca="1"/>
        <v>2917.3949999999991</v>
      </c>
      <c r="Q24" t="str">
        <f ca="1"/>
        <v>SAP</v>
      </c>
      <c r="R24" s="650">
        <f ca="1"/>
        <v>2.488630952380954E-4</v>
      </c>
      <c r="S24" t="str">
        <f ca="1"/>
        <v>MVEUN0</v>
      </c>
      <c r="T24" s="87">
        <f ca="1"/>
        <v>392</v>
      </c>
      <c r="U24" t="str">
        <f ca="1"/>
        <v>DSY</v>
      </c>
      <c r="V24" s="87">
        <f ca="1"/>
        <v>240</v>
      </c>
      <c r="W24" t="str">
        <f ca="1"/>
        <v>MSFT</v>
      </c>
      <c r="X24">
        <f ca="1"/>
        <v>5</v>
      </c>
      <c r="Y24" t="str">
        <f ca="1"/>
        <v>SAFAAPL</v>
      </c>
      <c r="Z24">
        <f ca="1"/>
        <v>5</v>
      </c>
      <c r="AA24" t="str">
        <f ca="1"/>
        <v>EZJ</v>
      </c>
      <c r="AB24">
        <f ca="1"/>
        <v>53</v>
      </c>
      <c r="AC24" t="str">
        <f ca="1"/>
        <v>RRC</v>
      </c>
      <c r="AD24">
        <f ca="1"/>
        <v>58</v>
      </c>
      <c r="AE24" t="str">
        <f ca="1"/>
        <v>TSLA</v>
      </c>
      <c r="AF24" s="87">
        <f ca="1"/>
        <v>0</v>
      </c>
      <c r="AG24" t="str">
        <f ca="1"/>
        <v>AVGO</v>
      </c>
      <c r="AH24" s="87">
        <f ca="1"/>
        <v>3268.0000000000064</v>
      </c>
      <c r="AI24" t="str">
        <f ca="1"/>
        <v>XYZ</v>
      </c>
      <c r="AJ24" s="87">
        <f ca="1"/>
        <v>7530.0000000000009</v>
      </c>
      <c r="AK24" s="90" t="str">
        <f ca="1"/>
        <v>SAP</v>
      </c>
      <c r="AL24" s="310">
        <f ca="1"/>
        <v>2.488630952380954E-4</v>
      </c>
      <c r="AM24" t="str">
        <f ca="1"/>
        <v>GM</v>
      </c>
      <c r="AN24" s="310">
        <f ca="1"/>
        <v>0.47948964349987128</v>
      </c>
      <c r="AO24" t="str">
        <f ca="1"/>
        <v>AZN</v>
      </c>
      <c r="AP24" s="310">
        <f ca="1"/>
        <v>-0.21761717992898735</v>
      </c>
      <c r="AQ24" s="87" t="str">
        <f ca="1"/>
        <v>LUMN</v>
      </c>
      <c r="AR24" s="90">
        <f ca="1"/>
        <v>0.58712314113533448</v>
      </c>
      <c r="AS24" s="94" t="str">
        <f ca="1"/>
        <v>DIS</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SAFIAG</v>
      </c>
      <c r="F25" s="559">
        <f ca="1"/>
        <v>0.83798052886889074</v>
      </c>
      <c r="G25" s="153" t="str">
        <f ca="1"/>
        <v>MVEGLE</v>
      </c>
      <c r="H25" s="560">
        <f ca="1"/>
        <v>99343.789530000009</v>
      </c>
      <c r="I25" t="str">
        <f ca="1"/>
        <v>MVEDSY</v>
      </c>
      <c r="J25" s="561">
        <f ca="1"/>
        <v>8.6280000000000003E-3</v>
      </c>
      <c r="K25" s="153" t="str">
        <f ca="1"/>
        <v>MVEDSY</v>
      </c>
      <c r="L25" s="561">
        <f ca="1"/>
        <v>8.6280000000000003E-3</v>
      </c>
      <c r="M25" s="1" t="str">
        <f ca="1"/>
        <v>CSCO</v>
      </c>
      <c r="N25" s="560">
        <f ca="1"/>
        <v>11073.599999999999</v>
      </c>
      <c r="O25" t="str">
        <f ca="1"/>
        <v>WBA</v>
      </c>
      <c r="P25" s="560">
        <f ca="1"/>
        <v>2908.0194400000046</v>
      </c>
      <c r="Q25" t="str">
        <f ca="1"/>
        <v>MVEGLE</v>
      </c>
      <c r="R25" s="650">
        <f ca="1"/>
        <v>1.8004166666666733E-4</v>
      </c>
      <c r="S25" t="str">
        <f ca="1"/>
        <v>XOM</v>
      </c>
      <c r="T25" s="87">
        <f ca="1"/>
        <v>325</v>
      </c>
      <c r="U25" t="str">
        <f ca="1"/>
        <v>PAAS</v>
      </c>
      <c r="V25" s="87">
        <f ca="1"/>
        <v>220</v>
      </c>
      <c r="W25" t="str">
        <f ca="1"/>
        <v>PAAS</v>
      </c>
      <c r="X25">
        <f ca="1"/>
        <v>5</v>
      </c>
      <c r="Y25" t="str">
        <f ca="1"/>
        <v>EZJ</v>
      </c>
      <c r="Z25">
        <f ca="1"/>
        <v>5</v>
      </c>
      <c r="AA25" t="str">
        <f ca="1"/>
        <v>RRC</v>
      </c>
      <c r="AB25">
        <f ca="1"/>
        <v>53</v>
      </c>
      <c r="AC25" t="str">
        <f ca="1"/>
        <v>THC</v>
      </c>
      <c r="AD25">
        <f ca="1"/>
        <v>58</v>
      </c>
      <c r="AE25" t="str">
        <f ca="1"/>
        <v>VLVLY</v>
      </c>
      <c r="AF25" s="87">
        <f ca="1"/>
        <v>0</v>
      </c>
      <c r="AG25" t="str">
        <f ca="1"/>
        <v>PROF</v>
      </c>
      <c r="AH25" s="87">
        <f ca="1"/>
        <v>3199.9999999999991</v>
      </c>
      <c r="AI25" t="str">
        <f ca="1"/>
        <v>MVEDDD</v>
      </c>
      <c r="AJ25" s="87">
        <f ca="1"/>
        <v>7375</v>
      </c>
      <c r="AK25" s="90" t="str">
        <f ca="1"/>
        <v>MVEGLE</v>
      </c>
      <c r="AL25" s="310">
        <f ca="1"/>
        <v>1.8004166666666733E-4</v>
      </c>
      <c r="AM25" t="str">
        <f ca="1"/>
        <v>MSFT</v>
      </c>
      <c r="AN25" s="310">
        <f ca="1"/>
        <v>0.45575121415933001</v>
      </c>
      <c r="AO25" t="str">
        <f ca="1"/>
        <v>AAPL</v>
      </c>
      <c r="AP25" s="310">
        <f ca="1"/>
        <v>-0.21743281194876979</v>
      </c>
      <c r="AQ25" s="87" t="str">
        <f ca="1"/>
        <v>MVERWE</v>
      </c>
      <c r="AR25" s="90">
        <f ca="1"/>
        <v>0.57554800404985196</v>
      </c>
      <c r="AS25" s="94" t="str">
        <f ca="1"/>
        <v>DSY</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AZN</v>
      </c>
      <c r="F26" s="559">
        <f ca="1"/>
        <v>0.83565875907624187</v>
      </c>
      <c r="G26" s="153" t="str">
        <f ca="1"/>
        <v>VLVLY</v>
      </c>
      <c r="H26" s="560">
        <f ca="1"/>
        <v>95723.861561999991</v>
      </c>
      <c r="I26" t="str">
        <f ca="1"/>
        <v>VONN</v>
      </c>
      <c r="J26" s="561">
        <f ca="1"/>
        <v>6.803E-3</v>
      </c>
      <c r="K26" s="153" t="str">
        <f ca="1"/>
        <v>VONN</v>
      </c>
      <c r="L26" s="561">
        <f ca="1"/>
        <v>6.803E-3</v>
      </c>
      <c r="M26" s="1" t="str">
        <f ca="1"/>
        <v>AZN</v>
      </c>
      <c r="N26" s="560">
        <f ca="1"/>
        <v>9565.0499999999993</v>
      </c>
      <c r="O26" t="str">
        <f ca="1"/>
        <v>KR</v>
      </c>
      <c r="P26" s="560">
        <f ca="1"/>
        <v>2643.109999999991</v>
      </c>
      <c r="Q26" t="str">
        <f ca="1"/>
        <v>GLE</v>
      </c>
      <c r="R26" s="650">
        <f ca="1"/>
        <v>1.8004166666666733E-4</v>
      </c>
      <c r="S26" t="str">
        <f ca="1"/>
        <v>OXY</v>
      </c>
      <c r="T26" s="87">
        <f ca="1"/>
        <v>300</v>
      </c>
      <c r="U26" t="str">
        <f ca="1"/>
        <v>GNRC</v>
      </c>
      <c r="V26" s="87">
        <f ca="1"/>
        <v>216</v>
      </c>
      <c r="W26" t="str">
        <f ca="1"/>
        <v>SAFAAPL</v>
      </c>
      <c r="X26">
        <f ca="1"/>
        <v>5</v>
      </c>
      <c r="Y26" t="str">
        <f ca="1"/>
        <v>LAZR</v>
      </c>
      <c r="Z26">
        <f ca="1"/>
        <v>6</v>
      </c>
      <c r="AA26" t="str">
        <f ca="1"/>
        <v>ADEA</v>
      </c>
      <c r="AB26">
        <f ca="1"/>
        <v>52</v>
      </c>
      <c r="AC26" t="str">
        <f ca="1"/>
        <v>NOTE</v>
      </c>
      <c r="AD26">
        <f ca="1"/>
        <v>57</v>
      </c>
      <c r="AE26" t="str">
        <f ca="1"/>
        <v>VONN</v>
      </c>
      <c r="AF26" s="87">
        <f ca="1"/>
        <v>0</v>
      </c>
      <c r="AG26" t="str">
        <f ca="1"/>
        <v>MVEGLE</v>
      </c>
      <c r="AH26" s="87">
        <f ca="1"/>
        <v>2799.9999999999973</v>
      </c>
      <c r="AI26" t="str">
        <f ca="1"/>
        <v>MA</v>
      </c>
      <c r="AJ26" s="87">
        <f ca="1"/>
        <v>6659.7499999999964</v>
      </c>
      <c r="AK26" s="90" t="str">
        <f ca="1"/>
        <v>GLE</v>
      </c>
      <c r="AL26" s="310">
        <f ca="1"/>
        <v>1.8004166666666733E-4</v>
      </c>
      <c r="AM26" t="str">
        <f ca="1"/>
        <v>NEM</v>
      </c>
      <c r="AN26" s="310">
        <f ca="1"/>
        <v>0.40299441649021805</v>
      </c>
      <c r="AO26" t="str">
        <f ca="1"/>
        <v>SAFIAG</v>
      </c>
      <c r="AP26" s="310">
        <f ca="1"/>
        <v>-0.20302372881355932</v>
      </c>
      <c r="AQ26" s="87" t="str">
        <f ca="1"/>
        <v>MVEGLE</v>
      </c>
      <c r="AR26" s="90">
        <f ca="1"/>
        <v>0.5654471407896059</v>
      </c>
      <c r="AS26" s="94" t="str">
        <f ca="1"/>
        <v>DVA</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NVAX</v>
      </c>
      <c r="F27" s="559">
        <f ca="1"/>
        <v>0.72210564714953263</v>
      </c>
      <c r="G27" s="153" t="str">
        <f ca="1"/>
        <v>MVEORA</v>
      </c>
      <c r="H27" s="560">
        <f ca="1"/>
        <v>93297.885930000019</v>
      </c>
      <c r="I27" t="str">
        <f ca="1"/>
        <v>LOCK</v>
      </c>
      <c r="J27" s="561">
        <f ca="1"/>
        <v>6.7010000000000004E-3</v>
      </c>
      <c r="K27" s="153" t="str">
        <f ca="1"/>
        <v>LOCK</v>
      </c>
      <c r="L27" s="561">
        <f ca="1"/>
        <v>6.7010000000000004E-3</v>
      </c>
      <c r="M27" s="1" t="str">
        <f ca="1"/>
        <v>MVEGLE</v>
      </c>
      <c r="N27" s="560">
        <f ca="1"/>
        <v>8115.0000000000091</v>
      </c>
      <c r="O27" t="str">
        <f ca="1"/>
        <v>VTRS</v>
      </c>
      <c r="P27" s="560">
        <f ca="1"/>
        <v>2368.824999999998</v>
      </c>
      <c r="Q27" t="str">
        <f ca="1"/>
        <v>DSY</v>
      </c>
      <c r="R27" s="650">
        <f ca="1"/>
        <v>4.0144047619047039E-5</v>
      </c>
      <c r="S27" t="str">
        <f ca="1"/>
        <v>WBA</v>
      </c>
      <c r="T27" s="87">
        <f ca="1"/>
        <v>195</v>
      </c>
      <c r="U27" t="str">
        <f ca="1"/>
        <v>C</v>
      </c>
      <c r="V27" s="87">
        <f ca="1"/>
        <v>91.349999999998545</v>
      </c>
      <c r="W27" t="str">
        <f ca="1"/>
        <v>EPIX</v>
      </c>
      <c r="X27">
        <f ca="1"/>
        <v>6</v>
      </c>
      <c r="Y27" t="str">
        <f ca="1"/>
        <v>LOCK</v>
      </c>
      <c r="Z27">
        <f ca="1"/>
        <v>6</v>
      </c>
      <c r="AA27" t="str">
        <f ca="1"/>
        <v>ASML</v>
      </c>
      <c r="AB27">
        <f ca="1"/>
        <v>52</v>
      </c>
      <c r="AC27" t="str">
        <f ca="1"/>
        <v>GS</v>
      </c>
      <c r="AD27">
        <f ca="1"/>
        <v>57</v>
      </c>
      <c r="AE27" t="str">
        <f ca="1"/>
        <v>VTRS</v>
      </c>
      <c r="AF27" s="87">
        <f ca="1"/>
        <v>0</v>
      </c>
      <c r="AG27" t="str">
        <f ca="1"/>
        <v>DDD</v>
      </c>
      <c r="AH27" s="87">
        <f ca="1"/>
        <v>2700</v>
      </c>
      <c r="AI27" t="str">
        <f ca="1"/>
        <v>BLNK</v>
      </c>
      <c r="AJ27" s="87">
        <f ca="1"/>
        <v>6539.9999999999991</v>
      </c>
      <c r="AK27" s="90" t="str">
        <f ca="1"/>
        <v>DSY</v>
      </c>
      <c r="AL27" s="310">
        <f ca="1"/>
        <v>4.0144047619047039E-5</v>
      </c>
      <c r="AM27" t="str">
        <f ca="1"/>
        <v>MVEEOAN</v>
      </c>
      <c r="AN27" s="310">
        <f ca="1"/>
        <v>0.38236672694394214</v>
      </c>
      <c r="AO27" t="str">
        <f ca="1"/>
        <v>RIG</v>
      </c>
      <c r="AP27" s="310">
        <f ca="1"/>
        <v>-0.19804538149189302</v>
      </c>
      <c r="AQ27" s="87" t="str">
        <f ca="1"/>
        <v>ENI</v>
      </c>
      <c r="AR27" s="90">
        <f ca="1"/>
        <v>0.53499729899566761</v>
      </c>
      <c r="AS27" s="94" t="str">
        <f ca="1"/>
        <v>DXC</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XYZ</v>
      </c>
      <c r="F28" s="559">
        <f ca="1"/>
        <v>0.63831835430216688</v>
      </c>
      <c r="G28" s="153" t="str">
        <f ca="1"/>
        <v>TSLA</v>
      </c>
      <c r="H28" s="560">
        <f ca="1"/>
        <v>87853.611489999981</v>
      </c>
      <c r="I28" t="str">
        <f ca="1"/>
        <v>MVEGLE</v>
      </c>
      <c r="J28" s="561">
        <f ca="1"/>
        <v>6.0200000000000002E-3</v>
      </c>
      <c r="K28" s="153" t="str">
        <f ca="1"/>
        <v>MVEGLE</v>
      </c>
      <c r="L28" s="561">
        <f ca="1"/>
        <v>6.0200000000000002E-3</v>
      </c>
      <c r="M28" s="1" t="str">
        <f ca="1"/>
        <v>VLVLY</v>
      </c>
      <c r="N28" s="560">
        <f ca="1"/>
        <v>5789.9999999999991</v>
      </c>
      <c r="O28" t="str">
        <f ca="1"/>
        <v>ENI</v>
      </c>
      <c r="P28" s="560">
        <f ca="1"/>
        <v>1785.3460000000027</v>
      </c>
      <c r="Q28" t="str">
        <f ca="1"/>
        <v>EOAN</v>
      </c>
      <c r="R28" s="650">
        <f ca="1"/>
        <v>0</v>
      </c>
      <c r="S28" t="str">
        <f ca="1"/>
        <v>C</v>
      </c>
      <c r="T28" s="87">
        <f ca="1"/>
        <v>140.69999999999891</v>
      </c>
      <c r="U28" t="str">
        <f ca="1"/>
        <v>EPIX</v>
      </c>
      <c r="V28" s="87">
        <f ca="1"/>
        <v>0</v>
      </c>
      <c r="W28" t="str">
        <f ca="1"/>
        <v>NOTE</v>
      </c>
      <c r="X28">
        <f ca="1"/>
        <v>6</v>
      </c>
      <c r="Y28" t="str">
        <f ca="1"/>
        <v>EPIX</v>
      </c>
      <c r="Z28">
        <f ca="1"/>
        <v>7</v>
      </c>
      <c r="AA28" t="str">
        <f ca="1"/>
        <v>LNSR</v>
      </c>
      <c r="AB28">
        <f ca="1"/>
        <v>52</v>
      </c>
      <c r="AC28" t="str">
        <f ca="1"/>
        <v>C</v>
      </c>
      <c r="AD28">
        <f ca="1"/>
        <v>56</v>
      </c>
      <c r="AE28" t="str">
        <f ca="1"/>
        <v>MVEDDD</v>
      </c>
      <c r="AF28" s="87">
        <f ca="1"/>
        <v>0</v>
      </c>
      <c r="AG28" t="str">
        <f ca="1"/>
        <v>SAFDDD</v>
      </c>
      <c r="AH28" s="87">
        <f ca="1"/>
        <v>2435.9999999999977</v>
      </c>
      <c r="AI28" t="str">
        <f ca="1"/>
        <v>SAP</v>
      </c>
      <c r="AJ28" s="87">
        <f ca="1"/>
        <v>6460.0000000000018</v>
      </c>
      <c r="AK28" s="90" t="str">
        <f ca="1"/>
        <v>EOAN</v>
      </c>
      <c r="AL28" s="310">
        <f ca="1"/>
        <v>0</v>
      </c>
      <c r="AM28" t="str">
        <f ca="1"/>
        <v>IAG</v>
      </c>
      <c r="AN28" s="310">
        <f ca="1"/>
        <v>0.37851522609912452</v>
      </c>
      <c r="AO28" t="str">
        <f ca="1"/>
        <v>GS</v>
      </c>
      <c r="AP28" s="310">
        <f ca="1"/>
        <v>-0.19339511839055437</v>
      </c>
      <c r="AQ28" s="87" t="str">
        <f ca="1"/>
        <v>F</v>
      </c>
      <c r="AR28" s="90">
        <f ca="1"/>
        <v>0.53493730215500379</v>
      </c>
      <c r="AS28" s="94" t="str">
        <f ca="1"/>
        <v>EOAN</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ALDNE</v>
      </c>
      <c r="F29" s="559">
        <f ca="1"/>
        <v>0.55366568914956016</v>
      </c>
      <c r="G29" s="153" t="str">
        <f ca="1"/>
        <v>PAAS</v>
      </c>
      <c r="H29" s="560">
        <f ca="1"/>
        <v>87270.607229999994</v>
      </c>
      <c r="I29" t="str">
        <f ca="1"/>
        <v>GLE</v>
      </c>
      <c r="J29" s="561">
        <f ca="1"/>
        <v>6.0200000000000002E-3</v>
      </c>
      <c r="K29" s="153" t="str">
        <f ca="1"/>
        <v>GLE</v>
      </c>
      <c r="L29" s="561">
        <f ca="1"/>
        <v>6.0200000000000002E-3</v>
      </c>
      <c r="M29" s="1" t="str">
        <f ca="1"/>
        <v>WBA</v>
      </c>
      <c r="N29" s="560">
        <f ca="1"/>
        <v>5760.2999999999993</v>
      </c>
      <c r="O29" t="str">
        <f ca="1"/>
        <v>SAFAAPL</v>
      </c>
      <c r="P29" s="560">
        <f ca="1"/>
        <v>1500.5882999999958</v>
      </c>
      <c r="Q29" t="str">
        <f ca="1"/>
        <v>WBA</v>
      </c>
      <c r="R29" s="650">
        <f ca="1"/>
        <v>0</v>
      </c>
      <c r="S29" t="str">
        <f ca="1"/>
        <v>MVESAP</v>
      </c>
      <c r="T29" s="87">
        <f ca="1"/>
        <v>120.30000000000291</v>
      </c>
      <c r="U29" t="str">
        <f ca="1"/>
        <v>LNSR</v>
      </c>
      <c r="V29" s="87">
        <f ca="1"/>
        <v>0</v>
      </c>
      <c r="W29" t="str">
        <f ca="1"/>
        <v>SAFGM</v>
      </c>
      <c r="X29">
        <f ca="1"/>
        <v>6</v>
      </c>
      <c r="Y29" t="str">
        <f ca="1"/>
        <v>MVEGLE</v>
      </c>
      <c r="Z29">
        <f ca="1"/>
        <v>7</v>
      </c>
      <c r="AA29" t="str">
        <f ca="1"/>
        <v>VONN</v>
      </c>
      <c r="AB29">
        <f ca="1"/>
        <v>52</v>
      </c>
      <c r="AC29" t="str">
        <f ca="1"/>
        <v>VLVLY</v>
      </c>
      <c r="AD29">
        <f ca="1"/>
        <v>55</v>
      </c>
      <c r="AE29" t="str">
        <f ca="1"/>
        <v>MVEEOAN</v>
      </c>
      <c r="AF29" s="87">
        <f ca="1"/>
        <v>0</v>
      </c>
      <c r="AG29" t="str">
        <f ca="1"/>
        <v>EZJ</v>
      </c>
      <c r="AH29" s="87">
        <f ca="1"/>
        <v>2218.0000000000064</v>
      </c>
      <c r="AI29" t="str">
        <f ca="1"/>
        <v>HPQ</v>
      </c>
      <c r="AJ29" s="87">
        <f ca="1"/>
        <v>6400.0000000000018</v>
      </c>
      <c r="AK29" s="90" t="str">
        <f ca="1"/>
        <v>WBA</v>
      </c>
      <c r="AL29" s="310">
        <f ca="1"/>
        <v>0</v>
      </c>
      <c r="AM29" t="str">
        <f ca="1"/>
        <v>TSM</v>
      </c>
      <c r="AN29" s="310">
        <f ca="1"/>
        <v>0.36940301281201365</v>
      </c>
      <c r="AO29" t="str">
        <f ca="1"/>
        <v>NVS</v>
      </c>
      <c r="AP29" s="310">
        <f ca="1"/>
        <v>-0.19047054556922113</v>
      </c>
      <c r="AQ29" s="87" t="str">
        <f ca="1"/>
        <v>MVEENI</v>
      </c>
      <c r="AR29" s="90">
        <f ca="1"/>
        <v>0.52312138728323687</v>
      </c>
      <c r="AS29" s="94" t="str">
        <f ca="1"/>
        <v>EPIX</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MVEALDNE</v>
      </c>
      <c r="F30" s="559">
        <f ca="1"/>
        <v>0.55366568914956016</v>
      </c>
      <c r="G30" s="153" t="str">
        <f ca="1"/>
        <v>MVEENI</v>
      </c>
      <c r="H30" s="560">
        <f ca="1"/>
        <v>82163.713222799997</v>
      </c>
      <c r="I30" t="str">
        <f ca="1"/>
        <v>GS</v>
      </c>
      <c r="J30" s="561">
        <f ca="1"/>
        <v>5.9130000000000007E-3</v>
      </c>
      <c r="K30" s="153" t="str">
        <f ca="1"/>
        <v>GS</v>
      </c>
      <c r="L30" s="561">
        <f ca="1"/>
        <v>5.9130000000000007E-3</v>
      </c>
      <c r="M30" s="1" t="str">
        <f ca="1"/>
        <v>VTRS</v>
      </c>
      <c r="N30" s="560">
        <f ca="1"/>
        <v>5424.9999999999955</v>
      </c>
      <c r="O30" t="str">
        <f ca="1"/>
        <v>AZN</v>
      </c>
      <c r="P30" s="560">
        <f ca="1"/>
        <v>1371.4748700000014</v>
      </c>
      <c r="Q30" t="str">
        <f ca="1"/>
        <v>MVEEPIX</v>
      </c>
      <c r="R30" s="650">
        <f ca="1"/>
        <v>0</v>
      </c>
      <c r="S30" t="str">
        <f ca="1"/>
        <v>EPIX</v>
      </c>
      <c r="T30" s="87">
        <f ca="1"/>
        <v>36</v>
      </c>
      <c r="U30" t="str">
        <f ca="1"/>
        <v>WBA</v>
      </c>
      <c r="V30" s="87">
        <f ca="1"/>
        <v>0</v>
      </c>
      <c r="W30" t="str">
        <f ca="1"/>
        <v>NEE</v>
      </c>
      <c r="X30">
        <f ca="1"/>
        <v>8</v>
      </c>
      <c r="Y30" t="str">
        <f ca="1"/>
        <v>SAFGM</v>
      </c>
      <c r="Z30">
        <f ca="1"/>
        <v>7</v>
      </c>
      <c r="AA30" t="str">
        <f ca="1"/>
        <v>SAFASML</v>
      </c>
      <c r="AB30">
        <f ca="1"/>
        <v>52</v>
      </c>
      <c r="AC30" t="str">
        <f ca="1"/>
        <v>LAZR</v>
      </c>
      <c r="AD30">
        <f ca="1"/>
        <v>51</v>
      </c>
      <c r="AE30" t="str">
        <f ca="1"/>
        <v>MVERWE</v>
      </c>
      <c r="AF30" s="87">
        <f ca="1"/>
        <v>0</v>
      </c>
      <c r="AG30" t="str">
        <f ca="1"/>
        <v>VONN</v>
      </c>
      <c r="AH30" s="87">
        <f ca="1"/>
        <v>1500</v>
      </c>
      <c r="AI30" t="str">
        <f ca="1"/>
        <v>HPE</v>
      </c>
      <c r="AJ30" s="87">
        <f ca="1"/>
        <v>6093.0000000000027</v>
      </c>
      <c r="AK30" s="90" t="str">
        <f ca="1"/>
        <v>MVEEPIX</v>
      </c>
      <c r="AL30" s="310">
        <f ca="1"/>
        <v>0</v>
      </c>
      <c r="AM30" t="str">
        <f ca="1"/>
        <v>CVS</v>
      </c>
      <c r="AN30" s="310">
        <f ca="1"/>
        <v>0.36233044190124231</v>
      </c>
      <c r="AO30" t="str">
        <f ca="1"/>
        <v>JBASML</v>
      </c>
      <c r="AP30" s="310">
        <f ca="1"/>
        <v>-0.18629050304534175</v>
      </c>
      <c r="AQ30" s="87" t="str">
        <f ca="1"/>
        <v>MVEEOAN</v>
      </c>
      <c r="AR30" s="90">
        <f ca="1"/>
        <v>0.45698956923703338</v>
      </c>
      <c r="AS30" s="94" t="str">
        <f ca="1"/>
        <v>GM</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AMZN</v>
      </c>
      <c r="F31" s="559">
        <f ca="1"/>
        <v>0.55227376593669197</v>
      </c>
      <c r="G31" s="153" t="str">
        <f ca="1"/>
        <v>AVGO</v>
      </c>
      <c r="H31" s="560">
        <f ca="1"/>
        <v>70439.091583540765</v>
      </c>
      <c r="I31" t="str">
        <f ca="1"/>
        <v>TSM</v>
      </c>
      <c r="J31" s="561">
        <f ca="1"/>
        <v>5.6849999999999999E-3</v>
      </c>
      <c r="K31" s="153" t="str">
        <f ca="1"/>
        <v>TSM</v>
      </c>
      <c r="L31" s="561">
        <f ca="1"/>
        <v>5.6849999999999999E-3</v>
      </c>
      <c r="M31" s="1" t="str">
        <f ca="1"/>
        <v>KR</v>
      </c>
      <c r="N31" s="560">
        <f ca="1"/>
        <v>4203.4285714285315</v>
      </c>
      <c r="O31" t="str">
        <f ca="1"/>
        <v>NEE</v>
      </c>
      <c r="P31" s="560">
        <f ca="1"/>
        <v>1130.2137839999957</v>
      </c>
      <c r="Q31" t="str">
        <f ca="1"/>
        <v>X</v>
      </c>
      <c r="R31" s="650">
        <f ca="1"/>
        <v>0</v>
      </c>
      <c r="S31" t="str">
        <f ca="1"/>
        <v>MVEEPIX</v>
      </c>
      <c r="T31" s="87">
        <f ca="1"/>
        <v>14.400000000000091</v>
      </c>
      <c r="U31" t="str">
        <f ca="1"/>
        <v>MVEEPIX</v>
      </c>
      <c r="V31" s="87">
        <f ca="1"/>
        <v>0</v>
      </c>
      <c r="W31" t="str">
        <f ca="1"/>
        <v>BMRA</v>
      </c>
      <c r="X31">
        <f ca="1"/>
        <v>10</v>
      </c>
      <c r="Y31" t="str">
        <f ca="1"/>
        <v>GLE</v>
      </c>
      <c r="Z31">
        <f ca="1"/>
        <v>7</v>
      </c>
      <c r="AA31" t="str">
        <f ca="1"/>
        <v>JBASML</v>
      </c>
      <c r="AB31">
        <f ca="1"/>
        <v>52</v>
      </c>
      <c r="AC31" t="str">
        <f ca="1"/>
        <v>LNSR</v>
      </c>
      <c r="AD31">
        <f ca="1"/>
        <v>50</v>
      </c>
      <c r="AE31" t="str">
        <f ca="1"/>
        <v>MVESAP</v>
      </c>
      <c r="AF31" s="87">
        <f ca="1"/>
        <v>0</v>
      </c>
      <c r="AG31" t="str">
        <f ca="1"/>
        <v>LUV</v>
      </c>
      <c r="AH31" s="87">
        <f ca="1"/>
        <v>1347.1200000000024</v>
      </c>
      <c r="AI31" t="str">
        <f ca="1"/>
        <v>SAFDIS</v>
      </c>
      <c r="AJ31" s="87">
        <f ca="1"/>
        <v>5831.1</v>
      </c>
      <c r="AK31" s="90" t="str">
        <f ca="1"/>
        <v>X</v>
      </c>
      <c r="AL31" s="310">
        <f ca="1"/>
        <v>0</v>
      </c>
      <c r="AM31" t="str">
        <f ca="1"/>
        <v>SAFASML</v>
      </c>
      <c r="AN31" s="310">
        <f ca="1"/>
        <v>0.3539621510444092</v>
      </c>
      <c r="AO31" t="str">
        <f ca="1"/>
        <v>MVEENI</v>
      </c>
      <c r="AP31" s="310">
        <f ca="1"/>
        <v>-0.17459887641989011</v>
      </c>
      <c r="AQ31" s="87" t="str">
        <f ca="1"/>
        <v>AVGO</v>
      </c>
      <c r="AR31" s="90">
        <f ca="1"/>
        <v>0.44344600910653525</v>
      </c>
      <c r="AS31" s="94" t="str">
        <f ca="1"/>
        <v>HPE</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SAFAMZN</v>
      </c>
      <c r="F32" s="559">
        <f ca="1"/>
        <v>0.55227376593669197</v>
      </c>
      <c r="G32" s="153" t="str">
        <f ca="1"/>
        <v>NEE</v>
      </c>
      <c r="H32" s="560">
        <f ca="1"/>
        <v>66891.890549199961</v>
      </c>
      <c r="I32" t="str">
        <f ca="1"/>
        <v>THC</v>
      </c>
      <c r="J32" s="561">
        <f ca="1"/>
        <v>3.0049999999999999E-3</v>
      </c>
      <c r="K32" s="153" t="str">
        <f ca="1"/>
        <v>THC</v>
      </c>
      <c r="L32" s="561">
        <f ca="1"/>
        <v>3.0049999999999999E-3</v>
      </c>
      <c r="M32" s="1" t="str">
        <f ca="1"/>
        <v>HPE</v>
      </c>
      <c r="N32" s="560">
        <f ca="1"/>
        <v>3210.1679999999947</v>
      </c>
      <c r="O32" t="str">
        <f ca="1"/>
        <v>AVGO</v>
      </c>
      <c r="P32" s="560">
        <f ca="1"/>
        <v>1127.0620000000067</v>
      </c>
      <c r="Q32" t="str">
        <f ca="1"/>
        <v>GS</v>
      </c>
      <c r="R32" s="650">
        <f ca="1"/>
        <v>-4.6279761904761648E-5</v>
      </c>
      <c r="S32" t="str">
        <f ca="1"/>
        <v>GM</v>
      </c>
      <c r="T32" s="87">
        <f ca="1"/>
        <v>10.549999999999955</v>
      </c>
      <c r="U32" t="str">
        <f ca="1"/>
        <v>SAFGM</v>
      </c>
      <c r="V32" s="87">
        <f ca="1"/>
        <v>0</v>
      </c>
      <c r="W32" t="str">
        <f ca="1"/>
        <v>UN0</v>
      </c>
      <c r="X32">
        <f ca="1"/>
        <v>10</v>
      </c>
      <c r="Y32" t="str">
        <f ca="1"/>
        <v>GS</v>
      </c>
      <c r="Z32">
        <f ca="1"/>
        <v>7</v>
      </c>
      <c r="AA32" t="str">
        <f ca="1"/>
        <v>MVEORA</v>
      </c>
      <c r="AB32">
        <f ca="1"/>
        <v>51</v>
      </c>
      <c r="AC32" t="str">
        <f ca="1"/>
        <v>PAAS</v>
      </c>
      <c r="AD32">
        <f ca="1"/>
        <v>47</v>
      </c>
      <c r="AE32" t="str">
        <f ca="1"/>
        <v>SAFAAPL</v>
      </c>
      <c r="AF32" s="87">
        <f ca="1"/>
        <v>0</v>
      </c>
      <c r="AG32" t="str">
        <f ca="1"/>
        <v>RWE</v>
      </c>
      <c r="AH32" s="87">
        <f ca="1"/>
        <v>767.99999999999977</v>
      </c>
      <c r="AI32" t="str">
        <f ca="1"/>
        <v>MSFT</v>
      </c>
      <c r="AJ32" s="87">
        <f ca="1"/>
        <v>5599.4999999999973</v>
      </c>
      <c r="AK32" s="90" t="str">
        <f ca="1"/>
        <v>GS</v>
      </c>
      <c r="AL32" s="310">
        <f ca="1"/>
        <v>-4.6279761904761648E-5</v>
      </c>
      <c r="AM32" t="str">
        <f ca="1"/>
        <v>ASML</v>
      </c>
      <c r="AN32" s="310">
        <f ca="1"/>
        <v>0.35116063763461597</v>
      </c>
      <c r="AO32" t="str">
        <f ca="1"/>
        <v>THC</v>
      </c>
      <c r="AP32" s="310">
        <f ca="1"/>
        <v>-0.17358224678858014</v>
      </c>
      <c r="AQ32" s="87" t="str">
        <f ca="1"/>
        <v>CVS</v>
      </c>
      <c r="AR32" s="90">
        <f ca="1"/>
        <v>0.44182089339189745</v>
      </c>
      <c r="AS32" s="94" t="str">
        <f ca="1"/>
        <v>HPQ</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AVGO</v>
      </c>
      <c r="F33" s="559">
        <f ca="1"/>
        <v>0.51410314470649965</v>
      </c>
      <c r="G33" s="153" t="str">
        <f ca="1"/>
        <v>JBASML</v>
      </c>
      <c r="H33" s="560">
        <f ca="1"/>
        <v>63154.101999999999</v>
      </c>
      <c r="I33" t="str">
        <f ca="1"/>
        <v>KR</v>
      </c>
      <c r="J33" s="561">
        <f ca="1"/>
        <v>2.5230000000000001E-3</v>
      </c>
      <c r="K33" s="153" t="str">
        <f ca="1"/>
        <v>KR</v>
      </c>
      <c r="L33" s="561">
        <f ca="1"/>
        <v>2.5230000000000001E-3</v>
      </c>
      <c r="M33" s="1" t="str">
        <f ca="1"/>
        <v>PROF</v>
      </c>
      <c r="N33" s="560">
        <f ca="1"/>
        <v>3199.9999999999991</v>
      </c>
      <c r="O33" t="str">
        <f ca="1"/>
        <v>PROF</v>
      </c>
      <c r="P33" s="560">
        <f ca="1"/>
        <v>758.02399999999977</v>
      </c>
      <c r="Q33" t="str">
        <f ca="1"/>
        <v>NVS</v>
      </c>
      <c r="R33" s="650">
        <f ca="1"/>
        <v>-4.3680654761904742E-4</v>
      </c>
      <c r="S33" t="str">
        <f ca="1"/>
        <v>X</v>
      </c>
      <c r="T33" s="87">
        <f ca="1"/>
        <v>0.10000000000013642</v>
      </c>
      <c r="U33" t="str">
        <f ca="1"/>
        <v>SAFIAG</v>
      </c>
      <c r="V33" s="87">
        <f ca="1"/>
        <v>0</v>
      </c>
      <c r="W33" t="str">
        <f ca="1"/>
        <v>F</v>
      </c>
      <c r="X33">
        <f ca="1"/>
        <v>10</v>
      </c>
      <c r="Y33" t="str">
        <f ca="1"/>
        <v>TSLA</v>
      </c>
      <c r="Z33">
        <f ca="1"/>
        <v>8</v>
      </c>
      <c r="AA33" t="str">
        <f ca="1"/>
        <v>ORA</v>
      </c>
      <c r="AB33">
        <f ca="1"/>
        <v>51</v>
      </c>
      <c r="AC33" t="str">
        <f ca="1"/>
        <v>EZJ</v>
      </c>
      <c r="AD33">
        <f ca="1"/>
        <v>47</v>
      </c>
      <c r="AE33" t="str">
        <f ca="1"/>
        <v>SAFAMZN</v>
      </c>
      <c r="AF33" s="87">
        <f ca="1"/>
        <v>0</v>
      </c>
      <c r="AG33" t="str">
        <f ca="1"/>
        <v>NFLX</v>
      </c>
      <c r="AH33" s="87">
        <f ca="1"/>
        <v>459.99999999992269</v>
      </c>
      <c r="AI33" t="str">
        <f ca="1"/>
        <v>UN0</v>
      </c>
      <c r="AJ33" s="87">
        <f ca="1"/>
        <v>4917.0694999999987</v>
      </c>
      <c r="AK33" s="90" t="str">
        <f ca="1"/>
        <v>NVS</v>
      </c>
      <c r="AL33" s="310">
        <f ca="1"/>
        <v>-4.3680654761904742E-4</v>
      </c>
      <c r="AM33" t="str">
        <f ca="1"/>
        <v>SAFAAPL</v>
      </c>
      <c r="AN33" s="310">
        <f ca="1"/>
        <v>0.35022223452782975</v>
      </c>
      <c r="AO33" t="str">
        <f ca="1"/>
        <v>TSLA</v>
      </c>
      <c r="AP33" s="310">
        <f ca="1"/>
        <v>-0.16573943945686509</v>
      </c>
      <c r="AQ33" s="87" t="str">
        <f ca="1"/>
        <v>SAFGM</v>
      </c>
      <c r="AR33" s="90">
        <f ca="1"/>
        <v>0.41431628087920636</v>
      </c>
      <c r="AS33" s="94" t="str">
        <f ca="1"/>
        <v>IAG</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TSLA</v>
      </c>
      <c r="F34" s="559">
        <f ca="1"/>
        <v>0.48129913738814045</v>
      </c>
      <c r="G34" s="153" t="str">
        <f ca="1"/>
        <v>SAFGM</v>
      </c>
      <c r="H34" s="560">
        <f ca="1"/>
        <v>62504.174421000003</v>
      </c>
      <c r="I34" t="str">
        <f ca="1"/>
        <v>TSLA</v>
      </c>
      <c r="J34" s="561">
        <f ca="1"/>
        <v>2.1429999999999999E-3</v>
      </c>
      <c r="K34" s="153" t="str">
        <f ca="1"/>
        <v>TSLA</v>
      </c>
      <c r="L34" s="561">
        <f ca="1"/>
        <v>2.1429999999999999E-3</v>
      </c>
      <c r="M34" s="1" t="str">
        <f ca="1"/>
        <v>XOM</v>
      </c>
      <c r="N34" s="560">
        <f ca="1"/>
        <v>2324.9999999999959</v>
      </c>
      <c r="O34" t="str">
        <f ca="1"/>
        <v>LUMN</v>
      </c>
      <c r="P34" s="560">
        <f ca="1"/>
        <v>706.00958999999989</v>
      </c>
      <c r="Q34" t="str">
        <f ca="1"/>
        <v>PAAS</v>
      </c>
      <c r="R34" s="650">
        <f ca="1"/>
        <v>-5.2945238095238132E-4</v>
      </c>
      <c r="S34" t="str">
        <f ca="1"/>
        <v>LNSR</v>
      </c>
      <c r="T34" s="87">
        <f ca="1"/>
        <v>0</v>
      </c>
      <c r="U34" t="str">
        <f ca="1"/>
        <v>F</v>
      </c>
      <c r="V34" s="87">
        <f ca="1"/>
        <v>0</v>
      </c>
      <c r="W34" t="str">
        <f ca="1"/>
        <v>GS</v>
      </c>
      <c r="X34">
        <f ca="1"/>
        <v>10</v>
      </c>
      <c r="Y34" t="str">
        <f ca="1"/>
        <v>NEE</v>
      </c>
      <c r="Z34">
        <f ca="1"/>
        <v>9</v>
      </c>
      <c r="AA34" t="str">
        <f ca="1"/>
        <v>DSY</v>
      </c>
      <c r="AB34">
        <f ca="1"/>
        <v>50</v>
      </c>
      <c r="AC34" t="str">
        <f ca="1"/>
        <v>LUMN</v>
      </c>
      <c r="AD34">
        <f ca="1"/>
        <v>46</v>
      </c>
      <c r="AE34" t="str">
        <f ca="1"/>
        <v>SAFASML</v>
      </c>
      <c r="AF34" s="87">
        <f ca="1"/>
        <v>0</v>
      </c>
      <c r="AG34" t="str">
        <f ca="1"/>
        <v>JBEOAN</v>
      </c>
      <c r="AH34" s="87">
        <f ca="1"/>
        <v>450.00000000000108</v>
      </c>
      <c r="AI34" t="str">
        <f ca="1"/>
        <v>ADEA</v>
      </c>
      <c r="AJ34" s="87">
        <f ca="1"/>
        <v>4600</v>
      </c>
      <c r="AK34" s="90" t="str">
        <f ca="1"/>
        <v>PAAS</v>
      </c>
      <c r="AL34" s="310">
        <f ca="1"/>
        <v>-5.2945238095238132E-4</v>
      </c>
      <c r="AM34" t="str">
        <f ca="1"/>
        <v>BLDP</v>
      </c>
      <c r="AN34" s="310">
        <f ca="1"/>
        <v>0.32471324626865666</v>
      </c>
      <c r="AO34" t="str">
        <f ca="1"/>
        <v>NEE</v>
      </c>
      <c r="AP34" s="310">
        <f ca="1"/>
        <v>-0.1644410695313421</v>
      </c>
      <c r="AQ34" s="87" t="str">
        <f ca="1"/>
        <v>VONN</v>
      </c>
      <c r="AR34" s="90">
        <f ca="1"/>
        <v>0.3849443969204448</v>
      </c>
      <c r="AS34" s="94" t="str">
        <f ca="1"/>
        <v>KR</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NVS</v>
      </c>
      <c r="F35" s="559">
        <f ca="1"/>
        <v>0.44179256424314578</v>
      </c>
      <c r="G35" s="153" t="str">
        <f ca="1"/>
        <v>X</v>
      </c>
      <c r="H35" s="560">
        <f ca="1"/>
        <v>60361.79860391991</v>
      </c>
      <c r="I35" t="str">
        <f ca="1"/>
        <v>RRC</v>
      </c>
      <c r="J35" s="561">
        <f ca="1"/>
        <v>1.1529999999999999E-3</v>
      </c>
      <c r="K35" s="153" t="str">
        <f ca="1"/>
        <v>RRC</v>
      </c>
      <c r="L35" s="561">
        <f ca="1"/>
        <v>1.1529999999999999E-3</v>
      </c>
      <c r="M35" s="1" t="str">
        <f ca="1"/>
        <v>LUV</v>
      </c>
      <c r="N35" s="560">
        <f ca="1"/>
        <v>1347.1200000000024</v>
      </c>
      <c r="O35" t="str">
        <f ca="1"/>
        <v>RIG</v>
      </c>
      <c r="P35" s="560">
        <f ca="1"/>
        <v>698.17999999999836</v>
      </c>
      <c r="Q35" t="str">
        <f ca="1"/>
        <v>BMRA</v>
      </c>
      <c r="R35" s="650">
        <f ca="1"/>
        <v>-9.1061904761904748E-4</v>
      </c>
      <c r="S35" t="str">
        <f ca="1"/>
        <v>SAFGM</v>
      </c>
      <c r="T35" s="87">
        <f ca="1"/>
        <v>0</v>
      </c>
      <c r="U35" t="str">
        <f ca="1"/>
        <v>GLE</v>
      </c>
      <c r="V35" s="87">
        <f ca="1"/>
        <v>0</v>
      </c>
      <c r="W35" t="str">
        <f ca="1"/>
        <v>OXY</v>
      </c>
      <c r="X35">
        <f ca="1"/>
        <v>10</v>
      </c>
      <c r="Y35" t="str">
        <f ca="1"/>
        <v>RWE</v>
      </c>
      <c r="Z35">
        <f ca="1"/>
        <v>9</v>
      </c>
      <c r="AA35" t="str">
        <f ca="1"/>
        <v>LUMN</v>
      </c>
      <c r="AB35">
        <f ca="1"/>
        <v>50</v>
      </c>
      <c r="AC35" t="str">
        <f ca="1"/>
        <v>MSFT</v>
      </c>
      <c r="AD35">
        <f ca="1"/>
        <v>46</v>
      </c>
      <c r="AE35" t="str">
        <f ca="1"/>
        <v>SAFDIS</v>
      </c>
      <c r="AF35" s="87">
        <f ca="1"/>
        <v>0</v>
      </c>
      <c r="AG35" t="str">
        <f ca="1"/>
        <v>X</v>
      </c>
      <c r="AH35" s="87">
        <f ca="1"/>
        <v>238.82794000000004</v>
      </c>
      <c r="AI35" t="str">
        <f ca="1"/>
        <v>EZJ</v>
      </c>
      <c r="AJ35" s="87">
        <f ca="1"/>
        <v>3350</v>
      </c>
      <c r="AK35" s="90" t="str">
        <f ca="1"/>
        <v>BMRA</v>
      </c>
      <c r="AL35" s="310">
        <f ca="1"/>
        <v>-9.1061904761904748E-4</v>
      </c>
      <c r="AM35" t="str">
        <f ca="1"/>
        <v>MVERWE</v>
      </c>
      <c r="AN35" s="310">
        <f ca="1"/>
        <v>0.32051213174195492</v>
      </c>
      <c r="AO35" t="str">
        <f ca="1"/>
        <v>LNSR</v>
      </c>
      <c r="AP35" s="310">
        <f ca="1"/>
        <v>-0.16414608523290375</v>
      </c>
      <c r="AQ35" s="87" t="str">
        <f ca="1"/>
        <v>LNSR</v>
      </c>
      <c r="AR35" s="90">
        <f ca="1"/>
        <v>0.38439697025442504</v>
      </c>
      <c r="AS35" s="94" t="str">
        <f ca="1"/>
        <v>LNSR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DIS</v>
      </c>
      <c r="F36" s="559">
        <f ca="1"/>
        <v>0.43204780109496366</v>
      </c>
      <c r="G36" s="153" t="str">
        <f ca="1"/>
        <v>SHECY</v>
      </c>
      <c r="H36" s="560">
        <f ca="1"/>
        <v>47286.252471999964</v>
      </c>
      <c r="I36" t="str">
        <f ca="1"/>
        <v>NEE</v>
      </c>
      <c r="J36" s="561">
        <f ca="1"/>
        <v>8.2699999999999994E-4</v>
      </c>
      <c r="K36" s="153" t="str">
        <f ca="1"/>
        <v>NEE</v>
      </c>
      <c r="L36" s="561">
        <f ca="1"/>
        <v>8.2699999999999994E-4</v>
      </c>
      <c r="M36" s="1" t="str">
        <f ca="1"/>
        <v>RWE</v>
      </c>
      <c r="N36" s="560">
        <f ca="1"/>
        <v>767.99999999999977</v>
      </c>
      <c r="O36" t="str">
        <f ca="1"/>
        <v>CVS</v>
      </c>
      <c r="P36" s="560">
        <f ca="1"/>
        <v>430.89176099999986</v>
      </c>
      <c r="Q36" t="str">
        <f ca="1"/>
        <v>UN0</v>
      </c>
      <c r="R36" s="650">
        <f ca="1"/>
        <v>-9.5707142857142952E-4</v>
      </c>
      <c r="S36" t="str">
        <f ca="1"/>
        <v>SAFIAG</v>
      </c>
      <c r="T36" s="87">
        <f ca="1"/>
        <v>0</v>
      </c>
      <c r="U36" t="str">
        <f ca="1"/>
        <v>GS</v>
      </c>
      <c r="V36" s="87">
        <f ca="1"/>
        <v>0</v>
      </c>
      <c r="W36" t="str">
        <f ca="1"/>
        <v>ASML</v>
      </c>
      <c r="X36">
        <f ca="1"/>
        <v>11</v>
      </c>
      <c r="Y36" t="str">
        <f ca="1"/>
        <v>SSYS</v>
      </c>
      <c r="Z36">
        <f ca="1"/>
        <v>9</v>
      </c>
      <c r="AA36" t="str">
        <f ca="1"/>
        <v>SAFMRNA</v>
      </c>
      <c r="AB36">
        <f ca="1"/>
        <v>50</v>
      </c>
      <c r="AC36" t="str">
        <f ca="1"/>
        <v>RIGL</v>
      </c>
      <c r="AD36">
        <f ca="1"/>
        <v>46</v>
      </c>
      <c r="AE36" t="str">
        <f ca="1"/>
        <v>SAFGM</v>
      </c>
      <c r="AF36" s="87">
        <f ca="1"/>
        <v>0</v>
      </c>
      <c r="AG36" t="str">
        <f ca="1"/>
        <v>GM</v>
      </c>
      <c r="AH36" s="87">
        <f ca="1"/>
        <v>224.38999999999993</v>
      </c>
      <c r="AI36" t="str">
        <f ca="1"/>
        <v>BLDP</v>
      </c>
      <c r="AJ36" s="87">
        <f ca="1"/>
        <v>3048.5999999999985</v>
      </c>
      <c r="AK36" s="90" t="str">
        <f ca="1"/>
        <v>UN0</v>
      </c>
      <c r="AL36" s="310">
        <f ca="1"/>
        <v>-9.5707142857142952E-4</v>
      </c>
      <c r="AM36" t="str">
        <f ca="1"/>
        <v>PAAS</v>
      </c>
      <c r="AN36" s="310">
        <f ca="1"/>
        <v>0.31496393470643536</v>
      </c>
      <c r="AO36" t="str">
        <f ca="1"/>
        <v>WBA</v>
      </c>
      <c r="AP36" s="310">
        <f ca="1"/>
        <v>-0.16287545909849746</v>
      </c>
      <c r="AQ36" s="87" t="str">
        <f ca="1"/>
        <v>GM</v>
      </c>
      <c r="AR36" s="90">
        <f ca="1"/>
        <v>0.36901118101082786</v>
      </c>
      <c r="AS36" s="94" t="str">
        <f ca="1"/>
        <v>LUMN</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SAFDIS</v>
      </c>
      <c r="F37" s="559">
        <f ca="1"/>
        <v>0.43204780109496366</v>
      </c>
      <c r="G37" s="153" t="str">
        <f ca="1"/>
        <v>GS</v>
      </c>
      <c r="H37" s="560">
        <f ca="1"/>
        <v>46037.125121400022</v>
      </c>
      <c r="I37" t="str">
        <f ca="1"/>
        <v>SAP</v>
      </c>
      <c r="J37" s="561">
        <f ca="1"/>
        <v>7.3050000000000003E-4</v>
      </c>
      <c r="K37" s="153" t="str">
        <f ca="1"/>
        <v>SAP</v>
      </c>
      <c r="L37" s="561">
        <f ca="1"/>
        <v>7.3050000000000003E-4</v>
      </c>
      <c r="M37" s="1" t="str">
        <f ca="1"/>
        <v>EZJ</v>
      </c>
      <c r="N37" s="560">
        <f ca="1"/>
        <v>337.99999999999955</v>
      </c>
      <c r="O37" t="str">
        <f ca="1"/>
        <v>C</v>
      </c>
      <c r="P37" s="560">
        <f ca="1"/>
        <v>210.82542499999946</v>
      </c>
      <c r="Q37" t="str">
        <f ca="1"/>
        <v>PFE</v>
      </c>
      <c r="R37" s="650">
        <f ca="1"/>
        <v>-2.2535023809523813E-3</v>
      </c>
      <c r="S37" t="str">
        <f ca="1"/>
        <v>F</v>
      </c>
      <c r="T37" s="87">
        <f ca="1"/>
        <v>0</v>
      </c>
      <c r="U37" t="str">
        <f ca="1"/>
        <v>NVS</v>
      </c>
      <c r="V37" s="87">
        <f ca="1"/>
        <v>0</v>
      </c>
      <c r="W37" t="str">
        <f ca="1"/>
        <v>TSM</v>
      </c>
      <c r="X37">
        <f ca="1"/>
        <v>11</v>
      </c>
      <c r="Y37" t="str">
        <f ca="1"/>
        <v>MVESAP</v>
      </c>
      <c r="Z37">
        <f ca="1"/>
        <v>9</v>
      </c>
      <c r="AA37" t="str">
        <f ca="1"/>
        <v>OXY</v>
      </c>
      <c r="AB37">
        <f ca="1"/>
        <v>50</v>
      </c>
      <c r="AC37" t="str">
        <f ca="1"/>
        <v>MVERWE</v>
      </c>
      <c r="AD37">
        <f ca="1"/>
        <v>46</v>
      </c>
      <c r="AE37" t="str">
        <f ca="1"/>
        <v>SAFIAG</v>
      </c>
      <c r="AF37" s="87">
        <f ca="1"/>
        <v>0</v>
      </c>
      <c r="AG37" t="str">
        <f ca="1"/>
        <v>PFE</v>
      </c>
      <c r="AH37" s="87">
        <f ca="1"/>
        <v>119.99999999999886</v>
      </c>
      <c r="AI37" t="str">
        <f ca="1"/>
        <v>TSM</v>
      </c>
      <c r="AJ37" s="87">
        <f ca="1"/>
        <v>2808.0000000000041</v>
      </c>
      <c r="AK37" s="90" t="str">
        <f ca="1"/>
        <v>PFE</v>
      </c>
      <c r="AL37" s="310">
        <f ca="1"/>
        <v>-2.2535023809523813E-3</v>
      </c>
      <c r="AM37" t="str">
        <f ca="1"/>
        <v>AVGO</v>
      </c>
      <c r="AN37" s="310">
        <f ca="1"/>
        <v>0.28454660906899598</v>
      </c>
      <c r="AO37" t="str">
        <f ca="1"/>
        <v>CSCO</v>
      </c>
      <c r="AP37" s="310">
        <f ca="1"/>
        <v>-0.14407298706077143</v>
      </c>
      <c r="AQ37" s="87" t="str">
        <f ca="1"/>
        <v>GS</v>
      </c>
      <c r="AR37" s="90">
        <f ca="1"/>
        <v>0.33953907205360573</v>
      </c>
      <c r="AS37" s="94" t="str">
        <f ca="1"/>
        <v>MRNA</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NOTE</v>
      </c>
      <c r="F38" s="559">
        <f ca="1"/>
        <v>0.41464384557603706</v>
      </c>
      <c r="G38" s="153" t="str">
        <f ca="1"/>
        <v>MVESAP</v>
      </c>
      <c r="H38" s="560">
        <f ca="1"/>
        <v>45890.244856199926</v>
      </c>
      <c r="I38" t="str">
        <f ca="1"/>
        <v>MVESAP</v>
      </c>
      <c r="J38" s="561">
        <f ca="1"/>
        <v>7.3050000000000003E-4</v>
      </c>
      <c r="K38" s="153" t="str">
        <f ca="1"/>
        <v>MVESAP</v>
      </c>
      <c r="L38" s="561">
        <f ca="1"/>
        <v>7.3050000000000003E-4</v>
      </c>
      <c r="M38" s="1" t="str">
        <f ca="1"/>
        <v>X</v>
      </c>
      <c r="N38" s="560">
        <f ca="1"/>
        <v>238.82794000000007</v>
      </c>
      <c r="O38" t="str">
        <f ca="1"/>
        <v>MVEORA</v>
      </c>
      <c r="P38" s="560">
        <f ca="1"/>
        <v>41.890800000000169</v>
      </c>
      <c r="Q38" t="str">
        <f ca="1"/>
        <v>AAPL</v>
      </c>
      <c r="R38" s="650">
        <f ca="1"/>
        <v>-2.2901978571428583E-3</v>
      </c>
      <c r="S38" t="str">
        <f ca="1"/>
        <v>GLE</v>
      </c>
      <c r="T38" s="87">
        <f ca="1"/>
        <v>0</v>
      </c>
      <c r="U38" t="str">
        <f ca="1"/>
        <v>RRC</v>
      </c>
      <c r="V38" s="87">
        <f ca="1"/>
        <v>0</v>
      </c>
      <c r="W38" t="str">
        <f ca="1"/>
        <v>MVEUN0</v>
      </c>
      <c r="X38">
        <f ca="1"/>
        <v>11</v>
      </c>
      <c r="Y38" t="str">
        <f ca="1"/>
        <v>IAG</v>
      </c>
      <c r="Z38">
        <f ca="1"/>
        <v>10</v>
      </c>
      <c r="AA38" t="str">
        <f ca="1"/>
        <v>VLVLY</v>
      </c>
      <c r="AB38">
        <f ca="1"/>
        <v>48</v>
      </c>
      <c r="AC38" t="str">
        <f ca="1"/>
        <v>SAFMRNA</v>
      </c>
      <c r="AD38">
        <f ca="1"/>
        <v>46</v>
      </c>
      <c r="AE38" t="str">
        <f ca="1"/>
        <v>F</v>
      </c>
      <c r="AF38" s="87">
        <f ca="1"/>
        <v>0</v>
      </c>
      <c r="AG38" t="str">
        <f ca="1"/>
        <v>TSLA</v>
      </c>
      <c r="AH38" s="87">
        <f ca="1"/>
        <v>65.600000000000023</v>
      </c>
      <c r="AI38" t="str">
        <f ca="1"/>
        <v>PW</v>
      </c>
      <c r="AJ38" s="87">
        <f ca="1"/>
        <v>2696.6826000000001</v>
      </c>
      <c r="AK38" s="90" t="str">
        <f ca="1"/>
        <v>AAPL</v>
      </c>
      <c r="AL38" s="310">
        <f ca="1"/>
        <v>-2.2901978571428583E-3</v>
      </c>
      <c r="AM38" t="str">
        <f ca="1"/>
        <v>AZN</v>
      </c>
      <c r="AN38" s="310">
        <f ca="1"/>
        <v>0.27320105584192439</v>
      </c>
      <c r="AO38" t="str">
        <f ca="1"/>
        <v>PROF</v>
      </c>
      <c r="AP38" s="310">
        <f ca="1"/>
        <v>-0.13615592654424036</v>
      </c>
      <c r="AQ38" s="87" t="str">
        <f ca="1"/>
        <v>NVS</v>
      </c>
      <c r="AR38" s="90">
        <f ca="1"/>
        <v>0.33366484956984194</v>
      </c>
      <c r="AS38" s="94" t="str">
        <f ca="1"/>
        <v>MSFT</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PAAS</v>
      </c>
      <c r="F39" s="559">
        <f ca="1"/>
        <v>0.41100608779237424</v>
      </c>
      <c r="G39" s="153" t="str">
        <f ca="1"/>
        <v>GLE</v>
      </c>
      <c r="H39" s="560">
        <f ca="1"/>
        <v>43586.110007999989</v>
      </c>
      <c r="I39" t="str">
        <f ca="1"/>
        <v>AET</v>
      </c>
      <c r="J39" s="561">
        <f ca="1"/>
        <v>0</v>
      </c>
      <c r="K39" s="153" t="str">
        <f ca="1"/>
        <v>AET</v>
      </c>
      <c r="L39" s="561">
        <f ca="1"/>
        <v>0</v>
      </c>
      <c r="M39" s="1" t="str">
        <f ca="1"/>
        <v>GM</v>
      </c>
      <c r="N39" s="560">
        <f ca="1"/>
        <v>224.38999999999993</v>
      </c>
      <c r="O39" t="str">
        <f ca="1"/>
        <v>ALDNE</v>
      </c>
      <c r="P39" s="560">
        <f ca="1"/>
        <v>0</v>
      </c>
      <c r="Q39" t="str">
        <f ca="1"/>
        <v>SAFAAPL</v>
      </c>
      <c r="R39" s="650">
        <f ca="1"/>
        <v>-2.2901978571428583E-3</v>
      </c>
      <c r="S39" t="str">
        <f ca="1"/>
        <v>GS</v>
      </c>
      <c r="T39" s="87">
        <f ca="1"/>
        <v>0</v>
      </c>
      <c r="U39" t="str">
        <f ca="1"/>
        <v>X</v>
      </c>
      <c r="V39" s="87">
        <f ca="1"/>
        <v>0</v>
      </c>
      <c r="W39" t="str">
        <f ca="1"/>
        <v>SAFASML</v>
      </c>
      <c r="X39">
        <f ca="1"/>
        <v>11</v>
      </c>
      <c r="Y39" t="str">
        <f ca="1"/>
        <v>MSFT</v>
      </c>
      <c r="Z39">
        <f ca="1"/>
        <v>10</v>
      </c>
      <c r="AA39" t="str">
        <f ca="1"/>
        <v>VTRS</v>
      </c>
      <c r="AB39">
        <f ca="1"/>
        <v>47</v>
      </c>
      <c r="AC39" t="str">
        <f ca="1"/>
        <v>NEE</v>
      </c>
      <c r="AD39">
        <f ca="1"/>
        <v>44</v>
      </c>
      <c r="AE39" t="str">
        <f ca="1"/>
        <v>GLE</v>
      </c>
      <c r="AF39" s="87">
        <f ca="1"/>
        <v>0</v>
      </c>
      <c r="AG39" t="str">
        <f ca="1"/>
        <v>MVEEOAN</v>
      </c>
      <c r="AH39" s="87">
        <f ca="1"/>
        <v>42.400000000000006</v>
      </c>
      <c r="AI39" t="str">
        <f ca="1"/>
        <v>EOAN</v>
      </c>
      <c r="AJ39" s="87">
        <f ca="1"/>
        <v>2624.0000000000009</v>
      </c>
      <c r="AK39" s="90" t="str">
        <f ca="1"/>
        <v>SAFAAPL</v>
      </c>
      <c r="AL39" s="310">
        <f ca="1"/>
        <v>-2.2901978571428583E-3</v>
      </c>
      <c r="AM39" t="str">
        <f ca="1"/>
        <v>AAPL</v>
      </c>
      <c r="AN39" s="310">
        <f ca="1"/>
        <v>0.27290270135909211</v>
      </c>
      <c r="AO39" t="str">
        <f ca="1"/>
        <v>MVEORA</v>
      </c>
      <c r="AP39" s="310">
        <f ca="1"/>
        <v>-0.12343828121563964</v>
      </c>
      <c r="AQ39" s="87" t="str">
        <f ca="1"/>
        <v>JBASML</v>
      </c>
      <c r="AR39" s="90">
        <f ca="1"/>
        <v>0.26216570291160185</v>
      </c>
      <c r="AS39" s="94" t="str">
        <f ca="1"/>
        <v>NEE</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CSCO</v>
      </c>
      <c r="F40" s="559">
        <f ca="1"/>
        <v>0.40983121293491032</v>
      </c>
      <c r="G40" s="153" t="str">
        <f ca="1"/>
        <v>MA</v>
      </c>
      <c r="H40" s="560">
        <f ca="1"/>
        <v>42129.805473399989</v>
      </c>
      <c r="I40" t="str">
        <f ca="1"/>
        <v>EPIX</v>
      </c>
      <c r="J40" s="561">
        <f ca="1"/>
        <v>0</v>
      </c>
      <c r="K40" s="153" t="str">
        <f ca="1"/>
        <v>EPIX</v>
      </c>
      <c r="L40" s="561">
        <f ca="1"/>
        <v>0</v>
      </c>
      <c r="M40" s="1" t="str">
        <f ca="1"/>
        <v>PFE</v>
      </c>
      <c r="N40" s="560">
        <f ca="1"/>
        <v>119.99999999999886</v>
      </c>
      <c r="O40" t="str">
        <f ca="1"/>
        <v>BMRA</v>
      </c>
      <c r="P40" s="560">
        <f ca="1"/>
        <v>0</v>
      </c>
      <c r="Q40" t="str">
        <f ca="1"/>
        <v>THC</v>
      </c>
      <c r="R40" s="650">
        <f ca="1"/>
        <v>-2.5352904761904741E-3</v>
      </c>
      <c r="S40" t="str">
        <f ca="1"/>
        <v>NVS</v>
      </c>
      <c r="T40" s="87">
        <f ca="1"/>
        <v>0</v>
      </c>
      <c r="U40" t="str">
        <f ca="1"/>
        <v>NEE</v>
      </c>
      <c r="V40" s="87">
        <f ca="1"/>
        <v>-1.1500000000000057</v>
      </c>
      <c r="W40" t="str">
        <f ca="1"/>
        <v>JBASML</v>
      </c>
      <c r="X40">
        <f ca="1"/>
        <v>11</v>
      </c>
      <c r="Y40" t="str">
        <f ca="1"/>
        <v>SHECY</v>
      </c>
      <c r="Z40">
        <f ca="1"/>
        <v>10</v>
      </c>
      <c r="AA40" t="str">
        <f ca="1"/>
        <v>LUV</v>
      </c>
      <c r="AB40">
        <f ca="1"/>
        <v>47</v>
      </c>
      <c r="AC40" t="str">
        <f ca="1"/>
        <v>POET</v>
      </c>
      <c r="AD40">
        <f ca="1"/>
        <v>44</v>
      </c>
      <c r="AE40" t="str">
        <f ca="1"/>
        <v>GS</v>
      </c>
      <c r="AF40" s="87">
        <f ca="1"/>
        <v>0</v>
      </c>
      <c r="AG40" t="str">
        <f ca="1"/>
        <v>ORA</v>
      </c>
      <c r="AH40" s="87">
        <f ca="1"/>
        <v>42.000000000000171</v>
      </c>
      <c r="AI40" t="str">
        <f ca="1"/>
        <v>JBEOAN</v>
      </c>
      <c r="AJ40" s="87">
        <f ca="1"/>
        <v>2460.0000000000009</v>
      </c>
      <c r="AK40" s="90" t="str">
        <f ca="1"/>
        <v>THC</v>
      </c>
      <c r="AL40" s="310">
        <f ca="1"/>
        <v>-2.5352904761904741E-3</v>
      </c>
      <c r="AM40" t="str">
        <f ca="1"/>
        <v>RIG</v>
      </c>
      <c r="AN40" s="310">
        <f ca="1"/>
        <v>0.2422920943036633</v>
      </c>
      <c r="AO40" t="str">
        <f ca="1"/>
        <v>VTRS</v>
      </c>
      <c r="AP40" s="310">
        <f ca="1"/>
        <v>-0.1054923660502607</v>
      </c>
      <c r="AQ40" s="87" t="str">
        <f ca="1"/>
        <v>TSLA</v>
      </c>
      <c r="AR40" s="90">
        <f ca="1"/>
        <v>0.25063997249073483</v>
      </c>
      <c r="AS40" s="94" t="str">
        <f ca="1"/>
        <v>NEM</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XPER</v>
      </c>
      <c r="F41" s="559">
        <f ca="1"/>
        <v>0.4082525686653613</v>
      </c>
      <c r="G41" s="153" t="str">
        <f ca="1"/>
        <v>C</v>
      </c>
      <c r="H41" s="560">
        <f ca="1"/>
        <v>40414.930749000006</v>
      </c>
      <c r="I41" t="str">
        <f ca="1"/>
        <v>WBA</v>
      </c>
      <c r="J41" s="561">
        <f ca="1"/>
        <v>0</v>
      </c>
      <c r="K41" s="153" t="str">
        <f ca="1"/>
        <v>WBA</v>
      </c>
      <c r="L41" s="561">
        <f ca="1"/>
        <v>0</v>
      </c>
      <c r="M41" s="1" t="str">
        <f ca="1"/>
        <v>TSLA</v>
      </c>
      <c r="N41" s="560">
        <f ca="1"/>
        <v>65.600000000000023</v>
      </c>
      <c r="O41" t="str">
        <f ca="1"/>
        <v>NOTE</v>
      </c>
      <c r="P41" s="560">
        <f ca="1"/>
        <v>0</v>
      </c>
      <c r="Q41" t="str">
        <f ca="1"/>
        <v>F</v>
      </c>
      <c r="R41" s="650">
        <f ca="1"/>
        <v>-2.7856428571428546E-3</v>
      </c>
      <c r="S41" t="str">
        <f ca="1"/>
        <v>RRC</v>
      </c>
      <c r="T41" s="87">
        <f ca="1"/>
        <v>0</v>
      </c>
      <c r="U41" t="str">
        <f ca="1"/>
        <v>MVERWE</v>
      </c>
      <c r="V41" s="87">
        <f ca="1"/>
        <v>-1.5600000000000023</v>
      </c>
      <c r="W41" t="str">
        <f ca="1"/>
        <v>AMZN</v>
      </c>
      <c r="X41">
        <f ca="1"/>
        <v>12</v>
      </c>
      <c r="Y41" t="str">
        <f ca="1"/>
        <v>BLNK</v>
      </c>
      <c r="Z41">
        <f ca="1"/>
        <v>10</v>
      </c>
      <c r="AA41" t="str">
        <f ca="1"/>
        <v>MSFT</v>
      </c>
      <c r="AB41">
        <f ca="1"/>
        <v>46</v>
      </c>
      <c r="AC41" t="str">
        <f ca="1"/>
        <v>ADEA</v>
      </c>
      <c r="AD41">
        <f ca="1"/>
        <v>42</v>
      </c>
      <c r="AE41" t="str">
        <f ca="1"/>
        <v>LUV</v>
      </c>
      <c r="AF41" s="87">
        <f ca="1"/>
        <v>0</v>
      </c>
      <c r="AG41" t="str">
        <f ca="1"/>
        <v>XOM</v>
      </c>
      <c r="AH41" s="87">
        <f ca="1"/>
        <v>27.000000000001023</v>
      </c>
      <c r="AI41" t="str">
        <f ca="1"/>
        <v>LUV</v>
      </c>
      <c r="AJ41" s="87">
        <f ca="1"/>
        <v>2191.8299999999958</v>
      </c>
      <c r="AK41" s="90" t="str">
        <f ca="1"/>
        <v>F</v>
      </c>
      <c r="AL41" s="310">
        <f ca="1"/>
        <v>-2.7856428571428546E-3</v>
      </c>
      <c r="AM41" t="str">
        <f ca="1"/>
        <v>JBASML</v>
      </c>
      <c r="AN41" s="310">
        <f ca="1"/>
        <v>0.22444049520546053</v>
      </c>
      <c r="AO41" t="str">
        <f ca="1"/>
        <v>RRC</v>
      </c>
      <c r="AP41" s="310">
        <f ca="1"/>
        <v>-8.4903262955854153E-2</v>
      </c>
      <c r="AQ41" s="87" t="str">
        <f ca="1"/>
        <v>WBA</v>
      </c>
      <c r="AR41" s="90">
        <f ca="1"/>
        <v>0.2402518008040925</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TSM</v>
      </c>
      <c r="F42" s="559">
        <f ca="1"/>
        <v>0.40744502227916013</v>
      </c>
      <c r="G42" s="153" t="str">
        <f ca="1"/>
        <v>MVERWE</v>
      </c>
      <c r="H42" s="560">
        <f ca="1"/>
        <v>37656.295665999984</v>
      </c>
      <c r="I42" t="str">
        <f ca="1"/>
        <v>MVEEPIX</v>
      </c>
      <c r="J42" s="561">
        <f ca="1"/>
        <v>0</v>
      </c>
      <c r="K42" s="153" t="str">
        <f ca="1"/>
        <v>MVEEPIX</v>
      </c>
      <c r="L42" s="561">
        <f ca="1"/>
        <v>0</v>
      </c>
      <c r="M42" s="1" t="str">
        <f ca="1"/>
        <v>C</v>
      </c>
      <c r="N42" s="560">
        <f ca="1"/>
        <v>51.249999999998792</v>
      </c>
      <c r="O42" t="str">
        <f ca="1"/>
        <v>UNIT</v>
      </c>
      <c r="P42" s="560">
        <f ca="1"/>
        <v>0</v>
      </c>
      <c r="Q42" t="str">
        <f ca="1"/>
        <v>TSLA</v>
      </c>
      <c r="R42" s="650">
        <f ca="1"/>
        <v>-2.7973708333333324E-3</v>
      </c>
      <c r="S42" t="str">
        <f ca="1"/>
        <v>MVEEOAN</v>
      </c>
      <c r="T42" s="87">
        <f ca="1"/>
        <v>-0.15000000000000568</v>
      </c>
      <c r="U42" t="str">
        <f ca="1"/>
        <v>CVS</v>
      </c>
      <c r="V42" s="87">
        <f ca="1"/>
        <v>-2.0550000000000068</v>
      </c>
      <c r="W42" t="str">
        <f ca="1"/>
        <v>IAG</v>
      </c>
      <c r="X42">
        <f ca="1"/>
        <v>12</v>
      </c>
      <c r="Y42" t="str">
        <f ca="1"/>
        <v>XYZ</v>
      </c>
      <c r="Z42">
        <f ca="1"/>
        <v>10</v>
      </c>
      <c r="AA42" t="str">
        <f ca="1"/>
        <v>GS</v>
      </c>
      <c r="AB42">
        <f ca="1"/>
        <v>46</v>
      </c>
      <c r="AC42" t="str">
        <f ca="1"/>
        <v>ASML</v>
      </c>
      <c r="AD42">
        <f ca="1"/>
        <v>42</v>
      </c>
      <c r="AE42" t="str">
        <f ca="1"/>
        <v>MA</v>
      </c>
      <c r="AF42" s="87">
        <f ca="1"/>
        <v>0</v>
      </c>
      <c r="AG42" t="str">
        <f ca="1"/>
        <v>LUMN</v>
      </c>
      <c r="AH42" s="87">
        <f ca="1"/>
        <v>24.466999999999999</v>
      </c>
      <c r="AI42" t="str">
        <f ca="1"/>
        <v>IAG</v>
      </c>
      <c r="AJ42" s="87">
        <f ca="1"/>
        <v>2159.9999999999964</v>
      </c>
      <c r="AK42" s="90" t="str">
        <f ca="1"/>
        <v>TSLA</v>
      </c>
      <c r="AL42" s="310">
        <f ca="1"/>
        <v>-2.7973708333333324E-3</v>
      </c>
      <c r="AM42" t="str">
        <f ca="1"/>
        <v>MVEENI</v>
      </c>
      <c r="AN42" s="310">
        <f ca="1"/>
        <v>0.2071877373782339</v>
      </c>
      <c r="AO42" t="str">
        <f ca="1"/>
        <v>ENI</v>
      </c>
      <c r="AP42" s="310">
        <f ca="1"/>
        <v>-8.4449869063422611E-2</v>
      </c>
      <c r="AQ42" s="87" t="str">
        <f ca="1"/>
        <v>LOCK</v>
      </c>
      <c r="AR42" s="90">
        <f ca="1"/>
        <v>0.23415589226183134</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NEE</v>
      </c>
      <c r="F43" s="559">
        <f ca="1"/>
        <v>0.3830959332564437</v>
      </c>
      <c r="G43" s="153" t="str">
        <f ca="1"/>
        <v>ENI</v>
      </c>
      <c r="H43" s="560">
        <f ca="1"/>
        <v>37571.013993600092</v>
      </c>
      <c r="I43" t="str">
        <f ca="1"/>
        <v>X</v>
      </c>
      <c r="J43" s="561">
        <f ca="1"/>
        <v>0</v>
      </c>
      <c r="K43" s="153" t="str">
        <f ca="1"/>
        <v>X</v>
      </c>
      <c r="L43" s="561">
        <f ca="1"/>
        <v>0</v>
      </c>
      <c r="M43" s="1" t="str">
        <f ca="1"/>
        <v>MVEEOAN</v>
      </c>
      <c r="N43" s="560">
        <f ca="1"/>
        <v>42.400000000000006</v>
      </c>
      <c r="O43" t="str">
        <f ca="1"/>
        <v>MVEALDNE</v>
      </c>
      <c r="P43" s="560">
        <f ca="1"/>
        <v>0</v>
      </c>
      <c r="Q43" t="str">
        <f ca="1"/>
        <v>MA</v>
      </c>
      <c r="R43" s="650">
        <f ca="1"/>
        <v>-2.8205869047619051E-3</v>
      </c>
      <c r="S43" t="str">
        <f ca="1"/>
        <v>NEE</v>
      </c>
      <c r="T43" s="87">
        <f ca="1"/>
        <v>-0.43000000000000682</v>
      </c>
      <c r="U43" t="str">
        <f ca="1"/>
        <v>MVEEOAN</v>
      </c>
      <c r="V43" s="87">
        <f ca="1"/>
        <v>-2.4000000000000057</v>
      </c>
      <c r="W43" t="str">
        <f ca="1"/>
        <v>LNSR</v>
      </c>
      <c r="X43">
        <f ca="1"/>
        <v>12</v>
      </c>
      <c r="Y43" t="str">
        <f ca="1"/>
        <v>AET</v>
      </c>
      <c r="Z43">
        <f ca="1"/>
        <v>11</v>
      </c>
      <c r="AA43" t="str">
        <f ca="1"/>
        <v>MA</v>
      </c>
      <c r="AB43">
        <f ca="1"/>
        <v>46</v>
      </c>
      <c r="AC43" t="str">
        <f ca="1"/>
        <v>SAFASML</v>
      </c>
      <c r="AD43">
        <f ca="1"/>
        <v>42</v>
      </c>
      <c r="AE43" t="str">
        <f ca="1"/>
        <v>NVAX</v>
      </c>
      <c r="AF43" s="87">
        <f ca="1"/>
        <v>0</v>
      </c>
      <c r="AG43" t="str">
        <f ca="1"/>
        <v>CVS</v>
      </c>
      <c r="AH43" s="87">
        <f ca="1"/>
        <v>20.363810000000001</v>
      </c>
      <c r="AI43" t="str">
        <f ca="1"/>
        <v>SHECY</v>
      </c>
      <c r="AJ43" s="87">
        <f ca="1"/>
        <v>1469.7159999999999</v>
      </c>
      <c r="AK43" s="90" t="str">
        <f ca="1"/>
        <v>MA</v>
      </c>
      <c r="AL43" s="310">
        <f ca="1"/>
        <v>-2.8205869047619051E-3</v>
      </c>
      <c r="AM43" t="str">
        <f ca="1"/>
        <v>THC</v>
      </c>
      <c r="AN43" s="310">
        <f ca="1"/>
        <v>0.20571054393745716</v>
      </c>
      <c r="AO43" t="str">
        <f ca="1"/>
        <v>AMZN</v>
      </c>
      <c r="AP43" s="310">
        <f ca="1"/>
        <v>-8.4086897667983745E-2</v>
      </c>
      <c r="AQ43" s="87" t="str">
        <f ca="1"/>
        <v>EZJ</v>
      </c>
      <c r="AR43" s="90">
        <f ca="1"/>
        <v>0.14511691609469646</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XOM</v>
      </c>
      <c r="F44" s="559">
        <f ca="1"/>
        <v>0.38161593020093482</v>
      </c>
      <c r="G44" s="153" t="str">
        <f ca="1"/>
        <v>RWE</v>
      </c>
      <c r="H44" s="560">
        <f ca="1"/>
        <v>36402.914316499919</v>
      </c>
      <c r="I44" t="str">
        <f ca="1"/>
        <v>F</v>
      </c>
      <c r="J44" s="561">
        <f ca="1"/>
        <v>-1.92E-3</v>
      </c>
      <c r="K44" s="153" t="str">
        <f ca="1"/>
        <v>F</v>
      </c>
      <c r="L44" s="561">
        <f ca="1"/>
        <v>-1.92E-3</v>
      </c>
      <c r="M44" s="1" t="str">
        <f ca="1"/>
        <v>ORA</v>
      </c>
      <c r="N44" s="560">
        <f ca="1"/>
        <v>42.000000000000171</v>
      </c>
      <c r="O44" t="str">
        <f ca="1"/>
        <v>MVEEPIX</v>
      </c>
      <c r="P44" s="560">
        <f ca="1"/>
        <v>0</v>
      </c>
      <c r="Q44" t="str">
        <f ca="1"/>
        <v>TSM</v>
      </c>
      <c r="R44" s="650">
        <f ca="1"/>
        <v>-3.1775000000000006E-3</v>
      </c>
      <c r="S44" t="str">
        <f ca="1"/>
        <v>MVERWE</v>
      </c>
      <c r="T44" s="87">
        <f ca="1"/>
        <v>-1.230000000000004</v>
      </c>
      <c r="U44" t="str">
        <f ca="1"/>
        <v>LUMN</v>
      </c>
      <c r="V44" s="87">
        <f ca="1"/>
        <v>-4.2000000000000313</v>
      </c>
      <c r="W44" t="str">
        <f ca="1"/>
        <v>SAFAMZN</v>
      </c>
      <c r="X44">
        <f ca="1"/>
        <v>12</v>
      </c>
      <c r="Y44" t="str">
        <f ca="1"/>
        <v>AMZN</v>
      </c>
      <c r="Z44">
        <f ca="1"/>
        <v>11</v>
      </c>
      <c r="AA44" t="str">
        <f ca="1"/>
        <v>DDD</v>
      </c>
      <c r="AB44">
        <f ca="1"/>
        <v>45</v>
      </c>
      <c r="AC44" t="str">
        <f ca="1"/>
        <v>BLNK</v>
      </c>
      <c r="AD44">
        <f ca="1"/>
        <v>42</v>
      </c>
      <c r="AE44" t="str">
        <f ca="1"/>
        <v>NVS</v>
      </c>
      <c r="AF44" s="87">
        <f ca="1"/>
        <v>0</v>
      </c>
      <c r="AG44" t="str">
        <f ca="1"/>
        <v>NEE</v>
      </c>
      <c r="AH44" s="87">
        <f ca="1"/>
        <v>13.70955699999999</v>
      </c>
      <c r="AI44" t="str">
        <f ca="1"/>
        <v>AET</v>
      </c>
      <c r="AJ44" s="87">
        <f ca="1"/>
        <v>1401.9999999999998</v>
      </c>
      <c r="AK44" s="90" t="str">
        <f ca="1"/>
        <v>TSM</v>
      </c>
      <c r="AL44" s="310">
        <f ca="1"/>
        <v>-3.1775000000000006E-3</v>
      </c>
      <c r="AM44" t="str">
        <f ca="1"/>
        <v>TSLA</v>
      </c>
      <c r="AN44" s="310">
        <f ca="1"/>
        <v>0.19443535110397916</v>
      </c>
      <c r="AO44" t="str">
        <f ca="1"/>
        <v>F</v>
      </c>
      <c r="AP44" s="310">
        <f ca="1"/>
        <v>-7.7628857252789521E-2</v>
      </c>
      <c r="AQ44" s="87" t="str">
        <f ca="1"/>
        <v>DDD</v>
      </c>
      <c r="AR44" s="90">
        <f ca="1"/>
        <v>0.13392119041058143</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KR</v>
      </c>
      <c r="F45" s="559">
        <f ca="1"/>
        <v>0.37935129172396009</v>
      </c>
      <c r="G45" s="153" t="str">
        <f ca="1"/>
        <v>RIG</v>
      </c>
      <c r="H45" s="560">
        <f ca="1"/>
        <v>33207.949260000023</v>
      </c>
      <c r="I45" t="str">
        <f ca="1"/>
        <v>XYZ</v>
      </c>
      <c r="J45" s="561">
        <f ca="1"/>
        <v>-2.516E-3</v>
      </c>
      <c r="K45" s="153" t="str">
        <f ca="1"/>
        <v>XYZ</v>
      </c>
      <c r="L45" s="561">
        <f ca="1"/>
        <v>-2.516E-3</v>
      </c>
      <c r="M45" s="1" t="str">
        <f ca="1"/>
        <v>LUMN</v>
      </c>
      <c r="N45" s="560">
        <f ca="1"/>
        <v>24.466999999999999</v>
      </c>
      <c r="O45" t="str">
        <f ca="1"/>
        <v>LAZR</v>
      </c>
      <c r="P45" s="560">
        <f ca="1"/>
        <v>0</v>
      </c>
      <c r="Q45" t="str">
        <f ca="1"/>
        <v>MVEUN0</v>
      </c>
      <c r="R45" s="650">
        <f ca="1"/>
        <v>-3.1775000000000006E-3</v>
      </c>
      <c r="S45" t="str">
        <f ca="1"/>
        <v>CVS</v>
      </c>
      <c r="T45" s="87">
        <f ca="1"/>
        <v>-1.4849999999999994</v>
      </c>
      <c r="U45" t="str">
        <f ca="1"/>
        <v>GM</v>
      </c>
      <c r="V45" s="87">
        <f ca="1"/>
        <v>-6.8499999999999091</v>
      </c>
      <c r="W45" t="str">
        <f ca="1"/>
        <v>VONN</v>
      </c>
      <c r="X45">
        <f ca="1"/>
        <v>13</v>
      </c>
      <c r="Y45" t="str">
        <f ca="1"/>
        <v>LNSR</v>
      </c>
      <c r="Z45">
        <f ca="1"/>
        <v>11</v>
      </c>
      <c r="AA45" t="str">
        <f ca="1"/>
        <v>SAFDIS</v>
      </c>
      <c r="AB45">
        <f ca="1"/>
        <v>45</v>
      </c>
      <c r="AC45" t="str">
        <f ca="1"/>
        <v>JBASML</v>
      </c>
      <c r="AD45">
        <f ca="1"/>
        <v>42</v>
      </c>
      <c r="AE45" t="str">
        <f ca="1"/>
        <v>ORA</v>
      </c>
      <c r="AF45" s="87">
        <f ca="1"/>
        <v>0</v>
      </c>
      <c r="AG45" t="str">
        <f ca="1"/>
        <v>MVERWE</v>
      </c>
      <c r="AH45" s="87">
        <f ca="1"/>
        <v>10.634999999999998</v>
      </c>
      <c r="AI45" t="str">
        <f ca="1"/>
        <v>VLVLY</v>
      </c>
      <c r="AJ45" s="87">
        <f ca="1"/>
        <v>1037.4999999999995</v>
      </c>
      <c r="AK45" s="90" t="str">
        <f ca="1"/>
        <v>MVEUN0</v>
      </c>
      <c r="AL45" s="310">
        <f ca="1"/>
        <v>-3.1775000000000006E-3</v>
      </c>
      <c r="AM45" t="str">
        <f ca="1"/>
        <v>NEE</v>
      </c>
      <c r="AN45" s="310">
        <f ca="1"/>
        <v>0.19258911034963525</v>
      </c>
      <c r="AO45" t="str">
        <f ca="1"/>
        <v>SAFAMZN</v>
      </c>
      <c r="AP45" s="310">
        <f ca="1"/>
        <v>-7.7117817905616198E-2</v>
      </c>
      <c r="AQ45" s="87" t="str">
        <f ca="1"/>
        <v>SAFDDD</v>
      </c>
      <c r="AR45" s="90">
        <f ca="1"/>
        <v>0.1139395923712858</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MA</v>
      </c>
      <c r="F46" s="559">
        <f ca="1"/>
        <v>0.37491543836259045</v>
      </c>
      <c r="G46" s="153" t="str">
        <f ca="1"/>
        <v>ADEA</v>
      </c>
      <c r="H46" s="560">
        <f ca="1"/>
        <v>31479.796828953207</v>
      </c>
      <c r="I46" t="str">
        <f ca="1"/>
        <v>EOAN</v>
      </c>
      <c r="J46" s="561">
        <f ca="1"/>
        <v>-2.6079999999999996E-3</v>
      </c>
      <c r="K46" s="153" t="str">
        <f ca="1"/>
        <v>EOAN</v>
      </c>
      <c r="L46" s="561">
        <f ca="1"/>
        <v>-2.6079999999999996E-3</v>
      </c>
      <c r="M46" s="1" t="str">
        <f ca="1"/>
        <v>CVS</v>
      </c>
      <c r="N46" s="560">
        <f ca="1"/>
        <v>20.363810000000001</v>
      </c>
      <c r="O46" t="str">
        <f ca="1"/>
        <v>LOCK</v>
      </c>
      <c r="P46" s="560">
        <f ca="1"/>
        <v>0</v>
      </c>
      <c r="Q46" t="str">
        <f ca="1"/>
        <v>VONN</v>
      </c>
      <c r="R46" s="650">
        <f ca="1"/>
        <v>-3.4806011904761898E-3</v>
      </c>
      <c r="S46" t="str">
        <f ca="1"/>
        <v>LUMN</v>
      </c>
      <c r="T46" s="87">
        <f ca="1"/>
        <v>-2.1500000000000199</v>
      </c>
      <c r="U46" t="str">
        <f ca="1"/>
        <v>TSLA</v>
      </c>
      <c r="V46" s="87">
        <f ca="1"/>
        <v>-14.097999999999956</v>
      </c>
      <c r="W46" t="str">
        <f ca="1"/>
        <v>LUV</v>
      </c>
      <c r="X46">
        <f ca="1"/>
        <v>14</v>
      </c>
      <c r="Y46" t="str">
        <f ca="1"/>
        <v>NOTE</v>
      </c>
      <c r="Z46">
        <f ca="1"/>
        <v>11</v>
      </c>
      <c r="AA46" t="str">
        <f ca="1"/>
        <v>NEE</v>
      </c>
      <c r="AB46">
        <f ca="1"/>
        <v>44</v>
      </c>
      <c r="AC46" t="str">
        <f ca="1"/>
        <v>AET</v>
      </c>
      <c r="AD46">
        <f ca="1"/>
        <v>40</v>
      </c>
      <c r="AE46" t="str">
        <f ca="1"/>
        <v>PFE</v>
      </c>
      <c r="AF46" s="87">
        <f ca="1"/>
        <v>0</v>
      </c>
      <c r="AG46" t="str">
        <f ca="1"/>
        <v>VLVLY</v>
      </c>
      <c r="AH46" s="87">
        <f ca="1"/>
        <v>7.4999999999985079</v>
      </c>
      <c r="AI46" t="str">
        <f ca="1"/>
        <v>VONN</v>
      </c>
      <c r="AJ46" s="87">
        <f ca="1"/>
        <v>959.99999999999659</v>
      </c>
      <c r="AK46" s="90" t="str">
        <f ca="1"/>
        <v>VONN</v>
      </c>
      <c r="AL46" s="310">
        <f ca="1"/>
        <v>-3.4806011904761898E-3</v>
      </c>
      <c r="AM46" t="str">
        <f ca="1"/>
        <v>WBA</v>
      </c>
      <c r="AN46" s="310">
        <f ca="1"/>
        <v>0.19037045497470151</v>
      </c>
      <c r="AO46" t="str">
        <f ca="1"/>
        <v>VLVLY</v>
      </c>
      <c r="AP46" s="310">
        <f ca="1"/>
        <v>-7.1516264952687023E-2</v>
      </c>
      <c r="AQ46" s="87" t="str">
        <f ca="1"/>
        <v>AMZN</v>
      </c>
      <c r="AR46" s="90">
        <f ca="1"/>
        <v>9.3789161261954149E-2</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MSFT</v>
      </c>
      <c r="F47" s="559">
        <f ca="1"/>
        <v>0.3615117522740065</v>
      </c>
      <c r="G47" s="153" t="str">
        <f ca="1"/>
        <v>DVA</v>
      </c>
      <c r="H47" s="560">
        <f ca="1"/>
        <v>31066.599293999956</v>
      </c>
      <c r="I47" t="str">
        <f ca="1"/>
        <v>MVEEOAN</v>
      </c>
      <c r="J47" s="561">
        <f ca="1"/>
        <v>-2.6079999999999996E-3</v>
      </c>
      <c r="K47" s="153" t="str">
        <f ca="1"/>
        <v>MVEEOAN</v>
      </c>
      <c r="L47" s="561">
        <f ca="1"/>
        <v>-2.6079999999999996E-3</v>
      </c>
      <c r="M47" s="1" t="str">
        <f ca="1"/>
        <v>NEE</v>
      </c>
      <c r="N47" s="560">
        <f ca="1"/>
        <v>13.70955699999999</v>
      </c>
      <c r="O47" t="str">
        <f ca="1"/>
        <v>AAPL</v>
      </c>
      <c r="P47" s="560">
        <f ca="1"/>
        <v>-4.9870000000238122</v>
      </c>
      <c r="Q47" t="str">
        <f ca="1"/>
        <v>LOCK</v>
      </c>
      <c r="R47" s="650">
        <f ca="1"/>
        <v>-3.5229261904761913E-3</v>
      </c>
      <c r="S47" t="str">
        <f ca="1"/>
        <v>TSLA</v>
      </c>
      <c r="T47" s="87">
        <f ca="1"/>
        <v>-3.8899999999999864</v>
      </c>
      <c r="U47" t="str">
        <f ca="1"/>
        <v>RWE</v>
      </c>
      <c r="V47" s="87">
        <f ca="1"/>
        <v>-78</v>
      </c>
      <c r="W47" t="str">
        <f ca="1"/>
        <v>NVS</v>
      </c>
      <c r="X47">
        <f ca="1"/>
        <v>14</v>
      </c>
      <c r="Y47" t="str">
        <f ca="1"/>
        <v>PROF</v>
      </c>
      <c r="Z47">
        <f ca="1"/>
        <v>11</v>
      </c>
      <c r="AA47" t="str">
        <f ca="1"/>
        <v>PAAS</v>
      </c>
      <c r="AB47">
        <f ca="1"/>
        <v>44</v>
      </c>
      <c r="AC47" t="str">
        <f ca="1"/>
        <v>GM</v>
      </c>
      <c r="AD47">
        <f ca="1"/>
        <v>40</v>
      </c>
      <c r="AE47" t="str">
        <f ca="1"/>
        <v>RRC</v>
      </c>
      <c r="AF47" s="87">
        <f ca="1"/>
        <v>0</v>
      </c>
      <c r="AG47" t="str">
        <f ca="1"/>
        <v>LNSR</v>
      </c>
      <c r="AH47" s="87">
        <f ca="1"/>
        <v>0</v>
      </c>
      <c r="AI47" t="str">
        <f ca="1"/>
        <v>PAAS</v>
      </c>
      <c r="AJ47" s="87">
        <f ca="1"/>
        <v>725.99999999999909</v>
      </c>
      <c r="AK47" s="90" t="str">
        <f ca="1"/>
        <v>LOCK</v>
      </c>
      <c r="AL47" s="310">
        <f ca="1"/>
        <v>-3.5229261904761913E-3</v>
      </c>
      <c r="AM47" t="str">
        <f ca="1"/>
        <v>CSCO</v>
      </c>
      <c r="AN47" s="310">
        <f ca="1"/>
        <v>0.1643572714285714</v>
      </c>
      <c r="AO47" t="str">
        <f ca="1"/>
        <v>JBEOAN</v>
      </c>
      <c r="AP47" s="310">
        <f ca="1"/>
        <v>-5.7945350140056091E-2</v>
      </c>
      <c r="AQ47" s="87" t="str">
        <f ca="1"/>
        <v>SAFAMZN</v>
      </c>
      <c r="AR47" s="90">
        <f ca="1"/>
        <v>8.3170687307493329E-2</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OXY</v>
      </c>
      <c r="F48" s="559">
        <f ca="1"/>
        <v>0.35175595594262754</v>
      </c>
      <c r="G48" s="153" t="str">
        <f ca="1"/>
        <v>EZJ</v>
      </c>
      <c r="H48" s="560">
        <f ca="1"/>
        <v>30038.293447800024</v>
      </c>
      <c r="I48" t="str">
        <f ca="1"/>
        <v>JBEOAN</v>
      </c>
      <c r="J48" s="561">
        <f ca="1"/>
        <v>-2.6079999999999996E-3</v>
      </c>
      <c r="K48" s="153" t="str">
        <f ca="1"/>
        <v>JBEOAN</v>
      </c>
      <c r="L48" s="561">
        <f ca="1"/>
        <v>-2.6079999999999996E-3</v>
      </c>
      <c r="M48" s="1" t="str">
        <f ca="1"/>
        <v>MVERWE</v>
      </c>
      <c r="N48" s="560">
        <f ca="1"/>
        <v>10.634999999999998</v>
      </c>
      <c r="O48" t="str">
        <f ca="1"/>
        <v>ASML</v>
      </c>
      <c r="P48" s="560">
        <f ca="1"/>
        <v>-9.9740000000022668</v>
      </c>
      <c r="Q48" t="str">
        <f ca="1"/>
        <v>CSCO</v>
      </c>
      <c r="R48" s="650">
        <f ca="1"/>
        <v>-4.3288309523809524E-3</v>
      </c>
      <c r="S48" t="str">
        <f ca="1"/>
        <v>KR</v>
      </c>
      <c r="T48" s="87">
        <f ca="1"/>
        <v>-60</v>
      </c>
      <c r="U48" t="str">
        <f ca="1"/>
        <v>AZN</v>
      </c>
      <c r="V48" s="87">
        <f ca="1"/>
        <v>-159.94999999999709</v>
      </c>
      <c r="W48" t="str">
        <f ca="1"/>
        <v>MVEORA</v>
      </c>
      <c r="X48">
        <f ca="1"/>
        <v>16</v>
      </c>
      <c r="Y48" t="str">
        <f ca="1"/>
        <v>POET</v>
      </c>
      <c r="Z48">
        <f ca="1"/>
        <v>11</v>
      </c>
      <c r="AA48" t="str">
        <f ca="1"/>
        <v>RIGL</v>
      </c>
      <c r="AB48">
        <f ca="1"/>
        <v>44</v>
      </c>
      <c r="AC48" t="str">
        <f ca="1"/>
        <v>DXC</v>
      </c>
      <c r="AD48">
        <f ca="1"/>
        <v>38</v>
      </c>
      <c r="AE48" t="str">
        <f ca="1"/>
        <v>THC</v>
      </c>
      <c r="AF48" s="87">
        <f ca="1"/>
        <v>0</v>
      </c>
      <c r="AG48" t="str">
        <f ca="1"/>
        <v>SAFGM</v>
      </c>
      <c r="AH48" s="87">
        <f ca="1"/>
        <v>0</v>
      </c>
      <c r="AI48" t="str">
        <f ca="1"/>
        <v>SAFAMZN</v>
      </c>
      <c r="AJ48" s="87">
        <f ca="1"/>
        <v>234.00000000000887</v>
      </c>
      <c r="AK48" s="90" t="str">
        <f ca="1"/>
        <v>CSCO</v>
      </c>
      <c r="AL48" s="310">
        <f ca="1"/>
        <v>-4.3288309523809524E-3</v>
      </c>
      <c r="AM48" t="str">
        <f ca="1"/>
        <v>PROF</v>
      </c>
      <c r="AN48" s="310">
        <f ca="1"/>
        <v>0.15374181117533714</v>
      </c>
      <c r="AO48" t="str">
        <f ca="1"/>
        <v>XOM</v>
      </c>
      <c r="AP48" s="310">
        <f ca="1"/>
        <v>-4.2147542098996356E-2</v>
      </c>
      <c r="AQ48" s="87" t="str">
        <f ca="1"/>
        <v>RRC</v>
      </c>
      <c r="AR48" s="90">
        <f ca="1"/>
        <v>6.903916890842382E-2</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THC</v>
      </c>
      <c r="F49" s="559">
        <f ca="1"/>
        <v>0.33936913170887295</v>
      </c>
      <c r="G49" s="153" t="str">
        <f ca="1"/>
        <v>SAFDIS</v>
      </c>
      <c r="H49" s="560">
        <f ca="1"/>
        <v>29009.982311999978</v>
      </c>
      <c r="I49" t="str">
        <f ca="1"/>
        <v>MA</v>
      </c>
      <c r="J49" s="561">
        <f ca="1"/>
        <v>-2.8379999999999998E-3</v>
      </c>
      <c r="K49" s="153" t="str">
        <f ca="1"/>
        <v>MA</v>
      </c>
      <c r="L49" s="561">
        <f ca="1"/>
        <v>-2.8379999999999998E-3</v>
      </c>
      <c r="M49" s="1" t="str">
        <f ca="1"/>
        <v>LNSR</v>
      </c>
      <c r="N49" s="560">
        <f ca="1"/>
        <v>0</v>
      </c>
      <c r="O49" t="str">
        <f ca="1"/>
        <v>AMZN</v>
      </c>
      <c r="P49" s="560">
        <f ca="1"/>
        <v>-66.426839999999686</v>
      </c>
      <c r="Q49" t="str">
        <f ca="1"/>
        <v>MVEENI</v>
      </c>
      <c r="R49" s="650">
        <f ca="1"/>
        <v>-4.4025559523809526E-3</v>
      </c>
      <c r="S49" t="str">
        <f ca="1"/>
        <v>RWE</v>
      </c>
      <c r="T49" s="87">
        <f ca="1"/>
        <v>-61.5</v>
      </c>
      <c r="U49" t="str">
        <f ca="1"/>
        <v>ORA</v>
      </c>
      <c r="V49" s="87">
        <f ca="1"/>
        <v>-240</v>
      </c>
      <c r="W49" t="str">
        <f ca="1"/>
        <v>ORA</v>
      </c>
      <c r="X49">
        <f ca="1"/>
        <v>16</v>
      </c>
      <c r="Y49" t="str">
        <f ca="1"/>
        <v>SAFAMZN</v>
      </c>
      <c r="Z49">
        <f ca="1"/>
        <v>11</v>
      </c>
      <c r="AA49" t="str">
        <f ca="1"/>
        <v>MVERWE</v>
      </c>
      <c r="AB49">
        <f ca="1"/>
        <v>44</v>
      </c>
      <c r="AC49" t="str">
        <f ca="1"/>
        <v>MVEEOAN</v>
      </c>
      <c r="AD49">
        <f ca="1"/>
        <v>38</v>
      </c>
      <c r="AE49" t="str">
        <f ca="1"/>
        <v>X</v>
      </c>
      <c r="AF49" s="87">
        <f ca="1"/>
        <v>0</v>
      </c>
      <c r="AG49" t="str">
        <f ca="1"/>
        <v>SAFIAG</v>
      </c>
      <c r="AH49" s="87">
        <f ca="1"/>
        <v>0</v>
      </c>
      <c r="AI49" t="str">
        <f ca="1"/>
        <v>TSLA</v>
      </c>
      <c r="AJ49" s="87">
        <f ca="1"/>
        <v>228.87000000000006</v>
      </c>
      <c r="AK49" s="90" t="str">
        <f ca="1"/>
        <v>MVEENI</v>
      </c>
      <c r="AL49" s="310">
        <f ca="1"/>
        <v>-4.4025559523809526E-3</v>
      </c>
      <c r="AM49" t="str">
        <f ca="1"/>
        <v>MVEORA</v>
      </c>
      <c r="AN49" s="310">
        <f ca="1"/>
        <v>0.13708979714350022</v>
      </c>
      <c r="AO49" t="str">
        <f ca="1"/>
        <v>LUV</v>
      </c>
      <c r="AP49" s="310">
        <f ca="1"/>
        <v>-3.7879698302954179E-2</v>
      </c>
      <c r="AQ49" s="87" t="str">
        <f ca="1"/>
        <v>LUV</v>
      </c>
      <c r="AR49" s="90">
        <f ca="1"/>
        <v>4.508614401416005E-2</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NFLX</v>
      </c>
      <c r="F50" s="559">
        <f ca="1"/>
        <v>0.31860468043048967</v>
      </c>
      <c r="G50" s="153" t="str">
        <f ca="1"/>
        <v>HPQ</v>
      </c>
      <c r="H50" s="560">
        <f ca="1"/>
        <v>28232.90294080005</v>
      </c>
      <c r="I50" t="str">
        <f ca="1"/>
        <v>LUV</v>
      </c>
      <c r="J50" s="561">
        <f ca="1"/>
        <v>-4.3800000000000002E-3</v>
      </c>
      <c r="K50" s="153" t="str">
        <f ca="1"/>
        <v>LUV</v>
      </c>
      <c r="L50" s="561">
        <f ca="1"/>
        <v>-4.3800000000000002E-3</v>
      </c>
      <c r="M50" s="1" t="str">
        <f ca="1"/>
        <v>SAFGM</v>
      </c>
      <c r="N50" s="560">
        <f ca="1"/>
        <v>0</v>
      </c>
      <c r="O50" t="str">
        <f ca="1"/>
        <v>TSLA</v>
      </c>
      <c r="P50" s="560">
        <f ca="1"/>
        <v>-228.27493800000005</v>
      </c>
      <c r="Q50" t="str">
        <f ca="1"/>
        <v>ENI</v>
      </c>
      <c r="R50" s="650">
        <f ca="1"/>
        <v>-4.4025559523809526E-3</v>
      </c>
      <c r="S50" t="str">
        <f ca="1"/>
        <v>VLVLY</v>
      </c>
      <c r="T50" s="87">
        <f ca="1"/>
        <v>-165</v>
      </c>
      <c r="U50" t="str">
        <f ca="1"/>
        <v>SSYS</v>
      </c>
      <c r="V50" s="87">
        <f ca="1"/>
        <v>-320</v>
      </c>
      <c r="W50" t="str">
        <f ca="1"/>
        <v>DIS</v>
      </c>
      <c r="X50">
        <f ca="1"/>
        <v>17</v>
      </c>
      <c r="Y50" t="str">
        <f ca="1"/>
        <v>LUV</v>
      </c>
      <c r="Z50">
        <f ca="1"/>
        <v>11</v>
      </c>
      <c r="AA50" t="str">
        <f ca="1"/>
        <v>DXC</v>
      </c>
      <c r="AB50">
        <f ca="1"/>
        <v>43</v>
      </c>
      <c r="AC50" t="str">
        <f ca="1"/>
        <v>JBEOAN</v>
      </c>
      <c r="AD50">
        <f ca="1"/>
        <v>38</v>
      </c>
      <c r="AE50" t="str">
        <f ca="1"/>
        <v>LOCK</v>
      </c>
      <c r="AF50" s="87">
        <f ca="1"/>
        <v>0</v>
      </c>
      <c r="AG50" t="str">
        <f ca="1"/>
        <v>F</v>
      </c>
      <c r="AH50" s="87">
        <f ca="1"/>
        <v>0</v>
      </c>
      <c r="AI50" t="str">
        <f ca="1"/>
        <v>AMZN</v>
      </c>
      <c r="AJ50" s="87">
        <f ca="1"/>
        <v>66.599999999999682</v>
      </c>
      <c r="AK50" s="90" t="str">
        <f ca="1"/>
        <v>ENI</v>
      </c>
      <c r="AL50" s="310">
        <f ca="1"/>
        <v>-4.4025559523809526E-3</v>
      </c>
      <c r="AM50" t="str">
        <f ca="1"/>
        <v>VTRS</v>
      </c>
      <c r="AN50" s="310">
        <f ca="1"/>
        <v>0.11439524312896396</v>
      </c>
      <c r="AO50" t="str">
        <f ca="1"/>
        <v>MVEGLE</v>
      </c>
      <c r="AP50" s="310">
        <f ca="1"/>
        <v>-2.3002775682606752E-2</v>
      </c>
      <c r="AQ50" s="87" t="str">
        <f ca="1"/>
        <v>ORA</v>
      </c>
      <c r="AR50" s="90">
        <f ca="1"/>
        <v>1.5027819356069928E-2</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LAZR</v>
      </c>
      <c r="F51" s="559">
        <f ca="1"/>
        <v>0.3115700601485013</v>
      </c>
      <c r="G51" s="153" t="str">
        <f ca="1"/>
        <v>BLDP</v>
      </c>
      <c r="H51" s="560">
        <f ca="1"/>
        <v>24926.023080999992</v>
      </c>
      <c r="I51" t="str">
        <f ca="1"/>
        <v>SSYS</v>
      </c>
      <c r="J51" s="561">
        <f ca="1"/>
        <v>-5.8819999999999992E-3</v>
      </c>
      <c r="K51" s="153" t="str">
        <f ca="1"/>
        <v>SSYS</v>
      </c>
      <c r="L51" s="561">
        <f ca="1"/>
        <v>-5.8819999999999992E-3</v>
      </c>
      <c r="M51" s="1" t="str">
        <f ca="1"/>
        <v>SAFIAG</v>
      </c>
      <c r="N51" s="560">
        <f ca="1"/>
        <v>0</v>
      </c>
      <c r="O51" t="str">
        <f ca="1"/>
        <v>SAFAMZN</v>
      </c>
      <c r="P51" s="560">
        <f ca="1"/>
        <v>-233.39160000000882</v>
      </c>
      <c r="Q51" t="str">
        <f ca="1"/>
        <v>RIGL</v>
      </c>
      <c r="R51" s="650">
        <f ca="1"/>
        <v>-4.4567607142857145E-3</v>
      </c>
      <c r="S51" t="str">
        <f ca="1"/>
        <v>LAZR</v>
      </c>
      <c r="T51" s="87">
        <f ca="1"/>
        <v>-220.35560000000078</v>
      </c>
      <c r="U51" t="str">
        <f ca="1"/>
        <v>EZJ</v>
      </c>
      <c r="V51" s="87">
        <f ca="1"/>
        <v>-360</v>
      </c>
      <c r="W51" t="str">
        <f ca="1"/>
        <v>LUMN</v>
      </c>
      <c r="X51">
        <f ca="1"/>
        <v>17</v>
      </c>
      <c r="Y51" t="str">
        <f ca="1"/>
        <v>RRC</v>
      </c>
      <c r="Z51">
        <f ca="1"/>
        <v>11</v>
      </c>
      <c r="AA51" t="str">
        <f ca="1"/>
        <v>XPER</v>
      </c>
      <c r="AB51">
        <f ca="1"/>
        <v>43</v>
      </c>
      <c r="AC51" t="str">
        <f ca="1"/>
        <v>AZN</v>
      </c>
      <c r="AD51">
        <f ca="1"/>
        <v>37</v>
      </c>
      <c r="AE51" t="str">
        <f ca="1"/>
        <v>JBASML</v>
      </c>
      <c r="AF51" s="87">
        <f ca="1"/>
        <v>0</v>
      </c>
      <c r="AG51" t="str">
        <f ca="1"/>
        <v>GLE</v>
      </c>
      <c r="AH51" s="87">
        <f ca="1"/>
        <v>0</v>
      </c>
      <c r="AI51" t="str">
        <f ca="1"/>
        <v>ASML</v>
      </c>
      <c r="AJ51" s="87">
        <f ca="1"/>
        <v>10.000000000002274</v>
      </c>
      <c r="AK51" s="90" t="str">
        <f ca="1"/>
        <v>RIGL</v>
      </c>
      <c r="AL51" s="310">
        <f ca="1"/>
        <v>-4.4567607142857145E-3</v>
      </c>
      <c r="AM51" t="str">
        <f ca="1"/>
        <v>ENI</v>
      </c>
      <c r="AN51" s="310">
        <f ca="1"/>
        <v>8.8914717379152561E-2</v>
      </c>
      <c r="AO51" t="str">
        <f ca="1"/>
        <v>HPE</v>
      </c>
      <c r="AP51" s="310">
        <f ca="1"/>
        <v>-1.9428131388851001E-2</v>
      </c>
      <c r="AQ51" s="87" t="str">
        <f ca="1"/>
        <v>NFLX</v>
      </c>
      <c r="AR51" s="90">
        <f ca="1"/>
        <v>1.1613359290404962E-2</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AAPL</v>
      </c>
      <c r="F52" s="559">
        <f ca="1"/>
        <v>0.30565067320598954</v>
      </c>
      <c r="G52" s="153" t="str">
        <f ca="1"/>
        <v>AET</v>
      </c>
      <c r="H52" s="560">
        <f ca="1"/>
        <v>24388.385499901779</v>
      </c>
      <c r="I52" t="str">
        <f ca="1"/>
        <v>AMZN</v>
      </c>
      <c r="J52" s="561">
        <f ca="1"/>
        <v>-6.1470000000000006E-3</v>
      </c>
      <c r="K52" s="153" t="str">
        <f ca="1"/>
        <v>AMZN</v>
      </c>
      <c r="L52" s="561">
        <f ca="1"/>
        <v>-6.1470000000000006E-3</v>
      </c>
      <c r="M52" s="1" t="str">
        <f ca="1"/>
        <v>F</v>
      </c>
      <c r="N52" s="560">
        <f ca="1"/>
        <v>0</v>
      </c>
      <c r="O52" t="str">
        <f ca="1"/>
        <v>PAAS</v>
      </c>
      <c r="P52" s="560">
        <f ca="1"/>
        <v>-724.11239999999907</v>
      </c>
      <c r="Q52" t="str">
        <f ca="1"/>
        <v>MVERWE</v>
      </c>
      <c r="R52" s="650">
        <f ca="1"/>
        <v>-4.4567607142857145E-3</v>
      </c>
      <c r="S52" t="str">
        <f ca="1"/>
        <v>EOAN</v>
      </c>
      <c r="T52" s="87">
        <f ca="1"/>
        <v>-225</v>
      </c>
      <c r="U52" t="str">
        <f ca="1"/>
        <v>MA</v>
      </c>
      <c r="V52" s="87">
        <f ca="1"/>
        <v>-595.49999999998545</v>
      </c>
      <c r="W52" t="str">
        <f ca="1"/>
        <v>MVEDSY</v>
      </c>
      <c r="X52">
        <f ca="1"/>
        <v>17</v>
      </c>
      <c r="Y52" t="str">
        <f ca="1"/>
        <v>AZN</v>
      </c>
      <c r="Z52">
        <f ca="1"/>
        <v>12</v>
      </c>
      <c r="AA52" t="str">
        <f ca="1"/>
        <v>MVEEOAN</v>
      </c>
      <c r="AB52">
        <f ca="1"/>
        <v>43</v>
      </c>
      <c r="AC52" t="str">
        <f ca="1"/>
        <v>DSY</v>
      </c>
      <c r="AD52">
        <f ca="1"/>
        <v>37</v>
      </c>
      <c r="AE52" t="str">
        <f ca="1"/>
        <v>JBEOAN</v>
      </c>
      <c r="AF52" s="87">
        <f ca="1"/>
        <v>0</v>
      </c>
      <c r="AG52" t="str">
        <f ca="1"/>
        <v>GS</v>
      </c>
      <c r="AH52" s="87">
        <f ca="1"/>
        <v>0</v>
      </c>
      <c r="AI52" t="str">
        <f ca="1"/>
        <v>AAPL</v>
      </c>
      <c r="AJ52" s="87">
        <f ca="1"/>
        <v>5.0000000000238742</v>
      </c>
      <c r="AK52" s="90" t="str">
        <f ca="1"/>
        <v>MVERWE</v>
      </c>
      <c r="AL52" s="310">
        <f ca="1"/>
        <v>-4.4567607142857145E-3</v>
      </c>
      <c r="AM52" t="str">
        <f ca="1"/>
        <v>AMZN</v>
      </c>
      <c r="AN52" s="310">
        <f ca="1"/>
        <v>8.8485435349476782E-2</v>
      </c>
      <c r="AO52" t="str">
        <f ca="1"/>
        <v>KR</v>
      </c>
      <c r="AP52" s="310">
        <f ca="1"/>
        <v>-1.2971153642804174E-2</v>
      </c>
      <c r="AQ52" s="87" t="str">
        <f ca="1"/>
        <v>XOM</v>
      </c>
      <c r="AR52" s="90">
        <f ca="1"/>
        <v>5.1068176014981929E-3</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SAFAAPL</v>
      </c>
      <c r="F53" s="559">
        <f ca="1"/>
        <v>0.30565067320598954</v>
      </c>
      <c r="G53" s="153" t="str">
        <f ca="1"/>
        <v>MVEEOAN</v>
      </c>
      <c r="H53" s="560">
        <f ca="1"/>
        <v>18159.182901000018</v>
      </c>
      <c r="I53" t="str">
        <f ca="1"/>
        <v>SAFAMZN</v>
      </c>
      <c r="J53" s="561">
        <f ca="1"/>
        <v>-6.1470000000000006E-3</v>
      </c>
      <c r="K53" s="153" t="str">
        <f ca="1"/>
        <v>SAFAMZN</v>
      </c>
      <c r="L53" s="561">
        <f ca="1"/>
        <v>-6.1470000000000006E-3</v>
      </c>
      <c r="M53" s="1" t="str">
        <f ca="1"/>
        <v>GLE</v>
      </c>
      <c r="N53" s="560">
        <f ca="1"/>
        <v>0</v>
      </c>
      <c r="O53" t="str">
        <f ca="1"/>
        <v>VONN</v>
      </c>
      <c r="P53" s="560">
        <f ca="1"/>
        <v>-957.50399999999661</v>
      </c>
      <c r="Q53" t="str">
        <f ca="1"/>
        <v>DDD</v>
      </c>
      <c r="R53" s="650">
        <f ca="1"/>
        <v>-4.5425607142857141E-3</v>
      </c>
      <c r="S53" t="str">
        <f ca="1"/>
        <v>PW</v>
      </c>
      <c r="T53" s="87">
        <f ca="1"/>
        <v>-238.99999999999909</v>
      </c>
      <c r="U53" t="str">
        <f ca="1"/>
        <v>PW</v>
      </c>
      <c r="V53" s="87">
        <f ca="1"/>
        <v>-685.99999999999909</v>
      </c>
      <c r="W53" t="str">
        <f ca="1"/>
        <v>SAFMRNA</v>
      </c>
      <c r="X53">
        <f ca="1"/>
        <v>17</v>
      </c>
      <c r="Y53" t="str">
        <f ca="1"/>
        <v>CVS</v>
      </c>
      <c r="Z53">
        <f ca="1"/>
        <v>12</v>
      </c>
      <c r="AA53" t="str">
        <f ca="1"/>
        <v>GNRC</v>
      </c>
      <c r="AB53">
        <f ca="1"/>
        <v>43</v>
      </c>
      <c r="AC53" t="str">
        <f ca="1"/>
        <v>HPQ</v>
      </c>
      <c r="AD53">
        <f ca="1"/>
        <v>37</v>
      </c>
      <c r="AE53" t="str">
        <f ca="1"/>
        <v>BLDP</v>
      </c>
      <c r="AF53" s="87">
        <f ca="1"/>
        <v>-4796.2529190000096</v>
      </c>
      <c r="AG53" t="str">
        <f ca="1"/>
        <v>NVS</v>
      </c>
      <c r="AH53" s="87">
        <f ca="1"/>
        <v>0</v>
      </c>
      <c r="AI53" t="str">
        <f ca="1"/>
        <v>ALDNE</v>
      </c>
      <c r="AJ53" s="87">
        <f ca="1"/>
        <v>0</v>
      </c>
      <c r="AK53" s="90" t="str">
        <f ca="1"/>
        <v>DDD</v>
      </c>
      <c r="AL53" s="310">
        <f ca="1"/>
        <v>-4.5425607142857141E-3</v>
      </c>
      <c r="AM53" t="str">
        <f ca="1"/>
        <v>SAFAMZN</v>
      </c>
      <c r="AN53" s="310">
        <f ca="1"/>
        <v>8.0308484611626763E-2</v>
      </c>
      <c r="AO53" t="str">
        <f ca="1"/>
        <v>C</v>
      </c>
      <c r="AP53" s="310">
        <f ca="1"/>
        <v>-7.5005545993496649E-3</v>
      </c>
      <c r="AQ53" s="87" t="str">
        <f ca="1"/>
        <v>VLVLY</v>
      </c>
      <c r="AR53" s="90">
        <f ca="1"/>
        <v>3.0612244897953089E-3</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GS</v>
      </c>
      <c r="F54" s="559">
        <f ca="1"/>
        <v>0.30271831547034872</v>
      </c>
      <c r="G54" s="153" t="str">
        <f ca="1"/>
        <v>LUMN</v>
      </c>
      <c r="H54" s="560">
        <f ca="1"/>
        <v>14804.050949999999</v>
      </c>
      <c r="I54" t="str">
        <f ca="1"/>
        <v>AZN</v>
      </c>
      <c r="J54" s="561">
        <f ca="1"/>
        <v>-6.4759999999999991E-3</v>
      </c>
      <c r="K54" s="153" t="str">
        <f ca="1"/>
        <v>AZN</v>
      </c>
      <c r="L54" s="561">
        <f ca="1"/>
        <v>-6.4759999999999991E-3</v>
      </c>
      <c r="M54" s="1" t="str">
        <f ca="1"/>
        <v>GS</v>
      </c>
      <c r="N54" s="560">
        <f ca="1"/>
        <v>0</v>
      </c>
      <c r="O54" t="str">
        <f ca="1"/>
        <v>VLVLY</v>
      </c>
      <c r="P54" s="560">
        <f ca="1"/>
        <v>-1034.8024999999996</v>
      </c>
      <c r="Q54" t="str">
        <f ca="1"/>
        <v>SAFDIS</v>
      </c>
      <c r="R54" s="650">
        <f ca="1"/>
        <v>-4.5425607142857141E-3</v>
      </c>
      <c r="S54" t="str">
        <f ca="1"/>
        <v>ORA</v>
      </c>
      <c r="T54" s="87">
        <f ca="1"/>
        <v>-258</v>
      </c>
      <c r="U54" t="str">
        <f ca="1"/>
        <v>DIS</v>
      </c>
      <c r="V54" s="87">
        <f ca="1"/>
        <v>-755</v>
      </c>
      <c r="W54" t="str">
        <f ca="1"/>
        <v>ALDNE</v>
      </c>
      <c r="X54">
        <f ca="1"/>
        <v>18</v>
      </c>
      <c r="Y54" t="str">
        <f ca="1"/>
        <v>DXC</v>
      </c>
      <c r="Z54">
        <f ca="1"/>
        <v>12</v>
      </c>
      <c r="AA54" t="str">
        <f ca="1"/>
        <v>LAZR</v>
      </c>
      <c r="AB54">
        <f ca="1"/>
        <v>43</v>
      </c>
      <c r="AC54" t="str">
        <f ca="1"/>
        <v>MRNA</v>
      </c>
      <c r="AD54">
        <f ca="1"/>
        <v>37</v>
      </c>
      <c r="AE54" t="str">
        <f ca="1"/>
        <v>PW</v>
      </c>
      <c r="AF54" s="87">
        <f ca="1"/>
        <v>-5022.317161799996</v>
      </c>
      <c r="AG54" t="str">
        <f ca="1"/>
        <v>RRC</v>
      </c>
      <c r="AH54" s="87">
        <f ca="1"/>
        <v>0</v>
      </c>
      <c r="AI54" t="str">
        <f ca="1"/>
        <v>BMRA</v>
      </c>
      <c r="AJ54" s="87">
        <f ca="1"/>
        <v>0</v>
      </c>
      <c r="AK54" s="90" t="str">
        <f ca="1"/>
        <v>SAFDIS</v>
      </c>
      <c r="AL54" s="310">
        <f ca="1"/>
        <v>-4.5425607142857141E-3</v>
      </c>
      <c r="AM54" t="str">
        <f ca="1"/>
        <v>LUV</v>
      </c>
      <c r="AN54" s="310">
        <f ca="1"/>
        <v>3.6474790698886622E-2</v>
      </c>
      <c r="AO54" t="str">
        <f ca="1"/>
        <v>PFE</v>
      </c>
      <c r="AP54" s="310">
        <f ca="1"/>
        <v>-5.5982010793523603E-3</v>
      </c>
      <c r="AQ54" s="87" t="str">
        <f ca="1"/>
        <v>PFE</v>
      </c>
      <c r="AR54" s="90">
        <f ca="1"/>
        <v>2.9823642858562748E-3</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GNRC</v>
      </c>
      <c r="F55" s="559">
        <f ca="1"/>
        <v>0.30248791926879282</v>
      </c>
      <c r="G55" s="153" t="str">
        <f ca="1"/>
        <v>GM</v>
      </c>
      <c r="H55" s="560">
        <f ca="1"/>
        <v>14432.923628</v>
      </c>
      <c r="I55" t="str">
        <f ca="1"/>
        <v>UN0</v>
      </c>
      <c r="J55" s="561">
        <f ca="1"/>
        <v>-6.5680000000000009E-3</v>
      </c>
      <c r="K55" s="153" t="str">
        <f ca="1"/>
        <v>UN0</v>
      </c>
      <c r="L55" s="561">
        <f ca="1"/>
        <v>-6.5680000000000009E-3</v>
      </c>
      <c r="M55" s="1" t="str">
        <f ca="1"/>
        <v>NVS</v>
      </c>
      <c r="N55" s="560">
        <f ca="1"/>
        <v>0</v>
      </c>
      <c r="O55" t="str">
        <f ca="1"/>
        <v>AET</v>
      </c>
      <c r="P55" s="560">
        <f ca="1"/>
        <v>-1398.3547999999996</v>
      </c>
      <c r="Q55" t="str">
        <f ca="1"/>
        <v>DVA</v>
      </c>
      <c r="R55" s="650">
        <f ca="1"/>
        <v>-4.9551607142857158E-3</v>
      </c>
      <c r="S55" t="str">
        <f ca="1"/>
        <v>AZN</v>
      </c>
      <c r="T55" s="87">
        <f ca="1"/>
        <v>-274.94999999999709</v>
      </c>
      <c r="U55" t="str">
        <f ca="1"/>
        <v>VLVLY</v>
      </c>
      <c r="V55" s="87">
        <f ca="1"/>
        <v>-781.80000000000291</v>
      </c>
      <c r="W55" t="str">
        <f ca="1"/>
        <v>DXC</v>
      </c>
      <c r="X55">
        <f ca="1"/>
        <v>18</v>
      </c>
      <c r="Y55" t="str">
        <f ca="1"/>
        <v>SAP</v>
      </c>
      <c r="Z55">
        <f ca="1"/>
        <v>12</v>
      </c>
      <c r="AA55" t="str">
        <f ca="1"/>
        <v>JBEOAN</v>
      </c>
      <c r="AB55">
        <f ca="1"/>
        <v>43</v>
      </c>
      <c r="AC55" t="str">
        <f ca="1"/>
        <v>SAFIAG</v>
      </c>
      <c r="AD55">
        <f ca="1"/>
        <v>37</v>
      </c>
      <c r="AE55" t="str">
        <f ca="1"/>
        <v>UNIT</v>
      </c>
      <c r="AF55" s="87">
        <f ca="1"/>
        <v>-6662.7782999999981</v>
      </c>
      <c r="AG55" t="str">
        <f ca="1"/>
        <v>ASML</v>
      </c>
      <c r="AH55" s="87">
        <f ca="1"/>
        <v>-10.000000000002274</v>
      </c>
      <c r="AI55" t="str">
        <f ca="1"/>
        <v>NOTE</v>
      </c>
      <c r="AJ55" s="87">
        <f ca="1"/>
        <v>0</v>
      </c>
      <c r="AK55" s="90" t="str">
        <f ca="1"/>
        <v>DVA</v>
      </c>
      <c r="AL55" s="310">
        <f ca="1"/>
        <v>-4.9551607142857158E-3</v>
      </c>
      <c r="AM55" t="str">
        <f ca="1"/>
        <v>HPE</v>
      </c>
      <c r="AN55" s="310">
        <f ca="1"/>
        <v>1.7071662425563478E-2</v>
      </c>
      <c r="AO55" t="str">
        <f ca="1"/>
        <v>ORA</v>
      </c>
      <c r="AP55" s="310">
        <f ca="1"/>
        <v>-5.1399129172714185E-3</v>
      </c>
      <c r="AQ55" s="87" t="str">
        <f ca="1"/>
        <v>BLDP</v>
      </c>
      <c r="AR55" s="90">
        <f ca="1"/>
        <v>-3.1978680879413751E-3</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C</v>
      </c>
      <c r="F56" s="559">
        <f ca="1"/>
        <v>0.30231117846724859</v>
      </c>
      <c r="G56" s="153" t="str">
        <f ca="1"/>
        <v>NVS</v>
      </c>
      <c r="H56" s="560">
        <f ca="1"/>
        <v>13598.057164139989</v>
      </c>
      <c r="I56" t="str">
        <f ca="1"/>
        <v>MVEUN0</v>
      </c>
      <c r="J56" s="561">
        <f ca="1"/>
        <v>-6.5680000000000009E-3</v>
      </c>
      <c r="K56" s="153" t="str">
        <f ca="1"/>
        <v>MVEUN0</v>
      </c>
      <c r="L56" s="561">
        <f ca="1"/>
        <v>-6.5680000000000009E-3</v>
      </c>
      <c r="M56" s="1" t="str">
        <f ca="1"/>
        <v>RRC</v>
      </c>
      <c r="N56" s="560">
        <f ca="1"/>
        <v>0</v>
      </c>
      <c r="O56" t="str">
        <f ca="1"/>
        <v>SHECY</v>
      </c>
      <c r="P56" s="560">
        <f ca="1"/>
        <v>-1465.8947383999998</v>
      </c>
      <c r="Q56" t="str">
        <f ca="1"/>
        <v>MVEORA</v>
      </c>
      <c r="R56" s="650">
        <f ca="1"/>
        <v>-5.3816011904761901E-3</v>
      </c>
      <c r="S56" t="str">
        <f ca="1"/>
        <v>JBEOAN</v>
      </c>
      <c r="T56" s="87">
        <f ca="1"/>
        <v>-315</v>
      </c>
      <c r="U56" t="str">
        <f ca="1"/>
        <v>SAFDIS</v>
      </c>
      <c r="V56" s="87">
        <f ca="1"/>
        <v>-906</v>
      </c>
      <c r="W56" t="str">
        <f ca="1"/>
        <v>HPQ</v>
      </c>
      <c r="X56">
        <f ca="1"/>
        <v>18</v>
      </c>
      <c r="Y56" t="str">
        <f ca="1"/>
        <v>TSM</v>
      </c>
      <c r="Z56">
        <f ca="1"/>
        <v>12</v>
      </c>
      <c r="AA56" t="str">
        <f ca="1"/>
        <v>AET</v>
      </c>
      <c r="AB56">
        <f ca="1"/>
        <v>42</v>
      </c>
      <c r="AC56" t="str">
        <f ca="1"/>
        <v>ALDNE</v>
      </c>
      <c r="AD56">
        <f ca="1"/>
        <v>36</v>
      </c>
      <c r="AE56" t="str">
        <f ca="1"/>
        <v>EZJ</v>
      </c>
      <c r="AF56" s="87">
        <f ca="1"/>
        <v>-8244.777832199994</v>
      </c>
      <c r="AG56" t="str">
        <f ca="1"/>
        <v>BLDP</v>
      </c>
      <c r="AH56" s="87">
        <f ca="1"/>
        <v>-48.000000000000043</v>
      </c>
      <c r="AI56" t="str">
        <f ca="1"/>
        <v>UNIT</v>
      </c>
      <c r="AJ56" s="87">
        <f ca="1"/>
        <v>0</v>
      </c>
      <c r="AK56" s="90" t="str">
        <f ca="1"/>
        <v>MVEORA</v>
      </c>
      <c r="AL56" s="310">
        <f ca="1"/>
        <v>-5.3816011904761901E-3</v>
      </c>
      <c r="AM56" t="str">
        <f ca="1"/>
        <v>KR</v>
      </c>
      <c r="AN56" s="310">
        <f ca="1"/>
        <v>1.0452594102738251E-2</v>
      </c>
      <c r="AO56" t="str">
        <f ca="1"/>
        <v>EZJ</v>
      </c>
      <c r="AP56" s="310">
        <f ca="1"/>
        <v>-5.0381447017240101E-3</v>
      </c>
      <c r="AQ56" s="87" t="str">
        <f ca="1"/>
        <v>ASML</v>
      </c>
      <c r="AR56" s="90">
        <f ca="1"/>
        <v>-8.1199954888932415E-3</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GM</v>
      </c>
      <c r="F57" s="559">
        <f ca="1"/>
        <v>0.29901271886794123</v>
      </c>
      <c r="G57" s="153" t="str">
        <f ca="1"/>
        <v>DIS</v>
      </c>
      <c r="H57" s="560">
        <f ca="1"/>
        <v>13090.294468799955</v>
      </c>
      <c r="I57" t="str">
        <f ca="1"/>
        <v>MVEENI</v>
      </c>
      <c r="J57" s="561">
        <f ca="1"/>
        <v>-6.8589999999999996E-3</v>
      </c>
      <c r="K57" s="153" t="str">
        <f ca="1"/>
        <v>MVEENI</v>
      </c>
      <c r="L57" s="561">
        <f ca="1"/>
        <v>-6.8589999999999996E-3</v>
      </c>
      <c r="M57" s="1" t="str">
        <f ca="1"/>
        <v>MVEDDD</v>
      </c>
      <c r="N57" s="560">
        <f ca="1"/>
        <v>-4050.0000000000023</v>
      </c>
      <c r="O57" t="str">
        <f ca="1"/>
        <v>IAG</v>
      </c>
      <c r="P57" s="560">
        <f ca="1"/>
        <v>-2154.3839999999964</v>
      </c>
      <c r="Q57" t="str">
        <f ca="1"/>
        <v>ORA</v>
      </c>
      <c r="R57" s="650">
        <f ca="1"/>
        <v>-5.3816011904761901E-3</v>
      </c>
      <c r="S57" t="str">
        <f ca="1"/>
        <v>BLDP</v>
      </c>
      <c r="T57" s="87">
        <f ca="1"/>
        <v>-360</v>
      </c>
      <c r="U57" t="str">
        <f ca="1"/>
        <v>PFE</v>
      </c>
      <c r="V57" s="87">
        <f ca="1"/>
        <v>-960</v>
      </c>
      <c r="W57" t="str">
        <f ca="1"/>
        <v>MVEALDNE</v>
      </c>
      <c r="X57">
        <f ca="1"/>
        <v>18</v>
      </c>
      <c r="Y57" t="str">
        <f ca="1"/>
        <v>MVEDDD</v>
      </c>
      <c r="Z57">
        <f ca="1"/>
        <v>12</v>
      </c>
      <c r="AA57" t="str">
        <f ca="1"/>
        <v>LOCK</v>
      </c>
      <c r="AB57">
        <f ca="1"/>
        <v>42</v>
      </c>
      <c r="AC57" t="str">
        <f ca="1"/>
        <v>MVEALDNE</v>
      </c>
      <c r="AD57">
        <f ca="1"/>
        <v>36</v>
      </c>
      <c r="AE57" t="str">
        <f ca="1"/>
        <v>MVEUN0</v>
      </c>
      <c r="AF57" s="87">
        <f ca="1"/>
        <v>-13410.948042</v>
      </c>
      <c r="AG57" t="str">
        <f ca="1"/>
        <v>AET</v>
      </c>
      <c r="AH57" s="87">
        <f ca="1"/>
        <v>-60.000000000000149</v>
      </c>
      <c r="AI57" t="str">
        <f ca="1"/>
        <v>MVEALDNE</v>
      </c>
      <c r="AJ57" s="87">
        <f ca="1"/>
        <v>0</v>
      </c>
      <c r="AK57" s="90" t="str">
        <f ca="1"/>
        <v>ORA</v>
      </c>
      <c r="AL57" s="310">
        <f ca="1"/>
        <v>-5.3816011904761901E-3</v>
      </c>
      <c r="AM57" t="str">
        <f ca="1"/>
        <v>C</v>
      </c>
      <c r="AN57" s="310">
        <f ca="1"/>
        <v>4.9118841136761033E-3</v>
      </c>
      <c r="AO57" t="str">
        <f ca="1"/>
        <v>VONN</v>
      </c>
      <c r="AP57" s="310">
        <f ca="1"/>
        <v>2.7397147147146189E-3</v>
      </c>
      <c r="AQ57" s="87" t="str">
        <f ca="1"/>
        <v>BMRA</v>
      </c>
      <c r="AR57" s="90">
        <f ca="1"/>
        <v>-5.4692669122628497E-2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SAFGM</v>
      </c>
      <c r="F58" s="559">
        <f ca="1"/>
        <v>0.29901271886794123</v>
      </c>
      <c r="G58" s="153" t="str">
        <f ca="1"/>
        <v>GNRC</v>
      </c>
      <c r="H58" s="560">
        <f ca="1"/>
        <v>10493.399610000022</v>
      </c>
      <c r="I58" t="str">
        <f ca="1"/>
        <v>ENI</v>
      </c>
      <c r="J58" s="561">
        <f ca="1"/>
        <v>-6.8589999999999996E-3</v>
      </c>
      <c r="K58" s="153" t="str">
        <f ca="1"/>
        <v>ENI</v>
      </c>
      <c r="L58" s="561">
        <f ca="1"/>
        <v>-6.8589999999999996E-3</v>
      </c>
      <c r="M58" s="1" t="str">
        <f ca="1"/>
        <v>ADEA</v>
      </c>
      <c r="N58" s="560">
        <f ca="1"/>
        <v>-4073.8999999999946</v>
      </c>
      <c r="O58" t="str">
        <f ca="1"/>
        <v>LUV</v>
      </c>
      <c r="P58" s="560">
        <f ca="1"/>
        <v>-2186.1312419999958</v>
      </c>
      <c r="Q58" t="str">
        <f ca="1"/>
        <v>LAZR</v>
      </c>
      <c r="R58" s="650">
        <f ca="1"/>
        <v>-5.4194880952380961E-3</v>
      </c>
      <c r="S58" t="str">
        <f ca="1"/>
        <v>MA</v>
      </c>
      <c r="T58" s="87">
        <f ca="1"/>
        <v>-443.49999999998545</v>
      </c>
      <c r="U58" t="str">
        <f ca="1"/>
        <v>MVESAP</v>
      </c>
      <c r="V58" s="87">
        <f ca="1"/>
        <v>-1082.6999999999971</v>
      </c>
      <c r="W58" t="str">
        <f ca="1"/>
        <v>MVEEOAN</v>
      </c>
      <c r="X58">
        <f ca="1"/>
        <v>18</v>
      </c>
      <c r="Y58" t="str">
        <f ca="1"/>
        <v>MVEEOAN</v>
      </c>
      <c r="Z58">
        <f ca="1"/>
        <v>12</v>
      </c>
      <c r="AA58" t="str">
        <f ca="1"/>
        <v>CSCO</v>
      </c>
      <c r="AB58">
        <f ca="1"/>
        <v>41</v>
      </c>
      <c r="AC58" t="str">
        <f ca="1"/>
        <v>MVEGLE</v>
      </c>
      <c r="AD58">
        <f ca="1"/>
        <v>36</v>
      </c>
      <c r="AE58" t="str">
        <f ca="1"/>
        <v>GNRC</v>
      </c>
      <c r="AF58" s="87">
        <f ca="1"/>
        <v>-16614.234989999983</v>
      </c>
      <c r="AG58" t="str">
        <f ca="1"/>
        <v>C</v>
      </c>
      <c r="AH58" s="87">
        <f ca="1"/>
        <v>-133.00000000000125</v>
      </c>
      <c r="AI58" t="str">
        <f ca="1"/>
        <v>MVEEPIX</v>
      </c>
      <c r="AJ58" s="87">
        <f ca="1"/>
        <v>0</v>
      </c>
      <c r="AK58" s="90" t="str">
        <f ca="1"/>
        <v>LAZR</v>
      </c>
      <c r="AL58" s="310">
        <f ca="1"/>
        <v>-5.4194880952380961E-3</v>
      </c>
      <c r="AM58" t="str">
        <f ca="1"/>
        <v>EZJ</v>
      </c>
      <c r="AN58" s="310">
        <f ca="1"/>
        <v>2.4377491105776151E-3</v>
      </c>
      <c r="AO58" t="str">
        <f ca="1"/>
        <v>NFLX</v>
      </c>
      <c r="AP58" s="310">
        <f ca="1"/>
        <v>2.5761267990526526E-2</v>
      </c>
      <c r="AQ58" s="87" t="str">
        <f ca="1"/>
        <v>SSYS</v>
      </c>
      <c r="AR58" s="90">
        <f ca="1"/>
        <v>-9.8528908655491021E-2</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RIG</v>
      </c>
      <c r="F59" s="559">
        <f ca="1"/>
        <v>0.28714308244093012</v>
      </c>
      <c r="G59" s="153" t="str">
        <f ca="1"/>
        <v>XOM</v>
      </c>
      <c r="H59" s="560">
        <f ca="1"/>
        <v>10240.741660000007</v>
      </c>
      <c r="I59" t="str">
        <f ca="1"/>
        <v>ADEA</v>
      </c>
      <c r="J59" s="561">
        <f ca="1"/>
        <v>-7.2870000000000001E-3</v>
      </c>
      <c r="K59" s="153" t="str">
        <f ca="1"/>
        <v>ADEA</v>
      </c>
      <c r="L59" s="561">
        <f ca="1"/>
        <v>-7.2870000000000001E-3</v>
      </c>
      <c r="M59" s="1" t="str">
        <f ca="1"/>
        <v>PW</v>
      </c>
      <c r="N59" s="560">
        <f ca="1"/>
        <v>-4234.4001999999991</v>
      </c>
      <c r="O59" t="str">
        <f ca="1"/>
        <v>JBEOAN</v>
      </c>
      <c r="P59" s="560">
        <f ca="1"/>
        <v>-2453.6040000000007</v>
      </c>
      <c r="Q59" t="str">
        <f ca="1"/>
        <v>AZN</v>
      </c>
      <c r="R59" s="650">
        <f ca="1"/>
        <v>-5.4547738095238087E-3</v>
      </c>
      <c r="S59" t="str">
        <f ca="1"/>
        <v>MVEDDD</v>
      </c>
      <c r="T59" s="87">
        <f ca="1"/>
        <v>-550</v>
      </c>
      <c r="U59" t="str">
        <f ca="1"/>
        <v>XYZ</v>
      </c>
      <c r="V59" s="87">
        <f ca="1"/>
        <v>-1125</v>
      </c>
      <c r="W59" t="str">
        <f ca="1"/>
        <v>SAFIAG</v>
      </c>
      <c r="X59">
        <f ca="1"/>
        <v>18</v>
      </c>
      <c r="Y59" t="str">
        <f ca="1"/>
        <v>MVEUN0</v>
      </c>
      <c r="Z59">
        <f ca="1"/>
        <v>12</v>
      </c>
      <c r="AA59" t="str">
        <f ca="1"/>
        <v>HPE</v>
      </c>
      <c r="AB59">
        <f ca="1"/>
        <v>41</v>
      </c>
      <c r="AC59" t="str">
        <f ca="1"/>
        <v>GLE</v>
      </c>
      <c r="AD59">
        <f ca="1"/>
        <v>36</v>
      </c>
      <c r="AE59" t="str">
        <f ca="1"/>
        <v>MVEEPIX</v>
      </c>
      <c r="AF59" s="87">
        <f ca="1"/>
        <v>-17244.72</v>
      </c>
      <c r="AG59" t="str">
        <f ca="1"/>
        <v>MVEUN0</v>
      </c>
      <c r="AH59" s="87">
        <f ca="1"/>
        <v>-279.82499999999987</v>
      </c>
      <c r="AI59" t="str">
        <f ca="1"/>
        <v>LAZR</v>
      </c>
      <c r="AJ59" s="87">
        <f ca="1"/>
        <v>0</v>
      </c>
      <c r="AK59" s="90" t="str">
        <f ca="1"/>
        <v>AZN</v>
      </c>
      <c r="AL59" s="310">
        <f ca="1"/>
        <v>-5.4547738095238087E-3</v>
      </c>
      <c r="AM59" t="str">
        <f ca="1"/>
        <v>VONN</v>
      </c>
      <c r="AN59" s="310">
        <f ca="1"/>
        <v>-5.2975440823678915E-3</v>
      </c>
      <c r="AO59" t="str">
        <f ca="1"/>
        <v>DVA</v>
      </c>
      <c r="AP59" s="310">
        <f ca="1"/>
        <v>3.4772816348978962E-2</v>
      </c>
      <c r="AQ59" s="87" t="str">
        <f ca="1"/>
        <v>AET</v>
      </c>
      <c r="AR59" s="90">
        <f ca="1"/>
        <v>-0.1214574898785428</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CVS</v>
      </c>
      <c r="F60" s="559">
        <f ca="1"/>
        <v>0.28707137293814855</v>
      </c>
      <c r="G60" s="153" t="str">
        <f ca="1"/>
        <v>RRC</v>
      </c>
      <c r="H60" s="560">
        <f ca="1"/>
        <v>9828.9590219999718</v>
      </c>
      <c r="I60" t="str">
        <f ca="1"/>
        <v>HPQ</v>
      </c>
      <c r="J60" s="561">
        <f ca="1"/>
        <v>-7.4860000000000005E-3</v>
      </c>
      <c r="K60" s="153" t="str">
        <f ca="1"/>
        <v>HPQ</v>
      </c>
      <c r="L60" s="561">
        <f ca="1"/>
        <v>-7.4860000000000005E-3</v>
      </c>
      <c r="M60" s="1" t="str">
        <f ca="1"/>
        <v>DVA</v>
      </c>
      <c r="N60" s="560">
        <f ca="1"/>
        <v>-6025.1333333333405</v>
      </c>
      <c r="O60" t="str">
        <f ca="1"/>
        <v>EOAN</v>
      </c>
      <c r="P60" s="560">
        <f ca="1"/>
        <v>-2617.1776000000009</v>
      </c>
      <c r="Q60" t="str">
        <f ca="1"/>
        <v>HPE</v>
      </c>
      <c r="R60" s="650">
        <f ca="1"/>
        <v>-5.4889404761904754E-3</v>
      </c>
      <c r="S60" t="str">
        <f ca="1"/>
        <v>PFE</v>
      </c>
      <c r="T60" s="87">
        <f ca="1"/>
        <v>-552</v>
      </c>
      <c r="U60" t="str">
        <f ca="1"/>
        <v>PROF</v>
      </c>
      <c r="V60" s="87">
        <f ca="1"/>
        <v>-1160</v>
      </c>
      <c r="W60" t="str">
        <f ca="1"/>
        <v>THC</v>
      </c>
      <c r="X60">
        <f ca="1"/>
        <v>18</v>
      </c>
      <c r="Y60" t="str">
        <f ca="1"/>
        <v>SAFDDD</v>
      </c>
      <c r="Z60">
        <f ca="1"/>
        <v>12</v>
      </c>
      <c r="AA60" t="str">
        <f ca="1"/>
        <v>AZN</v>
      </c>
      <c r="AB60">
        <f ca="1"/>
        <v>40</v>
      </c>
      <c r="AC60" t="str">
        <f ca="1"/>
        <v>SSYS</v>
      </c>
      <c r="AD60">
        <f ca="1"/>
        <v>35</v>
      </c>
      <c r="AE60" t="str">
        <f ca="1"/>
        <v>WBA</v>
      </c>
      <c r="AF60" s="87">
        <f ca="1"/>
        <v>-20647.368945000002</v>
      </c>
      <c r="AG60" t="str">
        <f ca="1"/>
        <v>ADEA</v>
      </c>
      <c r="AH60" s="87">
        <f ca="1"/>
        <v>-378.1</v>
      </c>
      <c r="AI60" t="str">
        <f ca="1"/>
        <v>LOCK</v>
      </c>
      <c r="AJ60" s="87">
        <f ca="1"/>
        <v>0</v>
      </c>
      <c r="AK60" s="90" t="str">
        <f ca="1"/>
        <v>HPE</v>
      </c>
      <c r="AL60" s="310">
        <f ca="1"/>
        <v>-5.4889404761904754E-3</v>
      </c>
      <c r="AM60" t="str">
        <f ca="1"/>
        <v>DVA</v>
      </c>
      <c r="AN60" s="310">
        <f ca="1"/>
        <v>-3.5932739357546303E-2</v>
      </c>
      <c r="AO60" t="str">
        <f ca="1"/>
        <v>EOAN</v>
      </c>
      <c r="AP60" s="310">
        <f ca="1"/>
        <v>4.2746405228758139E-2</v>
      </c>
      <c r="AQ60" s="87" t="str">
        <f ca="1"/>
        <v>MVEDDD</v>
      </c>
      <c r="AR60" s="90">
        <f ca="1"/>
        <v>-0.1377551020408164</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MRNA</v>
      </c>
      <c r="F61" s="559">
        <f ca="1"/>
        <v>0.28173453881169197</v>
      </c>
      <c r="G61" s="153" t="str">
        <f ca="1"/>
        <v>MVEDDD</v>
      </c>
      <c r="H61" s="560">
        <f ca="1"/>
        <v>7373.4720789999956</v>
      </c>
      <c r="I61" t="str">
        <f ca="1"/>
        <v>HPE</v>
      </c>
      <c r="J61" s="561">
        <f ca="1"/>
        <v>-7.8949999999999992E-3</v>
      </c>
      <c r="K61" s="153" t="str">
        <f ca="1"/>
        <v>HPE</v>
      </c>
      <c r="L61" s="561">
        <f ca="1"/>
        <v>-7.8949999999999992E-3</v>
      </c>
      <c r="M61" s="1" t="str">
        <f ca="1"/>
        <v>MA</v>
      </c>
      <c r="N61" s="560">
        <f ca="1"/>
        <v>-6053.5000000000082</v>
      </c>
      <c r="O61" t="str">
        <f ca="1"/>
        <v>PW</v>
      </c>
      <c r="P61" s="560">
        <f ca="1"/>
        <v>-2689.6712252399998</v>
      </c>
      <c r="Q61" t="str">
        <f ca="1"/>
        <v>ASML</v>
      </c>
      <c r="R61" s="650">
        <f ca="1"/>
        <v>-5.6893535714285723E-3</v>
      </c>
      <c r="S61" t="str">
        <f ca="1"/>
        <v>BMRA</v>
      </c>
      <c r="T61" s="87">
        <f ca="1"/>
        <v>-562.49999999999636</v>
      </c>
      <c r="U61" t="str">
        <f ca="1"/>
        <v>MVEDDD</v>
      </c>
      <c r="V61" s="87">
        <f ca="1"/>
        <v>-1550</v>
      </c>
      <c r="W61" t="str">
        <f ca="1"/>
        <v>JBEOAN</v>
      </c>
      <c r="X61">
        <f ca="1"/>
        <v>18</v>
      </c>
      <c r="Y61" t="str">
        <f ca="1"/>
        <v>F</v>
      </c>
      <c r="Z61">
        <f ca="1"/>
        <v>12</v>
      </c>
      <c r="AA61" t="str">
        <f ca="1"/>
        <v>MRNA</v>
      </c>
      <c r="AB61">
        <f ca="1"/>
        <v>40</v>
      </c>
      <c r="AC61" t="str">
        <f ca="1"/>
        <v>XPER</v>
      </c>
      <c r="AD61">
        <f ca="1"/>
        <v>34</v>
      </c>
      <c r="AE61" t="str">
        <f ca="1"/>
        <v>XOM</v>
      </c>
      <c r="AF61" s="87">
        <f ca="1"/>
        <v>-28442.659139999996</v>
      </c>
      <c r="AG61" t="str">
        <f ca="1"/>
        <v>MVEORA</v>
      </c>
      <c r="AH61" s="87">
        <f ca="1"/>
        <v>-1710.0000000000009</v>
      </c>
      <c r="AI61" t="str">
        <f ca="1"/>
        <v>MVEORA</v>
      </c>
      <c r="AJ61" s="87">
        <f ca="1"/>
        <v>-42.000000000000171</v>
      </c>
      <c r="AK61" s="90" t="str">
        <f ca="1"/>
        <v>ASML</v>
      </c>
      <c r="AL61" s="310">
        <f ca="1"/>
        <v>-5.6893535714285723E-3</v>
      </c>
      <c r="AM61" t="str">
        <f ca="1"/>
        <v>EOAN</v>
      </c>
      <c r="AN61" s="310">
        <f ca="1"/>
        <v>-4.3266523277770107E-2</v>
      </c>
      <c r="AO61" t="str">
        <f ca="1"/>
        <v>SAFDIS</v>
      </c>
      <c r="AP61" s="310">
        <f ca="1"/>
        <v>4.7163374485596821E-2</v>
      </c>
      <c r="AQ61" s="87" t="str">
        <f ca="1"/>
        <v>MVEORA</v>
      </c>
      <c r="AR61" s="90">
        <f ca="1"/>
        <v>-0.14895470383275269</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SAFMRNA</v>
      </c>
      <c r="F62" s="559">
        <f ca="1"/>
        <v>0.28173453881169197</v>
      </c>
      <c r="G62" s="153" t="str">
        <f ca="1"/>
        <v>ORA</v>
      </c>
      <c r="H62" s="560">
        <f ca="1"/>
        <v>5936.8315200000106</v>
      </c>
      <c r="I62" t="str">
        <f ca="1"/>
        <v>SHECY</v>
      </c>
      <c r="J62" s="561">
        <f ca="1"/>
        <v>-8.0600000000000012E-3</v>
      </c>
      <c r="K62" s="153" t="str">
        <f ca="1"/>
        <v>SHECY</v>
      </c>
      <c r="L62" s="561">
        <f ca="1"/>
        <v>-8.0600000000000012E-3</v>
      </c>
      <c r="M62" s="1" t="str">
        <f ca="1"/>
        <v>VONN</v>
      </c>
      <c r="N62" s="560">
        <f ca="1"/>
        <v>-6069.3333333332248</v>
      </c>
      <c r="O62" t="str">
        <f ca="1"/>
        <v>TSM</v>
      </c>
      <c r="P62" s="560">
        <f ca="1"/>
        <v>-2800.6992000000041</v>
      </c>
      <c r="Q62" t="str">
        <f ca="1"/>
        <v>SAFASML</v>
      </c>
      <c r="R62" s="650">
        <f ca="1"/>
        <v>-5.6893535714285723E-3</v>
      </c>
      <c r="S62" t="str">
        <f ca="1"/>
        <v>LUV</v>
      </c>
      <c r="T62" s="87">
        <f ca="1"/>
        <v>-636</v>
      </c>
      <c r="U62" t="str">
        <f ca="1"/>
        <v>SAFMRNA</v>
      </c>
      <c r="V62" s="87">
        <f ca="1"/>
        <v>-1575</v>
      </c>
      <c r="W62" t="str">
        <f ca="1"/>
        <v>KR</v>
      </c>
      <c r="X62">
        <f ca="1"/>
        <v>19</v>
      </c>
      <c r="Y62" t="str">
        <f ca="1"/>
        <v>JBEOAN</v>
      </c>
      <c r="Z62">
        <f ca="1"/>
        <v>12</v>
      </c>
      <c r="AA62" t="str">
        <f ca="1"/>
        <v>NOTE</v>
      </c>
      <c r="AB62">
        <f ca="1"/>
        <v>40</v>
      </c>
      <c r="AC62" t="str">
        <f ca="1"/>
        <v>MVEORA</v>
      </c>
      <c r="AD62">
        <f ca="1"/>
        <v>34</v>
      </c>
      <c r="AE62" t="str">
        <f ca="1"/>
        <v>DIS</v>
      </c>
      <c r="AF62" s="87">
        <f ca="1"/>
        <v>-32030.585557200044</v>
      </c>
      <c r="AG62" t="str">
        <f ca="1"/>
        <v>POET</v>
      </c>
      <c r="AH62" s="87">
        <f ca="1"/>
        <v>-1986.2500000000005</v>
      </c>
      <c r="AI62" t="str">
        <f ca="1"/>
        <v>C</v>
      </c>
      <c r="AJ62" s="87">
        <f ca="1"/>
        <v>-211.37499999999946</v>
      </c>
      <c r="AK62" s="90" t="str">
        <f ca="1"/>
        <v>SAFASML</v>
      </c>
      <c r="AL62" s="310">
        <f ca="1"/>
        <v>-5.6893535714285723E-3</v>
      </c>
      <c r="AM62" t="str">
        <f ca="1"/>
        <v>SAFDIS</v>
      </c>
      <c r="AN62" s="310">
        <f ca="1"/>
        <v>-4.7281121553946225E-2</v>
      </c>
      <c r="AO62" t="str">
        <f ca="1"/>
        <v>MA</v>
      </c>
      <c r="AP62" s="310">
        <f ca="1"/>
        <v>5.4933751835501164E-2</v>
      </c>
      <c r="AQ62" s="87" t="str">
        <f ca="1"/>
        <v>OXY</v>
      </c>
      <c r="AR62" s="90">
        <f ca="1"/>
        <v>-0.17755830336604886</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POET</v>
      </c>
      <c r="F63" s="559">
        <f ca="1"/>
        <v>0.27700442895846106</v>
      </c>
      <c r="G63" s="153" t="str">
        <f ca="1"/>
        <v>PROF</v>
      </c>
      <c r="H63" s="560">
        <f ca="1"/>
        <v>4374.4551880000254</v>
      </c>
      <c r="I63" t="str">
        <f ca="1"/>
        <v>RIG</v>
      </c>
      <c r="J63" s="561">
        <f ca="1"/>
        <v>-8.4749999999999999E-3</v>
      </c>
      <c r="K63" s="153" t="str">
        <f ca="1"/>
        <v>RIG</v>
      </c>
      <c r="L63" s="561">
        <f ca="1"/>
        <v>-8.4749999999999999E-3</v>
      </c>
      <c r="M63" s="1" t="str">
        <f ca="1"/>
        <v>SAFDIS</v>
      </c>
      <c r="N63" s="560">
        <f ca="1"/>
        <v>-6288.100000000014</v>
      </c>
      <c r="O63" t="str">
        <f ca="1"/>
        <v>BLDP</v>
      </c>
      <c r="P63" s="560">
        <f ca="1"/>
        <v>-3040.6736399999986</v>
      </c>
      <c r="Q63" t="str">
        <f ca="1"/>
        <v>JBASML</v>
      </c>
      <c r="R63" s="650">
        <f ca="1"/>
        <v>-5.6893535714285723E-3</v>
      </c>
      <c r="S63" t="str">
        <f ca="1"/>
        <v>ADEA</v>
      </c>
      <c r="T63" s="87">
        <f ca="1"/>
        <v>-650</v>
      </c>
      <c r="U63" t="str">
        <f ca="1"/>
        <v>HPE</v>
      </c>
      <c r="V63" s="87">
        <f ca="1"/>
        <v>-1702</v>
      </c>
      <c r="W63" t="str">
        <f ca="1"/>
        <v>POET</v>
      </c>
      <c r="X63">
        <f ca="1"/>
        <v>19</v>
      </c>
      <c r="Y63" t="str">
        <f ca="1"/>
        <v>NFLX</v>
      </c>
      <c r="Z63">
        <f ca="1"/>
        <v>13</v>
      </c>
      <c r="AA63" t="str">
        <f ca="1"/>
        <v>MVEGLE</v>
      </c>
      <c r="AB63">
        <f ca="1"/>
        <v>40</v>
      </c>
      <c r="AC63" t="str">
        <f ca="1"/>
        <v>ORA</v>
      </c>
      <c r="AD63">
        <f ca="1"/>
        <v>34</v>
      </c>
      <c r="AE63" t="str">
        <f ca="1"/>
        <v>DXC</v>
      </c>
      <c r="AF63" s="87">
        <f ca="1"/>
        <v>-39622.217614199966</v>
      </c>
      <c r="AG63" t="str">
        <f ca="1"/>
        <v>NOTE</v>
      </c>
      <c r="AH63" s="87">
        <f ca="1"/>
        <v>-2099.7899999999995</v>
      </c>
      <c r="AI63" t="str">
        <f ca="1"/>
        <v>CVS</v>
      </c>
      <c r="AJ63" s="87">
        <f ca="1"/>
        <v>-432.01499999999987</v>
      </c>
      <c r="AK63" s="90" t="str">
        <f ca="1"/>
        <v>JBASML</v>
      </c>
      <c r="AL63" s="310">
        <f ca="1"/>
        <v>-5.6893535714285723E-3</v>
      </c>
      <c r="AM63" t="str">
        <f ca="1"/>
        <v>MA</v>
      </c>
      <c r="AN63" s="310">
        <f ca="1"/>
        <v>-5.4262253078098392E-2</v>
      </c>
      <c r="AO63" t="str">
        <f ca="1"/>
        <v>ADEA</v>
      </c>
      <c r="AP63" s="310">
        <f ca="1"/>
        <v>6.3858401305057003E-2</v>
      </c>
      <c r="AQ63" s="87" t="str">
        <f ca="1"/>
        <v>TSM</v>
      </c>
      <c r="AR63" s="90">
        <f ca="1"/>
        <v>-0.31031502867467836</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PFE</v>
      </c>
      <c r="F64" s="559">
        <f ca="1"/>
        <v>0.27609049062415064</v>
      </c>
      <c r="G64" s="153" t="str">
        <f ca="1"/>
        <v>MVEUN0</v>
      </c>
      <c r="H64" s="560">
        <f ca="1"/>
        <v>-67.626437900002202</v>
      </c>
      <c r="I64" t="str">
        <f ca="1"/>
        <v>DXC</v>
      </c>
      <c r="J64" s="561">
        <f ca="1"/>
        <v>-9.0019999999999996E-3</v>
      </c>
      <c r="K64" s="153" t="str">
        <f ca="1"/>
        <v>DXC</v>
      </c>
      <c r="L64" s="561">
        <f ca="1"/>
        <v>-9.0019999999999996E-3</v>
      </c>
      <c r="M64" s="1" t="str">
        <f ca="1"/>
        <v>MVEUN0</v>
      </c>
      <c r="N64" s="560">
        <f ca="1"/>
        <v>-6546.755000000001</v>
      </c>
      <c r="O64" t="str">
        <f ca="1"/>
        <v>EZJ</v>
      </c>
      <c r="P64" s="560">
        <f ca="1"/>
        <v>-3341.29</v>
      </c>
      <c r="Q64" t="str">
        <f ca="1"/>
        <v>C</v>
      </c>
      <c r="R64" s="650">
        <f ca="1"/>
        <v>-5.9689821428571431E-3</v>
      </c>
      <c r="S64" t="str">
        <f ca="1"/>
        <v>DXC</v>
      </c>
      <c r="T64" s="87">
        <f ca="1"/>
        <v>-660</v>
      </c>
      <c r="U64" t="str">
        <f ca="1"/>
        <v>THC</v>
      </c>
      <c r="V64" s="87">
        <f ca="1"/>
        <v>-1717.5</v>
      </c>
      <c r="W64" t="str">
        <f ca="1"/>
        <v>RWE</v>
      </c>
      <c r="X64">
        <f ca="1"/>
        <v>19</v>
      </c>
      <c r="Y64" t="str">
        <f ca="1"/>
        <v>ADEA</v>
      </c>
      <c r="Z64">
        <f ca="1"/>
        <v>14</v>
      </c>
      <c r="AA64" t="str">
        <f ca="1"/>
        <v>GLE</v>
      </c>
      <c r="AB64">
        <f ca="1"/>
        <v>40</v>
      </c>
      <c r="AC64" t="str">
        <f ca="1"/>
        <v>PFE</v>
      </c>
      <c r="AD64">
        <f ca="1"/>
        <v>34</v>
      </c>
      <c r="AE64" t="str">
        <f ca="1"/>
        <v>DVA</v>
      </c>
      <c r="AF64" s="87">
        <f ca="1"/>
        <v>-49322.716506000055</v>
      </c>
      <c r="AG64" t="str">
        <f ca="1"/>
        <v>THC</v>
      </c>
      <c r="AH64" s="87">
        <f ca="1"/>
        <v>-2297.9999999999991</v>
      </c>
      <c r="AI64" t="str">
        <f ca="1"/>
        <v>RIG</v>
      </c>
      <c r="AJ64" s="87">
        <f ca="1"/>
        <v>-699.99999999999841</v>
      </c>
      <c r="AK64" s="90" t="str">
        <f ca="1"/>
        <v>C</v>
      </c>
      <c r="AL64" s="310">
        <f ca="1"/>
        <v>-5.9689821428571431E-3</v>
      </c>
      <c r="AM64" t="str">
        <f ca="1"/>
        <v>ADEA</v>
      </c>
      <c r="AN64" s="310">
        <f ca="1"/>
        <v>-6.2154894537422352E-2</v>
      </c>
      <c r="AO64" t="str">
        <f ca="1"/>
        <v>DIS</v>
      </c>
      <c r="AP64" s="310">
        <f ca="1"/>
        <v>8.5472174738841417E-2</v>
      </c>
      <c r="AQ64" s="87" t="str">
        <f ca="1"/>
        <v>C</v>
      </c>
      <c r="AR64" s="90">
        <f ca="1"/>
        <v>-0.3162587932230288</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ADEA</v>
      </c>
      <c r="F65" s="559">
        <f ca="1"/>
        <v>0.26803017315275157</v>
      </c>
      <c r="G65" s="153" t="str">
        <f ca="1"/>
        <v>EPIX</v>
      </c>
      <c r="H65" s="560">
        <f ca="1"/>
        <v>-364.48661255999286</v>
      </c>
      <c r="I65" t="str">
        <f ca="1"/>
        <v>NVS</v>
      </c>
      <c r="J65" s="561">
        <f ca="1"/>
        <v>-9.1400000000000006E-3</v>
      </c>
      <c r="K65" s="153" t="str">
        <f ca="1"/>
        <v>NVS</v>
      </c>
      <c r="L65" s="561">
        <f ca="1"/>
        <v>-9.1400000000000006E-3</v>
      </c>
      <c r="M65" s="1" t="str">
        <f ca="1"/>
        <v>DIS</v>
      </c>
      <c r="N65" s="560">
        <f ca="1"/>
        <v>-9274</v>
      </c>
      <c r="O65" t="str">
        <f ca="1"/>
        <v>ADEA</v>
      </c>
      <c r="P65" s="560">
        <f ca="1"/>
        <v>-4588.04</v>
      </c>
      <c r="Q65" t="str">
        <f ca="1"/>
        <v>GM</v>
      </c>
      <c r="R65" s="650">
        <f ca="1"/>
        <v>-6.0879702380952387E-3</v>
      </c>
      <c r="S65" t="str">
        <f ca="1"/>
        <v>XYZ</v>
      </c>
      <c r="T65" s="87">
        <f ca="1"/>
        <v>-663</v>
      </c>
      <c r="U65" t="str">
        <f ca="1"/>
        <v>AVGO</v>
      </c>
      <c r="V65" s="87">
        <f ca="1"/>
        <v>-1782</v>
      </c>
      <c r="W65" t="str">
        <f ca="1"/>
        <v>SSYS</v>
      </c>
      <c r="X65">
        <f ca="1"/>
        <v>19</v>
      </c>
      <c r="Y65" t="str">
        <f ca="1"/>
        <v>BLDP</v>
      </c>
      <c r="Z65">
        <f ca="1"/>
        <v>14</v>
      </c>
      <c r="AA65" t="str">
        <f ca="1"/>
        <v>SSYS</v>
      </c>
      <c r="AB65">
        <f ca="1"/>
        <v>39</v>
      </c>
      <c r="AC65" t="str">
        <f ca="1"/>
        <v>TSLA</v>
      </c>
      <c r="AD65">
        <f ca="1"/>
        <v>33</v>
      </c>
      <c r="AE65" t="str">
        <f ca="1"/>
        <v>MVEGLE</v>
      </c>
      <c r="AF65" s="87">
        <f ca="1"/>
        <v>-53562.852270000003</v>
      </c>
      <c r="AG65" t="str">
        <f ca="1"/>
        <v>SSYS</v>
      </c>
      <c r="AH65" s="87">
        <f ca="1"/>
        <v>-2400.0000000000023</v>
      </c>
      <c r="AI65" t="str">
        <f ca="1"/>
        <v>LUMN</v>
      </c>
      <c r="AJ65" s="87">
        <f ca="1"/>
        <v>-707.84999999999991</v>
      </c>
      <c r="AK65" s="90" t="str">
        <f ca="1"/>
        <v>GM</v>
      </c>
      <c r="AL65" s="310">
        <f ca="1"/>
        <v>-6.0879702380952387E-3</v>
      </c>
      <c r="AM65" t="str">
        <f ca="1"/>
        <v>DIS</v>
      </c>
      <c r="AN65" s="310">
        <f ca="1"/>
        <v>-8.0732867840871414E-2</v>
      </c>
      <c r="AO65" t="str">
        <f ca="1"/>
        <v>AET</v>
      </c>
      <c r="AP65" s="310">
        <f ca="1"/>
        <v>9.1556175628726325E-2</v>
      </c>
      <c r="AQ65" s="87" t="str">
        <f ca="1"/>
        <v>THC</v>
      </c>
      <c r="AR65" s="90">
        <f ca="1"/>
        <v>-0.32626288440241913</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HPQ</v>
      </c>
      <c r="F66" s="559">
        <f ca="1"/>
        <v>0.26374238355573848</v>
      </c>
      <c r="G66" s="153" t="str">
        <f ca="1"/>
        <v>PW</v>
      </c>
      <c r="H66" s="560">
        <f ca="1"/>
        <v>-8135.5847717999959</v>
      </c>
      <c r="I66" t="str">
        <f ca="1"/>
        <v>DIS</v>
      </c>
      <c r="J66" s="561">
        <f ca="1"/>
        <v>-9.221E-3</v>
      </c>
      <c r="K66" s="153" t="str">
        <f ca="1"/>
        <v>DIS</v>
      </c>
      <c r="L66" s="561">
        <f ca="1"/>
        <v>-9.221E-3</v>
      </c>
      <c r="M66" s="1" t="str">
        <f ca="1"/>
        <v>EOAN</v>
      </c>
      <c r="N66" s="560">
        <f ca="1"/>
        <v>-10406.999999999993</v>
      </c>
      <c r="O66" t="str">
        <f ca="1"/>
        <v>UN0</v>
      </c>
      <c r="P66" s="560">
        <f ca="1"/>
        <v>-4904.2851192999988</v>
      </c>
      <c r="Q66" t="str">
        <f ca="1"/>
        <v>XPER</v>
      </c>
      <c r="R66" s="650">
        <f ca="1"/>
        <v>-6.2279702380952373E-3</v>
      </c>
      <c r="S66" t="str">
        <f ca="1"/>
        <v>VTRS</v>
      </c>
      <c r="T66" s="87">
        <f ca="1"/>
        <v>-675</v>
      </c>
      <c r="U66" t="str">
        <f ca="1"/>
        <v>NVAX</v>
      </c>
      <c r="V66" s="87">
        <f ca="1"/>
        <v>-1942.5000000000036</v>
      </c>
      <c r="W66" t="str">
        <f ca="1"/>
        <v>TSLA</v>
      </c>
      <c r="X66">
        <f ca="1"/>
        <v>19</v>
      </c>
      <c r="Y66" t="str">
        <f ca="1"/>
        <v>DDD</v>
      </c>
      <c r="Z66">
        <f ca="1"/>
        <v>14</v>
      </c>
      <c r="AA66" t="str">
        <f ca="1"/>
        <v>NVAX</v>
      </c>
      <c r="AB66">
        <f ca="1"/>
        <v>39</v>
      </c>
      <c r="AC66" t="str">
        <f ca="1"/>
        <v>LUV</v>
      </c>
      <c r="AD66">
        <f ca="1"/>
        <v>33</v>
      </c>
      <c r="AE66" t="str">
        <f ca="1"/>
        <v>BMRA</v>
      </c>
      <c r="AF66" s="87">
        <f ca="1"/>
        <v>-55591.162199999992</v>
      </c>
      <c r="AG66" t="str">
        <f ca="1"/>
        <v>UN0</v>
      </c>
      <c r="AH66" s="87">
        <f ca="1"/>
        <v>-2446.744999999999</v>
      </c>
      <c r="AI66" t="str">
        <f ca="1"/>
        <v>PROF</v>
      </c>
      <c r="AJ66" s="87">
        <f ca="1"/>
        <v>-759.99999999999977</v>
      </c>
      <c r="AK66" s="90" t="str">
        <f ca="1"/>
        <v>XPER</v>
      </c>
      <c r="AL66" s="310">
        <f ca="1"/>
        <v>-6.2279702380952373E-3</v>
      </c>
      <c r="AM66" t="str">
        <f ca="1"/>
        <v>AET</v>
      </c>
      <c r="AN66" s="310">
        <f ca="1"/>
        <v>-8.5829949749292492E-2</v>
      </c>
      <c r="AO66" t="str">
        <f ca="1"/>
        <v>HPQ</v>
      </c>
      <c r="AP66" s="310">
        <f ca="1"/>
        <v>0.15525270629991128</v>
      </c>
      <c r="AQ66" s="87" t="str">
        <f ca="1"/>
        <v>ALDNE</v>
      </c>
      <c r="AR66" s="90">
        <f ca="1"/>
        <v>-0.38080251770259654</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UNIT</v>
      </c>
      <c r="F67" s="559">
        <f ca="1"/>
        <v>0.26303192443508255</v>
      </c>
      <c r="G67" s="153" t="str">
        <f ca="1"/>
        <v>PFE</v>
      </c>
      <c r="H67" s="560">
        <f ca="1"/>
        <v>-8157.8184028000032</v>
      </c>
      <c r="I67" t="str">
        <f ca="1"/>
        <v>SAFDIS</v>
      </c>
      <c r="J67" s="561">
        <f ca="1"/>
        <v>-9.221E-3</v>
      </c>
      <c r="K67" s="153" t="str">
        <f ca="1"/>
        <v>SAFDIS</v>
      </c>
      <c r="L67" s="561">
        <f ca="1"/>
        <v>-9.221E-3</v>
      </c>
      <c r="M67" s="1" t="str">
        <f ca="1"/>
        <v>XYZ</v>
      </c>
      <c r="N67" s="560">
        <f ca="1"/>
        <v>-11667</v>
      </c>
      <c r="O67" t="str">
        <f ca="1"/>
        <v>MSFT</v>
      </c>
      <c r="P67" s="560">
        <f ca="1"/>
        <v>-5584.9412999999968</v>
      </c>
      <c r="Q67" t="str">
        <f ca="1"/>
        <v>EZJ</v>
      </c>
      <c r="R67" s="650">
        <f ca="1"/>
        <v>-6.2637761904761908E-3</v>
      </c>
      <c r="S67" t="str">
        <f ca="1"/>
        <v>HPQ</v>
      </c>
      <c r="T67" s="87">
        <f ca="1"/>
        <v>-700</v>
      </c>
      <c r="U67" t="str">
        <f ca="1"/>
        <v>MVEGLE</v>
      </c>
      <c r="V67" s="87">
        <f ca="1"/>
        <v>-1960</v>
      </c>
      <c r="W67" t="str">
        <f ca="1"/>
        <v>MVESAP</v>
      </c>
      <c r="X67">
        <f ca="1"/>
        <v>19</v>
      </c>
      <c r="Y67" t="str">
        <f ca="1"/>
        <v>DVA</v>
      </c>
      <c r="Z67">
        <f ca="1"/>
        <v>14</v>
      </c>
      <c r="AA67" t="str">
        <f ca="1"/>
        <v>PFE</v>
      </c>
      <c r="AB67">
        <f ca="1"/>
        <v>39</v>
      </c>
      <c r="AC67" t="str">
        <f ca="1"/>
        <v>DVA</v>
      </c>
      <c r="AD67">
        <f ca="1"/>
        <v>32</v>
      </c>
      <c r="AE67" t="str">
        <f ca="1"/>
        <v>XPER</v>
      </c>
      <c r="AF67" s="87">
        <f ca="1"/>
        <v>-67298.923439999984</v>
      </c>
      <c r="AG67" t="str">
        <f ca="1"/>
        <v>SHECY</v>
      </c>
      <c r="AH67" s="87">
        <f ca="1"/>
        <v>-2593.8360000000002</v>
      </c>
      <c r="AI67" t="str">
        <f ca="1"/>
        <v>AVGO</v>
      </c>
      <c r="AJ67" s="87">
        <f ca="1"/>
        <v>-1130.0000000000068</v>
      </c>
      <c r="AK67" s="90" t="str">
        <f ca="1"/>
        <v>EZJ</v>
      </c>
      <c r="AL67" s="310">
        <f ca="1"/>
        <v>-6.2637761904761908E-3</v>
      </c>
      <c r="AM67" t="str">
        <f ca="1"/>
        <v>HPQ</v>
      </c>
      <c r="AN67" s="310">
        <f ca="1"/>
        <v>-0.13597782205532991</v>
      </c>
      <c r="AO67" t="str">
        <f ca="1"/>
        <v>SAP</v>
      </c>
      <c r="AP67" s="310">
        <f ca="1"/>
        <v>0.1678769496734536</v>
      </c>
      <c r="AQ67" s="87" t="str">
        <f ca="1"/>
        <v>ADEA</v>
      </c>
      <c r="AR67" s="90">
        <f ca="1"/>
        <v>-0.40218947368421054</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BLNK</v>
      </c>
      <c r="F68" s="559">
        <f ca="1"/>
        <v>0.25815887401400817</v>
      </c>
      <c r="G68" s="153" t="str">
        <f ca="1"/>
        <v>F</v>
      </c>
      <c r="H68" s="560">
        <f ca="1"/>
        <v>-12652.812</v>
      </c>
      <c r="I68" t="str">
        <f ca="1"/>
        <v>DVA</v>
      </c>
      <c r="J68" s="561">
        <f ca="1"/>
        <v>-1.2054E-2</v>
      </c>
      <c r="K68" s="153" t="str">
        <f ca="1"/>
        <v>DVA</v>
      </c>
      <c r="L68" s="561">
        <f ca="1"/>
        <v>-1.2054E-2</v>
      </c>
      <c r="M68" s="1" t="str">
        <f ca="1"/>
        <v>NVAX</v>
      </c>
      <c r="N68" s="560">
        <f ca="1"/>
        <v>-15092.099999999999</v>
      </c>
      <c r="O68" t="str">
        <f ca="1"/>
        <v>SAFDIS</v>
      </c>
      <c r="P68" s="560">
        <f ca="1"/>
        <v>-5815.9391400000004</v>
      </c>
      <c r="Q68" t="str">
        <f ca="1"/>
        <v>SSYS</v>
      </c>
      <c r="R68" s="650">
        <f ca="1"/>
        <v>-6.6501369047619035E-3</v>
      </c>
      <c r="S68" t="str">
        <f ca="1"/>
        <v>PAAS</v>
      </c>
      <c r="T68" s="87">
        <f ca="1"/>
        <v>-740</v>
      </c>
      <c r="U68" t="str">
        <f ca="1"/>
        <v>DXC</v>
      </c>
      <c r="V68" s="87">
        <f ca="1"/>
        <v>-1980</v>
      </c>
      <c r="W68" t="str">
        <f ca="1"/>
        <v>EZJ</v>
      </c>
      <c r="X68">
        <f ca="1"/>
        <v>19</v>
      </c>
      <c r="Y68" t="str">
        <f ca="1"/>
        <v>HPE</v>
      </c>
      <c r="Z68">
        <f ca="1"/>
        <v>14</v>
      </c>
      <c r="AA68" t="str">
        <f ca="1"/>
        <v>DVA</v>
      </c>
      <c r="AB68">
        <f ca="1"/>
        <v>38</v>
      </c>
      <c r="AC68" t="str">
        <f ca="1"/>
        <v>LOCK</v>
      </c>
      <c r="AD68">
        <f ca="1"/>
        <v>32</v>
      </c>
      <c r="AE68" t="str">
        <f ca="1"/>
        <v>HPQ</v>
      </c>
      <c r="AF68" s="87">
        <f ca="1"/>
        <v>-68433.257059199939</v>
      </c>
      <c r="AG68" t="str">
        <f ca="1"/>
        <v>PW</v>
      </c>
      <c r="AH68" s="87">
        <f ca="1"/>
        <v>-3318.9155999999998</v>
      </c>
      <c r="AI68" t="str">
        <f ca="1"/>
        <v>NEE</v>
      </c>
      <c r="AJ68" s="87">
        <f ca="1"/>
        <v>-1133.1599999999958</v>
      </c>
      <c r="AK68" s="90" t="str">
        <f ca="1"/>
        <v>SSYS</v>
      </c>
      <c r="AL68" s="310">
        <f ca="1"/>
        <v>-6.6501369047619035E-3</v>
      </c>
      <c r="AM68" t="str">
        <f ca="1"/>
        <v>SAP</v>
      </c>
      <c r="AN68" s="310">
        <f ca="1"/>
        <v>-0.14526873822824071</v>
      </c>
      <c r="AO68" t="str">
        <f ca="1"/>
        <v>SHECY</v>
      </c>
      <c r="AP68" s="310">
        <f ca="1"/>
        <v>0.18034237574307946</v>
      </c>
      <c r="AQ68" s="87" t="str">
        <f ca="1"/>
        <v>SAFMRNA</v>
      </c>
      <c r="AR68" s="90">
        <f ca="1"/>
        <v>-0.44782319979214202</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DVA</v>
      </c>
      <c r="F69" s="559">
        <f ca="1"/>
        <v>0.25765225257265678</v>
      </c>
      <c r="G69" s="153" t="str">
        <f ca="1"/>
        <v>DSY</v>
      </c>
      <c r="H69" s="560">
        <f ca="1"/>
        <v>-12845.947739200055</v>
      </c>
      <c r="I69" t="str">
        <f ca="1"/>
        <v>XOM</v>
      </c>
      <c r="J69" s="561">
        <f ca="1"/>
        <v>-1.2182E-2</v>
      </c>
      <c r="K69" s="153" t="str">
        <f ca="1"/>
        <v>XOM</v>
      </c>
      <c r="L69" s="561">
        <f ca="1"/>
        <v>-1.2182E-2</v>
      </c>
      <c r="M69" s="1" t="str">
        <f ca="1"/>
        <v>HPQ</v>
      </c>
      <c r="N69" s="560">
        <f ca="1"/>
        <v>-17790</v>
      </c>
      <c r="O69" t="str">
        <f ca="1"/>
        <v>HPE</v>
      </c>
      <c r="P69" s="560">
        <f ca="1"/>
        <v>-6077.1582000000026</v>
      </c>
      <c r="Q69" t="str">
        <f ca="1"/>
        <v>ALDNE</v>
      </c>
      <c r="R69" s="650">
        <f ca="1"/>
        <v>-7.1159226190476189E-3</v>
      </c>
      <c r="S69" t="str">
        <f ca="1"/>
        <v>DIS</v>
      </c>
      <c r="T69" s="87">
        <f ca="1"/>
        <v>-765</v>
      </c>
      <c r="U69" t="str">
        <f ca="1"/>
        <v>VTRS</v>
      </c>
      <c r="V69" s="87">
        <f ca="1"/>
        <v>-2175</v>
      </c>
      <c r="W69" t="str">
        <f ca="1"/>
        <v>GNRC</v>
      </c>
      <c r="X69">
        <f ca="1"/>
        <v>19</v>
      </c>
      <c r="Y69" t="str">
        <f ca="1"/>
        <v>SAFDIS</v>
      </c>
      <c r="Z69">
        <f ca="1"/>
        <v>14</v>
      </c>
      <c r="AA69" t="str">
        <f ca="1"/>
        <v>GM</v>
      </c>
      <c r="AB69">
        <f ca="1"/>
        <v>37</v>
      </c>
      <c r="AC69" t="str">
        <f ca="1"/>
        <v>VTRS</v>
      </c>
      <c r="AD69">
        <f ca="1"/>
        <v>31</v>
      </c>
      <c r="AE69" t="str">
        <f ca="1"/>
        <v>LAZR</v>
      </c>
      <c r="AF69" s="87">
        <f ca="1"/>
        <v>-84588.960959999968</v>
      </c>
      <c r="AG69" t="str">
        <f ca="1"/>
        <v>HPE</v>
      </c>
      <c r="AH69" s="87">
        <f ca="1"/>
        <v>-3410.9999999999991</v>
      </c>
      <c r="AI69" t="str">
        <f ca="1"/>
        <v>AZN</v>
      </c>
      <c r="AJ69" s="87">
        <f ca="1"/>
        <v>-1375.0500000000015</v>
      </c>
      <c r="AK69" s="90" t="str">
        <f ca="1"/>
        <v>ALDNE</v>
      </c>
      <c r="AL69" s="310">
        <f ca="1"/>
        <v>-7.1159226190476189E-3</v>
      </c>
      <c r="AM69" t="str">
        <f ca="1"/>
        <v>SHECY</v>
      </c>
      <c r="AN69" s="310">
        <f ca="1"/>
        <v>-0.15424819442411875</v>
      </c>
      <c r="AO69" t="str">
        <f ca="1"/>
        <v>MVEDDD</v>
      </c>
      <c r="AP69" s="310">
        <f ca="1"/>
        <v>0.19544400977995124</v>
      </c>
      <c r="AQ69" s="87" t="str">
        <f ca="1"/>
        <v>MA</v>
      </c>
      <c r="AR69" s="90">
        <f ca="1"/>
        <v>-0.45221749305140074</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NEM</v>
      </c>
      <c r="F70" s="559">
        <f ca="1"/>
        <v>0.25524794759567165</v>
      </c>
      <c r="G70" s="153" t="str">
        <f ca="1"/>
        <v>LNSR</v>
      </c>
      <c r="H70" s="560">
        <f ca="1"/>
        <v>-16070.660160479994</v>
      </c>
      <c r="I70" t="str">
        <f ca="1"/>
        <v>MVEORA</v>
      </c>
      <c r="J70" s="561">
        <f ca="1"/>
        <v>-1.2894000000000001E-2</v>
      </c>
      <c r="K70" s="153" t="str">
        <f ca="1"/>
        <v>MVEORA</v>
      </c>
      <c r="L70" s="561">
        <f ca="1"/>
        <v>-1.2894000000000001E-2</v>
      </c>
      <c r="M70" s="1" t="str">
        <f ca="1"/>
        <v>MVESAP</v>
      </c>
      <c r="N70" s="560">
        <f ca="1"/>
        <v>-19957.38</v>
      </c>
      <c r="O70" t="str">
        <f ca="1"/>
        <v>HPQ</v>
      </c>
      <c r="P70" s="560">
        <f ca="1"/>
        <v>-6383.3600000000015</v>
      </c>
      <c r="Q70" t="str">
        <f ca="1"/>
        <v>MVEALDNE</v>
      </c>
      <c r="R70" s="650">
        <f ca="1"/>
        <v>-7.1159226190476189E-3</v>
      </c>
      <c r="S70" t="str">
        <f ca="1"/>
        <v>HPE</v>
      </c>
      <c r="T70" s="87">
        <f ca="1"/>
        <v>-782</v>
      </c>
      <c r="U70" t="str">
        <f ca="1"/>
        <v>BMRA</v>
      </c>
      <c r="V70" s="87">
        <f ca="1"/>
        <v>-2762.4999999999964</v>
      </c>
      <c r="W70" t="str">
        <f ca="1"/>
        <v>LAZR</v>
      </c>
      <c r="X70">
        <f ca="1"/>
        <v>19</v>
      </c>
      <c r="Y70" t="str">
        <f ca="1"/>
        <v>MA</v>
      </c>
      <c r="Z70">
        <f ca="1"/>
        <v>14</v>
      </c>
      <c r="AA70" t="str">
        <f ca="1"/>
        <v>ALDNE</v>
      </c>
      <c r="AB70">
        <f ca="1"/>
        <v>36</v>
      </c>
      <c r="AC70" t="str">
        <f ca="1"/>
        <v>MA</v>
      </c>
      <c r="AD70">
        <f ca="1"/>
        <v>27</v>
      </c>
      <c r="AE70" t="str">
        <f ca="1"/>
        <v>XYZ</v>
      </c>
      <c r="AF70" s="87">
        <f ca="1"/>
        <v>-89578.700640000025</v>
      </c>
      <c r="AG70" t="str">
        <f ca="1"/>
        <v>ALDNE</v>
      </c>
      <c r="AH70" s="87">
        <f ca="1"/>
        <v>-3630.0000000000014</v>
      </c>
      <c r="AI70" t="str">
        <f ca="1"/>
        <v>SAFAAPL</v>
      </c>
      <c r="AJ70" s="87">
        <f ca="1"/>
        <v>-1504.4999999999959</v>
      </c>
      <c r="AK70" s="90" t="str">
        <f ca="1"/>
        <v>MVEALDNE</v>
      </c>
      <c r="AL70" s="310">
        <f ca="1"/>
        <v>-7.1159226190476189E-3</v>
      </c>
      <c r="AM70" t="str">
        <f ca="1"/>
        <v>MVEDDD</v>
      </c>
      <c r="AN70" s="310">
        <f ca="1"/>
        <v>-0.16487632653061232</v>
      </c>
      <c r="AO70" t="str">
        <f ca="1"/>
        <v>GNRC</v>
      </c>
      <c r="AP70" s="310">
        <f ca="1"/>
        <v>0.22919098493959961</v>
      </c>
      <c r="AQ70" s="87" t="str">
        <f ca="1"/>
        <v>DSY</v>
      </c>
      <c r="AR70" s="90">
        <f ca="1"/>
        <v>-0.45416550571189768</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VTRS</v>
      </c>
      <c r="F71" s="559">
        <f ca="1"/>
        <v>0.24387796432297706</v>
      </c>
      <c r="G71" s="153" t="str">
        <f ca="1"/>
        <v>LUV</v>
      </c>
      <c r="H71" s="560">
        <f ca="1"/>
        <v>-19866.009570000002</v>
      </c>
      <c r="I71" t="str">
        <f ca="1"/>
        <v>ORA</v>
      </c>
      <c r="J71" s="561">
        <f ca="1"/>
        <v>-1.2894000000000001E-2</v>
      </c>
      <c r="K71" s="153" t="str">
        <f ca="1"/>
        <v>ORA</v>
      </c>
      <c r="L71" s="561">
        <f ca="1"/>
        <v>-1.2894000000000001E-2</v>
      </c>
      <c r="M71" s="1" t="str">
        <f ca="1"/>
        <v>DXC</v>
      </c>
      <c r="N71" s="560">
        <f ca="1"/>
        <v>-22395</v>
      </c>
      <c r="O71" t="str">
        <f ca="1"/>
        <v>SAP</v>
      </c>
      <c r="P71" s="560">
        <f ca="1"/>
        <v>-6443.2040000000015</v>
      </c>
      <c r="Q71" t="str">
        <f ca="1"/>
        <v>RWE</v>
      </c>
      <c r="R71" s="650">
        <f ca="1"/>
        <v>-7.1381785714285722E-3</v>
      </c>
      <c r="S71" t="str">
        <f ca="1"/>
        <v>SSYS</v>
      </c>
      <c r="T71" s="87">
        <f ca="1"/>
        <v>-800</v>
      </c>
      <c r="U71" t="str">
        <f ca="1"/>
        <v>LUV</v>
      </c>
      <c r="V71" s="87">
        <f ca="1"/>
        <v>-2814</v>
      </c>
      <c r="W71" t="str">
        <f ca="1"/>
        <v>ADEA</v>
      </c>
      <c r="X71">
        <f ca="1"/>
        <v>20</v>
      </c>
      <c r="Y71" t="str">
        <f ca="1"/>
        <v>THC</v>
      </c>
      <c r="Z71">
        <f ca="1"/>
        <v>14</v>
      </c>
      <c r="AA71" t="str">
        <f ca="1"/>
        <v>MVEALDNE</v>
      </c>
      <c r="AB71">
        <f ca="1"/>
        <v>36</v>
      </c>
      <c r="AC71" t="str">
        <f ca="1"/>
        <v>HPE</v>
      </c>
      <c r="AD71">
        <f ca="1"/>
        <v>26</v>
      </c>
      <c r="AE71" t="str">
        <f ca="1"/>
        <v>ALDNE</v>
      </c>
      <c r="AF71" s="87">
        <f ca="1"/>
        <v>-93961.067746500019</v>
      </c>
      <c r="AG71" t="str">
        <f ca="1"/>
        <v>MA</v>
      </c>
      <c r="AH71" s="87">
        <f ca="1"/>
        <v>-3980.7500000000005</v>
      </c>
      <c r="AI71" t="str">
        <f ca="1"/>
        <v>ENI</v>
      </c>
      <c r="AJ71" s="87">
        <f ca="1"/>
        <v>-1790.0000000000027</v>
      </c>
      <c r="AK71" s="90" t="str">
        <f ca="1"/>
        <v>RWE</v>
      </c>
      <c r="AL71" s="310">
        <f ca="1"/>
        <v>-7.1381785714285722E-3</v>
      </c>
      <c r="AM71" t="str">
        <f ca="1"/>
        <v>GNRC</v>
      </c>
      <c r="AN71" s="310">
        <f ca="1"/>
        <v>-0.18768470560782102</v>
      </c>
      <c r="AO71" t="str">
        <f ca="1"/>
        <v>MVESAP</v>
      </c>
      <c r="AP71" s="310">
        <f ca="1"/>
        <v>0.23958504832808492</v>
      </c>
      <c r="AQ71" s="87" t="str">
        <f ca="1"/>
        <v>DIS</v>
      </c>
      <c r="AR71" s="90">
        <f ca="1"/>
        <v>-0.47025542890423477</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PROF</v>
      </c>
      <c r="F72" s="559">
        <f ca="1"/>
        <v>0.23560663703229079</v>
      </c>
      <c r="G72" s="153" t="str">
        <f ca="1"/>
        <v>WBA</v>
      </c>
      <c r="H72" s="560">
        <f ca="1"/>
        <v>-21904.963563000005</v>
      </c>
      <c r="I72" t="str">
        <f ca="1"/>
        <v>LUMN</v>
      </c>
      <c r="J72" s="561">
        <f ca="1"/>
        <v>-1.3779999999999999E-2</v>
      </c>
      <c r="K72" s="153" t="str">
        <f ca="1"/>
        <v>LUMN</v>
      </c>
      <c r="L72" s="561">
        <f ca="1"/>
        <v>-1.3779999999999999E-2</v>
      </c>
      <c r="M72" s="1" t="str">
        <f ca="1"/>
        <v>UNIT</v>
      </c>
      <c r="N72" s="560">
        <f ca="1"/>
        <v>-24490.475000000006</v>
      </c>
      <c r="O72" t="str">
        <f ca="1"/>
        <v>BLNK</v>
      </c>
      <c r="P72" s="560">
        <f ca="1"/>
        <v>-6522.9959999999992</v>
      </c>
      <c r="Q72" t="str">
        <f ca="1"/>
        <v>MVESAP</v>
      </c>
      <c r="R72" s="650">
        <f ca="1"/>
        <v>-7.1381785714285722E-3</v>
      </c>
      <c r="S72" t="str">
        <f ca="1"/>
        <v>SAFDIS</v>
      </c>
      <c r="T72" s="87">
        <f ca="1"/>
        <v>-918</v>
      </c>
      <c r="U72" t="str">
        <f ca="1"/>
        <v>POET</v>
      </c>
      <c r="V72" s="87">
        <f ca="1"/>
        <v>-3441</v>
      </c>
      <c r="W72" t="str">
        <f ca="1"/>
        <v>AZN</v>
      </c>
      <c r="X72">
        <f ca="1"/>
        <v>20</v>
      </c>
      <c r="Y72" t="str">
        <f ca="1"/>
        <v>AVGO</v>
      </c>
      <c r="Z72">
        <f ca="1"/>
        <v>15</v>
      </c>
      <c r="AA72" t="str">
        <f ca="1"/>
        <v>POET</v>
      </c>
      <c r="AB72">
        <f ca="1"/>
        <v>35</v>
      </c>
      <c r="AC72" t="str">
        <f ca="1"/>
        <v>GNRC</v>
      </c>
      <c r="AD72">
        <f ca="1"/>
        <v>26</v>
      </c>
      <c r="AE72" t="str">
        <f ca="1"/>
        <v>DDD</v>
      </c>
      <c r="AF72" s="87">
        <f ca="1"/>
        <v>-98474.870700000029</v>
      </c>
      <c r="AG72" t="str">
        <f ca="1"/>
        <v>MVEDDD</v>
      </c>
      <c r="AH72" s="87">
        <f ca="1"/>
        <v>-4050.0000000000023</v>
      </c>
      <c r="AI72" t="str">
        <f ca="1"/>
        <v>VTRS</v>
      </c>
      <c r="AJ72" s="87">
        <f ca="1"/>
        <v>-2374.9999999999982</v>
      </c>
      <c r="AK72" s="90" t="str">
        <f ca="1"/>
        <v>MVESAP</v>
      </c>
      <c r="AL72" s="310">
        <f ca="1"/>
        <v>-7.1381785714285722E-3</v>
      </c>
      <c r="AM72" t="str">
        <f ca="1"/>
        <v>MVESAP</v>
      </c>
      <c r="AN72" s="310">
        <f ca="1"/>
        <v>-0.19446005047923623</v>
      </c>
      <c r="AO72" t="str">
        <f ca="1"/>
        <v>DSY</v>
      </c>
      <c r="AP72" s="310">
        <f ca="1"/>
        <v>0.28364893071000868</v>
      </c>
      <c r="AQ72" s="87" t="str">
        <f ca="1"/>
        <v>DXC</v>
      </c>
      <c r="AR72" s="90">
        <f ca="1"/>
        <v>-0.48696406556778254</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LNSR</v>
      </c>
      <c r="F73" s="559">
        <f ca="1"/>
        <v>0.23353369276031477</v>
      </c>
      <c r="G73" s="153" t="str">
        <f ca="1"/>
        <v>UNIT</v>
      </c>
      <c r="H73" s="560">
        <f ca="1"/>
        <v>-24776.684364999994</v>
      </c>
      <c r="I73" t="str">
        <f ca="1"/>
        <v>MSFT</v>
      </c>
      <c r="J73" s="561">
        <f ca="1"/>
        <v>-1.4581E-2</v>
      </c>
      <c r="K73" s="153" t="str">
        <f ca="1"/>
        <v>MSFT</v>
      </c>
      <c r="L73" s="561">
        <f ca="1"/>
        <v>-1.4581E-2</v>
      </c>
      <c r="M73" s="1" t="str">
        <f ca="1"/>
        <v>XPER</v>
      </c>
      <c r="N73" s="560">
        <f ca="1"/>
        <v>-25767.999999999996</v>
      </c>
      <c r="O73" t="str">
        <f ca="1"/>
        <v>MA</v>
      </c>
      <c r="P73" s="560">
        <f ca="1"/>
        <v>-6642.4346499999965</v>
      </c>
      <c r="Q73" t="str">
        <f ca="1"/>
        <v>EPIX</v>
      </c>
      <c r="R73" s="650">
        <f ca="1"/>
        <v>-7.434176190476191E-3</v>
      </c>
      <c r="S73" t="str">
        <f ca="1"/>
        <v>NVAX</v>
      </c>
      <c r="T73" s="87">
        <f ca="1"/>
        <v>-967.50000000000364</v>
      </c>
      <c r="U73" t="str">
        <f ca="1"/>
        <v>EOAN</v>
      </c>
      <c r="V73" s="87">
        <f ca="1"/>
        <v>-3600</v>
      </c>
      <c r="W73" t="str">
        <f ca="1"/>
        <v>BLDP</v>
      </c>
      <c r="X73">
        <f ca="1"/>
        <v>20</v>
      </c>
      <c r="Y73" t="str">
        <f ca="1"/>
        <v>XPER</v>
      </c>
      <c r="Z73">
        <f ca="1"/>
        <v>15</v>
      </c>
      <c r="AA73" t="str">
        <f ca="1"/>
        <v>RWE</v>
      </c>
      <c r="AB73">
        <f ca="1"/>
        <v>35</v>
      </c>
      <c r="AC73" t="str">
        <f ca="1"/>
        <v>NVAX</v>
      </c>
      <c r="AD73">
        <f ca="1"/>
        <v>26</v>
      </c>
      <c r="AE73" t="str">
        <f ca="1"/>
        <v>MVEORA</v>
      </c>
      <c r="AF73" s="87">
        <f ca="1"/>
        <v>-99908.83934999998</v>
      </c>
      <c r="AG73" t="str">
        <f ca="1"/>
        <v>SAFDIS</v>
      </c>
      <c r="AH73" s="87">
        <f ca="1"/>
        <v>-4070.4000000000037</v>
      </c>
      <c r="AI73" t="str">
        <f ca="1"/>
        <v>KR</v>
      </c>
      <c r="AJ73" s="87">
        <f ca="1"/>
        <v>-2649.9999999999914</v>
      </c>
      <c r="AK73" s="90" t="str">
        <f ca="1"/>
        <v>EPIX</v>
      </c>
      <c r="AL73" s="310">
        <f ca="1"/>
        <v>-7.434176190476191E-3</v>
      </c>
      <c r="AM73" t="str">
        <f ca="1"/>
        <v>DSY</v>
      </c>
      <c r="AN73" s="310">
        <f ca="1"/>
        <v>-0.22196689666638961</v>
      </c>
      <c r="AO73" t="str">
        <f ca="1"/>
        <v>DXC</v>
      </c>
      <c r="AP73" s="310">
        <f ca="1"/>
        <v>0.30561635012386457</v>
      </c>
      <c r="AQ73" s="87" t="str">
        <f ca="1"/>
        <v>MRNA</v>
      </c>
      <c r="AR73" s="90">
        <f ca="1"/>
        <v>-0.5054907089800853</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RRC</v>
      </c>
      <c r="F74" s="559">
        <f ca="1"/>
        <v>0.23248882465633719</v>
      </c>
      <c r="G74" s="153" t="str">
        <f ca="1"/>
        <v>MVEEPIX</v>
      </c>
      <c r="H74" s="560">
        <f ca="1"/>
        <v>-28732.633439999998</v>
      </c>
      <c r="I74" t="str">
        <f ca="1"/>
        <v>VTRS</v>
      </c>
      <c r="J74" s="561">
        <f ca="1"/>
        <v>-1.5406E-2</v>
      </c>
      <c r="K74" s="153" t="str">
        <f ca="1"/>
        <v>VTRS</v>
      </c>
      <c r="L74" s="561">
        <f ca="1"/>
        <v>-1.5406E-2</v>
      </c>
      <c r="M74" s="1" t="str">
        <f ca="1"/>
        <v>DSY</v>
      </c>
      <c r="N74" s="560">
        <f ca="1"/>
        <v>-26770.000000000011</v>
      </c>
      <c r="O74" t="str">
        <f ca="1"/>
        <v>MVEDDD</v>
      </c>
      <c r="P74" s="560">
        <f ca="1"/>
        <v>-7355.8249999999998</v>
      </c>
      <c r="Q74" t="str">
        <f ca="1"/>
        <v>SAFGM</v>
      </c>
      <c r="R74" s="650">
        <f ca="1"/>
        <v>-7.434176190476191E-3</v>
      </c>
      <c r="S74" t="str">
        <f ca="1"/>
        <v>PROF</v>
      </c>
      <c r="T74" s="87">
        <f ca="1"/>
        <v>-1040</v>
      </c>
      <c r="U74" t="str">
        <f ca="1"/>
        <v>MRNA</v>
      </c>
      <c r="V74" s="87">
        <f ca="1"/>
        <v>-3780</v>
      </c>
      <c r="W74" t="str">
        <f ca="1"/>
        <v>CSCO</v>
      </c>
      <c r="X74">
        <f ca="1"/>
        <v>20</v>
      </c>
      <c r="Y74" t="str">
        <f ca="1"/>
        <v>RIG</v>
      </c>
      <c r="Z74">
        <f ca="1"/>
        <v>15</v>
      </c>
      <c r="AA74" t="str">
        <f ca="1"/>
        <v>SHECY</v>
      </c>
      <c r="AB74">
        <f ca="1"/>
        <v>35</v>
      </c>
      <c r="AC74" t="str">
        <f ca="1"/>
        <v>PROF</v>
      </c>
      <c r="AD74">
        <f ca="1"/>
        <v>25</v>
      </c>
      <c r="AE74" t="str">
        <f ca="1"/>
        <v>UN0</v>
      </c>
      <c r="AF74" s="87">
        <f ca="1"/>
        <v>-105060.64430700001</v>
      </c>
      <c r="AG74" t="str">
        <f ca="1"/>
        <v>MSFT</v>
      </c>
      <c r="AH74" s="87">
        <f ca="1"/>
        <v>-4086.00000000001</v>
      </c>
      <c r="AI74" t="str">
        <f ca="1"/>
        <v>WBA</v>
      </c>
      <c r="AJ74" s="87">
        <f ca="1"/>
        <v>-2915.6000000000049</v>
      </c>
      <c r="AK74" s="90" t="str">
        <f ca="1"/>
        <v>SAFGM</v>
      </c>
      <c r="AL74" s="310">
        <f ca="1"/>
        <v>-7.434176190476191E-3</v>
      </c>
      <c r="AM74" t="str">
        <f ca="1"/>
        <v>DXC</v>
      </c>
      <c r="AN74" s="310">
        <f ca="1"/>
        <v>-0.23498788070064699</v>
      </c>
      <c r="AO74" t="str">
        <f ca="1"/>
        <v>OXY</v>
      </c>
      <c r="AP74" s="310">
        <f ca="1"/>
        <v>0.30713785705676749</v>
      </c>
      <c r="AQ74" s="87" t="str">
        <f ca="1"/>
        <v>MSFT</v>
      </c>
      <c r="AR74" s="90">
        <f ca="1"/>
        <v>-0.51580841491901697</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DXC</v>
      </c>
      <c r="F75" s="559">
        <f ca="1"/>
        <v>0.2292985220081705</v>
      </c>
      <c r="G75" s="153" t="str">
        <f ca="1"/>
        <v>CVS</v>
      </c>
      <c r="H75" s="560">
        <f ca="1"/>
        <v>-44564.107560999997</v>
      </c>
      <c r="I75" t="str">
        <f ca="1"/>
        <v>BMRA</v>
      </c>
      <c r="J75" s="561">
        <f ca="1"/>
        <v>-1.5556E-2</v>
      </c>
      <c r="K75" s="153" t="str">
        <f ca="1"/>
        <v>BMRA</v>
      </c>
      <c r="L75" s="561">
        <f ca="1"/>
        <v>-1.5556E-2</v>
      </c>
      <c r="M75" s="1" t="str">
        <f ca="1"/>
        <v>MVEEPIX</v>
      </c>
      <c r="N75" s="560">
        <f ca="1"/>
        <v>-28645.599999999999</v>
      </c>
      <c r="O75" t="str">
        <f ca="1"/>
        <v>XYZ</v>
      </c>
      <c r="P75" s="560">
        <f ca="1"/>
        <v>-7510.4220000000005</v>
      </c>
      <c r="Q75" t="str">
        <f ca="1"/>
        <v>MRNA</v>
      </c>
      <c r="R75" s="650">
        <f ca="1"/>
        <v>-7.5892735714285699E-3</v>
      </c>
      <c r="S75" t="str">
        <f ca="1"/>
        <v>XPER</v>
      </c>
      <c r="T75" s="87">
        <f ca="1"/>
        <v>-1299.9999999999927</v>
      </c>
      <c r="U75" t="str">
        <f ca="1"/>
        <v>MVEORA</v>
      </c>
      <c r="V75" s="87">
        <f ca="1"/>
        <v>-3960</v>
      </c>
      <c r="W75" t="str">
        <f ca="1"/>
        <v>CVS</v>
      </c>
      <c r="X75">
        <f ca="1"/>
        <v>20</v>
      </c>
      <c r="Y75" t="str">
        <f ca="1"/>
        <v>GM</v>
      </c>
      <c r="Z75">
        <f ca="1"/>
        <v>16</v>
      </c>
      <c r="AA75" t="str">
        <f ca="1"/>
        <v>MVESAP</v>
      </c>
      <c r="AB75">
        <f ca="1"/>
        <v>35</v>
      </c>
      <c r="AC75" t="str">
        <f ca="1"/>
        <v>AMZN</v>
      </c>
      <c r="AD75">
        <f ca="1"/>
        <v>24</v>
      </c>
      <c r="AE75" t="str">
        <f ca="1"/>
        <v>DSY</v>
      </c>
      <c r="AF75" s="87">
        <f ca="1"/>
        <v>-105872.14573920006</v>
      </c>
      <c r="AG75" t="str">
        <f ca="1"/>
        <v>XPER</v>
      </c>
      <c r="AH75" s="87">
        <f ca="1"/>
        <v>-4849.9999999999991</v>
      </c>
      <c r="AI75" t="str">
        <f ca="1"/>
        <v>F</v>
      </c>
      <c r="AJ75" s="87">
        <f ca="1"/>
        <v>-2924.9999999999991</v>
      </c>
      <c r="AK75" s="90" t="str">
        <f ca="1"/>
        <v>MRNA</v>
      </c>
      <c r="AL75" s="310">
        <f ca="1"/>
        <v>-7.5892735714285699E-3</v>
      </c>
      <c r="AM75" t="str">
        <f ca="1"/>
        <v>OXY</v>
      </c>
      <c r="AN75" s="310">
        <f ca="1"/>
        <v>-0.23587356581617838</v>
      </c>
      <c r="AO75" t="str">
        <f ca="1"/>
        <v>XYZ</v>
      </c>
      <c r="AP75" s="310">
        <f ca="1"/>
        <v>0.33560332202800247</v>
      </c>
      <c r="AQ75" s="87" t="str">
        <f ca="1"/>
        <v>UN0</v>
      </c>
      <c r="AR75" s="90">
        <f ca="1"/>
        <v>-0.54498386564058365</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LUV</v>
      </c>
      <c r="F76" s="559">
        <f ca="1"/>
        <v>0.20642376670487633</v>
      </c>
      <c r="G76" s="153" t="str">
        <f ca="1"/>
        <v>SAP</v>
      </c>
      <c r="H76" s="560">
        <f ca="1"/>
        <v>-51650.116665000212</v>
      </c>
      <c r="I76" t="str">
        <f ca="1"/>
        <v>BLDP</v>
      </c>
      <c r="J76" s="561">
        <f ca="1"/>
        <v>-1.6608999999999999E-2</v>
      </c>
      <c r="K76" s="153" t="str">
        <f ca="1"/>
        <v>BLDP</v>
      </c>
      <c r="L76" s="561">
        <f ca="1"/>
        <v>-1.6608999999999999E-2</v>
      </c>
      <c r="M76" s="1" t="str">
        <f ca="1"/>
        <v>GNRC</v>
      </c>
      <c r="N76" s="560">
        <f ca="1"/>
        <v>-30643.000000000004</v>
      </c>
      <c r="O76" t="str">
        <f ca="1"/>
        <v>MVEUN0</v>
      </c>
      <c r="P76" s="560">
        <f ca="1"/>
        <v>-7631.9452160000001</v>
      </c>
      <c r="Q76" t="str">
        <f ca="1"/>
        <v>AMZN</v>
      </c>
      <c r="R76" s="650">
        <f ca="1"/>
        <v>-7.6166130952380956E-3</v>
      </c>
      <c r="S76" t="str">
        <f ca="1"/>
        <v>UNIT</v>
      </c>
      <c r="T76" s="87">
        <f ca="1"/>
        <v>-1917.2749999999942</v>
      </c>
      <c r="U76" t="str">
        <f ca="1"/>
        <v>HPQ</v>
      </c>
      <c r="V76" s="87">
        <f ca="1"/>
        <v>-4200</v>
      </c>
      <c r="W76" t="str">
        <f ca="1"/>
        <v>DDD</v>
      </c>
      <c r="X76">
        <f ca="1"/>
        <v>20</v>
      </c>
      <c r="Y76" t="str">
        <f ca="1"/>
        <v>NVAX</v>
      </c>
      <c r="Z76">
        <f ca="1"/>
        <v>16</v>
      </c>
      <c r="AA76" t="str">
        <f ca="1"/>
        <v>BLDP</v>
      </c>
      <c r="AB76">
        <f ca="1"/>
        <v>34</v>
      </c>
      <c r="AC76" t="str">
        <f ca="1"/>
        <v>DDD</v>
      </c>
      <c r="AD76">
        <f ca="1"/>
        <v>24</v>
      </c>
      <c r="AE76" t="str">
        <f ca="1"/>
        <v>KR</v>
      </c>
      <c r="AF76" s="87">
        <f ca="1"/>
        <v>-111300.64122600001</v>
      </c>
      <c r="AG76" t="str">
        <f ca="1"/>
        <v>HPQ</v>
      </c>
      <c r="AH76" s="87">
        <f ca="1"/>
        <v>-4990.0000000000018</v>
      </c>
      <c r="AI76" t="str">
        <f ca="1"/>
        <v>ORA</v>
      </c>
      <c r="AJ76" s="87">
        <f ca="1"/>
        <v>-3500</v>
      </c>
      <c r="AK76" s="90" t="str">
        <f ca="1"/>
        <v>AMZN</v>
      </c>
      <c r="AL76" s="310">
        <f ca="1"/>
        <v>-7.6166130952380956E-3</v>
      </c>
      <c r="AM76" t="str">
        <f ca="1"/>
        <v>XYZ</v>
      </c>
      <c r="AN76" s="310">
        <f ca="1"/>
        <v>-0.25207230309331946</v>
      </c>
      <c r="AO76" t="str">
        <f ca="1"/>
        <v>POET</v>
      </c>
      <c r="AP76" s="310">
        <f ca="1"/>
        <v>0.36562487050667908</v>
      </c>
      <c r="AQ76" s="87" t="str">
        <f ca="1"/>
        <v>MVESAP</v>
      </c>
      <c r="AR76" s="90">
        <f ca="1"/>
        <v>-0.54740748431696318</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BLDP</v>
      </c>
      <c r="F77" s="559">
        <f ca="1"/>
        <v>0.20414935791775768</v>
      </c>
      <c r="G77" s="153" t="str">
        <f ca="1"/>
        <v>NVAX</v>
      </c>
      <c r="H77" s="560">
        <f ca="1"/>
        <v>-54867.741119999977</v>
      </c>
      <c r="I77" t="str">
        <f ca="1"/>
        <v>DDD</v>
      </c>
      <c r="J77" s="561">
        <f ca="1"/>
        <v>-1.6827000000000002E-2</v>
      </c>
      <c r="K77" s="153" t="str">
        <f ca="1"/>
        <v>DDD</v>
      </c>
      <c r="L77" s="561">
        <f ca="1"/>
        <v>-1.6827000000000002E-2</v>
      </c>
      <c r="M77" s="1" t="str">
        <f ca="1"/>
        <v>UN0</v>
      </c>
      <c r="N77" s="560">
        <f ca="1"/>
        <v>-34048.050000000003</v>
      </c>
      <c r="O77" t="str">
        <f ca="1"/>
        <v>GNRC</v>
      </c>
      <c r="P77" s="560">
        <f ca="1"/>
        <v>-9000.5375999999997</v>
      </c>
      <c r="Q77" t="str">
        <f ca="1"/>
        <v>SAFAMZN</v>
      </c>
      <c r="R77" s="650">
        <f ca="1"/>
        <v>-7.6166130952380956E-3</v>
      </c>
      <c r="S77" t="str">
        <f ca="1"/>
        <v>DVA</v>
      </c>
      <c r="T77" s="87">
        <f ca="1"/>
        <v>-2205</v>
      </c>
      <c r="U77" t="str">
        <f ca="1"/>
        <v>JBEOAN</v>
      </c>
      <c r="V77" s="87">
        <f ca="1"/>
        <v>-4365</v>
      </c>
      <c r="W77" t="str">
        <f ca="1"/>
        <v>DSY</v>
      </c>
      <c r="X77">
        <f ca="1"/>
        <v>20</v>
      </c>
      <c r="Y77" t="str">
        <f ca="1"/>
        <v>NVS</v>
      </c>
      <c r="Z77">
        <f ca="1"/>
        <v>16</v>
      </c>
      <c r="AA77" t="str">
        <f ca="1"/>
        <v>HPQ</v>
      </c>
      <c r="AB77">
        <f ca="1"/>
        <v>34</v>
      </c>
      <c r="AC77" t="str">
        <f ca="1"/>
        <v>SAFAMZN</v>
      </c>
      <c r="AD77">
        <f ca="1"/>
        <v>24</v>
      </c>
      <c r="AE77" t="str">
        <f ca="1"/>
        <v>RIG</v>
      </c>
      <c r="AF77" s="87">
        <f ca="1"/>
        <v>-122276.99573999998</v>
      </c>
      <c r="AG77" t="str">
        <f ca="1"/>
        <v>MVEALDNE</v>
      </c>
      <c r="AH77" s="87">
        <f ca="1"/>
        <v>-5405.7300000000023</v>
      </c>
      <c r="AI77" t="str">
        <f ca="1"/>
        <v>MVEENI</v>
      </c>
      <c r="AJ77" s="87">
        <f ca="1"/>
        <v>-4392.0000000000027</v>
      </c>
      <c r="AK77" s="90" t="str">
        <f ca="1"/>
        <v>SAFAMZN</v>
      </c>
      <c r="AL77" s="310">
        <f ca="1"/>
        <v>-7.6166130952380956E-3</v>
      </c>
      <c r="AM77" t="str">
        <f ca="1"/>
        <v>POET</v>
      </c>
      <c r="AN77" s="310">
        <f ca="1"/>
        <v>-0.26842626074130321</v>
      </c>
      <c r="AO77" t="str">
        <f ca="1"/>
        <v>UN0</v>
      </c>
      <c r="AP77" s="310">
        <f ca="1"/>
        <v>0.37258512396694221</v>
      </c>
      <c r="AQ77" s="87" t="str">
        <f ca="1"/>
        <v>PW</v>
      </c>
      <c r="AR77" s="90">
        <f ca="1"/>
        <v>-0.55283725932379313</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LUMN</v>
      </c>
      <c r="F78" s="559">
        <f ca="1"/>
        <v>0.20229302989454986</v>
      </c>
      <c r="G78" s="153" t="str">
        <f ca="1"/>
        <v>DXC</v>
      </c>
      <c r="H78" s="560">
        <f ca="1"/>
        <v>-55445.283082199952</v>
      </c>
      <c r="I78" t="str">
        <f ca="1"/>
        <v>MVEDDD</v>
      </c>
      <c r="J78" s="561">
        <f ca="1"/>
        <v>-1.6827000000000002E-2</v>
      </c>
      <c r="K78" s="153" t="str">
        <f ca="1"/>
        <v>MVEDDD</v>
      </c>
      <c r="L78" s="561">
        <f ca="1"/>
        <v>-1.6827000000000002E-2</v>
      </c>
      <c r="M78" s="1" t="str">
        <f ca="1"/>
        <v>AET</v>
      </c>
      <c r="N78" s="560">
        <f ca="1"/>
        <v>-34743.628807000016</v>
      </c>
      <c r="O78" t="str">
        <f ca="1"/>
        <v>PFE</v>
      </c>
      <c r="P78" s="560">
        <f ca="1"/>
        <v>-9797.7314927999996</v>
      </c>
      <c r="Q78" t="str">
        <f ca="1"/>
        <v>ADEA</v>
      </c>
      <c r="R78" s="650">
        <f ca="1"/>
        <v>-8.0377857142857126E-3</v>
      </c>
      <c r="S78" t="str">
        <f ca="1"/>
        <v>LOCK</v>
      </c>
      <c r="T78" s="87">
        <f ca="1"/>
        <v>-2544.3000000000466</v>
      </c>
      <c r="U78" t="str">
        <f ca="1"/>
        <v>XPER</v>
      </c>
      <c r="V78" s="87">
        <f ca="1"/>
        <v>-4699.9999999999927</v>
      </c>
      <c r="W78" t="str">
        <f ca="1"/>
        <v>DVA</v>
      </c>
      <c r="X78">
        <f ca="1"/>
        <v>20</v>
      </c>
      <c r="Y78" t="str">
        <f ca="1"/>
        <v>LUMN</v>
      </c>
      <c r="Z78">
        <f ca="1"/>
        <v>17</v>
      </c>
      <c r="AA78" t="str">
        <f ca="1"/>
        <v>TSLA</v>
      </c>
      <c r="AB78">
        <f ca="1"/>
        <v>34</v>
      </c>
      <c r="AC78" t="str">
        <f ca="1"/>
        <v>SAFDIS</v>
      </c>
      <c r="AD78">
        <f ca="1"/>
        <v>24</v>
      </c>
      <c r="AE78" t="str">
        <f ca="1"/>
        <v>ENI</v>
      </c>
      <c r="AF78" s="87">
        <f ca="1"/>
        <v>-137294.50400639992</v>
      </c>
      <c r="AG78" t="str">
        <f ca="1"/>
        <v>TSM</v>
      </c>
      <c r="AH78" s="87">
        <f ca="1"/>
        <v>-5529.9999999999727</v>
      </c>
      <c r="AI78" t="str">
        <f ca="1"/>
        <v>LNSR</v>
      </c>
      <c r="AJ78" s="87">
        <f ca="1"/>
        <v>-4889.9999999999973</v>
      </c>
      <c r="AK78" s="90" t="str">
        <f ca="1"/>
        <v>ADEA</v>
      </c>
      <c r="AL78" s="310">
        <f ca="1"/>
        <v>-8.0377857142857126E-3</v>
      </c>
      <c r="AM78" t="str">
        <f ca="1"/>
        <v>UN0</v>
      </c>
      <c r="AN78" s="310">
        <f ca="1"/>
        <v>-0.27211583089639624</v>
      </c>
      <c r="AO78" t="str">
        <f ca="1"/>
        <v>MVEUN0</v>
      </c>
      <c r="AP78" s="310">
        <f ca="1"/>
        <v>0.38386723730814643</v>
      </c>
      <c r="AQ78" s="87" t="str">
        <f ca="1"/>
        <v>SAFDIS</v>
      </c>
      <c r="AR78" s="90">
        <f ca="1"/>
        <v>-0.55617245208323329</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DDD</v>
      </c>
      <c r="F79" s="559">
        <f ca="1"/>
        <v>0.20013259900261549</v>
      </c>
      <c r="G79" s="153" t="str">
        <f ca="1"/>
        <v>XPER</v>
      </c>
      <c r="H79" s="560">
        <f ca="1"/>
        <v>-66057.045637999981</v>
      </c>
      <c r="I79" t="str">
        <f ca="1"/>
        <v>SAFDDD</v>
      </c>
      <c r="J79" s="561">
        <f ca="1"/>
        <v>-1.6827000000000002E-2</v>
      </c>
      <c r="K79" s="153" t="str">
        <f ca="1"/>
        <v>SAFDDD</v>
      </c>
      <c r="L79" s="561">
        <f ca="1"/>
        <v>-1.6827000000000002E-2</v>
      </c>
      <c r="M79" s="1" t="str">
        <f ca="1"/>
        <v>OXY</v>
      </c>
      <c r="N79" s="560">
        <f ca="1"/>
        <v>-51397.899999999994</v>
      </c>
      <c r="O79" t="str">
        <f ca="1"/>
        <v>OXY</v>
      </c>
      <c r="P79" s="560">
        <f ca="1"/>
        <v>-10348.025</v>
      </c>
      <c r="Q79" t="str">
        <f ca="1"/>
        <v>VTRS</v>
      </c>
      <c r="R79" s="650">
        <f ca="1"/>
        <v>-8.2145273809523817E-3</v>
      </c>
      <c r="S79" t="str">
        <f ca="1"/>
        <v>ENI</v>
      </c>
      <c r="T79" s="87">
        <f ca="1"/>
        <v>-2754</v>
      </c>
      <c r="U79" t="str">
        <f ca="1"/>
        <v>ENI</v>
      </c>
      <c r="V79" s="87">
        <f ca="1"/>
        <v>-4794</v>
      </c>
      <c r="W79" t="str">
        <f ca="1"/>
        <v>GM</v>
      </c>
      <c r="X79">
        <f ca="1"/>
        <v>20</v>
      </c>
      <c r="Y79" t="str">
        <f ca="1"/>
        <v>MRNA</v>
      </c>
      <c r="Z79">
        <f ca="1"/>
        <v>17</v>
      </c>
      <c r="AA79" t="str">
        <f ca="1"/>
        <v>SAFIAG</v>
      </c>
      <c r="AB79">
        <f ca="1"/>
        <v>34</v>
      </c>
      <c r="AC79" t="str">
        <f ca="1"/>
        <v>KR</v>
      </c>
      <c r="AD79">
        <f ca="1"/>
        <v>22</v>
      </c>
      <c r="AE79" t="str">
        <f ca="1"/>
        <v>OXY</v>
      </c>
      <c r="AF79" s="87">
        <f ca="1"/>
        <v>-156106.65074759998</v>
      </c>
      <c r="AG79" t="str">
        <f ca="1"/>
        <v>OXY</v>
      </c>
      <c r="AH79" s="87">
        <f ca="1"/>
        <v>-5755.0000000000027</v>
      </c>
      <c r="AI79" t="str">
        <f ca="1"/>
        <v>MVEEOAN</v>
      </c>
      <c r="AJ79" s="87">
        <f ca="1"/>
        <v>-8192.6</v>
      </c>
      <c r="AK79" s="90" t="str">
        <f ca="1"/>
        <v>VTRS</v>
      </c>
      <c r="AL79" s="310">
        <f ca="1"/>
        <v>-8.2145273809523817E-3</v>
      </c>
      <c r="AM79" t="str">
        <f ca="1"/>
        <v>MVEUN0</v>
      </c>
      <c r="AN79" s="310">
        <f ca="1"/>
        <v>-0.27801769282304006</v>
      </c>
      <c r="AO79" t="str">
        <f ca="1"/>
        <v>MVEDSY</v>
      </c>
      <c r="AP79" s="310">
        <f ca="1"/>
        <v>0.43612968349016273</v>
      </c>
      <c r="AQ79" s="87" t="str">
        <f ca="1"/>
        <v>MVEUN0</v>
      </c>
      <c r="AR79" s="90">
        <f ca="1"/>
        <v>-0.5565970650979376</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MVEDDD</v>
      </c>
      <c r="F80" s="559">
        <f ca="1"/>
        <v>0.20013259900261549</v>
      </c>
      <c r="G80" s="153" t="str">
        <f ca="1"/>
        <v>OXY</v>
      </c>
      <c r="H80" s="560">
        <f ca="1"/>
        <v>-69419.49894759999</v>
      </c>
      <c r="I80" t="str">
        <f ca="1"/>
        <v>PFE</v>
      </c>
      <c r="J80" s="561">
        <f ca="1"/>
        <v>-1.7092E-2</v>
      </c>
      <c r="K80" s="153" t="str">
        <f ca="1"/>
        <v>PFE</v>
      </c>
      <c r="L80" s="561">
        <f ca="1"/>
        <v>-1.7092E-2</v>
      </c>
      <c r="M80" s="1" t="str">
        <f ca="1"/>
        <v>EPIX</v>
      </c>
      <c r="N80" s="560">
        <f ca="1"/>
        <v>-57770.399999999994</v>
      </c>
      <c r="O80" t="str">
        <f ca="1"/>
        <v>THC</v>
      </c>
      <c r="P80" s="560">
        <f ca="1"/>
        <v>-10931.503999999979</v>
      </c>
      <c r="Q80" t="str">
        <f ca="1"/>
        <v>AET</v>
      </c>
      <c r="R80" s="650">
        <f ca="1"/>
        <v>-8.8122440476190479E-3</v>
      </c>
      <c r="S80" t="str">
        <f ca="1"/>
        <v>NOTE</v>
      </c>
      <c r="T80" s="87">
        <f ca="1"/>
        <v>-3000</v>
      </c>
      <c r="U80" t="str">
        <f ca="1"/>
        <v>UNIT</v>
      </c>
      <c r="V80" s="87">
        <f ca="1"/>
        <v>-4811.2749999999942</v>
      </c>
      <c r="W80" t="str">
        <f ca="1"/>
        <v>HPE</v>
      </c>
      <c r="X80">
        <f ca="1"/>
        <v>20</v>
      </c>
      <c r="Y80" t="str">
        <f ca="1"/>
        <v>PAAS</v>
      </c>
      <c r="Z80">
        <f ca="1"/>
        <v>17</v>
      </c>
      <c r="AA80" t="str">
        <f ca="1"/>
        <v>CVS</v>
      </c>
      <c r="AB80">
        <f ca="1"/>
        <v>32</v>
      </c>
      <c r="AC80" t="str">
        <f ca="1"/>
        <v>XYZ</v>
      </c>
      <c r="AD80">
        <f ca="1"/>
        <v>22</v>
      </c>
      <c r="AE80" t="str">
        <f ca="1"/>
        <v>SHECY</v>
      </c>
      <c r="AF80" s="87">
        <f ca="1"/>
        <v>-166616.39923200005</v>
      </c>
      <c r="AG80" t="str">
        <f ca="1"/>
        <v>DSY</v>
      </c>
      <c r="AH80" s="87">
        <f ca="1"/>
        <v>-6520.0000000000027</v>
      </c>
      <c r="AI80" t="str">
        <f ca="1"/>
        <v>CSCO</v>
      </c>
      <c r="AJ80" s="87">
        <f ca="1"/>
        <v>-8933.5999999999985</v>
      </c>
      <c r="AK80" s="90" t="str">
        <f ca="1"/>
        <v>AET</v>
      </c>
      <c r="AL80" s="310">
        <f ca="1"/>
        <v>-8.8122440476190479E-3</v>
      </c>
      <c r="AM80" t="str">
        <f ca="1"/>
        <v>MVEDSY</v>
      </c>
      <c r="AN80" s="310">
        <f ca="1"/>
        <v>-0.30414955035302871</v>
      </c>
      <c r="AO80" t="str">
        <f ca="1"/>
        <v>XPER</v>
      </c>
      <c r="AP80" s="310">
        <f ca="1"/>
        <v>0.45026467486818972</v>
      </c>
      <c r="AQ80" s="87" t="str">
        <f ca="1"/>
        <v>MVEDSY</v>
      </c>
      <c r="AR80" s="90">
        <f ca="1"/>
        <v>-0.55809905442281715</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SAFDDD</v>
      </c>
      <c r="F81" s="559">
        <f ca="1"/>
        <v>0.20013259900261549</v>
      </c>
      <c r="G81" s="153" t="str">
        <f ca="1"/>
        <v>POET</v>
      </c>
      <c r="H81" s="560">
        <f ca="1"/>
        <v>-70183.630775999976</v>
      </c>
      <c r="I81" t="str">
        <f ca="1"/>
        <v>CVS</v>
      </c>
      <c r="J81" s="561">
        <f ca="1"/>
        <v>-1.9501999999999999E-2</v>
      </c>
      <c r="K81" s="153" t="str">
        <f ca="1"/>
        <v>CVS</v>
      </c>
      <c r="L81" s="561">
        <f ca="1"/>
        <v>-1.9501999999999999E-2</v>
      </c>
      <c r="M81" s="1" t="str">
        <f ca="1"/>
        <v>SHECY</v>
      </c>
      <c r="N81" s="560">
        <f ca="1"/>
        <v>-65010.860000000073</v>
      </c>
      <c r="O81" t="str">
        <f ca="1"/>
        <v>DDD</v>
      </c>
      <c r="P81" s="560">
        <f ca="1"/>
        <v>-11021.269999999999</v>
      </c>
      <c r="Q81" t="str">
        <f ca="1"/>
        <v>LUMN</v>
      </c>
      <c r="R81" s="650">
        <f ca="1"/>
        <v>-9.1228511904761899E-3</v>
      </c>
      <c r="S81" t="str">
        <f ca="1"/>
        <v>SAFMRNA</v>
      </c>
      <c r="T81" s="87">
        <f ca="1"/>
        <v>-3350</v>
      </c>
      <c r="U81" t="str">
        <f ca="1"/>
        <v>ADEA</v>
      </c>
      <c r="V81" s="87">
        <f ca="1"/>
        <v>-5350</v>
      </c>
      <c r="W81" t="str">
        <f ca="1"/>
        <v>MRNA</v>
      </c>
      <c r="X81">
        <f ca="1"/>
        <v>20</v>
      </c>
      <c r="Y81" t="str">
        <f ca="1"/>
        <v>MVEORA</v>
      </c>
      <c r="Z81">
        <f ca="1"/>
        <v>17</v>
      </c>
      <c r="AA81" t="str">
        <f ca="1"/>
        <v>KR</v>
      </c>
      <c r="AB81">
        <f ca="1"/>
        <v>32</v>
      </c>
      <c r="AC81" t="str">
        <f ca="1"/>
        <v>RWE</v>
      </c>
      <c r="AD81">
        <f ca="1"/>
        <v>21</v>
      </c>
      <c r="AE81" t="str">
        <f ca="1"/>
        <v>MVEALDNE</v>
      </c>
      <c r="AF81" s="87">
        <f ca="1"/>
        <v>-176696.74724439246</v>
      </c>
      <c r="AG81" t="str">
        <f ca="1"/>
        <v>DVA</v>
      </c>
      <c r="AH81" s="87">
        <f ca="1"/>
        <v>-6978.9999999999991</v>
      </c>
      <c r="AI81" t="str">
        <f ca="1"/>
        <v>MVEGLE</v>
      </c>
      <c r="AJ81" s="87">
        <f ca="1"/>
        <v>-9350.0000000000018</v>
      </c>
      <c r="AK81" s="90" t="str">
        <f ca="1"/>
        <v>LUMN</v>
      </c>
      <c r="AL81" s="310">
        <f ca="1"/>
        <v>-9.1228511904761899E-3</v>
      </c>
      <c r="AM81" t="str">
        <f ca="1"/>
        <v>XPER</v>
      </c>
      <c r="AN81" s="310">
        <f ca="1"/>
        <v>-0.31089421783519611</v>
      </c>
      <c r="AO81" t="str">
        <f ca="1"/>
        <v>DDD</v>
      </c>
      <c r="AP81" s="310">
        <f ca="1"/>
        <v>0.45806446138357537</v>
      </c>
      <c r="AQ81" s="87" t="str">
        <f ca="1"/>
        <v>MVEALDNE</v>
      </c>
      <c r="AR81" s="90">
        <f ca="1"/>
        <v>-0.86049723267095213</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SSYS</v>
      </c>
      <c r="F82" s="559">
        <f ca="1"/>
        <v>0.19927042419481539</v>
      </c>
      <c r="G82" s="153" t="str">
        <f ca="1"/>
        <v>VTRS</v>
      </c>
      <c r="H82" s="560">
        <f ca="1"/>
        <v>-80801.949269999925</v>
      </c>
      <c r="I82" t="str">
        <f ca="1"/>
        <v>RWE</v>
      </c>
      <c r="J82" s="561">
        <f ca="1"/>
        <v>-2.1042999999999999E-2</v>
      </c>
      <c r="K82" s="153" t="str">
        <f ca="1"/>
        <v>RWE</v>
      </c>
      <c r="L82" s="561">
        <f ca="1"/>
        <v>-2.1042999999999999E-2</v>
      </c>
      <c r="M82" s="1" t="str">
        <f ca="1"/>
        <v>POET</v>
      </c>
      <c r="N82" s="560">
        <f ca="1"/>
        <v>-73188.007037037023</v>
      </c>
      <c r="O82" t="str">
        <f ca="1"/>
        <v>DIS</v>
      </c>
      <c r="P82" s="560">
        <f ca="1"/>
        <v>-11234.713599999997</v>
      </c>
      <c r="Q82" t="str">
        <f ca="1"/>
        <v>SAFMRNA</v>
      </c>
      <c r="R82" s="650">
        <f ca="1"/>
        <v>-9.1228511904761899E-3</v>
      </c>
      <c r="S82" t="str">
        <f ca="1"/>
        <v>SAFAMZN</v>
      </c>
      <c r="T82" s="87">
        <f ca="1"/>
        <v>-3612</v>
      </c>
      <c r="U82" t="str">
        <f ca="1"/>
        <v>SAFAMZN</v>
      </c>
      <c r="V82" s="87">
        <f ca="1"/>
        <v>-5367</v>
      </c>
      <c r="W82" t="str">
        <f ca="1"/>
        <v>NEM</v>
      </c>
      <c r="X82">
        <f ca="1"/>
        <v>20</v>
      </c>
      <c r="Y82" t="str">
        <f ca="1"/>
        <v>SAFMRNA</v>
      </c>
      <c r="Z82">
        <f ca="1"/>
        <v>17</v>
      </c>
      <c r="AA82" t="str">
        <f ca="1"/>
        <v>MVEDDD</v>
      </c>
      <c r="AB82">
        <f ca="1"/>
        <v>32</v>
      </c>
      <c r="AC82" t="str">
        <f ca="1"/>
        <v>TSM</v>
      </c>
      <c r="AD82">
        <f ca="1"/>
        <v>21</v>
      </c>
      <c r="AE82" t="str">
        <f ca="1"/>
        <v>AET</v>
      </c>
      <c r="AF82" s="87">
        <f ca="1"/>
        <v>-181465.31510189822</v>
      </c>
      <c r="AG82" t="str">
        <f ca="1"/>
        <v>DIS</v>
      </c>
      <c r="AH82" s="87">
        <f ca="1"/>
        <v>-8477.9999999999964</v>
      </c>
      <c r="AI82" t="str">
        <f ca="1"/>
        <v>NVS</v>
      </c>
      <c r="AJ82" s="87">
        <f ca="1"/>
        <v>-9531.8000000000047</v>
      </c>
      <c r="AK82" s="90" t="str">
        <f ca="1"/>
        <v>SAFMRNA</v>
      </c>
      <c r="AL82" s="310">
        <f ca="1"/>
        <v>-9.1228511904761899E-3</v>
      </c>
      <c r="AM82" t="str">
        <f ca="1"/>
        <v>DDD</v>
      </c>
      <c r="AN82" s="310">
        <f ca="1"/>
        <v>-0.31456008270972818</v>
      </c>
      <c r="AO82" t="str">
        <f ca="1"/>
        <v>NVAX</v>
      </c>
      <c r="AP82" s="310">
        <f ca="1"/>
        <v>0.52184096950742764</v>
      </c>
      <c r="AQ82" s="87" t="str">
        <f ca="1"/>
        <v>SAP</v>
      </c>
      <c r="AR82" s="90">
        <f ca="1"/>
        <v>-0.86668818592640395</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HPE</v>
      </c>
      <c r="F83" s="559">
        <f ca="1"/>
        <v>0.19064964394428682</v>
      </c>
      <c r="G83" s="153" t="str">
        <f ca="1"/>
        <v>MVEDSY</v>
      </c>
      <c r="H83" s="560">
        <f ca="1"/>
        <v>-120755.67522959999</v>
      </c>
      <c r="I83" t="str">
        <f ca="1"/>
        <v>MVERWE</v>
      </c>
      <c r="J83" s="561">
        <f ca="1"/>
        <v>-2.1042999999999999E-2</v>
      </c>
      <c r="K83" s="153" t="str">
        <f ca="1"/>
        <v>MVERWE</v>
      </c>
      <c r="L83" s="561">
        <f ca="1"/>
        <v>-2.1042999999999999E-2</v>
      </c>
      <c r="M83" s="1" t="str">
        <f ca="1"/>
        <v>DDD</v>
      </c>
      <c r="N83" s="560">
        <f ca="1"/>
        <v>-80074.999999999985</v>
      </c>
      <c r="O83" t="str">
        <f ca="1"/>
        <v>DSY</v>
      </c>
      <c r="P83" s="560">
        <f ca="1"/>
        <v>-11490.048000000003</v>
      </c>
      <c r="Q83" t="str">
        <f ca="1"/>
        <v>KR</v>
      </c>
      <c r="R83" s="650">
        <f ca="1"/>
        <v>-9.5389714285714303E-3</v>
      </c>
      <c r="S83" t="str">
        <f ca="1"/>
        <v>RIGL</v>
      </c>
      <c r="T83" s="87">
        <f ca="1"/>
        <v>-3900</v>
      </c>
      <c r="U83" t="str">
        <f ca="1"/>
        <v>BLDP</v>
      </c>
      <c r="V83" s="87">
        <f ca="1"/>
        <v>-5960</v>
      </c>
      <c r="W83" t="str">
        <f ca="1"/>
        <v>NFLX</v>
      </c>
      <c r="X83">
        <f ca="1"/>
        <v>20</v>
      </c>
      <c r="Y83" t="str">
        <f ca="1"/>
        <v>ORA</v>
      </c>
      <c r="Z83">
        <f ca="1"/>
        <v>17</v>
      </c>
      <c r="AA83" t="str">
        <f ca="1"/>
        <v>SAFDDD</v>
      </c>
      <c r="AB83">
        <f ca="1"/>
        <v>32</v>
      </c>
      <c r="AC83" t="str">
        <f ca="1"/>
        <v>MVESAP</v>
      </c>
      <c r="AD83">
        <f ca="1"/>
        <v>21</v>
      </c>
      <c r="AE83" t="str">
        <f ca="1"/>
        <v>TSM</v>
      </c>
      <c r="AF83" s="87">
        <f ca="1"/>
        <v>-183371.60780279996</v>
      </c>
      <c r="AG83" t="str">
        <f ca="1"/>
        <v>MVESAP</v>
      </c>
      <c r="AH83" s="87">
        <f ca="1"/>
        <v>-9080.0000000000018</v>
      </c>
      <c r="AI83" t="str">
        <f ca="1"/>
        <v>RIGL</v>
      </c>
      <c r="AJ83" s="87">
        <f ca="1"/>
        <v>-9980.0000000000036</v>
      </c>
      <c r="AK83" s="90" t="str">
        <f ca="1"/>
        <v>KR</v>
      </c>
      <c r="AL83" s="310">
        <f ca="1"/>
        <v>-9.5389714285714303E-3</v>
      </c>
      <c r="AM83" t="str">
        <f ca="1"/>
        <v>UNIT</v>
      </c>
      <c r="AN83" s="310">
        <f ca="1"/>
        <v>-0.36303215053763443</v>
      </c>
      <c r="AO83" t="str">
        <f ca="1"/>
        <v>UNIT</v>
      </c>
      <c r="AP83" s="310">
        <f ca="1"/>
        <v>0.56967387996618768</v>
      </c>
      <c r="AQ83" s="87" t="str">
        <f ca="1"/>
        <v>HPE</v>
      </c>
      <c r="AR83" s="90">
        <f ca="1"/>
        <v>-1.0048608042421563</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F</v>
      </c>
      <c r="F84" s="559">
        <f ca="1"/>
        <v>0.14782518890528135</v>
      </c>
      <c r="G84" s="153" t="str">
        <f ca="1"/>
        <v>BMRA</v>
      </c>
      <c r="H84" s="560">
        <f ca="1"/>
        <v>-131792.87449999998</v>
      </c>
      <c r="I84" t="str">
        <f ca="1"/>
        <v>XPER</v>
      </c>
      <c r="J84" s="561">
        <f ca="1"/>
        <v>-2.2336999999999999E-2</v>
      </c>
      <c r="K84" s="153" t="str">
        <f ca="1"/>
        <v>XPER</v>
      </c>
      <c r="L84" s="561">
        <f ca="1"/>
        <v>-2.2336999999999999E-2</v>
      </c>
      <c r="M84" s="1" t="str">
        <f ca="1"/>
        <v>NFLX</v>
      </c>
      <c r="N84" s="560">
        <f ca="1"/>
        <v>-93405.000000000058</v>
      </c>
      <c r="O84" t="str">
        <f ca="1"/>
        <v>POET</v>
      </c>
      <c r="P84" s="560">
        <f ca="1"/>
        <v>-12182.2436</v>
      </c>
      <c r="Q84" t="str">
        <f ca="1"/>
        <v>RIG</v>
      </c>
      <c r="R84" s="650">
        <f ca="1"/>
        <v>-1.0034833333333333E-2</v>
      </c>
      <c r="S84" t="str">
        <f ca="1"/>
        <v>MVEORA</v>
      </c>
      <c r="T84" s="87">
        <f ca="1"/>
        <v>-4257</v>
      </c>
      <c r="U84" t="str">
        <f ca="1"/>
        <v>DVA</v>
      </c>
      <c r="V84" s="87">
        <f ca="1"/>
        <v>-6615</v>
      </c>
      <c r="W84" t="str">
        <f ca="1"/>
        <v>PROF</v>
      </c>
      <c r="X84">
        <f ca="1"/>
        <v>20</v>
      </c>
      <c r="Y84" t="str">
        <f ca="1"/>
        <v>DSY</v>
      </c>
      <c r="Z84">
        <f ca="1"/>
        <v>18</v>
      </c>
      <c r="AA84" t="str">
        <f ca="1"/>
        <v>AMZN</v>
      </c>
      <c r="AB84">
        <f ca="1"/>
        <v>31</v>
      </c>
      <c r="AC84" t="str">
        <f ca="1"/>
        <v>MVEUN0</v>
      </c>
      <c r="AD84">
        <f ca="1"/>
        <v>21</v>
      </c>
      <c r="AE84" t="str">
        <f ca="1"/>
        <v>NEM</v>
      </c>
      <c r="AF84" s="87">
        <f ca="1"/>
        <v>-195520.70554199984</v>
      </c>
      <c r="AG84" t="str">
        <f ca="1"/>
        <v>DXC</v>
      </c>
      <c r="AH84" s="87">
        <f ca="1"/>
        <v>-9480.0000000000036</v>
      </c>
      <c r="AI84" t="str">
        <f ca="1"/>
        <v>SAFASML</v>
      </c>
      <c r="AJ84" s="87">
        <f ca="1"/>
        <v>-12225.599999999999</v>
      </c>
      <c r="AK84" s="90" t="str">
        <f ca="1"/>
        <v>RIG</v>
      </c>
      <c r="AL84" s="310">
        <f ca="1"/>
        <v>-1.0034833333333333E-2</v>
      </c>
      <c r="AM84" t="str">
        <f ca="1"/>
        <v>SAFDDD</v>
      </c>
      <c r="AN84" s="310">
        <f ca="1"/>
        <v>-0.37615066281048259</v>
      </c>
      <c r="AO84" t="str">
        <f ca="1"/>
        <v>SAFDDD</v>
      </c>
      <c r="AP84" s="310">
        <f ca="1"/>
        <v>0.60287454989997791</v>
      </c>
      <c r="AQ84" s="87" t="str">
        <f ca="1"/>
        <v>LAZR</v>
      </c>
      <c r="AR84" s="90">
        <f ca="1"/>
        <v>-1.0315057468892512</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PW</v>
      </c>
      <c r="F85" s="559">
        <f ca="1"/>
        <v>0.11316280361962217</v>
      </c>
      <c r="G85" s="153" t="str">
        <f ca="1"/>
        <v>SAFDDD</v>
      </c>
      <c r="H85" s="560">
        <f ca="1"/>
        <v>-158706.19259199998</v>
      </c>
      <c r="I85" t="str">
        <f ca="1"/>
        <v>OXY</v>
      </c>
      <c r="J85" s="561">
        <f ca="1"/>
        <v>-2.4340999999999998E-2</v>
      </c>
      <c r="K85" s="153" t="str">
        <f ca="1"/>
        <v>OXY</v>
      </c>
      <c r="L85" s="561">
        <f ca="1"/>
        <v>-2.4340999999999998E-2</v>
      </c>
      <c r="M85" s="1" t="str">
        <f ca="1"/>
        <v>BLNK</v>
      </c>
      <c r="N85" s="560">
        <f ca="1"/>
        <v>-99814</v>
      </c>
      <c r="O85" t="str">
        <f ca="1"/>
        <v>SAFDDD</v>
      </c>
      <c r="P85" s="560">
        <f ca="1"/>
        <v>-12233.111000000001</v>
      </c>
      <c r="Q85" t="str">
        <f ca="1"/>
        <v>SHECY</v>
      </c>
      <c r="R85" s="650">
        <f ca="1"/>
        <v>-1.0281839285714283E-2</v>
      </c>
      <c r="S85" t="str">
        <f ca="1"/>
        <v>DDD</v>
      </c>
      <c r="T85" s="87">
        <f ca="1"/>
        <v>-4675</v>
      </c>
      <c r="U85" t="str">
        <f ca="1"/>
        <v>RIGL</v>
      </c>
      <c r="V85" s="87">
        <f ca="1"/>
        <v>-6880</v>
      </c>
      <c r="W85" t="str">
        <f ca="1"/>
        <v>SAP</v>
      </c>
      <c r="X85">
        <f ca="1"/>
        <v>20</v>
      </c>
      <c r="Y85" t="str">
        <f ca="1"/>
        <v>NEM</v>
      </c>
      <c r="Z85">
        <f ca="1"/>
        <v>18</v>
      </c>
      <c r="AA85" t="str">
        <f ca="1"/>
        <v>SAFAMZN</v>
      </c>
      <c r="AB85">
        <f ca="1"/>
        <v>31</v>
      </c>
      <c r="AC85" t="str">
        <f ca="1"/>
        <v>NVS</v>
      </c>
      <c r="AD85">
        <f ca="1"/>
        <v>21</v>
      </c>
      <c r="AE85" t="str">
        <f ca="1"/>
        <v>NOTE</v>
      </c>
      <c r="AF85" s="87">
        <f ca="1"/>
        <v>-225689.71906349994</v>
      </c>
      <c r="AG85" t="str">
        <f ca="1"/>
        <v>MVEDSY</v>
      </c>
      <c r="AH85" s="87">
        <f ca="1"/>
        <v>-10260</v>
      </c>
      <c r="AI85" t="str">
        <f ca="1"/>
        <v>NEM</v>
      </c>
      <c r="AJ85" s="87">
        <f ca="1"/>
        <v>-12250</v>
      </c>
      <c r="AK85" s="90" t="str">
        <f ca="1"/>
        <v>SHECY</v>
      </c>
      <c r="AL85" s="310">
        <f ca="1"/>
        <v>-1.0281839285714283E-2</v>
      </c>
      <c r="AM85" t="str">
        <f ca="1"/>
        <v>BLNK</v>
      </c>
      <c r="AN85" s="310">
        <f ca="1"/>
        <v>-0.37765249038366699</v>
      </c>
      <c r="AO85" t="str">
        <f ca="1"/>
        <v>BLNK</v>
      </c>
      <c r="AP85" s="310">
        <f ca="1"/>
        <v>0.60676507936507929</v>
      </c>
      <c r="AQ85" s="87" t="str">
        <f ca="1"/>
        <v>MVEEPIX</v>
      </c>
      <c r="AR85" s="90">
        <f ca="1"/>
        <v>-1.0596279069767442</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BMRA</v>
      </c>
      <c r="F86" s="559">
        <f ca="1"/>
        <v>1.6497235143042414E-2</v>
      </c>
      <c r="G86" s="153" t="str">
        <f ca="1"/>
        <v>XYZ</v>
      </c>
      <c r="H86" s="560">
        <f ca="1"/>
        <v>-173779.47414000001</v>
      </c>
      <c r="I86" t="str">
        <f ca="1"/>
        <v>POET</v>
      </c>
      <c r="J86" s="561">
        <f ca="1"/>
        <v>-2.4615000000000001E-2</v>
      </c>
      <c r="K86" s="153" t="str">
        <f ca="1"/>
        <v>POET</v>
      </c>
      <c r="L86" s="561">
        <f ca="1"/>
        <v>-2.4615000000000001E-2</v>
      </c>
      <c r="M86" s="1" t="str">
        <f ca="1"/>
        <v>MVEDSY</v>
      </c>
      <c r="N86" s="560">
        <f ca="1"/>
        <v>-123090.00000000004</v>
      </c>
      <c r="O86" t="str">
        <f ca="1"/>
        <v>SSYS</v>
      </c>
      <c r="P86" s="560">
        <f ca="1"/>
        <v>-12918.923140260002</v>
      </c>
      <c r="Q86" t="str">
        <f ca="1"/>
        <v>BLDP</v>
      </c>
      <c r="R86" s="650">
        <f ca="1"/>
        <v>-1.0732779761904761E-2</v>
      </c>
      <c r="S86" t="str">
        <f ca="1"/>
        <v>POET</v>
      </c>
      <c r="T86" s="87">
        <f ca="1"/>
        <v>-5016</v>
      </c>
      <c r="U86" t="str">
        <f ca="1"/>
        <v>LOCK</v>
      </c>
      <c r="V86" s="87">
        <f ca="1"/>
        <v>-7632.9000000001397</v>
      </c>
      <c r="W86" t="str">
        <f ca="1"/>
        <v>SHECY</v>
      </c>
      <c r="X86">
        <f ca="1"/>
        <v>20</v>
      </c>
      <c r="Y86" t="str">
        <f ca="1"/>
        <v>VTRS</v>
      </c>
      <c r="Z86">
        <f ca="1"/>
        <v>18</v>
      </c>
      <c r="AA86" t="str">
        <f ca="1"/>
        <v>BLNK</v>
      </c>
      <c r="AB86">
        <f ca="1"/>
        <v>31</v>
      </c>
      <c r="AC86" t="str">
        <f ca="1"/>
        <v>SAP</v>
      </c>
      <c r="AD86">
        <f ca="1"/>
        <v>19</v>
      </c>
      <c r="AE86" t="str">
        <f ca="1"/>
        <v>BLNK</v>
      </c>
      <c r="AF86" s="87">
        <f ca="1"/>
        <v>-233195.62631399999</v>
      </c>
      <c r="AG86" t="str">
        <f ca="1"/>
        <v>EOAN</v>
      </c>
      <c r="AH86" s="87">
        <f ca="1"/>
        <v>-10692.999999999978</v>
      </c>
      <c r="AI86" t="str">
        <f ca="1"/>
        <v>GS</v>
      </c>
      <c r="AJ86" s="87">
        <f ca="1"/>
        <v>-14899</v>
      </c>
      <c r="AK86" s="90" t="str">
        <f ca="1"/>
        <v>BLDP</v>
      </c>
      <c r="AL86" s="310">
        <f ca="1"/>
        <v>-1.0732779761904761E-2</v>
      </c>
      <c r="AM86" t="str">
        <f ca="1"/>
        <v>PW</v>
      </c>
      <c r="AN86" s="310">
        <f ca="1"/>
        <v>-0.39606417092739321</v>
      </c>
      <c r="AO86" t="str">
        <f ca="1"/>
        <v>PW</v>
      </c>
      <c r="AP86" s="310">
        <f ca="1"/>
        <v>0.65604056618447637</v>
      </c>
      <c r="AQ86" s="87" t="str">
        <f ca="1"/>
        <v>EPIX</v>
      </c>
      <c r="AR86" s="90">
        <f ca="1"/>
        <v>-1.0812529663028001</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SHECY</v>
      </c>
      <c r="F87" s="559">
        <f ca="1"/>
        <v>1.5859329791151559E-2</v>
      </c>
      <c r="G87" s="153" t="str">
        <f ca="1"/>
        <v>SAFMRNA</v>
      </c>
      <c r="H87" s="560">
        <f ca="1"/>
        <v>-178108.52018960001</v>
      </c>
      <c r="I87" t="str">
        <f ca="1"/>
        <v>MRNA</v>
      </c>
      <c r="J87" s="561">
        <f ca="1"/>
        <v>-2.5682E-2</v>
      </c>
      <c r="K87" s="153" t="str">
        <f ca="1"/>
        <v>MRNA</v>
      </c>
      <c r="L87" s="561">
        <f ca="1"/>
        <v>-2.5682E-2</v>
      </c>
      <c r="M87" s="1" t="str">
        <f ca="1"/>
        <v>BMRA</v>
      </c>
      <c r="N87" s="560">
        <f ca="1"/>
        <v>-131307.5</v>
      </c>
      <c r="O87" t="str">
        <f ca="1"/>
        <v>NFLX</v>
      </c>
      <c r="P87" s="560">
        <f ca="1"/>
        <v>-13540.702399999993</v>
      </c>
      <c r="Q87" t="str">
        <f ca="1"/>
        <v>NVAX</v>
      </c>
      <c r="R87" s="650">
        <f ca="1"/>
        <v>-1.1197821428571429E-2</v>
      </c>
      <c r="S87" t="str">
        <f ca="1"/>
        <v>BLNK</v>
      </c>
      <c r="T87" s="87">
        <f ca="1"/>
        <v>-5400</v>
      </c>
      <c r="U87" t="str">
        <f ca="1"/>
        <v>MVEENI</v>
      </c>
      <c r="V87" s="87">
        <f ca="1"/>
        <v>-10152</v>
      </c>
      <c r="W87" t="str">
        <f ca="1"/>
        <v>XPER</v>
      </c>
      <c r="X87">
        <f ca="1"/>
        <v>20</v>
      </c>
      <c r="Y87" t="str">
        <f ca="1"/>
        <v>CSCO</v>
      </c>
      <c r="Z87">
        <f ca="1"/>
        <v>19</v>
      </c>
      <c r="AA87" t="str">
        <f ca="1"/>
        <v>NVS</v>
      </c>
      <c r="AB87">
        <f ca="1"/>
        <v>31</v>
      </c>
      <c r="AC87" t="str">
        <f ca="1"/>
        <v>CSCO</v>
      </c>
      <c r="AD87">
        <f ca="1"/>
        <v>17</v>
      </c>
      <c r="AE87" t="str">
        <f ca="1"/>
        <v>SAFMRNA</v>
      </c>
      <c r="AF87" s="87">
        <f ca="1"/>
        <v>-235853.62518959999</v>
      </c>
      <c r="AG87" t="str">
        <f ca="1"/>
        <v>GNRC</v>
      </c>
      <c r="AH87" s="87">
        <f ca="1"/>
        <v>-10881.000000000004</v>
      </c>
      <c r="AI87" t="str">
        <f ca="1"/>
        <v>RRC</v>
      </c>
      <c r="AJ87" s="87">
        <f ca="1"/>
        <v>-16080.000000000005</v>
      </c>
      <c r="AK87" s="90" t="str">
        <f ca="1"/>
        <v>NVAX</v>
      </c>
      <c r="AL87" s="310">
        <f ca="1"/>
        <v>-1.1197821428571429E-2</v>
      </c>
      <c r="AM87" t="str">
        <f ca="1"/>
        <v>ALDNE</v>
      </c>
      <c r="AN87" s="310">
        <f ca="1"/>
        <v>-0.40936925786137346</v>
      </c>
      <c r="AO87" t="str">
        <f ca="1"/>
        <v>ALDNE</v>
      </c>
      <c r="AP87" s="310">
        <f ca="1"/>
        <v>0.6935698233199955</v>
      </c>
      <c r="AQ87" s="87" t="str">
        <f ca="1"/>
        <v>SHECY</v>
      </c>
      <c r="AR87" s="90">
        <f ca="1"/>
        <v>-1.111466165413534</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1.0111510489342732E-2</v>
      </c>
      <c r="G88" s="153" t="str">
        <f ca="1"/>
        <v>NOTE</v>
      </c>
      <c r="H88" s="560">
        <f ca="1"/>
        <v>-197748.67906349996</v>
      </c>
      <c r="I88" t="str">
        <f ca="1"/>
        <v>SAFMRNA</v>
      </c>
      <c r="J88" s="561">
        <f ca="1"/>
        <v>-2.5682E-2</v>
      </c>
      <c r="K88" s="153" t="str">
        <f ca="1"/>
        <v>SAFMRNA</v>
      </c>
      <c r="L88" s="561">
        <f ca="1"/>
        <v>-2.5682E-2</v>
      </c>
      <c r="M88" s="1" t="str">
        <f ca="1"/>
        <v>SAP</v>
      </c>
      <c r="N88" s="560">
        <f ca="1"/>
        <v>-133125.44999999992</v>
      </c>
      <c r="O88" t="str">
        <f ca="1"/>
        <v>NVAX</v>
      </c>
      <c r="P88" s="560">
        <f ca="1"/>
        <v>-14417.417000000001</v>
      </c>
      <c r="Q88" t="str">
        <f ca="1"/>
        <v>PROF</v>
      </c>
      <c r="R88" s="650">
        <f ca="1"/>
        <v>-1.2197863095238095E-2</v>
      </c>
      <c r="S88" t="str">
        <f ca="1"/>
        <v>MVEENI</v>
      </c>
      <c r="T88" s="87">
        <f ca="1"/>
        <v>-5832</v>
      </c>
      <c r="U88" t="str">
        <f ca="1"/>
        <v>SAP</v>
      </c>
      <c r="V88" s="87">
        <f ca="1"/>
        <v>-10260</v>
      </c>
      <c r="W88" t="str">
        <f ca="1"/>
        <v>MVEDDD</v>
      </c>
      <c r="X88">
        <f ca="1"/>
        <v>20</v>
      </c>
      <c r="Y88" t="str">
        <f ca="1"/>
        <v>XOM</v>
      </c>
      <c r="Z88">
        <f ca="1"/>
        <v>19</v>
      </c>
      <c r="AA88" t="str">
        <f ca="1"/>
        <v>XYZ</v>
      </c>
      <c r="AB88">
        <f ca="1"/>
        <v>31</v>
      </c>
      <c r="AC88" t="str">
        <f ca="1"/>
        <v>SHECY</v>
      </c>
      <c r="AD88">
        <f ca="1"/>
        <v>13</v>
      </c>
      <c r="AE88" t="str">
        <f ca="1"/>
        <v>NFLX</v>
      </c>
      <c r="AF88" s="87">
        <f ca="1"/>
        <v>-263153.43462599954</v>
      </c>
      <c r="AG88" t="str">
        <f ca="1"/>
        <v>XYZ</v>
      </c>
      <c r="AH88" s="87">
        <f ca="1"/>
        <v>-11667</v>
      </c>
      <c r="AI88" t="str">
        <f ca="1"/>
        <v>JBASML</v>
      </c>
      <c r="AJ88" s="87">
        <f ca="1"/>
        <v>-17519.999999999993</v>
      </c>
      <c r="AK88" s="90" t="str">
        <f ca="1"/>
        <v>PROF</v>
      </c>
      <c r="AL88" s="310">
        <f ca="1"/>
        <v>-1.2197863095238095E-2</v>
      </c>
      <c r="AM88" t="str">
        <f ca="1"/>
        <v>MVEALDNE</v>
      </c>
      <c r="AN88" s="310">
        <f ca="1"/>
        <v>-0.45460050726689927</v>
      </c>
      <c r="AO88" t="str">
        <f ca="1"/>
        <v>MVEALDNE</v>
      </c>
      <c r="AP88" s="310">
        <f ca="1"/>
        <v>0.83491092871862782</v>
      </c>
      <c r="AQ88" s="87" t="str">
        <f ca="1"/>
        <v>EOAN</v>
      </c>
      <c r="AR88" s="90">
        <f ca="1"/>
        <v>-1.1863199144994632</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RWE</v>
      </c>
      <c r="F89" s="559">
        <f ca="1"/>
        <v>5.5391708193498089E-3</v>
      </c>
      <c r="G89" s="153" t="str">
        <f ca="1"/>
        <v>UN0</v>
      </c>
      <c r="H89" s="560">
        <f ca="1"/>
        <v>-199420.01870700001</v>
      </c>
      <c r="I89" t="str">
        <f ca="1"/>
        <v>NVAX</v>
      </c>
      <c r="J89" s="561">
        <f ca="1"/>
        <v>-2.6636000000000003E-2</v>
      </c>
      <c r="K89" s="153" t="str">
        <f ca="1"/>
        <v>NVAX</v>
      </c>
      <c r="L89" s="561">
        <f ca="1"/>
        <v>-2.6636000000000003E-2</v>
      </c>
      <c r="M89" s="1" t="str">
        <f ca="1"/>
        <v>SAFDDD</v>
      </c>
      <c r="N89" s="560">
        <f ca="1"/>
        <v>-136201.50000000003</v>
      </c>
      <c r="O89" t="str">
        <f ca="1"/>
        <v>DVA</v>
      </c>
      <c r="P89" s="560">
        <f ca="1"/>
        <v>-14641.831999999995</v>
      </c>
      <c r="Q89" t="str">
        <f ca="1"/>
        <v>CVS</v>
      </c>
      <c r="R89" s="650">
        <f ca="1"/>
        <v>-1.2618642857142866E-2</v>
      </c>
      <c r="S89" t="str">
        <f ca="1"/>
        <v>SAFDDD</v>
      </c>
      <c r="T89" s="87">
        <f ca="1"/>
        <v>-6050</v>
      </c>
      <c r="U89" t="str">
        <f ca="1"/>
        <v>DDD</v>
      </c>
      <c r="V89" s="87">
        <f ca="1"/>
        <v>-13175</v>
      </c>
      <c r="W89" t="str">
        <f ca="1"/>
        <v>SAFDDD</v>
      </c>
      <c r="X89">
        <f ca="1"/>
        <v>20</v>
      </c>
      <c r="Y89" t="str">
        <f ca="1"/>
        <v>MVEENI</v>
      </c>
      <c r="Z89">
        <f ca="1"/>
        <v>19</v>
      </c>
      <c r="AA89" t="str">
        <f ca="1"/>
        <v>PROF</v>
      </c>
      <c r="AB89">
        <f ca="1"/>
        <v>30</v>
      </c>
      <c r="AC89" t="str">
        <f ca="1"/>
        <v>BLDP</v>
      </c>
      <c r="AD89">
        <f ca="1"/>
        <v>12</v>
      </c>
      <c r="AE89" t="str">
        <f ca="1"/>
        <v>MVEDSY</v>
      </c>
      <c r="AF89" s="87">
        <f ca="1"/>
        <v>-312357.4192296</v>
      </c>
      <c r="AG89" t="str">
        <f ca="1"/>
        <v>SAP</v>
      </c>
      <c r="AH89" s="87">
        <f ca="1"/>
        <v>-13424.999999999996</v>
      </c>
      <c r="AI89" t="str">
        <f ca="1"/>
        <v>XOM</v>
      </c>
      <c r="AJ89" s="87">
        <f ca="1"/>
        <v>-18377.999999999989</v>
      </c>
      <c r="AK89" s="90" t="str">
        <f ca="1"/>
        <v>CVS</v>
      </c>
      <c r="AL89" s="310">
        <f ca="1"/>
        <v>-1.2618642857142866E-2</v>
      </c>
      <c r="AM89" t="str">
        <f ca="1"/>
        <v>SAFMRNA</v>
      </c>
      <c r="AN89" s="310">
        <f ca="1"/>
        <v>-0.6051230237969345</v>
      </c>
      <c r="AO89" t="str">
        <f ca="1"/>
        <v>SAFMRNA</v>
      </c>
      <c r="AP89" s="310">
        <f ca="1"/>
        <v>1.5399912314662274</v>
      </c>
      <c r="AQ89" s="87" t="str">
        <f ca="1"/>
        <v>UNIT</v>
      </c>
      <c r="AR89" s="90">
        <f ca="1"/>
        <v>-1.2361533779671334</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MVERWE</v>
      </c>
      <c r="F90" s="559">
        <f ca="1"/>
        <v>5.5391708193498089E-3</v>
      </c>
      <c r="G90" s="153" t="str">
        <f ca="1"/>
        <v>BLNK</v>
      </c>
      <c r="H90" s="560">
        <f ca="1"/>
        <v>-281570.62631399999</v>
      </c>
      <c r="I90" t="str">
        <f ca="1"/>
        <v>BLNK</v>
      </c>
      <c r="J90" s="561">
        <f ca="1"/>
        <v>-3.1914999999999999E-2</v>
      </c>
      <c r="K90" s="153" t="str">
        <f ca="1"/>
        <v>BLNK</v>
      </c>
      <c r="L90" s="561">
        <f ca="1"/>
        <v>-3.1914999999999999E-2</v>
      </c>
      <c r="M90" s="1" t="str">
        <f ca="1"/>
        <v>SAFMRNA</v>
      </c>
      <c r="N90" s="560">
        <f ca="1"/>
        <v>-187270.57550000001</v>
      </c>
      <c r="O90" t="str">
        <f ca="1"/>
        <v>MVEDSY</v>
      </c>
      <c r="P90" s="560">
        <f ca="1"/>
        <v>-16586.761999999999</v>
      </c>
      <c r="Q90" t="str">
        <f ca="1"/>
        <v>MVEDDD</v>
      </c>
      <c r="R90" s="650">
        <f ca="1"/>
        <v>-1.2618642857142866E-2</v>
      </c>
      <c r="S90" t="str">
        <f ca="1"/>
        <v>MRNA</v>
      </c>
      <c r="T90" s="87">
        <f ca="1"/>
        <v>-8040</v>
      </c>
      <c r="U90" t="str">
        <f ca="1"/>
        <v>SAFDDD</v>
      </c>
      <c r="V90" s="87">
        <f ca="1"/>
        <v>-17050</v>
      </c>
      <c r="W90" t="str">
        <f ca="1"/>
        <v>SAFDIS</v>
      </c>
      <c r="X90">
        <f ca="1"/>
        <v>20</v>
      </c>
      <c r="Y90" t="str">
        <f ca="1"/>
        <v>ENI</v>
      </c>
      <c r="Z90">
        <f ca="1"/>
        <v>19</v>
      </c>
      <c r="AA90" t="str">
        <f ca="1"/>
        <v>TSM</v>
      </c>
      <c r="AB90">
        <f ca="1"/>
        <v>30</v>
      </c>
      <c r="AC90" t="str">
        <f ca="1"/>
        <v>CVS</v>
      </c>
      <c r="AD90">
        <f ca="1"/>
        <v>12</v>
      </c>
      <c r="AE90" t="str">
        <f ca="1"/>
        <v>SAFDDD</v>
      </c>
      <c r="AF90" s="87">
        <f ca="1"/>
        <v>-340793.18449199997</v>
      </c>
      <c r="AG90" t="str">
        <f ca="1"/>
        <v>MVEEPIX</v>
      </c>
      <c r="AH90" s="87">
        <f ca="1"/>
        <v>-15188</v>
      </c>
      <c r="AI90" t="str">
        <f ca="1"/>
        <v>GM</v>
      </c>
      <c r="AJ90" s="87">
        <f ca="1"/>
        <v>-21267.179999999993</v>
      </c>
      <c r="AK90" s="90" t="str">
        <f ca="1"/>
        <v>MVEDDD</v>
      </c>
      <c r="AL90" s="310">
        <f ca="1"/>
        <v>-1.2618642857142866E-2</v>
      </c>
      <c r="AM90" t="str">
        <f ca="1"/>
        <v>MRNA</v>
      </c>
      <c r="AN90" s="310">
        <f ca="1"/>
        <v>-0.65938955679878852</v>
      </c>
      <c r="AO90" t="str">
        <f ca="1"/>
        <v>MRNA</v>
      </c>
      <c r="AP90" s="310">
        <f ca="1"/>
        <v>1.9481964030752332</v>
      </c>
      <c r="AQ90" s="87" t="str">
        <f ca="1"/>
        <v>XPER</v>
      </c>
      <c r="AR90" s="90">
        <f ca="1"/>
        <v>-1.278839815425181</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UN0</v>
      </c>
      <c r="F91" s="559">
        <f ca="1"/>
        <v>1.1235955056179776E-3</v>
      </c>
      <c r="G91" s="153" t="str">
        <f ca="1"/>
        <v>MVEALDNE</v>
      </c>
      <c r="H91" s="560">
        <f ca="1"/>
        <v>-293548.04554639244</v>
      </c>
      <c r="I91" t="str">
        <f ca="1"/>
        <v>PW</v>
      </c>
      <c r="J91" s="561">
        <f ca="1"/>
        <v>-3.2069E-2</v>
      </c>
      <c r="K91" s="153" t="str">
        <f ca="1"/>
        <v>PW</v>
      </c>
      <c r="L91" s="561">
        <f ca="1"/>
        <v>-3.2069E-2</v>
      </c>
      <c r="M91" s="1" t="str">
        <f ca="1"/>
        <v>NOTE</v>
      </c>
      <c r="N91" s="560">
        <f ca="1"/>
        <v>-219152.5002812465</v>
      </c>
      <c r="O91" t="str">
        <f ca="1"/>
        <v>SAFMRNA</v>
      </c>
      <c r="P91" s="560">
        <f ca="1"/>
        <v>-19912.0936</v>
      </c>
      <c r="Q91" t="str">
        <f ca="1"/>
        <v>SAFDDD</v>
      </c>
      <c r="R91" s="650">
        <f ca="1"/>
        <v>-1.2618642857142866E-2</v>
      </c>
      <c r="S91" t="str">
        <f ca="1"/>
        <v>NEM</v>
      </c>
      <c r="T91" s="87">
        <f ca="1"/>
        <v>-10900</v>
      </c>
      <c r="U91" t="str">
        <f ca="1"/>
        <v>BLNK</v>
      </c>
      <c r="V91" s="87">
        <f ca="1"/>
        <v>-22200</v>
      </c>
      <c r="W91" t="str">
        <f ca="1"/>
        <v>BLNK</v>
      </c>
      <c r="X91">
        <f ca="1"/>
        <v>20</v>
      </c>
      <c r="Y91" t="str">
        <f ca="1"/>
        <v>OXY</v>
      </c>
      <c r="Z91">
        <f ca="1"/>
        <v>19</v>
      </c>
      <c r="AA91" t="str">
        <f ca="1"/>
        <v>MVEUN0</v>
      </c>
      <c r="AB91">
        <f ca="1"/>
        <v>30</v>
      </c>
      <c r="AC91" t="str">
        <f ca="1"/>
        <v>MVEDDD</v>
      </c>
      <c r="AD91">
        <f ca="1"/>
        <v>12</v>
      </c>
      <c r="AE91" t="str">
        <f ca="1"/>
        <v>MVEENI</v>
      </c>
      <c r="AF91" s="87">
        <f ca="1"/>
        <v>-343834.87437720003</v>
      </c>
      <c r="AG91" t="str">
        <f ca="1"/>
        <v>EPIX</v>
      </c>
      <c r="AH91" s="87">
        <f ca="1"/>
        <v>-18225.599999999999</v>
      </c>
      <c r="AI91" t="str">
        <f ca="1"/>
        <v>X</v>
      </c>
      <c r="AJ91" s="87">
        <f ca="1"/>
        <v>-29828.400000000009</v>
      </c>
      <c r="AK91" s="90" t="str">
        <f ca="1"/>
        <v>SAFDDD</v>
      </c>
      <c r="AL91" s="310">
        <f ca="1"/>
        <v>-1.2618642857142866E-2</v>
      </c>
      <c r="AM91" t="str">
        <f ca="1"/>
        <v>SSYS</v>
      </c>
      <c r="AN91" s="310">
        <f ca="1"/>
        <v>-0.70873540316495132</v>
      </c>
      <c r="AO91" t="str">
        <f ca="1"/>
        <v>SSYS</v>
      </c>
      <c r="AP91" s="310">
        <f ca="1"/>
        <v>2.452621079881657</v>
      </c>
      <c r="AQ91" s="87" t="str">
        <f ca="1"/>
        <v>XYZ</v>
      </c>
      <c r="AR91" s="90">
        <f ca="1"/>
        <v>-1.4915177677304436</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MVEUN0</v>
      </c>
      <c r="F92" s="559">
        <f ca="1"/>
        <v>1.1235955056179776E-3</v>
      </c>
      <c r="G92" s="153" t="str">
        <f ca="1"/>
        <v>LAZR</v>
      </c>
      <c r="H92" s="560">
        <f ca="1"/>
        <v>-323553.34577943996</v>
      </c>
      <c r="I92" t="str">
        <f ca="1"/>
        <v>NFLX</v>
      </c>
      <c r="J92" s="561">
        <f ca="1"/>
        <v>-3.7776999999999998E-2</v>
      </c>
      <c r="K92" s="153" t="str">
        <f ca="1"/>
        <v>NFLX</v>
      </c>
      <c r="L92" s="561">
        <f ca="1"/>
        <v>-3.7776999999999998E-2</v>
      </c>
      <c r="M92" s="1" t="str">
        <f ca="1"/>
        <v>MVEALDNE</v>
      </c>
      <c r="N92" s="560">
        <f ca="1"/>
        <v>-290984.79707400006</v>
      </c>
      <c r="O92" t="str">
        <f ca="1"/>
        <v>MVESAP</v>
      </c>
      <c r="P92" s="560">
        <f ca="1"/>
        <v>-30909.426000000007</v>
      </c>
      <c r="Q92" t="str">
        <f ca="1"/>
        <v>HPQ</v>
      </c>
      <c r="R92" s="650">
        <f ca="1"/>
        <v>-1.2978172619047617E-2</v>
      </c>
      <c r="S92" t="str">
        <f ca="1"/>
        <v>SHECY</v>
      </c>
      <c r="T92" s="87">
        <f ca="1"/>
        <v>-12887.5</v>
      </c>
      <c r="U92" t="str">
        <f ca="1"/>
        <v>AET</v>
      </c>
      <c r="V92" s="87">
        <f ca="1"/>
        <v>-27060</v>
      </c>
      <c r="W92" t="str">
        <f ca="1"/>
        <v>MA</v>
      </c>
      <c r="X92">
        <f ca="1"/>
        <v>20</v>
      </c>
      <c r="Y92" t="str">
        <f ca="1"/>
        <v>PFE</v>
      </c>
      <c r="Z92">
        <f ca="1"/>
        <v>19</v>
      </c>
      <c r="AA92" t="str">
        <f ca="1"/>
        <v>DIS</v>
      </c>
      <c r="AB92">
        <f ca="1"/>
        <v>23</v>
      </c>
      <c r="AC92" t="str">
        <f ca="1"/>
        <v>SAFDDD</v>
      </c>
      <c r="AD92">
        <f ca="1"/>
        <v>12</v>
      </c>
      <c r="AE92" t="str">
        <f ca="1"/>
        <v>SAP</v>
      </c>
      <c r="AF92" s="87">
        <f ca="1"/>
        <v>-690583.83673500014</v>
      </c>
      <c r="AG92" t="str">
        <f ca="1"/>
        <v>UNIT</v>
      </c>
      <c r="AH92" s="87">
        <f ca="1"/>
        <v>-24490.475000000006</v>
      </c>
      <c r="AI92" t="str">
        <f ca="1"/>
        <v>RWE</v>
      </c>
      <c r="AJ92" s="87">
        <f ca="1"/>
        <v>-33183.999999999993</v>
      </c>
      <c r="AK92" s="90" t="str">
        <f ca="1"/>
        <v>HPQ</v>
      </c>
      <c r="AL92" s="310">
        <f ca="1"/>
        <v>-1.2978172619047617E-2</v>
      </c>
      <c r="AM92" t="str">
        <f ca="1"/>
        <v>NOTE</v>
      </c>
      <c r="AN92" s="310">
        <f ca="1"/>
        <v>-0.77223378547558208</v>
      </c>
      <c r="AO92" t="str">
        <f ca="1"/>
        <v>NOTE</v>
      </c>
      <c r="AP92" s="310">
        <f ca="1"/>
        <v>3.4270165928207588</v>
      </c>
      <c r="AQ92" s="87" t="str">
        <f ca="1"/>
        <v>DVA</v>
      </c>
      <c r="AR92" s="90">
        <f ca="1"/>
        <v>-1.6597303146329281</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EOAN</v>
      </c>
      <c r="F93" s="559">
        <f ca="1"/>
        <v>3.4286087467618696E-4</v>
      </c>
      <c r="G93" s="153" t="str">
        <f ca="1"/>
        <v>DDD</v>
      </c>
      <c r="H93" s="560">
        <f ca="1"/>
        <v>-340574.2427</v>
      </c>
      <c r="I93" t="str">
        <f ca="1"/>
        <v>UNIT</v>
      </c>
      <c r="J93" s="561">
        <f ca="1"/>
        <v>-3.8211000000000002E-2</v>
      </c>
      <c r="K93" s="153" t="str">
        <f ca="1"/>
        <v>UNIT</v>
      </c>
      <c r="L93" s="561">
        <f ca="1"/>
        <v>-3.8211000000000002E-2</v>
      </c>
      <c r="M93" s="1" t="str">
        <f ca="1"/>
        <v>LAZR</v>
      </c>
      <c r="N93" s="560">
        <f ca="1"/>
        <v>-322642.99560000002</v>
      </c>
      <c r="O93" t="str">
        <f ca="1"/>
        <v>DXC</v>
      </c>
      <c r="P93" s="560">
        <f ca="1"/>
        <v>-32754.615999999998</v>
      </c>
      <c r="Q93" t="str">
        <f ca="1"/>
        <v>SAFIAG</v>
      </c>
      <c r="R93" s="650">
        <f ca="1"/>
        <v>-1.2978172619047617E-2</v>
      </c>
      <c r="S93" t="str">
        <f ca="1"/>
        <v>AET</v>
      </c>
      <c r="T93" s="87">
        <f ca="1"/>
        <v>-13120</v>
      </c>
      <c r="U93" t="str">
        <f ca="1"/>
        <v>SHECY</v>
      </c>
      <c r="V93" s="87">
        <f ca="1"/>
        <v>-28637.5</v>
      </c>
      <c r="W93" t="str">
        <f ca="1"/>
        <v>NVAX</v>
      </c>
      <c r="X93">
        <f ca="1"/>
        <v>20</v>
      </c>
      <c r="Y93" t="str">
        <f ca="1"/>
        <v>PW</v>
      </c>
      <c r="Z93">
        <f ca="1"/>
        <v>20</v>
      </c>
      <c r="AA93" t="str">
        <f ca="1"/>
        <v>MVEDSY</v>
      </c>
      <c r="AB93">
        <f ca="1"/>
        <v>23</v>
      </c>
      <c r="AC93" t="str">
        <f ca="1"/>
        <v>NFLX</v>
      </c>
      <c r="AD93">
        <f ca="1"/>
        <v>11</v>
      </c>
      <c r="AE93" t="str">
        <f ca="1"/>
        <v>MRNA</v>
      </c>
      <c r="AF93" s="87">
        <f ca="1"/>
        <v>-790220.14433999988</v>
      </c>
      <c r="AG93" t="str">
        <f ca="1"/>
        <v>SAFMRNA</v>
      </c>
      <c r="AH93" s="87">
        <f ca="1"/>
        <v>-43597.8</v>
      </c>
      <c r="AI93" t="str">
        <f ca="1"/>
        <v>SAFGM</v>
      </c>
      <c r="AJ93" s="87">
        <f ca="1"/>
        <v>-40963.19999999999</v>
      </c>
      <c r="AK93" s="90" t="str">
        <f ca="1"/>
        <v>SAFIAG</v>
      </c>
      <c r="AL93" s="310">
        <f ca="1"/>
        <v>-1.2978172619047617E-2</v>
      </c>
      <c r="AM93" t="str">
        <f ca="1"/>
        <v>BMRA</v>
      </c>
      <c r="AN93" s="310">
        <f ca="1"/>
        <v>-0.82371206956193588</v>
      </c>
      <c r="AO93" t="str">
        <f ca="1"/>
        <v>BMRA</v>
      </c>
      <c r="AP93" s="310">
        <f ca="1"/>
        <v>4.7398830699774264</v>
      </c>
      <c r="AQ93" s="87" t="str">
        <f ca="1"/>
        <v>HPQ</v>
      </c>
      <c r="AR93" s="90">
        <f ca="1"/>
        <v>-1.9191897609025457</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MVEEOAN</v>
      </c>
      <c r="F94" s="559">
        <f ca="1"/>
        <v>3.4286087467618696E-4</v>
      </c>
      <c r="G94" s="153" t="str">
        <f ca="1"/>
        <v>MRNA</v>
      </c>
      <c r="H94" s="560">
        <f ca="1"/>
        <v>-524713.831122</v>
      </c>
      <c r="I94" t="str">
        <f ca="1"/>
        <v>PROF</v>
      </c>
      <c r="J94" s="561">
        <f ca="1"/>
        <v>-3.8523000000000002E-2</v>
      </c>
      <c r="K94" s="153" t="str">
        <f ca="1"/>
        <v>PROF</v>
      </c>
      <c r="L94" s="561">
        <f ca="1"/>
        <v>-3.8523000000000002E-2</v>
      </c>
      <c r="M94" s="1" t="str">
        <f ca="1"/>
        <v>SSYS</v>
      </c>
      <c r="N94" s="560">
        <f ca="1"/>
        <v>-331945.89</v>
      </c>
      <c r="O94" t="str">
        <f ca="1"/>
        <v>XPER</v>
      </c>
      <c r="P94" s="560">
        <f ca="1"/>
        <v>-34901.020799999998</v>
      </c>
      <c r="Q94" t="str">
        <f ca="1"/>
        <v>XYZ</v>
      </c>
      <c r="R94" s="650">
        <f ca="1"/>
        <v>-1.374815357142857E-2</v>
      </c>
      <c r="S94" t="str">
        <f ca="1"/>
        <v>MSFT</v>
      </c>
      <c r="T94" s="87">
        <f ca="1"/>
        <v>-28126</v>
      </c>
      <c r="U94" t="str">
        <f ca="1"/>
        <v>NEM</v>
      </c>
      <c r="V94" s="87">
        <f ca="1"/>
        <v>-29100.000000000233</v>
      </c>
      <c r="W94" t="str">
        <f ca="1"/>
        <v>XYZ</v>
      </c>
      <c r="X94">
        <f ca="1"/>
        <v>20</v>
      </c>
      <c r="Y94" t="str">
        <f ca="1"/>
        <v>RIGL</v>
      </c>
      <c r="Z94">
        <f ca="1"/>
        <v>20</v>
      </c>
      <c r="AA94" t="str">
        <f ca="1"/>
        <v>SAP</v>
      </c>
      <c r="AB94">
        <f ca="1"/>
        <v>22</v>
      </c>
      <c r="AC94" t="str">
        <f ca="1"/>
        <v>NEM</v>
      </c>
      <c r="AD94">
        <f ca="1"/>
        <v>5</v>
      </c>
      <c r="AE94" t="str">
        <f ca="1"/>
        <v>AAPL</v>
      </c>
      <c r="AF94" s="87">
        <f ca="1"/>
        <v>-877863.65152499964</v>
      </c>
      <c r="AG94" t="str">
        <f ca="1"/>
        <v>MRNA</v>
      </c>
      <c r="AH94" s="87">
        <f ca="1"/>
        <v>-51210</v>
      </c>
      <c r="AI94" t="str">
        <f ca="1"/>
        <v>MVERWE</v>
      </c>
      <c r="AJ94" s="87">
        <f ca="1"/>
        <v>-41469.62999999999</v>
      </c>
      <c r="AK94" s="90" t="str">
        <f ca="1"/>
        <v>XYZ</v>
      </c>
      <c r="AL94" s="310">
        <f ca="1"/>
        <v>-1.374815357142857E-2</v>
      </c>
      <c r="AM94" t="str">
        <f ca="1"/>
        <v>EPIX</v>
      </c>
      <c r="AN94" s="310">
        <f ca="1"/>
        <v>-0.90304729556909646</v>
      </c>
      <c r="AO94" t="str">
        <f ca="1"/>
        <v>EPIX</v>
      </c>
      <c r="AP94" s="310">
        <f ca="1"/>
        <v>9.5683741550695824</v>
      </c>
      <c r="AQ94" s="87" t="str">
        <f ca="1"/>
        <v>GNRC</v>
      </c>
      <c r="AR94" s="90">
        <f ca="1"/>
        <v>-2.5460175334602071</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JBEOAN</v>
      </c>
      <c r="F95" s="559">
        <f ca="1"/>
        <v>3.4286087467618696E-4</v>
      </c>
      <c r="G95" s="153" t="str">
        <f ca="1"/>
        <v>SSYS</v>
      </c>
      <c r="H95" s="560">
        <f ca="1"/>
        <v>-723902.80333225999</v>
      </c>
      <c r="I95" t="str">
        <f ca="1"/>
        <v>NOTE</v>
      </c>
      <c r="J95" s="561">
        <f ca="1"/>
        <v>-4.9107000000000005E-2</v>
      </c>
      <c r="K95" s="153" t="str">
        <f ca="1"/>
        <v>NOTE</v>
      </c>
      <c r="L95" s="561">
        <f ca="1"/>
        <v>-4.9107000000000005E-2</v>
      </c>
      <c r="M95" s="1" t="str">
        <f ca="1"/>
        <v>MRNA</v>
      </c>
      <c r="N95" s="560">
        <f ca="1"/>
        <v>-568384.03999999992</v>
      </c>
      <c r="O95" t="str">
        <f ca="1"/>
        <v>EPIX</v>
      </c>
      <c r="P95" s="560">
        <f ca="1"/>
        <v>-55543.211199999991</v>
      </c>
      <c r="Q95" t="str">
        <f ca="1"/>
        <v>NFLX</v>
      </c>
      <c r="R95" s="650">
        <f ca="1"/>
        <v>-2.4846559523809531E-2</v>
      </c>
      <c r="S95" t="str">
        <f ca="1"/>
        <v>AMZN</v>
      </c>
      <c r="T95" s="87">
        <f ca="1"/>
        <v>-28896</v>
      </c>
      <c r="U95" t="str">
        <f ca="1"/>
        <v>AMZN</v>
      </c>
      <c r="V95" s="87">
        <f ca="1"/>
        <v>-42936</v>
      </c>
      <c r="W95" t="str">
        <f ca="1"/>
        <v>LOCK</v>
      </c>
      <c r="X95">
        <f ca="1"/>
        <v>20</v>
      </c>
      <c r="Y95" t="str">
        <f ca="1"/>
        <v>UN0</v>
      </c>
      <c r="Z95">
        <f ca="1"/>
        <v>20</v>
      </c>
      <c r="AA95" t="str">
        <f ca="1"/>
        <v>NFLX</v>
      </c>
      <c r="AB95">
        <f ca="1"/>
        <v>18</v>
      </c>
      <c r="AC95" t="str">
        <f ca="1"/>
        <v>DIS</v>
      </c>
      <c r="AD95">
        <f ca="1"/>
        <v>4</v>
      </c>
      <c r="AE95" t="str">
        <f ca="1"/>
        <v>AMZN</v>
      </c>
      <c r="AF95" s="87">
        <f ca="1"/>
        <v>-904309.32697199984</v>
      </c>
      <c r="AG95" t="str">
        <f ca="1"/>
        <v>LAZR</v>
      </c>
      <c r="AH95" s="87">
        <f ca="1"/>
        <v>-53581.36740000001</v>
      </c>
      <c r="AI95" t="str">
        <f ca="1"/>
        <v>GLE</v>
      </c>
      <c r="AJ95" s="87">
        <f ca="1"/>
        <v>-51440</v>
      </c>
      <c r="AK95" s="90" t="str">
        <f ca="1"/>
        <v>NFLX</v>
      </c>
      <c r="AL95" s="310">
        <f ca="1"/>
        <v>-2.4846559523809531E-2</v>
      </c>
      <c r="AM95" t="str">
        <f ca="1"/>
        <v>MVEEPIX</v>
      </c>
      <c r="AN95" s="310">
        <f ca="1"/>
        <v>-0.91986868770122332</v>
      </c>
      <c r="AO95" t="str">
        <f ca="1"/>
        <v>MVEEPIX</v>
      </c>
      <c r="AP95" s="310">
        <f ca="1"/>
        <v>11.861879787939033</v>
      </c>
      <c r="AQ95" s="87" t="str">
        <f ca="1"/>
        <v>POET</v>
      </c>
      <c r="AR95" s="90">
        <f ca="1"/>
        <v>-8.2066319869850783</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-1223982.9999710028</v>
      </c>
      <c r="I96" s="561" t="str">
        <f ca="1"/>
        <v>RIGL</v>
      </c>
      <c r="J96" s="561">
        <f ca="1"/>
        <v>-8.6974999999999997E-2</v>
      </c>
      <c r="K96" t="str">
        <f ca="1"/>
        <v>RIGL</v>
      </c>
      <c r="L96" s="561">
        <f ca="1"/>
        <v>-8.6974999999999997E-2</v>
      </c>
      <c r="M96" s="1" t="str">
        <f ca="1"/>
        <v>ALDNE</v>
      </c>
      <c r="N96" s="560">
        <f ca="1"/>
        <v>-1211781.041263717</v>
      </c>
      <c r="O96" t="str">
        <f ca="1"/>
        <v>MRNA</v>
      </c>
      <c r="P96" s="560">
        <f ca="1"/>
        <v>-95690.555999999982</v>
      </c>
      <c r="Q96" t="str">
        <f ca="1"/>
        <v>LNSR</v>
      </c>
      <c r="R96" s="650">
        <f ca="1"/>
        <v>-3.2430083333333332E-2</v>
      </c>
      <c r="S96" t="str">
        <f ca="1"/>
        <v>NFLX</v>
      </c>
      <c r="T96" s="87">
        <f ca="1"/>
        <v>-91200</v>
      </c>
      <c r="U96" t="str">
        <f ca="1"/>
        <v>NFLX</v>
      </c>
      <c r="V96" s="87">
        <f ca="1"/>
        <v>-131580</v>
      </c>
      <c r="W96" t="str">
        <f ca="1"/>
        <v>UNIT</v>
      </c>
      <c r="X96" t="e">
        <f ca="1"/>
        <v>#REF!</v>
      </c>
      <c r="Y96" t="str">
        <f ca="1"/>
        <v>MVERWE</v>
      </c>
      <c r="Z96">
        <f ca="1"/>
        <v>20</v>
      </c>
      <c r="AA96" t="str">
        <f ca="1"/>
        <v>NEM</v>
      </c>
      <c r="AB96">
        <f ca="1"/>
        <v>16</v>
      </c>
      <c r="AC96" t="str">
        <f ca="1"/>
        <v>MVEDSY</v>
      </c>
      <c r="AD96">
        <f ca="1"/>
        <v>4</v>
      </c>
      <c r="AE96" t="str">
        <f ca="1"/>
        <v>ASML</v>
      </c>
      <c r="AF96" s="87">
        <f ca="1"/>
        <v>-1833403.6778939997</v>
      </c>
      <c r="AG96" s="93" t="str">
        <f ca="1"/>
        <v>BMRA</v>
      </c>
      <c r="AH96" s="87">
        <f ca="1"/>
        <v>-131307.5</v>
      </c>
      <c r="AI96" s="87" t="str">
        <f ca="1"/>
        <v>SAFIAG</v>
      </c>
      <c r="AJ96" s="87">
        <f ca="1"/>
        <v>-75680.000000000015</v>
      </c>
      <c r="AK96" s="90" t="str">
        <f ca="1"/>
        <v>LNSR</v>
      </c>
      <c r="AL96" s="310">
        <f ca="1"/>
        <v>-3.2430083333333332E-2</v>
      </c>
      <c r="AM96" t="str">
        <f ca="1"/>
        <v>LAZR</v>
      </c>
      <c r="AN96" s="310">
        <f ca="1"/>
        <v>-0.95664328166011681</v>
      </c>
      <c r="AO96" t="str">
        <f ca="1"/>
        <v>LAZR</v>
      </c>
      <c r="AP96">
        <f ca="1"/>
        <v>23.469438982195957</v>
      </c>
      <c r="AQ96" s="87" t="str">
        <f ca="1"/>
        <v>NOTE</v>
      </c>
      <c r="AR96" s="90">
        <f ca="1"/>
        <v>-10.271739130434781</v>
      </c>
      <c r="AS96" s="94" t="str">
        <f ca="1"/>
        <v>JBEOAN</v>
      </c>
      <c r="AT96" s="90">
        <f ca="1"/>
        <v>0</v>
      </c>
    </row>
    <row r="97" spans="2:45" x14ac:dyDescent="0.3">
      <c r="D97" s="153"/>
      <c r="F97" s="903">
        <f ca="1">AVERAGE(F4:F96)</f>
        <v>0.49810587676505702</v>
      </c>
      <c r="J97" s="308"/>
      <c r="L97" s="308"/>
    </row>
    <row r="98" spans="2:45" x14ac:dyDescent="0.3">
      <c r="D98" s="153"/>
      <c r="J98" s="308"/>
      <c r="L98" s="308"/>
    </row>
    <row r="99" spans="2:45" ht="23" thickBot="1" x14ac:dyDescent="0.35">
      <c r="D99" s="153"/>
      <c r="J99" s="308"/>
      <c r="L99" s="308"/>
    </row>
    <row r="100" spans="2:45" ht="23" thickBot="1" x14ac:dyDescent="0.35">
      <c r="B100" s="775" t="s">
        <v>2676</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0.27700442895846106</v>
      </c>
      <c r="G101" s="560">
        <f t="shared" ref="G101" ca="1" si="2">_xlfn.XLOOKUP(G100,G3:G96,H3:H96)</f>
        <v>-70183.630775999976</v>
      </c>
      <c r="I101" s="310">
        <f t="shared" ref="I101" ca="1" si="3">_xlfn.XLOOKUP(I100,I3:I96,J3:J96)</f>
        <v>-2.4615000000000001E-2</v>
      </c>
      <c r="K101" s="310">
        <f t="shared" ref="K101" ca="1" si="4">_xlfn.XLOOKUP(K100,K3:K96,L3:L96)</f>
        <v>-2.4615000000000001E-2</v>
      </c>
      <c r="M101" s="560">
        <f t="shared" ref="M101" ca="1" si="5">_xlfn.XLOOKUP(M100,M3:M96,N3:N96)</f>
        <v>-73188.007037037023</v>
      </c>
      <c r="O101" s="560">
        <f t="shared" ref="O101" ca="1" si="6">_xlfn.XLOOKUP(O100,O3:O96,P3:P96)</f>
        <v>-12182.2436</v>
      </c>
      <c r="Q101" s="310">
        <f t="shared" ref="Q101" ca="1" si="7">_xlfn.XLOOKUP(Q100,Q3:Q96,R3:R96)</f>
        <v>1.2478422619047622E-2</v>
      </c>
      <c r="S101" s="560">
        <f t="shared" ref="S101" ca="1" si="8">_xlfn.XLOOKUP(S100,S3:S96,T3:T96)</f>
        <v>-5016</v>
      </c>
      <c r="U101" s="560">
        <f t="shared" ref="U101" ca="1" si="9">_xlfn.XLOOKUP(U100,U3:U96,V3:V96)</f>
        <v>-3441</v>
      </c>
      <c r="W101" s="560">
        <f t="shared" ref="W101" ca="1" si="10">_xlfn.XLOOKUP(W100,W3:W96,X3:X96)</f>
        <v>19</v>
      </c>
      <c r="Y101" s="560">
        <f t="shared" ref="Y101" ca="1" si="11">_xlfn.XLOOKUP(Y100,Y3:Y96,Z3:Z96)</f>
        <v>11</v>
      </c>
      <c r="AA101" s="560">
        <f t="shared" ref="AA101" ca="1" si="12">_xlfn.XLOOKUP(AA100,AA3:AA96,AB3:AB96)</f>
        <v>35</v>
      </c>
      <c r="AC101" s="560">
        <f t="shared" ref="AC101" ca="1" si="13">_xlfn.XLOOKUP(AC100,AC3:AC96,AD3:AD96)</f>
        <v>44</v>
      </c>
      <c r="AE101" s="560">
        <f t="shared" ref="AE101" ca="1" si="14">_xlfn.XLOOKUP(AE100,AE3:AE96,AF3:AF96)</f>
        <v>0</v>
      </c>
      <c r="AG101" s="560">
        <f t="shared" ref="AG101" ca="1" si="15">_xlfn.XLOOKUP(AG100,AG3:AG96,AH3:AH96)</f>
        <v>-1986.2500000000005</v>
      </c>
      <c r="AI101" s="560">
        <f t="shared" ref="AI101" ca="1" si="16">_xlfn.XLOOKUP(AI100,AI3:AI96,AJ3:AJ96)</f>
        <v>12214</v>
      </c>
      <c r="AJ101"/>
      <c r="AK101" s="310">
        <f t="shared" ref="AK101" ca="1" si="17">_xlfn.XLOOKUP(AK100,AK3:AK96,AL3:AL96)</f>
        <v>1.2478422619047622E-2</v>
      </c>
      <c r="AM101" s="310">
        <f t="shared" ref="AM101" ca="1" si="18">_xlfn.XLOOKUP(AM100,AM3:AM96,AN3:AN96)</f>
        <v>-0.26842626074130321</v>
      </c>
      <c r="AO101" s="310">
        <f ca="1">_xlfn.XLOOKUP(AO100,AO3:AO96,AP3:AP96)</f>
        <v>0.36562487050667908</v>
      </c>
      <c r="AQ101" s="310">
        <f t="shared" ref="AQ101" ca="1" si="19">_xlfn.XLOOKUP(AQ100,AQ3:AQ96,AR3:AR96)</f>
        <v>-8.2066319869850783</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5"/>
  <sheetViews>
    <sheetView showZeros="0" topLeftCell="P33" zoomScale="60" zoomScaleNormal="60" workbookViewId="0">
      <selection activeCell="S26" sqref="S26"/>
    </sheetView>
  </sheetViews>
  <sheetFormatPr baseColWidth="10" defaultRowHeight="22" x14ac:dyDescent="0.3"/>
  <cols>
    <col min="1" max="4" width="10.625" style="868"/>
    <col min="5" max="6" width="10.625" style="868" customWidth="1"/>
    <col min="7" max="7" width="10.625" style="868"/>
    <col min="8" max="14" width="10.625" style="868" customWidth="1"/>
    <col min="15" max="15" width="7.5" style="868" customWidth="1"/>
    <col min="16" max="16" width="10.625" style="868" customWidth="1"/>
    <col min="17" max="17" width="10.625" style="869"/>
    <col min="18" max="18" width="5.375" style="868" bestFit="1" customWidth="1"/>
    <col min="19" max="44" width="7.375" style="868" customWidth="1"/>
    <col min="45" max="48" width="7.25" style="868" bestFit="1" customWidth="1"/>
    <col min="49" max="51" width="5" style="868" bestFit="1" customWidth="1"/>
    <col min="52" max="52" width="5.75" style="868" bestFit="1" customWidth="1"/>
    <col min="53" max="54" width="8.375" style="868" bestFit="1" customWidth="1"/>
    <col min="55" max="57" width="7.25" style="868" bestFit="1" customWidth="1"/>
    <col min="58" max="60" width="6" style="868" bestFit="1" customWidth="1"/>
    <col min="61" max="61" width="5.875" style="868" customWidth="1"/>
    <col min="62" max="62" width="6.25" style="868" bestFit="1" customWidth="1"/>
    <col min="63" max="64" width="7.25" style="868" bestFit="1" customWidth="1"/>
    <col min="65" max="65" width="6" style="868" bestFit="1" customWidth="1"/>
    <col min="66" max="66" width="10.375" style="868" bestFit="1" customWidth="1"/>
    <col min="67" max="67" width="11.5" style="868" bestFit="1" customWidth="1"/>
    <col min="68" max="69" width="5.5" style="868" bestFit="1" customWidth="1"/>
    <col min="70" max="71" width="5.375" style="868" bestFit="1" customWidth="1"/>
    <col min="72" max="82" width="5.5" style="868" bestFit="1" customWidth="1"/>
    <col min="83" max="84" width="5.375" style="868" bestFit="1" customWidth="1"/>
    <col min="85" max="85" width="5.5" style="868" bestFit="1" customWidth="1"/>
    <col min="86" max="87" width="5.375" style="868" bestFit="1" customWidth="1"/>
    <col min="88" max="93" width="5.875" style="868" bestFit="1" customWidth="1"/>
    <col min="94" max="16384" width="10.625" style="868"/>
  </cols>
  <sheetData>
    <row r="1" spans="2:130" ht="23" thickBot="1" x14ac:dyDescent="0.35"/>
    <row r="2" spans="2:130" ht="23" thickBot="1" x14ac:dyDescent="0.35">
      <c r="B2" s="1487" t="str" cm="1">
        <f t="array" ref="B2">_xlfn.LET(_xlpm.Tick,[0]!IDTICKER,_xlfn.IFS(OR(LEFT(_xlpm.Tick,3)="SAF",LEFT(_xlpm.Tick,3)="MVE"),RIGHT(_xlpm.Tick, LEN(_xlpm.Tick)-3),LEFT(_xlpm.Tick,2)="JB",RIGHT(_xlpm.Tick, LEN(_xlpm.Tick)-2),TRUE,_xlpm.Tick))</f>
        <v>AMZN</v>
      </c>
      <c r="K2" s="868" t="str">
        <f>TEXT(K3,"dd/mm/yyyy")</f>
        <v>01/01/2025</v>
      </c>
      <c r="L2" s="868" t="str">
        <f ca="1">TEXT(TODAY(),"dd/mm/yyyy")</f>
        <v>19/11/2025</v>
      </c>
      <c r="M2" s="869" t="s">
        <v>2300</v>
      </c>
    </row>
    <row r="3" spans="2:130" ht="23" thickBot="1" x14ac:dyDescent="0.35">
      <c r="B3" s="1488"/>
      <c r="C3" s="870"/>
      <c r="D3" s="870"/>
      <c r="E3" s="1193">
        <v>5.0000000000000001E-3</v>
      </c>
      <c r="I3" s="965" t="s">
        <v>2420</v>
      </c>
      <c r="J3" s="886" t="str">
        <f>B2</f>
        <v>AMZN</v>
      </c>
      <c r="K3" s="1147">
        <v>45658</v>
      </c>
      <c r="L3" s="1147">
        <f ca="1">TODAY()</f>
        <v>45980</v>
      </c>
      <c r="M3" s="869">
        <f ca="1">MATCH(MAX(J5:J212),J5:J212,0)</f>
        <v>208</v>
      </c>
    </row>
    <row r="4" spans="2:130" x14ac:dyDescent="0.3">
      <c r="B4" s="89" t="s">
        <v>156</v>
      </c>
      <c r="C4" s="89" t="s">
        <v>2301</v>
      </c>
      <c r="D4" s="89" t="s">
        <v>196</v>
      </c>
      <c r="E4" s="294" t="s">
        <v>2639</v>
      </c>
      <c r="F4" s="294"/>
      <c r="G4" s="294" t="s">
        <v>2638</v>
      </c>
      <c r="H4" s="868">
        <f ca="1">COUNTIF(H5:H212,"=ZZ")</f>
        <v>20</v>
      </c>
      <c r="I4" s="965" t="s">
        <v>2421</v>
      </c>
      <c r="J4" s="89" t="str" cm="1">
        <f t="array" aca="1" ref="J4:K225"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45979</v>
      </c>
      <c r="C5" s="89" vm="2">
        <f ca="1"/>
        <v>222.55</v>
      </c>
      <c r="D5" s="1210">
        <f t="shared" ref="D5:D68" ca="1" si="0">IFERROR((C5-C6)/C6,0)</f>
        <v>-4.4316571477648441E-2</v>
      </c>
      <c r="E5" s="294" t="str" cm="1">
        <f t="array" aca="1" ref="E5" ca="1">_xlfn.IFS(D5&gt;ZPercent,"U",D5&lt;=-ZPercent,"D",TRUE,"Z")</f>
        <v>D</v>
      </c>
      <c r="F5" s="294" t="str">
        <f ca="1">_xlfn.CONCAT(E6,E5)</f>
        <v>DD</v>
      </c>
      <c r="G5" s="294" t="str">
        <f ca="1">_xlfn.CONCAT(E7,E6,E5)</f>
        <v>DDD</v>
      </c>
      <c r="H5" s="868" t="str">
        <f ca="1">IF(AND(E5="D",E6="Z"),"ZZ","")</f>
        <v/>
      </c>
      <c r="J5" s="89" vm="3">
        <f ca="1"/>
        <v>45659</v>
      </c>
      <c r="K5" s="89" vm="4">
        <f ca="1"/>
        <v>220.22</v>
      </c>
      <c r="N5" s="868" t="str">
        <f ca="1">IF(F5=[2]Sheet1!O3,"","dif")</f>
        <v>dif</v>
      </c>
    </row>
    <row r="6" spans="2:130" ht="22" customHeight="1" x14ac:dyDescent="0.3">
      <c r="B6" s="89" vm="5">
        <f ca="1"/>
        <v>45978</v>
      </c>
      <c r="C6" s="89" vm="6">
        <f ca="1"/>
        <v>232.87</v>
      </c>
      <c r="D6" s="1210">
        <f t="shared" ca="1" si="0"/>
        <v>-7.7549107333077386E-3</v>
      </c>
      <c r="E6" s="294" t="str" cm="1">
        <f t="array" aca="1" ref="E6" ca="1">_xlfn.IFS(D6&gt;ZPercent,"U",D6&lt;=-ZPercent,"D",TRUE,"Z")</f>
        <v>D</v>
      </c>
      <c r="F6" s="294" t="str">
        <f t="shared" ref="F6:F69" ca="1" si="1">_xlfn.CONCAT(E7,E6)</f>
        <v>DD</v>
      </c>
      <c r="G6" s="294" t="str">
        <f t="shared" ref="G6:G69" ca="1" si="2">_xlfn.CONCAT(E8,E7,E6)</f>
        <v>DDD</v>
      </c>
      <c r="H6" s="868" t="str">
        <f t="shared" ref="H6:H69" ca="1" si="3">IF(AND(E6="D",E7="Z"),"ZZ","")</f>
        <v/>
      </c>
      <c r="J6" s="89" vm="7">
        <f ca="1"/>
        <v>45660</v>
      </c>
      <c r="K6" s="89" vm="8">
        <f ca="1"/>
        <v>224.19</v>
      </c>
      <c r="N6" s="868" t="str">
        <f ca="1">IF(F6=[2]Sheet1!O4,"","dif")</f>
        <v/>
      </c>
    </row>
    <row r="7" spans="2:130" ht="22" customHeight="1" x14ac:dyDescent="0.3">
      <c r="B7" s="89" vm="9">
        <f ca="1"/>
        <v>45975</v>
      </c>
      <c r="C7" s="89" vm="10">
        <f ca="1"/>
        <v>234.69</v>
      </c>
      <c r="D7" s="1210">
        <f t="shared" ca="1" si="0"/>
        <v>-1.2164323596262374E-2</v>
      </c>
      <c r="E7" s="294" t="str" cm="1">
        <f t="array" aca="1" ref="E7" ca="1">_xlfn.IFS(D7&gt;ZPercent,"U",D7&lt;=-ZPercent,"D",TRUE,"Z")</f>
        <v>D</v>
      </c>
      <c r="F7" s="294" t="str">
        <f t="shared" ca="1" si="1"/>
        <v>DD</v>
      </c>
      <c r="G7" s="294" t="str">
        <f t="shared" ca="1" si="2"/>
        <v>DDD</v>
      </c>
      <c r="H7" s="868" t="str">
        <f t="shared" ca="1" si="3"/>
        <v/>
      </c>
      <c r="J7" s="89" vm="11">
        <f ca="1"/>
        <v>45663</v>
      </c>
      <c r="K7" s="89" vm="12">
        <f ca="1"/>
        <v>227.61</v>
      </c>
      <c r="N7" s="868" t="str">
        <f ca="1">IF(F7=[2]Sheet1!O5,"","dif")</f>
        <v>dif</v>
      </c>
    </row>
    <row r="8" spans="2:130" ht="22" customHeight="1" x14ac:dyDescent="0.3">
      <c r="B8" s="89" vm="13">
        <f ca="1"/>
        <v>45974</v>
      </c>
      <c r="C8" s="89" vm="14">
        <f ca="1"/>
        <v>237.58</v>
      </c>
      <c r="D8" s="1210">
        <f t="shared" ca="1" si="0"/>
        <v>-2.7108927108927011E-2</v>
      </c>
      <c r="E8" s="294" t="str" cm="1">
        <f t="array" aca="1" ref="E8" ca="1">_xlfn.IFS(D8&gt;ZPercent,"U",D8&lt;=-ZPercent,"D",TRUE,"Z")</f>
        <v>D</v>
      </c>
      <c r="F8" s="294" t="str">
        <f t="shared" ca="1" si="1"/>
        <v>DD</v>
      </c>
      <c r="G8" s="294" t="str">
        <f t="shared" ca="1" si="2"/>
        <v>ZDD</v>
      </c>
      <c r="H8" s="868" t="str">
        <f t="shared" ca="1" si="3"/>
        <v/>
      </c>
      <c r="J8" s="89" vm="15">
        <f ca="1"/>
        <v>45664</v>
      </c>
      <c r="K8" s="89" vm="16">
        <f ca="1"/>
        <v>222.11</v>
      </c>
      <c r="N8" s="868" t="str">
        <f ca="1">IF(F8=[2]Sheet1!O6,"","dif")</f>
        <v>dif</v>
      </c>
    </row>
    <row r="9" spans="2:130" x14ac:dyDescent="0.3">
      <c r="B9" s="89" vm="17">
        <f ca="1"/>
        <v>45973</v>
      </c>
      <c r="C9" s="89" vm="18">
        <f ca="1"/>
        <v>244.2</v>
      </c>
      <c r="D9" s="1210">
        <f t="shared" ca="1" si="0"/>
        <v>-1.9670814933761566E-2</v>
      </c>
      <c r="E9" s="294" t="str" cm="1">
        <f t="array" aca="1" ref="E9" ca="1">_xlfn.IFS(D9&gt;ZPercent,"U",D9&lt;=-ZPercent,"D",TRUE,"Z")</f>
        <v>D</v>
      </c>
      <c r="F9" s="294" t="str">
        <f t="shared" ca="1" si="1"/>
        <v>ZD</v>
      </c>
      <c r="G9" s="294" t="str">
        <f t="shared" ca="1" si="2"/>
        <v>UZD</v>
      </c>
      <c r="H9" s="868" t="str">
        <f t="shared" ca="1" si="3"/>
        <v>ZZ</v>
      </c>
      <c r="J9" s="89" vm="19">
        <f ca="1"/>
        <v>45665</v>
      </c>
      <c r="K9" s="89" vm="20">
        <f ca="1"/>
        <v>222.13</v>
      </c>
      <c r="N9" s="868" t="str">
        <f ca="1">IF(F9=[2]Sheet1!O7,"","dif")</f>
        <v>dif</v>
      </c>
      <c r="S9" s="868" t="str" cm="1">
        <f t="array" aca="1" ref="S9:AV9" ca="1">TRANSPOSE(R10:R39)</f>
        <v>DDD</v>
      </c>
      <c r="T9" s="868" t="str">
        <f ca="1"/>
        <v>ZDD</v>
      </c>
      <c r="U9" s="868" t="str">
        <f ca="1"/>
        <v>UZD</v>
      </c>
      <c r="V9" s="868" t="str">
        <f ca="1"/>
        <v>UUZ</v>
      </c>
      <c r="W9" s="868" t="str">
        <f ca="1"/>
        <v>DUU</v>
      </c>
      <c r="X9" s="868" t="str">
        <f ca="1"/>
        <v>ZDU</v>
      </c>
      <c r="Y9" s="868" t="str">
        <f ca="1"/>
        <v>DZD</v>
      </c>
      <c r="Z9" s="868" t="str">
        <f ca="1"/>
        <v>UDZ</v>
      </c>
      <c r="AA9" s="868" t="str">
        <f ca="1"/>
        <v>UUD</v>
      </c>
      <c r="AB9" s="868" t="str">
        <f ca="1"/>
        <v>UUU</v>
      </c>
      <c r="AC9" s="868" t="str">
        <f ca="1"/>
        <v>UDU</v>
      </c>
      <c r="AD9" s="868" t="str">
        <f ca="1"/>
        <v>DDU</v>
      </c>
      <c r="AE9" s="868" t="str">
        <f ca="1"/>
        <v>DUD</v>
      </c>
      <c r="AF9" s="868" t="str">
        <f ca="1"/>
        <v>ZUU</v>
      </c>
      <c r="AG9" s="868" t="str">
        <f ca="1"/>
        <v>UZU</v>
      </c>
      <c r="AH9" s="868" t="str">
        <f ca="1"/>
        <v>DUZ</v>
      </c>
      <c r="AI9" s="868" t="str">
        <f ca="1"/>
        <v>ZUD</v>
      </c>
      <c r="AJ9" s="868" t="str">
        <f ca="1"/>
        <v>DZU</v>
      </c>
      <c r="AK9" s="868" t="str">
        <f ca="1"/>
        <v>DDZ</v>
      </c>
      <c r="AL9" s="868" t="str">
        <f ca="1"/>
        <v>ZZD</v>
      </c>
      <c r="AM9" s="868" t="str">
        <f ca="1"/>
        <v>DZZ</v>
      </c>
      <c r="AN9" s="868" t="str">
        <f ca="1"/>
        <v>UDD</v>
      </c>
      <c r="AO9" s="868" t="str">
        <f ca="1"/>
        <v>ZZU</v>
      </c>
      <c r="AP9" s="868" t="str">
        <f ca="1"/>
        <v>ZZZ</v>
      </c>
      <c r="AQ9" s="868" t="str">
        <f ca="1"/>
        <v>UZZ</v>
      </c>
      <c r="AR9" s="868" t="str">
        <f ca="1"/>
        <v>ZDZ</v>
      </c>
      <c r="AS9" s="868" t="str">
        <f ca="1"/>
        <v>ZUZ</v>
      </c>
      <c r="AT9" s="868">
        <f ca="1"/>
        <v>0</v>
      </c>
      <c r="AU9" s="868">
        <f ca="1"/>
        <v>0</v>
      </c>
      <c r="AV9" s="868">
        <f ca="1"/>
        <v>0</v>
      </c>
      <c r="CS9" s="868" t="str" cm="1">
        <f t="array" aca="1" ref="CS9:DZ9" ca="1">TRANSPOSE(R10:R43)</f>
        <v>DDD</v>
      </c>
      <c r="CT9" s="868" t="str">
        <f ca="1"/>
        <v>ZDD</v>
      </c>
      <c r="CU9" s="868" t="str">
        <f ca="1"/>
        <v>UZD</v>
      </c>
      <c r="CV9" s="868" t="str">
        <f ca="1"/>
        <v>UUZ</v>
      </c>
      <c r="CW9" s="868" t="str">
        <f ca="1"/>
        <v>DUU</v>
      </c>
      <c r="CX9" s="868" t="str">
        <f ca="1"/>
        <v>ZDU</v>
      </c>
      <c r="CY9" s="868" t="str">
        <f ca="1"/>
        <v>DZD</v>
      </c>
      <c r="CZ9" s="868" t="str">
        <f ca="1"/>
        <v>UDZ</v>
      </c>
      <c r="DA9" s="868" t="str">
        <f ca="1"/>
        <v>UUD</v>
      </c>
      <c r="DB9" s="868" t="str">
        <f ca="1"/>
        <v>UUU</v>
      </c>
      <c r="DC9" s="868" t="str">
        <f ca="1"/>
        <v>UDU</v>
      </c>
      <c r="DD9" s="868" t="str">
        <f ca="1"/>
        <v>DDU</v>
      </c>
      <c r="DE9" s="868" t="str">
        <f ca="1"/>
        <v>DUD</v>
      </c>
      <c r="DF9" s="868" t="str">
        <f ca="1"/>
        <v>ZUU</v>
      </c>
      <c r="DG9" s="868" t="str">
        <f ca="1"/>
        <v>UZU</v>
      </c>
      <c r="DH9" s="868" t="str">
        <f ca="1"/>
        <v>DUZ</v>
      </c>
      <c r="DI9" s="868" t="str">
        <f ca="1"/>
        <v>ZUD</v>
      </c>
      <c r="DJ9" s="868" t="str">
        <f ca="1"/>
        <v>DZU</v>
      </c>
      <c r="DK9" s="868" t="str">
        <f ca="1"/>
        <v>DDZ</v>
      </c>
      <c r="DL9" s="868" t="str">
        <f ca="1"/>
        <v>ZZD</v>
      </c>
      <c r="DM9" s="868" t="str">
        <f ca="1"/>
        <v>DZZ</v>
      </c>
      <c r="DN9" s="868" t="str">
        <f ca="1"/>
        <v>UDD</v>
      </c>
      <c r="DO9" s="868" t="str">
        <f ca="1"/>
        <v>ZZU</v>
      </c>
      <c r="DP9" s="868" t="str">
        <f ca="1"/>
        <v>ZZZ</v>
      </c>
      <c r="DQ9" s="868" t="str">
        <f ca="1"/>
        <v>UZZ</v>
      </c>
      <c r="DR9" s="868" t="str">
        <f ca="1"/>
        <v>ZDZ</v>
      </c>
      <c r="DS9" s="868" t="str">
        <f ca="1"/>
        <v>ZUZ</v>
      </c>
      <c r="DT9" s="868">
        <f ca="1"/>
        <v>0</v>
      </c>
      <c r="DU9" s="868">
        <f ca="1"/>
        <v>0</v>
      </c>
      <c r="DV9" s="868">
        <f ca="1"/>
        <v>0</v>
      </c>
      <c r="DW9" s="868">
        <f ca="1"/>
        <v>0</v>
      </c>
      <c r="DX9" s="868">
        <f ca="1"/>
        <v>0</v>
      </c>
      <c r="DY9" s="868" t="str">
        <f ca="1"/>
        <v>Min</v>
      </c>
      <c r="DZ9" s="1194">
        <f ca="1"/>
        <v>2.016574744734909E-2</v>
      </c>
    </row>
    <row r="10" spans="2:130" x14ac:dyDescent="0.3">
      <c r="B10" s="89" vm="21">
        <f ca="1"/>
        <v>45972</v>
      </c>
      <c r="C10" s="89" vm="22">
        <f ca="1"/>
        <v>249.1</v>
      </c>
      <c r="D10" s="1210">
        <f t="shared" ca="1" si="0"/>
        <v>2.8180354267310329E-3</v>
      </c>
      <c r="E10" s="294" t="str" cm="1">
        <f t="array" aca="1" ref="E10" ca="1">_xlfn.IFS(D10&gt;ZPercent,"U",D10&lt;=-ZPercent,"D",TRUE,"Z")</f>
        <v>Z</v>
      </c>
      <c r="F10" s="294" t="str">
        <f t="shared" ca="1" si="1"/>
        <v>UZ</v>
      </c>
      <c r="G10" s="294" t="str">
        <f t="shared" ca="1" si="2"/>
        <v>UUZ</v>
      </c>
      <c r="H10" s="868" t="str">
        <f t="shared" ca="1" si="3"/>
        <v/>
      </c>
      <c r="J10" s="89" vm="23">
        <f ca="1"/>
        <v>45667</v>
      </c>
      <c r="K10" s="89" vm="24">
        <f ca="1"/>
        <v>218.94</v>
      </c>
      <c r="N10" s="868" t="str">
        <f ca="1">IF(F10=[2]Sheet1!O8,"","dif")</f>
        <v>dif</v>
      </c>
      <c r="R10" s="868" t="str" cm="1">
        <f t="array" aca="1" ref="R10:R36" ca="1">_xlfn.UNIQUE(G5:G157)</f>
        <v>DDD</v>
      </c>
      <c r="S10" s="868" cm="1">
        <f t="array" aca="1" ref="S10" ca="1">SUM( ($G$7:$G$212=$R10) * ($G$6:$G$211=S$9) )</f>
        <v>4</v>
      </c>
      <c r="T10" s="868" cm="1">
        <f t="array" aca="1" ref="T10" ca="1">SUM( ($G$7:$G$212=$R10) * ($G$6:$G$211=T$9) )</f>
        <v>0</v>
      </c>
      <c r="U10" s="868" cm="1">
        <f t="array" aca="1" ref="U10" ca="1">SUM( ($G$7:$G$212=$R10) * ($G$6:$G$211=U$9) )</f>
        <v>0</v>
      </c>
      <c r="V10" s="868" cm="1">
        <f t="array" aca="1" ref="V10" ca="1">SUM( ($G$7:$G$212=$R10) * ($G$6:$G$211=V$9) )</f>
        <v>0</v>
      </c>
      <c r="W10" s="868" cm="1">
        <f t="array" aca="1" ref="W10" ca="1">SUM( ($G$7:$G$212=$R10) * ($G$6:$G$211=W$9) )</f>
        <v>0</v>
      </c>
      <c r="X10" s="868" cm="1">
        <f t="array" aca="1" ref="X10" ca="1">SUM( ($G$7:$G$212=$R10) * ($G$6:$G$211=X$9) )</f>
        <v>0</v>
      </c>
      <c r="Y10" s="868" cm="1">
        <f t="array" aca="1" ref="Y10" ca="1">SUM( ($G$7:$G$212=$R10) * ($G$6:$G$211=Y$9) )</f>
        <v>0</v>
      </c>
      <c r="Z10" s="868" cm="1">
        <f t="array" aca="1" ref="Z10" ca="1">SUM( ($G$7:$G$212=$R10) * ($G$6:$G$211=Z$9) )</f>
        <v>0</v>
      </c>
      <c r="AA10" s="868" cm="1">
        <f t="array" aca="1" ref="AA10" ca="1">SUM( ($G$7:$G$212=$R10) * ($G$6:$G$211=AA$9) )</f>
        <v>0</v>
      </c>
      <c r="AB10" s="868" cm="1">
        <f t="array" aca="1" ref="AB10" ca="1">SUM( ($G$7:$G$212=$R10) * ($G$6:$G$211=AB$9) )</f>
        <v>0</v>
      </c>
      <c r="AC10" s="868" cm="1">
        <f t="array" aca="1" ref="AC10" ca="1">SUM( ($G$7:$G$212=$R10) * ($G$6:$G$211=AC$9) )</f>
        <v>0</v>
      </c>
      <c r="AD10" s="868" cm="1">
        <f t="array" aca="1" ref="AD10" ca="1">SUM( ($G$7:$G$212=$R10) * ($G$6:$G$211=AD$9) )</f>
        <v>4</v>
      </c>
      <c r="AE10" s="868" cm="1">
        <f t="array" aca="1" ref="AE10" ca="1">SUM( ($G$7:$G$212=$R10) * ($G$6:$G$211=AE$9) )</f>
        <v>0</v>
      </c>
      <c r="AF10" s="868" cm="1">
        <f t="array" aca="1" ref="AF10" ca="1">SUM( ($G$7:$G$212=$R10) * ($G$6:$G$211=AF$9) )</f>
        <v>0</v>
      </c>
      <c r="AG10" s="868" cm="1">
        <f t="array" aca="1" ref="AG10" ca="1">SUM( ($G$7:$G$212=$R10) * ($G$6:$G$211=AG$9) )</f>
        <v>0</v>
      </c>
      <c r="AH10" s="868" cm="1">
        <f t="array" aca="1" ref="AH10" ca="1">SUM( ($G$7:$G$212=$R10) * ($G$6:$G$211=AH$9) )</f>
        <v>0</v>
      </c>
      <c r="AI10" s="868" cm="1">
        <f t="array" aca="1" ref="AI10" ca="1">SUM( ($G$7:$G$212=$R10) * ($G$6:$G$211=AI$9) )</f>
        <v>0</v>
      </c>
      <c r="AJ10" s="868" cm="1">
        <f t="array" aca="1" ref="AJ10" ca="1">SUM( ($G$7:$G$212=$R10) * ($G$6:$G$211=AJ$9) )</f>
        <v>0</v>
      </c>
      <c r="AK10" s="868" cm="1">
        <f t="array" aca="1" ref="AK10" ca="1">SUM( ($G$7:$G$212=$R10) * ($G$6:$G$211=AK$9) )</f>
        <v>1</v>
      </c>
      <c r="AL10" s="868" cm="1">
        <f t="array" aca="1" ref="AL10" ca="1">SUM( ($G$7:$G$212=$R10) * ($G$6:$G$211=AL$9) )</f>
        <v>0</v>
      </c>
      <c r="AM10" s="868" cm="1">
        <f t="array" aca="1" ref="AM10" ca="1">SUM( ($G$7:$G$212=$R10) * ($G$6:$G$211=AM$9) )</f>
        <v>0</v>
      </c>
      <c r="AN10" s="868" cm="1">
        <f t="array" aca="1" ref="AN10" ca="1">SUM( ($G$7:$G$212=$R10) * ($G$6:$G$211=AN$9) )</f>
        <v>0</v>
      </c>
      <c r="AO10" s="868" cm="1">
        <f t="array" aca="1" ref="AO10" ca="1">SUM( ($G$7:$G$212=$R10) * ($G$6:$G$211=AO$9) )</f>
        <v>0</v>
      </c>
      <c r="AP10" s="868" cm="1">
        <f t="array" aca="1" ref="AP10" ca="1">SUM( ($G$7:$G$212=$R10) * ($G$6:$G$211=AP$9) )</f>
        <v>0</v>
      </c>
      <c r="AQ10" s="868" cm="1">
        <f t="array" aca="1" ref="AQ10" ca="1">SUM( ($G$7:$G$212=$R10) * ($G$6:$G$211=AQ$9) )</f>
        <v>0</v>
      </c>
      <c r="AR10" s="868" cm="1">
        <f t="array" aca="1" ref="AR10" ca="1">SUM( ($G$7:$G$212=$R10) * ($G$6:$G$211=AR$9) )</f>
        <v>0</v>
      </c>
      <c r="AS10" s="868" cm="1">
        <f t="array" aca="1" ref="AS10" ca="1">SUM( ($G$7:$G$212=$R10) * ($G$6:$G$211=AS$9) )</f>
        <v>0</v>
      </c>
      <c r="AT10" s="868" cm="1">
        <f t="array" aca="1" ref="AT10" ca="1">SUM( ($G$7:$G$212=$R10) * ($G$6:$G$211=AT$9) )</f>
        <v>0</v>
      </c>
      <c r="AU10" s="868" cm="1">
        <f t="array" aca="1" ref="AU10" ca="1">SUM( ($G$7:$G$212=$R10) * ($G$6:$G$211=AU$9) )</f>
        <v>0</v>
      </c>
      <c r="CR10" s="868" t="str" cm="1">
        <f t="array" aca="1" ref="CR10:CR20" ca="1">_xlfn.UNIQUE(G$5:G$25)</f>
        <v>DDD</v>
      </c>
      <c r="CS10" s="868" cm="1">
        <f t="array" aca="1" ref="CS10" ca="1">SUM( ($G$7:$G$25=$R10) * ($G$6:$G$24=CS$9) )</f>
        <v>1</v>
      </c>
      <c r="CT10" s="868" cm="1">
        <f t="array" aca="1" ref="CT10" ca="1">SUM( ($G$7:$G$25=$R10) * ($G$6:$G$24=CT$9) )</f>
        <v>0</v>
      </c>
      <c r="CU10" s="868" cm="1">
        <f t="array" aca="1" ref="CU10" ca="1">SUM( ($G$7:$G$25=$R10) * ($G$6:$G$24=CU$9) )</f>
        <v>0</v>
      </c>
      <c r="CV10" s="868" cm="1">
        <f t="array" aca="1" ref="CV10" ca="1">SUM( ($G$7:$G$25=$R10) * ($G$6:$G$24=CV$9) )</f>
        <v>0</v>
      </c>
      <c r="CW10" s="868" cm="1">
        <f t="array" aca="1" ref="CW10" ca="1">SUM( ($G$7:$G$25=$R10) * ($G$6:$G$24=CW$9) )</f>
        <v>0</v>
      </c>
      <c r="CX10" s="868" cm="1">
        <f t="array" aca="1" ref="CX10" ca="1">SUM( ($G$7:$G$25=$R10) * ($G$6:$G$24=CX$9) )</f>
        <v>0</v>
      </c>
      <c r="CY10" s="868" cm="1">
        <f t="array" aca="1" ref="CY10" ca="1">SUM( ($G$7:$G$25=$R10) * ($G$6:$G$24=CY$9) )</f>
        <v>0</v>
      </c>
      <c r="CZ10" s="868" cm="1">
        <f t="array" aca="1" ref="CZ10" ca="1">SUM( ($G$7:$G$25=$R10) * ($G$6:$G$24=CZ$9) )</f>
        <v>0</v>
      </c>
      <c r="DA10" s="868" cm="1">
        <f t="array" aca="1" ref="DA10" ca="1">SUM( ($G$7:$G$25=$R10) * ($G$6:$G$24=DA$9) )</f>
        <v>0</v>
      </c>
      <c r="DB10" s="868" cm="1">
        <f t="array" aca="1" ref="DB10" ca="1">SUM( ($G$7:$G$25=$R10) * ($G$6:$G$24=DB$9) )</f>
        <v>0</v>
      </c>
      <c r="DC10" s="868" cm="1">
        <f t="array" aca="1" ref="DC10" ca="1">SUM( ($G$7:$G$25=$R10) * ($G$6:$G$24=DC$9) )</f>
        <v>0</v>
      </c>
      <c r="DD10" s="868" cm="1">
        <f t="array" aca="1" ref="DD10" ca="1">SUM( ($G$7:$G$25=$R10) * ($G$6:$G$24=DD$9) )</f>
        <v>0</v>
      </c>
      <c r="DE10" s="868" cm="1">
        <f t="array" aca="1" ref="DE10" ca="1">SUM( ($G$7:$G$25=$R10) * ($G$6:$G$24=DE$9) )</f>
        <v>0</v>
      </c>
      <c r="DF10" s="868" cm="1">
        <f t="array" aca="1" ref="DF10" ca="1">SUM( ($G$7:$G$25=$R10) * ($G$6:$G$24=DF$9) )</f>
        <v>0</v>
      </c>
      <c r="DG10" s="868" cm="1">
        <f t="array" aca="1" ref="DG10" ca="1">SUM( ($G$7:$G$25=$R10) * ($G$6:$G$24=DG$9) )</f>
        <v>0</v>
      </c>
      <c r="DH10" s="868" cm="1">
        <f t="array" aca="1" ref="DH10" ca="1">SUM( ($G$7:$G$25=$R10) * ($G$6:$G$24=DH$9) )</f>
        <v>0</v>
      </c>
      <c r="DI10" s="868" cm="1">
        <f t="array" aca="1" ref="DI10" ca="1">SUM( ($G$7:$G$25=$R10) * ($G$6:$G$24=DI$9) )</f>
        <v>0</v>
      </c>
      <c r="DJ10" s="868" cm="1">
        <f t="array" aca="1" ref="DJ10" ca="1">SUM( ($G$7:$G$25=$R10) * ($G$6:$G$24=DJ$9) )</f>
        <v>0</v>
      </c>
      <c r="DK10" s="868" cm="1">
        <f t="array" aca="1" ref="DK10" ca="1">SUM( ($G$7:$G$25=$R10) * ($G$6:$G$24=DK$9) )</f>
        <v>0</v>
      </c>
      <c r="DL10" s="868" cm="1">
        <f t="array" aca="1" ref="DL10" ca="1">SUM( ($G$7:$G$25=$R10) * ($G$6:$G$24=DL$9) )</f>
        <v>0</v>
      </c>
      <c r="DM10" s="868" cm="1">
        <f t="array" aca="1" ref="DM10" ca="1">SUM( ($G$7:$G$25=$R10) * ($G$6:$G$24=DM$9) )</f>
        <v>0</v>
      </c>
      <c r="DN10" s="868" cm="1">
        <f t="array" aca="1" ref="DN10" ca="1">SUM( ($G$7:$G$25=$R10) * ($G$6:$G$24=DN$9) )</f>
        <v>0</v>
      </c>
      <c r="DO10" s="868" cm="1">
        <f t="array" aca="1" ref="DO10" ca="1">SUM( ($G$7:$G$25=$R10) * ($G$6:$G$24=DO$9) )</f>
        <v>0</v>
      </c>
    </row>
    <row r="11" spans="2:130" x14ac:dyDescent="0.3">
      <c r="B11" s="89" vm="25">
        <f ca="1"/>
        <v>45971</v>
      </c>
      <c r="C11" s="89" vm="26">
        <f ca="1"/>
        <v>248.4</v>
      </c>
      <c r="D11" s="1210">
        <f t="shared" ca="1" si="0"/>
        <v>1.6325027617527962E-2</v>
      </c>
      <c r="E11" s="294" t="str" cm="1">
        <f t="array" aca="1" ref="E11" ca="1">_xlfn.IFS(D11&gt;ZPercent,"U",D11&lt;=-ZPercent,"D",TRUE,"Z")</f>
        <v>U</v>
      </c>
      <c r="F11" s="294" t="str">
        <f t="shared" ca="1" si="1"/>
        <v>UU</v>
      </c>
      <c r="G11" s="294" t="str">
        <f t="shared" ca="1" si="2"/>
        <v>DUU</v>
      </c>
      <c r="H11" s="868" t="str">
        <f t="shared" ca="1" si="3"/>
        <v/>
      </c>
      <c r="J11" s="89" vm="27">
        <f ca="1"/>
        <v>45670</v>
      </c>
      <c r="K11" s="89" vm="28">
        <f ca="1"/>
        <v>218.46</v>
      </c>
      <c r="N11" s="868" t="str">
        <f ca="1">IF(F11=[2]Sheet1!O9,"","dif")</f>
        <v>dif</v>
      </c>
      <c r="R11" s="868" t="str">
        <f ca="1"/>
        <v>ZDD</v>
      </c>
      <c r="S11" s="868" cm="1">
        <f t="array" aca="1" ref="S11" ca="1">SUM( ($G$7:$G$212=$R11) * ($G$6:$G$211=S$9) )</f>
        <v>3</v>
      </c>
      <c r="T11" s="868" cm="1">
        <f t="array" aca="1" ref="T11" ca="1">SUM( ($G$7:$G$212=$R11) * ($G$6:$G$211=T$9) )</f>
        <v>0</v>
      </c>
      <c r="U11" s="868" cm="1">
        <f t="array" aca="1" ref="U11" ca="1">SUM( ($G$7:$G$212=$R11) * ($G$6:$G$211=U$9) )</f>
        <v>0</v>
      </c>
      <c r="V11" s="868" cm="1">
        <f t="array" aca="1" ref="V11" ca="1">SUM( ($G$7:$G$212=$R11) * ($G$6:$G$211=V$9) )</f>
        <v>0</v>
      </c>
      <c r="W11" s="868" cm="1">
        <f t="array" aca="1" ref="W11" ca="1">SUM( ($G$7:$G$212=$R11) * ($G$6:$G$211=W$9) )</f>
        <v>0</v>
      </c>
      <c r="X11" s="868" cm="1">
        <f t="array" aca="1" ref="X11" ca="1">SUM( ($G$7:$G$212=$R11) * ($G$6:$G$211=X$9) )</f>
        <v>0</v>
      </c>
      <c r="Y11" s="868" cm="1">
        <f t="array" aca="1" ref="Y11" ca="1">SUM( ($G$7:$G$212=$R11) * ($G$6:$G$211=Y$9) )</f>
        <v>0</v>
      </c>
      <c r="Z11" s="868" cm="1">
        <f t="array" aca="1" ref="Z11" ca="1">SUM( ($G$7:$G$212=$R11) * ($G$6:$G$211=Z$9) )</f>
        <v>0</v>
      </c>
      <c r="AA11" s="868" cm="1">
        <f t="array" aca="1" ref="AA11" ca="1">SUM( ($G$7:$G$212=$R11) * ($G$6:$G$211=AA$9) )</f>
        <v>0</v>
      </c>
      <c r="AB11" s="868" cm="1">
        <f t="array" aca="1" ref="AB11" ca="1">SUM( ($G$7:$G$212=$R11) * ($G$6:$G$211=AB$9) )</f>
        <v>0</v>
      </c>
      <c r="AC11" s="868" cm="1">
        <f t="array" aca="1" ref="AC11" ca="1">SUM( ($G$7:$G$212=$R11) * ($G$6:$G$211=AC$9) )</f>
        <v>0</v>
      </c>
      <c r="AD11" s="868" cm="1">
        <f t="array" aca="1" ref="AD11" ca="1">SUM( ($G$7:$G$212=$R11) * ($G$6:$G$211=AD$9) )</f>
        <v>4</v>
      </c>
      <c r="AE11" s="868" cm="1">
        <f t="array" aca="1" ref="AE11" ca="1">SUM( ($G$7:$G$212=$R11) * ($G$6:$G$211=AE$9) )</f>
        <v>0</v>
      </c>
      <c r="AF11" s="868" cm="1">
        <f t="array" aca="1" ref="AF11" ca="1">SUM( ($G$7:$G$212=$R11) * ($G$6:$G$211=AF$9) )</f>
        <v>0</v>
      </c>
      <c r="AG11" s="868" cm="1">
        <f t="array" aca="1" ref="AG11" ca="1">SUM( ($G$7:$G$212=$R11) * ($G$6:$G$211=AG$9) )</f>
        <v>0</v>
      </c>
      <c r="AH11" s="868" cm="1">
        <f t="array" aca="1" ref="AH11" ca="1">SUM( ($G$7:$G$212=$R11) * ($G$6:$G$211=AH$9) )</f>
        <v>0</v>
      </c>
      <c r="AI11" s="868" cm="1">
        <f t="array" aca="1" ref="AI11" ca="1">SUM( ($G$7:$G$212=$R11) * ($G$6:$G$211=AI$9) )</f>
        <v>0</v>
      </c>
      <c r="AJ11" s="868" cm="1">
        <f t="array" aca="1" ref="AJ11" ca="1">SUM( ($G$7:$G$212=$R11) * ($G$6:$G$211=AJ$9) )</f>
        <v>0</v>
      </c>
      <c r="AK11" s="868" cm="1">
        <f t="array" aca="1" ref="AK11" ca="1">SUM( ($G$7:$G$212=$R11) * ($G$6:$G$211=AK$9) )</f>
        <v>1</v>
      </c>
      <c r="AL11" s="868" cm="1">
        <f t="array" aca="1" ref="AL11" ca="1">SUM( ($G$7:$G$212=$R11) * ($G$6:$G$211=AL$9) )</f>
        <v>0</v>
      </c>
      <c r="AM11" s="868" cm="1">
        <f t="array" aca="1" ref="AM11" ca="1">SUM( ($G$7:$G$212=$R11) * ($G$6:$G$211=AM$9) )</f>
        <v>0</v>
      </c>
      <c r="AN11" s="868" cm="1">
        <f t="array" aca="1" ref="AN11" ca="1">SUM( ($G$7:$G$212=$R11) * ($G$6:$G$211=AN$9) )</f>
        <v>0</v>
      </c>
      <c r="AO11" s="868" cm="1">
        <f t="array" aca="1" ref="AO11" ca="1">SUM( ($G$7:$G$212=$R11) * ($G$6:$G$211=AO$9) )</f>
        <v>0</v>
      </c>
      <c r="AP11" s="868" cm="1">
        <f t="array" aca="1" ref="AP11" ca="1">SUM( ($G$7:$G$212=$R11) * ($G$6:$G$211=AP$9) )</f>
        <v>0</v>
      </c>
      <c r="AQ11" s="868" cm="1">
        <f t="array" aca="1" ref="AQ11" ca="1">SUM( ($G$7:$G$212=$R11) * ($G$6:$G$211=AQ$9) )</f>
        <v>0</v>
      </c>
      <c r="AR11" s="868" cm="1">
        <f t="array" aca="1" ref="AR11" ca="1">SUM( ($G$7:$G$212=$R11) * ($G$6:$G$211=AR$9) )</f>
        <v>0</v>
      </c>
      <c r="AS11" s="868" cm="1">
        <f t="array" aca="1" ref="AS11" ca="1">SUM( ($G$7:$G$212=$R11) * ($G$6:$G$211=AS$9) )</f>
        <v>0</v>
      </c>
      <c r="AT11" s="868" cm="1">
        <f t="array" aca="1" ref="AT11" ca="1">SUM( ($G$7:$G$212=$R11) * ($G$6:$G$211=AT$9) )</f>
        <v>0</v>
      </c>
      <c r="AU11" s="868" cm="1">
        <f t="array" aca="1" ref="AU11" ca="1">SUM( ($G$7:$G$212=$R11) * ($G$6:$G$211=AU$9) )</f>
        <v>0</v>
      </c>
      <c r="CR11" s="868" t="str">
        <f ca="1"/>
        <v>ZDD</v>
      </c>
      <c r="CS11" s="868" cm="1">
        <f t="array" aca="1" ref="CS11" ca="1">SUM( ($G$7:$G$25=$R11) * ($G$6:$G$24=CS$9) )</f>
        <v>1</v>
      </c>
      <c r="CT11" s="868" cm="1">
        <f t="array" aca="1" ref="CT11" ca="1">SUM( ($G$7:$G$25=$R11) * ($G$6:$G$24=CT$9) )</f>
        <v>0</v>
      </c>
      <c r="CU11" s="868" cm="1">
        <f t="array" aca="1" ref="CU11" ca="1">SUM( ($G$7:$G$25=$R11) * ($G$6:$G$24=CU$9) )</f>
        <v>0</v>
      </c>
      <c r="CV11" s="868" cm="1">
        <f t="array" aca="1" ref="CV11" ca="1">SUM( ($G$7:$G$25=$R11) * ($G$6:$G$24=CV$9) )</f>
        <v>0</v>
      </c>
      <c r="CW11" s="868" cm="1">
        <f t="array" aca="1" ref="CW11" ca="1">SUM( ($G$7:$G$25=$R11) * ($G$6:$G$24=CW$9) )</f>
        <v>0</v>
      </c>
      <c r="CX11" s="868" cm="1">
        <f t="array" aca="1" ref="CX11" ca="1">SUM( ($G$7:$G$25=$R11) * ($G$6:$G$24=CX$9) )</f>
        <v>0</v>
      </c>
      <c r="CY11" s="868" cm="1">
        <f t="array" aca="1" ref="CY11" ca="1">SUM( ($G$7:$G$25=$R11) * ($G$6:$G$24=CY$9) )</f>
        <v>0</v>
      </c>
      <c r="CZ11" s="868" cm="1">
        <f t="array" aca="1" ref="CZ11" ca="1">SUM( ($G$7:$G$25=$R11) * ($G$6:$G$24=CZ$9) )</f>
        <v>0</v>
      </c>
      <c r="DA11" s="868" cm="1">
        <f t="array" aca="1" ref="DA11" ca="1">SUM( ($G$7:$G$25=$R11) * ($G$6:$G$24=DA$9) )</f>
        <v>0</v>
      </c>
      <c r="DB11" s="868" cm="1">
        <f t="array" aca="1" ref="DB11" ca="1">SUM( ($G$7:$G$25=$R11) * ($G$6:$G$24=DB$9) )</f>
        <v>0</v>
      </c>
      <c r="DC11" s="868" cm="1">
        <f t="array" aca="1" ref="DC11" ca="1">SUM( ($G$7:$G$25=$R11) * ($G$6:$G$24=DC$9) )</f>
        <v>0</v>
      </c>
      <c r="DD11" s="868" cm="1">
        <f t="array" aca="1" ref="DD11" ca="1">SUM( ($G$7:$G$25=$R11) * ($G$6:$G$24=DD$9) )</f>
        <v>0</v>
      </c>
      <c r="DE11" s="868" cm="1">
        <f t="array" aca="1" ref="DE11" ca="1">SUM( ($G$7:$G$25=$R11) * ($G$6:$G$24=DE$9) )</f>
        <v>0</v>
      </c>
      <c r="DF11" s="868" cm="1">
        <f t="array" aca="1" ref="DF11" ca="1">SUM( ($G$7:$G$25=$R11) * ($G$6:$G$24=DF$9) )</f>
        <v>0</v>
      </c>
      <c r="DG11" s="868" cm="1">
        <f t="array" aca="1" ref="DG11" ca="1">SUM( ($G$7:$G$25=$R11) * ($G$6:$G$24=DG$9) )</f>
        <v>0</v>
      </c>
      <c r="DH11" s="868" cm="1">
        <f t="array" aca="1" ref="DH11" ca="1">SUM( ($G$7:$G$25=$R11) * ($G$6:$G$24=DH$9) )</f>
        <v>0</v>
      </c>
      <c r="DI11" s="868" cm="1">
        <f t="array" aca="1" ref="DI11" ca="1">SUM( ($G$7:$G$25=$R11) * ($G$6:$G$24=DI$9) )</f>
        <v>0</v>
      </c>
      <c r="DJ11" s="868" cm="1">
        <f t="array" aca="1" ref="DJ11" ca="1">SUM( ($G$7:$G$25=$R11) * ($G$6:$G$24=DJ$9) )</f>
        <v>0</v>
      </c>
      <c r="DK11" s="868" cm="1">
        <f t="array" aca="1" ref="DK11" ca="1">SUM( ($G$7:$G$25=$R11) * ($G$6:$G$24=DK$9) )</f>
        <v>0</v>
      </c>
      <c r="DL11" s="868" cm="1">
        <f t="array" aca="1" ref="DL11" ca="1">SUM( ($G$7:$G$25=$R11) * ($G$6:$G$24=DL$9) )</f>
        <v>0</v>
      </c>
      <c r="DM11" s="868" cm="1">
        <f t="array" aca="1" ref="DM11" ca="1">SUM( ($G$7:$G$25=$R11) * ($G$6:$G$24=DM$9) )</f>
        <v>0</v>
      </c>
      <c r="DN11" s="868" cm="1">
        <f t="array" aca="1" ref="DN11" ca="1">SUM( ($G$7:$G$25=$R11) * ($G$6:$G$24=DN$9) )</f>
        <v>0</v>
      </c>
      <c r="DO11" s="868" cm="1">
        <f t="array" aca="1" ref="DO11" ca="1">SUM( ($G$7:$G$25=$R11) * ($G$6:$G$24=DO$9) )</f>
        <v>0</v>
      </c>
    </row>
    <row r="12" spans="2:130" x14ac:dyDescent="0.3">
      <c r="B12" s="89" vm="29">
        <f ca="1"/>
        <v>45968</v>
      </c>
      <c r="C12" s="89" vm="30">
        <f ca="1"/>
        <v>244.41</v>
      </c>
      <c r="D12" s="1210">
        <f t="shared" ca="1" si="0"/>
        <v>5.6369321922317504E-3</v>
      </c>
      <c r="E12" s="294" t="str" cm="1">
        <f t="array" aca="1" ref="E12" ca="1">_xlfn.IFS(D12&gt;ZPercent,"U",D12&lt;=-ZPercent,"D",TRUE,"Z")</f>
        <v>U</v>
      </c>
      <c r="F12" s="294" t="str">
        <f t="shared" ca="1" si="1"/>
        <v>DU</v>
      </c>
      <c r="G12" s="294" t="str">
        <f t="shared" ca="1" si="2"/>
        <v>ZDU</v>
      </c>
      <c r="H12" s="868" t="str">
        <f t="shared" ca="1" si="3"/>
        <v/>
      </c>
      <c r="J12" s="89" vm="31">
        <f ca="1"/>
        <v>45671</v>
      </c>
      <c r="K12" s="89" vm="32">
        <f ca="1"/>
        <v>217.76</v>
      </c>
      <c r="N12" s="868" t="str">
        <f ca="1">IF(F12=[2]Sheet1!O10,"","dif")</f>
        <v>dif</v>
      </c>
      <c r="R12" s="868" t="str">
        <f ca="1"/>
        <v>UZD</v>
      </c>
      <c r="S12" s="868" cm="1">
        <f t="array" aca="1" ref="S12" ca="1">SUM( ($G$7:$G$212=$R12) * ($G$6:$G$211=S$9) )</f>
        <v>0</v>
      </c>
      <c r="T12" s="868" cm="1">
        <f t="array" aca="1" ref="T12" ca="1">SUM( ($G$7:$G$212=$R12) * ($G$6:$G$211=T$9) )</f>
        <v>2</v>
      </c>
      <c r="U12" s="868" cm="1">
        <f t="array" aca="1" ref="U12" ca="1">SUM( ($G$7:$G$212=$R12) * ($G$6:$G$211=U$9) )</f>
        <v>0</v>
      </c>
      <c r="V12" s="868" cm="1">
        <f t="array" aca="1" ref="V12" ca="1">SUM( ($G$7:$G$212=$R12) * ($G$6:$G$211=V$9) )</f>
        <v>0</v>
      </c>
      <c r="W12" s="868" cm="1">
        <f t="array" aca="1" ref="W12" ca="1">SUM( ($G$7:$G$212=$R12) * ($G$6:$G$211=W$9) )</f>
        <v>0</v>
      </c>
      <c r="X12" s="868" cm="1">
        <f t="array" aca="1" ref="X12" ca="1">SUM( ($G$7:$G$212=$R12) * ($G$6:$G$211=X$9) )</f>
        <v>4</v>
      </c>
      <c r="Y12" s="868" cm="1">
        <f t="array" aca="1" ref="Y12" ca="1">SUM( ($G$7:$G$212=$R12) * ($G$6:$G$211=Y$9) )</f>
        <v>0</v>
      </c>
      <c r="Z12" s="868" cm="1">
        <f t="array" aca="1" ref="Z12" ca="1">SUM( ($G$7:$G$212=$R12) * ($G$6:$G$211=Z$9) )</f>
        <v>0</v>
      </c>
      <c r="AA12" s="868" cm="1">
        <f t="array" aca="1" ref="AA12" ca="1">SUM( ($G$7:$G$212=$R12) * ($G$6:$G$211=AA$9) )</f>
        <v>0</v>
      </c>
      <c r="AB12" s="868" cm="1">
        <f t="array" aca="1" ref="AB12" ca="1">SUM( ($G$7:$G$212=$R12) * ($G$6:$G$211=AB$9) )</f>
        <v>0</v>
      </c>
      <c r="AC12" s="868" cm="1">
        <f t="array" aca="1" ref="AC12" ca="1">SUM( ($G$7:$G$212=$R12) * ($G$6:$G$211=AC$9) )</f>
        <v>0</v>
      </c>
      <c r="AD12" s="868" cm="1">
        <f t="array" aca="1" ref="AD12" ca="1">SUM( ($G$7:$G$212=$R12) * ($G$6:$G$211=AD$9) )</f>
        <v>0</v>
      </c>
      <c r="AE12" s="868" cm="1">
        <f t="array" aca="1" ref="AE12" ca="1">SUM( ($G$7:$G$212=$R12) * ($G$6:$G$211=AE$9) )</f>
        <v>0</v>
      </c>
      <c r="AF12" s="868" cm="1">
        <f t="array" aca="1" ref="AF12" ca="1">SUM( ($G$7:$G$212=$R12) * ($G$6:$G$211=AF$9) )</f>
        <v>0</v>
      </c>
      <c r="AG12" s="868" cm="1">
        <f t="array" aca="1" ref="AG12" ca="1">SUM( ($G$7:$G$212=$R12) * ($G$6:$G$211=AG$9) )</f>
        <v>0</v>
      </c>
      <c r="AH12" s="868" cm="1">
        <f t="array" aca="1" ref="AH12" ca="1">SUM( ($G$7:$G$212=$R12) * ($G$6:$G$211=AH$9) )</f>
        <v>0</v>
      </c>
      <c r="AI12" s="868" cm="1">
        <f t="array" aca="1" ref="AI12" ca="1">SUM( ($G$7:$G$212=$R12) * ($G$6:$G$211=AI$9) )</f>
        <v>0</v>
      </c>
      <c r="AJ12" s="868" cm="1">
        <f t="array" aca="1" ref="AJ12" ca="1">SUM( ($G$7:$G$212=$R12) * ($G$6:$G$211=AJ$9) )</f>
        <v>0</v>
      </c>
      <c r="AK12" s="868" cm="1">
        <f t="array" aca="1" ref="AK12" ca="1">SUM( ($G$7:$G$212=$R12) * ($G$6:$G$211=AK$9) )</f>
        <v>0</v>
      </c>
      <c r="AL12" s="868" cm="1">
        <f t="array" aca="1" ref="AL12" ca="1">SUM( ($G$7:$G$212=$R12) * ($G$6:$G$211=AL$9) )</f>
        <v>0</v>
      </c>
      <c r="AM12" s="868" cm="1">
        <f t="array" aca="1" ref="AM12" ca="1">SUM( ($G$7:$G$212=$R12) * ($G$6:$G$211=AM$9) )</f>
        <v>0</v>
      </c>
      <c r="AN12" s="868" cm="1">
        <f t="array" aca="1" ref="AN12" ca="1">SUM( ($G$7:$G$212=$R12) * ($G$6:$G$211=AN$9) )</f>
        <v>0</v>
      </c>
      <c r="AO12" s="868" cm="1">
        <f t="array" aca="1" ref="AO12" ca="1">SUM( ($G$7:$G$212=$R12) * ($G$6:$G$211=AO$9) )</f>
        <v>0</v>
      </c>
      <c r="AP12" s="868" cm="1">
        <f t="array" aca="1" ref="AP12" ca="1">SUM( ($G$7:$G$212=$R12) * ($G$6:$G$211=AP$9) )</f>
        <v>0</v>
      </c>
      <c r="AQ12" s="868" cm="1">
        <f t="array" aca="1" ref="AQ12" ca="1">SUM( ($G$7:$G$212=$R12) * ($G$6:$G$211=AQ$9) )</f>
        <v>0</v>
      </c>
      <c r="AR12" s="868" cm="1">
        <f t="array" aca="1" ref="AR12" ca="1">SUM( ($G$7:$G$212=$R12) * ($G$6:$G$211=AR$9) )</f>
        <v>1</v>
      </c>
      <c r="AS12" s="868" cm="1">
        <f t="array" aca="1" ref="AS12" ca="1">SUM( ($G$7:$G$212=$R12) * ($G$6:$G$211=AS$9) )</f>
        <v>0</v>
      </c>
      <c r="AT12" s="868" cm="1">
        <f t="array" aca="1" ref="AT12" ca="1">SUM( ($G$7:$G$212=$R12) * ($G$6:$G$211=AT$9) )</f>
        <v>0</v>
      </c>
      <c r="AU12" s="868" cm="1">
        <f t="array" aca="1" ref="AU12" ca="1">SUM( ($G$7:$G$212=$R12) * ($G$6:$G$211=AU$9) )</f>
        <v>0</v>
      </c>
      <c r="CR12" s="868" t="str">
        <f ca="1"/>
        <v>UZD</v>
      </c>
      <c r="CS12" s="868" cm="1">
        <f t="array" aca="1" ref="CS12" ca="1">SUM( ($G$7:$G$25=$R12) * ($G$6:$G$24=CS$9) )</f>
        <v>0</v>
      </c>
      <c r="CT12" s="868" cm="1">
        <f t="array" aca="1" ref="CT12" ca="1">SUM( ($G$7:$G$25=$R12) * ($G$6:$G$24=CT$9) )</f>
        <v>1</v>
      </c>
      <c r="CU12" s="868" cm="1">
        <f t="array" aca="1" ref="CU12" ca="1">SUM( ($G$7:$G$25=$R12) * ($G$6:$G$24=CU$9) )</f>
        <v>0</v>
      </c>
      <c r="CV12" s="868" cm="1">
        <f t="array" aca="1" ref="CV12" ca="1">SUM( ($G$7:$G$25=$R12) * ($G$6:$G$24=CV$9) )</f>
        <v>0</v>
      </c>
      <c r="CW12" s="868" cm="1">
        <f t="array" aca="1" ref="CW12" ca="1">SUM( ($G$7:$G$25=$R12) * ($G$6:$G$24=CW$9) )</f>
        <v>0</v>
      </c>
      <c r="CX12" s="868" cm="1">
        <f t="array" aca="1" ref="CX12" ca="1">SUM( ($G$7:$G$25=$R12) * ($G$6:$G$24=CX$9) )</f>
        <v>1</v>
      </c>
      <c r="CY12" s="868" cm="1">
        <f t="array" aca="1" ref="CY12" ca="1">SUM( ($G$7:$G$25=$R12) * ($G$6:$G$24=CY$9) )</f>
        <v>0</v>
      </c>
      <c r="CZ12" s="868" cm="1">
        <f t="array" aca="1" ref="CZ12" ca="1">SUM( ($G$7:$G$25=$R12) * ($G$6:$G$24=CZ$9) )</f>
        <v>0</v>
      </c>
      <c r="DA12" s="868" cm="1">
        <f t="array" aca="1" ref="DA12" ca="1">SUM( ($G$7:$G$25=$R12) * ($G$6:$G$24=DA$9) )</f>
        <v>0</v>
      </c>
      <c r="DB12" s="868" cm="1">
        <f t="array" aca="1" ref="DB12" ca="1">SUM( ($G$7:$G$25=$R12) * ($G$6:$G$24=DB$9) )</f>
        <v>0</v>
      </c>
      <c r="DC12" s="868" cm="1">
        <f t="array" aca="1" ref="DC12" ca="1">SUM( ($G$7:$G$25=$R12) * ($G$6:$G$24=DC$9) )</f>
        <v>0</v>
      </c>
      <c r="DD12" s="868" cm="1">
        <f t="array" aca="1" ref="DD12" ca="1">SUM( ($G$7:$G$25=$R12) * ($G$6:$G$24=DD$9) )</f>
        <v>0</v>
      </c>
      <c r="DE12" s="868" cm="1">
        <f t="array" aca="1" ref="DE12" ca="1">SUM( ($G$7:$G$25=$R12) * ($G$6:$G$24=DE$9) )</f>
        <v>0</v>
      </c>
      <c r="DF12" s="868" cm="1">
        <f t="array" aca="1" ref="DF12" ca="1">SUM( ($G$7:$G$25=$R12) * ($G$6:$G$24=DF$9) )</f>
        <v>0</v>
      </c>
      <c r="DG12" s="868" cm="1">
        <f t="array" aca="1" ref="DG12" ca="1">SUM( ($G$7:$G$25=$R12) * ($G$6:$G$24=DG$9) )</f>
        <v>0</v>
      </c>
      <c r="DH12" s="868" cm="1">
        <f t="array" aca="1" ref="DH12" ca="1">SUM( ($G$7:$G$25=$R12) * ($G$6:$G$24=DH$9) )</f>
        <v>0</v>
      </c>
      <c r="DI12" s="868" cm="1">
        <f t="array" aca="1" ref="DI12" ca="1">SUM( ($G$7:$G$25=$R12) * ($G$6:$G$24=DI$9) )</f>
        <v>0</v>
      </c>
      <c r="DJ12" s="868" cm="1">
        <f t="array" aca="1" ref="DJ12" ca="1">SUM( ($G$7:$G$25=$R12) * ($G$6:$G$24=DJ$9) )</f>
        <v>0</v>
      </c>
      <c r="DK12" s="868" cm="1">
        <f t="array" aca="1" ref="DK12" ca="1">SUM( ($G$7:$G$25=$R12) * ($G$6:$G$24=DK$9) )</f>
        <v>0</v>
      </c>
      <c r="DL12" s="868" cm="1">
        <f t="array" aca="1" ref="DL12" ca="1">SUM( ($G$7:$G$25=$R12) * ($G$6:$G$24=DL$9) )</f>
        <v>0</v>
      </c>
      <c r="DM12" s="868" cm="1">
        <f t="array" aca="1" ref="DM12" ca="1">SUM( ($G$7:$G$25=$R12) * ($G$6:$G$24=DM$9) )</f>
        <v>0</v>
      </c>
      <c r="DN12" s="868" cm="1">
        <f t="array" aca="1" ref="DN12" ca="1">SUM( ($G$7:$G$25=$R12) * ($G$6:$G$24=DN$9) )</f>
        <v>0</v>
      </c>
      <c r="DO12" s="868" cm="1">
        <f t="array" aca="1" ref="DO12" ca="1">SUM( ($G$7:$G$25=$R12) * ($G$6:$G$24=DO$9) )</f>
        <v>0</v>
      </c>
    </row>
    <row r="13" spans="2:130" x14ac:dyDescent="0.3">
      <c r="B13" s="89" vm="33">
        <f ca="1"/>
        <v>45967</v>
      </c>
      <c r="C13" s="89" vm="34">
        <f ca="1"/>
        <v>243.04</v>
      </c>
      <c r="D13" s="1210">
        <f t="shared" ca="1" si="0"/>
        <v>-2.8617106314948029E-2</v>
      </c>
      <c r="E13" s="294" t="str" cm="1">
        <f t="array" aca="1" ref="E13" ca="1">_xlfn.IFS(D13&gt;ZPercent,"U",D13&lt;=-ZPercent,"D",TRUE,"Z")</f>
        <v>D</v>
      </c>
      <c r="F13" s="294" t="str">
        <f t="shared" ca="1" si="1"/>
        <v>ZD</v>
      </c>
      <c r="G13" s="294" t="str">
        <f t="shared" ca="1" si="2"/>
        <v>DZD</v>
      </c>
      <c r="H13" s="868" t="str">
        <f t="shared" ca="1" si="3"/>
        <v>ZZ</v>
      </c>
      <c r="J13" s="89" vm="35">
        <f ca="1"/>
        <v>45672</v>
      </c>
      <c r="K13" s="89" vm="36">
        <f ca="1"/>
        <v>223.35</v>
      </c>
      <c r="N13" s="868" t="str">
        <f ca="1">IF(F13=[2]Sheet1!O11,"","dif")</f>
        <v>dif</v>
      </c>
      <c r="R13" s="868" t="str">
        <f ca="1"/>
        <v>UUZ</v>
      </c>
      <c r="S13" s="868" cm="1">
        <f t="array" aca="1" ref="S13" ca="1">SUM( ($G$7:$G$212=$R13) * ($G$6:$G$211=S$9) )</f>
        <v>0</v>
      </c>
      <c r="T13" s="868" cm="1">
        <f t="array" aca="1" ref="T13" ca="1">SUM( ($G$7:$G$212=$R13) * ($G$6:$G$211=T$9) )</f>
        <v>0</v>
      </c>
      <c r="U13" s="868" cm="1">
        <f t="array" aca="1" ref="U13" ca="1">SUM( ($G$7:$G$212=$R13) * ($G$6:$G$211=U$9) )</f>
        <v>3</v>
      </c>
      <c r="V13" s="868" cm="1">
        <f t="array" aca="1" ref="V13" ca="1">SUM( ($G$7:$G$212=$R13) * ($G$6:$G$211=V$9) )</f>
        <v>0</v>
      </c>
      <c r="W13" s="868" cm="1">
        <f t="array" aca="1" ref="W13" ca="1">SUM( ($G$7:$G$212=$R13) * ($G$6:$G$211=W$9) )</f>
        <v>0</v>
      </c>
      <c r="X13" s="868" cm="1">
        <f t="array" aca="1" ref="X13" ca="1">SUM( ($G$7:$G$212=$R13) * ($G$6:$G$211=X$9) )</f>
        <v>0</v>
      </c>
      <c r="Y13" s="868" cm="1">
        <f t="array" aca="1" ref="Y13" ca="1">SUM( ($G$7:$G$212=$R13) * ($G$6:$G$211=Y$9) )</f>
        <v>0</v>
      </c>
      <c r="Z13" s="868" cm="1">
        <f t="array" aca="1" ref="Z13" ca="1">SUM( ($G$7:$G$212=$R13) * ($G$6:$G$211=Z$9) )</f>
        <v>0</v>
      </c>
      <c r="AA13" s="868" cm="1">
        <f t="array" aca="1" ref="AA13" ca="1">SUM( ($G$7:$G$212=$R13) * ($G$6:$G$211=AA$9) )</f>
        <v>0</v>
      </c>
      <c r="AB13" s="868" cm="1">
        <f t="array" aca="1" ref="AB13" ca="1">SUM( ($G$7:$G$212=$R13) * ($G$6:$G$211=AB$9) )</f>
        <v>0</v>
      </c>
      <c r="AC13" s="868" cm="1">
        <f t="array" aca="1" ref="AC13" ca="1">SUM( ($G$7:$G$212=$R13) * ($G$6:$G$211=AC$9) )</f>
        <v>0</v>
      </c>
      <c r="AD13" s="868" cm="1">
        <f t="array" aca="1" ref="AD13" ca="1">SUM( ($G$7:$G$212=$R13) * ($G$6:$G$211=AD$9) )</f>
        <v>0</v>
      </c>
      <c r="AE13" s="868" cm="1">
        <f t="array" aca="1" ref="AE13" ca="1">SUM( ($G$7:$G$212=$R13) * ($G$6:$G$211=AE$9) )</f>
        <v>0</v>
      </c>
      <c r="AF13" s="868" cm="1">
        <f t="array" aca="1" ref="AF13" ca="1">SUM( ($G$7:$G$212=$R13) * ($G$6:$G$211=AF$9) )</f>
        <v>0</v>
      </c>
      <c r="AG13" s="868" cm="1">
        <f t="array" aca="1" ref="AG13" ca="1">SUM( ($G$7:$G$212=$R13) * ($G$6:$G$211=AG$9) )</f>
        <v>0</v>
      </c>
      <c r="AH13" s="868" cm="1">
        <f t="array" aca="1" ref="AH13" ca="1">SUM( ($G$7:$G$212=$R13) * ($G$6:$G$211=AH$9) )</f>
        <v>0</v>
      </c>
      <c r="AI13" s="868" cm="1">
        <f t="array" aca="1" ref="AI13" ca="1">SUM( ($G$7:$G$212=$R13) * ($G$6:$G$211=AI$9) )</f>
        <v>0</v>
      </c>
      <c r="AJ13" s="868" cm="1">
        <f t="array" aca="1" ref="AJ13" ca="1">SUM( ($G$7:$G$212=$R13) * ($G$6:$G$211=AJ$9) )</f>
        <v>0</v>
      </c>
      <c r="AK13" s="868" cm="1">
        <f t="array" aca="1" ref="AK13" ca="1">SUM( ($G$7:$G$212=$R13) * ($G$6:$G$211=AK$9) )</f>
        <v>0</v>
      </c>
      <c r="AL13" s="868" cm="1">
        <f t="array" aca="1" ref="AL13" ca="1">SUM( ($G$7:$G$212=$R13) * ($G$6:$G$211=AL$9) )</f>
        <v>0</v>
      </c>
      <c r="AM13" s="868" cm="1">
        <f t="array" aca="1" ref="AM13" ca="1">SUM( ($G$7:$G$212=$R13) * ($G$6:$G$211=AM$9) )</f>
        <v>0</v>
      </c>
      <c r="AN13" s="868" cm="1">
        <f t="array" aca="1" ref="AN13" ca="1">SUM( ($G$7:$G$212=$R13) * ($G$6:$G$211=AN$9) )</f>
        <v>0</v>
      </c>
      <c r="AO13" s="868" cm="1">
        <f t="array" aca="1" ref="AO13" ca="1">SUM( ($G$7:$G$212=$R13) * ($G$6:$G$211=AO$9) )</f>
        <v>0</v>
      </c>
      <c r="AP13" s="868" cm="1">
        <f t="array" aca="1" ref="AP13" ca="1">SUM( ($G$7:$G$212=$R13) * ($G$6:$G$211=AP$9) )</f>
        <v>0</v>
      </c>
      <c r="AQ13" s="868" cm="1">
        <f t="array" aca="1" ref="AQ13" ca="1">SUM( ($G$7:$G$212=$R13) * ($G$6:$G$211=AQ$9) )</f>
        <v>2</v>
      </c>
      <c r="AR13" s="868" cm="1">
        <f t="array" aca="1" ref="AR13" ca="1">SUM( ($G$7:$G$212=$R13) * ($G$6:$G$211=AR$9) )</f>
        <v>0</v>
      </c>
      <c r="AS13" s="868" cm="1">
        <f t="array" aca="1" ref="AS13" ca="1">SUM( ($G$7:$G$212=$R13) * ($G$6:$G$211=AS$9) )</f>
        <v>0</v>
      </c>
      <c r="AT13" s="868" cm="1">
        <f t="array" aca="1" ref="AT13" ca="1">SUM( ($G$7:$G$212=$R13) * ($G$6:$G$211=AT$9) )</f>
        <v>0</v>
      </c>
      <c r="AU13" s="868" cm="1">
        <f t="array" aca="1" ref="AU13" ca="1">SUM( ($G$7:$G$212=$R13) * ($G$6:$G$211=AU$9) )</f>
        <v>0</v>
      </c>
      <c r="CR13" s="868" t="str">
        <f ca="1"/>
        <v>UUZ</v>
      </c>
      <c r="CS13" s="868" cm="1">
        <f t="array" aca="1" ref="CS13" ca="1">SUM( ($G$7:$G$25=$R13) * ($G$6:$G$24=CS$9) )</f>
        <v>0</v>
      </c>
      <c r="CT13" s="868" cm="1">
        <f t="array" aca="1" ref="CT13" ca="1">SUM( ($G$7:$G$25=$R13) * ($G$6:$G$24=CT$9) )</f>
        <v>0</v>
      </c>
      <c r="CU13" s="868" cm="1">
        <f t="array" aca="1" ref="CU13" ca="1">SUM( ($G$7:$G$25=$R13) * ($G$6:$G$24=CU$9) )</f>
        <v>2</v>
      </c>
      <c r="CV13" s="868" cm="1">
        <f t="array" aca="1" ref="CV13" ca="1">SUM( ($G$7:$G$25=$R13) * ($G$6:$G$24=CV$9) )</f>
        <v>0</v>
      </c>
      <c r="CW13" s="868" cm="1">
        <f t="array" aca="1" ref="CW13" ca="1">SUM( ($G$7:$G$25=$R13) * ($G$6:$G$24=CW$9) )</f>
        <v>0</v>
      </c>
      <c r="CX13" s="868" cm="1">
        <f t="array" aca="1" ref="CX13" ca="1">SUM( ($G$7:$G$25=$R13) * ($G$6:$G$24=CX$9) )</f>
        <v>0</v>
      </c>
      <c r="CY13" s="868" cm="1">
        <f t="array" aca="1" ref="CY13" ca="1">SUM( ($G$7:$G$25=$R13) * ($G$6:$G$24=CY$9) )</f>
        <v>0</v>
      </c>
      <c r="CZ13" s="868" cm="1">
        <f t="array" aca="1" ref="CZ13" ca="1">SUM( ($G$7:$G$25=$R13) * ($G$6:$G$24=CZ$9) )</f>
        <v>0</v>
      </c>
      <c r="DA13" s="868" cm="1">
        <f t="array" aca="1" ref="DA13" ca="1">SUM( ($G$7:$G$25=$R13) * ($G$6:$G$24=DA$9) )</f>
        <v>0</v>
      </c>
      <c r="DB13" s="868" cm="1">
        <f t="array" aca="1" ref="DB13" ca="1">SUM( ($G$7:$G$25=$R13) * ($G$6:$G$24=DB$9) )</f>
        <v>0</v>
      </c>
      <c r="DC13" s="868" cm="1">
        <f t="array" aca="1" ref="DC13" ca="1">SUM( ($G$7:$G$25=$R13) * ($G$6:$G$24=DC$9) )</f>
        <v>0</v>
      </c>
      <c r="DD13" s="868" cm="1">
        <f t="array" aca="1" ref="DD13" ca="1">SUM( ($G$7:$G$25=$R13) * ($G$6:$G$24=DD$9) )</f>
        <v>0</v>
      </c>
      <c r="DE13" s="868" cm="1">
        <f t="array" aca="1" ref="DE13" ca="1">SUM( ($G$7:$G$25=$R13) * ($G$6:$G$24=DE$9) )</f>
        <v>0</v>
      </c>
      <c r="DF13" s="868" cm="1">
        <f t="array" aca="1" ref="DF13" ca="1">SUM( ($G$7:$G$25=$R13) * ($G$6:$G$24=DF$9) )</f>
        <v>0</v>
      </c>
      <c r="DG13" s="868" cm="1">
        <f t="array" aca="1" ref="DG13" ca="1">SUM( ($G$7:$G$25=$R13) * ($G$6:$G$24=DG$9) )</f>
        <v>0</v>
      </c>
      <c r="DH13" s="868" cm="1">
        <f t="array" aca="1" ref="DH13" ca="1">SUM( ($G$7:$G$25=$R13) * ($G$6:$G$24=DH$9) )</f>
        <v>0</v>
      </c>
      <c r="DI13" s="868" cm="1">
        <f t="array" aca="1" ref="DI13" ca="1">SUM( ($G$7:$G$25=$R13) * ($G$6:$G$24=DI$9) )</f>
        <v>0</v>
      </c>
      <c r="DJ13" s="868" cm="1">
        <f t="array" aca="1" ref="DJ13" ca="1">SUM( ($G$7:$G$25=$R13) * ($G$6:$G$24=DJ$9) )</f>
        <v>0</v>
      </c>
      <c r="DK13" s="868" cm="1">
        <f t="array" aca="1" ref="DK13" ca="1">SUM( ($G$7:$G$25=$R13) * ($G$6:$G$24=DK$9) )</f>
        <v>0</v>
      </c>
      <c r="DL13" s="868" cm="1">
        <f t="array" aca="1" ref="DL13" ca="1">SUM( ($G$7:$G$25=$R13) * ($G$6:$G$24=DL$9) )</f>
        <v>0</v>
      </c>
      <c r="DM13" s="868" cm="1">
        <f t="array" aca="1" ref="DM13" ca="1">SUM( ($G$7:$G$25=$R13) * ($G$6:$G$24=DM$9) )</f>
        <v>0</v>
      </c>
      <c r="DN13" s="868" cm="1">
        <f t="array" aca="1" ref="DN13" ca="1">SUM( ($G$7:$G$25=$R13) * ($G$6:$G$24=DN$9) )</f>
        <v>0</v>
      </c>
      <c r="DO13" s="868" cm="1">
        <f t="array" aca="1" ref="DO13" ca="1">SUM( ($G$7:$G$25=$R13) * ($G$6:$G$24=DO$9) )</f>
        <v>0</v>
      </c>
    </row>
    <row r="14" spans="2:130" x14ac:dyDescent="0.3">
      <c r="B14" s="89" vm="37">
        <f ca="1"/>
        <v>45966</v>
      </c>
      <c r="C14" s="89" vm="38">
        <f ca="1"/>
        <v>250.2</v>
      </c>
      <c r="D14" s="1210">
        <f t="shared" ca="1" si="0"/>
        <v>3.5296005133964204E-3</v>
      </c>
      <c r="E14" s="294" t="str" cm="1">
        <f t="array" aca="1" ref="E14" ca="1">_xlfn.IFS(D14&gt;ZPercent,"U",D14&lt;=-ZPercent,"D",TRUE,"Z")</f>
        <v>Z</v>
      </c>
      <c r="F14" s="294" t="str">
        <f t="shared" ca="1" si="1"/>
        <v>DZ</v>
      </c>
      <c r="G14" s="294" t="str">
        <f t="shared" ca="1" si="2"/>
        <v>UDZ</v>
      </c>
      <c r="H14" s="868" t="str">
        <f t="shared" ca="1" si="3"/>
        <v/>
      </c>
      <c r="J14" s="89" vm="39">
        <f ca="1"/>
        <v>45673</v>
      </c>
      <c r="K14" s="89" vm="40">
        <f ca="1"/>
        <v>220.66</v>
      </c>
      <c r="N14" s="868" t="str">
        <f ca="1">IF(F14=[2]Sheet1!O12,"","dif")</f>
        <v>dif</v>
      </c>
      <c r="R14" s="868" t="str">
        <f ca="1"/>
        <v>DUU</v>
      </c>
      <c r="S14" s="868" cm="1">
        <f t="array" aca="1" ref="S14" ca="1">SUM( ($G$7:$G$212=$R14) * ($G$6:$G$211=S$9) )</f>
        <v>0</v>
      </c>
      <c r="T14" s="868" cm="1">
        <f t="array" aca="1" ref="T14" ca="1">SUM( ($G$7:$G$212=$R14) * ($G$6:$G$211=T$9) )</f>
        <v>0</v>
      </c>
      <c r="U14" s="868" cm="1">
        <f t="array" aca="1" ref="U14" ca="1">SUM( ($G$7:$G$212=$R14) * ($G$6:$G$211=U$9) )</f>
        <v>0</v>
      </c>
      <c r="V14" s="868" cm="1">
        <f t="array" aca="1" ref="V14" ca="1">SUM( ($G$7:$G$212=$R14) * ($G$6:$G$211=V$9) )</f>
        <v>2</v>
      </c>
      <c r="W14" s="868" cm="1">
        <f t="array" aca="1" ref="W14" ca="1">SUM( ($G$7:$G$212=$R14) * ($G$6:$G$211=W$9) )</f>
        <v>0</v>
      </c>
      <c r="X14" s="868" cm="1">
        <f t="array" aca="1" ref="X14" ca="1">SUM( ($G$7:$G$212=$R14) * ($G$6:$G$211=X$9) )</f>
        <v>0</v>
      </c>
      <c r="Y14" s="868" cm="1">
        <f t="array" aca="1" ref="Y14" ca="1">SUM( ($G$7:$G$212=$R14) * ($G$6:$G$211=Y$9) )</f>
        <v>0</v>
      </c>
      <c r="Z14" s="868" cm="1">
        <f t="array" aca="1" ref="Z14" ca="1">SUM( ($G$7:$G$212=$R14) * ($G$6:$G$211=Z$9) )</f>
        <v>0</v>
      </c>
      <c r="AA14" s="868" cm="1">
        <f t="array" aca="1" ref="AA14" ca="1">SUM( ($G$7:$G$212=$R14) * ($G$6:$G$211=AA$9) )</f>
        <v>7</v>
      </c>
      <c r="AB14" s="868" cm="1">
        <f t="array" aca="1" ref="AB14" ca="1">SUM( ($G$7:$G$212=$R14) * ($G$6:$G$211=AB$9) )</f>
        <v>3</v>
      </c>
      <c r="AC14" s="868" cm="1">
        <f t="array" aca="1" ref="AC14" ca="1">SUM( ($G$7:$G$212=$R14) * ($G$6:$G$211=AC$9) )</f>
        <v>0</v>
      </c>
      <c r="AD14" s="868" cm="1">
        <f t="array" aca="1" ref="AD14" ca="1">SUM( ($G$7:$G$212=$R14) * ($G$6:$G$211=AD$9) )</f>
        <v>0</v>
      </c>
      <c r="AE14" s="868" cm="1">
        <f t="array" aca="1" ref="AE14" ca="1">SUM( ($G$7:$G$212=$R14) * ($G$6:$G$211=AE$9) )</f>
        <v>0</v>
      </c>
      <c r="AF14" s="868" cm="1">
        <f t="array" aca="1" ref="AF14" ca="1">SUM( ($G$7:$G$212=$R14) * ($G$6:$G$211=AF$9) )</f>
        <v>0</v>
      </c>
      <c r="AG14" s="868" cm="1">
        <f t="array" aca="1" ref="AG14" ca="1">SUM( ($G$7:$G$212=$R14) * ($G$6:$G$211=AG$9) )</f>
        <v>0</v>
      </c>
      <c r="AH14" s="868" cm="1">
        <f t="array" aca="1" ref="AH14" ca="1">SUM( ($G$7:$G$212=$R14) * ($G$6:$G$211=AH$9) )</f>
        <v>0</v>
      </c>
      <c r="AI14" s="868" cm="1">
        <f t="array" aca="1" ref="AI14" ca="1">SUM( ($G$7:$G$212=$R14) * ($G$6:$G$211=AI$9) )</f>
        <v>0</v>
      </c>
      <c r="AJ14" s="868" cm="1">
        <f t="array" aca="1" ref="AJ14" ca="1">SUM( ($G$7:$G$212=$R14) * ($G$6:$G$211=AJ$9) )</f>
        <v>0</v>
      </c>
      <c r="AK14" s="868" cm="1">
        <f t="array" aca="1" ref="AK14" ca="1">SUM( ($G$7:$G$212=$R14) * ($G$6:$G$211=AK$9) )</f>
        <v>0</v>
      </c>
      <c r="AL14" s="868" cm="1">
        <f t="array" aca="1" ref="AL14" ca="1">SUM( ($G$7:$G$212=$R14) * ($G$6:$G$211=AL$9) )</f>
        <v>0</v>
      </c>
      <c r="AM14" s="868" cm="1">
        <f t="array" aca="1" ref="AM14" ca="1">SUM( ($G$7:$G$212=$R14) * ($G$6:$G$211=AM$9) )</f>
        <v>0</v>
      </c>
      <c r="AN14" s="868" cm="1">
        <f t="array" aca="1" ref="AN14" ca="1">SUM( ($G$7:$G$212=$R14) * ($G$6:$G$211=AN$9) )</f>
        <v>0</v>
      </c>
      <c r="AO14" s="868" cm="1">
        <f t="array" aca="1" ref="AO14" ca="1">SUM( ($G$7:$G$212=$R14) * ($G$6:$G$211=AO$9) )</f>
        <v>0</v>
      </c>
      <c r="AP14" s="868" cm="1">
        <f t="array" aca="1" ref="AP14" ca="1">SUM( ($G$7:$G$212=$R14) * ($G$6:$G$211=AP$9) )</f>
        <v>0</v>
      </c>
      <c r="AQ14" s="868" cm="1">
        <f t="array" aca="1" ref="AQ14" ca="1">SUM( ($G$7:$G$212=$R14) * ($G$6:$G$211=AQ$9) )</f>
        <v>0</v>
      </c>
      <c r="AR14" s="868" cm="1">
        <f t="array" aca="1" ref="AR14" ca="1">SUM( ($G$7:$G$212=$R14) * ($G$6:$G$211=AR$9) )</f>
        <v>0</v>
      </c>
      <c r="AS14" s="868" cm="1">
        <f t="array" aca="1" ref="AS14" ca="1">SUM( ($G$7:$G$212=$R14) * ($G$6:$G$211=AS$9) )</f>
        <v>0</v>
      </c>
      <c r="AT14" s="868" cm="1">
        <f t="array" aca="1" ref="AT14" ca="1">SUM( ($G$7:$G$212=$R14) * ($G$6:$G$211=AT$9) )</f>
        <v>0</v>
      </c>
      <c r="AU14" s="868" cm="1">
        <f t="array" aca="1" ref="AU14" ca="1">SUM( ($G$7:$G$212=$R14) * ($G$6:$G$211=AU$9) )</f>
        <v>0</v>
      </c>
      <c r="CR14" s="868" t="str">
        <f ca="1"/>
        <v>DUU</v>
      </c>
      <c r="CS14" s="868" cm="1">
        <f t="array" aca="1" ref="CS14" ca="1">SUM( ($G$7:$G$25=$R14) * ($G$6:$G$24=CS$9) )</f>
        <v>0</v>
      </c>
      <c r="CT14" s="868" cm="1">
        <f t="array" aca="1" ref="CT14" ca="1">SUM( ($G$7:$G$25=$R14) * ($G$6:$G$24=CT$9) )</f>
        <v>0</v>
      </c>
      <c r="CU14" s="868" cm="1">
        <f t="array" aca="1" ref="CU14" ca="1">SUM( ($G$7:$G$25=$R14) * ($G$6:$G$24=CU$9) )</f>
        <v>0</v>
      </c>
      <c r="CV14" s="868" cm="1">
        <f t="array" aca="1" ref="CV14" ca="1">SUM( ($G$7:$G$25=$R14) * ($G$6:$G$24=CV$9) )</f>
        <v>1</v>
      </c>
      <c r="CW14" s="868" cm="1">
        <f t="array" aca="1" ref="CW14" ca="1">SUM( ($G$7:$G$25=$R14) * ($G$6:$G$24=CW$9) )</f>
        <v>0</v>
      </c>
      <c r="CX14" s="868" cm="1">
        <f t="array" aca="1" ref="CX14" ca="1">SUM( ($G$7:$G$25=$R14) * ($G$6:$G$24=CX$9) )</f>
        <v>0</v>
      </c>
      <c r="CY14" s="868" cm="1">
        <f t="array" aca="1" ref="CY14" ca="1">SUM( ($G$7:$G$25=$R14) * ($G$6:$G$24=CY$9) )</f>
        <v>0</v>
      </c>
      <c r="CZ14" s="868" cm="1">
        <f t="array" aca="1" ref="CZ14" ca="1">SUM( ($G$7:$G$25=$R14) * ($G$6:$G$24=CZ$9) )</f>
        <v>0</v>
      </c>
      <c r="DA14" s="868" cm="1">
        <f t="array" aca="1" ref="DA14" ca="1">SUM( ($G$7:$G$25=$R14) * ($G$6:$G$24=DA$9) )</f>
        <v>2</v>
      </c>
      <c r="DB14" s="868" cm="1">
        <f t="array" aca="1" ref="DB14" ca="1">SUM( ($G$7:$G$25=$R14) * ($G$6:$G$24=DB$9) )</f>
        <v>1</v>
      </c>
      <c r="DC14" s="868" cm="1">
        <f t="array" aca="1" ref="DC14" ca="1">SUM( ($G$7:$G$25=$R14) * ($G$6:$G$24=DC$9) )</f>
        <v>0</v>
      </c>
      <c r="DD14" s="868" cm="1">
        <f t="array" aca="1" ref="DD14" ca="1">SUM( ($G$7:$G$25=$R14) * ($G$6:$G$24=DD$9) )</f>
        <v>0</v>
      </c>
      <c r="DE14" s="868" cm="1">
        <f t="array" aca="1" ref="DE14" ca="1">SUM( ($G$7:$G$25=$R14) * ($G$6:$G$24=DE$9) )</f>
        <v>0</v>
      </c>
      <c r="DF14" s="868" cm="1">
        <f t="array" aca="1" ref="DF14" ca="1">SUM( ($G$7:$G$25=$R14) * ($G$6:$G$24=DF$9) )</f>
        <v>0</v>
      </c>
      <c r="DG14" s="868" cm="1">
        <f t="array" aca="1" ref="DG14" ca="1">SUM( ($G$7:$G$25=$R14) * ($G$6:$G$24=DG$9) )</f>
        <v>0</v>
      </c>
      <c r="DH14" s="868" cm="1">
        <f t="array" aca="1" ref="DH14" ca="1">SUM( ($G$7:$G$25=$R14) * ($G$6:$G$24=DH$9) )</f>
        <v>0</v>
      </c>
      <c r="DI14" s="868" cm="1">
        <f t="array" aca="1" ref="DI14" ca="1">SUM( ($G$7:$G$25=$R14) * ($G$6:$G$24=DI$9) )</f>
        <v>0</v>
      </c>
      <c r="DJ14" s="868" cm="1">
        <f t="array" aca="1" ref="DJ14" ca="1">SUM( ($G$7:$G$25=$R14) * ($G$6:$G$24=DJ$9) )</f>
        <v>0</v>
      </c>
      <c r="DK14" s="868" cm="1">
        <f t="array" aca="1" ref="DK14" ca="1">SUM( ($G$7:$G$25=$R14) * ($G$6:$G$24=DK$9) )</f>
        <v>0</v>
      </c>
      <c r="DL14" s="868" cm="1">
        <f t="array" aca="1" ref="DL14" ca="1">SUM( ($G$7:$G$25=$R14) * ($G$6:$G$24=DL$9) )</f>
        <v>0</v>
      </c>
      <c r="DM14" s="868" cm="1">
        <f t="array" aca="1" ref="DM14" ca="1">SUM( ($G$7:$G$25=$R14) * ($G$6:$G$24=DM$9) )</f>
        <v>0</v>
      </c>
      <c r="DN14" s="868" cm="1">
        <f t="array" aca="1" ref="DN14" ca="1">SUM( ($G$7:$G$25=$R14) * ($G$6:$G$24=DN$9) )</f>
        <v>0</v>
      </c>
      <c r="DO14" s="868" cm="1">
        <f t="array" aca="1" ref="DO14" ca="1">SUM( ($G$7:$G$25=$R14) * ($G$6:$G$24=DO$9) )</f>
        <v>0</v>
      </c>
    </row>
    <row r="15" spans="2:130" x14ac:dyDescent="0.3">
      <c r="B15" s="89" vm="41">
        <f ca="1"/>
        <v>45965</v>
      </c>
      <c r="C15" s="89" vm="42">
        <f ca="1"/>
        <v>249.32</v>
      </c>
      <c r="D15" s="1210">
        <f t="shared" ca="1" si="0"/>
        <v>-1.8425196850393729E-2</v>
      </c>
      <c r="E15" s="294" t="str" cm="1">
        <f t="array" aca="1" ref="E15" ca="1">_xlfn.IFS(D15&gt;ZPercent,"U",D15&lt;=-ZPercent,"D",TRUE,"Z")</f>
        <v>D</v>
      </c>
      <c r="F15" s="294" t="str">
        <f t="shared" ca="1" si="1"/>
        <v>UD</v>
      </c>
      <c r="G15" s="294" t="str">
        <f t="shared" ca="1" si="2"/>
        <v>UUD</v>
      </c>
      <c r="H15" s="868" t="str">
        <f t="shared" ca="1" si="3"/>
        <v/>
      </c>
      <c r="J15" s="89" vm="43">
        <f ca="1"/>
        <v>45674</v>
      </c>
      <c r="K15" s="89" vm="44">
        <f ca="1"/>
        <v>225.94</v>
      </c>
      <c r="N15" s="868" t="str">
        <f ca="1">IF(F15=[2]Sheet1!O13,"","dif")</f>
        <v>dif</v>
      </c>
      <c r="R15" s="868" t="str">
        <f ca="1"/>
        <v>ZDU</v>
      </c>
      <c r="S15" s="868" cm="1">
        <f t="array" aca="1" ref="S15" ca="1">SUM( ($G$7:$G$212=$R15) * ($G$6:$G$211=S$9) )</f>
        <v>0</v>
      </c>
      <c r="T15" s="868" cm="1">
        <f t="array" aca="1" ref="T15" ca="1">SUM( ($G$7:$G$212=$R15) * ($G$6:$G$211=T$9) )</f>
        <v>0</v>
      </c>
      <c r="U15" s="868" cm="1">
        <f t="array" aca="1" ref="U15" ca="1">SUM( ($G$7:$G$212=$R15) * ($G$6:$G$211=U$9) )</f>
        <v>0</v>
      </c>
      <c r="V15" s="868" cm="1">
        <f t="array" aca="1" ref="V15" ca="1">SUM( ($G$7:$G$212=$R15) * ($G$6:$G$211=V$9) )</f>
        <v>0</v>
      </c>
      <c r="W15" s="868" cm="1">
        <f t="array" aca="1" ref="W15" ca="1">SUM( ($G$7:$G$212=$R15) * ($G$6:$G$211=W$9) )</f>
        <v>4</v>
      </c>
      <c r="X15" s="868" cm="1">
        <f t="array" aca="1" ref="X15" ca="1">SUM( ($G$7:$G$212=$R15) * ($G$6:$G$211=X$9) )</f>
        <v>0</v>
      </c>
      <c r="Y15" s="868" cm="1">
        <f t="array" aca="1" ref="Y15" ca="1">SUM( ($G$7:$G$212=$R15) * ($G$6:$G$211=Y$9) )</f>
        <v>0</v>
      </c>
      <c r="Z15" s="868" cm="1">
        <f t="array" aca="1" ref="Z15" ca="1">SUM( ($G$7:$G$212=$R15) * ($G$6:$G$211=Z$9) )</f>
        <v>0</v>
      </c>
      <c r="AA15" s="868" cm="1">
        <f t="array" aca="1" ref="AA15" ca="1">SUM( ($G$7:$G$212=$R15) * ($G$6:$G$211=AA$9) )</f>
        <v>0</v>
      </c>
      <c r="AB15" s="868" cm="1">
        <f t="array" aca="1" ref="AB15" ca="1">SUM( ($G$7:$G$212=$R15) * ($G$6:$G$211=AB$9) )</f>
        <v>0</v>
      </c>
      <c r="AC15" s="868" cm="1">
        <f t="array" aca="1" ref="AC15" ca="1">SUM( ($G$7:$G$212=$R15) * ($G$6:$G$211=AC$9) )</f>
        <v>0</v>
      </c>
      <c r="AD15" s="868" cm="1">
        <f t="array" aca="1" ref="AD15" ca="1">SUM( ($G$7:$G$212=$R15) * ($G$6:$G$211=AD$9) )</f>
        <v>0</v>
      </c>
      <c r="AE15" s="868" cm="1">
        <f t="array" aca="1" ref="AE15" ca="1">SUM( ($G$7:$G$212=$R15) * ($G$6:$G$211=AE$9) )</f>
        <v>2</v>
      </c>
      <c r="AF15" s="868" cm="1">
        <f t="array" aca="1" ref="AF15" ca="1">SUM( ($G$7:$G$212=$R15) * ($G$6:$G$211=AF$9) )</f>
        <v>0</v>
      </c>
      <c r="AG15" s="868" cm="1">
        <f t="array" aca="1" ref="AG15" ca="1">SUM( ($G$7:$G$212=$R15) * ($G$6:$G$211=AG$9) )</f>
        <v>0</v>
      </c>
      <c r="AH15" s="868" cm="1">
        <f t="array" aca="1" ref="AH15" ca="1">SUM( ($G$7:$G$212=$R15) * ($G$6:$G$211=AH$9) )</f>
        <v>3</v>
      </c>
      <c r="AI15" s="868" cm="1">
        <f t="array" aca="1" ref="AI15" ca="1">SUM( ($G$7:$G$212=$R15) * ($G$6:$G$211=AI$9) )</f>
        <v>0</v>
      </c>
      <c r="AJ15" s="868" cm="1">
        <f t="array" aca="1" ref="AJ15" ca="1">SUM( ($G$7:$G$212=$R15) * ($G$6:$G$211=AJ$9) )</f>
        <v>0</v>
      </c>
      <c r="AK15" s="868" cm="1">
        <f t="array" aca="1" ref="AK15" ca="1">SUM( ($G$7:$G$212=$R15) * ($G$6:$G$211=AK$9) )</f>
        <v>0</v>
      </c>
      <c r="AL15" s="868" cm="1">
        <f t="array" aca="1" ref="AL15" ca="1">SUM( ($G$7:$G$212=$R15) * ($G$6:$G$211=AL$9) )</f>
        <v>0</v>
      </c>
      <c r="AM15" s="868" cm="1">
        <f t="array" aca="1" ref="AM15" ca="1">SUM( ($G$7:$G$212=$R15) * ($G$6:$G$211=AM$9) )</f>
        <v>0</v>
      </c>
      <c r="AN15" s="868" cm="1">
        <f t="array" aca="1" ref="AN15" ca="1">SUM( ($G$7:$G$212=$R15) * ($G$6:$G$211=AN$9) )</f>
        <v>0</v>
      </c>
      <c r="AO15" s="868" cm="1">
        <f t="array" aca="1" ref="AO15" ca="1">SUM( ($G$7:$G$212=$R15) * ($G$6:$G$211=AO$9) )</f>
        <v>0</v>
      </c>
      <c r="AP15" s="868" cm="1">
        <f t="array" aca="1" ref="AP15" ca="1">SUM( ($G$7:$G$212=$R15) * ($G$6:$G$211=AP$9) )</f>
        <v>0</v>
      </c>
      <c r="AQ15" s="868" cm="1">
        <f t="array" aca="1" ref="AQ15" ca="1">SUM( ($G$7:$G$212=$R15) * ($G$6:$G$211=AQ$9) )</f>
        <v>0</v>
      </c>
      <c r="AR15" s="868" cm="1">
        <f t="array" aca="1" ref="AR15" ca="1">SUM( ($G$7:$G$212=$R15) * ($G$6:$G$211=AR$9) )</f>
        <v>0</v>
      </c>
      <c r="AS15" s="868" cm="1">
        <f t="array" aca="1" ref="AS15" ca="1">SUM( ($G$7:$G$212=$R15) * ($G$6:$G$211=AS$9) )</f>
        <v>0</v>
      </c>
      <c r="AT15" s="868" cm="1">
        <f t="array" aca="1" ref="AT15" ca="1">SUM( ($G$7:$G$212=$R15) * ($G$6:$G$211=AT$9) )</f>
        <v>0</v>
      </c>
      <c r="AU15" s="868" cm="1">
        <f t="array" aca="1" ref="AU15" ca="1">SUM( ($G$7:$G$212=$R15) * ($G$6:$G$211=AU$9) )</f>
        <v>0</v>
      </c>
      <c r="CR15" s="868" t="str">
        <f ca="1"/>
        <v>ZDU</v>
      </c>
      <c r="CS15" s="868" cm="1">
        <f t="array" aca="1" ref="CS15" ca="1">SUM( ($G$7:$G$25=$R15) * ($G$6:$G$24=CS$9) )</f>
        <v>0</v>
      </c>
      <c r="CT15" s="868" cm="1">
        <f t="array" aca="1" ref="CT15" ca="1">SUM( ($G$7:$G$25=$R15) * ($G$6:$G$24=CT$9) )</f>
        <v>0</v>
      </c>
      <c r="CU15" s="868" cm="1">
        <f t="array" aca="1" ref="CU15" ca="1">SUM( ($G$7:$G$25=$R15) * ($G$6:$G$24=CU$9) )</f>
        <v>0</v>
      </c>
      <c r="CV15" s="868" cm="1">
        <f t="array" aca="1" ref="CV15" ca="1">SUM( ($G$7:$G$25=$R15) * ($G$6:$G$24=CV$9) )</f>
        <v>0</v>
      </c>
      <c r="CW15" s="868" cm="1">
        <f t="array" aca="1" ref="CW15" ca="1">SUM( ($G$7:$G$25=$R15) * ($G$6:$G$24=CW$9) )</f>
        <v>2</v>
      </c>
      <c r="CX15" s="868" cm="1">
        <f t="array" aca="1" ref="CX15" ca="1">SUM( ($G$7:$G$25=$R15) * ($G$6:$G$24=CX$9) )</f>
        <v>0</v>
      </c>
      <c r="CY15" s="868" cm="1">
        <f t="array" aca="1" ref="CY15" ca="1">SUM( ($G$7:$G$25=$R15) * ($G$6:$G$24=CY$9) )</f>
        <v>0</v>
      </c>
      <c r="CZ15" s="868" cm="1">
        <f t="array" aca="1" ref="CZ15" ca="1">SUM( ($G$7:$G$25=$R15) * ($G$6:$G$24=CZ$9) )</f>
        <v>0</v>
      </c>
      <c r="DA15" s="868" cm="1">
        <f t="array" aca="1" ref="DA15" ca="1">SUM( ($G$7:$G$25=$R15) * ($G$6:$G$24=DA$9) )</f>
        <v>0</v>
      </c>
      <c r="DB15" s="868" cm="1">
        <f t="array" aca="1" ref="DB15" ca="1">SUM( ($G$7:$G$25=$R15) * ($G$6:$G$24=DB$9) )</f>
        <v>0</v>
      </c>
      <c r="DC15" s="868" cm="1">
        <f t="array" aca="1" ref="DC15" ca="1">SUM( ($G$7:$G$25=$R15) * ($G$6:$G$24=DC$9) )</f>
        <v>0</v>
      </c>
      <c r="DD15" s="868" cm="1">
        <f t="array" aca="1" ref="DD15" ca="1">SUM( ($G$7:$G$25=$R15) * ($G$6:$G$24=DD$9) )</f>
        <v>0</v>
      </c>
      <c r="DE15" s="868" cm="1">
        <f t="array" aca="1" ref="DE15" ca="1">SUM( ($G$7:$G$25=$R15) * ($G$6:$G$24=DE$9) )</f>
        <v>0</v>
      </c>
      <c r="DF15" s="868" cm="1">
        <f t="array" aca="1" ref="DF15" ca="1">SUM( ($G$7:$G$25=$R15) * ($G$6:$G$24=DF$9) )</f>
        <v>0</v>
      </c>
      <c r="DG15" s="868" cm="1">
        <f t="array" aca="1" ref="DG15" ca="1">SUM( ($G$7:$G$25=$R15) * ($G$6:$G$24=DG$9) )</f>
        <v>0</v>
      </c>
      <c r="DH15" s="868" cm="1">
        <f t="array" aca="1" ref="DH15" ca="1">SUM( ($G$7:$G$25=$R15) * ($G$6:$G$24=DH$9) )</f>
        <v>0</v>
      </c>
      <c r="DI15" s="868" cm="1">
        <f t="array" aca="1" ref="DI15" ca="1">SUM( ($G$7:$G$25=$R15) * ($G$6:$G$24=DI$9) )</f>
        <v>0</v>
      </c>
      <c r="DJ15" s="868" cm="1">
        <f t="array" aca="1" ref="DJ15" ca="1">SUM( ($G$7:$G$25=$R15) * ($G$6:$G$24=DJ$9) )</f>
        <v>0</v>
      </c>
      <c r="DK15" s="868" cm="1">
        <f t="array" aca="1" ref="DK15" ca="1">SUM( ($G$7:$G$25=$R15) * ($G$6:$G$24=DK$9) )</f>
        <v>0</v>
      </c>
      <c r="DL15" s="868" cm="1">
        <f t="array" aca="1" ref="DL15" ca="1">SUM( ($G$7:$G$25=$R15) * ($G$6:$G$24=DL$9) )</f>
        <v>0</v>
      </c>
      <c r="DM15" s="868" cm="1">
        <f t="array" aca="1" ref="DM15" ca="1">SUM( ($G$7:$G$25=$R15) * ($G$6:$G$24=DM$9) )</f>
        <v>0</v>
      </c>
      <c r="DN15" s="868" cm="1">
        <f t="array" aca="1" ref="DN15" ca="1">SUM( ($G$7:$G$25=$R15) * ($G$6:$G$24=DN$9) )</f>
        <v>0</v>
      </c>
      <c r="DO15" s="868" cm="1">
        <f t="array" aca="1" ref="DO15" ca="1">SUM( ($G$7:$G$25=$R15) * ($G$6:$G$24=DO$9) )</f>
        <v>0</v>
      </c>
    </row>
    <row r="16" spans="2:130" x14ac:dyDescent="0.3">
      <c r="B16" s="89" vm="45">
        <f ca="1"/>
        <v>45964</v>
      </c>
      <c r="C16" s="89" vm="46">
        <f ca="1"/>
        <v>254</v>
      </c>
      <c r="D16" s="1210">
        <f t="shared" ca="1" si="0"/>
        <v>4.0045860289902549E-2</v>
      </c>
      <c r="E16" s="294" t="str" cm="1">
        <f t="array" aca="1" ref="E16" ca="1">_xlfn.IFS(D16&gt;ZPercent,"U",D16&lt;=-ZPercent,"D",TRUE,"Z")</f>
        <v>U</v>
      </c>
      <c r="F16" s="294" t="str">
        <f t="shared" ca="1" si="1"/>
        <v>UU</v>
      </c>
      <c r="G16" s="294" t="str">
        <f t="shared" ca="1" si="2"/>
        <v>DUU</v>
      </c>
      <c r="H16" s="868" t="str">
        <f t="shared" ca="1" si="3"/>
        <v/>
      </c>
      <c r="J16" s="89" vm="47">
        <f ca="1"/>
        <v>45678</v>
      </c>
      <c r="K16" s="89" vm="48">
        <f ca="1"/>
        <v>230.71</v>
      </c>
      <c r="N16" s="868" t="str">
        <f ca="1">IF(F16=[2]Sheet1!O14,"","dif")</f>
        <v>dif</v>
      </c>
      <c r="R16" s="868" t="str">
        <f ca="1"/>
        <v>DZD</v>
      </c>
      <c r="S16" s="868" cm="1">
        <f t="array" aca="1" ref="S16" ca="1">SUM( ($G$7:$G$212=$R16) * ($G$6:$G$211=S$9) )</f>
        <v>0</v>
      </c>
      <c r="T16" s="868" cm="1">
        <f t="array" aca="1" ref="T16" ca="1">SUM( ($G$7:$G$212=$R16) * ($G$6:$G$211=T$9) )</f>
        <v>3</v>
      </c>
      <c r="U16" s="868" cm="1">
        <f t="array" aca="1" ref="U16" ca="1">SUM( ($G$7:$G$212=$R16) * ($G$6:$G$211=U$9) )</f>
        <v>0</v>
      </c>
      <c r="V16" s="868" cm="1">
        <f t="array" aca="1" ref="V16" ca="1">SUM( ($G$7:$G$212=$R16) * ($G$6:$G$211=V$9) )</f>
        <v>0</v>
      </c>
      <c r="W16" s="868" cm="1">
        <f t="array" aca="1" ref="W16" ca="1">SUM( ($G$7:$G$212=$R16) * ($G$6:$G$211=W$9) )</f>
        <v>0</v>
      </c>
      <c r="X16" s="868" cm="1">
        <f t="array" aca="1" ref="X16" ca="1">SUM( ($G$7:$G$212=$R16) * ($G$6:$G$211=X$9) )</f>
        <v>5</v>
      </c>
      <c r="Y16" s="868" cm="1">
        <f t="array" aca="1" ref="Y16" ca="1">SUM( ($G$7:$G$212=$R16) * ($G$6:$G$211=Y$9) )</f>
        <v>0</v>
      </c>
      <c r="Z16" s="868" cm="1">
        <f t="array" aca="1" ref="Z16" ca="1">SUM( ($G$7:$G$212=$R16) * ($G$6:$G$211=Z$9) )</f>
        <v>0</v>
      </c>
      <c r="AA16" s="868" cm="1">
        <f t="array" aca="1" ref="AA16" ca="1">SUM( ($G$7:$G$212=$R16) * ($G$6:$G$211=AA$9) )</f>
        <v>0</v>
      </c>
      <c r="AB16" s="868" cm="1">
        <f t="array" aca="1" ref="AB16" ca="1">SUM( ($G$7:$G$212=$R16) * ($G$6:$G$211=AB$9) )</f>
        <v>0</v>
      </c>
      <c r="AC16" s="868" cm="1">
        <f t="array" aca="1" ref="AC16" ca="1">SUM( ($G$7:$G$212=$R16) * ($G$6:$G$211=AC$9) )</f>
        <v>0</v>
      </c>
      <c r="AD16" s="868" cm="1">
        <f t="array" aca="1" ref="AD16" ca="1">SUM( ($G$7:$G$212=$R16) * ($G$6:$G$211=AD$9) )</f>
        <v>0</v>
      </c>
      <c r="AE16" s="868" cm="1">
        <f t="array" aca="1" ref="AE16" ca="1">SUM( ($G$7:$G$212=$R16) * ($G$6:$G$211=AE$9) )</f>
        <v>0</v>
      </c>
      <c r="AF16" s="868" cm="1">
        <f t="array" aca="1" ref="AF16" ca="1">SUM( ($G$7:$G$212=$R16) * ($G$6:$G$211=AF$9) )</f>
        <v>0</v>
      </c>
      <c r="AG16" s="868" cm="1">
        <f t="array" aca="1" ref="AG16" ca="1">SUM( ($G$7:$G$212=$R16) * ($G$6:$G$211=AG$9) )</f>
        <v>0</v>
      </c>
      <c r="AH16" s="868" cm="1">
        <f t="array" aca="1" ref="AH16" ca="1">SUM( ($G$7:$G$212=$R16) * ($G$6:$G$211=AH$9) )</f>
        <v>0</v>
      </c>
      <c r="AI16" s="868" cm="1">
        <f t="array" aca="1" ref="AI16" ca="1">SUM( ($G$7:$G$212=$R16) * ($G$6:$G$211=AI$9) )</f>
        <v>0</v>
      </c>
      <c r="AJ16" s="868" cm="1">
        <f t="array" aca="1" ref="AJ16" ca="1">SUM( ($G$7:$G$212=$R16) * ($G$6:$G$211=AJ$9) )</f>
        <v>0</v>
      </c>
      <c r="AK16" s="868" cm="1">
        <f t="array" aca="1" ref="AK16" ca="1">SUM( ($G$7:$G$212=$R16) * ($G$6:$G$211=AK$9) )</f>
        <v>0</v>
      </c>
      <c r="AL16" s="868" cm="1">
        <f t="array" aca="1" ref="AL16" ca="1">SUM( ($G$7:$G$212=$R16) * ($G$6:$G$211=AL$9) )</f>
        <v>0</v>
      </c>
      <c r="AM16" s="868" cm="1">
        <f t="array" aca="1" ref="AM16" ca="1">SUM( ($G$7:$G$212=$R16) * ($G$6:$G$211=AM$9) )</f>
        <v>0</v>
      </c>
      <c r="AN16" s="868" cm="1">
        <f t="array" aca="1" ref="AN16" ca="1">SUM( ($G$7:$G$212=$R16) * ($G$6:$G$211=AN$9) )</f>
        <v>0</v>
      </c>
      <c r="AO16" s="868" cm="1">
        <f t="array" aca="1" ref="AO16" ca="1">SUM( ($G$7:$G$212=$R16) * ($G$6:$G$211=AO$9) )</f>
        <v>0</v>
      </c>
      <c r="AP16" s="868" cm="1">
        <f t="array" aca="1" ref="AP16" ca="1">SUM( ($G$7:$G$212=$R16) * ($G$6:$G$211=AP$9) )</f>
        <v>0</v>
      </c>
      <c r="AQ16" s="868" cm="1">
        <f t="array" aca="1" ref="AQ16" ca="1">SUM( ($G$7:$G$212=$R16) * ($G$6:$G$211=AQ$9) )</f>
        <v>0</v>
      </c>
      <c r="AR16" s="868" cm="1">
        <f t="array" aca="1" ref="AR16" ca="1">SUM( ($G$7:$G$212=$R16) * ($G$6:$G$211=AR$9) )</f>
        <v>0</v>
      </c>
      <c r="AS16" s="868" cm="1">
        <f t="array" aca="1" ref="AS16" ca="1">SUM( ($G$7:$G$212=$R16) * ($G$6:$G$211=AS$9) )</f>
        <v>0</v>
      </c>
      <c r="AT16" s="868" cm="1">
        <f t="array" aca="1" ref="AT16" ca="1">SUM( ($G$7:$G$212=$R16) * ($G$6:$G$211=AT$9) )</f>
        <v>0</v>
      </c>
      <c r="AU16" s="868" cm="1">
        <f t="array" aca="1" ref="AU16" ca="1">SUM( ($G$7:$G$212=$R16) * ($G$6:$G$211=AU$9) )</f>
        <v>0</v>
      </c>
      <c r="CR16" s="868" t="str">
        <f ca="1"/>
        <v>DZD</v>
      </c>
      <c r="CS16" s="868" cm="1">
        <f t="array" aca="1" ref="CS16" ca="1">SUM( ($G$7:$G$25=$R16) * ($G$6:$G$24=CS$9) )</f>
        <v>0</v>
      </c>
      <c r="CT16" s="868" cm="1">
        <f t="array" aca="1" ref="CT16" ca="1">SUM( ($G$7:$G$25=$R16) * ($G$6:$G$24=CT$9) )</f>
        <v>0</v>
      </c>
      <c r="CU16" s="868" cm="1">
        <f t="array" aca="1" ref="CU16" ca="1">SUM( ($G$7:$G$25=$R16) * ($G$6:$G$24=CU$9) )</f>
        <v>0</v>
      </c>
      <c r="CV16" s="868" cm="1">
        <f t="array" aca="1" ref="CV16" ca="1">SUM( ($G$7:$G$25=$R16) * ($G$6:$G$24=CV$9) )</f>
        <v>0</v>
      </c>
      <c r="CW16" s="868" cm="1">
        <f t="array" aca="1" ref="CW16" ca="1">SUM( ($G$7:$G$25=$R16) * ($G$6:$G$24=CW$9) )</f>
        <v>0</v>
      </c>
      <c r="CX16" s="868" cm="1">
        <f t="array" aca="1" ref="CX16" ca="1">SUM( ($G$7:$G$25=$R16) * ($G$6:$G$24=CX$9) )</f>
        <v>1</v>
      </c>
      <c r="CY16" s="868" cm="1">
        <f t="array" aca="1" ref="CY16" ca="1">SUM( ($G$7:$G$25=$R16) * ($G$6:$G$24=CY$9) )</f>
        <v>0</v>
      </c>
      <c r="CZ16" s="868" cm="1">
        <f t="array" aca="1" ref="CZ16" ca="1">SUM( ($G$7:$G$25=$R16) * ($G$6:$G$24=CZ$9) )</f>
        <v>0</v>
      </c>
      <c r="DA16" s="868" cm="1">
        <f t="array" aca="1" ref="DA16" ca="1">SUM( ($G$7:$G$25=$R16) * ($G$6:$G$24=DA$9) )</f>
        <v>0</v>
      </c>
      <c r="DB16" s="868" cm="1">
        <f t="array" aca="1" ref="DB16" ca="1">SUM( ($G$7:$G$25=$R16) * ($G$6:$G$24=DB$9) )</f>
        <v>0</v>
      </c>
      <c r="DC16" s="868" cm="1">
        <f t="array" aca="1" ref="DC16" ca="1">SUM( ($G$7:$G$25=$R16) * ($G$6:$G$24=DC$9) )</f>
        <v>0</v>
      </c>
      <c r="DD16" s="868" cm="1">
        <f t="array" aca="1" ref="DD16" ca="1">SUM( ($G$7:$G$25=$R16) * ($G$6:$G$24=DD$9) )</f>
        <v>0</v>
      </c>
      <c r="DE16" s="868" cm="1">
        <f t="array" aca="1" ref="DE16" ca="1">SUM( ($G$7:$G$25=$R16) * ($G$6:$G$24=DE$9) )</f>
        <v>0</v>
      </c>
      <c r="DF16" s="868" cm="1">
        <f t="array" aca="1" ref="DF16" ca="1">SUM( ($G$7:$G$25=$R16) * ($G$6:$G$24=DF$9) )</f>
        <v>0</v>
      </c>
      <c r="DG16" s="868" cm="1">
        <f t="array" aca="1" ref="DG16" ca="1">SUM( ($G$7:$G$25=$R16) * ($G$6:$G$24=DG$9) )</f>
        <v>0</v>
      </c>
      <c r="DH16" s="868" cm="1">
        <f t="array" aca="1" ref="DH16" ca="1">SUM( ($G$7:$G$25=$R16) * ($G$6:$G$24=DH$9) )</f>
        <v>0</v>
      </c>
      <c r="DI16" s="868" cm="1">
        <f t="array" aca="1" ref="DI16" ca="1">SUM( ($G$7:$G$25=$R16) * ($G$6:$G$24=DI$9) )</f>
        <v>0</v>
      </c>
      <c r="DJ16" s="868" cm="1">
        <f t="array" aca="1" ref="DJ16" ca="1">SUM( ($G$7:$G$25=$R16) * ($G$6:$G$24=DJ$9) )</f>
        <v>0</v>
      </c>
      <c r="DK16" s="868" cm="1">
        <f t="array" aca="1" ref="DK16" ca="1">SUM( ($G$7:$G$25=$R16) * ($G$6:$G$24=DK$9) )</f>
        <v>0</v>
      </c>
      <c r="DL16" s="868" cm="1">
        <f t="array" aca="1" ref="DL16" ca="1">SUM( ($G$7:$G$25=$R16) * ($G$6:$G$24=DL$9) )</f>
        <v>0</v>
      </c>
      <c r="DM16" s="868" cm="1">
        <f t="array" aca="1" ref="DM16" ca="1">SUM( ($G$7:$G$25=$R16) * ($G$6:$G$24=DM$9) )</f>
        <v>0</v>
      </c>
      <c r="DN16" s="868" cm="1">
        <f t="array" aca="1" ref="DN16" ca="1">SUM( ($G$7:$G$25=$R16) * ($G$6:$G$24=DN$9) )</f>
        <v>0</v>
      </c>
      <c r="DO16" s="868" cm="1">
        <f t="array" aca="1" ref="DO16" ca="1">SUM( ($G$7:$G$25=$R16) * ($G$6:$G$24=DO$9) )</f>
        <v>0</v>
      </c>
    </row>
    <row r="17" spans="2:119" x14ac:dyDescent="0.3">
      <c r="B17" s="89" vm="49">
        <f ca="1"/>
        <v>45961</v>
      </c>
      <c r="C17" s="89" vm="50">
        <f ca="1"/>
        <v>244.22</v>
      </c>
      <c r="D17" s="1210">
        <f t="shared" ca="1" si="0"/>
        <v>9.5844925065063202E-2</v>
      </c>
      <c r="E17" s="294" t="str" cm="1">
        <f t="array" aca="1" ref="E17" ca="1">_xlfn.IFS(D17&gt;ZPercent,"U",D17&lt;=-ZPercent,"D",TRUE,"Z")</f>
        <v>U</v>
      </c>
      <c r="F17" s="294" t="str">
        <f t="shared" ca="1" si="1"/>
        <v>DU</v>
      </c>
      <c r="G17" s="294" t="str">
        <f t="shared" ca="1" si="2"/>
        <v>ZDU</v>
      </c>
      <c r="H17" s="868" t="str">
        <f t="shared" ca="1" si="3"/>
        <v/>
      </c>
      <c r="J17" s="89" vm="51">
        <f ca="1"/>
        <v>45679</v>
      </c>
      <c r="K17" s="89" vm="52">
        <f ca="1"/>
        <v>235.01</v>
      </c>
      <c r="N17" s="868" t="str">
        <f ca="1">IF(F17=[2]Sheet1!O15,"","dif")</f>
        <v>dif</v>
      </c>
      <c r="R17" s="868" t="str">
        <f ca="1"/>
        <v>UDZ</v>
      </c>
      <c r="S17" s="868" cm="1">
        <f t="array" aca="1" ref="S17" ca="1">SUM( ($G$7:$G$212=$R17) * ($G$6:$G$211=S$9) )</f>
        <v>0</v>
      </c>
      <c r="T17" s="868" cm="1">
        <f t="array" aca="1" ref="T17" ca="1">SUM( ($G$7:$G$212=$R17) * ($G$6:$G$211=T$9) )</f>
        <v>0</v>
      </c>
      <c r="U17" s="868" cm="1">
        <f t="array" aca="1" ref="U17" ca="1">SUM( ($G$7:$G$212=$R17) * ($G$6:$G$211=U$9) )</f>
        <v>0</v>
      </c>
      <c r="V17" s="868" cm="1">
        <f t="array" aca="1" ref="V17" ca="1">SUM( ($G$7:$G$212=$R17) * ($G$6:$G$211=V$9) )</f>
        <v>0</v>
      </c>
      <c r="W17" s="868" cm="1">
        <f t="array" aca="1" ref="W17" ca="1">SUM( ($G$7:$G$212=$R17) * ($G$6:$G$211=W$9) )</f>
        <v>0</v>
      </c>
      <c r="X17" s="868" cm="1">
        <f t="array" aca="1" ref="X17" ca="1">SUM( ($G$7:$G$212=$R17) * ($G$6:$G$211=X$9) )</f>
        <v>0</v>
      </c>
      <c r="Y17" s="868" cm="1">
        <f t="array" aca="1" ref="Y17" ca="1">SUM( ($G$7:$G$212=$R17) * ($G$6:$G$211=Y$9) )</f>
        <v>5</v>
      </c>
      <c r="Z17" s="868" cm="1">
        <f t="array" aca="1" ref="Z17" ca="1">SUM( ($G$7:$G$212=$R17) * ($G$6:$G$211=Z$9) )</f>
        <v>0</v>
      </c>
      <c r="AA17" s="868" cm="1">
        <f t="array" aca="1" ref="AA17" ca="1">SUM( ($G$7:$G$212=$R17) * ($G$6:$G$211=AA$9) )</f>
        <v>0</v>
      </c>
      <c r="AB17" s="868" cm="1">
        <f t="array" aca="1" ref="AB17" ca="1">SUM( ($G$7:$G$212=$R17) * ($G$6:$G$211=AB$9) )</f>
        <v>0</v>
      </c>
      <c r="AC17" s="868" cm="1">
        <f t="array" aca="1" ref="AC17" ca="1">SUM( ($G$7:$G$212=$R17) * ($G$6:$G$211=AC$9) )</f>
        <v>0</v>
      </c>
      <c r="AD17" s="868" cm="1">
        <f t="array" aca="1" ref="AD17" ca="1">SUM( ($G$7:$G$212=$R17) * ($G$6:$G$211=AD$9) )</f>
        <v>0</v>
      </c>
      <c r="AE17" s="868" cm="1">
        <f t="array" aca="1" ref="AE17" ca="1">SUM( ($G$7:$G$212=$R17) * ($G$6:$G$211=AE$9) )</f>
        <v>0</v>
      </c>
      <c r="AF17" s="868" cm="1">
        <f t="array" aca="1" ref="AF17" ca="1">SUM( ($G$7:$G$212=$R17) * ($G$6:$G$211=AF$9) )</f>
        <v>0</v>
      </c>
      <c r="AG17" s="868" cm="1">
        <f t="array" aca="1" ref="AG17" ca="1">SUM( ($G$7:$G$212=$R17) * ($G$6:$G$211=AG$9) )</f>
        <v>0</v>
      </c>
      <c r="AH17" s="868" cm="1">
        <f t="array" aca="1" ref="AH17" ca="1">SUM( ($G$7:$G$212=$R17) * ($G$6:$G$211=AH$9) )</f>
        <v>0</v>
      </c>
      <c r="AI17" s="868" cm="1">
        <f t="array" aca="1" ref="AI17" ca="1">SUM( ($G$7:$G$212=$R17) * ($G$6:$G$211=AI$9) )</f>
        <v>0</v>
      </c>
      <c r="AJ17" s="868" cm="1">
        <f t="array" aca="1" ref="AJ17" ca="1">SUM( ($G$7:$G$212=$R17) * ($G$6:$G$211=AJ$9) )</f>
        <v>3</v>
      </c>
      <c r="AK17" s="868" cm="1">
        <f t="array" aca="1" ref="AK17" ca="1">SUM( ($G$7:$G$212=$R17) * ($G$6:$G$211=AK$9) )</f>
        <v>0</v>
      </c>
      <c r="AL17" s="868" cm="1">
        <f t="array" aca="1" ref="AL17" ca="1">SUM( ($G$7:$G$212=$R17) * ($G$6:$G$211=AL$9) )</f>
        <v>0</v>
      </c>
      <c r="AM17" s="868" cm="1">
        <f t="array" aca="1" ref="AM17" ca="1">SUM( ($G$7:$G$212=$R17) * ($G$6:$G$211=AM$9) )</f>
        <v>3</v>
      </c>
      <c r="AN17" s="868" cm="1">
        <f t="array" aca="1" ref="AN17" ca="1">SUM( ($G$7:$G$212=$R17) * ($G$6:$G$211=AN$9) )</f>
        <v>0</v>
      </c>
      <c r="AO17" s="868" cm="1">
        <f t="array" aca="1" ref="AO17" ca="1">SUM( ($G$7:$G$212=$R17) * ($G$6:$G$211=AO$9) )</f>
        <v>0</v>
      </c>
      <c r="AP17" s="868" cm="1">
        <f t="array" aca="1" ref="AP17" ca="1">SUM( ($G$7:$G$212=$R17) * ($G$6:$G$211=AP$9) )</f>
        <v>0</v>
      </c>
      <c r="AQ17" s="868" cm="1">
        <f t="array" aca="1" ref="AQ17" ca="1">SUM( ($G$7:$G$212=$R17) * ($G$6:$G$211=AQ$9) )</f>
        <v>0</v>
      </c>
      <c r="AR17" s="868" cm="1">
        <f t="array" aca="1" ref="AR17" ca="1">SUM( ($G$7:$G$212=$R17) * ($G$6:$G$211=AR$9) )</f>
        <v>0</v>
      </c>
      <c r="AS17" s="868" cm="1">
        <f t="array" aca="1" ref="AS17" ca="1">SUM( ($G$7:$G$212=$R17) * ($G$6:$G$211=AS$9) )</f>
        <v>0</v>
      </c>
      <c r="AT17" s="868" cm="1">
        <f t="array" aca="1" ref="AT17" ca="1">SUM( ($G$7:$G$212=$R17) * ($G$6:$G$211=AT$9) )</f>
        <v>0</v>
      </c>
      <c r="AU17" s="868" cm="1">
        <f t="array" aca="1" ref="AU17" ca="1">SUM( ($G$7:$G$212=$R17) * ($G$6:$G$211=AU$9) )</f>
        <v>0</v>
      </c>
      <c r="CR17" s="868" t="str">
        <f ca="1"/>
        <v>UDZ</v>
      </c>
      <c r="CS17" s="868" cm="1">
        <f t="array" aca="1" ref="CS17" ca="1">SUM( ($G$7:$G$25=$R17) * ($G$6:$G$24=CS$9) )</f>
        <v>0</v>
      </c>
      <c r="CT17" s="868" cm="1">
        <f t="array" aca="1" ref="CT17" ca="1">SUM( ($G$7:$G$25=$R17) * ($G$6:$G$24=CT$9) )</f>
        <v>0</v>
      </c>
      <c r="CU17" s="868" cm="1">
        <f t="array" aca="1" ref="CU17" ca="1">SUM( ($G$7:$G$25=$R17) * ($G$6:$G$24=CU$9) )</f>
        <v>0</v>
      </c>
      <c r="CV17" s="868" cm="1">
        <f t="array" aca="1" ref="CV17" ca="1">SUM( ($G$7:$G$25=$R17) * ($G$6:$G$24=CV$9) )</f>
        <v>0</v>
      </c>
      <c r="CW17" s="868" cm="1">
        <f t="array" aca="1" ref="CW17" ca="1">SUM( ($G$7:$G$25=$R17) * ($G$6:$G$24=CW$9) )</f>
        <v>0</v>
      </c>
      <c r="CX17" s="868" cm="1">
        <f t="array" aca="1" ref="CX17" ca="1">SUM( ($G$7:$G$25=$R17) * ($G$6:$G$24=CX$9) )</f>
        <v>0</v>
      </c>
      <c r="CY17" s="868" cm="1">
        <f t="array" aca="1" ref="CY17" ca="1">SUM( ($G$7:$G$25=$R17) * ($G$6:$G$24=CY$9) )</f>
        <v>1</v>
      </c>
      <c r="CZ17" s="868" cm="1">
        <f t="array" aca="1" ref="CZ17" ca="1">SUM( ($G$7:$G$25=$R17) * ($G$6:$G$24=CZ$9) )</f>
        <v>0</v>
      </c>
      <c r="DA17" s="868" cm="1">
        <f t="array" aca="1" ref="DA17" ca="1">SUM( ($G$7:$G$25=$R17) * ($G$6:$G$24=DA$9) )</f>
        <v>0</v>
      </c>
      <c r="DB17" s="868" cm="1">
        <f t="array" aca="1" ref="DB17" ca="1">SUM( ($G$7:$G$25=$R17) * ($G$6:$G$24=DB$9) )</f>
        <v>0</v>
      </c>
      <c r="DC17" s="868" cm="1">
        <f t="array" aca="1" ref="DC17" ca="1">SUM( ($G$7:$G$25=$R17) * ($G$6:$G$24=DC$9) )</f>
        <v>0</v>
      </c>
      <c r="DD17" s="868" cm="1">
        <f t="array" aca="1" ref="DD17" ca="1">SUM( ($G$7:$G$25=$R17) * ($G$6:$G$24=DD$9) )</f>
        <v>0</v>
      </c>
      <c r="DE17" s="868" cm="1">
        <f t="array" aca="1" ref="DE17" ca="1">SUM( ($G$7:$G$25=$R17) * ($G$6:$G$24=DE$9) )</f>
        <v>0</v>
      </c>
      <c r="DF17" s="868" cm="1">
        <f t="array" aca="1" ref="DF17" ca="1">SUM( ($G$7:$G$25=$R17) * ($G$6:$G$24=DF$9) )</f>
        <v>0</v>
      </c>
      <c r="DG17" s="868" cm="1">
        <f t="array" aca="1" ref="DG17" ca="1">SUM( ($G$7:$G$25=$R17) * ($G$6:$G$24=DG$9) )</f>
        <v>0</v>
      </c>
      <c r="DH17" s="868" cm="1">
        <f t="array" aca="1" ref="DH17" ca="1">SUM( ($G$7:$G$25=$R17) * ($G$6:$G$24=DH$9) )</f>
        <v>0</v>
      </c>
      <c r="DI17" s="868" cm="1">
        <f t="array" aca="1" ref="DI17" ca="1">SUM( ($G$7:$G$25=$R17) * ($G$6:$G$24=DI$9) )</f>
        <v>0</v>
      </c>
      <c r="DJ17" s="868" cm="1">
        <f t="array" aca="1" ref="DJ17" ca="1">SUM( ($G$7:$G$25=$R17) * ($G$6:$G$24=DJ$9) )</f>
        <v>0</v>
      </c>
      <c r="DK17" s="868" cm="1">
        <f t="array" aca="1" ref="DK17" ca="1">SUM( ($G$7:$G$25=$R17) * ($G$6:$G$24=DK$9) )</f>
        <v>0</v>
      </c>
      <c r="DL17" s="868" cm="1">
        <f t="array" aca="1" ref="DL17" ca="1">SUM( ($G$7:$G$25=$R17) * ($G$6:$G$24=DL$9) )</f>
        <v>0</v>
      </c>
      <c r="DM17" s="868" cm="1">
        <f t="array" aca="1" ref="DM17" ca="1">SUM( ($G$7:$G$25=$R17) * ($G$6:$G$24=DM$9) )</f>
        <v>0</v>
      </c>
      <c r="DN17" s="868" cm="1">
        <f t="array" aca="1" ref="DN17" ca="1">SUM( ($G$7:$G$25=$R17) * ($G$6:$G$24=DN$9) )</f>
        <v>0</v>
      </c>
      <c r="DO17" s="868" cm="1">
        <f t="array" aca="1" ref="DO17" ca="1">SUM( ($G$7:$G$25=$R17) * ($G$6:$G$24=DO$9) )</f>
        <v>0</v>
      </c>
    </row>
    <row r="18" spans="2:119" x14ac:dyDescent="0.3">
      <c r="B18" s="89" vm="53">
        <f ca="1"/>
        <v>45960</v>
      </c>
      <c r="C18" s="89" vm="54">
        <f ca="1"/>
        <v>222.86</v>
      </c>
      <c r="D18" s="1210">
        <f t="shared" ca="1" si="0"/>
        <v>-3.2305688232739896E-2</v>
      </c>
      <c r="E18" s="294" t="str" cm="1">
        <f t="array" aca="1" ref="E18" ca="1">_xlfn.IFS(D18&gt;ZPercent,"U",D18&lt;=-ZPercent,"D",TRUE,"Z")</f>
        <v>D</v>
      </c>
      <c r="F18" s="294" t="str">
        <f t="shared" ca="1" si="1"/>
        <v>ZD</v>
      </c>
      <c r="G18" s="294" t="str">
        <f t="shared" ca="1" si="2"/>
        <v>UZD</v>
      </c>
      <c r="H18" s="868" t="str">
        <f t="shared" ca="1" si="3"/>
        <v>ZZ</v>
      </c>
      <c r="J18" s="89" vm="55">
        <f ca="1"/>
        <v>45680</v>
      </c>
      <c r="K18" s="89" vm="56">
        <f ca="1"/>
        <v>235.42</v>
      </c>
      <c r="N18" s="868" t="str">
        <f ca="1">IF(F18=[2]Sheet1!O16,"","dif")</f>
        <v>dif</v>
      </c>
      <c r="R18" s="868" t="str">
        <f ca="1"/>
        <v>UUD</v>
      </c>
      <c r="S18" s="868" cm="1">
        <f t="array" aca="1" ref="S18" ca="1">SUM( ($G$7:$G$212=$R18) * ($G$6:$G$211=S$9) )</f>
        <v>0</v>
      </c>
      <c r="T18" s="868" cm="1">
        <f t="array" aca="1" ref="T18" ca="1">SUM( ($G$7:$G$212=$R18) * ($G$6:$G$211=T$9) )</f>
        <v>0</v>
      </c>
      <c r="U18" s="868" cm="1">
        <f t="array" aca="1" ref="U18" ca="1">SUM( ($G$7:$G$212=$R18) * ($G$6:$G$211=U$9) )</f>
        <v>0</v>
      </c>
      <c r="V18" s="868" cm="1">
        <f t="array" aca="1" ref="V18" ca="1">SUM( ($G$7:$G$212=$R18) * ($G$6:$G$211=V$9) )</f>
        <v>0</v>
      </c>
      <c r="W18" s="868" cm="1">
        <f t="array" aca="1" ref="W18" ca="1">SUM( ($G$7:$G$212=$R18) * ($G$6:$G$211=W$9) )</f>
        <v>0</v>
      </c>
      <c r="X18" s="868" cm="1">
        <f t="array" aca="1" ref="X18" ca="1">SUM( ($G$7:$G$212=$R18) * ($G$6:$G$211=X$9) )</f>
        <v>0</v>
      </c>
      <c r="Y18" s="868" cm="1">
        <f t="array" aca="1" ref="Y18" ca="1">SUM( ($G$7:$G$212=$R18) * ($G$6:$G$211=Y$9) )</f>
        <v>0</v>
      </c>
      <c r="Z18" s="868" cm="1">
        <f t="array" aca="1" ref="Z18" ca="1">SUM( ($G$7:$G$212=$R18) * ($G$6:$G$211=Z$9) )</f>
        <v>8</v>
      </c>
      <c r="AA18" s="868" cm="1">
        <f t="array" aca="1" ref="AA18" ca="1">SUM( ($G$7:$G$212=$R18) * ($G$6:$G$211=AA$9) )</f>
        <v>0</v>
      </c>
      <c r="AB18" s="868" cm="1">
        <f t="array" aca="1" ref="AB18" ca="1">SUM( ($G$7:$G$212=$R18) * ($G$6:$G$211=AB$9) )</f>
        <v>0</v>
      </c>
      <c r="AC18" s="868" cm="1">
        <f t="array" aca="1" ref="AC18" ca="1">SUM( ($G$7:$G$212=$R18) * ($G$6:$G$211=AC$9) )</f>
        <v>3</v>
      </c>
      <c r="AD18" s="868" cm="1">
        <f t="array" aca="1" ref="AD18" ca="1">SUM( ($G$7:$G$212=$R18) * ($G$6:$G$211=AD$9) )</f>
        <v>0</v>
      </c>
      <c r="AE18" s="868" cm="1">
        <f t="array" aca="1" ref="AE18" ca="1">SUM( ($G$7:$G$212=$R18) * ($G$6:$G$211=AE$9) )</f>
        <v>0</v>
      </c>
      <c r="AF18" s="868" cm="1">
        <f t="array" aca="1" ref="AF18" ca="1">SUM( ($G$7:$G$212=$R18) * ($G$6:$G$211=AF$9) )</f>
        <v>0</v>
      </c>
      <c r="AG18" s="868" cm="1">
        <f t="array" aca="1" ref="AG18" ca="1">SUM( ($G$7:$G$212=$R18) * ($G$6:$G$211=AG$9) )</f>
        <v>0</v>
      </c>
      <c r="AH18" s="868" cm="1">
        <f t="array" aca="1" ref="AH18" ca="1">SUM( ($G$7:$G$212=$R18) * ($G$6:$G$211=AH$9) )</f>
        <v>0</v>
      </c>
      <c r="AI18" s="868" cm="1">
        <f t="array" aca="1" ref="AI18" ca="1">SUM( ($G$7:$G$212=$R18) * ($G$6:$G$211=AI$9) )</f>
        <v>0</v>
      </c>
      <c r="AJ18" s="868" cm="1">
        <f t="array" aca="1" ref="AJ18" ca="1">SUM( ($G$7:$G$212=$R18) * ($G$6:$G$211=AJ$9) )</f>
        <v>0</v>
      </c>
      <c r="AK18" s="868" cm="1">
        <f t="array" aca="1" ref="AK18" ca="1">SUM( ($G$7:$G$212=$R18) * ($G$6:$G$211=AK$9) )</f>
        <v>0</v>
      </c>
      <c r="AL18" s="868" cm="1">
        <f t="array" aca="1" ref="AL18" ca="1">SUM( ($G$7:$G$212=$R18) * ($G$6:$G$211=AL$9) )</f>
        <v>0</v>
      </c>
      <c r="AM18" s="868" cm="1">
        <f t="array" aca="1" ref="AM18" ca="1">SUM( ($G$7:$G$212=$R18) * ($G$6:$G$211=AM$9) )</f>
        <v>0</v>
      </c>
      <c r="AN18" s="868" cm="1">
        <f t="array" aca="1" ref="AN18" ca="1">SUM( ($G$7:$G$212=$R18) * ($G$6:$G$211=AN$9) )</f>
        <v>2</v>
      </c>
      <c r="AO18" s="868" cm="1">
        <f t="array" aca="1" ref="AO18" ca="1">SUM( ($G$7:$G$212=$R18) * ($G$6:$G$211=AO$9) )</f>
        <v>0</v>
      </c>
      <c r="AP18" s="868" cm="1">
        <f t="array" aca="1" ref="AP18" ca="1">SUM( ($G$7:$G$212=$R18) * ($G$6:$G$211=AP$9) )</f>
        <v>0</v>
      </c>
      <c r="AQ18" s="868" cm="1">
        <f t="array" aca="1" ref="AQ18" ca="1">SUM( ($G$7:$G$212=$R18) * ($G$6:$G$211=AQ$9) )</f>
        <v>0</v>
      </c>
      <c r="AR18" s="868" cm="1">
        <f t="array" aca="1" ref="AR18" ca="1">SUM( ($G$7:$G$212=$R18) * ($G$6:$G$211=AR$9) )</f>
        <v>0</v>
      </c>
      <c r="AS18" s="868" cm="1">
        <f t="array" aca="1" ref="AS18" ca="1">SUM( ($G$7:$G$212=$R18) * ($G$6:$G$211=AS$9) )</f>
        <v>0</v>
      </c>
      <c r="AT18" s="868" cm="1">
        <f t="array" aca="1" ref="AT18" ca="1">SUM( ($G$7:$G$212=$R18) * ($G$6:$G$211=AT$9) )</f>
        <v>0</v>
      </c>
      <c r="AU18" s="868" cm="1">
        <f t="array" aca="1" ref="AU18" ca="1">SUM( ($G$7:$G$212=$R18) * ($G$6:$G$211=AU$9) )</f>
        <v>0</v>
      </c>
      <c r="CR18" s="868" t="str">
        <f ca="1"/>
        <v>UUD</v>
      </c>
      <c r="CS18" s="868" cm="1">
        <f t="array" aca="1" ref="CS18" ca="1">SUM( ($G$7:$G$25=$R18) * ($G$6:$G$24=CS$9) )</f>
        <v>0</v>
      </c>
      <c r="CT18" s="868" cm="1">
        <f t="array" aca="1" ref="CT18" ca="1">SUM( ($G$7:$G$25=$R18) * ($G$6:$G$24=CT$9) )</f>
        <v>0</v>
      </c>
      <c r="CU18" s="868" cm="1">
        <f t="array" aca="1" ref="CU18" ca="1">SUM( ($G$7:$G$25=$R18) * ($G$6:$G$24=CU$9) )</f>
        <v>0</v>
      </c>
      <c r="CV18" s="868" cm="1">
        <f t="array" aca="1" ref="CV18" ca="1">SUM( ($G$7:$G$25=$R18) * ($G$6:$G$24=CV$9) )</f>
        <v>0</v>
      </c>
      <c r="CW18" s="868" cm="1">
        <f t="array" aca="1" ref="CW18" ca="1">SUM( ($G$7:$G$25=$R18) * ($G$6:$G$24=CW$9) )</f>
        <v>0</v>
      </c>
      <c r="CX18" s="868" cm="1">
        <f t="array" aca="1" ref="CX18" ca="1">SUM( ($G$7:$G$25=$R18) * ($G$6:$G$24=CX$9) )</f>
        <v>0</v>
      </c>
      <c r="CY18" s="868" cm="1">
        <f t="array" aca="1" ref="CY18" ca="1">SUM( ($G$7:$G$25=$R18) * ($G$6:$G$24=CY$9) )</f>
        <v>0</v>
      </c>
      <c r="CZ18" s="868" cm="1">
        <f t="array" aca="1" ref="CZ18" ca="1">SUM( ($G$7:$G$25=$R18) * ($G$6:$G$24=CZ$9) )</f>
        <v>1</v>
      </c>
      <c r="DA18" s="868" cm="1">
        <f t="array" aca="1" ref="DA18" ca="1">SUM( ($G$7:$G$25=$R18) * ($G$6:$G$24=DA$9) )</f>
        <v>0</v>
      </c>
      <c r="DB18" s="868" cm="1">
        <f t="array" aca="1" ref="DB18" ca="1">SUM( ($G$7:$G$25=$R18) * ($G$6:$G$24=DB$9) )</f>
        <v>0</v>
      </c>
      <c r="DC18" s="868" cm="1">
        <f t="array" aca="1" ref="DC18" ca="1">SUM( ($G$7:$G$25=$R18) * ($G$6:$G$24=DC$9) )</f>
        <v>1</v>
      </c>
      <c r="DD18" s="868" cm="1">
        <f t="array" aca="1" ref="DD18" ca="1">SUM( ($G$7:$G$25=$R18) * ($G$6:$G$24=DD$9) )</f>
        <v>0</v>
      </c>
      <c r="DE18" s="868" cm="1">
        <f t="array" aca="1" ref="DE18" ca="1">SUM( ($G$7:$G$25=$R18) * ($G$6:$G$24=DE$9) )</f>
        <v>0</v>
      </c>
      <c r="DF18" s="868" cm="1">
        <f t="array" aca="1" ref="DF18" ca="1">SUM( ($G$7:$G$25=$R18) * ($G$6:$G$24=DF$9) )</f>
        <v>0</v>
      </c>
      <c r="DG18" s="868" cm="1">
        <f t="array" aca="1" ref="DG18" ca="1">SUM( ($G$7:$G$25=$R18) * ($G$6:$G$24=DG$9) )</f>
        <v>0</v>
      </c>
      <c r="DH18" s="868" cm="1">
        <f t="array" aca="1" ref="DH18" ca="1">SUM( ($G$7:$G$25=$R18) * ($G$6:$G$24=DH$9) )</f>
        <v>0</v>
      </c>
      <c r="DI18" s="868" cm="1">
        <f t="array" aca="1" ref="DI18" ca="1">SUM( ($G$7:$G$25=$R18) * ($G$6:$G$24=DI$9) )</f>
        <v>0</v>
      </c>
      <c r="DJ18" s="868" cm="1">
        <f t="array" aca="1" ref="DJ18" ca="1">SUM( ($G$7:$G$25=$R18) * ($G$6:$G$24=DJ$9) )</f>
        <v>0</v>
      </c>
      <c r="DK18" s="868" cm="1">
        <f t="array" aca="1" ref="DK18" ca="1">SUM( ($G$7:$G$25=$R18) * ($G$6:$G$24=DK$9) )</f>
        <v>0</v>
      </c>
      <c r="DL18" s="868" cm="1">
        <f t="array" aca="1" ref="DL18" ca="1">SUM( ($G$7:$G$25=$R18) * ($G$6:$G$24=DL$9) )</f>
        <v>0</v>
      </c>
      <c r="DM18" s="868" cm="1">
        <f t="array" aca="1" ref="DM18" ca="1">SUM( ($G$7:$G$25=$R18) * ($G$6:$G$24=DM$9) )</f>
        <v>0</v>
      </c>
      <c r="DN18" s="868" cm="1">
        <f t="array" aca="1" ref="DN18" ca="1">SUM( ($G$7:$G$25=$R18) * ($G$6:$G$24=DN$9) )</f>
        <v>0</v>
      </c>
      <c r="DO18" s="868" cm="1">
        <f t="array" aca="1" ref="DO18" ca="1">SUM( ($G$7:$G$25=$R18) * ($G$6:$G$24=DO$9) )</f>
        <v>0</v>
      </c>
    </row>
    <row r="19" spans="2:119" x14ac:dyDescent="0.3">
      <c r="B19" s="89" vm="57">
        <f ca="1"/>
        <v>45959</v>
      </c>
      <c r="C19" s="89" vm="58">
        <f ca="1"/>
        <v>230.3</v>
      </c>
      <c r="D19" s="1210">
        <f t="shared" ca="1" si="0"/>
        <v>4.5801526717557748E-3</v>
      </c>
      <c r="E19" s="294" t="str" cm="1">
        <f t="array" aca="1" ref="E19" ca="1">_xlfn.IFS(D19&gt;ZPercent,"U",D19&lt;=-ZPercent,"D",TRUE,"Z")</f>
        <v>Z</v>
      </c>
      <c r="F19" s="294" t="str">
        <f t="shared" ca="1" si="1"/>
        <v>UZ</v>
      </c>
      <c r="G19" s="294" t="str">
        <f t="shared" ca="1" si="2"/>
        <v>UUZ</v>
      </c>
      <c r="H19" s="868" t="str">
        <f t="shared" ca="1" si="3"/>
        <v/>
      </c>
      <c r="J19" s="89" vm="59">
        <f ca="1"/>
        <v>45681</v>
      </c>
      <c r="K19" s="89" vm="60">
        <f ca="1"/>
        <v>234.85</v>
      </c>
      <c r="N19" s="868" t="str">
        <f ca="1">IF(F19=[2]Sheet1!O17,"","dif")</f>
        <v>dif</v>
      </c>
      <c r="R19" s="868" t="str">
        <f ca="1"/>
        <v>UUU</v>
      </c>
      <c r="S19" s="868" cm="1">
        <f t="array" aca="1" ref="S19" ca="1">SUM( ($G$7:$G$212=$R19) * ($G$6:$G$211=S$9) )</f>
        <v>0</v>
      </c>
      <c r="T19" s="868" cm="1">
        <f t="array" aca="1" ref="T19" ca="1">SUM( ($G$7:$G$212=$R19) * ($G$6:$G$211=T$9) )</f>
        <v>0</v>
      </c>
      <c r="U19" s="868" cm="1">
        <f t="array" aca="1" ref="U19" ca="1">SUM( ($G$7:$G$212=$R19) * ($G$6:$G$211=U$9) )</f>
        <v>0</v>
      </c>
      <c r="V19" s="868" cm="1">
        <f t="array" aca="1" ref="V19" ca="1">SUM( ($G$7:$G$212=$R19) * ($G$6:$G$211=V$9) )</f>
        <v>1</v>
      </c>
      <c r="W19" s="868" cm="1">
        <f t="array" aca="1" ref="W19" ca="1">SUM( ($G$7:$G$212=$R19) * ($G$6:$G$211=W$9) )</f>
        <v>0</v>
      </c>
      <c r="X19" s="868" cm="1">
        <f t="array" aca="1" ref="X19" ca="1">SUM( ($G$7:$G$212=$R19) * ($G$6:$G$211=X$9) )</f>
        <v>0</v>
      </c>
      <c r="Y19" s="868" cm="1">
        <f t="array" aca="1" ref="Y19" ca="1">SUM( ($G$7:$G$212=$R19) * ($G$6:$G$211=Y$9) )</f>
        <v>0</v>
      </c>
      <c r="Z19" s="868" cm="1">
        <f t="array" aca="1" ref="Z19" ca="1">SUM( ($G$7:$G$212=$R19) * ($G$6:$G$211=Z$9) )</f>
        <v>0</v>
      </c>
      <c r="AA19" s="868" cm="1">
        <f t="array" aca="1" ref="AA19" ca="1">SUM( ($G$7:$G$212=$R19) * ($G$6:$G$211=AA$9) )</f>
        <v>3</v>
      </c>
      <c r="AB19" s="868" cm="1">
        <f t="array" aca="1" ref="AB19" ca="1">SUM( ($G$7:$G$212=$R19) * ($G$6:$G$211=AB$9) )</f>
        <v>4</v>
      </c>
      <c r="AC19" s="868" cm="1">
        <f t="array" aca="1" ref="AC19" ca="1">SUM( ($G$7:$G$212=$R19) * ($G$6:$G$211=AC$9) )</f>
        <v>0</v>
      </c>
      <c r="AD19" s="868" cm="1">
        <f t="array" aca="1" ref="AD19" ca="1">SUM( ($G$7:$G$212=$R19) * ($G$6:$G$211=AD$9) )</f>
        <v>0</v>
      </c>
      <c r="AE19" s="868" cm="1">
        <f t="array" aca="1" ref="AE19" ca="1">SUM( ($G$7:$G$212=$R19) * ($G$6:$G$211=AE$9) )</f>
        <v>0</v>
      </c>
      <c r="AF19" s="868" cm="1">
        <f t="array" aca="1" ref="AF19" ca="1">SUM( ($G$7:$G$212=$R19) * ($G$6:$G$211=AF$9) )</f>
        <v>0</v>
      </c>
      <c r="AG19" s="868" cm="1">
        <f t="array" aca="1" ref="AG19" ca="1">SUM( ($G$7:$G$212=$R19) * ($G$6:$G$211=AG$9) )</f>
        <v>0</v>
      </c>
      <c r="AH19" s="868" cm="1">
        <f t="array" aca="1" ref="AH19" ca="1">SUM( ($G$7:$G$212=$R19) * ($G$6:$G$211=AH$9) )</f>
        <v>0</v>
      </c>
      <c r="AI19" s="868" cm="1">
        <f t="array" aca="1" ref="AI19" ca="1">SUM( ($G$7:$G$212=$R19) * ($G$6:$G$211=AI$9) )</f>
        <v>0</v>
      </c>
      <c r="AJ19" s="868" cm="1">
        <f t="array" aca="1" ref="AJ19" ca="1">SUM( ($G$7:$G$212=$R19) * ($G$6:$G$211=AJ$9) )</f>
        <v>0</v>
      </c>
      <c r="AK19" s="868" cm="1">
        <f t="array" aca="1" ref="AK19" ca="1">SUM( ($G$7:$G$212=$R19) * ($G$6:$G$211=AK$9) )</f>
        <v>0</v>
      </c>
      <c r="AL19" s="868" cm="1">
        <f t="array" aca="1" ref="AL19" ca="1">SUM( ($G$7:$G$212=$R19) * ($G$6:$G$211=AL$9) )</f>
        <v>0</v>
      </c>
      <c r="AM19" s="868" cm="1">
        <f t="array" aca="1" ref="AM19" ca="1">SUM( ($G$7:$G$212=$R19) * ($G$6:$G$211=AM$9) )</f>
        <v>0</v>
      </c>
      <c r="AN19" s="868" cm="1">
        <f t="array" aca="1" ref="AN19" ca="1">SUM( ($G$7:$G$212=$R19) * ($G$6:$G$211=AN$9) )</f>
        <v>0</v>
      </c>
      <c r="AO19" s="868" cm="1">
        <f t="array" aca="1" ref="AO19" ca="1">SUM( ($G$7:$G$212=$R19) * ($G$6:$G$211=AO$9) )</f>
        <v>0</v>
      </c>
      <c r="AP19" s="868" cm="1">
        <f t="array" aca="1" ref="AP19" ca="1">SUM( ($G$7:$G$212=$R19) * ($G$6:$G$211=AP$9) )</f>
        <v>0</v>
      </c>
      <c r="AQ19" s="868" cm="1">
        <f t="array" aca="1" ref="AQ19" ca="1">SUM( ($G$7:$G$212=$R19) * ($G$6:$G$211=AQ$9) )</f>
        <v>0</v>
      </c>
      <c r="AR19" s="868" cm="1">
        <f t="array" aca="1" ref="AR19" ca="1">SUM( ($G$7:$G$212=$R19) * ($G$6:$G$211=AR$9) )</f>
        <v>0</v>
      </c>
      <c r="AS19" s="868" cm="1">
        <f t="array" aca="1" ref="AS19" ca="1">SUM( ($G$7:$G$212=$R19) * ($G$6:$G$211=AS$9) )</f>
        <v>0</v>
      </c>
      <c r="AT19" s="868" cm="1">
        <f t="array" aca="1" ref="AT19" ca="1">SUM( ($G$7:$G$212=$R19) * ($G$6:$G$211=AT$9) )</f>
        <v>0</v>
      </c>
      <c r="AU19" s="868" cm="1">
        <f t="array" aca="1" ref="AU19" ca="1">SUM( ($G$7:$G$212=$R19) * ($G$6:$G$211=AU$9) )</f>
        <v>0</v>
      </c>
      <c r="CR19" s="868" t="str">
        <f ca="1"/>
        <v>UUU</v>
      </c>
      <c r="CS19" s="868" cm="1">
        <f t="array" aca="1" ref="CS19" ca="1">SUM( ($G$7:$G$25=$R19) * ($G$6:$G$24=CS$9) )</f>
        <v>0</v>
      </c>
      <c r="CT19" s="868" cm="1">
        <f t="array" aca="1" ref="CT19" ca="1">SUM( ($G$7:$G$25=$R19) * ($G$6:$G$24=CT$9) )</f>
        <v>0</v>
      </c>
      <c r="CU19" s="868" cm="1">
        <f t="array" aca="1" ref="CU19" ca="1">SUM( ($G$7:$G$25=$R19) * ($G$6:$G$24=CU$9) )</f>
        <v>0</v>
      </c>
      <c r="CV19" s="868" cm="1">
        <f t="array" aca="1" ref="CV19" ca="1">SUM( ($G$7:$G$25=$R19) * ($G$6:$G$24=CV$9) )</f>
        <v>1</v>
      </c>
      <c r="CW19" s="868" cm="1">
        <f t="array" aca="1" ref="CW19" ca="1">SUM( ($G$7:$G$25=$R19) * ($G$6:$G$24=CW$9) )</f>
        <v>0</v>
      </c>
      <c r="CX19" s="868" cm="1">
        <f t="array" aca="1" ref="CX19" ca="1">SUM( ($G$7:$G$25=$R19) * ($G$6:$G$24=CX$9) )</f>
        <v>0</v>
      </c>
      <c r="CY19" s="868" cm="1">
        <f t="array" aca="1" ref="CY19" ca="1">SUM( ($G$7:$G$25=$R19) * ($G$6:$G$24=CY$9) )</f>
        <v>0</v>
      </c>
      <c r="CZ19" s="868" cm="1">
        <f t="array" aca="1" ref="CZ19" ca="1">SUM( ($G$7:$G$25=$R19) * ($G$6:$G$24=CZ$9) )</f>
        <v>0</v>
      </c>
      <c r="DA19" s="868" cm="1">
        <f t="array" aca="1" ref="DA19" ca="1">SUM( ($G$7:$G$25=$R19) * ($G$6:$G$24=DA$9) )</f>
        <v>0</v>
      </c>
      <c r="DB19" s="868" cm="1">
        <f t="array" aca="1" ref="DB19" ca="1">SUM( ($G$7:$G$25=$R19) * ($G$6:$G$24=DB$9) )</f>
        <v>1</v>
      </c>
      <c r="DC19" s="868" cm="1">
        <f t="array" aca="1" ref="DC19" ca="1">SUM( ($G$7:$G$25=$R19) * ($G$6:$G$24=DC$9) )</f>
        <v>0</v>
      </c>
      <c r="DD19" s="868" cm="1">
        <f t="array" aca="1" ref="DD19" ca="1">SUM( ($G$7:$G$25=$R19) * ($G$6:$G$24=DD$9) )</f>
        <v>0</v>
      </c>
      <c r="DE19" s="868" cm="1">
        <f t="array" aca="1" ref="DE19" ca="1">SUM( ($G$7:$G$25=$R19) * ($G$6:$G$24=DE$9) )</f>
        <v>0</v>
      </c>
      <c r="DF19" s="868" cm="1">
        <f t="array" aca="1" ref="DF19" ca="1">SUM( ($G$7:$G$25=$R19) * ($G$6:$G$24=DF$9) )</f>
        <v>0</v>
      </c>
      <c r="DG19" s="868" cm="1">
        <f t="array" aca="1" ref="DG19" ca="1">SUM( ($G$7:$G$25=$R19) * ($G$6:$G$24=DG$9) )</f>
        <v>0</v>
      </c>
      <c r="DH19" s="868" cm="1">
        <f t="array" aca="1" ref="DH19" ca="1">SUM( ($G$7:$G$25=$R19) * ($G$6:$G$24=DH$9) )</f>
        <v>0</v>
      </c>
      <c r="DI19" s="868" cm="1">
        <f t="array" aca="1" ref="DI19" ca="1">SUM( ($G$7:$G$25=$R19) * ($G$6:$G$24=DI$9) )</f>
        <v>0</v>
      </c>
      <c r="DJ19" s="868" cm="1">
        <f t="array" aca="1" ref="DJ19" ca="1">SUM( ($G$7:$G$25=$R19) * ($G$6:$G$24=DJ$9) )</f>
        <v>0</v>
      </c>
      <c r="DK19" s="868" cm="1">
        <f t="array" aca="1" ref="DK19" ca="1">SUM( ($G$7:$G$25=$R19) * ($G$6:$G$24=DK$9) )</f>
        <v>0</v>
      </c>
      <c r="DL19" s="868" cm="1">
        <f t="array" aca="1" ref="DL19" ca="1">SUM( ($G$7:$G$25=$R19) * ($G$6:$G$24=DL$9) )</f>
        <v>0</v>
      </c>
      <c r="DM19" s="868" cm="1">
        <f t="array" aca="1" ref="DM19" ca="1">SUM( ($G$7:$G$25=$R19) * ($G$6:$G$24=DM$9) )</f>
        <v>0</v>
      </c>
      <c r="DN19" s="868" cm="1">
        <f t="array" aca="1" ref="DN19" ca="1">SUM( ($G$7:$G$25=$R19) * ($G$6:$G$24=DN$9) )</f>
        <v>0</v>
      </c>
      <c r="DO19" s="868" cm="1">
        <f t="array" aca="1" ref="DO19" ca="1">SUM( ($G$7:$G$25=$R19) * ($G$6:$G$24=DO$9) )</f>
        <v>0</v>
      </c>
    </row>
    <row r="20" spans="2:119" x14ac:dyDescent="0.3">
      <c r="B20" s="89" vm="61">
        <f ca="1"/>
        <v>45958</v>
      </c>
      <c r="C20" s="89" vm="62">
        <f ca="1"/>
        <v>229.25</v>
      </c>
      <c r="D20" s="1210">
        <f t="shared" ca="1" si="0"/>
        <v>1.0045380446755082E-2</v>
      </c>
      <c r="E20" s="294" t="str" cm="1">
        <f t="array" aca="1" ref="E20" ca="1">_xlfn.IFS(D20&gt;ZPercent,"U",D20&lt;=-ZPercent,"D",TRUE,"Z")</f>
        <v>U</v>
      </c>
      <c r="F20" s="294" t="str">
        <f t="shared" ca="1" si="1"/>
        <v>UU</v>
      </c>
      <c r="G20" s="294" t="str">
        <f t="shared" ca="1" si="2"/>
        <v>UUU</v>
      </c>
      <c r="H20" s="868" t="str">
        <f t="shared" ca="1" si="3"/>
        <v/>
      </c>
      <c r="J20" s="89" vm="63">
        <f ca="1"/>
        <v>45684</v>
      </c>
      <c r="K20" s="89" vm="56">
        <f ca="1"/>
        <v>235.42</v>
      </c>
      <c r="N20" s="868" t="str">
        <f ca="1">IF(F20=[2]Sheet1!O18,"","dif")</f>
        <v>dif</v>
      </c>
      <c r="R20" s="868" t="str">
        <f ca="1"/>
        <v>UDU</v>
      </c>
      <c r="S20" s="868" cm="1">
        <f t="array" aca="1" ref="S20" ca="1">SUM( ($G$7:$G$212=$R20) * ($G$6:$G$211=S$9) )</f>
        <v>0</v>
      </c>
      <c r="T20" s="868" cm="1">
        <f t="array" aca="1" ref="T20" ca="1">SUM( ($G$7:$G$212=$R20) * ($G$6:$G$211=T$9) )</f>
        <v>0</v>
      </c>
      <c r="U20" s="868" cm="1">
        <f t="array" aca="1" ref="U20" ca="1">SUM( ($G$7:$G$212=$R20) * ($G$6:$G$211=U$9) )</f>
        <v>0</v>
      </c>
      <c r="V20" s="868" cm="1">
        <f t="array" aca="1" ref="V20" ca="1">SUM( ($G$7:$G$212=$R20) * ($G$6:$G$211=V$9) )</f>
        <v>0</v>
      </c>
      <c r="W20" s="868" cm="1">
        <f t="array" aca="1" ref="W20" ca="1">SUM( ($G$7:$G$212=$R20) * ($G$6:$G$211=W$9) )</f>
        <v>2</v>
      </c>
      <c r="X20" s="868" cm="1">
        <f t="array" aca="1" ref="X20" ca="1">SUM( ($G$7:$G$212=$R20) * ($G$6:$G$211=X$9) )</f>
        <v>0</v>
      </c>
      <c r="Y20" s="868" cm="1">
        <f t="array" aca="1" ref="Y20" ca="1">SUM( ($G$7:$G$212=$R20) * ($G$6:$G$211=Y$9) )</f>
        <v>0</v>
      </c>
      <c r="Z20" s="868" cm="1">
        <f t="array" aca="1" ref="Z20" ca="1">SUM( ($G$7:$G$212=$R20) * ($G$6:$G$211=Z$9) )</f>
        <v>0</v>
      </c>
      <c r="AA20" s="868" cm="1">
        <f t="array" aca="1" ref="AA20" ca="1">SUM( ($G$7:$G$212=$R20) * ($G$6:$G$211=AA$9) )</f>
        <v>0</v>
      </c>
      <c r="AB20" s="868" cm="1">
        <f t="array" aca="1" ref="AB20" ca="1">SUM( ($G$7:$G$212=$R20) * ($G$6:$G$211=AB$9) )</f>
        <v>0</v>
      </c>
      <c r="AC20" s="868" cm="1">
        <f t="array" aca="1" ref="AC20" ca="1">SUM( ($G$7:$G$212=$R20) * ($G$6:$G$211=AC$9) )</f>
        <v>0</v>
      </c>
      <c r="AD20" s="868" cm="1">
        <f t="array" aca="1" ref="AD20" ca="1">SUM( ($G$7:$G$212=$R20) * ($G$6:$G$211=AD$9) )</f>
        <v>0</v>
      </c>
      <c r="AE20" s="868" cm="1">
        <f t="array" aca="1" ref="AE20" ca="1">SUM( ($G$7:$G$212=$R20) * ($G$6:$G$211=AE$9) )</f>
        <v>7</v>
      </c>
      <c r="AF20" s="868" cm="1">
        <f t="array" aca="1" ref="AF20" ca="1">SUM( ($G$7:$G$212=$R20) * ($G$6:$G$211=AF$9) )</f>
        <v>0</v>
      </c>
      <c r="AG20" s="868" cm="1">
        <f t="array" aca="1" ref="AG20" ca="1">SUM( ($G$7:$G$212=$R20) * ($G$6:$G$211=AG$9) )</f>
        <v>0</v>
      </c>
      <c r="AH20" s="868" cm="1">
        <f t="array" aca="1" ref="AH20" ca="1">SUM( ($G$7:$G$212=$R20) * ($G$6:$G$211=AH$9) )</f>
        <v>2</v>
      </c>
      <c r="AI20" s="868" cm="1">
        <f t="array" aca="1" ref="AI20" ca="1">SUM( ($G$7:$G$212=$R20) * ($G$6:$G$211=AI$9) )</f>
        <v>0</v>
      </c>
      <c r="AJ20" s="868" cm="1">
        <f t="array" aca="1" ref="AJ20" ca="1">SUM( ($G$7:$G$212=$R20) * ($G$6:$G$211=AJ$9) )</f>
        <v>0</v>
      </c>
      <c r="AK20" s="868" cm="1">
        <f t="array" aca="1" ref="AK20" ca="1">SUM( ($G$7:$G$212=$R20) * ($G$6:$G$211=AK$9) )</f>
        <v>0</v>
      </c>
      <c r="AL20" s="868" cm="1">
        <f t="array" aca="1" ref="AL20" ca="1">SUM( ($G$7:$G$212=$R20) * ($G$6:$G$211=AL$9) )</f>
        <v>0</v>
      </c>
      <c r="AM20" s="868" cm="1">
        <f t="array" aca="1" ref="AM20" ca="1">SUM( ($G$7:$G$212=$R20) * ($G$6:$G$211=AM$9) )</f>
        <v>0</v>
      </c>
      <c r="AN20" s="868" cm="1">
        <f t="array" aca="1" ref="AN20" ca="1">SUM( ($G$7:$G$212=$R20) * ($G$6:$G$211=AN$9) )</f>
        <v>0</v>
      </c>
      <c r="AO20" s="868" cm="1">
        <f t="array" aca="1" ref="AO20" ca="1">SUM( ($G$7:$G$212=$R20) * ($G$6:$G$211=AO$9) )</f>
        <v>0</v>
      </c>
      <c r="AP20" s="868" cm="1">
        <f t="array" aca="1" ref="AP20" ca="1">SUM( ($G$7:$G$212=$R20) * ($G$6:$G$211=AP$9) )</f>
        <v>0</v>
      </c>
      <c r="AQ20" s="868" cm="1">
        <f t="array" aca="1" ref="AQ20" ca="1">SUM( ($G$7:$G$212=$R20) * ($G$6:$G$211=AQ$9) )</f>
        <v>0</v>
      </c>
      <c r="AR20" s="868" cm="1">
        <f t="array" aca="1" ref="AR20" ca="1">SUM( ($G$7:$G$212=$R20) * ($G$6:$G$211=AR$9) )</f>
        <v>0</v>
      </c>
      <c r="AS20" s="868" cm="1">
        <f t="array" aca="1" ref="AS20" ca="1">SUM( ($G$7:$G$212=$R20) * ($G$6:$G$211=AS$9) )</f>
        <v>0</v>
      </c>
      <c r="AT20" s="868" cm="1">
        <f t="array" aca="1" ref="AT20" ca="1">SUM( ($G$7:$G$212=$R20) * ($G$6:$G$211=AT$9) )</f>
        <v>0</v>
      </c>
      <c r="AU20" s="868" cm="1">
        <f t="array" aca="1" ref="AU20" ca="1">SUM( ($G$7:$G$212=$R20) * ($G$6:$G$211=AU$9) )</f>
        <v>0</v>
      </c>
      <c r="CR20" s="868" t="str">
        <f ca="1"/>
        <v>UDU</v>
      </c>
      <c r="CS20" s="868" cm="1">
        <f t="array" aca="1" ref="CS20" ca="1">SUM( ($G$7:$G$25=$R20) * ($G$6:$G$24=CS$9) )</f>
        <v>0</v>
      </c>
      <c r="CT20" s="868" cm="1">
        <f t="array" aca="1" ref="CT20" ca="1">SUM( ($G$7:$G$25=$R20) * ($G$6:$G$24=CT$9) )</f>
        <v>0</v>
      </c>
      <c r="CU20" s="868" cm="1">
        <f t="array" aca="1" ref="CU20" ca="1">SUM( ($G$7:$G$25=$R20) * ($G$6:$G$24=CU$9) )</f>
        <v>0</v>
      </c>
      <c r="CV20" s="868" cm="1">
        <f t="array" aca="1" ref="CV20" ca="1">SUM( ($G$7:$G$25=$R20) * ($G$6:$G$24=CV$9) )</f>
        <v>0</v>
      </c>
      <c r="CW20" s="868" cm="1">
        <f t="array" aca="1" ref="CW20" ca="1">SUM( ($G$7:$G$25=$R20) * ($G$6:$G$24=CW$9) )</f>
        <v>1</v>
      </c>
      <c r="CX20" s="868" cm="1">
        <f t="array" aca="1" ref="CX20" ca="1">SUM( ($G$7:$G$25=$R20) * ($G$6:$G$24=CX$9) )</f>
        <v>0</v>
      </c>
      <c r="CY20" s="868" cm="1">
        <f t="array" aca="1" ref="CY20" ca="1">SUM( ($G$7:$G$25=$R20) * ($G$6:$G$24=CY$9) )</f>
        <v>0</v>
      </c>
      <c r="CZ20" s="868" cm="1">
        <f t="array" aca="1" ref="CZ20" ca="1">SUM( ($G$7:$G$25=$R20) * ($G$6:$G$24=CZ$9) )</f>
        <v>0</v>
      </c>
      <c r="DA20" s="868" cm="1">
        <f t="array" aca="1" ref="DA20" ca="1">SUM( ($G$7:$G$25=$R20) * ($G$6:$G$24=DA$9) )</f>
        <v>0</v>
      </c>
      <c r="DB20" s="868" cm="1">
        <f t="array" aca="1" ref="DB20" ca="1">SUM( ($G$7:$G$25=$R20) * ($G$6:$G$24=DB$9) )</f>
        <v>0</v>
      </c>
      <c r="DC20" s="868" cm="1">
        <f t="array" aca="1" ref="DC20" ca="1">SUM( ($G$7:$G$25=$R20) * ($G$6:$G$24=DC$9) )</f>
        <v>0</v>
      </c>
      <c r="DD20" s="868" cm="1">
        <f t="array" aca="1" ref="DD20" ca="1">SUM( ($G$7:$G$25=$R20) * ($G$6:$G$24=DD$9) )</f>
        <v>0</v>
      </c>
      <c r="DE20" s="868" cm="1">
        <f t="array" aca="1" ref="DE20" ca="1">SUM( ($G$7:$G$25=$R20) * ($G$6:$G$24=DE$9) )</f>
        <v>0</v>
      </c>
      <c r="DF20" s="868" cm="1">
        <f t="array" aca="1" ref="DF20" ca="1">SUM( ($G$7:$G$25=$R20) * ($G$6:$G$24=DF$9) )</f>
        <v>0</v>
      </c>
      <c r="DG20" s="868" cm="1">
        <f t="array" aca="1" ref="DG20" ca="1">SUM( ($G$7:$G$25=$R20) * ($G$6:$G$24=DG$9) )</f>
        <v>0</v>
      </c>
      <c r="DH20" s="868" cm="1">
        <f t="array" aca="1" ref="DH20" ca="1">SUM( ($G$7:$G$25=$R20) * ($G$6:$G$24=DH$9) )</f>
        <v>0</v>
      </c>
      <c r="DI20" s="868" cm="1">
        <f t="array" aca="1" ref="DI20" ca="1">SUM( ($G$7:$G$25=$R20) * ($G$6:$G$24=DI$9) )</f>
        <v>0</v>
      </c>
      <c r="DJ20" s="868" cm="1">
        <f t="array" aca="1" ref="DJ20" ca="1">SUM( ($G$7:$G$25=$R20) * ($G$6:$G$24=DJ$9) )</f>
        <v>0</v>
      </c>
      <c r="DK20" s="868" cm="1">
        <f t="array" aca="1" ref="DK20" ca="1">SUM( ($G$7:$G$25=$R20) * ($G$6:$G$24=DK$9) )</f>
        <v>0</v>
      </c>
      <c r="DL20" s="868" cm="1">
        <f t="array" aca="1" ref="DL20" ca="1">SUM( ($G$7:$G$25=$R20) * ($G$6:$G$24=DL$9) )</f>
        <v>0</v>
      </c>
      <c r="DM20" s="868" cm="1">
        <f t="array" aca="1" ref="DM20" ca="1">SUM( ($G$7:$G$25=$R20) * ($G$6:$G$24=DM$9) )</f>
        <v>0</v>
      </c>
      <c r="DN20" s="868" cm="1">
        <f t="array" aca="1" ref="DN20" ca="1">SUM( ($G$7:$G$25=$R20) * ($G$6:$G$24=DN$9) )</f>
        <v>0</v>
      </c>
      <c r="DO20" s="868" cm="1">
        <f t="array" aca="1" ref="DO20" ca="1">SUM( ($G$7:$G$25=$R20) * ($G$6:$G$24=DO$9) )</f>
        <v>0</v>
      </c>
    </row>
    <row r="21" spans="2:119" x14ac:dyDescent="0.3">
      <c r="B21" s="89" vm="64">
        <f ca="1"/>
        <v>45957</v>
      </c>
      <c r="C21" s="89" vm="65">
        <f ca="1"/>
        <v>226.97</v>
      </c>
      <c r="D21" s="1210">
        <f t="shared" ca="1" si="0"/>
        <v>1.2309888051380362E-2</v>
      </c>
      <c r="E21" s="294" t="str" cm="1">
        <f t="array" aca="1" ref="E21" ca="1">_xlfn.IFS(D21&gt;ZPercent,"U",D21&lt;=-ZPercent,"D",TRUE,"Z")</f>
        <v>U</v>
      </c>
      <c r="F21" s="294" t="str">
        <f t="shared" ca="1" si="1"/>
        <v>UU</v>
      </c>
      <c r="G21" s="294" t="str">
        <f t="shared" ca="1" si="2"/>
        <v>UUU</v>
      </c>
      <c r="H21" s="868" t="str">
        <f t="shared" ca="1" si="3"/>
        <v/>
      </c>
      <c r="J21" s="89" vm="66">
        <f ca="1"/>
        <v>45685</v>
      </c>
      <c r="K21" s="89" vm="67">
        <f ca="1"/>
        <v>238.15</v>
      </c>
      <c r="N21" s="868" t="str">
        <f ca="1">IF(F21=[2]Sheet1!O19,"","dif")</f>
        <v>dif</v>
      </c>
      <c r="R21" s="868" t="str">
        <f ca="1"/>
        <v>DDU</v>
      </c>
      <c r="S21" s="868" cm="1">
        <f t="array" aca="1" ref="S21" ca="1">SUM( ($G$7:$G$212=$R21) * ($G$6:$G$211=S$9) )</f>
        <v>0</v>
      </c>
      <c r="T21" s="868" cm="1">
        <f t="array" aca="1" ref="T21" ca="1">SUM( ($G$7:$G$212=$R21) * ($G$6:$G$211=T$9) )</f>
        <v>0</v>
      </c>
      <c r="U21" s="868" cm="1">
        <f t="array" aca="1" ref="U21" ca="1">SUM( ($G$7:$G$212=$R21) * ($G$6:$G$211=U$9) )</f>
        <v>0</v>
      </c>
      <c r="V21" s="868" cm="1">
        <f t="array" aca="1" ref="V21" ca="1">SUM( ($G$7:$G$212=$R21) * ($G$6:$G$211=V$9) )</f>
        <v>0</v>
      </c>
      <c r="W21" s="868" cm="1">
        <f t="array" aca="1" ref="W21" ca="1">SUM( ($G$7:$G$212=$R21) * ($G$6:$G$211=W$9) )</f>
        <v>6</v>
      </c>
      <c r="X21" s="868" cm="1">
        <f t="array" aca="1" ref="X21" ca="1">SUM( ($G$7:$G$212=$R21) * ($G$6:$G$211=X$9) )</f>
        <v>0</v>
      </c>
      <c r="Y21" s="868" cm="1">
        <f t="array" aca="1" ref="Y21" ca="1">SUM( ($G$7:$G$212=$R21) * ($G$6:$G$211=Y$9) )</f>
        <v>0</v>
      </c>
      <c r="Z21" s="868" cm="1">
        <f t="array" aca="1" ref="Z21" ca="1">SUM( ($G$7:$G$212=$R21) * ($G$6:$G$211=Z$9) )</f>
        <v>0</v>
      </c>
      <c r="AA21" s="868" cm="1">
        <f t="array" aca="1" ref="AA21" ca="1">SUM( ($G$7:$G$212=$R21) * ($G$6:$G$211=AA$9) )</f>
        <v>0</v>
      </c>
      <c r="AB21" s="868" cm="1">
        <f t="array" aca="1" ref="AB21" ca="1">SUM( ($G$7:$G$212=$R21) * ($G$6:$G$211=AB$9) )</f>
        <v>0</v>
      </c>
      <c r="AC21" s="868" cm="1">
        <f t="array" aca="1" ref="AC21" ca="1">SUM( ($G$7:$G$212=$R21) * ($G$6:$G$211=AC$9) )</f>
        <v>0</v>
      </c>
      <c r="AD21" s="868" cm="1">
        <f t="array" aca="1" ref="AD21" ca="1">SUM( ($G$7:$G$212=$R21) * ($G$6:$G$211=AD$9) )</f>
        <v>0</v>
      </c>
      <c r="AE21" s="868" cm="1">
        <f t="array" aca="1" ref="AE21" ca="1">SUM( ($G$7:$G$212=$R21) * ($G$6:$G$211=AE$9) )</f>
        <v>3</v>
      </c>
      <c r="AF21" s="868" cm="1">
        <f t="array" aca="1" ref="AF21" ca="1">SUM( ($G$7:$G$212=$R21) * ($G$6:$G$211=AF$9) )</f>
        <v>0</v>
      </c>
      <c r="AG21" s="868" cm="1">
        <f t="array" aca="1" ref="AG21" ca="1">SUM( ($G$7:$G$212=$R21) * ($G$6:$G$211=AG$9) )</f>
        <v>0</v>
      </c>
      <c r="AH21" s="868" cm="1">
        <f t="array" aca="1" ref="AH21" ca="1">SUM( ($G$7:$G$212=$R21) * ($G$6:$G$211=AH$9) )</f>
        <v>3</v>
      </c>
      <c r="AI21" s="868" cm="1">
        <f t="array" aca="1" ref="AI21" ca="1">SUM( ($G$7:$G$212=$R21) * ($G$6:$G$211=AI$9) )</f>
        <v>0</v>
      </c>
      <c r="AJ21" s="868" cm="1">
        <f t="array" aca="1" ref="AJ21" ca="1">SUM( ($G$7:$G$212=$R21) * ($G$6:$G$211=AJ$9) )</f>
        <v>0</v>
      </c>
      <c r="AK21" s="868" cm="1">
        <f t="array" aca="1" ref="AK21" ca="1">SUM( ($G$7:$G$212=$R21) * ($G$6:$G$211=AK$9) )</f>
        <v>0</v>
      </c>
      <c r="AL21" s="868" cm="1">
        <f t="array" aca="1" ref="AL21" ca="1">SUM( ($G$7:$G$212=$R21) * ($G$6:$G$211=AL$9) )</f>
        <v>0</v>
      </c>
      <c r="AM21" s="868" cm="1">
        <f t="array" aca="1" ref="AM21" ca="1">SUM( ($G$7:$G$212=$R21) * ($G$6:$G$211=AM$9) )</f>
        <v>0</v>
      </c>
      <c r="AN21" s="868" cm="1">
        <f t="array" aca="1" ref="AN21" ca="1">SUM( ($G$7:$G$212=$R21) * ($G$6:$G$211=AN$9) )</f>
        <v>0</v>
      </c>
      <c r="AO21" s="868" cm="1">
        <f t="array" aca="1" ref="AO21" ca="1">SUM( ($G$7:$G$212=$R21) * ($G$6:$G$211=AO$9) )</f>
        <v>0</v>
      </c>
      <c r="AP21" s="868" cm="1">
        <f t="array" aca="1" ref="AP21" ca="1">SUM( ($G$7:$G$212=$R21) * ($G$6:$G$211=AP$9) )</f>
        <v>0</v>
      </c>
      <c r="AQ21" s="868" cm="1">
        <f t="array" aca="1" ref="AQ21" ca="1">SUM( ($G$7:$G$212=$R21) * ($G$6:$G$211=AQ$9) )</f>
        <v>0</v>
      </c>
      <c r="AR21" s="868" cm="1">
        <f t="array" aca="1" ref="AR21" ca="1">SUM( ($G$7:$G$212=$R21) * ($G$6:$G$211=AR$9) )</f>
        <v>0</v>
      </c>
      <c r="AS21" s="868" cm="1">
        <f t="array" aca="1" ref="AS21" ca="1">SUM( ($G$7:$G$212=$R21) * ($G$6:$G$211=AS$9) )</f>
        <v>0</v>
      </c>
      <c r="AT21" s="868" cm="1">
        <f t="array" aca="1" ref="AT21" ca="1">SUM( ($G$7:$G$212=$R21) * ($G$6:$G$211=AT$9) )</f>
        <v>0</v>
      </c>
      <c r="AU21" s="868" cm="1">
        <f t="array" aca="1" ref="AU21" ca="1">SUM( ($G$7:$G$212=$R21) * ($G$6:$G$211=AU$9) )</f>
        <v>0</v>
      </c>
      <c r="CS21" s="868" cm="1">
        <f t="array" aca="1" ref="CS21" ca="1">SUM( ($G$7:$G$25=$R21) * ($G$6:$G$24=CS$9) )</f>
        <v>0</v>
      </c>
      <c r="CT21" s="868" cm="1">
        <f t="array" aca="1" ref="CT21" ca="1">SUM( ($G$7:$G$25=$R21) * ($G$6:$G$24=CT$9) )</f>
        <v>0</v>
      </c>
      <c r="CU21" s="868" cm="1">
        <f t="array" aca="1" ref="CU21" ca="1">SUM( ($G$7:$G$25=$R21) * ($G$6:$G$24=CU$9) )</f>
        <v>0</v>
      </c>
      <c r="CV21" s="868" cm="1">
        <f t="array" aca="1" ref="CV21" ca="1">SUM( ($G$7:$G$25=$R21) * ($G$6:$G$24=CV$9) )</f>
        <v>0</v>
      </c>
      <c r="CW21" s="868" cm="1">
        <f t="array" aca="1" ref="CW21" ca="1">SUM( ($G$7:$G$25=$R21) * ($G$6:$G$24=CW$9) )</f>
        <v>0</v>
      </c>
      <c r="CX21" s="868" cm="1">
        <f t="array" aca="1" ref="CX21" ca="1">SUM( ($G$7:$G$25=$R21) * ($G$6:$G$24=CX$9) )</f>
        <v>0</v>
      </c>
      <c r="CY21" s="868" cm="1">
        <f t="array" aca="1" ref="CY21" ca="1">SUM( ($G$7:$G$25=$R21) * ($G$6:$G$24=CY$9) )</f>
        <v>0</v>
      </c>
      <c r="CZ21" s="868" cm="1">
        <f t="array" aca="1" ref="CZ21" ca="1">SUM( ($G$7:$G$25=$R21) * ($G$6:$G$24=CZ$9) )</f>
        <v>0</v>
      </c>
      <c r="DA21" s="868" cm="1">
        <f t="array" aca="1" ref="DA21" ca="1">SUM( ($G$7:$G$25=$R21) * ($G$6:$G$24=DA$9) )</f>
        <v>0</v>
      </c>
      <c r="DB21" s="868" cm="1">
        <f t="array" aca="1" ref="DB21" ca="1">SUM( ($G$7:$G$25=$R21) * ($G$6:$G$24=DB$9) )</f>
        <v>0</v>
      </c>
      <c r="DC21" s="868" cm="1">
        <f t="array" aca="1" ref="DC21" ca="1">SUM( ($G$7:$G$25=$R21) * ($G$6:$G$24=DC$9) )</f>
        <v>0</v>
      </c>
      <c r="DD21" s="868" cm="1">
        <f t="array" aca="1" ref="DD21" ca="1">SUM( ($G$7:$G$25=$R21) * ($G$6:$G$24=DD$9) )</f>
        <v>0</v>
      </c>
      <c r="DE21" s="868" cm="1">
        <f t="array" aca="1" ref="DE21" ca="1">SUM( ($G$7:$G$25=$R21) * ($G$6:$G$24=DE$9) )</f>
        <v>0</v>
      </c>
      <c r="DF21" s="868" cm="1">
        <f t="array" aca="1" ref="DF21" ca="1">SUM( ($G$7:$G$25=$R21) * ($G$6:$G$24=DF$9) )</f>
        <v>0</v>
      </c>
      <c r="DG21" s="868" cm="1">
        <f t="array" aca="1" ref="DG21" ca="1">SUM( ($G$7:$G$25=$R21) * ($G$6:$G$24=DG$9) )</f>
        <v>0</v>
      </c>
      <c r="DH21" s="868" cm="1">
        <f t="array" aca="1" ref="DH21" ca="1">SUM( ($G$7:$G$25=$R21) * ($G$6:$G$24=DH$9) )</f>
        <v>0</v>
      </c>
      <c r="DI21" s="868" cm="1">
        <f t="array" aca="1" ref="DI21" ca="1">SUM( ($G$7:$G$25=$R21) * ($G$6:$G$24=DI$9) )</f>
        <v>0</v>
      </c>
      <c r="DJ21" s="868" cm="1">
        <f t="array" aca="1" ref="DJ21" ca="1">SUM( ($G$7:$G$25=$R21) * ($G$6:$G$24=DJ$9) )</f>
        <v>0</v>
      </c>
      <c r="DK21" s="868" cm="1">
        <f t="array" aca="1" ref="DK21" ca="1">SUM( ($G$7:$G$25=$R21) * ($G$6:$G$24=DK$9) )</f>
        <v>0</v>
      </c>
      <c r="DL21" s="868" cm="1">
        <f t="array" aca="1" ref="DL21" ca="1">SUM( ($G$7:$G$25=$R21) * ($G$6:$G$24=DL$9) )</f>
        <v>0</v>
      </c>
      <c r="DM21" s="868" cm="1">
        <f t="array" aca="1" ref="DM21" ca="1">SUM( ($G$7:$G$25=$R21) * ($G$6:$G$24=DM$9) )</f>
        <v>0</v>
      </c>
      <c r="DN21" s="868" cm="1">
        <f t="array" aca="1" ref="DN21" ca="1">SUM( ($G$7:$G$25=$R21) * ($G$6:$G$24=DN$9) )</f>
        <v>0</v>
      </c>
      <c r="DO21" s="868" cm="1">
        <f t="array" aca="1" ref="DO21" ca="1">SUM( ($G$7:$G$25=$R21) * ($G$6:$G$24=DO$9) )</f>
        <v>0</v>
      </c>
    </row>
    <row r="22" spans="2:119" ht="23" customHeight="1" x14ac:dyDescent="0.3">
      <c r="B22" s="89" vm="68">
        <f ca="1"/>
        <v>45954</v>
      </c>
      <c r="C22" s="89" vm="69">
        <f ca="1"/>
        <v>224.21</v>
      </c>
      <c r="D22" s="1210">
        <f t="shared" ca="1" si="0"/>
        <v>1.4111900131168323E-2</v>
      </c>
      <c r="E22" s="294" t="str" cm="1">
        <f t="array" aca="1" ref="E22" ca="1">_xlfn.IFS(D22&gt;ZPercent,"U",D22&lt;=-ZPercent,"D",TRUE,"Z")</f>
        <v>U</v>
      </c>
      <c r="F22" s="294" t="str">
        <f t="shared" ca="1" si="1"/>
        <v>UU</v>
      </c>
      <c r="G22" s="294" t="str">
        <f t="shared" ca="1" si="2"/>
        <v>DUU</v>
      </c>
      <c r="H22" s="868" t="str">
        <f t="shared" ca="1" si="3"/>
        <v/>
      </c>
      <c r="J22" s="89" vm="70">
        <f ca="1"/>
        <v>45686</v>
      </c>
      <c r="K22" s="89" vm="71">
        <f ca="1"/>
        <v>237.07</v>
      </c>
      <c r="N22" s="868" t="str">
        <f ca="1">IF(F22=[2]Sheet1!O20,"","dif")</f>
        <v>dif</v>
      </c>
      <c r="R22" s="868" t="str">
        <f ca="1"/>
        <v>DUD</v>
      </c>
      <c r="S22" s="868" cm="1">
        <f t="array" aca="1" ref="S22" ca="1">SUM( ($G$7:$G$212=$R22) * ($G$6:$G$211=S$9) )</f>
        <v>0</v>
      </c>
      <c r="T22" s="868" cm="1">
        <f t="array" aca="1" ref="T22" ca="1">SUM( ($G$7:$G$212=$R22) * ($G$6:$G$211=T$9) )</f>
        <v>0</v>
      </c>
      <c r="U22" s="868" cm="1">
        <f t="array" aca="1" ref="U22" ca="1">SUM( ($G$7:$G$212=$R22) * ($G$6:$G$211=U$9) )</f>
        <v>0</v>
      </c>
      <c r="V22" s="868" cm="1">
        <f t="array" aca="1" ref="V22" ca="1">SUM( ($G$7:$G$212=$R22) * ($G$6:$G$211=V$9) )</f>
        <v>0</v>
      </c>
      <c r="W22" s="868" cm="1">
        <f t="array" aca="1" ref="W22" ca="1">SUM( ($G$7:$G$212=$R22) * ($G$6:$G$211=W$9) )</f>
        <v>0</v>
      </c>
      <c r="X22" s="868" cm="1">
        <f t="array" aca="1" ref="X22" ca="1">SUM( ($G$7:$G$212=$R22) * ($G$6:$G$211=X$9) )</f>
        <v>0</v>
      </c>
      <c r="Y22" s="868" cm="1">
        <f t="array" aca="1" ref="Y22" ca="1">SUM( ($G$7:$G$212=$R22) * ($G$6:$G$211=Y$9) )</f>
        <v>0</v>
      </c>
      <c r="Z22" s="868" cm="1">
        <f t="array" aca="1" ref="Z22" ca="1">SUM( ($G$7:$G$212=$R22) * ($G$6:$G$211=Z$9) )</f>
        <v>2</v>
      </c>
      <c r="AA22" s="868" cm="1">
        <f t="array" aca="1" ref="AA22" ca="1">SUM( ($G$7:$G$212=$R22) * ($G$6:$G$211=AA$9) )</f>
        <v>0</v>
      </c>
      <c r="AB22" s="868" cm="1">
        <f t="array" aca="1" ref="AB22" ca="1">SUM( ($G$7:$G$212=$R22) * ($G$6:$G$211=AB$9) )</f>
        <v>0</v>
      </c>
      <c r="AC22" s="868" cm="1">
        <f t="array" aca="1" ref="AC22" ca="1">SUM( ($G$7:$G$212=$R22) * ($G$6:$G$211=AC$9) )</f>
        <v>4</v>
      </c>
      <c r="AD22" s="868" cm="1">
        <f t="array" aca="1" ref="AD22" ca="1">SUM( ($G$7:$G$212=$R22) * ($G$6:$G$211=AD$9) )</f>
        <v>0</v>
      </c>
      <c r="AE22" s="868" cm="1">
        <f t="array" aca="1" ref="AE22" ca="1">SUM( ($G$7:$G$212=$R22) * ($G$6:$G$211=AE$9) )</f>
        <v>0</v>
      </c>
      <c r="AF22" s="868" cm="1">
        <f t="array" aca="1" ref="AF22" ca="1">SUM( ($G$7:$G$212=$R22) * ($G$6:$G$211=AF$9) )</f>
        <v>0</v>
      </c>
      <c r="AG22" s="868" cm="1">
        <f t="array" aca="1" ref="AG22" ca="1">SUM( ($G$7:$G$212=$R22) * ($G$6:$G$211=AG$9) )</f>
        <v>0</v>
      </c>
      <c r="AH22" s="868" cm="1">
        <f t="array" aca="1" ref="AH22" ca="1">SUM( ($G$7:$G$212=$R22) * ($G$6:$G$211=AH$9) )</f>
        <v>0</v>
      </c>
      <c r="AI22" s="868" cm="1">
        <f t="array" aca="1" ref="AI22" ca="1">SUM( ($G$7:$G$212=$R22) * ($G$6:$G$211=AI$9) )</f>
        <v>0</v>
      </c>
      <c r="AJ22" s="868" cm="1">
        <f t="array" aca="1" ref="AJ22" ca="1">SUM( ($G$7:$G$212=$R22) * ($G$6:$G$211=AJ$9) )</f>
        <v>0</v>
      </c>
      <c r="AK22" s="868" cm="1">
        <f t="array" aca="1" ref="AK22" ca="1">SUM( ($G$7:$G$212=$R22) * ($G$6:$G$211=AK$9) )</f>
        <v>0</v>
      </c>
      <c r="AL22" s="868" cm="1">
        <f t="array" aca="1" ref="AL22" ca="1">SUM( ($G$7:$G$212=$R22) * ($G$6:$G$211=AL$9) )</f>
        <v>0</v>
      </c>
      <c r="AM22" s="868" cm="1">
        <f t="array" aca="1" ref="AM22" ca="1">SUM( ($G$7:$G$212=$R22) * ($G$6:$G$211=AM$9) )</f>
        <v>0</v>
      </c>
      <c r="AN22" s="868" cm="1">
        <f t="array" aca="1" ref="AN22" ca="1">SUM( ($G$7:$G$212=$R22) * ($G$6:$G$211=AN$9) )</f>
        <v>6</v>
      </c>
      <c r="AO22" s="868" cm="1">
        <f t="array" aca="1" ref="AO22" ca="1">SUM( ($G$7:$G$212=$R22) * ($G$6:$G$211=AO$9) )</f>
        <v>0</v>
      </c>
      <c r="AP22" s="868" cm="1">
        <f t="array" aca="1" ref="AP22" ca="1">SUM( ($G$7:$G$212=$R22) * ($G$6:$G$211=AP$9) )</f>
        <v>0</v>
      </c>
      <c r="AQ22" s="868" cm="1">
        <f t="array" aca="1" ref="AQ22" ca="1">SUM( ($G$7:$G$212=$R22) * ($G$6:$G$211=AQ$9) )</f>
        <v>0</v>
      </c>
      <c r="AR22" s="868" cm="1">
        <f t="array" aca="1" ref="AR22" ca="1">SUM( ($G$7:$G$212=$R22) * ($G$6:$G$211=AR$9) )</f>
        <v>0</v>
      </c>
      <c r="AS22" s="868" cm="1">
        <f t="array" aca="1" ref="AS22" ca="1">SUM( ($G$7:$G$212=$R22) * ($G$6:$G$211=AS$9) )</f>
        <v>0</v>
      </c>
      <c r="AT22" s="868" cm="1">
        <f t="array" aca="1" ref="AT22" ca="1">SUM( ($G$7:$G$212=$R22) * ($G$6:$G$211=AT$9) )</f>
        <v>0</v>
      </c>
      <c r="AU22" s="868" cm="1">
        <f t="array" aca="1" ref="AU22" ca="1">SUM( ($G$7:$G$212=$R22) * ($G$6:$G$211=AU$9) )</f>
        <v>0</v>
      </c>
    </row>
    <row r="23" spans="2:119" x14ac:dyDescent="0.3">
      <c r="B23" s="89" vm="72">
        <f ca="1"/>
        <v>45953</v>
      </c>
      <c r="C23" s="89" vm="73">
        <f ca="1"/>
        <v>221.09</v>
      </c>
      <c r="D23" s="1210">
        <f t="shared" ca="1" si="0"/>
        <v>1.4406974076623147E-2</v>
      </c>
      <c r="E23" s="294" t="str" cm="1">
        <f t="array" aca="1" ref="E23" ca="1">_xlfn.IFS(D23&gt;ZPercent,"U",D23&lt;=-ZPercent,"D",TRUE,"Z")</f>
        <v>U</v>
      </c>
      <c r="F23" s="294" t="str">
        <f t="shared" ca="1" si="1"/>
        <v>DU</v>
      </c>
      <c r="G23" s="294" t="str">
        <f t="shared" ca="1" si="2"/>
        <v>UDU</v>
      </c>
      <c r="H23" s="868" t="str">
        <f t="shared" ca="1" si="3"/>
        <v/>
      </c>
      <c r="J23" s="89" vm="74">
        <f ca="1"/>
        <v>45687</v>
      </c>
      <c r="K23" s="89" vm="75">
        <f ca="1"/>
        <v>234.64</v>
      </c>
      <c r="N23" s="868" t="str">
        <f ca="1">IF(F23=[2]Sheet1!O21,"","dif")</f>
        <v>dif</v>
      </c>
      <c r="R23" s="868" t="str">
        <f ca="1"/>
        <v>ZUU</v>
      </c>
      <c r="S23" s="868" cm="1">
        <f t="array" aca="1" ref="S23" ca="1">SUM( ($G$7:$G$212=$R23) * ($G$6:$G$211=S$9) )</f>
        <v>0</v>
      </c>
      <c r="T23" s="868" cm="1">
        <f t="array" aca="1" ref="T23" ca="1">SUM( ($G$7:$G$212=$R23) * ($G$6:$G$211=T$9) )</f>
        <v>0</v>
      </c>
      <c r="U23" s="868" cm="1">
        <f t="array" aca="1" ref="U23" ca="1">SUM( ($G$7:$G$212=$R23) * ($G$6:$G$211=U$9) )</f>
        <v>0</v>
      </c>
      <c r="V23" s="868" cm="1">
        <f t="array" aca="1" ref="V23" ca="1">SUM( ($G$7:$G$212=$R23) * ($G$6:$G$211=V$9) )</f>
        <v>2</v>
      </c>
      <c r="W23" s="868" cm="1">
        <f t="array" aca="1" ref="W23" ca="1">SUM( ($G$7:$G$212=$R23) * ($G$6:$G$211=W$9) )</f>
        <v>0</v>
      </c>
      <c r="X23" s="868" cm="1">
        <f t="array" aca="1" ref="X23" ca="1">SUM( ($G$7:$G$212=$R23) * ($G$6:$G$211=X$9) )</f>
        <v>0</v>
      </c>
      <c r="Y23" s="868" cm="1">
        <f t="array" aca="1" ref="Y23" ca="1">SUM( ($G$7:$G$212=$R23) * ($G$6:$G$211=Y$9) )</f>
        <v>0</v>
      </c>
      <c r="Z23" s="868" cm="1">
        <f t="array" aca="1" ref="Z23" ca="1">SUM( ($G$7:$G$212=$R23) * ($G$6:$G$211=Z$9) )</f>
        <v>0</v>
      </c>
      <c r="AA23" s="868" cm="1">
        <f t="array" aca="1" ref="AA23" ca="1">SUM( ($G$7:$G$212=$R23) * ($G$6:$G$211=AA$9) )</f>
        <v>3</v>
      </c>
      <c r="AB23" s="868" cm="1">
        <f t="array" aca="1" ref="AB23" ca="1">SUM( ($G$7:$G$212=$R23) * ($G$6:$G$211=AB$9) )</f>
        <v>1</v>
      </c>
      <c r="AC23" s="868" cm="1">
        <f t="array" aca="1" ref="AC23" ca="1">SUM( ($G$7:$G$212=$R23) * ($G$6:$G$211=AC$9) )</f>
        <v>0</v>
      </c>
      <c r="AD23" s="868" cm="1">
        <f t="array" aca="1" ref="AD23" ca="1">SUM( ($G$7:$G$212=$R23) * ($G$6:$G$211=AD$9) )</f>
        <v>0</v>
      </c>
      <c r="AE23" s="868" cm="1">
        <f t="array" aca="1" ref="AE23" ca="1">SUM( ($G$7:$G$212=$R23) * ($G$6:$G$211=AE$9) )</f>
        <v>0</v>
      </c>
      <c r="AF23" s="868" cm="1">
        <f t="array" aca="1" ref="AF23" ca="1">SUM( ($G$7:$G$212=$R23) * ($G$6:$G$211=AF$9) )</f>
        <v>0</v>
      </c>
      <c r="AG23" s="868" cm="1">
        <f t="array" aca="1" ref="AG23" ca="1">SUM( ($G$7:$G$212=$R23) * ($G$6:$G$211=AG$9) )</f>
        <v>0</v>
      </c>
      <c r="AH23" s="868" cm="1">
        <f t="array" aca="1" ref="AH23" ca="1">SUM( ($G$7:$G$212=$R23) * ($G$6:$G$211=AH$9) )</f>
        <v>0</v>
      </c>
      <c r="AI23" s="868" cm="1">
        <f t="array" aca="1" ref="AI23" ca="1">SUM( ($G$7:$G$212=$R23) * ($G$6:$G$211=AI$9) )</f>
        <v>0</v>
      </c>
      <c r="AJ23" s="868" cm="1">
        <f t="array" aca="1" ref="AJ23" ca="1">SUM( ($G$7:$G$212=$R23) * ($G$6:$G$211=AJ$9) )</f>
        <v>0</v>
      </c>
      <c r="AK23" s="868" cm="1">
        <f t="array" aca="1" ref="AK23" ca="1">SUM( ($G$7:$G$212=$R23) * ($G$6:$G$211=AK$9) )</f>
        <v>0</v>
      </c>
      <c r="AL23" s="868" cm="1">
        <f t="array" aca="1" ref="AL23" ca="1">SUM( ($G$7:$G$212=$R23) * ($G$6:$G$211=AL$9) )</f>
        <v>0</v>
      </c>
      <c r="AM23" s="868" cm="1">
        <f t="array" aca="1" ref="AM23" ca="1">SUM( ($G$7:$G$212=$R23) * ($G$6:$G$211=AM$9) )</f>
        <v>0</v>
      </c>
      <c r="AN23" s="868" cm="1">
        <f t="array" aca="1" ref="AN23" ca="1">SUM( ($G$7:$G$212=$R23) * ($G$6:$G$211=AN$9) )</f>
        <v>0</v>
      </c>
      <c r="AO23" s="868" cm="1">
        <f t="array" aca="1" ref="AO23" ca="1">SUM( ($G$7:$G$212=$R23) * ($G$6:$G$211=AO$9) )</f>
        <v>0</v>
      </c>
      <c r="AP23" s="868" cm="1">
        <f t="array" aca="1" ref="AP23" ca="1">SUM( ($G$7:$G$212=$R23) * ($G$6:$G$211=AP$9) )</f>
        <v>0</v>
      </c>
      <c r="AQ23" s="868" cm="1">
        <f t="array" aca="1" ref="AQ23" ca="1">SUM( ($G$7:$G$212=$R23) * ($G$6:$G$211=AQ$9) )</f>
        <v>0</v>
      </c>
      <c r="AR23" s="868" cm="1">
        <f t="array" aca="1" ref="AR23" ca="1">SUM( ($G$7:$G$212=$R23) * ($G$6:$G$211=AR$9) )</f>
        <v>0</v>
      </c>
      <c r="AS23" s="868" cm="1">
        <f t="array" aca="1" ref="AS23" ca="1">SUM( ($G$7:$G$212=$R23) * ($G$6:$G$211=AS$9) )</f>
        <v>0</v>
      </c>
      <c r="AT23" s="868" cm="1">
        <f t="array" aca="1" ref="AT23" ca="1">SUM( ($G$7:$G$212=$R23) * ($G$6:$G$211=AT$9) )</f>
        <v>0</v>
      </c>
      <c r="AU23" s="868" cm="1">
        <f t="array" aca="1" ref="AU23" ca="1">SUM( ($G$7:$G$212=$R23) * ($G$6:$G$211=AU$9) )</f>
        <v>0</v>
      </c>
    </row>
    <row r="24" spans="2:119" x14ac:dyDescent="0.3">
      <c r="B24" s="89" vm="76">
        <f ca="1"/>
        <v>45952</v>
      </c>
      <c r="C24" s="89" vm="77">
        <f ca="1"/>
        <v>217.95</v>
      </c>
      <c r="D24" s="1210">
        <f t="shared" ca="1" si="0"/>
        <v>-1.8375895149304204E-2</v>
      </c>
      <c r="E24" s="294" t="str" cm="1">
        <f t="array" aca="1" ref="E24" ca="1">_xlfn.IFS(D24&gt;ZPercent,"U",D24&lt;=-ZPercent,"D",TRUE,"Z")</f>
        <v>D</v>
      </c>
      <c r="F24" s="294" t="str">
        <f t="shared" ca="1" si="1"/>
        <v>UD</v>
      </c>
      <c r="G24" s="294" t="str">
        <f t="shared" ca="1" si="2"/>
        <v>UUD</v>
      </c>
      <c r="H24" s="868" t="str">
        <f t="shared" ca="1" si="3"/>
        <v/>
      </c>
      <c r="J24" s="89" vm="78">
        <f ca="1"/>
        <v>45688</v>
      </c>
      <c r="K24" s="89" vm="79">
        <f ca="1"/>
        <v>237.68</v>
      </c>
      <c r="N24" s="868" t="str">
        <f ca="1">IF(F24=[2]Sheet1!O22,"","dif")</f>
        <v>dif</v>
      </c>
      <c r="R24" s="868" t="str">
        <f ca="1"/>
        <v>UZU</v>
      </c>
      <c r="S24" s="868" cm="1">
        <f t="array" aca="1" ref="S24" ca="1">SUM( ($G$7:$G$212=$R24) * ($G$6:$G$211=S$9) )</f>
        <v>0</v>
      </c>
      <c r="T24" s="868" cm="1">
        <f t="array" aca="1" ref="T24" ca="1">SUM( ($G$7:$G$212=$R24) * ($G$6:$G$211=T$9) )</f>
        <v>0</v>
      </c>
      <c r="U24" s="868" cm="1">
        <f t="array" aca="1" ref="U24" ca="1">SUM( ($G$7:$G$212=$R24) * ($G$6:$G$211=U$9) )</f>
        <v>0</v>
      </c>
      <c r="V24" s="868" cm="1">
        <f t="array" aca="1" ref="V24" ca="1">SUM( ($G$7:$G$212=$R24) * ($G$6:$G$211=V$9) )</f>
        <v>0</v>
      </c>
      <c r="W24" s="868" cm="1">
        <f t="array" aca="1" ref="W24" ca="1">SUM( ($G$7:$G$212=$R24) * ($G$6:$G$211=W$9) )</f>
        <v>0</v>
      </c>
      <c r="X24" s="868" cm="1">
        <f t="array" aca="1" ref="X24" ca="1">SUM( ($G$7:$G$212=$R24) * ($G$6:$G$211=X$9) )</f>
        <v>0</v>
      </c>
      <c r="Y24" s="868" cm="1">
        <f t="array" aca="1" ref="Y24" ca="1">SUM( ($G$7:$G$212=$R24) * ($G$6:$G$211=Y$9) )</f>
        <v>0</v>
      </c>
      <c r="Z24" s="868" cm="1">
        <f t="array" aca="1" ref="Z24" ca="1">SUM( ($G$7:$G$212=$R24) * ($G$6:$G$211=Z$9) )</f>
        <v>0</v>
      </c>
      <c r="AA24" s="868" cm="1">
        <f t="array" aca="1" ref="AA24" ca="1">SUM( ($G$7:$G$212=$R24) * ($G$6:$G$211=AA$9) )</f>
        <v>0</v>
      </c>
      <c r="AB24" s="868" cm="1">
        <f t="array" aca="1" ref="AB24" ca="1">SUM( ($G$7:$G$212=$R24) * ($G$6:$G$211=AB$9) )</f>
        <v>0</v>
      </c>
      <c r="AC24" s="868" cm="1">
        <f t="array" aca="1" ref="AC24" ca="1">SUM( ($G$7:$G$212=$R24) * ($G$6:$G$211=AC$9) )</f>
        <v>0</v>
      </c>
      <c r="AD24" s="868" cm="1">
        <f t="array" aca="1" ref="AD24" ca="1">SUM( ($G$7:$G$212=$R24) * ($G$6:$G$211=AD$9) )</f>
        <v>0</v>
      </c>
      <c r="AE24" s="868" cm="1">
        <f t="array" aca="1" ref="AE24" ca="1">SUM( ($G$7:$G$212=$R24) * ($G$6:$G$211=AE$9) )</f>
        <v>0</v>
      </c>
      <c r="AF24" s="868" cm="1">
        <f t="array" aca="1" ref="AF24" ca="1">SUM( ($G$7:$G$212=$R24) * ($G$6:$G$211=AF$9) )</f>
        <v>4</v>
      </c>
      <c r="AG24" s="868" cm="1">
        <f t="array" aca="1" ref="AG24" ca="1">SUM( ($G$7:$G$212=$R24) * ($G$6:$G$211=AG$9) )</f>
        <v>0</v>
      </c>
      <c r="AH24" s="868" cm="1">
        <f t="array" aca="1" ref="AH24" ca="1">SUM( ($G$7:$G$212=$R24) * ($G$6:$G$211=AH$9) )</f>
        <v>0</v>
      </c>
      <c r="AI24" s="868" cm="1">
        <f t="array" aca="1" ref="AI24" ca="1">SUM( ($G$7:$G$212=$R24) * ($G$6:$G$211=AI$9) )</f>
        <v>2</v>
      </c>
      <c r="AJ24" s="868" cm="1">
        <f t="array" aca="1" ref="AJ24" ca="1">SUM( ($G$7:$G$212=$R24) * ($G$6:$G$211=AJ$9) )</f>
        <v>0</v>
      </c>
      <c r="AK24" s="868" cm="1">
        <f t="array" aca="1" ref="AK24" ca="1">SUM( ($G$7:$G$212=$R24) * ($G$6:$G$211=AK$9) )</f>
        <v>0</v>
      </c>
      <c r="AL24" s="868" cm="1">
        <f t="array" aca="1" ref="AL24" ca="1">SUM( ($G$7:$G$212=$R24) * ($G$6:$G$211=AL$9) )</f>
        <v>0</v>
      </c>
      <c r="AM24" s="868" cm="1">
        <f t="array" aca="1" ref="AM24" ca="1">SUM( ($G$7:$G$212=$R24) * ($G$6:$G$211=AM$9) )</f>
        <v>0</v>
      </c>
      <c r="AN24" s="868" cm="1">
        <f t="array" aca="1" ref="AN24" ca="1">SUM( ($G$7:$G$212=$R24) * ($G$6:$G$211=AN$9) )</f>
        <v>0</v>
      </c>
      <c r="AO24" s="868" cm="1">
        <f t="array" aca="1" ref="AO24" ca="1">SUM( ($G$7:$G$212=$R24) * ($G$6:$G$211=AO$9) )</f>
        <v>0</v>
      </c>
      <c r="AP24" s="868" cm="1">
        <f t="array" aca="1" ref="AP24" ca="1">SUM( ($G$7:$G$212=$R24) * ($G$6:$G$211=AP$9) )</f>
        <v>0</v>
      </c>
      <c r="AQ24" s="868" cm="1">
        <f t="array" aca="1" ref="AQ24" ca="1">SUM( ($G$7:$G$212=$R24) * ($G$6:$G$211=AQ$9) )</f>
        <v>0</v>
      </c>
      <c r="AR24" s="868" cm="1">
        <f t="array" aca="1" ref="AR24" ca="1">SUM( ($G$7:$G$212=$R24) * ($G$6:$G$211=AR$9) )</f>
        <v>0</v>
      </c>
      <c r="AS24" s="868" cm="1">
        <f t="array" aca="1" ref="AS24" ca="1">SUM( ($G$7:$G$212=$R24) * ($G$6:$G$211=AS$9) )</f>
        <v>2</v>
      </c>
      <c r="AT24" s="868" cm="1">
        <f t="array" aca="1" ref="AT24" ca="1">SUM( ($G$7:$G$212=$R24) * ($G$6:$G$211=AT$9) )</f>
        <v>0</v>
      </c>
      <c r="AU24" s="868" cm="1">
        <f t="array" aca="1" ref="AU24" ca="1">SUM( ($G$7:$G$212=$R24) * ($G$6:$G$211=AU$9) )</f>
        <v>0</v>
      </c>
    </row>
    <row r="25" spans="2:119" ht="21" customHeight="1" x14ac:dyDescent="0.3">
      <c r="B25" s="89" vm="80">
        <f ca="1"/>
        <v>45951</v>
      </c>
      <c r="C25" s="89" vm="81">
        <f ca="1"/>
        <v>222.03</v>
      </c>
      <c r="D25" s="1210">
        <f t="shared" ca="1" si="0"/>
        <v>2.56374722838138E-2</v>
      </c>
      <c r="E25" s="294" t="str" cm="1">
        <f t="array" aca="1" ref="E25" ca="1">_xlfn.IFS(D25&gt;ZPercent,"U",D25&lt;=-ZPercent,"D",TRUE,"Z")</f>
        <v>U</v>
      </c>
      <c r="F25" s="294" t="str">
        <f t="shared" ca="1" si="1"/>
        <v>UU</v>
      </c>
      <c r="G25" s="294" t="str">
        <f t="shared" ca="1" si="2"/>
        <v>DUU</v>
      </c>
      <c r="H25" s="868" t="str">
        <f t="shared" ca="1" si="3"/>
        <v/>
      </c>
      <c r="J25" s="89" vm="82">
        <f ca="1"/>
        <v>45691</v>
      </c>
      <c r="K25" s="89" vm="83">
        <f ca="1"/>
        <v>237.42</v>
      </c>
      <c r="N25" s="868" t="str">
        <f ca="1">IF(F25=[2]Sheet1!O23,"","dif")</f>
        <v/>
      </c>
      <c r="R25" s="868" t="str">
        <f ca="1"/>
        <v>DUZ</v>
      </c>
      <c r="S25" s="868" cm="1">
        <f t="array" aca="1" ref="S25" ca="1">SUM( ($G$7:$G$212=$R25) * ($G$6:$G$211=S$9) )</f>
        <v>0</v>
      </c>
      <c r="T25" s="868" cm="1">
        <f t="array" aca="1" ref="T25" ca="1">SUM( ($G$7:$G$212=$R25) * ($G$6:$G$211=T$9) )</f>
        <v>0</v>
      </c>
      <c r="U25" s="868" cm="1">
        <f t="array" aca="1" ref="U25" ca="1">SUM( ($G$7:$G$212=$R25) * ($G$6:$G$211=U$9) )</f>
        <v>2</v>
      </c>
      <c r="V25" s="868" cm="1">
        <f t="array" aca="1" ref="V25" ca="1">SUM( ($G$7:$G$212=$R25) * ($G$6:$G$211=V$9) )</f>
        <v>0</v>
      </c>
      <c r="W25" s="868" cm="1">
        <f t="array" aca="1" ref="W25" ca="1">SUM( ($G$7:$G$212=$R25) * ($G$6:$G$211=W$9) )</f>
        <v>0</v>
      </c>
      <c r="X25" s="868" cm="1">
        <f t="array" aca="1" ref="X25" ca="1">SUM( ($G$7:$G$212=$R25) * ($G$6:$G$211=X$9) )</f>
        <v>0</v>
      </c>
      <c r="Y25" s="868" cm="1">
        <f t="array" aca="1" ref="Y25" ca="1">SUM( ($G$7:$G$212=$R25) * ($G$6:$G$211=Y$9) )</f>
        <v>0</v>
      </c>
      <c r="Z25" s="868" cm="1">
        <f t="array" aca="1" ref="Z25" ca="1">SUM( ($G$7:$G$212=$R25) * ($G$6:$G$211=Z$9) )</f>
        <v>0</v>
      </c>
      <c r="AA25" s="868" cm="1">
        <f t="array" aca="1" ref="AA25" ca="1">SUM( ($G$7:$G$212=$R25) * ($G$6:$G$211=AA$9) )</f>
        <v>0</v>
      </c>
      <c r="AB25" s="868" cm="1">
        <f t="array" aca="1" ref="AB25" ca="1">SUM( ($G$7:$G$212=$R25) * ($G$6:$G$211=AB$9) )</f>
        <v>0</v>
      </c>
      <c r="AC25" s="868" cm="1">
        <f t="array" aca="1" ref="AC25" ca="1">SUM( ($G$7:$G$212=$R25) * ($G$6:$G$211=AC$9) )</f>
        <v>0</v>
      </c>
      <c r="AD25" s="868" cm="1">
        <f t="array" aca="1" ref="AD25" ca="1">SUM( ($G$7:$G$212=$R25) * ($G$6:$G$211=AD$9) )</f>
        <v>0</v>
      </c>
      <c r="AE25" s="868" cm="1">
        <f t="array" aca="1" ref="AE25" ca="1">SUM( ($G$7:$G$212=$R25) * ($G$6:$G$211=AE$9) )</f>
        <v>0</v>
      </c>
      <c r="AF25" s="868" cm="1">
        <f t="array" aca="1" ref="AF25" ca="1">SUM( ($G$7:$G$212=$R25) * ($G$6:$G$211=AF$9) )</f>
        <v>0</v>
      </c>
      <c r="AG25" s="868" cm="1">
        <f t="array" aca="1" ref="AG25" ca="1">SUM( ($G$7:$G$212=$R25) * ($G$6:$G$211=AG$9) )</f>
        <v>5</v>
      </c>
      <c r="AH25" s="868" cm="1">
        <f t="array" aca="1" ref="AH25" ca="1">SUM( ($G$7:$G$212=$R25) * ($G$6:$G$211=AH$9) )</f>
        <v>0</v>
      </c>
      <c r="AI25" s="868" cm="1">
        <f t="array" aca="1" ref="AI25" ca="1">SUM( ($G$7:$G$212=$R25) * ($G$6:$G$211=AI$9) )</f>
        <v>0</v>
      </c>
      <c r="AJ25" s="868" cm="1">
        <f t="array" aca="1" ref="AJ25" ca="1">SUM( ($G$7:$G$212=$R25) * ($G$6:$G$211=AJ$9) )</f>
        <v>0</v>
      </c>
      <c r="AK25" s="868" cm="1">
        <f t="array" aca="1" ref="AK25" ca="1">SUM( ($G$7:$G$212=$R25) * ($G$6:$G$211=AK$9) )</f>
        <v>0</v>
      </c>
      <c r="AL25" s="868" cm="1">
        <f t="array" aca="1" ref="AL25" ca="1">SUM( ($G$7:$G$212=$R25) * ($G$6:$G$211=AL$9) )</f>
        <v>0</v>
      </c>
      <c r="AM25" s="868" cm="1">
        <f t="array" aca="1" ref="AM25" ca="1">SUM( ($G$7:$G$212=$R25) * ($G$6:$G$211=AM$9) )</f>
        <v>0</v>
      </c>
      <c r="AN25" s="868" cm="1">
        <f t="array" aca="1" ref="AN25" ca="1">SUM( ($G$7:$G$212=$R25) * ($G$6:$G$211=AN$9) )</f>
        <v>0</v>
      </c>
      <c r="AO25" s="868" cm="1">
        <f t="array" aca="1" ref="AO25" ca="1">SUM( ($G$7:$G$212=$R25) * ($G$6:$G$211=AO$9) )</f>
        <v>0</v>
      </c>
      <c r="AP25" s="868" cm="1">
        <f t="array" aca="1" ref="AP25" ca="1">SUM( ($G$7:$G$212=$R25) * ($G$6:$G$211=AP$9) )</f>
        <v>0</v>
      </c>
      <c r="AQ25" s="868" cm="1">
        <f t="array" aca="1" ref="AQ25" ca="1">SUM( ($G$7:$G$212=$R25) * ($G$6:$G$211=AQ$9) )</f>
        <v>1</v>
      </c>
      <c r="AR25" s="868" cm="1">
        <f t="array" aca="1" ref="AR25" ca="1">SUM( ($G$7:$G$212=$R25) * ($G$6:$G$211=AR$9) )</f>
        <v>0</v>
      </c>
      <c r="AS25" s="868" cm="1">
        <f t="array" aca="1" ref="AS25" ca="1">SUM( ($G$7:$G$212=$R25) * ($G$6:$G$211=AS$9) )</f>
        <v>0</v>
      </c>
      <c r="AT25" s="868" cm="1">
        <f t="array" aca="1" ref="AT25" ca="1">SUM( ($G$7:$G$212=$R25) * ($G$6:$G$211=AT$9) )</f>
        <v>0</v>
      </c>
      <c r="AU25" s="868" cm="1">
        <f t="array" aca="1" ref="AU25" ca="1">SUM( ($G$7:$G$212=$R25) * ($G$6:$G$211=AU$9) )</f>
        <v>0</v>
      </c>
    </row>
    <row r="26" spans="2:119" ht="21" customHeight="1" x14ac:dyDescent="0.3">
      <c r="B26" s="89" vm="84">
        <f ca="1"/>
        <v>45950</v>
      </c>
      <c r="C26" s="89" vm="85">
        <f ca="1"/>
        <v>216.48</v>
      </c>
      <c r="D26" s="1210">
        <f t="shared" ca="1" si="0"/>
        <v>1.6147202403304535E-2</v>
      </c>
      <c r="E26" s="294" t="str" cm="1">
        <f t="array" aca="1" ref="E26" ca="1">_xlfn.IFS(D26&gt;ZPercent,"U",D26&lt;=-ZPercent,"D",TRUE,"Z")</f>
        <v>U</v>
      </c>
      <c r="F26" s="294" t="str">
        <f t="shared" ca="1" si="1"/>
        <v>DU</v>
      </c>
      <c r="G26" s="294" t="str">
        <f t="shared" ca="1" si="2"/>
        <v>DDU</v>
      </c>
      <c r="H26" s="868" t="str">
        <f t="shared" ca="1" si="3"/>
        <v/>
      </c>
      <c r="J26" s="89" vm="86">
        <f ca="1"/>
        <v>45692</v>
      </c>
      <c r="K26" s="89" vm="87">
        <f ca="1"/>
        <v>242.06</v>
      </c>
      <c r="N26" s="868" t="str">
        <f ca="1">IF(F26=[2]Sheet1!O24,"","dif")</f>
        <v>dif</v>
      </c>
      <c r="R26" s="868" t="str">
        <f ca="1"/>
        <v>ZUD</v>
      </c>
      <c r="S26" s="868" cm="1">
        <f t="array" aca="1" ref="S26" ca="1">SUM( ($G$7:$G$212=$R26) * ($G$6:$G$211=S$9) )</f>
        <v>0</v>
      </c>
      <c r="T26" s="868" cm="1">
        <f t="array" aca="1" ref="T26" ca="1">SUM( ($G$7:$G$212=$R26) * ($G$6:$G$211=T$9) )</f>
        <v>0</v>
      </c>
      <c r="U26" s="868" cm="1">
        <f t="array" aca="1" ref="U26" ca="1">SUM( ($G$7:$G$212=$R26) * ($G$6:$G$211=U$9) )</f>
        <v>0</v>
      </c>
      <c r="V26" s="868" cm="1">
        <f t="array" aca="1" ref="V26" ca="1">SUM( ($G$7:$G$212=$R26) * ($G$6:$G$211=V$9) )</f>
        <v>0</v>
      </c>
      <c r="W26" s="868" cm="1">
        <f t="array" aca="1" ref="W26" ca="1">SUM( ($G$7:$G$212=$R26) * ($G$6:$G$211=W$9) )</f>
        <v>0</v>
      </c>
      <c r="X26" s="868" cm="1">
        <f t="array" aca="1" ref="X26" ca="1">SUM( ($G$7:$G$212=$R26) * ($G$6:$G$211=X$9) )</f>
        <v>0</v>
      </c>
      <c r="Y26" s="868" cm="1">
        <f t="array" aca="1" ref="Y26" ca="1">SUM( ($G$7:$G$212=$R26) * ($G$6:$G$211=Y$9) )</f>
        <v>0</v>
      </c>
      <c r="Z26" s="868" cm="1">
        <f t="array" aca="1" ref="Z26" ca="1">SUM( ($G$7:$G$212=$R26) * ($G$6:$G$211=Z$9) )</f>
        <v>1</v>
      </c>
      <c r="AA26" s="868" cm="1">
        <f t="array" aca="1" ref="AA26" ca="1">SUM( ($G$7:$G$212=$R26) * ($G$6:$G$211=AA$9) )</f>
        <v>0</v>
      </c>
      <c r="AB26" s="868" cm="1">
        <f t="array" aca="1" ref="AB26" ca="1">SUM( ($G$7:$G$212=$R26) * ($G$6:$G$211=AB$9) )</f>
        <v>0</v>
      </c>
      <c r="AC26" s="868" cm="1">
        <f t="array" aca="1" ref="AC26" ca="1">SUM( ($G$7:$G$212=$R26) * ($G$6:$G$211=AC$9) )</f>
        <v>4</v>
      </c>
      <c r="AD26" s="868" cm="1">
        <f t="array" aca="1" ref="AD26" ca="1">SUM( ($G$7:$G$212=$R26) * ($G$6:$G$211=AD$9) )</f>
        <v>0</v>
      </c>
      <c r="AE26" s="868" cm="1">
        <f t="array" aca="1" ref="AE26" ca="1">SUM( ($G$7:$G$212=$R26) * ($G$6:$G$211=AE$9) )</f>
        <v>0</v>
      </c>
      <c r="AF26" s="868" cm="1">
        <f t="array" aca="1" ref="AF26" ca="1">SUM( ($G$7:$G$212=$R26) * ($G$6:$G$211=AF$9) )</f>
        <v>0</v>
      </c>
      <c r="AG26" s="868" cm="1">
        <f t="array" aca="1" ref="AG26" ca="1">SUM( ($G$7:$G$212=$R26) * ($G$6:$G$211=AG$9) )</f>
        <v>0</v>
      </c>
      <c r="AH26" s="868" cm="1">
        <f t="array" aca="1" ref="AH26" ca="1">SUM( ($G$7:$G$212=$R26) * ($G$6:$G$211=AH$9) )</f>
        <v>0</v>
      </c>
      <c r="AI26" s="868" cm="1">
        <f t="array" aca="1" ref="AI26" ca="1">SUM( ($G$7:$G$212=$R26) * ($G$6:$G$211=AI$9) )</f>
        <v>0</v>
      </c>
      <c r="AJ26" s="868" cm="1">
        <f t="array" aca="1" ref="AJ26" ca="1">SUM( ($G$7:$G$212=$R26) * ($G$6:$G$211=AJ$9) )</f>
        <v>0</v>
      </c>
      <c r="AK26" s="868" cm="1">
        <f t="array" aca="1" ref="AK26" ca="1">SUM( ($G$7:$G$212=$R26) * ($G$6:$G$211=AK$9) )</f>
        <v>0</v>
      </c>
      <c r="AL26" s="868" cm="1">
        <f t="array" aca="1" ref="AL26" ca="1">SUM( ($G$7:$G$212=$R26) * ($G$6:$G$211=AL$9) )</f>
        <v>0</v>
      </c>
      <c r="AM26" s="868" cm="1">
        <f t="array" aca="1" ref="AM26" ca="1">SUM( ($G$7:$G$212=$R26) * ($G$6:$G$211=AM$9) )</f>
        <v>0</v>
      </c>
      <c r="AN26" s="868" cm="1">
        <f t="array" aca="1" ref="AN26" ca="1">SUM( ($G$7:$G$212=$R26) * ($G$6:$G$211=AN$9) )</f>
        <v>2</v>
      </c>
      <c r="AO26" s="868" cm="1">
        <f t="array" aca="1" ref="AO26" ca="1">SUM( ($G$7:$G$212=$R26) * ($G$6:$G$211=AO$9) )</f>
        <v>0</v>
      </c>
      <c r="AP26" s="868" cm="1">
        <f t="array" aca="1" ref="AP26" ca="1">SUM( ($G$7:$G$212=$R26) * ($G$6:$G$211=AP$9) )</f>
        <v>0</v>
      </c>
      <c r="AQ26" s="868" cm="1">
        <f t="array" aca="1" ref="AQ26" ca="1">SUM( ($G$7:$G$212=$R26) * ($G$6:$G$211=AQ$9) )</f>
        <v>0</v>
      </c>
      <c r="AR26" s="868" cm="1">
        <f t="array" aca="1" ref="AR26" ca="1">SUM( ($G$7:$G$212=$R26) * ($G$6:$G$211=AR$9) )</f>
        <v>0</v>
      </c>
      <c r="AS26" s="868" cm="1">
        <f t="array" aca="1" ref="AS26" ca="1">SUM( ($G$7:$G$212=$R26) * ($G$6:$G$211=AS$9) )</f>
        <v>0</v>
      </c>
      <c r="AT26" s="868" cm="1">
        <f t="array" aca="1" ref="AT26" ca="1">SUM( ($G$7:$G$212=$R26) * ($G$6:$G$211=AT$9) )</f>
        <v>0</v>
      </c>
      <c r="AU26" s="868" cm="1">
        <f t="array" aca="1" ref="AU26" ca="1">SUM( ($G$7:$G$212=$R26) * ($G$6:$G$211=AU$9) )</f>
        <v>0</v>
      </c>
    </row>
    <row r="27" spans="2:119" ht="21" customHeight="1" x14ac:dyDescent="0.3">
      <c r="B27" s="89" vm="88">
        <f ca="1"/>
        <v>45947</v>
      </c>
      <c r="C27" s="89" vm="89">
        <f ca="1"/>
        <v>213.04</v>
      </c>
      <c r="D27" s="1210">
        <f t="shared" ca="1" si="0"/>
        <v>-6.6675991980230656E-3</v>
      </c>
      <c r="E27" s="294" t="str" cm="1">
        <f t="array" aca="1" ref="E27" ca="1">_xlfn.IFS(D27&gt;ZPercent,"U",D27&lt;=-ZPercent,"D",TRUE,"Z")</f>
        <v>D</v>
      </c>
      <c r="F27" s="294" t="str">
        <f t="shared" ca="1" si="1"/>
        <v>DD</v>
      </c>
      <c r="G27" s="294" t="str">
        <f t="shared" ca="1" si="2"/>
        <v>ZDD</v>
      </c>
      <c r="H27" s="868" t="str">
        <f t="shared" ca="1" si="3"/>
        <v/>
      </c>
      <c r="J27" s="89" vm="90">
        <f ca="1"/>
        <v>45693</v>
      </c>
      <c r="K27" s="89" vm="91">
        <f ca="1"/>
        <v>236.17</v>
      </c>
      <c r="N27" s="868" t="str">
        <f ca="1">IF(F27=[2]Sheet1!O25,"","dif")</f>
        <v>dif</v>
      </c>
      <c r="R27" s="868" t="str">
        <f ca="1"/>
        <v>DZU</v>
      </c>
      <c r="S27" s="868" cm="1">
        <f t="array" aca="1" ref="S27" ca="1">SUM( ($G$7:$G$212=$R27) * ($G$6:$G$211=S$9) )</f>
        <v>0</v>
      </c>
      <c r="T27" s="868" cm="1">
        <f t="array" aca="1" ref="T27" ca="1">SUM( ($G$7:$G$212=$R27) * ($G$6:$G$211=T$9) )</f>
        <v>0</v>
      </c>
      <c r="U27" s="868" cm="1">
        <f t="array" aca="1" ref="U27" ca="1">SUM( ($G$7:$G$212=$R27) * ($G$6:$G$211=U$9) )</f>
        <v>0</v>
      </c>
      <c r="V27" s="868" cm="1">
        <f t="array" aca="1" ref="V27" ca="1">SUM( ($G$7:$G$212=$R27) * ($G$6:$G$211=V$9) )</f>
        <v>0</v>
      </c>
      <c r="W27" s="868" cm="1">
        <f t="array" aca="1" ref="W27" ca="1">SUM( ($G$7:$G$212=$R27) * ($G$6:$G$211=W$9) )</f>
        <v>0</v>
      </c>
      <c r="X27" s="868" cm="1">
        <f t="array" aca="1" ref="X27" ca="1">SUM( ($G$7:$G$212=$R27) * ($G$6:$G$211=X$9) )</f>
        <v>0</v>
      </c>
      <c r="Y27" s="868" cm="1">
        <f t="array" aca="1" ref="Y27" ca="1">SUM( ($G$7:$G$212=$R27) * ($G$6:$G$211=Y$9) )</f>
        <v>0</v>
      </c>
      <c r="Z27" s="868" cm="1">
        <f t="array" aca="1" ref="Z27" ca="1">SUM( ($G$7:$G$212=$R27) * ($G$6:$G$211=Z$9) )</f>
        <v>0</v>
      </c>
      <c r="AA27" s="868" cm="1">
        <f t="array" aca="1" ref="AA27" ca="1">SUM( ($G$7:$G$212=$R27) * ($G$6:$G$211=AA$9) )</f>
        <v>0</v>
      </c>
      <c r="AB27" s="868" cm="1">
        <f t="array" aca="1" ref="AB27" ca="1">SUM( ($G$7:$G$212=$R27) * ($G$6:$G$211=AB$9) )</f>
        <v>0</v>
      </c>
      <c r="AC27" s="868" cm="1">
        <f t="array" aca="1" ref="AC27" ca="1">SUM( ($G$7:$G$212=$R27) * ($G$6:$G$211=AC$9) )</f>
        <v>0</v>
      </c>
      <c r="AD27" s="868" cm="1">
        <f t="array" aca="1" ref="AD27" ca="1">SUM( ($G$7:$G$212=$R27) * ($G$6:$G$211=AD$9) )</f>
        <v>0</v>
      </c>
      <c r="AE27" s="868" cm="1">
        <f t="array" aca="1" ref="AE27" ca="1">SUM( ($G$7:$G$212=$R27) * ($G$6:$G$211=AE$9) )</f>
        <v>0</v>
      </c>
      <c r="AF27" s="868" cm="1">
        <f t="array" aca="1" ref="AF27" ca="1">SUM( ($G$7:$G$212=$R27) * ($G$6:$G$211=AF$9) )</f>
        <v>2</v>
      </c>
      <c r="AG27" s="868" cm="1">
        <f t="array" aca="1" ref="AG27" ca="1">SUM( ($G$7:$G$212=$R27) * ($G$6:$G$211=AG$9) )</f>
        <v>0</v>
      </c>
      <c r="AH27" s="868" cm="1">
        <f t="array" aca="1" ref="AH27" ca="1">SUM( ($G$7:$G$212=$R27) * ($G$6:$G$211=AH$9) )</f>
        <v>0</v>
      </c>
      <c r="AI27" s="868" cm="1">
        <f t="array" aca="1" ref="AI27" ca="1">SUM( ($G$7:$G$212=$R27) * ($G$6:$G$211=AI$9) )</f>
        <v>4</v>
      </c>
      <c r="AJ27" s="868" cm="1">
        <f t="array" aca="1" ref="AJ27" ca="1">SUM( ($G$7:$G$212=$R27) * ($G$6:$G$211=AJ$9) )</f>
        <v>0</v>
      </c>
      <c r="AK27" s="868" cm="1">
        <f t="array" aca="1" ref="AK27" ca="1">SUM( ($G$7:$G$212=$R27) * ($G$6:$G$211=AK$9) )</f>
        <v>0</v>
      </c>
      <c r="AL27" s="868" cm="1">
        <f t="array" aca="1" ref="AL27" ca="1">SUM( ($G$7:$G$212=$R27) * ($G$6:$G$211=AL$9) )</f>
        <v>0</v>
      </c>
      <c r="AM27" s="868" cm="1">
        <f t="array" aca="1" ref="AM27" ca="1">SUM( ($G$7:$G$212=$R27) * ($G$6:$G$211=AM$9) )</f>
        <v>0</v>
      </c>
      <c r="AN27" s="868" cm="1">
        <f t="array" aca="1" ref="AN27" ca="1">SUM( ($G$7:$G$212=$R27) * ($G$6:$G$211=AN$9) )</f>
        <v>0</v>
      </c>
      <c r="AO27" s="868" cm="1">
        <f t="array" aca="1" ref="AO27" ca="1">SUM( ($G$7:$G$212=$R27) * ($G$6:$G$211=AO$9) )</f>
        <v>0</v>
      </c>
      <c r="AP27" s="868" cm="1">
        <f t="array" aca="1" ref="AP27" ca="1">SUM( ($G$7:$G$212=$R27) * ($G$6:$G$211=AP$9) )</f>
        <v>0</v>
      </c>
      <c r="AQ27" s="868" cm="1">
        <f t="array" aca="1" ref="AQ27" ca="1">SUM( ($G$7:$G$212=$R27) * ($G$6:$G$211=AQ$9) )</f>
        <v>0</v>
      </c>
      <c r="AR27" s="868" cm="1">
        <f t="array" aca="1" ref="AR27" ca="1">SUM( ($G$7:$G$212=$R27) * ($G$6:$G$211=AR$9) )</f>
        <v>0</v>
      </c>
      <c r="AS27" s="868" cm="1">
        <f t="array" aca="1" ref="AS27" ca="1">SUM( ($G$7:$G$212=$R27) * ($G$6:$G$211=AS$9) )</f>
        <v>1</v>
      </c>
      <c r="AT27" s="868" cm="1">
        <f t="array" aca="1" ref="AT27" ca="1">SUM( ($G$7:$G$212=$R27) * ($G$6:$G$211=AT$9) )</f>
        <v>0</v>
      </c>
      <c r="AU27" s="868" cm="1">
        <f t="array" aca="1" ref="AU27" ca="1">SUM( ($G$7:$G$212=$R27) * ($G$6:$G$211=AU$9) )</f>
        <v>0</v>
      </c>
    </row>
    <row r="28" spans="2:119" x14ac:dyDescent="0.3">
      <c r="B28" s="89" vm="92">
        <f ca="1"/>
        <v>45946</v>
      </c>
      <c r="C28" s="89" vm="93">
        <f ca="1"/>
        <v>214.47</v>
      </c>
      <c r="D28" s="1210">
        <f t="shared" ca="1" si="0"/>
        <v>-5.1027508465927279E-3</v>
      </c>
      <c r="E28" s="294" t="str" cm="1">
        <f t="array" aca="1" ref="E28" ca="1">_xlfn.IFS(D28&gt;ZPercent,"U",D28&lt;=-ZPercent,"D",TRUE,"Z")</f>
        <v>D</v>
      </c>
      <c r="F28" s="294" t="str">
        <f t="shared" ca="1" si="1"/>
        <v>ZD</v>
      </c>
      <c r="G28" s="294" t="str">
        <f t="shared" ca="1" si="2"/>
        <v>DZD</v>
      </c>
      <c r="H28" s="868" t="str">
        <f t="shared" ca="1" si="3"/>
        <v>ZZ</v>
      </c>
      <c r="J28" s="89" vm="94">
        <f ca="1"/>
        <v>45694</v>
      </c>
      <c r="K28" s="89" vm="95">
        <f ca="1"/>
        <v>238.83</v>
      </c>
      <c r="N28" s="868" t="str">
        <f ca="1">IF(F28=[2]Sheet1!O26,"","dif")</f>
        <v>dif</v>
      </c>
      <c r="R28" s="868" t="str">
        <f ca="1"/>
        <v>DDZ</v>
      </c>
      <c r="S28" s="868" cm="1">
        <f t="array" aca="1" ref="S28" ca="1">SUM( ($G$7:$G$212=$R28) * ($G$6:$G$211=S$9) )</f>
        <v>0</v>
      </c>
      <c r="T28" s="868" cm="1">
        <f t="array" aca="1" ref="T28" ca="1">SUM( ($G$7:$G$212=$R28) * ($G$6:$G$211=T$9) )</f>
        <v>0</v>
      </c>
      <c r="U28" s="868" cm="1">
        <f t="array" aca="1" ref="U28" ca="1">SUM( ($G$7:$G$212=$R28) * ($G$6:$G$211=U$9) )</f>
        <v>0</v>
      </c>
      <c r="V28" s="868" cm="1">
        <f t="array" aca="1" ref="V28" ca="1">SUM( ($G$7:$G$212=$R28) * ($G$6:$G$211=V$9) )</f>
        <v>0</v>
      </c>
      <c r="W28" s="868" cm="1">
        <f t="array" aca="1" ref="W28" ca="1">SUM( ($G$7:$G$212=$R28) * ($G$6:$G$211=W$9) )</f>
        <v>0</v>
      </c>
      <c r="X28" s="868" cm="1">
        <f t="array" aca="1" ref="X28" ca="1">SUM( ($G$7:$G$212=$R28) * ($G$6:$G$211=X$9) )</f>
        <v>0</v>
      </c>
      <c r="Y28" s="868" cm="1">
        <f t="array" aca="1" ref="Y28" ca="1">SUM( ($G$7:$G$212=$R28) * ($G$6:$G$211=Y$9) )</f>
        <v>2</v>
      </c>
      <c r="Z28" s="868" cm="1">
        <f t="array" aca="1" ref="Z28" ca="1">SUM( ($G$7:$G$212=$R28) * ($G$6:$G$211=Z$9) )</f>
        <v>0</v>
      </c>
      <c r="AA28" s="868" cm="1">
        <f t="array" aca="1" ref="AA28" ca="1">SUM( ($G$7:$G$212=$R28) * ($G$6:$G$211=AA$9) )</f>
        <v>0</v>
      </c>
      <c r="AB28" s="868" cm="1">
        <f t="array" aca="1" ref="AB28" ca="1">SUM( ($G$7:$G$212=$R28) * ($G$6:$G$211=AB$9) )</f>
        <v>0</v>
      </c>
      <c r="AC28" s="868" cm="1">
        <f t="array" aca="1" ref="AC28" ca="1">SUM( ($G$7:$G$212=$R28) * ($G$6:$G$211=AC$9) )</f>
        <v>0</v>
      </c>
      <c r="AD28" s="868" cm="1">
        <f t="array" aca="1" ref="AD28" ca="1">SUM( ($G$7:$G$212=$R28) * ($G$6:$G$211=AD$9) )</f>
        <v>0</v>
      </c>
      <c r="AE28" s="868" cm="1">
        <f t="array" aca="1" ref="AE28" ca="1">SUM( ($G$7:$G$212=$R28) * ($G$6:$G$211=AE$9) )</f>
        <v>0</v>
      </c>
      <c r="AF28" s="868" cm="1">
        <f t="array" aca="1" ref="AF28" ca="1">SUM( ($G$7:$G$212=$R28) * ($G$6:$G$211=AF$9) )</f>
        <v>0</v>
      </c>
      <c r="AG28" s="868" cm="1">
        <f t="array" aca="1" ref="AG28" ca="1">SUM( ($G$7:$G$212=$R28) * ($G$6:$G$211=AG$9) )</f>
        <v>0</v>
      </c>
      <c r="AH28" s="868" cm="1">
        <f t="array" aca="1" ref="AH28" ca="1">SUM( ($G$7:$G$212=$R28) * ($G$6:$G$211=AH$9) )</f>
        <v>0</v>
      </c>
      <c r="AI28" s="868" cm="1">
        <f t="array" aca="1" ref="AI28" ca="1">SUM( ($G$7:$G$212=$R28) * ($G$6:$G$211=AI$9) )</f>
        <v>0</v>
      </c>
      <c r="AJ28" s="868" cm="1">
        <f t="array" aca="1" ref="AJ28" ca="1">SUM( ($G$7:$G$212=$R28) * ($G$6:$G$211=AJ$9) )</f>
        <v>2</v>
      </c>
      <c r="AK28" s="868" cm="1">
        <f t="array" aca="1" ref="AK28" ca="1">SUM( ($G$7:$G$212=$R28) * ($G$6:$G$211=AK$9) )</f>
        <v>0</v>
      </c>
      <c r="AL28" s="868" cm="1">
        <f t="array" aca="1" ref="AL28" ca="1">SUM( ($G$7:$G$212=$R28) * ($G$6:$G$211=AL$9) )</f>
        <v>0</v>
      </c>
      <c r="AM28" s="868" cm="1">
        <f t="array" aca="1" ref="AM28" ca="1">SUM( ($G$7:$G$212=$R28) * ($G$6:$G$211=AM$9) )</f>
        <v>1</v>
      </c>
      <c r="AN28" s="868" cm="1">
        <f t="array" aca="1" ref="AN28" ca="1">SUM( ($G$7:$G$212=$R28) * ($G$6:$G$211=AN$9) )</f>
        <v>0</v>
      </c>
      <c r="AO28" s="868" cm="1">
        <f t="array" aca="1" ref="AO28" ca="1">SUM( ($G$7:$G$212=$R28) * ($G$6:$G$211=AO$9) )</f>
        <v>0</v>
      </c>
      <c r="AP28" s="868" cm="1">
        <f t="array" aca="1" ref="AP28" ca="1">SUM( ($G$7:$G$212=$R28) * ($G$6:$G$211=AP$9) )</f>
        <v>0</v>
      </c>
      <c r="AQ28" s="868" cm="1">
        <f t="array" aca="1" ref="AQ28" ca="1">SUM( ($G$7:$G$212=$R28) * ($G$6:$G$211=AQ$9) )</f>
        <v>0</v>
      </c>
      <c r="AR28" s="868" cm="1">
        <f t="array" aca="1" ref="AR28" ca="1">SUM( ($G$7:$G$212=$R28) * ($G$6:$G$211=AR$9) )</f>
        <v>0</v>
      </c>
      <c r="AS28" s="868" cm="1">
        <f t="array" aca="1" ref="AS28" ca="1">SUM( ($G$7:$G$212=$R28) * ($G$6:$G$211=AS$9) )</f>
        <v>0</v>
      </c>
      <c r="AT28" s="868" cm="1">
        <f t="array" aca="1" ref="AT28" ca="1">SUM( ($G$7:$G$212=$R28) * ($G$6:$G$211=AT$9) )</f>
        <v>0</v>
      </c>
      <c r="AU28" s="868" cm="1">
        <f t="array" aca="1" ref="AU28" ca="1">SUM( ($G$7:$G$212=$R28) * ($G$6:$G$211=AU$9) )</f>
        <v>0</v>
      </c>
    </row>
    <row r="29" spans="2:119" x14ac:dyDescent="0.3">
      <c r="B29" s="89" vm="96">
        <f ca="1"/>
        <v>45945</v>
      </c>
      <c r="C29" s="89" vm="97">
        <f ca="1"/>
        <v>215.57</v>
      </c>
      <c r="D29" s="1210">
        <f t="shared" ca="1" si="0"/>
        <v>-3.789454226165688E-3</v>
      </c>
      <c r="E29" s="294" t="str" cm="1">
        <f t="array" aca="1" ref="E29" ca="1">_xlfn.IFS(D29&gt;ZPercent,"U",D29&lt;=-ZPercent,"D",TRUE,"Z")</f>
        <v>Z</v>
      </c>
      <c r="F29" s="294" t="str">
        <f t="shared" ca="1" si="1"/>
        <v>DZ</v>
      </c>
      <c r="G29" s="294" t="str">
        <f t="shared" ca="1" si="2"/>
        <v>UDZ</v>
      </c>
      <c r="H29" s="868" t="str">
        <f t="shared" ca="1" si="3"/>
        <v/>
      </c>
      <c r="J29" s="89" vm="98">
        <f ca="1"/>
        <v>45695</v>
      </c>
      <c r="K29" s="89" vm="99">
        <f ca="1"/>
        <v>229.15</v>
      </c>
      <c r="N29" s="868" t="str">
        <f ca="1">IF(F29=[2]Sheet1!O27,"","dif")</f>
        <v>dif</v>
      </c>
      <c r="R29" s="868" t="str">
        <f ca="1"/>
        <v>ZZD</v>
      </c>
      <c r="S29" s="868" cm="1">
        <f t="array" aca="1" ref="S29" ca="1">SUM( ($G$7:$G$212=$R29) * ($G$6:$G$211=S$9) )</f>
        <v>0</v>
      </c>
      <c r="T29" s="868" cm="1">
        <f t="array" aca="1" ref="T29" ca="1">SUM( ($G$7:$G$212=$R29) * ($G$6:$G$211=T$9) )</f>
        <v>3</v>
      </c>
      <c r="U29" s="868" cm="1">
        <f t="array" aca="1" ref="U29" ca="1">SUM( ($G$7:$G$212=$R29) * ($G$6:$G$211=U$9) )</f>
        <v>0</v>
      </c>
      <c r="V29" s="868" cm="1">
        <f t="array" aca="1" ref="V29" ca="1">SUM( ($G$7:$G$212=$R29) * ($G$6:$G$211=V$9) )</f>
        <v>0</v>
      </c>
      <c r="W29" s="868" cm="1">
        <f t="array" aca="1" ref="W29" ca="1">SUM( ($G$7:$G$212=$R29) * ($G$6:$G$211=W$9) )</f>
        <v>0</v>
      </c>
      <c r="X29" s="868" cm="1">
        <f t="array" aca="1" ref="X29" ca="1">SUM( ($G$7:$G$212=$R29) * ($G$6:$G$211=X$9) )</f>
        <v>0</v>
      </c>
      <c r="Y29" s="868" cm="1">
        <f t="array" aca="1" ref="Y29" ca="1">SUM( ($G$7:$G$212=$R29) * ($G$6:$G$211=Y$9) )</f>
        <v>0</v>
      </c>
      <c r="Z29" s="868" cm="1">
        <f t="array" aca="1" ref="Z29" ca="1">SUM( ($G$7:$G$212=$R29) * ($G$6:$G$211=Z$9) )</f>
        <v>0</v>
      </c>
      <c r="AA29" s="868" cm="1">
        <f t="array" aca="1" ref="AA29" ca="1">SUM( ($G$7:$G$212=$R29) * ($G$6:$G$211=AA$9) )</f>
        <v>0</v>
      </c>
      <c r="AB29" s="868" cm="1">
        <f t="array" aca="1" ref="AB29" ca="1">SUM( ($G$7:$G$212=$R29) * ($G$6:$G$211=AB$9) )</f>
        <v>0</v>
      </c>
      <c r="AC29" s="868" cm="1">
        <f t="array" aca="1" ref="AC29" ca="1">SUM( ($G$7:$G$212=$R29) * ($G$6:$G$211=AC$9) )</f>
        <v>0</v>
      </c>
      <c r="AD29" s="868" cm="1">
        <f t="array" aca="1" ref="AD29" ca="1">SUM( ($G$7:$G$212=$R29) * ($G$6:$G$211=AD$9) )</f>
        <v>0</v>
      </c>
      <c r="AE29" s="868" cm="1">
        <f t="array" aca="1" ref="AE29" ca="1">SUM( ($G$7:$G$212=$R29) * ($G$6:$G$211=AE$9) )</f>
        <v>0</v>
      </c>
      <c r="AF29" s="868" cm="1">
        <f t="array" aca="1" ref="AF29" ca="1">SUM( ($G$7:$G$212=$R29) * ($G$6:$G$211=AF$9) )</f>
        <v>0</v>
      </c>
      <c r="AG29" s="868" cm="1">
        <f t="array" aca="1" ref="AG29" ca="1">SUM( ($G$7:$G$212=$R29) * ($G$6:$G$211=AG$9) )</f>
        <v>0</v>
      </c>
      <c r="AH29" s="868" cm="1">
        <f t="array" aca="1" ref="AH29" ca="1">SUM( ($G$7:$G$212=$R29) * ($G$6:$G$211=AH$9) )</f>
        <v>0</v>
      </c>
      <c r="AI29" s="868" cm="1">
        <f t="array" aca="1" ref="AI29" ca="1">SUM( ($G$7:$G$212=$R29) * ($G$6:$G$211=AI$9) )</f>
        <v>0</v>
      </c>
      <c r="AJ29" s="868" cm="1">
        <f t="array" aca="1" ref="AJ29" ca="1">SUM( ($G$7:$G$212=$R29) * ($G$6:$G$211=AJ$9) )</f>
        <v>0</v>
      </c>
      <c r="AK29" s="868" cm="1">
        <f t="array" aca="1" ref="AK29" ca="1">SUM( ($G$7:$G$212=$R29) * ($G$6:$G$211=AK$9) )</f>
        <v>0</v>
      </c>
      <c r="AL29" s="868" cm="1">
        <f t="array" aca="1" ref="AL29" ca="1">SUM( ($G$7:$G$212=$R29) * ($G$6:$G$211=AL$9) )</f>
        <v>0</v>
      </c>
      <c r="AM29" s="868" cm="1">
        <f t="array" aca="1" ref="AM29" ca="1">SUM( ($G$7:$G$212=$R29) * ($G$6:$G$211=AM$9) )</f>
        <v>0</v>
      </c>
      <c r="AN29" s="868" cm="1">
        <f t="array" aca="1" ref="AN29" ca="1">SUM( ($G$7:$G$212=$R29) * ($G$6:$G$211=AN$9) )</f>
        <v>0</v>
      </c>
      <c r="AO29" s="868" cm="1">
        <f t="array" aca="1" ref="AO29" ca="1">SUM( ($G$7:$G$212=$R29) * ($G$6:$G$211=AO$9) )</f>
        <v>0</v>
      </c>
      <c r="AP29" s="868" cm="1">
        <f t="array" aca="1" ref="AP29" ca="1">SUM( ($G$7:$G$212=$R29) * ($G$6:$G$211=AP$9) )</f>
        <v>0</v>
      </c>
      <c r="AQ29" s="868" cm="1">
        <f t="array" aca="1" ref="AQ29" ca="1">SUM( ($G$7:$G$212=$R29) * ($G$6:$G$211=AQ$9) )</f>
        <v>0</v>
      </c>
      <c r="AR29" s="868" cm="1">
        <f t="array" aca="1" ref="AR29" ca="1">SUM( ($G$7:$G$212=$R29) * ($G$6:$G$211=AR$9) )</f>
        <v>2</v>
      </c>
      <c r="AS29" s="868" cm="1">
        <f t="array" aca="1" ref="AS29" ca="1">SUM( ($G$7:$G$212=$R29) * ($G$6:$G$211=AS$9) )</f>
        <v>0</v>
      </c>
      <c r="AT29" s="868" cm="1">
        <f t="array" aca="1" ref="AT29" ca="1">SUM( ($G$7:$G$212=$R29) * ($G$6:$G$211=AT$9) )</f>
        <v>0</v>
      </c>
      <c r="AU29" s="868" cm="1">
        <f t="array" aca="1" ref="AU29" ca="1">SUM( ($G$7:$G$212=$R29) * ($G$6:$G$211=AU$9) )</f>
        <v>0</v>
      </c>
    </row>
    <row r="30" spans="2:119" x14ac:dyDescent="0.3">
      <c r="B30" s="89" vm="100">
        <f ca="1"/>
        <v>45944</v>
      </c>
      <c r="C30" s="89" vm="101">
        <f ca="1"/>
        <v>216.39</v>
      </c>
      <c r="D30" s="1210">
        <f t="shared" ca="1" si="0"/>
        <v>-1.6721952106148075E-2</v>
      </c>
      <c r="E30" s="294" t="str" cm="1">
        <f t="array" aca="1" ref="E30" ca="1">_xlfn.IFS(D30&gt;ZPercent,"U",D30&lt;=-ZPercent,"D",TRUE,"Z")</f>
        <v>D</v>
      </c>
      <c r="F30" s="294" t="str">
        <f t="shared" ca="1" si="1"/>
        <v>UD</v>
      </c>
      <c r="G30" s="294" t="str">
        <f t="shared" ca="1" si="2"/>
        <v>DUD</v>
      </c>
      <c r="H30" s="868" t="str">
        <f t="shared" ca="1" si="3"/>
        <v/>
      </c>
      <c r="J30" s="89" vm="102">
        <f ca="1"/>
        <v>45698</v>
      </c>
      <c r="K30" s="89" vm="103">
        <f ca="1"/>
        <v>233.14</v>
      </c>
      <c r="N30" s="868" t="str">
        <f ca="1">IF(F30=[2]Sheet1!O28,"","dif")</f>
        <v>dif</v>
      </c>
      <c r="R30" s="868" t="str">
        <f ca="1"/>
        <v>DZZ</v>
      </c>
      <c r="S30" s="868" cm="1">
        <f t="array" aca="1" ref="S30" ca="1">SUM( ($G$7:$G$212=$R30) * ($G$6:$G$211=S$9) )</f>
        <v>0</v>
      </c>
      <c r="T30" s="868" cm="1">
        <f t="array" aca="1" ref="T30" ca="1">SUM( ($G$7:$G$212=$R30) * ($G$6:$G$211=T$9) )</f>
        <v>0</v>
      </c>
      <c r="U30" s="868" cm="1">
        <f t="array" aca="1" ref="U30" ca="1">SUM( ($G$7:$G$212=$R30) * ($G$6:$G$211=U$9) )</f>
        <v>0</v>
      </c>
      <c r="V30" s="868" cm="1">
        <f t="array" aca="1" ref="V30" ca="1">SUM( ($G$7:$G$212=$R30) * ($G$6:$G$211=V$9) )</f>
        <v>0</v>
      </c>
      <c r="W30" s="868" cm="1">
        <f t="array" aca="1" ref="W30" ca="1">SUM( ($G$7:$G$212=$R30) * ($G$6:$G$211=W$9) )</f>
        <v>0</v>
      </c>
      <c r="X30" s="868" cm="1">
        <f t="array" aca="1" ref="X30" ca="1">SUM( ($G$7:$G$212=$R30) * ($G$6:$G$211=X$9) )</f>
        <v>0</v>
      </c>
      <c r="Y30" s="868" cm="1">
        <f t="array" aca="1" ref="Y30" ca="1">SUM( ($G$7:$G$212=$R30) * ($G$6:$G$211=Y$9) )</f>
        <v>0</v>
      </c>
      <c r="Z30" s="868" cm="1">
        <f t="array" aca="1" ref="Z30" ca="1">SUM( ($G$7:$G$212=$R30) * ($G$6:$G$211=Z$9) )</f>
        <v>0</v>
      </c>
      <c r="AA30" s="868" cm="1">
        <f t="array" aca="1" ref="AA30" ca="1">SUM( ($G$7:$G$212=$R30) * ($G$6:$G$211=AA$9) )</f>
        <v>0</v>
      </c>
      <c r="AB30" s="868" cm="1">
        <f t="array" aca="1" ref="AB30" ca="1">SUM( ($G$7:$G$212=$R30) * ($G$6:$G$211=AB$9) )</f>
        <v>0</v>
      </c>
      <c r="AC30" s="868" cm="1">
        <f t="array" aca="1" ref="AC30" ca="1">SUM( ($G$7:$G$212=$R30) * ($G$6:$G$211=AC$9) )</f>
        <v>0</v>
      </c>
      <c r="AD30" s="868" cm="1">
        <f t="array" aca="1" ref="AD30" ca="1">SUM( ($G$7:$G$212=$R30) * ($G$6:$G$211=AD$9) )</f>
        <v>0</v>
      </c>
      <c r="AE30" s="868" cm="1">
        <f t="array" aca="1" ref="AE30" ca="1">SUM( ($G$7:$G$212=$R30) * ($G$6:$G$211=AE$9) )</f>
        <v>0</v>
      </c>
      <c r="AF30" s="868" cm="1">
        <f t="array" aca="1" ref="AF30" ca="1">SUM( ($G$7:$G$212=$R30) * ($G$6:$G$211=AF$9) )</f>
        <v>0</v>
      </c>
      <c r="AG30" s="868" cm="1">
        <f t="array" aca="1" ref="AG30" ca="1">SUM( ($G$7:$G$212=$R30) * ($G$6:$G$211=AG$9) )</f>
        <v>0</v>
      </c>
      <c r="AH30" s="868" cm="1">
        <f t="array" aca="1" ref="AH30" ca="1">SUM( ($G$7:$G$212=$R30) * ($G$6:$G$211=AH$9) )</f>
        <v>0</v>
      </c>
      <c r="AI30" s="868" cm="1">
        <f t="array" aca="1" ref="AI30" ca="1">SUM( ($G$7:$G$212=$R30) * ($G$6:$G$211=AI$9) )</f>
        <v>0</v>
      </c>
      <c r="AJ30" s="868" cm="1">
        <f t="array" aca="1" ref="AJ30" ca="1">SUM( ($G$7:$G$212=$R30) * ($G$6:$G$211=AJ$9) )</f>
        <v>0</v>
      </c>
      <c r="AK30" s="868" cm="1">
        <f t="array" aca="1" ref="AK30" ca="1">SUM( ($G$7:$G$212=$R30) * ($G$6:$G$211=AK$9) )</f>
        <v>0</v>
      </c>
      <c r="AL30" s="868" cm="1">
        <f t="array" aca="1" ref="AL30" ca="1">SUM( ($G$7:$G$212=$R30) * ($G$6:$G$211=AL$9) )</f>
        <v>2</v>
      </c>
      <c r="AM30" s="868" cm="1">
        <f t="array" aca="1" ref="AM30" ca="1">SUM( ($G$7:$G$212=$R30) * ($G$6:$G$211=AM$9) )</f>
        <v>0</v>
      </c>
      <c r="AN30" s="868" cm="1">
        <f t="array" aca="1" ref="AN30" ca="1">SUM( ($G$7:$G$212=$R30) * ($G$6:$G$211=AN$9) )</f>
        <v>0</v>
      </c>
      <c r="AO30" s="868" cm="1">
        <f t="array" aca="1" ref="AO30" ca="1">SUM( ($G$7:$G$212=$R30) * ($G$6:$G$211=AO$9) )</f>
        <v>2</v>
      </c>
      <c r="AP30" s="868" cm="1">
        <f t="array" aca="1" ref="AP30" ca="1">SUM( ($G$7:$G$212=$R30) * ($G$6:$G$211=AP$9) )</f>
        <v>0</v>
      </c>
      <c r="AQ30" s="868" cm="1">
        <f t="array" aca="1" ref="AQ30" ca="1">SUM( ($G$7:$G$212=$R30) * ($G$6:$G$211=AQ$9) )</f>
        <v>0</v>
      </c>
      <c r="AR30" s="868" cm="1">
        <f t="array" aca="1" ref="AR30" ca="1">SUM( ($G$7:$G$212=$R30) * ($G$6:$G$211=AR$9) )</f>
        <v>0</v>
      </c>
      <c r="AS30" s="868" cm="1">
        <f t="array" aca="1" ref="AS30" ca="1">SUM( ($G$7:$G$212=$R30) * ($G$6:$G$211=AS$9) )</f>
        <v>0</v>
      </c>
      <c r="AT30" s="868" cm="1">
        <f t="array" aca="1" ref="AT30" ca="1">SUM( ($G$7:$G$212=$R30) * ($G$6:$G$211=AT$9) )</f>
        <v>0</v>
      </c>
      <c r="AU30" s="868" cm="1">
        <f t="array" aca="1" ref="AU30" ca="1">SUM( ($G$7:$G$212=$R30) * ($G$6:$G$211=AU$9) )</f>
        <v>0</v>
      </c>
    </row>
    <row r="31" spans="2:119" x14ac:dyDescent="0.3">
      <c r="B31" s="89" vm="104">
        <f ca="1"/>
        <v>45943</v>
      </c>
      <c r="C31" s="89" vm="105">
        <f ca="1"/>
        <v>220.07</v>
      </c>
      <c r="D31" s="1210">
        <f t="shared" ca="1" si="0"/>
        <v>1.7100337385034841E-2</v>
      </c>
      <c r="E31" s="294" t="str" cm="1">
        <f t="array" aca="1" ref="E31" ca="1">_xlfn.IFS(D31&gt;ZPercent,"U",D31&lt;=-ZPercent,"D",TRUE,"Z")</f>
        <v>U</v>
      </c>
      <c r="F31" s="294" t="str">
        <f t="shared" ca="1" si="1"/>
        <v>DU</v>
      </c>
      <c r="G31" s="294" t="str">
        <f t="shared" ca="1" si="2"/>
        <v>UDU</v>
      </c>
      <c r="H31" s="868" t="str">
        <f t="shared" ca="1" si="3"/>
        <v/>
      </c>
      <c r="J31" s="89" vm="106">
        <f ca="1"/>
        <v>45699</v>
      </c>
      <c r="K31" s="89" vm="107">
        <f ca="1"/>
        <v>232.76</v>
      </c>
      <c r="N31" s="868" t="str">
        <f ca="1">IF(F31=[2]Sheet1!O29,"","dif")</f>
        <v>dif</v>
      </c>
      <c r="R31" s="868" t="str">
        <f ca="1"/>
        <v>UDD</v>
      </c>
      <c r="S31" s="868" cm="1">
        <f t="array" aca="1" ref="S31" ca="1">SUM( ($G$7:$G$212=$R31) * ($G$6:$G$211=S$9) )</f>
        <v>3</v>
      </c>
      <c r="T31" s="868" cm="1">
        <f t="array" aca="1" ref="T31" ca="1">SUM( ($G$7:$G$212=$R31) * ($G$6:$G$211=T$9) )</f>
        <v>0</v>
      </c>
      <c r="U31" s="868" cm="1">
        <f t="array" aca="1" ref="U31" ca="1">SUM( ($G$7:$G$212=$R31) * ($G$6:$G$211=U$9) )</f>
        <v>0</v>
      </c>
      <c r="V31" s="868" cm="1">
        <f t="array" aca="1" ref="V31" ca="1">SUM( ($G$7:$G$212=$R31) * ($G$6:$G$211=V$9) )</f>
        <v>0</v>
      </c>
      <c r="W31" s="868" cm="1">
        <f t="array" aca="1" ref="W31" ca="1">SUM( ($G$7:$G$212=$R31) * ($G$6:$G$211=W$9) )</f>
        <v>0</v>
      </c>
      <c r="X31" s="868" cm="1">
        <f t="array" aca="1" ref="X31" ca="1">SUM( ($G$7:$G$212=$R31) * ($G$6:$G$211=X$9) )</f>
        <v>0</v>
      </c>
      <c r="Y31" s="868" cm="1">
        <f t="array" aca="1" ref="Y31" ca="1">SUM( ($G$7:$G$212=$R31) * ($G$6:$G$211=Y$9) )</f>
        <v>0</v>
      </c>
      <c r="Z31" s="868" cm="1">
        <f t="array" aca="1" ref="Z31" ca="1">SUM( ($G$7:$G$212=$R31) * ($G$6:$G$211=Z$9) )</f>
        <v>0</v>
      </c>
      <c r="AA31" s="868" cm="1">
        <f t="array" aca="1" ref="AA31" ca="1">SUM( ($G$7:$G$212=$R31) * ($G$6:$G$211=AA$9) )</f>
        <v>0</v>
      </c>
      <c r="AB31" s="868" cm="1">
        <f t="array" aca="1" ref="AB31" ca="1">SUM( ($G$7:$G$212=$R31) * ($G$6:$G$211=AB$9) )</f>
        <v>0</v>
      </c>
      <c r="AC31" s="868" cm="1">
        <f t="array" aca="1" ref="AC31" ca="1">SUM( ($G$7:$G$212=$R31) * ($G$6:$G$211=AC$9) )</f>
        <v>0</v>
      </c>
      <c r="AD31" s="868" cm="1">
        <f t="array" aca="1" ref="AD31" ca="1">SUM( ($G$7:$G$212=$R31) * ($G$6:$G$211=AD$9) )</f>
        <v>4</v>
      </c>
      <c r="AE31" s="868" cm="1">
        <f t="array" aca="1" ref="AE31" ca="1">SUM( ($G$7:$G$212=$R31) * ($G$6:$G$211=AE$9) )</f>
        <v>0</v>
      </c>
      <c r="AF31" s="868" cm="1">
        <f t="array" aca="1" ref="AF31" ca="1">SUM( ($G$7:$G$212=$R31) * ($G$6:$G$211=AF$9) )</f>
        <v>0</v>
      </c>
      <c r="AG31" s="868" cm="1">
        <f t="array" aca="1" ref="AG31" ca="1">SUM( ($G$7:$G$212=$R31) * ($G$6:$G$211=AG$9) )</f>
        <v>0</v>
      </c>
      <c r="AH31" s="868" cm="1">
        <f t="array" aca="1" ref="AH31" ca="1">SUM( ($G$7:$G$212=$R31) * ($G$6:$G$211=AH$9) )</f>
        <v>0</v>
      </c>
      <c r="AI31" s="868" cm="1">
        <f t="array" aca="1" ref="AI31" ca="1">SUM( ($G$7:$G$212=$R31) * ($G$6:$G$211=AI$9) )</f>
        <v>0</v>
      </c>
      <c r="AJ31" s="868" cm="1">
        <f t="array" aca="1" ref="AJ31" ca="1">SUM( ($G$7:$G$212=$R31) * ($G$6:$G$211=AJ$9) )</f>
        <v>0</v>
      </c>
      <c r="AK31" s="868" cm="1">
        <f t="array" aca="1" ref="AK31" ca="1">SUM( ($G$7:$G$212=$R31) * ($G$6:$G$211=AK$9) )</f>
        <v>3</v>
      </c>
      <c r="AL31" s="868" cm="1">
        <f t="array" aca="1" ref="AL31" ca="1">SUM( ($G$7:$G$212=$R31) * ($G$6:$G$211=AL$9) )</f>
        <v>0</v>
      </c>
      <c r="AM31" s="868" cm="1">
        <f t="array" aca="1" ref="AM31" ca="1">SUM( ($G$7:$G$212=$R31) * ($G$6:$G$211=AM$9) )</f>
        <v>0</v>
      </c>
      <c r="AN31" s="868" cm="1">
        <f t="array" aca="1" ref="AN31" ca="1">SUM( ($G$7:$G$212=$R31) * ($G$6:$G$211=AN$9) )</f>
        <v>0</v>
      </c>
      <c r="AO31" s="868" cm="1">
        <f t="array" aca="1" ref="AO31" ca="1">SUM( ($G$7:$G$212=$R31) * ($G$6:$G$211=AO$9) )</f>
        <v>0</v>
      </c>
      <c r="AP31" s="868" cm="1">
        <f t="array" aca="1" ref="AP31" ca="1">SUM( ($G$7:$G$212=$R31) * ($G$6:$G$211=AP$9) )</f>
        <v>0</v>
      </c>
      <c r="AQ31" s="868" cm="1">
        <f t="array" aca="1" ref="AQ31" ca="1">SUM( ($G$7:$G$212=$R31) * ($G$6:$G$211=AQ$9) )</f>
        <v>0</v>
      </c>
      <c r="AR31" s="868" cm="1">
        <f t="array" aca="1" ref="AR31" ca="1">SUM( ($G$7:$G$212=$R31) * ($G$6:$G$211=AR$9) )</f>
        <v>0</v>
      </c>
      <c r="AS31" s="868" cm="1">
        <f t="array" aca="1" ref="AS31" ca="1">SUM( ($G$7:$G$212=$R31) * ($G$6:$G$211=AS$9) )</f>
        <v>0</v>
      </c>
      <c r="AT31" s="868" cm="1">
        <f t="array" aca="1" ref="AT31" ca="1">SUM( ($G$7:$G$212=$R31) * ($G$6:$G$211=AT$9) )</f>
        <v>0</v>
      </c>
      <c r="AU31" s="868" cm="1">
        <f t="array" aca="1" ref="AU31" ca="1">SUM( ($G$7:$G$212=$R31) * ($G$6:$G$211=AU$9) )</f>
        <v>0</v>
      </c>
    </row>
    <row r="32" spans="2:119" ht="24" customHeight="1" x14ac:dyDescent="0.3">
      <c r="B32" s="89" vm="108">
        <f ca="1"/>
        <v>45940</v>
      </c>
      <c r="C32" s="89" vm="109">
        <f ca="1"/>
        <v>216.37</v>
      </c>
      <c r="D32" s="1210">
        <f t="shared" ca="1" si="0"/>
        <v>-4.9925353473259E-2</v>
      </c>
      <c r="E32" s="294" t="str" cm="1">
        <f t="array" aca="1" ref="E32" ca="1">_xlfn.IFS(D32&gt;ZPercent,"U",D32&lt;=-ZPercent,"D",TRUE,"Z")</f>
        <v>D</v>
      </c>
      <c r="F32" s="294" t="str">
        <f t="shared" ca="1" si="1"/>
        <v>UD</v>
      </c>
      <c r="G32" s="294" t="str">
        <f t="shared" ca="1" si="2"/>
        <v>UUD</v>
      </c>
      <c r="H32" s="868" t="str">
        <f t="shared" ca="1" si="3"/>
        <v/>
      </c>
      <c r="J32" s="89" vm="110">
        <f ca="1"/>
        <v>45700</v>
      </c>
      <c r="K32" s="89" vm="111">
        <f ca="1"/>
        <v>228.93</v>
      </c>
      <c r="N32" s="868" t="str">
        <f ca="1">IF(F32=[2]Sheet1!O30,"","dif")</f>
        <v>dif</v>
      </c>
      <c r="R32" s="868" t="str">
        <f ca="1"/>
        <v>ZZU</v>
      </c>
      <c r="S32" s="868" cm="1">
        <f t="array" aca="1" ref="S32" ca="1">SUM( ($G$7:$G$212=$R32) * ($G$6:$G$211=S$9) )</f>
        <v>0</v>
      </c>
      <c r="T32" s="868" cm="1">
        <f t="array" aca="1" ref="T32" ca="1">SUM( ($G$7:$G$212=$R32) * ($G$6:$G$211=T$9) )</f>
        <v>0</v>
      </c>
      <c r="U32" s="868" cm="1">
        <f t="array" aca="1" ref="U32" ca="1">SUM( ($G$7:$G$212=$R32) * ($G$6:$G$211=U$9) )</f>
        <v>0</v>
      </c>
      <c r="V32" s="868" cm="1">
        <f t="array" aca="1" ref="V32" ca="1">SUM( ($G$7:$G$212=$R32) * ($G$6:$G$211=V$9) )</f>
        <v>0</v>
      </c>
      <c r="W32" s="868" cm="1">
        <f t="array" aca="1" ref="W32" ca="1">SUM( ($G$7:$G$212=$R32) * ($G$6:$G$211=W$9) )</f>
        <v>0</v>
      </c>
      <c r="X32" s="868" cm="1">
        <f t="array" aca="1" ref="X32" ca="1">SUM( ($G$7:$G$212=$R32) * ($G$6:$G$211=X$9) )</f>
        <v>0</v>
      </c>
      <c r="Y32" s="868" cm="1">
        <f t="array" aca="1" ref="Y32" ca="1">SUM( ($G$7:$G$212=$R32) * ($G$6:$G$211=Y$9) )</f>
        <v>0</v>
      </c>
      <c r="Z32" s="868" cm="1">
        <f t="array" aca="1" ref="Z32" ca="1">SUM( ($G$7:$G$212=$R32) * ($G$6:$G$211=Z$9) )</f>
        <v>0</v>
      </c>
      <c r="AA32" s="868" cm="1">
        <f t="array" aca="1" ref="AA32" ca="1">SUM( ($G$7:$G$212=$R32) * ($G$6:$G$211=AA$9) )</f>
        <v>0</v>
      </c>
      <c r="AB32" s="868" cm="1">
        <f t="array" aca="1" ref="AB32" ca="1">SUM( ($G$7:$G$212=$R32) * ($G$6:$G$211=AB$9) )</f>
        <v>0</v>
      </c>
      <c r="AC32" s="868" cm="1">
        <f t="array" aca="1" ref="AC32" ca="1">SUM( ($G$7:$G$212=$R32) * ($G$6:$G$211=AC$9) )</f>
        <v>0</v>
      </c>
      <c r="AD32" s="868" cm="1">
        <f t="array" aca="1" ref="AD32" ca="1">SUM( ($G$7:$G$212=$R32) * ($G$6:$G$211=AD$9) )</f>
        <v>0</v>
      </c>
      <c r="AE32" s="868" cm="1">
        <f t="array" aca="1" ref="AE32" ca="1">SUM( ($G$7:$G$212=$R32) * ($G$6:$G$211=AE$9) )</f>
        <v>0</v>
      </c>
      <c r="AF32" s="868" cm="1">
        <f t="array" aca="1" ref="AF32" ca="1">SUM( ($G$7:$G$212=$R32) * ($G$6:$G$211=AF$9) )</f>
        <v>0</v>
      </c>
      <c r="AG32" s="868" cm="1">
        <f t="array" aca="1" ref="AG32" ca="1">SUM( ($G$7:$G$212=$R32) * ($G$6:$G$211=AG$9) )</f>
        <v>0</v>
      </c>
      <c r="AH32" s="868" cm="1">
        <f t="array" aca="1" ref="AH32" ca="1">SUM( ($G$7:$G$212=$R32) * ($G$6:$G$211=AH$9) )</f>
        <v>0</v>
      </c>
      <c r="AI32" s="868" cm="1">
        <f t="array" aca="1" ref="AI32" ca="1">SUM( ($G$7:$G$212=$R32) * ($G$6:$G$211=AI$9) )</f>
        <v>1</v>
      </c>
      <c r="AJ32" s="868" cm="1">
        <f t="array" aca="1" ref="AJ32" ca="1">SUM( ($G$7:$G$212=$R32) * ($G$6:$G$211=AJ$9) )</f>
        <v>0</v>
      </c>
      <c r="AK32" s="868" cm="1">
        <f t="array" aca="1" ref="AK32" ca="1">SUM( ($G$7:$G$212=$R32) * ($G$6:$G$211=AK$9) )</f>
        <v>0</v>
      </c>
      <c r="AL32" s="868" cm="1">
        <f t="array" aca="1" ref="AL32" ca="1">SUM( ($G$7:$G$212=$R32) * ($G$6:$G$211=AL$9) )</f>
        <v>0</v>
      </c>
      <c r="AM32" s="868" cm="1">
        <f t="array" aca="1" ref="AM32" ca="1">SUM( ($G$7:$G$212=$R32) * ($G$6:$G$211=AM$9) )</f>
        <v>0</v>
      </c>
      <c r="AN32" s="868" cm="1">
        <f t="array" aca="1" ref="AN32" ca="1">SUM( ($G$7:$G$212=$R32) * ($G$6:$G$211=AN$9) )</f>
        <v>0</v>
      </c>
      <c r="AO32" s="868" cm="1">
        <f t="array" aca="1" ref="AO32" ca="1">SUM( ($G$7:$G$212=$R32) * ($G$6:$G$211=AO$9) )</f>
        <v>0</v>
      </c>
      <c r="AP32" s="868" cm="1">
        <f t="array" aca="1" ref="AP32" ca="1">SUM( ($G$7:$G$212=$R32) * ($G$6:$G$211=AP$9) )</f>
        <v>0</v>
      </c>
      <c r="AQ32" s="868" cm="1">
        <f t="array" aca="1" ref="AQ32" ca="1">SUM( ($G$7:$G$212=$R32) * ($G$6:$G$211=AQ$9) )</f>
        <v>0</v>
      </c>
      <c r="AR32" s="868" cm="1">
        <f t="array" aca="1" ref="AR32" ca="1">SUM( ($G$7:$G$212=$R32) * ($G$6:$G$211=AR$9) )</f>
        <v>0</v>
      </c>
      <c r="AS32" s="868" cm="1">
        <f t="array" aca="1" ref="AS32" ca="1">SUM( ($G$7:$G$212=$R32) * ($G$6:$G$211=AS$9) )</f>
        <v>3</v>
      </c>
      <c r="AT32" s="868" cm="1">
        <f t="array" aca="1" ref="AT32" ca="1">SUM( ($G$7:$G$212=$R32) * ($G$6:$G$211=AT$9) )</f>
        <v>0</v>
      </c>
      <c r="AU32" s="868" cm="1">
        <f t="array" aca="1" ref="AU32" ca="1">SUM( ($G$7:$G$212=$R32) * ($G$6:$G$211=AU$9) )</f>
        <v>0</v>
      </c>
    </row>
    <row r="33" spans="2:130" ht="23" customHeight="1" x14ac:dyDescent="0.3">
      <c r="B33" s="89" vm="112">
        <f ca="1"/>
        <v>45939</v>
      </c>
      <c r="C33" s="89" vm="113">
        <f ca="1"/>
        <v>227.74</v>
      </c>
      <c r="D33" s="1210">
        <f t="shared" ca="1" si="0"/>
        <v>1.1189059586182444E-2</v>
      </c>
      <c r="E33" s="294" t="str" cm="1">
        <f t="array" aca="1" ref="E33" ca="1">_xlfn.IFS(D33&gt;ZPercent,"U",D33&lt;=-ZPercent,"D",TRUE,"Z")</f>
        <v>U</v>
      </c>
      <c r="F33" s="294" t="str">
        <f t="shared" ca="1" si="1"/>
        <v>UU</v>
      </c>
      <c r="G33" s="294" t="str">
        <f t="shared" ca="1" si="2"/>
        <v>ZUU</v>
      </c>
      <c r="H33" s="868" t="str">
        <f t="shared" ca="1" si="3"/>
        <v/>
      </c>
      <c r="J33" s="89" vm="114">
        <f ca="1"/>
        <v>45701</v>
      </c>
      <c r="K33" s="89" vm="115">
        <f ca="1"/>
        <v>230.37</v>
      </c>
      <c r="N33" s="868" t="str">
        <f ca="1">IF(F33=[2]Sheet1!O31,"","dif")</f>
        <v>dif</v>
      </c>
      <c r="R33" s="868" t="str">
        <f ca="1"/>
        <v>ZZZ</v>
      </c>
      <c r="S33" s="868" cm="1">
        <f t="array" aca="1" ref="S33" ca="1">SUM( ($G$7:$G$212=$R33) * ($G$6:$G$211=S$9) )</f>
        <v>0</v>
      </c>
      <c r="T33" s="868" cm="1">
        <f t="array" aca="1" ref="T33" ca="1">SUM( ($G$7:$G$212=$R33) * ($G$6:$G$211=T$9) )</f>
        <v>0</v>
      </c>
      <c r="U33" s="868" cm="1">
        <f t="array" aca="1" ref="U33" ca="1">SUM( ($G$7:$G$212=$R33) * ($G$6:$G$211=U$9) )</f>
        <v>0</v>
      </c>
      <c r="V33" s="868" cm="1">
        <f t="array" aca="1" ref="V33" ca="1">SUM( ($G$7:$G$212=$R33) * ($G$6:$G$211=V$9) )</f>
        <v>0</v>
      </c>
      <c r="W33" s="868" cm="1">
        <f t="array" aca="1" ref="W33" ca="1">SUM( ($G$7:$G$212=$R33) * ($G$6:$G$211=W$9) )</f>
        <v>0</v>
      </c>
      <c r="X33" s="868" cm="1">
        <f t="array" aca="1" ref="X33" ca="1">SUM( ($G$7:$G$212=$R33) * ($G$6:$G$211=X$9) )</f>
        <v>0</v>
      </c>
      <c r="Y33" s="868" cm="1">
        <f t="array" aca="1" ref="Y33" ca="1">SUM( ($G$7:$G$212=$R33) * ($G$6:$G$211=Y$9) )</f>
        <v>0</v>
      </c>
      <c r="Z33" s="868" cm="1">
        <f t="array" aca="1" ref="Z33" ca="1">SUM( ($G$7:$G$212=$R33) * ($G$6:$G$211=Z$9) )</f>
        <v>0</v>
      </c>
      <c r="AA33" s="868" cm="1">
        <f t="array" aca="1" ref="AA33" ca="1">SUM( ($G$7:$G$212=$R33) * ($G$6:$G$211=AA$9) )</f>
        <v>0</v>
      </c>
      <c r="AB33" s="868" cm="1">
        <f t="array" aca="1" ref="AB33" ca="1">SUM( ($G$7:$G$212=$R33) * ($G$6:$G$211=AB$9) )</f>
        <v>0</v>
      </c>
      <c r="AC33" s="868" cm="1">
        <f t="array" aca="1" ref="AC33" ca="1">SUM( ($G$7:$G$212=$R33) * ($G$6:$G$211=AC$9) )</f>
        <v>0</v>
      </c>
      <c r="AD33" s="868" cm="1">
        <f t="array" aca="1" ref="AD33" ca="1">SUM( ($G$7:$G$212=$R33) * ($G$6:$G$211=AD$9) )</f>
        <v>0</v>
      </c>
      <c r="AE33" s="868" cm="1">
        <f t="array" aca="1" ref="AE33" ca="1">SUM( ($G$7:$G$212=$R33) * ($G$6:$G$211=AE$9) )</f>
        <v>0</v>
      </c>
      <c r="AF33" s="868" cm="1">
        <f t="array" aca="1" ref="AF33" ca="1">SUM( ($G$7:$G$212=$R33) * ($G$6:$G$211=AF$9) )</f>
        <v>0</v>
      </c>
      <c r="AG33" s="868" cm="1">
        <f t="array" aca="1" ref="AG33" ca="1">SUM( ($G$7:$G$212=$R33) * ($G$6:$G$211=AG$9) )</f>
        <v>0</v>
      </c>
      <c r="AH33" s="868" cm="1">
        <f t="array" aca="1" ref="AH33" ca="1">SUM( ($G$7:$G$212=$R33) * ($G$6:$G$211=AH$9) )</f>
        <v>0</v>
      </c>
      <c r="AI33" s="868" cm="1">
        <f t="array" aca="1" ref="AI33" ca="1">SUM( ($G$7:$G$212=$R33) * ($G$6:$G$211=AI$9) )</f>
        <v>0</v>
      </c>
      <c r="AJ33" s="868" cm="1">
        <f t="array" aca="1" ref="AJ33" ca="1">SUM( ($G$7:$G$212=$R33) * ($G$6:$G$211=AJ$9) )</f>
        <v>0</v>
      </c>
      <c r="AK33" s="868" cm="1">
        <f t="array" aca="1" ref="AK33" ca="1">SUM( ($G$7:$G$212=$R33) * ($G$6:$G$211=AK$9) )</f>
        <v>0</v>
      </c>
      <c r="AL33" s="868" cm="1">
        <f t="array" aca="1" ref="AL33" ca="1">SUM( ($G$7:$G$212=$R33) * ($G$6:$G$211=AL$9) )</f>
        <v>0</v>
      </c>
      <c r="AM33" s="868" cm="1">
        <f t="array" aca="1" ref="AM33" ca="1">SUM( ($G$7:$G$212=$R33) * ($G$6:$G$211=AM$9) )</f>
        <v>0</v>
      </c>
      <c r="AN33" s="868" cm="1">
        <f t="array" aca="1" ref="AN33" ca="1">SUM( ($G$7:$G$212=$R33) * ($G$6:$G$211=AN$9) )</f>
        <v>0</v>
      </c>
      <c r="AO33" s="868" cm="1">
        <f t="array" aca="1" ref="AO33" ca="1">SUM( ($G$7:$G$212=$R33) * ($G$6:$G$211=AO$9) )</f>
        <v>2</v>
      </c>
      <c r="AP33" s="868" cm="1">
        <f t="array" aca="1" ref="AP33" ca="1">SUM( ($G$7:$G$212=$R33) * ($G$6:$G$211=AP$9) )</f>
        <v>0</v>
      </c>
      <c r="AQ33" s="868" cm="1">
        <f t="array" aca="1" ref="AQ33" ca="1">SUM( ($G$7:$G$212=$R33) * ($G$6:$G$211=AQ$9) )</f>
        <v>0</v>
      </c>
      <c r="AR33" s="868" cm="1">
        <f t="array" aca="1" ref="AR33" ca="1">SUM( ($G$7:$G$212=$R33) * ($G$6:$G$211=AR$9) )</f>
        <v>0</v>
      </c>
      <c r="AS33" s="868" cm="1">
        <f t="array" aca="1" ref="AS33" ca="1">SUM( ($G$7:$G$212=$R33) * ($G$6:$G$211=AS$9) )</f>
        <v>0</v>
      </c>
      <c r="AT33" s="868" cm="1">
        <f t="array" aca="1" ref="AT33" ca="1">SUM( ($G$7:$G$212=$R33) * ($G$6:$G$211=AT$9) )</f>
        <v>0</v>
      </c>
      <c r="AU33" s="868" cm="1">
        <f t="array" aca="1" ref="AU33" ca="1">SUM( ($G$7:$G$212=$R33) * ($G$6:$G$211=AU$9) )</f>
        <v>0</v>
      </c>
    </row>
    <row r="34" spans="2:130" ht="23" customHeight="1" x14ac:dyDescent="0.3">
      <c r="B34" s="89" vm="116">
        <f ca="1"/>
        <v>45938</v>
      </c>
      <c r="C34" s="89" vm="117">
        <f ca="1"/>
        <v>225.22</v>
      </c>
      <c r="D34" s="1210">
        <f t="shared" ca="1" si="0"/>
        <v>1.551086662458291E-2</v>
      </c>
      <c r="E34" s="294" t="str" cm="1">
        <f t="array" aca="1" ref="E34" ca="1">_xlfn.IFS(D34&gt;ZPercent,"U",D34&lt;=-ZPercent,"D",TRUE,"Z")</f>
        <v>U</v>
      </c>
      <c r="F34" s="294" t="str">
        <f t="shared" ca="1" si="1"/>
        <v>ZU</v>
      </c>
      <c r="G34" s="294" t="str">
        <f t="shared" ca="1" si="2"/>
        <v>UZU</v>
      </c>
      <c r="H34" s="868" t="str">
        <f t="shared" ca="1" si="3"/>
        <v/>
      </c>
      <c r="J34" s="89" vm="118">
        <f ca="1"/>
        <v>45702</v>
      </c>
      <c r="K34" s="89" vm="119">
        <f ca="1"/>
        <v>228.68</v>
      </c>
      <c r="N34" s="868" t="str">
        <f ca="1">IF(F34=[2]Sheet1!O32,"","dif")</f>
        <v>dif</v>
      </c>
      <c r="R34" s="868" t="str">
        <f ca="1"/>
        <v>UZZ</v>
      </c>
      <c r="S34" s="868" cm="1">
        <f t="array" aca="1" ref="S34" ca="1">SUM( ($G$7:$G$212=$R34) * ($G$6:$G$211=S$9) )</f>
        <v>0</v>
      </c>
      <c r="T34" s="868" cm="1">
        <f t="array" aca="1" ref="T34" ca="1">SUM( ($G$7:$G$212=$R34) * ($G$6:$G$211=T$9) )</f>
        <v>0</v>
      </c>
      <c r="U34" s="868" cm="1">
        <f t="array" aca="1" ref="U34" ca="1">SUM( ($G$7:$G$212=$R34) * ($G$6:$G$211=U$9) )</f>
        <v>0</v>
      </c>
      <c r="V34" s="868" cm="1">
        <f t="array" aca="1" ref="V34" ca="1">SUM( ($G$7:$G$212=$R34) * ($G$6:$G$211=V$9) )</f>
        <v>0</v>
      </c>
      <c r="W34" s="868" cm="1">
        <f t="array" aca="1" ref="W34" ca="1">SUM( ($G$7:$G$212=$R34) * ($G$6:$G$211=W$9) )</f>
        <v>0</v>
      </c>
      <c r="X34" s="868" cm="1">
        <f t="array" aca="1" ref="X34" ca="1">SUM( ($G$7:$G$212=$R34) * ($G$6:$G$211=X$9) )</f>
        <v>0</v>
      </c>
      <c r="Y34" s="868" cm="1">
        <f t="array" aca="1" ref="Y34" ca="1">SUM( ($G$7:$G$212=$R34) * ($G$6:$G$211=Y$9) )</f>
        <v>0</v>
      </c>
      <c r="Z34" s="868" cm="1">
        <f t="array" aca="1" ref="Z34" ca="1">SUM( ($G$7:$G$212=$R34) * ($G$6:$G$211=Z$9) )</f>
        <v>0</v>
      </c>
      <c r="AA34" s="868" cm="1">
        <f t="array" aca="1" ref="AA34" ca="1">SUM( ($G$7:$G$212=$R34) * ($G$6:$G$211=AA$9) )</f>
        <v>0</v>
      </c>
      <c r="AB34" s="868" cm="1">
        <f t="array" aca="1" ref="AB34" ca="1">SUM( ($G$7:$G$212=$R34) * ($G$6:$G$211=AB$9) )</f>
        <v>0</v>
      </c>
      <c r="AC34" s="868" cm="1">
        <f t="array" aca="1" ref="AC34" ca="1">SUM( ($G$7:$G$212=$R34) * ($G$6:$G$211=AC$9) )</f>
        <v>0</v>
      </c>
      <c r="AD34" s="868" cm="1">
        <f t="array" aca="1" ref="AD34" ca="1">SUM( ($G$7:$G$212=$R34) * ($G$6:$G$211=AD$9) )</f>
        <v>0</v>
      </c>
      <c r="AE34" s="868" cm="1">
        <f t="array" aca="1" ref="AE34" ca="1">SUM( ($G$7:$G$212=$R34) * ($G$6:$G$211=AE$9) )</f>
        <v>0</v>
      </c>
      <c r="AF34" s="868" cm="1">
        <f t="array" aca="1" ref="AF34" ca="1">SUM( ($G$7:$G$212=$R34) * ($G$6:$G$211=AF$9) )</f>
        <v>0</v>
      </c>
      <c r="AG34" s="868" cm="1">
        <f t="array" aca="1" ref="AG34" ca="1">SUM( ($G$7:$G$212=$R34) * ($G$6:$G$211=AG$9) )</f>
        <v>0</v>
      </c>
      <c r="AH34" s="868" cm="1">
        <f t="array" aca="1" ref="AH34" ca="1">SUM( ($G$7:$G$212=$R34) * ($G$6:$G$211=AH$9) )</f>
        <v>0</v>
      </c>
      <c r="AI34" s="868" cm="1">
        <f t="array" aca="1" ref="AI34" ca="1">SUM( ($G$7:$G$212=$R34) * ($G$6:$G$211=AI$9) )</f>
        <v>0</v>
      </c>
      <c r="AJ34" s="868" cm="1">
        <f t="array" aca="1" ref="AJ34" ca="1">SUM( ($G$7:$G$212=$R34) * ($G$6:$G$211=AJ$9) )</f>
        <v>0</v>
      </c>
      <c r="AK34" s="868" cm="1">
        <f t="array" aca="1" ref="AK34" ca="1">SUM( ($G$7:$G$212=$R34) * ($G$6:$G$211=AK$9) )</f>
        <v>0</v>
      </c>
      <c r="AL34" s="868" cm="1">
        <f t="array" aca="1" ref="AL34" ca="1">SUM( ($G$7:$G$212=$R34) * ($G$6:$G$211=AL$9) )</f>
        <v>3</v>
      </c>
      <c r="AM34" s="868" cm="1">
        <f t="array" aca="1" ref="AM34" ca="1">SUM( ($G$7:$G$212=$R34) * ($G$6:$G$211=AM$9) )</f>
        <v>0</v>
      </c>
      <c r="AN34" s="868" cm="1">
        <f t="array" aca="1" ref="AN34" ca="1">SUM( ($G$7:$G$212=$R34) * ($G$6:$G$211=AN$9) )</f>
        <v>0</v>
      </c>
      <c r="AO34" s="868" cm="1">
        <f t="array" aca="1" ref="AO34" ca="1">SUM( ($G$7:$G$212=$R34) * ($G$6:$G$211=AO$9) )</f>
        <v>0</v>
      </c>
      <c r="AP34" s="868" cm="1">
        <f t="array" aca="1" ref="AP34" ca="1">SUM( ($G$7:$G$212=$R34) * ($G$6:$G$211=AP$9) )</f>
        <v>1</v>
      </c>
      <c r="AQ34" s="868" cm="1">
        <f t="array" aca="1" ref="AQ34" ca="1">SUM( ($G$7:$G$212=$R34) * ($G$6:$G$211=AQ$9) )</f>
        <v>0</v>
      </c>
      <c r="AR34" s="868" cm="1">
        <f t="array" aca="1" ref="AR34" ca="1">SUM( ($G$7:$G$212=$R34) * ($G$6:$G$211=AR$9) )</f>
        <v>0</v>
      </c>
      <c r="AS34" s="868" cm="1">
        <f t="array" aca="1" ref="AS34" ca="1">SUM( ($G$7:$G$212=$R34) * ($G$6:$G$211=AS$9) )</f>
        <v>0</v>
      </c>
      <c r="AT34" s="868" cm="1">
        <f t="array" aca="1" ref="AT34" ca="1">SUM( ($G$7:$G$212=$R34) * ($G$6:$G$211=AT$9) )</f>
        <v>0</v>
      </c>
      <c r="AU34" s="868" cm="1">
        <f t="array" aca="1" ref="AU34" ca="1">SUM( ($G$7:$G$212=$R34) * ($G$6:$G$211=AU$9) )</f>
        <v>0</v>
      </c>
    </row>
    <row r="35" spans="2:130" ht="23" customHeight="1" x14ac:dyDescent="0.3">
      <c r="B35" s="89" vm="120">
        <f ca="1"/>
        <v>45937</v>
      </c>
      <c r="C35" s="89" vm="121">
        <f ca="1"/>
        <v>221.78</v>
      </c>
      <c r="D35" s="1210">
        <f t="shared" ca="1" si="0"/>
        <v>3.983703033046607E-3</v>
      </c>
      <c r="E35" s="294" t="str" cm="1">
        <f t="array" aca="1" ref="E35" ca="1">_xlfn.IFS(D35&gt;ZPercent,"U",D35&lt;=-ZPercent,"D",TRUE,"Z")</f>
        <v>Z</v>
      </c>
      <c r="F35" s="294" t="str">
        <f t="shared" ca="1" si="1"/>
        <v>UZ</v>
      </c>
      <c r="G35" s="294" t="str">
        <f t="shared" ca="1" si="2"/>
        <v>DUZ</v>
      </c>
      <c r="H35" s="868" t="str">
        <f t="shared" ca="1" si="3"/>
        <v/>
      </c>
      <c r="J35" s="89" vm="122">
        <f ca="1"/>
        <v>45706</v>
      </c>
      <c r="K35" s="89" vm="123">
        <f ca="1"/>
        <v>226.65</v>
      </c>
      <c r="N35" s="868" t="str">
        <f ca="1">IF(F35=[2]Sheet1!O33,"","dif")</f>
        <v>dif</v>
      </c>
      <c r="R35" s="868" t="str">
        <f ca="1"/>
        <v>ZDZ</v>
      </c>
      <c r="S35" s="868" cm="1">
        <f t="array" aca="1" ref="S35" ca="1">SUM( ($G$7:$G$212=$R35) * ($G$6:$G$211=S$9) )</f>
        <v>0</v>
      </c>
      <c r="T35" s="868" cm="1">
        <f t="array" aca="1" ref="T35" ca="1">SUM( ($G$7:$G$212=$R35) * ($G$6:$G$211=T$9) )</f>
        <v>0</v>
      </c>
      <c r="U35" s="868" cm="1">
        <f t="array" aca="1" ref="U35" ca="1">SUM( ($G$7:$G$212=$R35) * ($G$6:$G$211=U$9) )</f>
        <v>0</v>
      </c>
      <c r="V35" s="868" cm="1">
        <f t="array" aca="1" ref="V35" ca="1">SUM( ($G$7:$G$212=$R35) * ($G$6:$G$211=V$9) )</f>
        <v>0</v>
      </c>
      <c r="W35" s="868" cm="1">
        <f t="array" aca="1" ref="W35" ca="1">SUM( ($G$7:$G$212=$R35) * ($G$6:$G$211=W$9) )</f>
        <v>0</v>
      </c>
      <c r="X35" s="868" cm="1">
        <f t="array" aca="1" ref="X35" ca="1">SUM( ($G$7:$G$212=$R35) * ($G$6:$G$211=X$9) )</f>
        <v>0</v>
      </c>
      <c r="Y35" s="868" cm="1">
        <f t="array" aca="1" ref="Y35" ca="1">SUM( ($G$7:$G$212=$R35) * ($G$6:$G$211=Y$9) )</f>
        <v>1</v>
      </c>
      <c r="Z35" s="868" cm="1">
        <f t="array" aca="1" ref="Z35" ca="1">SUM( ($G$7:$G$212=$R35) * ($G$6:$G$211=Z$9) )</f>
        <v>0</v>
      </c>
      <c r="AA35" s="868" cm="1">
        <f t="array" aca="1" ref="AA35" ca="1">SUM( ($G$7:$G$212=$R35) * ($G$6:$G$211=AA$9) )</f>
        <v>0</v>
      </c>
      <c r="AB35" s="868" cm="1">
        <f t="array" aca="1" ref="AB35" ca="1">SUM( ($G$7:$G$212=$R35) * ($G$6:$G$211=AB$9) )</f>
        <v>0</v>
      </c>
      <c r="AC35" s="868" cm="1">
        <f t="array" aca="1" ref="AC35" ca="1">SUM( ($G$7:$G$212=$R35) * ($G$6:$G$211=AC$9) )</f>
        <v>0</v>
      </c>
      <c r="AD35" s="868" cm="1">
        <f t="array" aca="1" ref="AD35" ca="1">SUM( ($G$7:$G$212=$R35) * ($G$6:$G$211=AD$9) )</f>
        <v>0</v>
      </c>
      <c r="AE35" s="868" cm="1">
        <f t="array" aca="1" ref="AE35" ca="1">SUM( ($G$7:$G$212=$R35) * ($G$6:$G$211=AE$9) )</f>
        <v>0</v>
      </c>
      <c r="AF35" s="868" cm="1">
        <f t="array" aca="1" ref="AF35" ca="1">SUM( ($G$7:$G$212=$R35) * ($G$6:$G$211=AF$9) )</f>
        <v>0</v>
      </c>
      <c r="AG35" s="868" cm="1">
        <f t="array" aca="1" ref="AG35" ca="1">SUM( ($G$7:$G$212=$R35) * ($G$6:$G$211=AG$9) )</f>
        <v>0</v>
      </c>
      <c r="AH35" s="868" cm="1">
        <f t="array" aca="1" ref="AH35" ca="1">SUM( ($G$7:$G$212=$R35) * ($G$6:$G$211=AH$9) )</f>
        <v>0</v>
      </c>
      <c r="AI35" s="868" cm="1">
        <f t="array" aca="1" ref="AI35" ca="1">SUM( ($G$7:$G$212=$R35) * ($G$6:$G$211=AI$9) )</f>
        <v>0</v>
      </c>
      <c r="AJ35" s="868" cm="1">
        <f t="array" aca="1" ref="AJ35" ca="1">SUM( ($G$7:$G$212=$R35) * ($G$6:$G$211=AJ$9) )</f>
        <v>2</v>
      </c>
      <c r="AK35" s="868" cm="1">
        <f t="array" aca="1" ref="AK35" ca="1">SUM( ($G$7:$G$212=$R35) * ($G$6:$G$211=AK$9) )</f>
        <v>0</v>
      </c>
      <c r="AL35" s="868" cm="1">
        <f t="array" aca="1" ref="AL35" ca="1">SUM( ($G$7:$G$212=$R35) * ($G$6:$G$211=AL$9) )</f>
        <v>0</v>
      </c>
      <c r="AM35" s="868" cm="1">
        <f t="array" aca="1" ref="AM35" ca="1">SUM( ($G$7:$G$212=$R35) * ($G$6:$G$211=AM$9) )</f>
        <v>0</v>
      </c>
      <c r="AN35" s="868" cm="1">
        <f t="array" aca="1" ref="AN35" ca="1">SUM( ($G$7:$G$212=$R35) * ($G$6:$G$211=AN$9) )</f>
        <v>0</v>
      </c>
      <c r="AO35" s="868" cm="1">
        <f t="array" aca="1" ref="AO35" ca="1">SUM( ($G$7:$G$212=$R35) * ($G$6:$G$211=AO$9) )</f>
        <v>0</v>
      </c>
      <c r="AP35" s="868" cm="1">
        <f t="array" aca="1" ref="AP35" ca="1">SUM( ($G$7:$G$212=$R35) * ($G$6:$G$211=AP$9) )</f>
        <v>0</v>
      </c>
      <c r="AQ35" s="868" cm="1">
        <f t="array" aca="1" ref="AQ35" ca="1">SUM( ($G$7:$G$212=$R35) * ($G$6:$G$211=AQ$9) )</f>
        <v>0</v>
      </c>
      <c r="AR35" s="868" cm="1">
        <f t="array" aca="1" ref="AR35" ca="1">SUM( ($G$7:$G$212=$R35) * ($G$6:$G$211=AR$9) )</f>
        <v>0</v>
      </c>
      <c r="AS35" s="868" cm="1">
        <f t="array" aca="1" ref="AS35" ca="1">SUM( ($G$7:$G$212=$R35) * ($G$6:$G$211=AS$9) )</f>
        <v>0</v>
      </c>
      <c r="AT35" s="868" cm="1">
        <f t="array" aca="1" ref="AT35" ca="1">SUM( ($G$7:$G$212=$R35) * ($G$6:$G$211=AT$9) )</f>
        <v>0</v>
      </c>
      <c r="AU35" s="868" cm="1">
        <f t="array" aca="1" ref="AU35" ca="1">SUM( ($G$7:$G$212=$R35) * ($G$6:$G$211=AU$9) )</f>
        <v>0</v>
      </c>
    </row>
    <row r="36" spans="2:130" ht="22" customHeight="1" x14ac:dyDescent="0.3">
      <c r="B36" s="89" vm="124">
        <f ca="1"/>
        <v>45936</v>
      </c>
      <c r="C36" s="89" vm="125">
        <f ca="1"/>
        <v>220.9</v>
      </c>
      <c r="D36" s="1210">
        <f t="shared" ca="1" si="0"/>
        <v>6.3322855450777408E-3</v>
      </c>
      <c r="E36" s="294" t="str" cm="1">
        <f t="array" aca="1" ref="E36" ca="1">_xlfn.IFS(D36&gt;ZPercent,"U",D36&lt;=-ZPercent,"D",TRUE,"Z")</f>
        <v>U</v>
      </c>
      <c r="F36" s="294" t="str">
        <f t="shared" ca="1" si="1"/>
        <v>DU</v>
      </c>
      <c r="G36" s="294" t="str">
        <f t="shared" ca="1" si="2"/>
        <v>UDU</v>
      </c>
      <c r="H36" s="868" t="str">
        <f t="shared" ca="1" si="3"/>
        <v/>
      </c>
      <c r="J36" s="89" vm="126">
        <f ca="1"/>
        <v>45707</v>
      </c>
      <c r="K36" s="89" vm="127">
        <f ca="1"/>
        <v>226.63</v>
      </c>
      <c r="N36" s="868" t="str">
        <f ca="1">IF(F36=[2]Sheet1!O34,"","dif")</f>
        <v>dif</v>
      </c>
      <c r="R36" s="868" t="str">
        <f ca="1"/>
        <v>ZUZ</v>
      </c>
      <c r="S36" s="868" cm="1">
        <f t="array" aca="1" ref="S36" ca="1">SUM( ($G$7:$G$212=$R36) * ($G$6:$G$211=S$9) )</f>
        <v>0</v>
      </c>
      <c r="T36" s="868" cm="1">
        <f t="array" aca="1" ref="T36" ca="1">SUM( ($G$7:$G$212=$R36) * ($G$6:$G$211=T$9) )</f>
        <v>0</v>
      </c>
      <c r="U36" s="868" cm="1">
        <f t="array" aca="1" ref="U36" ca="1">SUM( ($G$7:$G$212=$R36) * ($G$6:$G$211=U$9) )</f>
        <v>2</v>
      </c>
      <c r="V36" s="868" cm="1">
        <f t="array" aca="1" ref="V36" ca="1">SUM( ($G$7:$G$212=$R36) * ($G$6:$G$211=V$9) )</f>
        <v>0</v>
      </c>
      <c r="W36" s="868" cm="1">
        <f t="array" aca="1" ref="W36" ca="1">SUM( ($G$7:$G$212=$R36) * ($G$6:$G$211=W$9) )</f>
        <v>0</v>
      </c>
      <c r="X36" s="868" cm="1">
        <f t="array" aca="1" ref="X36" ca="1">SUM( ($G$7:$G$212=$R36) * ($G$6:$G$211=X$9) )</f>
        <v>0</v>
      </c>
      <c r="Y36" s="868" cm="1">
        <f t="array" aca="1" ref="Y36" ca="1">SUM( ($G$7:$G$212=$R36) * ($G$6:$G$211=Y$9) )</f>
        <v>0</v>
      </c>
      <c r="Z36" s="868" cm="1">
        <f t="array" aca="1" ref="Z36" ca="1">SUM( ($G$7:$G$212=$R36) * ($G$6:$G$211=Z$9) )</f>
        <v>0</v>
      </c>
      <c r="AA36" s="868" cm="1">
        <f t="array" aca="1" ref="AA36" ca="1">SUM( ($G$7:$G$212=$R36) * ($G$6:$G$211=AA$9) )</f>
        <v>0</v>
      </c>
      <c r="AB36" s="868" cm="1">
        <f t="array" aca="1" ref="AB36" ca="1">SUM( ($G$7:$G$212=$R36) * ($G$6:$G$211=AB$9) )</f>
        <v>0</v>
      </c>
      <c r="AC36" s="868" cm="1">
        <f t="array" aca="1" ref="AC36" ca="1">SUM( ($G$7:$G$212=$R36) * ($G$6:$G$211=AC$9) )</f>
        <v>0</v>
      </c>
      <c r="AD36" s="868" cm="1">
        <f t="array" aca="1" ref="AD36" ca="1">SUM( ($G$7:$G$212=$R36) * ($G$6:$G$211=AD$9) )</f>
        <v>0</v>
      </c>
      <c r="AE36" s="868" cm="1">
        <f t="array" aca="1" ref="AE36" ca="1">SUM( ($G$7:$G$212=$R36) * ($G$6:$G$211=AE$9) )</f>
        <v>0</v>
      </c>
      <c r="AF36" s="868" cm="1">
        <f t="array" aca="1" ref="AF36" ca="1">SUM( ($G$7:$G$212=$R36) * ($G$6:$G$211=AF$9) )</f>
        <v>0</v>
      </c>
      <c r="AG36" s="868" cm="1">
        <f t="array" aca="1" ref="AG36" ca="1">SUM( ($G$7:$G$212=$R36) * ($G$6:$G$211=AG$9) )</f>
        <v>3</v>
      </c>
      <c r="AH36" s="868" cm="1">
        <f t="array" aca="1" ref="AH36" ca="1">SUM( ($G$7:$G$212=$R36) * ($G$6:$G$211=AH$9) )</f>
        <v>0</v>
      </c>
      <c r="AI36" s="868" cm="1">
        <f t="array" aca="1" ref="AI36" ca="1">SUM( ($G$7:$G$212=$R36) * ($G$6:$G$211=AI$9) )</f>
        <v>0</v>
      </c>
      <c r="AJ36" s="868" cm="1">
        <f t="array" aca="1" ref="AJ36" ca="1">SUM( ($G$7:$G$212=$R36) * ($G$6:$G$211=AJ$9) )</f>
        <v>0</v>
      </c>
      <c r="AK36" s="868" cm="1">
        <f t="array" aca="1" ref="AK36" ca="1">SUM( ($G$7:$G$212=$R36) * ($G$6:$G$211=AK$9) )</f>
        <v>0</v>
      </c>
      <c r="AL36" s="868" cm="1">
        <f t="array" aca="1" ref="AL36" ca="1">SUM( ($G$7:$G$212=$R36) * ($G$6:$G$211=AL$9) )</f>
        <v>0</v>
      </c>
      <c r="AM36" s="868" cm="1">
        <f t="array" aca="1" ref="AM36" ca="1">SUM( ($G$7:$G$212=$R36) * ($G$6:$G$211=AM$9) )</f>
        <v>0</v>
      </c>
      <c r="AN36" s="868" cm="1">
        <f t="array" aca="1" ref="AN36" ca="1">SUM( ($G$7:$G$212=$R36) * ($G$6:$G$211=AN$9) )</f>
        <v>0</v>
      </c>
      <c r="AO36" s="868" cm="1">
        <f t="array" aca="1" ref="AO36" ca="1">SUM( ($G$7:$G$212=$R36) * ($G$6:$G$211=AO$9) )</f>
        <v>0</v>
      </c>
      <c r="AP36" s="868" cm="1">
        <f t="array" aca="1" ref="AP36" ca="1">SUM( ($G$7:$G$212=$R36) * ($G$6:$G$211=AP$9) )</f>
        <v>0</v>
      </c>
      <c r="AQ36" s="868" cm="1">
        <f t="array" aca="1" ref="AQ36" ca="1">SUM( ($G$7:$G$212=$R36) * ($G$6:$G$211=AQ$9) )</f>
        <v>1</v>
      </c>
      <c r="AR36" s="868" cm="1">
        <f t="array" aca="1" ref="AR36" ca="1">SUM( ($G$7:$G$212=$R36) * ($G$6:$G$211=AR$9) )</f>
        <v>0</v>
      </c>
      <c r="AS36" s="868" cm="1">
        <f t="array" aca="1" ref="AS36" ca="1">SUM( ($G$7:$G$212=$R36) * ($G$6:$G$211=AS$9) )</f>
        <v>0</v>
      </c>
      <c r="AT36" s="868" cm="1">
        <f t="array" aca="1" ref="AT36" ca="1">SUM( ($G$7:$G$212=$R36) * ($G$6:$G$211=AT$9) )</f>
        <v>0</v>
      </c>
      <c r="AU36" s="868" cm="1">
        <f t="array" aca="1" ref="AU36" ca="1">SUM( ($G$7:$G$212=$R36) * ($G$6:$G$211=AU$9) )</f>
        <v>0</v>
      </c>
    </row>
    <row r="37" spans="2:130" ht="23" customHeight="1" x14ac:dyDescent="0.3">
      <c r="B37" s="89" vm="128">
        <f ca="1"/>
        <v>45933</v>
      </c>
      <c r="C37" s="89" vm="129">
        <f ca="1"/>
        <v>219.51</v>
      </c>
      <c r="D37" s="1210">
        <f t="shared" ca="1" si="0"/>
        <v>-1.3038982060159191E-2</v>
      </c>
      <c r="E37" s="294" t="str" cm="1">
        <f t="array" aca="1" ref="E37" ca="1">_xlfn.IFS(D37&gt;ZPercent,"U",D37&lt;=-ZPercent,"D",TRUE,"Z")</f>
        <v>D</v>
      </c>
      <c r="F37" s="294" t="str">
        <f t="shared" ca="1" si="1"/>
        <v>UD</v>
      </c>
      <c r="G37" s="294" t="str">
        <f t="shared" ca="1" si="2"/>
        <v>ZUD</v>
      </c>
      <c r="H37" s="868" t="str">
        <f t="shared" ca="1" si="3"/>
        <v/>
      </c>
      <c r="J37" s="89" vm="130">
        <f ca="1"/>
        <v>45708</v>
      </c>
      <c r="K37" s="89" vm="131">
        <f ca="1"/>
        <v>222.88</v>
      </c>
      <c r="N37" s="868" t="str">
        <f ca="1">IF(F37=[2]Sheet1!O35,"","dif")</f>
        <v>dif</v>
      </c>
      <c r="S37" s="868" cm="1">
        <f t="array" aca="1" ref="S37" ca="1">SUM( ($G$7:$G$212=$R37) * ($G$6:$G$211=S$9) )</f>
        <v>0</v>
      </c>
      <c r="T37" s="868" cm="1">
        <f t="array" aca="1" ref="T37" ca="1">SUM( ($G$7:$G$212=$R37) * ($G$6:$G$211=T$9) )</f>
        <v>0</v>
      </c>
      <c r="U37" s="868" cm="1">
        <f t="array" aca="1" ref="U37" ca="1">SUM( ($G$7:$G$212=$R37) * ($G$6:$G$211=U$9) )</f>
        <v>0</v>
      </c>
      <c r="V37" s="868" cm="1">
        <f t="array" aca="1" ref="V37" ca="1">SUM( ($G$7:$G$212=$R37) * ($G$6:$G$211=V$9) )</f>
        <v>0</v>
      </c>
      <c r="W37" s="868" cm="1">
        <f t="array" aca="1" ref="W37" ca="1">SUM( ($G$7:$G$212=$R37) * ($G$6:$G$211=W$9) )</f>
        <v>0</v>
      </c>
      <c r="X37" s="868" cm="1">
        <f t="array" aca="1" ref="X37" ca="1">SUM( ($G$7:$G$212=$R37) * ($G$6:$G$211=X$9) )</f>
        <v>0</v>
      </c>
      <c r="Y37" s="868" cm="1">
        <f t="array" aca="1" ref="Y37" ca="1">SUM( ($G$7:$G$212=$R37) * ($G$6:$G$211=Y$9) )</f>
        <v>0</v>
      </c>
      <c r="Z37" s="868" cm="1">
        <f t="array" aca="1" ref="Z37" ca="1">SUM( ($G$7:$G$212=$R37) * ($G$6:$G$211=Z$9) )</f>
        <v>0</v>
      </c>
      <c r="AA37" s="868" cm="1">
        <f t="array" aca="1" ref="AA37" ca="1">SUM( ($G$7:$G$212=$R37) * ($G$6:$G$211=AA$9) )</f>
        <v>0</v>
      </c>
      <c r="AB37" s="868" cm="1">
        <f t="array" aca="1" ref="AB37" ca="1">SUM( ($G$7:$G$212=$R37) * ($G$6:$G$211=AB$9) )</f>
        <v>0</v>
      </c>
      <c r="AC37" s="868" cm="1">
        <f t="array" aca="1" ref="AC37" ca="1">SUM( ($G$7:$G$212=$R37) * ($G$6:$G$211=AC$9) )</f>
        <v>0</v>
      </c>
      <c r="AD37" s="868" cm="1">
        <f t="array" aca="1" ref="AD37" ca="1">SUM( ($G$7:$G$212=$R37) * ($G$6:$G$211=AD$9) )</f>
        <v>0</v>
      </c>
      <c r="AE37" s="868" cm="1">
        <f t="array" aca="1" ref="AE37" ca="1">SUM( ($G$7:$G$212=$R37) * ($G$6:$G$211=AE$9) )</f>
        <v>0</v>
      </c>
      <c r="AF37" s="868" cm="1">
        <f t="array" aca="1" ref="AF37" ca="1">SUM( ($G$7:$G$212=$R37) * ($G$6:$G$211=AF$9) )</f>
        <v>0</v>
      </c>
      <c r="AG37" s="868" cm="1">
        <f t="array" aca="1" ref="AG37" ca="1">SUM( ($G$7:$G$212=$R37) * ($G$6:$G$211=AG$9) )</f>
        <v>0</v>
      </c>
      <c r="AH37" s="868" cm="1">
        <f t="array" aca="1" ref="AH37" ca="1">SUM( ($G$7:$G$212=$R37) * ($G$6:$G$211=AH$9) )</f>
        <v>0</v>
      </c>
      <c r="AI37" s="868" cm="1">
        <f t="array" aca="1" ref="AI37" ca="1">SUM( ($G$7:$G$212=$R37) * ($G$6:$G$211=AI$9) )</f>
        <v>0</v>
      </c>
      <c r="AJ37" s="868" cm="1">
        <f t="array" aca="1" ref="AJ37" ca="1">SUM( ($G$7:$G$212=$R37) * ($G$6:$G$211=AJ$9) )</f>
        <v>0</v>
      </c>
      <c r="AK37" s="868" cm="1">
        <f t="array" aca="1" ref="AK37" ca="1">SUM( ($G$7:$G$212=$R37) * ($G$6:$G$211=AK$9) )</f>
        <v>0</v>
      </c>
      <c r="AL37" s="868" cm="1">
        <f t="array" aca="1" ref="AL37" ca="1">SUM( ($G$7:$G$212=$R37) * ($G$6:$G$211=AL$9) )</f>
        <v>0</v>
      </c>
      <c r="AM37" s="868" cm="1">
        <f t="array" aca="1" ref="AM37" ca="1">SUM( ($G$7:$G$212=$R37) * ($G$6:$G$211=AM$9) )</f>
        <v>0</v>
      </c>
      <c r="AN37" s="868" cm="1">
        <f t="array" aca="1" ref="AN37" ca="1">SUM( ($G$7:$G$212=$R37) * ($G$6:$G$211=AN$9) )</f>
        <v>0</v>
      </c>
      <c r="AO37" s="868" cm="1">
        <f t="array" aca="1" ref="AO37" ca="1">SUM( ($G$7:$G$212=$R37) * ($G$6:$G$211=AO$9) )</f>
        <v>0</v>
      </c>
      <c r="AP37" s="868" cm="1">
        <f t="array" aca="1" ref="AP37" ca="1">SUM( ($G$7:$G$212=$R37) * ($G$6:$G$211=AP$9) )</f>
        <v>0</v>
      </c>
      <c r="AQ37" s="868" cm="1">
        <f t="array" aca="1" ref="AQ37" ca="1">SUM( ($G$7:$G$212=$R37) * ($G$6:$G$211=AQ$9) )</f>
        <v>0</v>
      </c>
      <c r="AR37" s="868" cm="1">
        <f t="array" aca="1" ref="AR37" ca="1">SUM( ($G$7:$G$212=$R37) * ($G$6:$G$211=AR$9) )</f>
        <v>0</v>
      </c>
      <c r="AS37" s="868" cm="1">
        <f t="array" aca="1" ref="AS37" ca="1">SUM( ($G$7:$G$212=$R37) * ($G$6:$G$211=AS$9) )</f>
        <v>0</v>
      </c>
      <c r="AT37" s="868" cm="1">
        <f t="array" aca="1" ref="AT37" ca="1">SUM( ($G$7:$G$212=$R37) * ($G$6:$G$211=AT$9) )</f>
        <v>0</v>
      </c>
      <c r="AU37" s="868" cm="1">
        <f t="array" aca="1" ref="AU37" ca="1">SUM( ($G$7:$G$212=$R37) * ($G$6:$G$211=AU$9) )</f>
        <v>0</v>
      </c>
    </row>
    <row r="38" spans="2:130" x14ac:dyDescent="0.3">
      <c r="B38" s="89" vm="132">
        <f ca="1"/>
        <v>45932</v>
      </c>
      <c r="C38" s="89" vm="133">
        <f ca="1"/>
        <v>222.41</v>
      </c>
      <c r="D38" s="1210">
        <f t="shared" ca="1" si="0"/>
        <v>8.0678058287630937E-3</v>
      </c>
      <c r="E38" s="294" t="str" cm="1">
        <f t="array" aca="1" ref="E38" ca="1">_xlfn.IFS(D38&gt;ZPercent,"U",D38&lt;=-ZPercent,"D",TRUE,"Z")</f>
        <v>U</v>
      </c>
      <c r="F38" s="294" t="str">
        <f t="shared" ca="1" si="1"/>
        <v>ZU</v>
      </c>
      <c r="G38" s="294" t="str">
        <f t="shared" ca="1" si="2"/>
        <v>DZU</v>
      </c>
      <c r="H38" s="868" t="str">
        <f t="shared" ca="1" si="3"/>
        <v/>
      </c>
      <c r="J38" s="89" vm="134">
        <f ca="1"/>
        <v>45709</v>
      </c>
      <c r="K38" s="89" vm="135">
        <f ca="1"/>
        <v>216.58</v>
      </c>
      <c r="N38" s="868" t="str">
        <f ca="1">IF(F38=[2]Sheet1!O36,"","dif")</f>
        <v>dif</v>
      </c>
      <c r="S38" s="868" cm="1">
        <f t="array" aca="1" ref="S38" ca="1">SUM( ($G$7:$G$212=$R38) * ($G$6:$G$211=S$9) )</f>
        <v>0</v>
      </c>
      <c r="T38" s="868" cm="1">
        <f t="array" aca="1" ref="T38" ca="1">SUM( ($G$7:$G$212=$R38) * ($G$6:$G$211=T$9) )</f>
        <v>0</v>
      </c>
      <c r="U38" s="868" cm="1">
        <f t="array" aca="1" ref="U38" ca="1">SUM( ($G$7:$G$212=$R38) * ($G$6:$G$211=U$9) )</f>
        <v>0</v>
      </c>
      <c r="V38" s="868" cm="1">
        <f t="array" aca="1" ref="V38" ca="1">SUM( ($G$7:$G$212=$R38) * ($G$6:$G$211=V$9) )</f>
        <v>0</v>
      </c>
      <c r="W38" s="868" cm="1">
        <f t="array" aca="1" ref="W38" ca="1">SUM( ($G$7:$G$212=$R38) * ($G$6:$G$211=W$9) )</f>
        <v>0</v>
      </c>
      <c r="X38" s="868" cm="1">
        <f t="array" aca="1" ref="X38" ca="1">SUM( ($G$7:$G$212=$R38) * ($G$6:$G$211=X$9) )</f>
        <v>0</v>
      </c>
      <c r="Y38" s="868" cm="1">
        <f t="array" aca="1" ref="Y38" ca="1">SUM( ($G$7:$G$212=$R38) * ($G$6:$G$211=Y$9) )</f>
        <v>0</v>
      </c>
      <c r="Z38" s="868" cm="1">
        <f t="array" aca="1" ref="Z38" ca="1">SUM( ($G$7:$G$212=$R38) * ($G$6:$G$211=Z$9) )</f>
        <v>0</v>
      </c>
      <c r="AA38" s="868" cm="1">
        <f t="array" aca="1" ref="AA38" ca="1">SUM( ($G$7:$G$212=$R38) * ($G$6:$G$211=AA$9) )</f>
        <v>0</v>
      </c>
      <c r="AB38" s="868" cm="1">
        <f t="array" aca="1" ref="AB38" ca="1">SUM( ($G$7:$G$212=$R38) * ($G$6:$G$211=AB$9) )</f>
        <v>0</v>
      </c>
      <c r="AC38" s="868" cm="1">
        <f t="array" aca="1" ref="AC38" ca="1">SUM( ($G$7:$G$212=$R38) * ($G$6:$G$211=AC$9) )</f>
        <v>0</v>
      </c>
      <c r="AD38" s="868" cm="1">
        <f t="array" aca="1" ref="AD38" ca="1">SUM( ($G$7:$G$212=$R38) * ($G$6:$G$211=AD$9) )</f>
        <v>0</v>
      </c>
      <c r="AE38" s="868" cm="1">
        <f t="array" aca="1" ref="AE38" ca="1">SUM( ($G$7:$G$212=$R38) * ($G$6:$G$211=AE$9) )</f>
        <v>0</v>
      </c>
      <c r="AF38" s="868" cm="1">
        <f t="array" aca="1" ref="AF38" ca="1">SUM( ($G$7:$G$212=$R38) * ($G$6:$G$211=AF$9) )</f>
        <v>0</v>
      </c>
      <c r="AG38" s="868" cm="1">
        <f t="array" aca="1" ref="AG38" ca="1">SUM( ($G$7:$G$212=$R38) * ($G$6:$G$211=AG$9) )</f>
        <v>0</v>
      </c>
      <c r="AH38" s="868" cm="1">
        <f t="array" aca="1" ref="AH38" ca="1">SUM( ($G$7:$G$212=$R38) * ($G$6:$G$211=AH$9) )</f>
        <v>0</v>
      </c>
      <c r="AI38" s="868" cm="1">
        <f t="array" aca="1" ref="AI38" ca="1">SUM( ($G$7:$G$212=$R38) * ($G$6:$G$211=AI$9) )</f>
        <v>0</v>
      </c>
      <c r="AJ38" s="868" cm="1">
        <f t="array" aca="1" ref="AJ38" ca="1">SUM( ($G$7:$G$212=$R38) * ($G$6:$G$211=AJ$9) )</f>
        <v>0</v>
      </c>
      <c r="AK38" s="868" cm="1">
        <f t="array" aca="1" ref="AK38" ca="1">SUM( ($G$7:$G$212=$R38) * ($G$6:$G$211=AK$9) )</f>
        <v>0</v>
      </c>
      <c r="AL38" s="868" cm="1">
        <f t="array" aca="1" ref="AL38" ca="1">SUM( ($G$7:$G$212=$R38) * ($G$6:$G$211=AL$9) )</f>
        <v>0</v>
      </c>
      <c r="AM38" s="868" cm="1">
        <f t="array" aca="1" ref="AM38" ca="1">SUM( ($G$7:$G$212=$R38) * ($G$6:$G$211=AM$9) )</f>
        <v>0</v>
      </c>
      <c r="AN38" s="868" cm="1">
        <f t="array" aca="1" ref="AN38" ca="1">SUM( ($G$7:$G$212=$R38) * ($G$6:$G$211=AN$9) )</f>
        <v>0</v>
      </c>
      <c r="AO38" s="868" cm="1">
        <f t="array" aca="1" ref="AO38" ca="1">SUM( ($G$7:$G$212=$R38) * ($G$6:$G$211=AO$9) )</f>
        <v>0</v>
      </c>
      <c r="AP38" s="868" cm="1">
        <f t="array" aca="1" ref="AP38" ca="1">SUM( ($G$7:$G$212=$R38) * ($G$6:$G$211=AP$9) )</f>
        <v>0</v>
      </c>
      <c r="AQ38" s="868" cm="1">
        <f t="array" aca="1" ref="AQ38" ca="1">SUM( ($G$7:$G$212=$R38) * ($G$6:$G$211=AQ$9) )</f>
        <v>0</v>
      </c>
      <c r="AR38" s="868" cm="1">
        <f t="array" aca="1" ref="AR38" ca="1">SUM( ($G$7:$G$212=$R38) * ($G$6:$G$211=AR$9) )</f>
        <v>0</v>
      </c>
      <c r="AS38" s="868" cm="1">
        <f t="array" aca="1" ref="AS38" ca="1">SUM( ($G$7:$G$212=$R38) * ($G$6:$G$211=AS$9) )</f>
        <v>0</v>
      </c>
      <c r="AT38" s="868" cm="1">
        <f t="array" aca="1" ref="AT38" ca="1">SUM( ($G$7:$G$212=$R38) * ($G$6:$G$211=AT$9) )</f>
        <v>0</v>
      </c>
      <c r="AU38" s="868" cm="1">
        <f t="array" aca="1" ref="AU38" ca="1">SUM( ($G$7:$G$212=$R38) * ($G$6:$G$211=AU$9) )</f>
        <v>0</v>
      </c>
    </row>
    <row r="39" spans="2:130" x14ac:dyDescent="0.3">
      <c r="B39" s="89" vm="136">
        <f ca="1"/>
        <v>45931</v>
      </c>
      <c r="C39" s="89" vm="137">
        <f ca="1"/>
        <v>220.63</v>
      </c>
      <c r="D39" s="1210">
        <f t="shared" ca="1" si="0"/>
        <v>4.8276176162499532E-3</v>
      </c>
      <c r="E39" s="294" t="str" cm="1">
        <f t="array" aca="1" ref="E39" ca="1">_xlfn.IFS(D39&gt;ZPercent,"U",D39&lt;=-ZPercent,"D",TRUE,"Z")</f>
        <v>Z</v>
      </c>
      <c r="F39" s="294" t="str">
        <f t="shared" ca="1" si="1"/>
        <v>DZ</v>
      </c>
      <c r="G39" s="294" t="str">
        <f t="shared" ca="1" si="2"/>
        <v>UDZ</v>
      </c>
      <c r="H39" s="868" t="str">
        <f t="shared" ca="1" si="3"/>
        <v/>
      </c>
      <c r="J39" s="89" vm="138">
        <f ca="1"/>
        <v>45712</v>
      </c>
      <c r="K39" s="89" vm="139">
        <f ca="1"/>
        <v>212.71</v>
      </c>
      <c r="N39" s="868" t="str">
        <f ca="1">IF(F39=[2]Sheet1!O37,"","dif")</f>
        <v>dif</v>
      </c>
      <c r="S39" s="868" cm="1">
        <f t="array" aca="1" ref="S39" ca="1">SUM( ($G$7:$G$155=$R39) * ($G$6:$G$154=S$9) )</f>
        <v>0</v>
      </c>
      <c r="T39" s="868" cm="1">
        <f t="array" aca="1" ref="T39" ca="1">SUM( ($G$7:$G$155=$R39) * ($G$6:$G$154=T$9) )</f>
        <v>0</v>
      </c>
      <c r="U39" s="868" cm="1">
        <f t="array" aca="1" ref="U39" ca="1">SUM( ($G$7:$G$155=$R39) * ($G$6:$G$154=U$9) )</f>
        <v>0</v>
      </c>
      <c r="V39" s="868" cm="1">
        <f t="array" aca="1" ref="V39" ca="1">SUM( ($G$7:$G$155=$R39) * ($G$6:$G$154=V$9) )</f>
        <v>0</v>
      </c>
      <c r="W39" s="868" cm="1">
        <f t="array" aca="1" ref="W39" ca="1">SUM( ($G$7:$G$155=$R39) * ($G$6:$G$154=W$9) )</f>
        <v>0</v>
      </c>
      <c r="X39" s="868" cm="1">
        <f t="array" aca="1" ref="X39" ca="1">SUM( ($G$7:$G$155=$R39) * ($G$6:$G$154=X$9) )</f>
        <v>0</v>
      </c>
      <c r="Y39" s="868" cm="1">
        <f t="array" aca="1" ref="Y39" ca="1">SUM( ($G$7:$G$155=$R39) * ($G$6:$G$154=Y$9) )</f>
        <v>0</v>
      </c>
      <c r="Z39" s="868" cm="1">
        <f t="array" aca="1" ref="Z39" ca="1">SUM( ($G$7:$G$155=$R39) * ($G$6:$G$154=Z$9) )</f>
        <v>0</v>
      </c>
      <c r="AA39" s="868" cm="1">
        <f t="array" aca="1" ref="AA39" ca="1">SUM( ($G$7:$G$155=$R39) * ($G$6:$G$154=AA$9) )</f>
        <v>0</v>
      </c>
      <c r="AB39" s="868" cm="1">
        <f t="array" aca="1" ref="AB39" ca="1">SUM( ($G$7:$G$155=$R39) * ($G$6:$G$154=AB$9) )</f>
        <v>0</v>
      </c>
      <c r="AC39" s="868" cm="1">
        <f t="array" aca="1" ref="AC39" ca="1">SUM( ($G$7:$G$155=$R39) * ($G$6:$G$154=AC$9) )</f>
        <v>0</v>
      </c>
      <c r="AD39" s="868" cm="1">
        <f t="array" aca="1" ref="AD39" ca="1">SUM( ($G$7:$G$155=$R39) * ($G$6:$G$154=AD$9) )</f>
        <v>0</v>
      </c>
      <c r="AE39" s="868" cm="1">
        <f t="array" aca="1" ref="AE39" ca="1">SUM( ($G$7:$G$155=$R39) * ($G$6:$G$154=AE$9) )</f>
        <v>0</v>
      </c>
      <c r="AF39" s="868" cm="1">
        <f t="array" aca="1" ref="AF39" ca="1">SUM( ($G$7:$G$155=$R39) * ($G$6:$G$154=AF$9) )</f>
        <v>0</v>
      </c>
      <c r="AG39" s="868" cm="1">
        <f t="array" aca="1" ref="AG39" ca="1">SUM( ($G$7:$G$155=$R39) * ($G$6:$G$154=AG$9) )</f>
        <v>0</v>
      </c>
      <c r="AH39" s="868" cm="1">
        <f t="array" aca="1" ref="AH39" ca="1">SUM( ($G$7:$G$155=$R39) * ($G$6:$G$154=AH$9) )</f>
        <v>0</v>
      </c>
      <c r="AI39" s="868" cm="1">
        <f t="array" aca="1" ref="AI39" ca="1">SUM( ($G$7:$G$155=$R39) * ($G$6:$G$154=AI$9) )</f>
        <v>0</v>
      </c>
      <c r="AJ39" s="868" cm="1">
        <f t="array" aca="1" ref="AJ39" ca="1">SUM( ($G$7:$G$155=$R39) * ($G$6:$G$154=AJ$9) )</f>
        <v>0</v>
      </c>
      <c r="AK39" s="868" cm="1">
        <f t="array" aca="1" ref="AK39" ca="1">SUM( ($G$7:$G$155=$R39) * ($G$6:$G$154=AK$9) )</f>
        <v>0</v>
      </c>
      <c r="AL39" s="868" cm="1">
        <f t="array" aca="1" ref="AL39" ca="1">SUM( ($G$7:$G$155=$R39) * ($G$6:$G$154=AL$9) )</f>
        <v>0</v>
      </c>
      <c r="AM39" s="868" cm="1">
        <f t="array" aca="1" ref="AM39" ca="1">SUM( ($G$7:$G$155=$R39) * ($G$6:$G$154=AM$9) )</f>
        <v>0</v>
      </c>
      <c r="AN39" s="868" cm="1">
        <f t="array" aca="1" ref="AN39" ca="1">SUM( ($G$7:$G$155=$R39) * ($G$6:$G$154=AN$9) )</f>
        <v>0</v>
      </c>
      <c r="AO39" s="868" cm="1">
        <f t="array" aca="1" ref="AO39" ca="1">SUM( ($G$7:$G$155=$R39) * ($G$6:$G$154=AO$9) )</f>
        <v>0</v>
      </c>
      <c r="AP39" s="868" cm="1">
        <f t="array" aca="1" ref="AP39" ca="1">SUM( ($G$7:$G$155=$R39) * ($G$6:$G$154=AP$9) )</f>
        <v>0</v>
      </c>
      <c r="AQ39" s="868" cm="1">
        <f t="array" aca="1" ref="AQ39" ca="1">SUM( ($G$7:$G$155=$R39) * ($G$6:$G$154=AQ$9) )</f>
        <v>0</v>
      </c>
      <c r="AR39" s="868" cm="1">
        <f t="array" aca="1" ref="AR39" ca="1">SUM( ($G$7:$G$155=$R39) * ($G$6:$G$154=AR$9) )</f>
        <v>0</v>
      </c>
    </row>
    <row r="40" spans="2:130" ht="23" thickBot="1" x14ac:dyDescent="0.35">
      <c r="B40" s="89" vm="140">
        <f ca="1"/>
        <v>45930</v>
      </c>
      <c r="C40" s="89" vm="141">
        <f ca="1"/>
        <v>219.57</v>
      </c>
      <c r="D40" s="1210">
        <f t="shared" ca="1" si="0"/>
        <v>-1.1702750146284352E-2</v>
      </c>
      <c r="E40" s="294" t="str" cm="1">
        <f t="array" aca="1" ref="E40" ca="1">_xlfn.IFS(D40&gt;ZPercent,"U",D40&lt;=-ZPercent,"D",TRUE,"Z")</f>
        <v>D</v>
      </c>
      <c r="F40" s="294" t="str">
        <f t="shared" ca="1" si="1"/>
        <v>UD</v>
      </c>
      <c r="G40" s="294" t="str">
        <f t="shared" ca="1" si="2"/>
        <v>UUD</v>
      </c>
      <c r="H40" s="868" t="str">
        <f t="shared" ca="1" si="3"/>
        <v/>
      </c>
      <c r="J40" s="89" vm="142">
        <f ca="1"/>
        <v>45713</v>
      </c>
      <c r="K40" s="89" vm="143">
        <f ca="1"/>
        <v>212.8</v>
      </c>
      <c r="N40" s="868" t="str">
        <f ca="1">IF(F40=[2]Sheet1!O38,"","dif")</f>
        <v>dif</v>
      </c>
    </row>
    <row r="41" spans="2:130" ht="23" thickBot="1" x14ac:dyDescent="0.35">
      <c r="B41" s="89" vm="144">
        <f ca="1"/>
        <v>45929</v>
      </c>
      <c r="C41" s="89" vm="145">
        <f ca="1"/>
        <v>222.17</v>
      </c>
      <c r="D41" s="1210">
        <f t="shared" ca="1" si="0"/>
        <v>1.0874510874510813E-2</v>
      </c>
      <c r="E41" s="294" t="str" cm="1">
        <f t="array" aca="1" ref="E41" ca="1">_xlfn.IFS(D41&gt;ZPercent,"U",D41&lt;=-ZPercent,"D",TRUE,"Z")</f>
        <v>U</v>
      </c>
      <c r="F41" s="294" t="str">
        <f t="shared" ca="1" si="1"/>
        <v>UU</v>
      </c>
      <c r="G41" s="294" t="str">
        <f t="shared" ca="1" si="2"/>
        <v>DUU</v>
      </c>
      <c r="H41" s="868" t="str">
        <f t="shared" ca="1" si="3"/>
        <v/>
      </c>
      <c r="J41" s="89" vm="146">
        <f ca="1"/>
        <v>45714</v>
      </c>
      <c r="K41" s="89" vm="147">
        <f ca="1"/>
        <v>214.35</v>
      </c>
      <c r="N41" s="868" t="str">
        <f ca="1">IF(F41=[2]Sheet1!O39,"","dif")</f>
        <v>dif</v>
      </c>
      <c r="Q41" s="919" t="s">
        <v>2663</v>
      </c>
    </row>
    <row r="42" spans="2:130" ht="23" thickBot="1" x14ac:dyDescent="0.35">
      <c r="B42" s="89" vm="148">
        <f ca="1"/>
        <v>45926</v>
      </c>
      <c r="C42" s="89" vm="149">
        <f ca="1"/>
        <v>219.78</v>
      </c>
      <c r="D42" s="1210">
        <f t="shared" ca="1" si="0"/>
        <v>7.4719229887691748E-3</v>
      </c>
      <c r="E42" s="294" t="str" cm="1">
        <f t="array" aca="1" ref="E42" ca="1">_xlfn.IFS(D42&gt;ZPercent,"U",D42&lt;=-ZPercent,"D",TRUE,"Z")</f>
        <v>U</v>
      </c>
      <c r="F42" s="294" t="str">
        <f t="shared" ca="1" si="1"/>
        <v>DU</v>
      </c>
      <c r="G42" s="294" t="str">
        <f t="shared" ca="1" si="2"/>
        <v>ZDU</v>
      </c>
      <c r="H42" s="868" t="str">
        <f t="shared" ca="1" si="3"/>
        <v/>
      </c>
      <c r="J42" s="89" vm="150">
        <f ca="1"/>
        <v>45715</v>
      </c>
      <c r="K42" s="89" vm="151">
        <f ca="1"/>
        <v>208.74</v>
      </c>
      <c r="N42" s="868" t="str">
        <f ca="1">IF(F42=[2]Sheet1!O40,"","dif")</f>
        <v>dif</v>
      </c>
      <c r="P42" s="886" t="str">
        <f>J3</f>
        <v>AMZN</v>
      </c>
      <c r="Q42" s="886" t="str">
        <f ca="1">LastMark3</f>
        <v>DDD</v>
      </c>
      <c r="R42" s="1199" t="s">
        <v>1669</v>
      </c>
      <c r="S42" s="1200" t="s">
        <v>1670</v>
      </c>
      <c r="CQ42" s="919" t="s">
        <v>2663</v>
      </c>
    </row>
    <row r="43" spans="2:130" ht="23" thickBot="1" x14ac:dyDescent="0.35">
      <c r="B43" s="89" vm="152">
        <f ca="1"/>
        <v>45925</v>
      </c>
      <c r="C43" s="89" vm="153">
        <f ca="1"/>
        <v>218.15</v>
      </c>
      <c r="D43" s="1210">
        <f t="shared" ca="1" si="0"/>
        <v>-9.3547068707143279E-3</v>
      </c>
      <c r="E43" s="294" t="str" cm="1">
        <f t="array" aca="1" ref="E43" ca="1">_xlfn.IFS(D43&gt;ZPercent,"U",D43&lt;=-ZPercent,"D",TRUE,"Z")</f>
        <v>D</v>
      </c>
      <c r="F43" s="294" t="str">
        <f t="shared" ca="1" si="1"/>
        <v>ZD</v>
      </c>
      <c r="G43" s="294" t="str">
        <f t="shared" ca="1" si="2"/>
        <v>DZD</v>
      </c>
      <c r="H43" s="868" t="str">
        <f t="shared" ca="1" si="3"/>
        <v>ZZ</v>
      </c>
      <c r="J43" s="89" vm="154">
        <f ca="1"/>
        <v>45716</v>
      </c>
      <c r="K43" s="89" vm="155">
        <f ca="1"/>
        <v>212.28</v>
      </c>
      <c r="N43" s="868" t="str">
        <f ca="1">IF(F43=[2]Sheet1!O41,"","dif")</f>
        <v>dif</v>
      </c>
      <c r="P43" s="919" t="s">
        <v>2720</v>
      </c>
      <c r="Q43" s="1292" t="str">
        <f ca="1">RIGHT(Q42,2)&amp;"U"</f>
        <v>DDU</v>
      </c>
      <c r="R43" s="1197">
        <f ca="1">IFERROR(_xlfn.MINIFS(S48:AT75, S48:AT75, "&gt;0", S48:AT75, "&lt;1"), "")</f>
        <v>2.016574744734909E-2</v>
      </c>
      <c r="S43" s="1198">
        <f ca="1">IFERROR(_xlfn.MAXIFS(S48:AT75, S48:AT75, "&gt;0", S48:AT75, "&lt;1"), "")</f>
        <v>0.44444444444444442</v>
      </c>
      <c r="CP43" s="886" t="str">
        <f>B2</f>
        <v>AMZN</v>
      </c>
      <c r="CQ43" s="886" t="str">
        <f ca="1">LastMark3</f>
        <v>DDD</v>
      </c>
      <c r="CR43" s="1199" t="s">
        <v>1669</v>
      </c>
      <c r="CS43" s="1200" t="s">
        <v>1670</v>
      </c>
    </row>
    <row r="44" spans="2:130" ht="23" thickBot="1" x14ac:dyDescent="0.35">
      <c r="B44" s="89" vm="156">
        <f ca="1"/>
        <v>45924</v>
      </c>
      <c r="C44" s="89" vm="157">
        <f ca="1"/>
        <v>220.21</v>
      </c>
      <c r="D44" s="1210">
        <f t="shared" ca="1" si="0"/>
        <v>-2.2654161569480311E-3</v>
      </c>
      <c r="E44" s="294" t="str" cm="1">
        <f t="array" aca="1" ref="E44" ca="1">_xlfn.IFS(D44&gt;ZPercent,"U",D44&lt;=-ZPercent,"D",TRUE,"Z")</f>
        <v>Z</v>
      </c>
      <c r="F44" s="294" t="str">
        <f t="shared" ca="1" si="1"/>
        <v>DZ</v>
      </c>
      <c r="G44" s="294" t="str">
        <f t="shared" ca="1" si="2"/>
        <v>DDZ</v>
      </c>
      <c r="H44" s="868" t="str">
        <f t="shared" ca="1" si="3"/>
        <v/>
      </c>
      <c r="J44" s="89" vm="158">
        <f ca="1"/>
        <v>45719</v>
      </c>
      <c r="K44" s="89" vm="159">
        <f ca="1"/>
        <v>205.02</v>
      </c>
      <c r="N44" s="868" t="str">
        <f ca="1">IF(F44=[2]Sheet1!O42,"","dif")</f>
        <v>dif</v>
      </c>
      <c r="O44" s="1202"/>
      <c r="P44" s="1291" t="str">
        <f ca="1">IF(UpPercent=0,"No "&amp;RIGHT(NewMark,2)&amp;"U","Up")</f>
        <v>Up</v>
      </c>
      <c r="Q44" s="1298">
        <f ca="1">MAX(P48:P74)</f>
        <v>0.44444444444444442</v>
      </c>
      <c r="CP44" s="919" t="s">
        <v>2720</v>
      </c>
      <c r="CQ44" s="1292" t="str">
        <f ca="1">RIGHT(CQ43,2)&amp;"U"</f>
        <v>DDU</v>
      </c>
      <c r="CR44" s="1197">
        <f ca="1">IFERROR(_xlfn.MINIFS(CS48:DT75, CS48:DT75, "&gt;0", CS48:DT75, "&lt;1"), "")</f>
        <v>1.8867924528301886E-2</v>
      </c>
      <c r="CS44" s="1198">
        <f ca="1">IFERROR(_xlfn.MAXIFS(CS48:DT75, CS48:DT75, "&gt;0", CS48:DT75, "&lt;1"), "")</f>
        <v>0.1111111111111111</v>
      </c>
    </row>
    <row r="45" spans="2:130" ht="24" thickTop="1" thickBot="1" x14ac:dyDescent="0.35">
      <c r="B45" s="89" vm="160">
        <f ca="1"/>
        <v>45923</v>
      </c>
      <c r="C45" s="89" vm="161">
        <f ca="1"/>
        <v>220.71</v>
      </c>
      <c r="D45" s="1210">
        <f t="shared" ca="1" si="0"/>
        <v>-3.0400210868514639E-2</v>
      </c>
      <c r="E45" s="294" t="str" cm="1">
        <f t="array" aca="1" ref="E45" ca="1">_xlfn.IFS(D45&gt;ZPercent,"U",D45&lt;=-ZPercent,"D",TRUE,"Z")</f>
        <v>D</v>
      </c>
      <c r="F45" s="294" t="str">
        <f t="shared" ca="1" si="1"/>
        <v>DD</v>
      </c>
      <c r="G45" s="294" t="str">
        <f t="shared" ca="1" si="2"/>
        <v>ZDD</v>
      </c>
      <c r="H45" s="868" t="str">
        <f t="shared" ca="1" si="3"/>
        <v/>
      </c>
      <c r="J45" s="89" vm="162">
        <f ca="1"/>
        <v>45720</v>
      </c>
      <c r="K45" s="89" vm="163">
        <f ca="1"/>
        <v>203.8</v>
      </c>
      <c r="N45" s="868" t="str">
        <f ca="1">IF(F45=[2]Sheet1!O43,"","dif")</f>
        <v>dif</v>
      </c>
      <c r="O45" s="1202"/>
      <c r="CP45" s="1291" t="str">
        <f ca="1">IF(CQ45=0,"No "&amp;RIGHT(CQ43,2)&amp;"U","Up")</f>
        <v>No DDU</v>
      </c>
      <c r="CQ45" s="1298">
        <f ca="1">MAX(CP48:CP74)</f>
        <v>0</v>
      </c>
    </row>
    <row r="46" spans="2:130" ht="24" thickTop="1" thickBot="1" x14ac:dyDescent="0.35">
      <c r="B46" s="89" vm="164">
        <f ca="1"/>
        <v>45922</v>
      </c>
      <c r="C46" s="89" vm="165">
        <f ca="1"/>
        <v>227.63</v>
      </c>
      <c r="D46" s="1210">
        <f t="shared" ca="1" si="0"/>
        <v>-1.6632106445481229E-2</v>
      </c>
      <c r="E46" s="294" t="str" cm="1">
        <f t="array" aca="1" ref="E46" ca="1">_xlfn.IFS(D46&gt;ZPercent,"U",D46&lt;=-ZPercent,"D",TRUE,"Z")</f>
        <v>D</v>
      </c>
      <c r="F46" s="294" t="str">
        <f t="shared" ca="1" si="1"/>
        <v>ZD</v>
      </c>
      <c r="G46" s="294" t="str">
        <f t="shared" ca="1" si="2"/>
        <v>ZZD</v>
      </c>
      <c r="H46" s="868" t="str">
        <f t="shared" ca="1" si="3"/>
        <v>ZZ</v>
      </c>
      <c r="J46" s="89" vm="166">
        <f ca="1"/>
        <v>45721</v>
      </c>
      <c r="K46" s="89" vm="167">
        <f ca="1"/>
        <v>208.36</v>
      </c>
      <c r="N46" s="868" t="str">
        <f ca="1">IF(F46=[2]Sheet1!O44,"","dif")</f>
        <v>dif</v>
      </c>
      <c r="O46" s="1202"/>
    </row>
    <row r="47" spans="2:130" ht="23" thickBot="1" x14ac:dyDescent="0.35">
      <c r="B47" s="89" vm="168">
        <f ca="1"/>
        <v>45919</v>
      </c>
      <c r="C47" s="89" vm="169">
        <f ca="1"/>
        <v>231.48</v>
      </c>
      <c r="D47" s="1210">
        <f t="shared" ca="1" si="0"/>
        <v>1.0811745880724821E-3</v>
      </c>
      <c r="E47" s="294" t="str" cm="1">
        <f t="array" aca="1" ref="E47" ca="1">_xlfn.IFS(D47&gt;ZPercent,"U",D47&lt;=-ZPercent,"D",TRUE,"Z")</f>
        <v>Z</v>
      </c>
      <c r="F47" s="294" t="str">
        <f t="shared" ca="1" si="1"/>
        <v>ZZ</v>
      </c>
      <c r="G47" s="294" t="str">
        <f t="shared" ca="1" si="2"/>
        <v>DZZ</v>
      </c>
      <c r="H47" s="868" t="str">
        <f t="shared" ca="1" si="3"/>
        <v/>
      </c>
      <c r="J47" s="89" vm="170">
        <f ca="1"/>
        <v>45722</v>
      </c>
      <c r="K47" s="89" vm="171">
        <f ca="1"/>
        <v>200.7</v>
      </c>
      <c r="N47" s="868" t="str">
        <f ca="1">IF(F47=[2]Sheet1!O45,"","dif")</f>
        <v>dif</v>
      </c>
      <c r="O47" s="1202"/>
      <c r="Q47" s="1305">
        <f ca="1">SUM(Q48:Q75)</f>
        <v>958</v>
      </c>
      <c r="R47" s="1302">
        <f ca="1">ROWS(_xlfn.UNIQUE(G5:G157))</f>
        <v>27</v>
      </c>
      <c r="S47" s="1237" t="str">
        <f t="shared" ref="S47:AR47" ca="1" si="4">S9</f>
        <v>DDD</v>
      </c>
      <c r="T47" s="1217" t="str">
        <f t="shared" ca="1" si="4"/>
        <v>ZDD</v>
      </c>
      <c r="U47" s="1217" t="str">
        <f t="shared" ca="1" si="4"/>
        <v>UZD</v>
      </c>
      <c r="V47" s="1217" t="str">
        <f t="shared" ca="1" si="4"/>
        <v>UUZ</v>
      </c>
      <c r="W47" s="1217" t="str">
        <f t="shared" ca="1" si="4"/>
        <v>DUU</v>
      </c>
      <c r="X47" s="1217" t="str">
        <f t="shared" ca="1" si="4"/>
        <v>ZDU</v>
      </c>
      <c r="Y47" s="1217" t="str">
        <f t="shared" ca="1" si="4"/>
        <v>DZD</v>
      </c>
      <c r="Z47" s="1217" t="str">
        <f t="shared" ca="1" si="4"/>
        <v>UDZ</v>
      </c>
      <c r="AA47" s="1217" t="str">
        <f t="shared" ca="1" si="4"/>
        <v>UUD</v>
      </c>
      <c r="AB47" s="1217" t="str">
        <f t="shared" ca="1" si="4"/>
        <v>UUU</v>
      </c>
      <c r="AC47" s="1217" t="str">
        <f t="shared" ca="1" si="4"/>
        <v>UDU</v>
      </c>
      <c r="AD47" s="1217" t="str">
        <f t="shared" ca="1" si="4"/>
        <v>DDU</v>
      </c>
      <c r="AE47" s="1217" t="str">
        <f t="shared" ca="1" si="4"/>
        <v>DUD</v>
      </c>
      <c r="AF47" s="1217" t="str">
        <f t="shared" ca="1" si="4"/>
        <v>ZUU</v>
      </c>
      <c r="AG47" s="1217" t="str">
        <f t="shared" ca="1" si="4"/>
        <v>UZU</v>
      </c>
      <c r="AH47" s="1217" t="str">
        <f t="shared" ca="1" si="4"/>
        <v>DUZ</v>
      </c>
      <c r="AI47" s="1217" t="str">
        <f t="shared" ca="1" si="4"/>
        <v>ZUD</v>
      </c>
      <c r="AJ47" s="1217" t="str">
        <f t="shared" ca="1" si="4"/>
        <v>DZU</v>
      </c>
      <c r="AK47" s="1217" t="str">
        <f t="shared" ca="1" si="4"/>
        <v>DDZ</v>
      </c>
      <c r="AL47" s="1217" t="str">
        <f t="shared" ca="1" si="4"/>
        <v>ZZD</v>
      </c>
      <c r="AM47" s="1217" t="str">
        <f t="shared" ca="1" si="4"/>
        <v>DZZ</v>
      </c>
      <c r="AN47" s="1217" t="str">
        <f t="shared" ca="1" si="4"/>
        <v>UDD</v>
      </c>
      <c r="AO47" s="1217" t="str">
        <f t="shared" ca="1" si="4"/>
        <v>ZZU</v>
      </c>
      <c r="AP47" s="1217" t="str">
        <f t="shared" ca="1" si="4"/>
        <v>ZZZ</v>
      </c>
      <c r="AQ47" s="1217" t="str">
        <f t="shared" ca="1" si="4"/>
        <v>UZZ</v>
      </c>
      <c r="AR47" s="1217" t="str">
        <f t="shared" ca="1" si="4"/>
        <v>ZDZ</v>
      </c>
      <c r="AS47" s="1217"/>
      <c r="AT47" s="1217"/>
      <c r="AU47" s="1217"/>
      <c r="AV47" s="1217"/>
      <c r="AW47" s="1217"/>
      <c r="AX47" s="1217"/>
      <c r="CP47" s="1308" t="s">
        <v>2723</v>
      </c>
      <c r="CQ47" s="1201">
        <f ca="1">SUM(CQ48:CQ75)</f>
        <v>95</v>
      </c>
      <c r="CR47" s="1158">
        <f ca="1">ROWS(_xlfn.UNIQUE(AH9:AH153))</f>
        <v>15</v>
      </c>
      <c r="CS47" s="1217" t="str">
        <f ca="1">CS9</f>
        <v>DDD</v>
      </c>
      <c r="CT47" s="1217" t="str">
        <f t="shared" ref="CT47:DZ47" ca="1" si="5">CT9</f>
        <v>ZDD</v>
      </c>
      <c r="CU47" s="1217" t="str">
        <f t="shared" ca="1" si="5"/>
        <v>UZD</v>
      </c>
      <c r="CV47" s="1217" t="str">
        <f t="shared" ca="1" si="5"/>
        <v>UUZ</v>
      </c>
      <c r="CW47" s="1217" t="str">
        <f t="shared" ca="1" si="5"/>
        <v>DUU</v>
      </c>
      <c r="CX47" s="1217" t="str">
        <f t="shared" ca="1" si="5"/>
        <v>ZDU</v>
      </c>
      <c r="CY47" s="1217" t="str">
        <f t="shared" ca="1" si="5"/>
        <v>DZD</v>
      </c>
      <c r="CZ47" s="1217" t="str">
        <f t="shared" ca="1" si="5"/>
        <v>UDZ</v>
      </c>
      <c r="DA47" s="1217" t="str">
        <f t="shared" ca="1" si="5"/>
        <v>UUD</v>
      </c>
      <c r="DB47" s="1217" t="str">
        <f t="shared" ca="1" si="5"/>
        <v>UUU</v>
      </c>
      <c r="DC47" s="1217" t="str">
        <f t="shared" ca="1" si="5"/>
        <v>UDU</v>
      </c>
      <c r="DD47" s="1217" t="str">
        <f t="shared" ca="1" si="5"/>
        <v>DDU</v>
      </c>
      <c r="DE47" s="1217" t="str">
        <f t="shared" ca="1" si="5"/>
        <v>DUD</v>
      </c>
      <c r="DF47" s="1217" t="str">
        <f t="shared" ca="1" si="5"/>
        <v>ZUU</v>
      </c>
      <c r="DG47" s="1217" t="str">
        <f t="shared" ca="1" si="5"/>
        <v>UZU</v>
      </c>
      <c r="DH47" s="1217" t="str">
        <f t="shared" ca="1" si="5"/>
        <v>DUZ</v>
      </c>
      <c r="DI47" s="1217" t="str">
        <f t="shared" ca="1" si="5"/>
        <v>ZUD</v>
      </c>
      <c r="DJ47" s="1217" t="str">
        <f t="shared" ca="1" si="5"/>
        <v>DZU</v>
      </c>
      <c r="DK47" s="1217" t="str">
        <f t="shared" ca="1" si="5"/>
        <v>DDZ</v>
      </c>
      <c r="DL47" s="1217" t="str">
        <f t="shared" ca="1" si="5"/>
        <v>ZZD</v>
      </c>
      <c r="DM47" s="1217" t="str">
        <f t="shared" ca="1" si="5"/>
        <v>DZZ</v>
      </c>
      <c r="DN47" s="1217" t="str">
        <f t="shared" ca="1" si="5"/>
        <v>UDD</v>
      </c>
      <c r="DO47" s="1217" t="str">
        <f t="shared" ca="1" si="5"/>
        <v>ZZU</v>
      </c>
      <c r="DP47" s="1217" t="str">
        <f t="shared" ca="1" si="5"/>
        <v>ZZZ</v>
      </c>
      <c r="DQ47" s="1217" t="str">
        <f t="shared" ca="1" si="5"/>
        <v>UZZ</v>
      </c>
      <c r="DR47" s="1217" t="str">
        <f t="shared" ca="1" si="5"/>
        <v>ZDZ</v>
      </c>
      <c r="DS47" s="1217" t="str">
        <f t="shared" ca="1" si="5"/>
        <v>ZUZ</v>
      </c>
      <c r="DT47" s="1217">
        <f t="shared" ca="1" si="5"/>
        <v>0</v>
      </c>
      <c r="DU47" s="1217">
        <f t="shared" ca="1" si="5"/>
        <v>0</v>
      </c>
      <c r="DV47" s="1217">
        <f t="shared" ca="1" si="5"/>
        <v>0</v>
      </c>
      <c r="DW47" s="1217">
        <f t="shared" ca="1" si="5"/>
        <v>0</v>
      </c>
      <c r="DX47" s="1217">
        <f t="shared" ca="1" si="5"/>
        <v>0</v>
      </c>
      <c r="DY47" s="1217" t="str">
        <f t="shared" ca="1" si="5"/>
        <v>Min</v>
      </c>
      <c r="DZ47" s="1408">
        <f t="shared" ca="1" si="5"/>
        <v>2.016574744734909E-2</v>
      </c>
    </row>
    <row r="48" spans="2:130" ht="23" thickTop="1" x14ac:dyDescent="0.3">
      <c r="B48" s="89" vm="172">
        <f ca="1"/>
        <v>45918</v>
      </c>
      <c r="C48" s="89" vm="173">
        <f ca="1"/>
        <v>231.23</v>
      </c>
      <c r="D48" s="1210">
        <f t="shared" ca="1" si="0"/>
        <v>-1.6837924186167636E-3</v>
      </c>
      <c r="E48" s="294" t="str" cm="1">
        <f t="array" aca="1" ref="E48" ca="1">_xlfn.IFS(D48&gt;ZPercent,"U",D48&lt;=-ZPercent,"D",TRUE,"Z")</f>
        <v>Z</v>
      </c>
      <c r="F48" s="294" t="str">
        <f t="shared" ca="1" si="1"/>
        <v>DZ</v>
      </c>
      <c r="G48" s="294" t="str">
        <f t="shared" ca="1" si="2"/>
        <v>UDZ</v>
      </c>
      <c r="H48" s="868" t="str">
        <f t="shared" ca="1" si="3"/>
        <v/>
      </c>
      <c r="J48" s="89" vm="174">
        <f ca="1"/>
        <v>45723</v>
      </c>
      <c r="K48" s="89" vm="175">
        <f ca="1"/>
        <v>199.25</v>
      </c>
      <c r="N48" s="868" t="str">
        <f ca="1">IF(F48=[2]Sheet1!O46,"","dif")</f>
        <v>dif</v>
      </c>
      <c r="O48" s="1202"/>
      <c r="P48" s="1194" cm="1">
        <f t="array" aca="1" ref="P48" ca="1">IFERROR(INDEX($S48:$AT48,
       MATCH(TRUE,
             (($R48=Q42)*
              (RIGHT($S$47:$AT$47,3)=NewMUP)*
              ($S48:$AT48&gt;0))&gt;0,
       0)),0)</f>
        <v>0.44444444444444442</v>
      </c>
      <c r="Q48" s="1290">
        <f ca="1">SUM(S10:INDEX(6:6, COLUMN($S10) +$R$47 - 1))</f>
        <v>9</v>
      </c>
      <c r="R48" s="1233" t="str">
        <f t="shared" ref="R48:R73" ca="1" si="6">R10</f>
        <v>DDD</v>
      </c>
      <c r="S48" s="1225">
        <f t="shared" ref="S48:AS48" ca="1" si="7">IF(S10=0,0,S10/$Q48)</f>
        <v>0.44444444444444442</v>
      </c>
      <c r="T48" s="1211">
        <f t="shared" ca="1" si="7"/>
        <v>0</v>
      </c>
      <c r="U48" s="1211">
        <f t="shared" ca="1" si="7"/>
        <v>0</v>
      </c>
      <c r="V48" s="1211">
        <f t="shared" ca="1" si="7"/>
        <v>0</v>
      </c>
      <c r="W48" s="1211">
        <f t="shared" ca="1" si="7"/>
        <v>0</v>
      </c>
      <c r="X48" s="1211">
        <f t="shared" ca="1" si="7"/>
        <v>0</v>
      </c>
      <c r="Y48" s="1211">
        <f t="shared" ca="1" si="7"/>
        <v>0</v>
      </c>
      <c r="Z48" s="1211">
        <f t="shared" ca="1" si="7"/>
        <v>0</v>
      </c>
      <c r="AA48" s="1211">
        <f t="shared" ca="1" si="7"/>
        <v>0</v>
      </c>
      <c r="AB48" s="1211">
        <f t="shared" ca="1" si="7"/>
        <v>0</v>
      </c>
      <c r="AC48" s="1211">
        <f t="shared" ca="1" si="7"/>
        <v>0</v>
      </c>
      <c r="AD48" s="1211">
        <f t="shared" ca="1" si="7"/>
        <v>0.44444444444444442</v>
      </c>
      <c r="AE48" s="1211">
        <f t="shared" ca="1" si="7"/>
        <v>0</v>
      </c>
      <c r="AF48" s="1211">
        <f t="shared" ca="1" si="7"/>
        <v>0</v>
      </c>
      <c r="AG48" s="1211">
        <f t="shared" ca="1" si="7"/>
        <v>0</v>
      </c>
      <c r="AH48" s="1211">
        <f t="shared" ca="1" si="7"/>
        <v>0</v>
      </c>
      <c r="AI48" s="1211">
        <f t="shared" ca="1" si="7"/>
        <v>0</v>
      </c>
      <c r="AJ48" s="1211">
        <f t="shared" ca="1" si="7"/>
        <v>0</v>
      </c>
      <c r="AK48" s="1211">
        <f t="shared" ca="1" si="7"/>
        <v>0.1111111111111111</v>
      </c>
      <c r="AL48" s="1211">
        <f t="shared" ca="1" si="7"/>
        <v>0</v>
      </c>
      <c r="AM48" s="1211">
        <f t="shared" ca="1" si="7"/>
        <v>0</v>
      </c>
      <c r="AN48" s="1211">
        <f t="shared" ca="1" si="7"/>
        <v>0</v>
      </c>
      <c r="AO48" s="1211">
        <f t="shared" ca="1" si="7"/>
        <v>0</v>
      </c>
      <c r="AP48" s="1211">
        <f t="shared" ca="1" si="7"/>
        <v>0</v>
      </c>
      <c r="AQ48" s="1211">
        <f t="shared" ca="1" si="7"/>
        <v>0</v>
      </c>
      <c r="AR48" s="1211">
        <f t="shared" ca="1" si="7"/>
        <v>0</v>
      </c>
      <c r="AS48" s="1211">
        <f t="shared" ca="1" si="7"/>
        <v>0</v>
      </c>
      <c r="AT48" s="1211">
        <f ca="1">IF(AT10=0,0,AT10/#REF!)</f>
        <v>0</v>
      </c>
      <c r="AU48" s="1211"/>
      <c r="AV48" s="1211"/>
      <c r="AW48" s="1211"/>
      <c r="AX48" s="1211"/>
      <c r="CP48" s="1194" cm="1">
        <f t="array" aca="1" ref="CP48" ca="1">IFERROR(INDEX($CR48:$DU48,
       MATCH(TRUE,
             (($CR48=CQ$43)*
              (RIGHT($CS$47:$DU$47,3)=NewMUP)*
              ($CR48:$DU48&gt;0))&gt;0,
       0)),0)</f>
        <v>0</v>
      </c>
      <c r="CQ48" s="1290">
        <f ca="1">SUM(CS10:INDEX(6:6, COLUMN($CS10) +$CR$47 - 1))</f>
        <v>1</v>
      </c>
      <c r="CR48" s="1203" t="str">
        <f t="shared" ref="CR48:CR64" ca="1" si="8">CR10</f>
        <v>DDD</v>
      </c>
      <c r="CS48" s="1228">
        <f t="shared" ref="CS48:DW48" ca="1" si="9">IF(CS10=0,0,CS10/$Q48)</f>
        <v>0.1111111111111111</v>
      </c>
      <c r="CT48" s="1228">
        <f t="shared" ca="1" si="9"/>
        <v>0</v>
      </c>
      <c r="CU48" s="1228">
        <f t="shared" ca="1" si="9"/>
        <v>0</v>
      </c>
      <c r="CV48" s="1228">
        <f t="shared" ca="1" si="9"/>
        <v>0</v>
      </c>
      <c r="CW48" s="1228">
        <f t="shared" ca="1" si="9"/>
        <v>0</v>
      </c>
      <c r="CX48" s="1228">
        <f t="shared" ca="1" si="9"/>
        <v>0</v>
      </c>
      <c r="CY48" s="1228">
        <f t="shared" ca="1" si="9"/>
        <v>0</v>
      </c>
      <c r="CZ48" s="1228">
        <f t="shared" ca="1" si="9"/>
        <v>0</v>
      </c>
      <c r="DA48" s="1228">
        <f t="shared" ca="1" si="9"/>
        <v>0</v>
      </c>
      <c r="DB48" s="1228">
        <f t="shared" ca="1" si="9"/>
        <v>0</v>
      </c>
      <c r="DC48" s="1228">
        <f t="shared" ca="1" si="9"/>
        <v>0</v>
      </c>
      <c r="DD48" s="1228">
        <f t="shared" ca="1" si="9"/>
        <v>0</v>
      </c>
      <c r="DE48" s="1228">
        <f t="shared" ca="1" si="9"/>
        <v>0</v>
      </c>
      <c r="DF48" s="1228">
        <f t="shared" ca="1" si="9"/>
        <v>0</v>
      </c>
      <c r="DG48" s="1228">
        <f t="shared" ca="1" si="9"/>
        <v>0</v>
      </c>
      <c r="DH48" s="1228">
        <f t="shared" ca="1" si="9"/>
        <v>0</v>
      </c>
      <c r="DI48" s="1228">
        <f t="shared" ca="1" si="9"/>
        <v>0</v>
      </c>
      <c r="DJ48" s="1228">
        <f t="shared" ca="1" si="9"/>
        <v>0</v>
      </c>
      <c r="DK48" s="1228">
        <f t="shared" ca="1" si="9"/>
        <v>0</v>
      </c>
      <c r="DL48" s="1228">
        <f t="shared" ca="1" si="9"/>
        <v>0</v>
      </c>
      <c r="DM48" s="1228">
        <f t="shared" ca="1" si="9"/>
        <v>0</v>
      </c>
      <c r="DN48" s="1228">
        <f t="shared" ca="1" si="9"/>
        <v>0</v>
      </c>
      <c r="DO48" s="1228">
        <f t="shared" ca="1" si="9"/>
        <v>0</v>
      </c>
      <c r="DP48" s="1228">
        <f t="shared" si="9"/>
        <v>0</v>
      </c>
      <c r="DQ48" s="1228">
        <f t="shared" si="9"/>
        <v>0</v>
      </c>
      <c r="DR48" s="1228">
        <f t="shared" si="9"/>
        <v>0</v>
      </c>
      <c r="DS48" s="1228">
        <f t="shared" si="9"/>
        <v>0</v>
      </c>
      <c r="DT48" s="1228">
        <f t="shared" si="9"/>
        <v>0</v>
      </c>
      <c r="DU48" s="1228">
        <f t="shared" si="9"/>
        <v>0</v>
      </c>
      <c r="DV48" s="1228">
        <f t="shared" si="9"/>
        <v>0</v>
      </c>
      <c r="DW48" s="1228">
        <f t="shared" si="9"/>
        <v>0</v>
      </c>
      <c r="DX48" s="1211"/>
    </row>
    <row r="49" spans="2:128" x14ac:dyDescent="0.3">
      <c r="B49" s="89" vm="176">
        <f ca="1"/>
        <v>45917</v>
      </c>
      <c r="C49" s="89" vm="177">
        <f ca="1"/>
        <v>231.62</v>
      </c>
      <c r="D49" s="1210">
        <f t="shared" ca="1" si="0"/>
        <v>-1.0382396923734273E-2</v>
      </c>
      <c r="E49" s="294" t="str" cm="1">
        <f t="array" aca="1" ref="E49" ca="1">_xlfn.IFS(D49&gt;ZPercent,"U",D49&lt;=-ZPercent,"D",TRUE,"Z")</f>
        <v>D</v>
      </c>
      <c r="F49" s="294" t="str">
        <f t="shared" ca="1" si="1"/>
        <v>UD</v>
      </c>
      <c r="G49" s="294" t="str">
        <f t="shared" ca="1" si="2"/>
        <v>UUD</v>
      </c>
      <c r="H49" s="868" t="str">
        <f t="shared" ca="1" si="3"/>
        <v/>
      </c>
      <c r="J49" s="89" vm="178">
        <f ca="1"/>
        <v>45726</v>
      </c>
      <c r="K49" s="89" vm="179">
        <f ca="1"/>
        <v>194.54</v>
      </c>
      <c r="N49" s="868" t="str">
        <f ca="1">IF(F49=[2]Sheet1!O47,"","dif")</f>
        <v>dif</v>
      </c>
      <c r="O49" s="1202"/>
      <c r="P49" s="1194" cm="1">
        <f t="array" aca="1" ref="P49" ca="1">IFERROR(INDEX($S49:$AT49,
       MATCH(TRUE,
             (($R49=R42)*
              (RIGHT($S$47:$AT$47,3)=NewMUP)*
              ($S49:$AT49&gt;0))&gt;0,
       0)),0)</f>
        <v>0</v>
      </c>
      <c r="Q49" s="1290">
        <f ca="1">SUM(S11:INDEX(7:7, COLUMN($S11) +$R$47 - 1))</f>
        <v>17</v>
      </c>
      <c r="R49" s="1234" t="str">
        <f t="shared" ca="1" si="6"/>
        <v>ZDD</v>
      </c>
      <c r="S49" s="1227">
        <f t="shared" ref="S49:AS49" ca="1" si="10">IF(S11=0,0,S11/$Q49)</f>
        <v>0.17647058823529413</v>
      </c>
      <c r="T49" s="1228">
        <f t="shared" ca="1" si="10"/>
        <v>0</v>
      </c>
      <c r="U49" s="1228">
        <f t="shared" ca="1" si="10"/>
        <v>0</v>
      </c>
      <c r="V49" s="1228">
        <f t="shared" ca="1" si="10"/>
        <v>0</v>
      </c>
      <c r="W49" s="1228">
        <f t="shared" ca="1" si="10"/>
        <v>0</v>
      </c>
      <c r="X49" s="1228">
        <f t="shared" ca="1" si="10"/>
        <v>0</v>
      </c>
      <c r="Y49" s="1228">
        <f t="shared" ca="1" si="10"/>
        <v>0</v>
      </c>
      <c r="Z49" s="1228">
        <f t="shared" ca="1" si="10"/>
        <v>0</v>
      </c>
      <c r="AA49" s="1228">
        <f t="shared" ca="1" si="10"/>
        <v>0</v>
      </c>
      <c r="AB49" s="1228">
        <f t="shared" ca="1" si="10"/>
        <v>0</v>
      </c>
      <c r="AC49" s="1228">
        <f t="shared" ca="1" si="10"/>
        <v>0</v>
      </c>
      <c r="AD49" s="1228">
        <f t="shared" ca="1" si="10"/>
        <v>0.23529411764705882</v>
      </c>
      <c r="AE49" s="1228">
        <f t="shared" ca="1" si="10"/>
        <v>0</v>
      </c>
      <c r="AF49" s="1228">
        <f t="shared" ca="1" si="10"/>
        <v>0</v>
      </c>
      <c r="AG49" s="1228">
        <f t="shared" ca="1" si="10"/>
        <v>0</v>
      </c>
      <c r="AH49" s="1228">
        <f t="shared" ca="1" si="10"/>
        <v>0</v>
      </c>
      <c r="AI49" s="1228">
        <f t="shared" ca="1" si="10"/>
        <v>0</v>
      </c>
      <c r="AJ49" s="1228">
        <f t="shared" ca="1" si="10"/>
        <v>0</v>
      </c>
      <c r="AK49" s="1228">
        <f t="shared" ca="1" si="10"/>
        <v>5.8823529411764705E-2</v>
      </c>
      <c r="AL49" s="1228">
        <f t="shared" ca="1" si="10"/>
        <v>0</v>
      </c>
      <c r="AM49" s="1228">
        <f t="shared" ca="1" si="10"/>
        <v>0</v>
      </c>
      <c r="AN49" s="1228">
        <f t="shared" ca="1" si="10"/>
        <v>0</v>
      </c>
      <c r="AO49" s="1228">
        <f t="shared" ca="1" si="10"/>
        <v>0</v>
      </c>
      <c r="AP49" s="1228">
        <f t="shared" ca="1" si="10"/>
        <v>0</v>
      </c>
      <c r="AQ49" s="1228">
        <f t="shared" ca="1" si="10"/>
        <v>0</v>
      </c>
      <c r="AR49" s="1228">
        <f t="shared" ca="1" si="10"/>
        <v>0</v>
      </c>
      <c r="AS49" s="1228">
        <f t="shared" ca="1" si="10"/>
        <v>0</v>
      </c>
      <c r="AT49" s="1228">
        <f t="shared" ref="AT49:AT73" ca="1" si="11">IF(AT11=0,0,AT11/$Q49)</f>
        <v>0</v>
      </c>
      <c r="AU49" s="1228"/>
      <c r="AV49" s="1228"/>
      <c r="AW49" s="1228"/>
      <c r="AX49" s="1228"/>
      <c r="AZ49" s="1228"/>
      <c r="CP49" s="1194" cm="1">
        <f t="array" aca="1" ref="CP49" ca="1">IFERROR(INDEX($CR49:$DU49,
       MATCH(TRUE,
             (($CR49=CQ$43)*
              (RIGHT($CS$47:$DU$47,3)=NewMUP)*
              ($CR49:$DU49&gt;0))&gt;0,
       0)),0)</f>
        <v>0</v>
      </c>
      <c r="CQ49" s="1290">
        <f ca="1">SUM(CS11:INDEX(7:7, COLUMN($CS11) +$CR$47 - 1))</f>
        <v>2</v>
      </c>
      <c r="CR49" s="1203" t="str">
        <f t="shared" ca="1" si="8"/>
        <v>ZDD</v>
      </c>
      <c r="CS49" s="1228">
        <f t="shared" ref="CS49:DW49" ca="1" si="12">IF(CS11=0,0,CS11/$Q49)</f>
        <v>5.8823529411764705E-2</v>
      </c>
      <c r="CT49" s="1228">
        <f t="shared" ca="1" si="12"/>
        <v>0</v>
      </c>
      <c r="CU49" s="1228">
        <f t="shared" ca="1" si="12"/>
        <v>0</v>
      </c>
      <c r="CV49" s="1228">
        <f t="shared" ca="1" si="12"/>
        <v>0</v>
      </c>
      <c r="CW49" s="1228">
        <f t="shared" ca="1" si="12"/>
        <v>0</v>
      </c>
      <c r="CX49" s="1228">
        <f t="shared" ca="1" si="12"/>
        <v>0</v>
      </c>
      <c r="CY49" s="1228">
        <f t="shared" ca="1" si="12"/>
        <v>0</v>
      </c>
      <c r="CZ49" s="1228">
        <f t="shared" ca="1" si="12"/>
        <v>0</v>
      </c>
      <c r="DA49" s="1228">
        <f t="shared" ca="1" si="12"/>
        <v>0</v>
      </c>
      <c r="DB49" s="1228">
        <f t="shared" ca="1" si="12"/>
        <v>0</v>
      </c>
      <c r="DC49" s="1228">
        <f t="shared" ca="1" si="12"/>
        <v>0</v>
      </c>
      <c r="DD49" s="1228">
        <f t="shared" ca="1" si="12"/>
        <v>0</v>
      </c>
      <c r="DE49" s="1228">
        <f t="shared" ca="1" si="12"/>
        <v>0</v>
      </c>
      <c r="DF49" s="1228">
        <f t="shared" ca="1" si="12"/>
        <v>0</v>
      </c>
      <c r="DG49" s="1228">
        <f t="shared" ca="1" si="12"/>
        <v>0</v>
      </c>
      <c r="DH49" s="1228">
        <f t="shared" ca="1" si="12"/>
        <v>0</v>
      </c>
      <c r="DI49" s="1228">
        <f t="shared" ca="1" si="12"/>
        <v>0</v>
      </c>
      <c r="DJ49" s="1228">
        <f t="shared" ca="1" si="12"/>
        <v>0</v>
      </c>
      <c r="DK49" s="1228">
        <f t="shared" ca="1" si="12"/>
        <v>0</v>
      </c>
      <c r="DL49" s="1228">
        <f t="shared" ca="1" si="12"/>
        <v>0</v>
      </c>
      <c r="DM49" s="1228">
        <f t="shared" ca="1" si="12"/>
        <v>0</v>
      </c>
      <c r="DN49" s="1228">
        <f t="shared" ca="1" si="12"/>
        <v>0</v>
      </c>
      <c r="DO49" s="1228">
        <f t="shared" ca="1" si="12"/>
        <v>0</v>
      </c>
      <c r="DP49" s="1228">
        <f t="shared" si="12"/>
        <v>0</v>
      </c>
      <c r="DQ49" s="1228">
        <f t="shared" si="12"/>
        <v>0</v>
      </c>
      <c r="DR49" s="1228">
        <f t="shared" si="12"/>
        <v>0</v>
      </c>
      <c r="DS49" s="1228">
        <f t="shared" si="12"/>
        <v>0</v>
      </c>
      <c r="DT49" s="1228">
        <f t="shared" si="12"/>
        <v>0</v>
      </c>
      <c r="DU49" s="1228">
        <f t="shared" si="12"/>
        <v>0</v>
      </c>
      <c r="DV49" s="1228">
        <f t="shared" si="12"/>
        <v>0</v>
      </c>
      <c r="DW49" s="1228">
        <f t="shared" si="12"/>
        <v>0</v>
      </c>
      <c r="DX49" s="1228"/>
    </row>
    <row r="50" spans="2:128" ht="23" customHeight="1" x14ac:dyDescent="0.3">
      <c r="B50" s="89" vm="180">
        <f ca="1"/>
        <v>45916</v>
      </c>
      <c r="C50" s="89" vm="181">
        <f ca="1"/>
        <v>234.05</v>
      </c>
      <c r="D50" s="1210">
        <f t="shared" ca="1" si="0"/>
        <v>1.1320917772112537E-2</v>
      </c>
      <c r="E50" s="294" t="str" cm="1">
        <f t="array" aca="1" ref="E50" ca="1">_xlfn.IFS(D50&gt;ZPercent,"U",D50&lt;=-ZPercent,"D",TRUE,"Z")</f>
        <v>U</v>
      </c>
      <c r="F50" s="294" t="str">
        <f t="shared" ca="1" si="1"/>
        <v>UU</v>
      </c>
      <c r="G50" s="294" t="str">
        <f t="shared" ca="1" si="2"/>
        <v>DUU</v>
      </c>
      <c r="H50" s="868" t="str">
        <f t="shared" ca="1" si="3"/>
        <v/>
      </c>
      <c r="J50" s="89" vm="182">
        <f ca="1"/>
        <v>45727</v>
      </c>
      <c r="K50" s="89" vm="183">
        <f ca="1"/>
        <v>196.59</v>
      </c>
      <c r="N50" s="868" t="str">
        <f ca="1">IF(F50=[2]Sheet1!O48,"","dif")</f>
        <v>dif</v>
      </c>
      <c r="O50" s="1202"/>
      <c r="P50" s="1194" cm="1">
        <f t="array" aca="1" ref="P50" ca="1">IFERROR(INDEX($S50:$AT50,
       MATCH(TRUE,
             (($R50=R43)*
              (RIGHT($S$47:$AT$47,3)=NewMUP)*
              ($S50:$AT50&gt;0))&gt;0,
       0)),0)</f>
        <v>0</v>
      </c>
      <c r="Q50" s="1290">
        <f ca="1">SUM(S12:INDEX(8:8, COLUMN($S12) +$R$47 - 1))</f>
        <v>24</v>
      </c>
      <c r="R50" s="1234" t="str">
        <f t="shared" ca="1" si="6"/>
        <v>UZD</v>
      </c>
      <c r="S50" s="1227">
        <f t="shared" ref="S50:AS50" ca="1" si="13">IF(S12=0,0,S12/$Q50)</f>
        <v>0</v>
      </c>
      <c r="T50" s="1228">
        <f t="shared" ca="1" si="13"/>
        <v>8.3333333333333329E-2</v>
      </c>
      <c r="U50" s="1228">
        <f t="shared" ca="1" si="13"/>
        <v>0</v>
      </c>
      <c r="V50" s="1228">
        <f t="shared" ca="1" si="13"/>
        <v>0</v>
      </c>
      <c r="W50" s="1228">
        <f t="shared" ca="1" si="13"/>
        <v>0</v>
      </c>
      <c r="X50" s="1228">
        <f t="shared" ca="1" si="13"/>
        <v>0.16666666666666666</v>
      </c>
      <c r="Y50" s="1228">
        <f t="shared" ca="1" si="13"/>
        <v>0</v>
      </c>
      <c r="Z50" s="1228">
        <f t="shared" ca="1" si="13"/>
        <v>0</v>
      </c>
      <c r="AA50" s="1228">
        <f t="shared" ca="1" si="13"/>
        <v>0</v>
      </c>
      <c r="AB50" s="1228">
        <f t="shared" ca="1" si="13"/>
        <v>0</v>
      </c>
      <c r="AC50" s="1228">
        <f t="shared" ca="1" si="13"/>
        <v>0</v>
      </c>
      <c r="AD50" s="1228">
        <f t="shared" ca="1" si="13"/>
        <v>0</v>
      </c>
      <c r="AE50" s="1228">
        <f t="shared" ca="1" si="13"/>
        <v>0</v>
      </c>
      <c r="AF50" s="1228">
        <f t="shared" ca="1" si="13"/>
        <v>0</v>
      </c>
      <c r="AG50" s="1228">
        <f t="shared" ca="1" si="13"/>
        <v>0</v>
      </c>
      <c r="AH50" s="1228">
        <f t="shared" ca="1" si="13"/>
        <v>0</v>
      </c>
      <c r="AI50" s="1228">
        <f t="shared" ca="1" si="13"/>
        <v>0</v>
      </c>
      <c r="AJ50" s="1228">
        <f t="shared" ca="1" si="13"/>
        <v>0</v>
      </c>
      <c r="AK50" s="1228">
        <f t="shared" ca="1" si="13"/>
        <v>0</v>
      </c>
      <c r="AL50" s="1228">
        <f t="shared" ca="1" si="13"/>
        <v>0</v>
      </c>
      <c r="AM50" s="1228">
        <f t="shared" ca="1" si="13"/>
        <v>0</v>
      </c>
      <c r="AN50" s="1228">
        <f t="shared" ca="1" si="13"/>
        <v>0</v>
      </c>
      <c r="AO50" s="1228">
        <f t="shared" ca="1" si="13"/>
        <v>0</v>
      </c>
      <c r="AP50" s="1228">
        <f t="shared" ca="1" si="13"/>
        <v>0</v>
      </c>
      <c r="AQ50" s="1228">
        <f t="shared" ca="1" si="13"/>
        <v>0</v>
      </c>
      <c r="AR50" s="1228">
        <f t="shared" ca="1" si="13"/>
        <v>4.1666666666666664E-2</v>
      </c>
      <c r="AS50" s="1228">
        <f t="shared" ca="1" si="13"/>
        <v>0</v>
      </c>
      <c r="AT50" s="1228">
        <f t="shared" ca="1" si="11"/>
        <v>0</v>
      </c>
      <c r="AU50" s="1228"/>
      <c r="AV50" s="1228"/>
      <c r="AW50" s="1228"/>
      <c r="AX50" s="1228"/>
      <c r="AZ50" s="1228"/>
      <c r="CP50" s="1194" cm="1">
        <f t="array" aca="1" ref="CP50" ca="1">IFERROR(INDEX($CR50:$DU50,
       MATCH(TRUE,
             (($CR50=CQ$43)*
              (RIGHT($CS$47:$DU$47,3)=NewMUP)*
              ($CR50:$DU50&gt;0))&gt;0,
       0)),0)</f>
        <v>0</v>
      </c>
      <c r="CQ50" s="1290">
        <f ca="1">SUM(CS12:INDEX(8:8, COLUMN($CS12) +$CR$47 - 1))</f>
        <v>4</v>
      </c>
      <c r="CR50" s="1203" t="str">
        <f t="shared" ca="1" si="8"/>
        <v>UZD</v>
      </c>
      <c r="CS50" s="1228">
        <f t="shared" ref="CS50:DW50" ca="1" si="14">IF(CS12=0,0,CS12/$Q50)</f>
        <v>0</v>
      </c>
      <c r="CT50" s="1228">
        <f t="shared" ca="1" si="14"/>
        <v>4.1666666666666664E-2</v>
      </c>
      <c r="CU50" s="1228">
        <f t="shared" ca="1" si="14"/>
        <v>0</v>
      </c>
      <c r="CV50" s="1228">
        <f t="shared" ca="1" si="14"/>
        <v>0</v>
      </c>
      <c r="CW50" s="1228">
        <f t="shared" ca="1" si="14"/>
        <v>0</v>
      </c>
      <c r="CX50" s="1228">
        <f t="shared" ca="1" si="14"/>
        <v>4.1666666666666664E-2</v>
      </c>
      <c r="CY50" s="1228">
        <f t="shared" ca="1" si="14"/>
        <v>0</v>
      </c>
      <c r="CZ50" s="1228">
        <f t="shared" ca="1" si="14"/>
        <v>0</v>
      </c>
      <c r="DA50" s="1228">
        <f t="shared" ca="1" si="14"/>
        <v>0</v>
      </c>
      <c r="DB50" s="1228">
        <f t="shared" ca="1" si="14"/>
        <v>0</v>
      </c>
      <c r="DC50" s="1228">
        <f t="shared" ca="1" si="14"/>
        <v>0</v>
      </c>
      <c r="DD50" s="1228">
        <f t="shared" ca="1" si="14"/>
        <v>0</v>
      </c>
      <c r="DE50" s="1228">
        <f t="shared" ca="1" si="14"/>
        <v>0</v>
      </c>
      <c r="DF50" s="1228">
        <f t="shared" ca="1" si="14"/>
        <v>0</v>
      </c>
      <c r="DG50" s="1228">
        <f t="shared" ca="1" si="14"/>
        <v>0</v>
      </c>
      <c r="DH50" s="1228">
        <f t="shared" ca="1" si="14"/>
        <v>0</v>
      </c>
      <c r="DI50" s="1228">
        <f t="shared" ca="1" si="14"/>
        <v>0</v>
      </c>
      <c r="DJ50" s="1228">
        <f t="shared" ca="1" si="14"/>
        <v>0</v>
      </c>
      <c r="DK50" s="1228">
        <f t="shared" ca="1" si="14"/>
        <v>0</v>
      </c>
      <c r="DL50" s="1228">
        <f t="shared" ca="1" si="14"/>
        <v>0</v>
      </c>
      <c r="DM50" s="1228">
        <f t="shared" ca="1" si="14"/>
        <v>0</v>
      </c>
      <c r="DN50" s="1228">
        <f t="shared" ca="1" si="14"/>
        <v>0</v>
      </c>
      <c r="DO50" s="1228">
        <f t="shared" ca="1" si="14"/>
        <v>0</v>
      </c>
      <c r="DP50" s="1228">
        <f t="shared" si="14"/>
        <v>0</v>
      </c>
      <c r="DQ50" s="1228">
        <f t="shared" si="14"/>
        <v>0</v>
      </c>
      <c r="DR50" s="1228">
        <f t="shared" si="14"/>
        <v>0</v>
      </c>
      <c r="DS50" s="1228">
        <f t="shared" si="14"/>
        <v>0</v>
      </c>
      <c r="DT50" s="1228">
        <f t="shared" si="14"/>
        <v>0</v>
      </c>
      <c r="DU50" s="1228">
        <f t="shared" si="14"/>
        <v>0</v>
      </c>
      <c r="DV50" s="1228">
        <f t="shared" si="14"/>
        <v>0</v>
      </c>
      <c r="DW50" s="1228">
        <f t="shared" si="14"/>
        <v>0</v>
      </c>
      <c r="DX50" s="1228"/>
    </row>
    <row r="51" spans="2:128" ht="22" customHeight="1" x14ac:dyDescent="0.3">
      <c r="B51" s="89" vm="184">
        <f ca="1"/>
        <v>45915</v>
      </c>
      <c r="C51" s="89" vm="185">
        <f ca="1"/>
        <v>231.43</v>
      </c>
      <c r="D51" s="1210">
        <f t="shared" ca="1" si="0"/>
        <v>1.4376506684198997E-2</v>
      </c>
      <c r="E51" s="294" t="str" cm="1">
        <f t="array" aca="1" ref="E51" ca="1">_xlfn.IFS(D51&gt;ZPercent,"U",D51&lt;=-ZPercent,"D",TRUE,"Z")</f>
        <v>U</v>
      </c>
      <c r="F51" s="294" t="str">
        <f t="shared" ca="1" si="1"/>
        <v>DU</v>
      </c>
      <c r="G51" s="294" t="str">
        <f t="shared" ca="1" si="2"/>
        <v>ZDU</v>
      </c>
      <c r="H51" s="868" t="str">
        <f t="shared" ca="1" si="3"/>
        <v/>
      </c>
      <c r="J51" s="89" vm="186">
        <f ca="1"/>
        <v>45728</v>
      </c>
      <c r="K51" s="89" vm="187">
        <f ca="1"/>
        <v>198.89</v>
      </c>
      <c r="N51" s="868" t="str">
        <f ca="1">IF(F51=[2]Sheet1!O49,"","dif")</f>
        <v>dif</v>
      </c>
      <c r="O51" s="1202"/>
      <c r="P51" s="1194" cm="1">
        <f t="array" aca="1" ref="P51" ca="1">IFERROR(INDEX($S51:$AT51,
       MATCH(TRUE,
             (($R51=Q47)*
              (RIGHT($S$47:$AT$47,3)=NewMUP)*
              ($S51:$AT51&gt;0))&gt;0,
       0)),0)</f>
        <v>0</v>
      </c>
      <c r="Q51" s="1290">
        <f ca="1">SUM(S13:INDEX(9:9, COLUMN($S13) +$R$47 - 1))</f>
        <v>29</v>
      </c>
      <c r="R51" s="1234" t="str">
        <f t="shared" ca="1" si="6"/>
        <v>UUZ</v>
      </c>
      <c r="S51" s="1227">
        <f t="shared" ref="S51:AS51" ca="1" si="15">IF(S13=0,0,S13/$Q51)</f>
        <v>0</v>
      </c>
      <c r="T51" s="1228">
        <f t="shared" ca="1" si="15"/>
        <v>0</v>
      </c>
      <c r="U51" s="1228">
        <f t="shared" ca="1" si="15"/>
        <v>0.10344827586206896</v>
      </c>
      <c r="V51" s="1228">
        <f t="shared" ca="1" si="15"/>
        <v>0</v>
      </c>
      <c r="W51" s="1228">
        <f t="shared" ca="1" si="15"/>
        <v>0</v>
      </c>
      <c r="X51" s="1228">
        <f t="shared" ca="1" si="15"/>
        <v>0</v>
      </c>
      <c r="Y51" s="1228">
        <f t="shared" ca="1" si="15"/>
        <v>0</v>
      </c>
      <c r="Z51" s="1228">
        <f t="shared" ca="1" si="15"/>
        <v>0</v>
      </c>
      <c r="AA51" s="1228">
        <f t="shared" ca="1" si="15"/>
        <v>0</v>
      </c>
      <c r="AB51" s="1228">
        <f t="shared" ca="1" si="15"/>
        <v>0</v>
      </c>
      <c r="AC51" s="1228">
        <f t="shared" ca="1" si="15"/>
        <v>0</v>
      </c>
      <c r="AD51" s="1228">
        <f t="shared" ca="1" si="15"/>
        <v>0</v>
      </c>
      <c r="AE51" s="1228">
        <f t="shared" ca="1" si="15"/>
        <v>0</v>
      </c>
      <c r="AF51" s="1228">
        <f t="shared" ca="1" si="15"/>
        <v>0</v>
      </c>
      <c r="AG51" s="1228">
        <f t="shared" ca="1" si="15"/>
        <v>0</v>
      </c>
      <c r="AH51" s="1228">
        <f t="shared" ca="1" si="15"/>
        <v>0</v>
      </c>
      <c r="AI51" s="1228">
        <f t="shared" ca="1" si="15"/>
        <v>0</v>
      </c>
      <c r="AJ51" s="1228">
        <f t="shared" ca="1" si="15"/>
        <v>0</v>
      </c>
      <c r="AK51" s="1228">
        <f t="shared" ca="1" si="15"/>
        <v>0</v>
      </c>
      <c r="AL51" s="1228">
        <f t="shared" ca="1" si="15"/>
        <v>0</v>
      </c>
      <c r="AM51" s="1228">
        <f t="shared" ca="1" si="15"/>
        <v>0</v>
      </c>
      <c r="AN51" s="1228">
        <f t="shared" ca="1" si="15"/>
        <v>0</v>
      </c>
      <c r="AO51" s="1228">
        <f t="shared" ca="1" si="15"/>
        <v>0</v>
      </c>
      <c r="AP51" s="1228">
        <f t="shared" ca="1" si="15"/>
        <v>0</v>
      </c>
      <c r="AQ51" s="1228">
        <f t="shared" ca="1" si="15"/>
        <v>6.8965517241379309E-2</v>
      </c>
      <c r="AR51" s="1228">
        <f t="shared" ca="1" si="15"/>
        <v>0</v>
      </c>
      <c r="AS51" s="1228">
        <f t="shared" ca="1" si="15"/>
        <v>0</v>
      </c>
      <c r="AT51" s="1228">
        <f t="shared" ca="1" si="11"/>
        <v>0</v>
      </c>
      <c r="AU51" s="1228"/>
      <c r="AV51" s="1228"/>
      <c r="AW51" s="1228"/>
      <c r="AX51" s="1228"/>
      <c r="AZ51" s="1228"/>
      <c r="CP51" s="1194" cm="1">
        <f t="array" aca="1" ref="CP51" ca="1">IFERROR(INDEX($CR51:$DU51,
       MATCH(TRUE,
             (($CR51=CQ$43)*
              (RIGHT($CS$47:$DU$47,3)=NewMUP)*
              ($CR51:$DU51&gt;0))&gt;0,
       0)),0)</f>
        <v>0</v>
      </c>
      <c r="CQ51" s="1290">
        <f ca="1">SUM(CS13:INDEX(9:9, COLUMN($CS13) +$CR$47 - 1))</f>
        <v>6</v>
      </c>
      <c r="CR51" s="1203" t="str">
        <f t="shared" ca="1" si="8"/>
        <v>UUZ</v>
      </c>
      <c r="CS51" s="1228">
        <f t="shared" ref="CS51:DW51" ca="1" si="16">IF(CS13=0,0,CS13/$Q51)</f>
        <v>0</v>
      </c>
      <c r="CT51" s="1228">
        <f t="shared" ca="1" si="16"/>
        <v>0</v>
      </c>
      <c r="CU51" s="1228">
        <f t="shared" ca="1" si="16"/>
        <v>6.8965517241379309E-2</v>
      </c>
      <c r="CV51" s="1228">
        <f t="shared" ca="1" si="16"/>
        <v>0</v>
      </c>
      <c r="CW51" s="1228">
        <f t="shared" ca="1" si="16"/>
        <v>0</v>
      </c>
      <c r="CX51" s="1228">
        <f t="shared" ca="1" si="16"/>
        <v>0</v>
      </c>
      <c r="CY51" s="1228">
        <f t="shared" ca="1" si="16"/>
        <v>0</v>
      </c>
      <c r="CZ51" s="1228">
        <f t="shared" ca="1" si="16"/>
        <v>0</v>
      </c>
      <c r="DA51" s="1228">
        <f t="shared" ca="1" si="16"/>
        <v>0</v>
      </c>
      <c r="DB51" s="1228">
        <f t="shared" ca="1" si="16"/>
        <v>0</v>
      </c>
      <c r="DC51" s="1228">
        <f t="shared" ca="1" si="16"/>
        <v>0</v>
      </c>
      <c r="DD51" s="1228">
        <f t="shared" ca="1" si="16"/>
        <v>0</v>
      </c>
      <c r="DE51" s="1228">
        <f t="shared" ca="1" si="16"/>
        <v>0</v>
      </c>
      <c r="DF51" s="1228">
        <f t="shared" ca="1" si="16"/>
        <v>0</v>
      </c>
      <c r="DG51" s="1228">
        <f t="shared" ca="1" si="16"/>
        <v>0</v>
      </c>
      <c r="DH51" s="1228">
        <f t="shared" ca="1" si="16"/>
        <v>0</v>
      </c>
      <c r="DI51" s="1228">
        <f t="shared" ca="1" si="16"/>
        <v>0</v>
      </c>
      <c r="DJ51" s="1228">
        <f t="shared" ca="1" si="16"/>
        <v>0</v>
      </c>
      <c r="DK51" s="1228">
        <f t="shared" ca="1" si="16"/>
        <v>0</v>
      </c>
      <c r="DL51" s="1228">
        <f t="shared" ca="1" si="16"/>
        <v>0</v>
      </c>
      <c r="DM51" s="1228">
        <f t="shared" ca="1" si="16"/>
        <v>0</v>
      </c>
      <c r="DN51" s="1228">
        <f t="shared" ca="1" si="16"/>
        <v>0</v>
      </c>
      <c r="DO51" s="1228">
        <f t="shared" ca="1" si="16"/>
        <v>0</v>
      </c>
      <c r="DP51" s="1228">
        <f t="shared" si="16"/>
        <v>0</v>
      </c>
      <c r="DQ51" s="1228">
        <f t="shared" si="16"/>
        <v>0</v>
      </c>
      <c r="DR51" s="1228">
        <f t="shared" si="16"/>
        <v>0</v>
      </c>
      <c r="DS51" s="1228">
        <f t="shared" si="16"/>
        <v>0</v>
      </c>
      <c r="DT51" s="1228">
        <f t="shared" si="16"/>
        <v>0</v>
      </c>
      <c r="DU51" s="1228">
        <f t="shared" si="16"/>
        <v>0</v>
      </c>
      <c r="DV51" s="1228">
        <f t="shared" si="16"/>
        <v>0</v>
      </c>
      <c r="DW51" s="1228">
        <f t="shared" si="16"/>
        <v>0</v>
      </c>
      <c r="DX51" s="1228"/>
    </row>
    <row r="52" spans="2:128" ht="23" customHeight="1" x14ac:dyDescent="0.3">
      <c r="B52" s="89" vm="188">
        <f ca="1"/>
        <v>45912</v>
      </c>
      <c r="C52" s="89" vm="189">
        <f ca="1"/>
        <v>228.15</v>
      </c>
      <c r="D52" s="1210">
        <f t="shared" ca="1" si="0"/>
        <v>-7.8277886497063846E-3</v>
      </c>
      <c r="E52" s="294" t="str" cm="1">
        <f t="array" aca="1" ref="E52" ca="1">_xlfn.IFS(D52&gt;ZPercent,"U",D52&lt;=-ZPercent,"D",TRUE,"Z")</f>
        <v>D</v>
      </c>
      <c r="F52" s="294" t="str">
        <f t="shared" ca="1" si="1"/>
        <v>ZD</v>
      </c>
      <c r="G52" s="294" t="str">
        <f t="shared" ca="1" si="2"/>
        <v>DZD</v>
      </c>
      <c r="H52" s="868" t="str">
        <f t="shared" ca="1" si="3"/>
        <v>ZZ</v>
      </c>
      <c r="J52" s="89" vm="190">
        <f ca="1"/>
        <v>45729</v>
      </c>
      <c r="K52" s="89" vm="191">
        <f ca="1"/>
        <v>193.89</v>
      </c>
      <c r="N52" s="868" t="str">
        <f ca="1">IF(F52=[2]Sheet1!O50,"","dif")</f>
        <v>dif</v>
      </c>
      <c r="O52" s="1202"/>
      <c r="P52" s="1194" cm="1">
        <f t="array" aca="1" ref="P52" ca="1">IFERROR(INDEX($S52:$AT52,
       MATCH(TRUE,
             (($R52=Q48)*
              (RIGHT($S$47:$AT$47,3)=NewMUP)*
              ($S52:$AT52&gt;0))&gt;0,
       0)),0)</f>
        <v>0</v>
      </c>
      <c r="Q52" s="1290">
        <f ca="1">SUM(S14:INDEX(10:10, COLUMN($S14) +$R$47 - 1))</f>
        <v>41</v>
      </c>
      <c r="R52" s="1234" t="str">
        <f t="shared" ca="1" si="6"/>
        <v>DUU</v>
      </c>
      <c r="S52" s="1227">
        <f t="shared" ref="S52:AS52" ca="1" si="17">IF(S14=0,0,S14/$Q52)</f>
        <v>0</v>
      </c>
      <c r="T52" s="1228">
        <f t="shared" ca="1" si="17"/>
        <v>0</v>
      </c>
      <c r="U52" s="1228">
        <f t="shared" ca="1" si="17"/>
        <v>0</v>
      </c>
      <c r="V52" s="1228">
        <f t="shared" ca="1" si="17"/>
        <v>4.878048780487805E-2</v>
      </c>
      <c r="W52" s="1228">
        <f t="shared" ca="1" si="17"/>
        <v>0</v>
      </c>
      <c r="X52" s="1228">
        <f t="shared" ca="1" si="17"/>
        <v>0</v>
      </c>
      <c r="Y52" s="1228">
        <f t="shared" ca="1" si="17"/>
        <v>0</v>
      </c>
      <c r="Z52" s="1228">
        <f t="shared" ca="1" si="17"/>
        <v>0</v>
      </c>
      <c r="AA52" s="1228">
        <f t="shared" ca="1" si="17"/>
        <v>0.17073170731707318</v>
      </c>
      <c r="AB52" s="1228">
        <f t="shared" ca="1" si="17"/>
        <v>7.3170731707317069E-2</v>
      </c>
      <c r="AC52" s="1228">
        <f t="shared" ca="1" si="17"/>
        <v>0</v>
      </c>
      <c r="AD52" s="1228">
        <f t="shared" ca="1" si="17"/>
        <v>0</v>
      </c>
      <c r="AE52" s="1228">
        <f t="shared" ca="1" si="17"/>
        <v>0</v>
      </c>
      <c r="AF52" s="1228">
        <f t="shared" ca="1" si="17"/>
        <v>0</v>
      </c>
      <c r="AG52" s="1228">
        <f t="shared" ca="1" si="17"/>
        <v>0</v>
      </c>
      <c r="AH52" s="1228">
        <f t="shared" ca="1" si="17"/>
        <v>0</v>
      </c>
      <c r="AI52" s="1228">
        <f t="shared" ca="1" si="17"/>
        <v>0</v>
      </c>
      <c r="AJ52" s="1228">
        <f t="shared" ca="1" si="17"/>
        <v>0</v>
      </c>
      <c r="AK52" s="1228">
        <f t="shared" ca="1" si="17"/>
        <v>0</v>
      </c>
      <c r="AL52" s="1228">
        <f t="shared" ca="1" si="17"/>
        <v>0</v>
      </c>
      <c r="AM52" s="1228">
        <f t="shared" ca="1" si="17"/>
        <v>0</v>
      </c>
      <c r="AN52" s="1228">
        <f t="shared" ca="1" si="17"/>
        <v>0</v>
      </c>
      <c r="AO52" s="1228">
        <f t="shared" ca="1" si="17"/>
        <v>0</v>
      </c>
      <c r="AP52" s="1228">
        <f t="shared" ca="1" si="17"/>
        <v>0</v>
      </c>
      <c r="AQ52" s="1228">
        <f t="shared" ca="1" si="17"/>
        <v>0</v>
      </c>
      <c r="AR52" s="1228">
        <f t="shared" ca="1" si="17"/>
        <v>0</v>
      </c>
      <c r="AS52" s="1228">
        <f t="shared" ca="1" si="17"/>
        <v>0</v>
      </c>
      <c r="AT52" s="1228">
        <f t="shared" ca="1" si="11"/>
        <v>0</v>
      </c>
      <c r="AU52" s="1228"/>
      <c r="AV52" s="1228"/>
      <c r="AW52" s="1228"/>
      <c r="AX52" s="1228"/>
      <c r="AZ52" s="1228"/>
      <c r="CP52" s="1194" cm="1">
        <f t="array" aca="1" ref="CP52" ca="1">IFERROR(INDEX($CR52:$DU52,
       MATCH(TRUE,
             (($CR52=CQ$43)*
              (RIGHT($CS$47:$DU$47,3)=NewMUP)*
              ($CR52:$DU52&gt;0))&gt;0,
       0)),0)</f>
        <v>0</v>
      </c>
      <c r="CQ52" s="1290">
        <f ca="1">SUM(CS14:INDEX(10:10, COLUMN($CS14) +$CR$47 - 1))</f>
        <v>10</v>
      </c>
      <c r="CR52" s="1203" t="str">
        <f t="shared" ca="1" si="8"/>
        <v>DUU</v>
      </c>
      <c r="CS52" s="1228">
        <f t="shared" ref="CS52:DW52" ca="1" si="18">IF(CS14=0,0,CS14/$Q52)</f>
        <v>0</v>
      </c>
      <c r="CT52" s="1228">
        <f t="shared" ca="1" si="18"/>
        <v>0</v>
      </c>
      <c r="CU52" s="1228">
        <f t="shared" ca="1" si="18"/>
        <v>0</v>
      </c>
      <c r="CV52" s="1228">
        <f t="shared" ca="1" si="18"/>
        <v>2.4390243902439025E-2</v>
      </c>
      <c r="CW52" s="1228">
        <f t="shared" ca="1" si="18"/>
        <v>0</v>
      </c>
      <c r="CX52" s="1228">
        <f t="shared" ca="1" si="18"/>
        <v>0</v>
      </c>
      <c r="CY52" s="1228">
        <f t="shared" ca="1" si="18"/>
        <v>0</v>
      </c>
      <c r="CZ52" s="1228">
        <f t="shared" ca="1" si="18"/>
        <v>0</v>
      </c>
      <c r="DA52" s="1228">
        <f t="shared" ca="1" si="18"/>
        <v>4.878048780487805E-2</v>
      </c>
      <c r="DB52" s="1228">
        <f t="shared" ca="1" si="18"/>
        <v>2.4390243902439025E-2</v>
      </c>
      <c r="DC52" s="1228">
        <f t="shared" ca="1" si="18"/>
        <v>0</v>
      </c>
      <c r="DD52" s="1228">
        <f t="shared" ca="1" si="18"/>
        <v>0</v>
      </c>
      <c r="DE52" s="1228">
        <f t="shared" ca="1" si="18"/>
        <v>0</v>
      </c>
      <c r="DF52" s="1228">
        <f t="shared" ca="1" si="18"/>
        <v>0</v>
      </c>
      <c r="DG52" s="1228">
        <f t="shared" ca="1" si="18"/>
        <v>0</v>
      </c>
      <c r="DH52" s="1228">
        <f t="shared" ca="1" si="18"/>
        <v>0</v>
      </c>
      <c r="DI52" s="1228">
        <f t="shared" ca="1" si="18"/>
        <v>0</v>
      </c>
      <c r="DJ52" s="1228">
        <f t="shared" ca="1" si="18"/>
        <v>0</v>
      </c>
      <c r="DK52" s="1228">
        <f t="shared" ca="1" si="18"/>
        <v>0</v>
      </c>
      <c r="DL52" s="1228">
        <f t="shared" ca="1" si="18"/>
        <v>0</v>
      </c>
      <c r="DM52" s="1228">
        <f t="shared" ca="1" si="18"/>
        <v>0</v>
      </c>
      <c r="DN52" s="1228">
        <f t="shared" ca="1" si="18"/>
        <v>0</v>
      </c>
      <c r="DO52" s="1228">
        <f t="shared" ca="1" si="18"/>
        <v>0</v>
      </c>
      <c r="DP52" s="1228">
        <f t="shared" si="18"/>
        <v>0</v>
      </c>
      <c r="DQ52" s="1228">
        <f t="shared" si="18"/>
        <v>0</v>
      </c>
      <c r="DR52" s="1228">
        <f t="shared" si="18"/>
        <v>0</v>
      </c>
      <c r="DS52" s="1228">
        <f t="shared" si="18"/>
        <v>0</v>
      </c>
      <c r="DT52" s="1228">
        <f t="shared" si="18"/>
        <v>0</v>
      </c>
      <c r="DU52" s="1228">
        <f t="shared" si="18"/>
        <v>0</v>
      </c>
      <c r="DV52" s="1228">
        <f t="shared" si="18"/>
        <v>0</v>
      </c>
      <c r="DW52" s="1228">
        <f t="shared" si="18"/>
        <v>0</v>
      </c>
      <c r="DX52" s="1228"/>
    </row>
    <row r="53" spans="2:128" x14ac:dyDescent="0.3">
      <c r="B53" s="89" vm="192">
        <f ca="1"/>
        <v>45911</v>
      </c>
      <c r="C53" s="89" vm="193">
        <f ca="1"/>
        <v>229.95</v>
      </c>
      <c r="D53" s="1210">
        <f t="shared" ca="1" si="0"/>
        <v>-1.649806798940754E-3</v>
      </c>
      <c r="E53" s="294" t="str" cm="1">
        <f t="array" aca="1" ref="E53" ca="1">_xlfn.IFS(D53&gt;ZPercent,"U",D53&lt;=-ZPercent,"D",TRUE,"Z")</f>
        <v>Z</v>
      </c>
      <c r="F53" s="294" t="str">
        <f t="shared" ca="1" si="1"/>
        <v>DZ</v>
      </c>
      <c r="G53" s="294" t="str">
        <f t="shared" ca="1" si="2"/>
        <v>UDZ</v>
      </c>
      <c r="H53" s="868" t="str">
        <f t="shared" ca="1" si="3"/>
        <v/>
      </c>
      <c r="J53" s="89" vm="194">
        <f ca="1"/>
        <v>45730</v>
      </c>
      <c r="K53" s="89" vm="195">
        <f ca="1"/>
        <v>197.95</v>
      </c>
      <c r="N53" s="868" t="str">
        <f ca="1">IF(F53=[2]Sheet1!O51,"","dif")</f>
        <v>dif</v>
      </c>
      <c r="O53" s="1202"/>
      <c r="P53" s="1194" cm="1">
        <f t="array" aca="1" ref="P53" ca="1">IFERROR(INDEX($S53:$AT53,
       MATCH(TRUE,
             (($R53=Q49)*
              (RIGHT($S$47:$AT$47,3)=NewMUP)*
              ($S53:$AT53&gt;0))&gt;0,
       0)),0)</f>
        <v>0</v>
      </c>
      <c r="Q53" s="1290">
        <f ca="1">SUM(S15:INDEX(11:11, COLUMN($S15) +$R$47 - 1))</f>
        <v>41</v>
      </c>
      <c r="R53" s="1234" t="str">
        <f t="shared" ca="1" si="6"/>
        <v>ZDU</v>
      </c>
      <c r="S53" s="1227">
        <f t="shared" ref="S53:AS53" ca="1" si="19">IF(S15=0,0,S15/$Q53)</f>
        <v>0</v>
      </c>
      <c r="T53" s="1228">
        <f t="shared" ca="1" si="19"/>
        <v>0</v>
      </c>
      <c r="U53" s="1228">
        <f t="shared" ca="1" si="19"/>
        <v>0</v>
      </c>
      <c r="V53" s="1228">
        <f t="shared" ca="1" si="19"/>
        <v>0</v>
      </c>
      <c r="W53" s="1228">
        <f t="shared" ca="1" si="19"/>
        <v>9.7560975609756101E-2</v>
      </c>
      <c r="X53" s="1228">
        <f t="shared" ca="1" si="19"/>
        <v>0</v>
      </c>
      <c r="Y53" s="1228">
        <f t="shared" ca="1" si="19"/>
        <v>0</v>
      </c>
      <c r="Z53" s="1228">
        <f t="shared" ca="1" si="19"/>
        <v>0</v>
      </c>
      <c r="AA53" s="1228">
        <f t="shared" ca="1" si="19"/>
        <v>0</v>
      </c>
      <c r="AB53" s="1228">
        <f t="shared" ca="1" si="19"/>
        <v>0</v>
      </c>
      <c r="AC53" s="1228">
        <f t="shared" ca="1" si="19"/>
        <v>0</v>
      </c>
      <c r="AD53" s="1228">
        <f t="shared" ca="1" si="19"/>
        <v>0</v>
      </c>
      <c r="AE53" s="1228">
        <f t="shared" ca="1" si="19"/>
        <v>4.878048780487805E-2</v>
      </c>
      <c r="AF53" s="1228">
        <f t="shared" ca="1" si="19"/>
        <v>0</v>
      </c>
      <c r="AG53" s="1228">
        <f t="shared" ca="1" si="19"/>
        <v>0</v>
      </c>
      <c r="AH53" s="1228">
        <f t="shared" ca="1" si="19"/>
        <v>7.3170731707317069E-2</v>
      </c>
      <c r="AI53" s="1228">
        <f t="shared" ca="1" si="19"/>
        <v>0</v>
      </c>
      <c r="AJ53" s="1228">
        <f t="shared" ca="1" si="19"/>
        <v>0</v>
      </c>
      <c r="AK53" s="1228">
        <f t="shared" ca="1" si="19"/>
        <v>0</v>
      </c>
      <c r="AL53" s="1228">
        <f t="shared" ca="1" si="19"/>
        <v>0</v>
      </c>
      <c r="AM53" s="1228">
        <f t="shared" ca="1" si="19"/>
        <v>0</v>
      </c>
      <c r="AN53" s="1228">
        <f t="shared" ca="1" si="19"/>
        <v>0</v>
      </c>
      <c r="AO53" s="1228">
        <f t="shared" ca="1" si="19"/>
        <v>0</v>
      </c>
      <c r="AP53" s="1228">
        <f t="shared" ca="1" si="19"/>
        <v>0</v>
      </c>
      <c r="AQ53" s="1228">
        <f t="shared" ca="1" si="19"/>
        <v>0</v>
      </c>
      <c r="AR53" s="1228">
        <f t="shared" ca="1" si="19"/>
        <v>0</v>
      </c>
      <c r="AS53" s="1228">
        <f t="shared" ca="1" si="19"/>
        <v>0</v>
      </c>
      <c r="AT53" s="1228">
        <f t="shared" ca="1" si="11"/>
        <v>0</v>
      </c>
      <c r="AU53" s="1228"/>
      <c r="AV53" s="1228"/>
      <c r="AW53" s="1228"/>
      <c r="AX53" s="1228"/>
      <c r="AZ53" s="1228"/>
      <c r="CP53" s="1194" cm="1">
        <f t="array" aca="1" ref="CP53" ca="1">IFERROR(INDEX($CR53:$DU53,
       MATCH(TRUE,
             (($CR53=CQ$43)*
              (RIGHT($CS$47:$DU$47,3)=NewMUP)*
              ($CR53:$DU53&gt;0))&gt;0,
       0)),0)</f>
        <v>0</v>
      </c>
      <c r="CQ53" s="1290">
        <f ca="1">SUM(CS15:INDEX(11:11, COLUMN($CS15) +$CR$47 - 1))</f>
        <v>11</v>
      </c>
      <c r="CR53" s="1203" t="str">
        <f t="shared" ca="1" si="8"/>
        <v>ZDU</v>
      </c>
      <c r="CS53" s="1228">
        <f t="shared" ref="CS53:DW53" ca="1" si="20">IF(CS15=0,0,CS15/$Q53)</f>
        <v>0</v>
      </c>
      <c r="CT53" s="1228">
        <f t="shared" ca="1" si="20"/>
        <v>0</v>
      </c>
      <c r="CU53" s="1228">
        <f t="shared" ca="1" si="20"/>
        <v>0</v>
      </c>
      <c r="CV53" s="1228">
        <f t="shared" ca="1" si="20"/>
        <v>0</v>
      </c>
      <c r="CW53" s="1228">
        <f t="shared" ca="1" si="20"/>
        <v>4.878048780487805E-2</v>
      </c>
      <c r="CX53" s="1228">
        <f t="shared" ca="1" si="20"/>
        <v>0</v>
      </c>
      <c r="CY53" s="1228">
        <f t="shared" ca="1" si="20"/>
        <v>0</v>
      </c>
      <c r="CZ53" s="1228">
        <f t="shared" ca="1" si="20"/>
        <v>0</v>
      </c>
      <c r="DA53" s="1228">
        <f t="shared" ca="1" si="20"/>
        <v>0</v>
      </c>
      <c r="DB53" s="1228">
        <f t="shared" ca="1" si="20"/>
        <v>0</v>
      </c>
      <c r="DC53" s="1228">
        <f t="shared" ca="1" si="20"/>
        <v>0</v>
      </c>
      <c r="DD53" s="1228">
        <f t="shared" ca="1" si="20"/>
        <v>0</v>
      </c>
      <c r="DE53" s="1228">
        <f t="shared" ca="1" si="20"/>
        <v>0</v>
      </c>
      <c r="DF53" s="1228">
        <f t="shared" ca="1" si="20"/>
        <v>0</v>
      </c>
      <c r="DG53" s="1228">
        <f t="shared" ca="1" si="20"/>
        <v>0</v>
      </c>
      <c r="DH53" s="1228">
        <f t="shared" ca="1" si="20"/>
        <v>0</v>
      </c>
      <c r="DI53" s="1228">
        <f t="shared" ca="1" si="20"/>
        <v>0</v>
      </c>
      <c r="DJ53" s="1228">
        <f t="shared" ca="1" si="20"/>
        <v>0</v>
      </c>
      <c r="DK53" s="1228">
        <f t="shared" ca="1" si="20"/>
        <v>0</v>
      </c>
      <c r="DL53" s="1228">
        <f t="shared" ca="1" si="20"/>
        <v>0</v>
      </c>
      <c r="DM53" s="1228">
        <f t="shared" ca="1" si="20"/>
        <v>0</v>
      </c>
      <c r="DN53" s="1228">
        <f t="shared" ca="1" si="20"/>
        <v>0</v>
      </c>
      <c r="DO53" s="1228">
        <f t="shared" ca="1" si="20"/>
        <v>0</v>
      </c>
      <c r="DP53" s="1228">
        <f t="shared" si="20"/>
        <v>0</v>
      </c>
      <c r="DQ53" s="1228">
        <f t="shared" si="20"/>
        <v>0</v>
      </c>
      <c r="DR53" s="1228">
        <f t="shared" si="20"/>
        <v>0</v>
      </c>
      <c r="DS53" s="1228">
        <f t="shared" si="20"/>
        <v>0</v>
      </c>
      <c r="DT53" s="1228">
        <f t="shared" si="20"/>
        <v>0</v>
      </c>
      <c r="DU53" s="1228">
        <f t="shared" si="20"/>
        <v>0</v>
      </c>
      <c r="DV53" s="1228">
        <f t="shared" si="20"/>
        <v>0</v>
      </c>
      <c r="DW53" s="1228">
        <f t="shared" si="20"/>
        <v>0</v>
      </c>
      <c r="DX53" s="1228"/>
    </row>
    <row r="54" spans="2:128" x14ac:dyDescent="0.3">
      <c r="B54" s="89" vm="196">
        <f ca="1"/>
        <v>45910</v>
      </c>
      <c r="C54" s="89" vm="197">
        <f ca="1"/>
        <v>230.33</v>
      </c>
      <c r="D54" s="1210">
        <f t="shared" ca="1" si="0"/>
        <v>-3.3201813297515093E-2</v>
      </c>
      <c r="E54" s="294" t="str" cm="1">
        <f t="array" aca="1" ref="E54" ca="1">_xlfn.IFS(D54&gt;ZPercent,"U",D54&lt;=-ZPercent,"D",TRUE,"Z")</f>
        <v>D</v>
      </c>
      <c r="F54" s="294" t="str">
        <f t="shared" ca="1" si="1"/>
        <v>UD</v>
      </c>
      <c r="G54" s="294" t="str">
        <f t="shared" ca="1" si="2"/>
        <v>UUD</v>
      </c>
      <c r="H54" s="868" t="str">
        <f t="shared" ca="1" si="3"/>
        <v/>
      </c>
      <c r="J54" s="89" vm="198">
        <f ca="1"/>
        <v>45733</v>
      </c>
      <c r="K54" s="89" vm="199">
        <f ca="1"/>
        <v>195.74</v>
      </c>
      <c r="N54" s="868" t="str">
        <f ca="1">IF(F54=[2]Sheet1!O52,"","dif")</f>
        <v>dif</v>
      </c>
      <c r="O54" s="1202"/>
      <c r="P54" s="1194" cm="1">
        <f t="array" aca="1" ref="P54" ca="1">IFERROR(INDEX($S54:$AT54,
       MATCH(TRUE,
             (($R54=Q50)*
              (RIGHT($S$47:$AT$47,3)=NewMUP)*
              ($S54:$AT54&gt;0))&gt;0,
       0)),0)</f>
        <v>0</v>
      </c>
      <c r="Q54" s="1290">
        <f ca="1">SUM(S16:INDEX(12:12, COLUMN($S16) +$R$47 - 1))</f>
        <v>41</v>
      </c>
      <c r="R54" s="1234" t="str">
        <f t="shared" ca="1" si="6"/>
        <v>DZD</v>
      </c>
      <c r="S54" s="1227">
        <f t="shared" ref="S54:AS54" ca="1" si="21">IF(S16=0,0,S16/$Q54)</f>
        <v>0</v>
      </c>
      <c r="T54" s="1228">
        <f t="shared" ca="1" si="21"/>
        <v>7.3170731707317069E-2</v>
      </c>
      <c r="U54" s="1228">
        <f t="shared" ca="1" si="21"/>
        <v>0</v>
      </c>
      <c r="V54" s="1228">
        <f t="shared" ca="1" si="21"/>
        <v>0</v>
      </c>
      <c r="W54" s="1228">
        <f t="shared" ca="1" si="21"/>
        <v>0</v>
      </c>
      <c r="X54" s="1228">
        <f t="shared" ca="1" si="21"/>
        <v>0.12195121951219512</v>
      </c>
      <c r="Y54" s="1228">
        <f t="shared" ca="1" si="21"/>
        <v>0</v>
      </c>
      <c r="Z54" s="1228">
        <f t="shared" ca="1" si="21"/>
        <v>0</v>
      </c>
      <c r="AA54" s="1228">
        <f t="shared" ca="1" si="21"/>
        <v>0</v>
      </c>
      <c r="AB54" s="1228">
        <f t="shared" ca="1" si="21"/>
        <v>0</v>
      </c>
      <c r="AC54" s="1228">
        <f t="shared" ca="1" si="21"/>
        <v>0</v>
      </c>
      <c r="AD54" s="1228">
        <f t="shared" ca="1" si="21"/>
        <v>0</v>
      </c>
      <c r="AE54" s="1228">
        <f t="shared" ca="1" si="21"/>
        <v>0</v>
      </c>
      <c r="AF54" s="1228">
        <f t="shared" ca="1" si="21"/>
        <v>0</v>
      </c>
      <c r="AG54" s="1228">
        <f t="shared" ca="1" si="21"/>
        <v>0</v>
      </c>
      <c r="AH54" s="1228">
        <f t="shared" ca="1" si="21"/>
        <v>0</v>
      </c>
      <c r="AI54" s="1228">
        <f t="shared" ca="1" si="21"/>
        <v>0</v>
      </c>
      <c r="AJ54" s="1228">
        <f t="shared" ca="1" si="21"/>
        <v>0</v>
      </c>
      <c r="AK54" s="1228">
        <f t="shared" ca="1" si="21"/>
        <v>0</v>
      </c>
      <c r="AL54" s="1228">
        <f t="shared" ca="1" si="21"/>
        <v>0</v>
      </c>
      <c r="AM54" s="1228">
        <f t="shared" ca="1" si="21"/>
        <v>0</v>
      </c>
      <c r="AN54" s="1228">
        <f t="shared" ca="1" si="21"/>
        <v>0</v>
      </c>
      <c r="AO54" s="1228">
        <f t="shared" ca="1" si="21"/>
        <v>0</v>
      </c>
      <c r="AP54" s="1228">
        <f t="shared" ca="1" si="21"/>
        <v>0</v>
      </c>
      <c r="AQ54" s="1228">
        <f t="shared" ca="1" si="21"/>
        <v>0</v>
      </c>
      <c r="AR54" s="1228">
        <f t="shared" ca="1" si="21"/>
        <v>0</v>
      </c>
      <c r="AS54" s="1228">
        <f t="shared" ca="1" si="21"/>
        <v>0</v>
      </c>
      <c r="AT54" s="1228">
        <f t="shared" ca="1" si="11"/>
        <v>0</v>
      </c>
      <c r="AU54" s="1228"/>
      <c r="AV54" s="1228"/>
      <c r="AW54" s="1228"/>
      <c r="AX54" s="1228"/>
      <c r="AZ54" s="1228"/>
      <c r="CP54" s="1194" cm="1">
        <f t="array" aca="1" ref="CP54" ca="1">IFERROR(INDEX($CR54:$DU54,
       MATCH(TRUE,
             (($CR54=CQ$43)*
              (RIGHT($CS$47:$DU$47,3)=NewMUP)*
              ($CR54:$DU54&gt;0))&gt;0,
       0)),0)</f>
        <v>0</v>
      </c>
      <c r="CQ54" s="1290">
        <f ca="1">SUM(CS16:INDEX(12:12, COLUMN($CS16) +$CR$47 - 1))</f>
        <v>11</v>
      </c>
      <c r="CR54" s="1203" t="str">
        <f t="shared" ca="1" si="8"/>
        <v>DZD</v>
      </c>
      <c r="CS54" s="1228">
        <f t="shared" ref="CS54:DW54" ca="1" si="22">IF(CS16=0,0,CS16/$Q54)</f>
        <v>0</v>
      </c>
      <c r="CT54" s="1228">
        <f t="shared" ca="1" si="22"/>
        <v>0</v>
      </c>
      <c r="CU54" s="1228">
        <f t="shared" ca="1" si="22"/>
        <v>0</v>
      </c>
      <c r="CV54" s="1228">
        <f t="shared" ca="1" si="22"/>
        <v>0</v>
      </c>
      <c r="CW54" s="1228">
        <f t="shared" ca="1" si="22"/>
        <v>0</v>
      </c>
      <c r="CX54" s="1228">
        <f t="shared" ca="1" si="22"/>
        <v>2.4390243902439025E-2</v>
      </c>
      <c r="CY54" s="1228">
        <f t="shared" ca="1" si="22"/>
        <v>0</v>
      </c>
      <c r="CZ54" s="1228">
        <f t="shared" ca="1" si="22"/>
        <v>0</v>
      </c>
      <c r="DA54" s="1228">
        <f t="shared" ca="1" si="22"/>
        <v>0</v>
      </c>
      <c r="DB54" s="1228">
        <f t="shared" ca="1" si="22"/>
        <v>0</v>
      </c>
      <c r="DC54" s="1228">
        <f t="shared" ca="1" si="22"/>
        <v>0</v>
      </c>
      <c r="DD54" s="1228">
        <f t="shared" ca="1" si="22"/>
        <v>0</v>
      </c>
      <c r="DE54" s="1228">
        <f t="shared" ca="1" si="22"/>
        <v>0</v>
      </c>
      <c r="DF54" s="1228">
        <f t="shared" ca="1" si="22"/>
        <v>0</v>
      </c>
      <c r="DG54" s="1228">
        <f t="shared" ca="1" si="22"/>
        <v>0</v>
      </c>
      <c r="DH54" s="1228">
        <f t="shared" ca="1" si="22"/>
        <v>0</v>
      </c>
      <c r="DI54" s="1228">
        <f t="shared" ca="1" si="22"/>
        <v>0</v>
      </c>
      <c r="DJ54" s="1228">
        <f t="shared" ca="1" si="22"/>
        <v>0</v>
      </c>
      <c r="DK54" s="1228">
        <f t="shared" ca="1" si="22"/>
        <v>0</v>
      </c>
      <c r="DL54" s="1228">
        <f t="shared" ca="1" si="22"/>
        <v>0</v>
      </c>
      <c r="DM54" s="1228">
        <f t="shared" ca="1" si="22"/>
        <v>0</v>
      </c>
      <c r="DN54" s="1228">
        <f t="shared" ca="1" si="22"/>
        <v>0</v>
      </c>
      <c r="DO54" s="1228">
        <f t="shared" ca="1" si="22"/>
        <v>0</v>
      </c>
      <c r="DP54" s="1228">
        <f t="shared" si="22"/>
        <v>0</v>
      </c>
      <c r="DQ54" s="1228">
        <f t="shared" si="22"/>
        <v>0</v>
      </c>
      <c r="DR54" s="1228">
        <f t="shared" si="22"/>
        <v>0</v>
      </c>
      <c r="DS54" s="1228">
        <f t="shared" si="22"/>
        <v>0</v>
      </c>
      <c r="DT54" s="1228">
        <f t="shared" si="22"/>
        <v>0</v>
      </c>
      <c r="DU54" s="1228">
        <f t="shared" si="22"/>
        <v>0</v>
      </c>
      <c r="DV54" s="1228">
        <f t="shared" si="22"/>
        <v>0</v>
      </c>
      <c r="DW54" s="1228">
        <f t="shared" si="22"/>
        <v>0</v>
      </c>
      <c r="DX54" s="1228"/>
    </row>
    <row r="55" spans="2:128" x14ac:dyDescent="0.3">
      <c r="B55" s="89" vm="200">
        <f ca="1"/>
        <v>45909</v>
      </c>
      <c r="C55" s="89" vm="201">
        <f ca="1"/>
        <v>238.24</v>
      </c>
      <c r="D55" s="1210">
        <f t="shared" ca="1" si="0"/>
        <v>1.0176390773405724E-2</v>
      </c>
      <c r="E55" s="294" t="str" cm="1">
        <f t="array" aca="1" ref="E55" ca="1">_xlfn.IFS(D55&gt;ZPercent,"U",D55&lt;=-ZPercent,"D",TRUE,"Z")</f>
        <v>U</v>
      </c>
      <c r="F55" s="294" t="str">
        <f t="shared" ca="1" si="1"/>
        <v>UU</v>
      </c>
      <c r="G55" s="294" t="str">
        <f t="shared" ca="1" si="2"/>
        <v>DUU</v>
      </c>
      <c r="H55" s="868" t="str">
        <f t="shared" ca="1" si="3"/>
        <v/>
      </c>
      <c r="J55" s="89" vm="202">
        <f ca="1"/>
        <v>45734</v>
      </c>
      <c r="K55" s="89" vm="203">
        <f ca="1"/>
        <v>192.82</v>
      </c>
      <c r="N55" s="868" t="str">
        <f ca="1">IF(F55=[2]Sheet1!O53,"","dif")</f>
        <v>dif</v>
      </c>
      <c r="O55" s="1202"/>
      <c r="P55" s="1194" cm="1">
        <f t="array" aca="1" ref="P55" ca="1">IFERROR(INDEX($S55:$AT55,
       MATCH(TRUE,
             (($R55=Q51)*
              (RIGHT($S$47:$AT$47,3)=NewMUP)*
              ($S55:$AT55&gt;0))&gt;0,
       0)),0)</f>
        <v>0</v>
      </c>
      <c r="Q55" s="1290">
        <f ca="1">SUM(S17:INDEX(13:13, COLUMN($S17) +$R$47 - 1))</f>
        <v>45</v>
      </c>
      <c r="R55" s="1234" t="str">
        <f t="shared" ca="1" si="6"/>
        <v>UDZ</v>
      </c>
      <c r="S55" s="1227">
        <f t="shared" ref="S55:AS55" ca="1" si="23">IF(S17=0,0,S17/$Q55)</f>
        <v>0</v>
      </c>
      <c r="T55" s="1228">
        <f t="shared" ca="1" si="23"/>
        <v>0</v>
      </c>
      <c r="U55" s="1228">
        <f t="shared" ca="1" si="23"/>
        <v>0</v>
      </c>
      <c r="V55" s="1228">
        <f t="shared" ca="1" si="23"/>
        <v>0</v>
      </c>
      <c r="W55" s="1228">
        <f t="shared" ca="1" si="23"/>
        <v>0</v>
      </c>
      <c r="X55" s="1228">
        <f t="shared" ca="1" si="23"/>
        <v>0</v>
      </c>
      <c r="Y55" s="1228">
        <f t="shared" ca="1" si="23"/>
        <v>0.1111111111111111</v>
      </c>
      <c r="Z55" s="1228">
        <f t="shared" ca="1" si="23"/>
        <v>0</v>
      </c>
      <c r="AA55" s="1228">
        <f t="shared" ca="1" si="23"/>
        <v>0</v>
      </c>
      <c r="AB55" s="1228">
        <f t="shared" ca="1" si="23"/>
        <v>0</v>
      </c>
      <c r="AC55" s="1228">
        <f t="shared" ca="1" si="23"/>
        <v>0</v>
      </c>
      <c r="AD55" s="1228">
        <f t="shared" ca="1" si="23"/>
        <v>0</v>
      </c>
      <c r="AE55" s="1228">
        <f t="shared" ca="1" si="23"/>
        <v>0</v>
      </c>
      <c r="AF55" s="1228">
        <f t="shared" ca="1" si="23"/>
        <v>0</v>
      </c>
      <c r="AG55" s="1228">
        <f t="shared" ca="1" si="23"/>
        <v>0</v>
      </c>
      <c r="AH55" s="1228">
        <f t="shared" ca="1" si="23"/>
        <v>0</v>
      </c>
      <c r="AI55" s="1228">
        <f t="shared" ca="1" si="23"/>
        <v>0</v>
      </c>
      <c r="AJ55" s="1228">
        <f t="shared" ca="1" si="23"/>
        <v>6.6666666666666666E-2</v>
      </c>
      <c r="AK55" s="1228">
        <f t="shared" ca="1" si="23"/>
        <v>0</v>
      </c>
      <c r="AL55" s="1228">
        <f t="shared" ca="1" si="23"/>
        <v>0</v>
      </c>
      <c r="AM55" s="1228">
        <f t="shared" ca="1" si="23"/>
        <v>6.6666666666666666E-2</v>
      </c>
      <c r="AN55" s="1228">
        <f t="shared" ca="1" si="23"/>
        <v>0</v>
      </c>
      <c r="AO55" s="1228">
        <f t="shared" ca="1" si="23"/>
        <v>0</v>
      </c>
      <c r="AP55" s="1228">
        <f t="shared" ca="1" si="23"/>
        <v>0</v>
      </c>
      <c r="AQ55" s="1228">
        <f t="shared" ca="1" si="23"/>
        <v>0</v>
      </c>
      <c r="AR55" s="1228">
        <f t="shared" ca="1" si="23"/>
        <v>0</v>
      </c>
      <c r="AS55" s="1228">
        <f t="shared" ca="1" si="23"/>
        <v>0</v>
      </c>
      <c r="AT55" s="1228">
        <f t="shared" ca="1" si="11"/>
        <v>0</v>
      </c>
      <c r="AU55" s="1228"/>
      <c r="AV55" s="1228"/>
      <c r="AW55" s="1228"/>
      <c r="AX55" s="1228"/>
      <c r="AZ55" s="1228"/>
      <c r="CP55" s="1194" cm="1">
        <f t="array" aca="1" ref="CP55" ca="1">IFERROR(INDEX($CR55:$DU55,
       MATCH(TRUE,
             (($CR55=CQ$43)*
              (RIGHT($CS$47:$DU$47,3)=NewMUP)*
              ($CR55:$DU55&gt;0))&gt;0,
       0)),0)</f>
        <v>0</v>
      </c>
      <c r="CQ55" s="1290">
        <f ca="1">SUM(CS17:INDEX(13:13, COLUMN($CS17) +$CR$47 - 1))</f>
        <v>10</v>
      </c>
      <c r="CR55" s="1203" t="str">
        <f t="shared" ca="1" si="8"/>
        <v>UDZ</v>
      </c>
      <c r="CS55" s="1228">
        <f t="shared" ref="CS55:DW55" ca="1" si="24">IF(CS17=0,0,CS17/$Q55)</f>
        <v>0</v>
      </c>
      <c r="CT55" s="1228">
        <f t="shared" ca="1" si="24"/>
        <v>0</v>
      </c>
      <c r="CU55" s="1228">
        <f t="shared" ca="1" si="24"/>
        <v>0</v>
      </c>
      <c r="CV55" s="1228">
        <f t="shared" ca="1" si="24"/>
        <v>0</v>
      </c>
      <c r="CW55" s="1228">
        <f t="shared" ca="1" si="24"/>
        <v>0</v>
      </c>
      <c r="CX55" s="1228">
        <f t="shared" ca="1" si="24"/>
        <v>0</v>
      </c>
      <c r="CY55" s="1228">
        <f t="shared" ca="1" si="24"/>
        <v>2.2222222222222223E-2</v>
      </c>
      <c r="CZ55" s="1228">
        <f t="shared" ca="1" si="24"/>
        <v>0</v>
      </c>
      <c r="DA55" s="1228">
        <f t="shared" ca="1" si="24"/>
        <v>0</v>
      </c>
      <c r="DB55" s="1228">
        <f t="shared" ca="1" si="24"/>
        <v>0</v>
      </c>
      <c r="DC55" s="1228">
        <f t="shared" ca="1" si="24"/>
        <v>0</v>
      </c>
      <c r="DD55" s="1228">
        <f t="shared" ca="1" si="24"/>
        <v>0</v>
      </c>
      <c r="DE55" s="1228">
        <f t="shared" ca="1" si="24"/>
        <v>0</v>
      </c>
      <c r="DF55" s="1228">
        <f t="shared" ca="1" si="24"/>
        <v>0</v>
      </c>
      <c r="DG55" s="1228">
        <f t="shared" ca="1" si="24"/>
        <v>0</v>
      </c>
      <c r="DH55" s="1228">
        <f t="shared" ca="1" si="24"/>
        <v>0</v>
      </c>
      <c r="DI55" s="1228">
        <f t="shared" ca="1" si="24"/>
        <v>0</v>
      </c>
      <c r="DJ55" s="1228">
        <f t="shared" ca="1" si="24"/>
        <v>0</v>
      </c>
      <c r="DK55" s="1228">
        <f t="shared" ca="1" si="24"/>
        <v>0</v>
      </c>
      <c r="DL55" s="1228">
        <f t="shared" ca="1" si="24"/>
        <v>0</v>
      </c>
      <c r="DM55" s="1228">
        <f t="shared" ca="1" si="24"/>
        <v>0</v>
      </c>
      <c r="DN55" s="1228">
        <f t="shared" ca="1" si="24"/>
        <v>0</v>
      </c>
      <c r="DO55" s="1228">
        <f t="shared" ca="1" si="24"/>
        <v>0</v>
      </c>
      <c r="DP55" s="1228">
        <f t="shared" si="24"/>
        <v>0</v>
      </c>
      <c r="DQ55" s="1228">
        <f t="shared" si="24"/>
        <v>0</v>
      </c>
      <c r="DR55" s="1228">
        <f t="shared" si="24"/>
        <v>0</v>
      </c>
      <c r="DS55" s="1228">
        <f t="shared" si="24"/>
        <v>0</v>
      </c>
      <c r="DT55" s="1228">
        <f t="shared" si="24"/>
        <v>0</v>
      </c>
      <c r="DU55" s="1228">
        <f t="shared" si="24"/>
        <v>0</v>
      </c>
      <c r="DV55" s="1228">
        <f t="shared" si="24"/>
        <v>0</v>
      </c>
      <c r="DW55" s="1228">
        <f t="shared" si="24"/>
        <v>0</v>
      </c>
      <c r="DX55" s="1228"/>
    </row>
    <row r="56" spans="2:128" x14ac:dyDescent="0.3">
      <c r="B56" s="89" vm="204">
        <f ca="1"/>
        <v>45908</v>
      </c>
      <c r="C56" s="89" vm="205">
        <f ca="1"/>
        <v>235.84</v>
      </c>
      <c r="D56" s="1210">
        <f t="shared" ca="1" si="0"/>
        <v>1.5107820772177467E-2</v>
      </c>
      <c r="E56" s="294" t="str" cm="1">
        <f t="array" aca="1" ref="E56" ca="1">_xlfn.IFS(D56&gt;ZPercent,"U",D56&lt;=-ZPercent,"D",TRUE,"Z")</f>
        <v>U</v>
      </c>
      <c r="F56" s="294" t="str">
        <f t="shared" ca="1" si="1"/>
        <v>DU</v>
      </c>
      <c r="G56" s="294" t="str">
        <f t="shared" ca="1" si="2"/>
        <v>UDU</v>
      </c>
      <c r="H56" s="868" t="str">
        <f t="shared" ca="1" si="3"/>
        <v/>
      </c>
      <c r="J56" s="89" vm="206">
        <f ca="1"/>
        <v>45735</v>
      </c>
      <c r="K56" s="89" vm="207">
        <f ca="1"/>
        <v>195.54</v>
      </c>
      <c r="N56" s="868" t="str">
        <f ca="1">IF(F56=[2]Sheet1!O54,"","dif")</f>
        <v>dif</v>
      </c>
      <c r="O56" s="1202"/>
      <c r="P56" s="1194" cm="1">
        <f t="array" aca="1" ref="P56" ca="1">IFERROR(INDEX($S56:$AT56,
       MATCH(TRUE,
             (($R56=Q52)*
              (RIGHT($S$47:$AT$47,3)=NewMUP)*
              ($S56:$AT56&gt;0))&gt;0,
       0)),0)</f>
        <v>0</v>
      </c>
      <c r="Q56" s="1290">
        <f ca="1">SUM(S18:INDEX(14:14, COLUMN($S18) +$R$47 - 1))</f>
        <v>53</v>
      </c>
      <c r="R56" s="1234" t="str">
        <f t="shared" ca="1" si="6"/>
        <v>UUD</v>
      </c>
      <c r="S56" s="1227">
        <f t="shared" ref="S56:AS56" ca="1" si="25">IF(S18=0,0,S18/$Q56)</f>
        <v>0</v>
      </c>
      <c r="T56" s="1228">
        <f t="shared" ca="1" si="25"/>
        <v>0</v>
      </c>
      <c r="U56" s="1228">
        <f t="shared" ca="1" si="25"/>
        <v>0</v>
      </c>
      <c r="V56" s="1228">
        <f t="shared" ca="1" si="25"/>
        <v>0</v>
      </c>
      <c r="W56" s="1228">
        <f t="shared" ca="1" si="25"/>
        <v>0</v>
      </c>
      <c r="X56" s="1228">
        <f t="shared" ca="1" si="25"/>
        <v>0</v>
      </c>
      <c r="Y56" s="1228">
        <f t="shared" ca="1" si="25"/>
        <v>0</v>
      </c>
      <c r="Z56" s="1228">
        <f t="shared" ca="1" si="25"/>
        <v>0.15094339622641509</v>
      </c>
      <c r="AA56" s="1228">
        <f t="shared" ca="1" si="25"/>
        <v>0</v>
      </c>
      <c r="AB56" s="1228">
        <f t="shared" ca="1" si="25"/>
        <v>0</v>
      </c>
      <c r="AC56" s="1228">
        <f t="shared" ca="1" si="25"/>
        <v>5.6603773584905662E-2</v>
      </c>
      <c r="AD56" s="1228">
        <f t="shared" ca="1" si="25"/>
        <v>0</v>
      </c>
      <c r="AE56" s="1228">
        <f t="shared" ca="1" si="25"/>
        <v>0</v>
      </c>
      <c r="AF56" s="1228">
        <f t="shared" ca="1" si="25"/>
        <v>0</v>
      </c>
      <c r="AG56" s="1228">
        <f t="shared" ca="1" si="25"/>
        <v>0</v>
      </c>
      <c r="AH56" s="1228">
        <f t="shared" ca="1" si="25"/>
        <v>0</v>
      </c>
      <c r="AI56" s="1228">
        <f t="shared" ca="1" si="25"/>
        <v>0</v>
      </c>
      <c r="AJ56" s="1228">
        <f t="shared" ca="1" si="25"/>
        <v>0</v>
      </c>
      <c r="AK56" s="1228">
        <f t="shared" ca="1" si="25"/>
        <v>0</v>
      </c>
      <c r="AL56" s="1228">
        <f t="shared" ca="1" si="25"/>
        <v>0</v>
      </c>
      <c r="AM56" s="1228">
        <f t="shared" ca="1" si="25"/>
        <v>0</v>
      </c>
      <c r="AN56" s="1228">
        <f t="shared" ca="1" si="25"/>
        <v>3.7735849056603772E-2</v>
      </c>
      <c r="AO56" s="1228">
        <f t="shared" ca="1" si="25"/>
        <v>0</v>
      </c>
      <c r="AP56" s="1228">
        <f t="shared" ca="1" si="25"/>
        <v>0</v>
      </c>
      <c r="AQ56" s="1228">
        <f t="shared" ca="1" si="25"/>
        <v>0</v>
      </c>
      <c r="AR56" s="1228">
        <f t="shared" ca="1" si="25"/>
        <v>0</v>
      </c>
      <c r="AS56" s="1228">
        <f t="shared" ca="1" si="25"/>
        <v>0</v>
      </c>
      <c r="AT56" s="1228">
        <f t="shared" ca="1" si="11"/>
        <v>0</v>
      </c>
      <c r="AU56" s="1228"/>
      <c r="AV56" s="1228"/>
      <c r="AW56" s="1228"/>
      <c r="AX56" s="1228"/>
      <c r="AZ56" s="1228"/>
      <c r="CP56" s="1194" cm="1">
        <f t="array" aca="1" ref="CP56" ca="1">IFERROR(INDEX($CR56:$DU56,
       MATCH(TRUE,
             (($CR56=CQ$43)*
              (RIGHT($CS$47:$DU$47,3)=NewMUP)*
              ($CR56:$DU56&gt;0))&gt;0,
       0)),0)</f>
        <v>0</v>
      </c>
      <c r="CQ56" s="1290">
        <f ca="1">SUM(CS18:INDEX(14:14, COLUMN($CS18) +$CR$47 - 1))</f>
        <v>10</v>
      </c>
      <c r="CR56" s="1203" t="str">
        <f t="shared" ca="1" si="8"/>
        <v>UUD</v>
      </c>
      <c r="CS56" s="1228">
        <f t="shared" ref="CS56:DW56" ca="1" si="26">IF(CS18=0,0,CS18/$Q56)</f>
        <v>0</v>
      </c>
      <c r="CT56" s="1228">
        <f t="shared" ca="1" si="26"/>
        <v>0</v>
      </c>
      <c r="CU56" s="1228">
        <f t="shared" ca="1" si="26"/>
        <v>0</v>
      </c>
      <c r="CV56" s="1228">
        <f t="shared" ca="1" si="26"/>
        <v>0</v>
      </c>
      <c r="CW56" s="1228">
        <f t="shared" ca="1" si="26"/>
        <v>0</v>
      </c>
      <c r="CX56" s="1228">
        <f t="shared" ca="1" si="26"/>
        <v>0</v>
      </c>
      <c r="CY56" s="1228">
        <f t="shared" ca="1" si="26"/>
        <v>0</v>
      </c>
      <c r="CZ56" s="1228">
        <f t="shared" ca="1" si="26"/>
        <v>1.8867924528301886E-2</v>
      </c>
      <c r="DA56" s="1228">
        <f t="shared" ca="1" si="26"/>
        <v>0</v>
      </c>
      <c r="DB56" s="1228">
        <f t="shared" ca="1" si="26"/>
        <v>0</v>
      </c>
      <c r="DC56" s="1228">
        <f t="shared" ca="1" si="26"/>
        <v>1.8867924528301886E-2</v>
      </c>
      <c r="DD56" s="1228">
        <f t="shared" ca="1" si="26"/>
        <v>0</v>
      </c>
      <c r="DE56" s="1228">
        <f t="shared" ca="1" si="26"/>
        <v>0</v>
      </c>
      <c r="DF56" s="1228">
        <f t="shared" ca="1" si="26"/>
        <v>0</v>
      </c>
      <c r="DG56" s="1228">
        <f t="shared" ca="1" si="26"/>
        <v>0</v>
      </c>
      <c r="DH56" s="1228">
        <f t="shared" ca="1" si="26"/>
        <v>0</v>
      </c>
      <c r="DI56" s="1228">
        <f t="shared" ca="1" si="26"/>
        <v>0</v>
      </c>
      <c r="DJ56" s="1228">
        <f t="shared" ca="1" si="26"/>
        <v>0</v>
      </c>
      <c r="DK56" s="1228">
        <f t="shared" ca="1" si="26"/>
        <v>0</v>
      </c>
      <c r="DL56" s="1228">
        <f t="shared" ca="1" si="26"/>
        <v>0</v>
      </c>
      <c r="DM56" s="1228">
        <f t="shared" ca="1" si="26"/>
        <v>0</v>
      </c>
      <c r="DN56" s="1228">
        <f t="shared" ca="1" si="26"/>
        <v>0</v>
      </c>
      <c r="DO56" s="1228">
        <f t="shared" ca="1" si="26"/>
        <v>0</v>
      </c>
      <c r="DP56" s="1228">
        <f t="shared" si="26"/>
        <v>0</v>
      </c>
      <c r="DQ56" s="1228">
        <f t="shared" si="26"/>
        <v>0</v>
      </c>
      <c r="DR56" s="1228">
        <f t="shared" si="26"/>
        <v>0</v>
      </c>
      <c r="DS56" s="1228">
        <f t="shared" si="26"/>
        <v>0</v>
      </c>
      <c r="DT56" s="1228">
        <f t="shared" si="26"/>
        <v>0</v>
      </c>
      <c r="DU56" s="1228">
        <f t="shared" si="26"/>
        <v>0</v>
      </c>
      <c r="DV56" s="1228">
        <f t="shared" si="26"/>
        <v>0</v>
      </c>
      <c r="DW56" s="1228">
        <f t="shared" si="26"/>
        <v>0</v>
      </c>
      <c r="DX56" s="1228"/>
    </row>
    <row r="57" spans="2:128" x14ac:dyDescent="0.3">
      <c r="B57" s="89" vm="208">
        <f ca="1"/>
        <v>45905</v>
      </c>
      <c r="C57" s="89" vm="209">
        <f ca="1"/>
        <v>232.33</v>
      </c>
      <c r="D57" s="1210">
        <f t="shared" ca="1" si="0"/>
        <v>-1.4214188730481985E-2</v>
      </c>
      <c r="E57" s="294" t="str" cm="1">
        <f t="array" aca="1" ref="E57" ca="1">_xlfn.IFS(D57&gt;ZPercent,"U",D57&lt;=-ZPercent,"D",TRUE,"Z")</f>
        <v>D</v>
      </c>
      <c r="F57" s="294" t="str">
        <f t="shared" ca="1" si="1"/>
        <v>UD</v>
      </c>
      <c r="G57" s="294" t="str">
        <f t="shared" ca="1" si="2"/>
        <v>ZUD</v>
      </c>
      <c r="H57" s="868" t="str">
        <f t="shared" ca="1" si="3"/>
        <v/>
      </c>
      <c r="J57" s="89" vm="210">
        <f ca="1"/>
        <v>45736</v>
      </c>
      <c r="K57" s="89" vm="211">
        <f ca="1"/>
        <v>194.95</v>
      </c>
      <c r="N57" s="868" t="str">
        <f ca="1">IF(F57=[2]Sheet1!O55,"","dif")</f>
        <v>dif</v>
      </c>
      <c r="O57" s="1202"/>
      <c r="P57" s="1194" cm="1">
        <f t="array" aca="1" ref="P57" ca="1">IFERROR(INDEX($S57:$AT57,
       MATCH(TRUE,
             (($R57=Q53)*
              (RIGHT($S$47:$AT$47,3)=NewMUP)*
              ($S57:$AT57&gt;0))&gt;0,
       0)),0)</f>
        <v>0</v>
      </c>
      <c r="Q57" s="1290">
        <f ca="1">SUM(S19:INDEX(15:15, COLUMN($S19) +$R$47 - 1))</f>
        <v>49</v>
      </c>
      <c r="R57" s="1234" t="str">
        <f t="shared" ca="1" si="6"/>
        <v>UUU</v>
      </c>
      <c r="S57" s="1227">
        <f t="shared" ref="S57:AS57" ca="1" si="27">IF(S19=0,0,S19/$Q57)</f>
        <v>0</v>
      </c>
      <c r="T57" s="1228">
        <f t="shared" ca="1" si="27"/>
        <v>0</v>
      </c>
      <c r="U57" s="1228">
        <f t="shared" ca="1" si="27"/>
        <v>0</v>
      </c>
      <c r="V57" s="1228">
        <f t="shared" ca="1" si="27"/>
        <v>2.0408163265306121E-2</v>
      </c>
      <c r="W57" s="1228">
        <f t="shared" ca="1" si="27"/>
        <v>0</v>
      </c>
      <c r="X57" s="1228">
        <f t="shared" ca="1" si="27"/>
        <v>0</v>
      </c>
      <c r="Y57" s="1228">
        <f t="shared" ca="1" si="27"/>
        <v>0</v>
      </c>
      <c r="Z57" s="1228">
        <f t="shared" ca="1" si="27"/>
        <v>0</v>
      </c>
      <c r="AA57" s="1228">
        <f t="shared" ca="1" si="27"/>
        <v>6.1224489795918366E-2</v>
      </c>
      <c r="AB57" s="1228">
        <f t="shared" ca="1" si="27"/>
        <v>8.1632653061224483E-2</v>
      </c>
      <c r="AC57" s="1228">
        <f t="shared" ca="1" si="27"/>
        <v>0</v>
      </c>
      <c r="AD57" s="1228">
        <f t="shared" ca="1" si="27"/>
        <v>0</v>
      </c>
      <c r="AE57" s="1228">
        <f t="shared" ca="1" si="27"/>
        <v>0</v>
      </c>
      <c r="AF57" s="1228">
        <f t="shared" ca="1" si="27"/>
        <v>0</v>
      </c>
      <c r="AG57" s="1228">
        <f t="shared" ca="1" si="27"/>
        <v>0</v>
      </c>
      <c r="AH57" s="1228">
        <f t="shared" ca="1" si="27"/>
        <v>0</v>
      </c>
      <c r="AI57" s="1228">
        <f t="shared" ca="1" si="27"/>
        <v>0</v>
      </c>
      <c r="AJ57" s="1228">
        <f t="shared" ca="1" si="27"/>
        <v>0</v>
      </c>
      <c r="AK57" s="1228">
        <f t="shared" ca="1" si="27"/>
        <v>0</v>
      </c>
      <c r="AL57" s="1228">
        <f t="shared" ca="1" si="27"/>
        <v>0</v>
      </c>
      <c r="AM57" s="1228">
        <f t="shared" ca="1" si="27"/>
        <v>0</v>
      </c>
      <c r="AN57" s="1228">
        <f t="shared" ca="1" si="27"/>
        <v>0</v>
      </c>
      <c r="AO57" s="1228">
        <f t="shared" ca="1" si="27"/>
        <v>0</v>
      </c>
      <c r="AP57" s="1228">
        <f t="shared" ca="1" si="27"/>
        <v>0</v>
      </c>
      <c r="AQ57" s="1228">
        <f t="shared" ca="1" si="27"/>
        <v>0</v>
      </c>
      <c r="AR57" s="1228">
        <f t="shared" ca="1" si="27"/>
        <v>0</v>
      </c>
      <c r="AS57" s="1228">
        <f t="shared" ca="1" si="27"/>
        <v>0</v>
      </c>
      <c r="AT57" s="1228">
        <f t="shared" ca="1" si="11"/>
        <v>0</v>
      </c>
      <c r="AU57" s="1228"/>
      <c r="AV57" s="1228"/>
      <c r="AW57" s="1228"/>
      <c r="AX57" s="1228"/>
      <c r="AZ57" s="1228"/>
      <c r="CP57" s="1194" cm="1">
        <f t="array" aca="1" ref="CP57" ca="1">IFERROR(INDEX($CR57:$DU57,
       MATCH(TRUE,
             (($CR57=CQ$43)*
              (RIGHT($CS$47:$DU$47,3)=NewMUP)*
              ($CR57:$DU57&gt;0))&gt;0,
       0)),0)</f>
        <v>0</v>
      </c>
      <c r="CQ57" s="1290">
        <f ca="1">SUM(CS19:INDEX(15:15, COLUMN($CS19) +$CR$47 - 1))</f>
        <v>8</v>
      </c>
      <c r="CR57" s="1203" t="str">
        <f t="shared" ca="1" si="8"/>
        <v>UUU</v>
      </c>
      <c r="CS57" s="1228">
        <f t="shared" ref="CS57:DW57" ca="1" si="28">IF(CS19=0,0,CS19/$Q57)</f>
        <v>0</v>
      </c>
      <c r="CT57" s="1228">
        <f t="shared" ca="1" si="28"/>
        <v>0</v>
      </c>
      <c r="CU57" s="1228">
        <f t="shared" ca="1" si="28"/>
        <v>0</v>
      </c>
      <c r="CV57" s="1228">
        <f t="shared" ca="1" si="28"/>
        <v>2.0408163265306121E-2</v>
      </c>
      <c r="CW57" s="1228">
        <f t="shared" ca="1" si="28"/>
        <v>0</v>
      </c>
      <c r="CX57" s="1228">
        <f t="shared" ca="1" si="28"/>
        <v>0</v>
      </c>
      <c r="CY57" s="1228">
        <f t="shared" ca="1" si="28"/>
        <v>0</v>
      </c>
      <c r="CZ57" s="1228">
        <f t="shared" ca="1" si="28"/>
        <v>0</v>
      </c>
      <c r="DA57" s="1228">
        <f t="shared" ca="1" si="28"/>
        <v>0</v>
      </c>
      <c r="DB57" s="1228">
        <f t="shared" ca="1" si="28"/>
        <v>2.0408163265306121E-2</v>
      </c>
      <c r="DC57" s="1228">
        <f t="shared" ca="1" si="28"/>
        <v>0</v>
      </c>
      <c r="DD57" s="1228">
        <f t="shared" ca="1" si="28"/>
        <v>0</v>
      </c>
      <c r="DE57" s="1228">
        <f t="shared" ca="1" si="28"/>
        <v>0</v>
      </c>
      <c r="DF57" s="1228">
        <f t="shared" ca="1" si="28"/>
        <v>0</v>
      </c>
      <c r="DG57" s="1228">
        <f t="shared" ca="1" si="28"/>
        <v>0</v>
      </c>
      <c r="DH57" s="1228">
        <f t="shared" ca="1" si="28"/>
        <v>0</v>
      </c>
      <c r="DI57" s="1228">
        <f t="shared" ca="1" si="28"/>
        <v>0</v>
      </c>
      <c r="DJ57" s="1228">
        <f t="shared" ca="1" si="28"/>
        <v>0</v>
      </c>
      <c r="DK57" s="1228">
        <f t="shared" ca="1" si="28"/>
        <v>0</v>
      </c>
      <c r="DL57" s="1228">
        <f t="shared" ca="1" si="28"/>
        <v>0</v>
      </c>
      <c r="DM57" s="1228">
        <f t="shared" ca="1" si="28"/>
        <v>0</v>
      </c>
      <c r="DN57" s="1228">
        <f t="shared" ca="1" si="28"/>
        <v>0</v>
      </c>
      <c r="DO57" s="1228">
        <f t="shared" ca="1" si="28"/>
        <v>0</v>
      </c>
      <c r="DP57" s="1228">
        <f t="shared" si="28"/>
        <v>0</v>
      </c>
      <c r="DQ57" s="1228">
        <f t="shared" si="28"/>
        <v>0</v>
      </c>
      <c r="DR57" s="1228">
        <f t="shared" si="28"/>
        <v>0</v>
      </c>
      <c r="DS57" s="1228">
        <f t="shared" si="28"/>
        <v>0</v>
      </c>
      <c r="DT57" s="1228">
        <f t="shared" si="28"/>
        <v>0</v>
      </c>
      <c r="DU57" s="1228">
        <f t="shared" si="28"/>
        <v>0</v>
      </c>
      <c r="DV57" s="1228">
        <f t="shared" si="28"/>
        <v>0</v>
      </c>
      <c r="DW57" s="1228">
        <f t="shared" si="28"/>
        <v>0</v>
      </c>
      <c r="DX57" s="1228"/>
    </row>
    <row r="58" spans="2:128" x14ac:dyDescent="0.3">
      <c r="B58" s="89" vm="212">
        <f ca="1"/>
        <v>45904</v>
      </c>
      <c r="C58" s="89" vm="213">
        <f ca="1"/>
        <v>235.68</v>
      </c>
      <c r="D58" s="1210">
        <f t="shared" ca="1" si="0"/>
        <v>4.2878003451480143E-2</v>
      </c>
      <c r="E58" s="294" t="str" cm="1">
        <f t="array" aca="1" ref="E58" ca="1">_xlfn.IFS(D58&gt;ZPercent,"U",D58&lt;=-ZPercent,"D",TRUE,"Z")</f>
        <v>U</v>
      </c>
      <c r="F58" s="294" t="str">
        <f t="shared" ca="1" si="1"/>
        <v>ZU</v>
      </c>
      <c r="G58" s="294" t="str">
        <f t="shared" ca="1" si="2"/>
        <v>DZU</v>
      </c>
      <c r="H58" s="868" t="str">
        <f t="shared" ca="1" si="3"/>
        <v/>
      </c>
      <c r="J58" s="89" vm="214">
        <f ca="1"/>
        <v>45737</v>
      </c>
      <c r="K58" s="89" vm="215">
        <f ca="1"/>
        <v>196.21</v>
      </c>
      <c r="N58" s="868" t="str">
        <f ca="1">IF(F58=[2]Sheet1!O56,"","dif")</f>
        <v>dif</v>
      </c>
      <c r="O58" s="1202"/>
      <c r="P58" s="1194" cm="1">
        <f t="array" aca="1" ref="P58" ca="1">IFERROR(INDEX($S58:$AT58,
       MATCH(TRUE,
             (($R58=Q54)*
              (RIGHT($S$47:$AT$47,3)=NewMUP)*
              ($S58:$AT58&gt;0))&gt;0,
       0)),0)</f>
        <v>0</v>
      </c>
      <c r="Q58" s="1290">
        <f ca="1">SUM(S20:INDEX(16:16, COLUMN($S20) +$R$47 - 1))</f>
        <v>51</v>
      </c>
      <c r="R58" s="1234" t="str">
        <f t="shared" ca="1" si="6"/>
        <v>UDU</v>
      </c>
      <c r="S58" s="1227">
        <f t="shared" ref="S58:AS58" ca="1" si="29">IF(S20=0,0,S20/$Q58)</f>
        <v>0</v>
      </c>
      <c r="T58" s="1228">
        <f t="shared" ca="1" si="29"/>
        <v>0</v>
      </c>
      <c r="U58" s="1228">
        <f t="shared" ca="1" si="29"/>
        <v>0</v>
      </c>
      <c r="V58" s="1228">
        <f t="shared" ca="1" si="29"/>
        <v>0</v>
      </c>
      <c r="W58" s="1228">
        <f t="shared" ca="1" si="29"/>
        <v>3.9215686274509803E-2</v>
      </c>
      <c r="X58" s="1228">
        <f t="shared" ca="1" si="29"/>
        <v>0</v>
      </c>
      <c r="Y58" s="1228">
        <f t="shared" ca="1" si="29"/>
        <v>0</v>
      </c>
      <c r="Z58" s="1228">
        <f t="shared" ca="1" si="29"/>
        <v>0</v>
      </c>
      <c r="AA58" s="1228">
        <f t="shared" ca="1" si="29"/>
        <v>0</v>
      </c>
      <c r="AB58" s="1228">
        <f t="shared" ca="1" si="29"/>
        <v>0</v>
      </c>
      <c r="AC58" s="1228">
        <f t="shared" ca="1" si="29"/>
        <v>0</v>
      </c>
      <c r="AD58" s="1228">
        <f t="shared" ca="1" si="29"/>
        <v>0</v>
      </c>
      <c r="AE58" s="1228">
        <f t="shared" ca="1" si="29"/>
        <v>0.13725490196078433</v>
      </c>
      <c r="AF58" s="1228">
        <f t="shared" ca="1" si="29"/>
        <v>0</v>
      </c>
      <c r="AG58" s="1228">
        <f t="shared" ca="1" si="29"/>
        <v>0</v>
      </c>
      <c r="AH58" s="1228">
        <f t="shared" ca="1" si="29"/>
        <v>3.9215686274509803E-2</v>
      </c>
      <c r="AI58" s="1228">
        <f t="shared" ca="1" si="29"/>
        <v>0</v>
      </c>
      <c r="AJ58" s="1228">
        <f t="shared" ca="1" si="29"/>
        <v>0</v>
      </c>
      <c r="AK58" s="1228">
        <f t="shared" ca="1" si="29"/>
        <v>0</v>
      </c>
      <c r="AL58" s="1228">
        <f t="shared" ca="1" si="29"/>
        <v>0</v>
      </c>
      <c r="AM58" s="1228">
        <f t="shared" ca="1" si="29"/>
        <v>0</v>
      </c>
      <c r="AN58" s="1228">
        <f t="shared" ca="1" si="29"/>
        <v>0</v>
      </c>
      <c r="AO58" s="1228">
        <f t="shared" ca="1" si="29"/>
        <v>0</v>
      </c>
      <c r="AP58" s="1228">
        <f t="shared" ca="1" si="29"/>
        <v>0</v>
      </c>
      <c r="AQ58" s="1228">
        <f t="shared" ca="1" si="29"/>
        <v>0</v>
      </c>
      <c r="AR58" s="1228">
        <f t="shared" ca="1" si="29"/>
        <v>0</v>
      </c>
      <c r="AS58" s="1228">
        <f t="shared" ca="1" si="29"/>
        <v>0</v>
      </c>
      <c r="AT58" s="1228">
        <f t="shared" ca="1" si="11"/>
        <v>0</v>
      </c>
      <c r="AU58" s="1228"/>
      <c r="AV58" s="1228"/>
      <c r="AW58" s="1228"/>
      <c r="AX58" s="1228"/>
      <c r="AZ58" s="1228"/>
      <c r="CP58" s="1194" cm="1">
        <f t="array" aca="1" ref="CP58" ca="1">IFERROR(INDEX($CR58:$DU58,
       MATCH(TRUE,
             (($CR58=CQ$43)*
              (RIGHT($CS$47:$DU$47,3)=NewMUP)*
              ($CR58:$DU58&gt;0))&gt;0,
       0)),0)</f>
        <v>0</v>
      </c>
      <c r="CQ58" s="1290">
        <f ca="1">SUM(CS20:INDEX(16:16, COLUMN($CS20) +$CR$47 - 1))</f>
        <v>7</v>
      </c>
      <c r="CR58" s="1203" t="str">
        <f t="shared" ca="1" si="8"/>
        <v>UDU</v>
      </c>
      <c r="CS58" s="1228">
        <f t="shared" ref="CS58:DW58" ca="1" si="30">IF(CS20=0,0,CS20/$Q58)</f>
        <v>0</v>
      </c>
      <c r="CT58" s="1228">
        <f t="shared" ca="1" si="30"/>
        <v>0</v>
      </c>
      <c r="CU58" s="1228">
        <f t="shared" ca="1" si="30"/>
        <v>0</v>
      </c>
      <c r="CV58" s="1228">
        <f t="shared" ca="1" si="30"/>
        <v>0</v>
      </c>
      <c r="CW58" s="1228">
        <f t="shared" ca="1" si="30"/>
        <v>1.9607843137254902E-2</v>
      </c>
      <c r="CX58" s="1228">
        <f t="shared" ca="1" si="30"/>
        <v>0</v>
      </c>
      <c r="CY58" s="1228">
        <f t="shared" ca="1" si="30"/>
        <v>0</v>
      </c>
      <c r="CZ58" s="1228">
        <f t="shared" ca="1" si="30"/>
        <v>0</v>
      </c>
      <c r="DA58" s="1228">
        <f t="shared" ca="1" si="30"/>
        <v>0</v>
      </c>
      <c r="DB58" s="1228">
        <f t="shared" ca="1" si="30"/>
        <v>0</v>
      </c>
      <c r="DC58" s="1228">
        <f t="shared" ca="1" si="30"/>
        <v>0</v>
      </c>
      <c r="DD58" s="1228">
        <f t="shared" ca="1" si="30"/>
        <v>0</v>
      </c>
      <c r="DE58" s="1228">
        <f t="shared" ca="1" si="30"/>
        <v>0</v>
      </c>
      <c r="DF58" s="1228">
        <f t="shared" ca="1" si="30"/>
        <v>0</v>
      </c>
      <c r="DG58" s="1228">
        <f t="shared" ca="1" si="30"/>
        <v>0</v>
      </c>
      <c r="DH58" s="1228">
        <f t="shared" ca="1" si="30"/>
        <v>0</v>
      </c>
      <c r="DI58" s="1228">
        <f t="shared" ca="1" si="30"/>
        <v>0</v>
      </c>
      <c r="DJ58" s="1228">
        <f t="shared" ca="1" si="30"/>
        <v>0</v>
      </c>
      <c r="DK58" s="1228">
        <f t="shared" ca="1" si="30"/>
        <v>0</v>
      </c>
      <c r="DL58" s="1228">
        <f t="shared" ca="1" si="30"/>
        <v>0</v>
      </c>
      <c r="DM58" s="1228">
        <f t="shared" ca="1" si="30"/>
        <v>0</v>
      </c>
      <c r="DN58" s="1228">
        <f t="shared" ca="1" si="30"/>
        <v>0</v>
      </c>
      <c r="DO58" s="1228">
        <f t="shared" ca="1" si="30"/>
        <v>0</v>
      </c>
      <c r="DP58" s="1228">
        <f t="shared" si="30"/>
        <v>0</v>
      </c>
      <c r="DQ58" s="1228">
        <f t="shared" si="30"/>
        <v>0</v>
      </c>
      <c r="DR58" s="1228">
        <f t="shared" si="30"/>
        <v>0</v>
      </c>
      <c r="DS58" s="1228">
        <f t="shared" si="30"/>
        <v>0</v>
      </c>
      <c r="DT58" s="1228">
        <f t="shared" si="30"/>
        <v>0</v>
      </c>
      <c r="DU58" s="1228">
        <f t="shared" si="30"/>
        <v>0</v>
      </c>
      <c r="DV58" s="1228">
        <f t="shared" si="30"/>
        <v>0</v>
      </c>
      <c r="DW58" s="1228">
        <f t="shared" si="30"/>
        <v>0</v>
      </c>
      <c r="DX58" s="1228"/>
    </row>
    <row r="59" spans="2:128" x14ac:dyDescent="0.3">
      <c r="B59" s="89" vm="216">
        <f ca="1"/>
        <v>45903</v>
      </c>
      <c r="C59" s="89" vm="217">
        <f ca="1"/>
        <v>225.99</v>
      </c>
      <c r="D59" s="1210">
        <f t="shared" ca="1" si="0"/>
        <v>2.8845300434898629E-3</v>
      </c>
      <c r="E59" s="294" t="str" cm="1">
        <f t="array" aca="1" ref="E59" ca="1">_xlfn.IFS(D59&gt;ZPercent,"U",D59&lt;=-ZPercent,"D",TRUE,"Z")</f>
        <v>Z</v>
      </c>
      <c r="F59" s="294" t="str">
        <f t="shared" ca="1" si="1"/>
        <v>DZ</v>
      </c>
      <c r="G59" s="294" t="str">
        <f t="shared" ca="1" si="2"/>
        <v>DDZ</v>
      </c>
      <c r="H59" s="868" t="str">
        <f t="shared" ca="1" si="3"/>
        <v/>
      </c>
      <c r="J59" s="89" vm="218">
        <f ca="1"/>
        <v>45740</v>
      </c>
      <c r="K59" s="89" vm="219">
        <f ca="1"/>
        <v>203.26</v>
      </c>
      <c r="N59" s="868" t="str">
        <f ca="1">IF(F59=[2]Sheet1!O57,"","dif")</f>
        <v>dif</v>
      </c>
      <c r="O59" s="1202"/>
      <c r="P59" s="1194" cm="1">
        <f t="array" aca="1" ref="P59" ca="1">IFERROR(INDEX($S59:$AT59,
       MATCH(TRUE,
             (($R59=Q55)*
              (RIGHT($S$47:$AT$47,3)=NewMUP)*
              ($S59:$AT59&gt;0))&gt;0,
       0)),0)</f>
        <v>0</v>
      </c>
      <c r="Q59" s="1290">
        <f ca="1">SUM(S21:INDEX(17:17, COLUMN($S21) +$R$47 - 1))</f>
        <v>55</v>
      </c>
      <c r="R59" s="1234" t="str">
        <f t="shared" ca="1" si="6"/>
        <v>DDU</v>
      </c>
      <c r="S59" s="1227">
        <f t="shared" ref="S59:AS59" ca="1" si="31">IF(S21=0,0,S21/$Q59)</f>
        <v>0</v>
      </c>
      <c r="T59" s="1228">
        <f t="shared" ca="1" si="31"/>
        <v>0</v>
      </c>
      <c r="U59" s="1228">
        <f t="shared" ca="1" si="31"/>
        <v>0</v>
      </c>
      <c r="V59" s="1228">
        <f t="shared" ca="1" si="31"/>
        <v>0</v>
      </c>
      <c r="W59" s="1228">
        <f t="shared" ca="1" si="31"/>
        <v>0.10909090909090909</v>
      </c>
      <c r="X59" s="1228">
        <f t="shared" ca="1" si="31"/>
        <v>0</v>
      </c>
      <c r="Y59" s="1228">
        <f t="shared" ca="1" si="31"/>
        <v>0</v>
      </c>
      <c r="Z59" s="1228">
        <f t="shared" ca="1" si="31"/>
        <v>0</v>
      </c>
      <c r="AA59" s="1228">
        <f t="shared" ca="1" si="31"/>
        <v>0</v>
      </c>
      <c r="AB59" s="1228">
        <f t="shared" ca="1" si="31"/>
        <v>0</v>
      </c>
      <c r="AC59" s="1228">
        <f t="shared" ca="1" si="31"/>
        <v>0</v>
      </c>
      <c r="AD59" s="1228">
        <f t="shared" ca="1" si="31"/>
        <v>0</v>
      </c>
      <c r="AE59" s="1228">
        <f t="shared" ca="1" si="31"/>
        <v>5.4545454545454543E-2</v>
      </c>
      <c r="AF59" s="1228">
        <f t="shared" ca="1" si="31"/>
        <v>0</v>
      </c>
      <c r="AG59" s="1228">
        <f t="shared" ca="1" si="31"/>
        <v>0</v>
      </c>
      <c r="AH59" s="1228">
        <f t="shared" ca="1" si="31"/>
        <v>5.4545454545454543E-2</v>
      </c>
      <c r="AI59" s="1228">
        <f t="shared" ca="1" si="31"/>
        <v>0</v>
      </c>
      <c r="AJ59" s="1228">
        <f t="shared" ca="1" si="31"/>
        <v>0</v>
      </c>
      <c r="AK59" s="1228">
        <f t="shared" ca="1" si="31"/>
        <v>0</v>
      </c>
      <c r="AL59" s="1228">
        <f t="shared" ca="1" si="31"/>
        <v>0</v>
      </c>
      <c r="AM59" s="1228">
        <f t="shared" ca="1" si="31"/>
        <v>0</v>
      </c>
      <c r="AN59" s="1228">
        <f t="shared" ca="1" si="31"/>
        <v>0</v>
      </c>
      <c r="AO59" s="1228">
        <f t="shared" ca="1" si="31"/>
        <v>0</v>
      </c>
      <c r="AP59" s="1228">
        <f t="shared" ca="1" si="31"/>
        <v>0</v>
      </c>
      <c r="AQ59" s="1228">
        <f t="shared" ca="1" si="31"/>
        <v>0</v>
      </c>
      <c r="AR59" s="1228">
        <f t="shared" ca="1" si="31"/>
        <v>0</v>
      </c>
      <c r="AS59" s="1228">
        <f t="shared" ca="1" si="31"/>
        <v>0</v>
      </c>
      <c r="AT59" s="1228">
        <f t="shared" ca="1" si="11"/>
        <v>0</v>
      </c>
      <c r="AU59" s="1228"/>
      <c r="AV59" s="1228"/>
      <c r="AW59" s="1228"/>
      <c r="AX59" s="1228"/>
      <c r="AZ59" s="1228"/>
      <c r="CP59" s="1194" cm="1">
        <f t="array" aca="1" ref="CP59" ca="1">IFERROR(INDEX($CR59:$DU59,
       MATCH(TRUE,
             (($CR59=CQ$43)*
              (RIGHT($CS$47:$DU$47,3)=NewMUP)*
              ($CR59:$DU59&gt;0))&gt;0,
       0)),0)</f>
        <v>0</v>
      </c>
      <c r="CQ59" s="1290">
        <f ca="1">SUM(CS21:INDEX(17:17, COLUMN($CS21) +$CR$47 - 1))</f>
        <v>6</v>
      </c>
      <c r="CR59" s="1203">
        <f t="shared" si="8"/>
        <v>0</v>
      </c>
      <c r="CS59" s="1228">
        <f t="shared" ref="CS59:DW59" ca="1" si="32">IF(CS21=0,0,CS21/$Q59)</f>
        <v>0</v>
      </c>
      <c r="CT59" s="1228">
        <f t="shared" ca="1" si="32"/>
        <v>0</v>
      </c>
      <c r="CU59" s="1228">
        <f t="shared" ca="1" si="32"/>
        <v>0</v>
      </c>
      <c r="CV59" s="1228">
        <f t="shared" ca="1" si="32"/>
        <v>0</v>
      </c>
      <c r="CW59" s="1228">
        <f t="shared" ca="1" si="32"/>
        <v>0</v>
      </c>
      <c r="CX59" s="1228">
        <f t="shared" ca="1" si="32"/>
        <v>0</v>
      </c>
      <c r="CY59" s="1228">
        <f t="shared" ca="1" si="32"/>
        <v>0</v>
      </c>
      <c r="CZ59" s="1228">
        <f t="shared" ca="1" si="32"/>
        <v>0</v>
      </c>
      <c r="DA59" s="1228">
        <f t="shared" ca="1" si="32"/>
        <v>0</v>
      </c>
      <c r="DB59" s="1228">
        <f t="shared" ca="1" si="32"/>
        <v>0</v>
      </c>
      <c r="DC59" s="1228">
        <f t="shared" ca="1" si="32"/>
        <v>0</v>
      </c>
      <c r="DD59" s="1228">
        <f t="shared" ca="1" si="32"/>
        <v>0</v>
      </c>
      <c r="DE59" s="1228">
        <f t="shared" ca="1" si="32"/>
        <v>0</v>
      </c>
      <c r="DF59" s="1228">
        <f t="shared" ca="1" si="32"/>
        <v>0</v>
      </c>
      <c r="DG59" s="1228">
        <f t="shared" ca="1" si="32"/>
        <v>0</v>
      </c>
      <c r="DH59" s="1228">
        <f t="shared" ca="1" si="32"/>
        <v>0</v>
      </c>
      <c r="DI59" s="1228">
        <f t="shared" ca="1" si="32"/>
        <v>0</v>
      </c>
      <c r="DJ59" s="1228">
        <f t="shared" ca="1" si="32"/>
        <v>0</v>
      </c>
      <c r="DK59" s="1228">
        <f t="shared" ca="1" si="32"/>
        <v>0</v>
      </c>
      <c r="DL59" s="1228">
        <f t="shared" ca="1" si="32"/>
        <v>0</v>
      </c>
      <c r="DM59" s="1228">
        <f t="shared" ca="1" si="32"/>
        <v>0</v>
      </c>
      <c r="DN59" s="1228">
        <f t="shared" ca="1" si="32"/>
        <v>0</v>
      </c>
      <c r="DO59" s="1228">
        <f t="shared" ca="1" si="32"/>
        <v>0</v>
      </c>
      <c r="DP59" s="1228">
        <f t="shared" si="32"/>
        <v>0</v>
      </c>
      <c r="DQ59" s="1228">
        <f t="shared" si="32"/>
        <v>0</v>
      </c>
      <c r="DR59" s="1228">
        <f t="shared" si="32"/>
        <v>0</v>
      </c>
      <c r="DS59" s="1228">
        <f t="shared" si="32"/>
        <v>0</v>
      </c>
      <c r="DT59" s="1228">
        <f t="shared" si="32"/>
        <v>0</v>
      </c>
      <c r="DU59" s="1228">
        <f t="shared" si="32"/>
        <v>0</v>
      </c>
      <c r="DV59" s="1228">
        <f t="shared" si="32"/>
        <v>0</v>
      </c>
      <c r="DW59" s="1228">
        <f t="shared" si="32"/>
        <v>0</v>
      </c>
      <c r="DX59" s="1228"/>
    </row>
    <row r="60" spans="2:128" x14ac:dyDescent="0.3">
      <c r="B60" s="89" vm="220">
        <f ca="1"/>
        <v>45902</v>
      </c>
      <c r="C60" s="89" vm="221">
        <f ca="1"/>
        <v>225.34</v>
      </c>
      <c r="D60" s="1210">
        <f t="shared" ca="1" si="0"/>
        <v>-1.598253275109169E-2</v>
      </c>
      <c r="E60" s="294" t="str" cm="1">
        <f t="array" aca="1" ref="E60" ca="1">_xlfn.IFS(D60&gt;ZPercent,"U",D60&lt;=-ZPercent,"D",TRUE,"Z")</f>
        <v>D</v>
      </c>
      <c r="F60" s="294" t="str">
        <f t="shared" ca="1" si="1"/>
        <v>DD</v>
      </c>
      <c r="G60" s="294" t="str">
        <f t="shared" ca="1" si="2"/>
        <v>UDD</v>
      </c>
      <c r="H60" s="868" t="str">
        <f t="shared" ca="1" si="3"/>
        <v/>
      </c>
      <c r="J60" s="89" vm="222">
        <f ca="1"/>
        <v>45741</v>
      </c>
      <c r="K60" s="89" vm="223">
        <f ca="1"/>
        <v>205.71</v>
      </c>
      <c r="N60" s="868" t="str">
        <f ca="1">IF(F60=[2]Sheet1!O58,"","dif")</f>
        <v>dif</v>
      </c>
      <c r="O60" s="1202"/>
      <c r="P60" s="1194" cm="1">
        <f t="array" aca="1" ref="P60" ca="1">IFERROR(INDEX($S60:$AT60,
       MATCH(TRUE,
             (($R60=Q56)*
              (RIGHT($S$47:$AT$47,3)=NewMUP)*
              ($S60:$AT60&gt;0))&gt;0,
       0)),0)</f>
        <v>0</v>
      </c>
      <c r="Q60" s="1290">
        <f ca="1">SUM(S22:INDEX(18:18, COLUMN($S22) +$R$47 - 1))</f>
        <v>56</v>
      </c>
      <c r="R60" s="1234" t="str">
        <f t="shared" ca="1" si="6"/>
        <v>DUD</v>
      </c>
      <c r="S60" s="1227">
        <f t="shared" ref="S60:AS60" ca="1" si="33">IF(S22=0,0,S22/$Q60)</f>
        <v>0</v>
      </c>
      <c r="T60" s="1228">
        <f t="shared" ca="1" si="33"/>
        <v>0</v>
      </c>
      <c r="U60" s="1228">
        <f t="shared" ca="1" si="33"/>
        <v>0</v>
      </c>
      <c r="V60" s="1228">
        <f t="shared" ca="1" si="33"/>
        <v>0</v>
      </c>
      <c r="W60" s="1228">
        <f t="shared" ca="1" si="33"/>
        <v>0</v>
      </c>
      <c r="X60" s="1228">
        <f t="shared" ca="1" si="33"/>
        <v>0</v>
      </c>
      <c r="Y60" s="1228">
        <f t="shared" ca="1" si="33"/>
        <v>0</v>
      </c>
      <c r="Z60" s="1228">
        <f t="shared" ca="1" si="33"/>
        <v>3.5714285714285712E-2</v>
      </c>
      <c r="AA60" s="1228">
        <f t="shared" ca="1" si="33"/>
        <v>0</v>
      </c>
      <c r="AB60" s="1228">
        <f t="shared" ca="1" si="33"/>
        <v>0</v>
      </c>
      <c r="AC60" s="1228">
        <f t="shared" ca="1" si="33"/>
        <v>7.1428571428571425E-2</v>
      </c>
      <c r="AD60" s="1228">
        <f t="shared" ca="1" si="33"/>
        <v>0</v>
      </c>
      <c r="AE60" s="1228">
        <f t="shared" ca="1" si="33"/>
        <v>0</v>
      </c>
      <c r="AF60" s="1228">
        <f t="shared" ca="1" si="33"/>
        <v>0</v>
      </c>
      <c r="AG60" s="1228">
        <f t="shared" ca="1" si="33"/>
        <v>0</v>
      </c>
      <c r="AH60" s="1228">
        <f t="shared" ca="1" si="33"/>
        <v>0</v>
      </c>
      <c r="AI60" s="1228">
        <f t="shared" ca="1" si="33"/>
        <v>0</v>
      </c>
      <c r="AJ60" s="1228">
        <f t="shared" ca="1" si="33"/>
        <v>0</v>
      </c>
      <c r="AK60" s="1228">
        <f t="shared" ca="1" si="33"/>
        <v>0</v>
      </c>
      <c r="AL60" s="1228">
        <f t="shared" ca="1" si="33"/>
        <v>0</v>
      </c>
      <c r="AM60" s="1228">
        <f t="shared" ca="1" si="33"/>
        <v>0</v>
      </c>
      <c r="AN60" s="1228">
        <f t="shared" ca="1" si="33"/>
        <v>0.10714285714285714</v>
      </c>
      <c r="AO60" s="1228">
        <f t="shared" ca="1" si="33"/>
        <v>0</v>
      </c>
      <c r="AP60" s="1228">
        <f t="shared" ca="1" si="33"/>
        <v>0</v>
      </c>
      <c r="AQ60" s="1228">
        <f t="shared" ca="1" si="33"/>
        <v>0</v>
      </c>
      <c r="AR60" s="1228">
        <f t="shared" ca="1" si="33"/>
        <v>0</v>
      </c>
      <c r="AS60" s="1228">
        <f t="shared" ca="1" si="33"/>
        <v>0</v>
      </c>
      <c r="AT60" s="1228">
        <f t="shared" ca="1" si="11"/>
        <v>0</v>
      </c>
      <c r="AU60" s="1228"/>
      <c r="AV60" s="1228"/>
      <c r="AW60" s="1228"/>
      <c r="AX60" s="1228"/>
      <c r="AZ60" s="1228"/>
      <c r="CP60" s="1194" cm="1">
        <f t="array" aca="1" ref="CP60" ca="1">IFERROR(INDEX($CR60:$DU60,
       MATCH(TRUE,
             (($CR60=CQ$43)*
              (RIGHT($CS$47:$DU$47,3)=NewMUP)*
              ($CR60:$DU60&gt;0))&gt;0,
       0)),0)</f>
        <v>0</v>
      </c>
      <c r="CQ60" s="1290">
        <f ca="1">SUM(CS22:INDEX(18:18, COLUMN($CS22) +$CR$47 - 1))</f>
        <v>5</v>
      </c>
      <c r="CR60" s="1203">
        <f t="shared" si="8"/>
        <v>0</v>
      </c>
      <c r="CS60" s="1228">
        <f t="shared" ref="CS60:DW60" si="34">IF(CS22=0,0,CS22/$Q60)</f>
        <v>0</v>
      </c>
      <c r="CT60" s="1228">
        <f t="shared" si="34"/>
        <v>0</v>
      </c>
      <c r="CU60" s="1228">
        <f t="shared" si="34"/>
        <v>0</v>
      </c>
      <c r="CV60" s="1228">
        <f t="shared" si="34"/>
        <v>0</v>
      </c>
      <c r="CW60" s="1228">
        <f t="shared" si="34"/>
        <v>0</v>
      </c>
      <c r="CX60" s="1228">
        <f t="shared" si="34"/>
        <v>0</v>
      </c>
      <c r="CY60" s="1228">
        <f t="shared" si="34"/>
        <v>0</v>
      </c>
      <c r="CZ60" s="1228">
        <f t="shared" si="34"/>
        <v>0</v>
      </c>
      <c r="DA60" s="1228">
        <f t="shared" si="34"/>
        <v>0</v>
      </c>
      <c r="DB60" s="1228">
        <f t="shared" si="34"/>
        <v>0</v>
      </c>
      <c r="DC60" s="1228">
        <f t="shared" si="34"/>
        <v>0</v>
      </c>
      <c r="DD60" s="1228">
        <f t="shared" si="34"/>
        <v>0</v>
      </c>
      <c r="DE60" s="1228">
        <f t="shared" si="34"/>
        <v>0</v>
      </c>
      <c r="DF60" s="1228">
        <f t="shared" si="34"/>
        <v>0</v>
      </c>
      <c r="DG60" s="1228">
        <f t="shared" si="34"/>
        <v>0</v>
      </c>
      <c r="DH60" s="1228">
        <f t="shared" si="34"/>
        <v>0</v>
      </c>
      <c r="DI60" s="1228">
        <f t="shared" si="34"/>
        <v>0</v>
      </c>
      <c r="DJ60" s="1228">
        <f t="shared" si="34"/>
        <v>0</v>
      </c>
      <c r="DK60" s="1228">
        <f t="shared" si="34"/>
        <v>0</v>
      </c>
      <c r="DL60" s="1228">
        <f t="shared" si="34"/>
        <v>0</v>
      </c>
      <c r="DM60" s="1228">
        <f t="shared" si="34"/>
        <v>0</v>
      </c>
      <c r="DN60" s="1228">
        <f t="shared" si="34"/>
        <v>0</v>
      </c>
      <c r="DO60" s="1228">
        <f t="shared" si="34"/>
        <v>0</v>
      </c>
      <c r="DP60" s="1228">
        <f t="shared" si="34"/>
        <v>0</v>
      </c>
      <c r="DQ60" s="1228">
        <f t="shared" si="34"/>
        <v>0</v>
      </c>
      <c r="DR60" s="1228">
        <f t="shared" si="34"/>
        <v>0</v>
      </c>
      <c r="DS60" s="1228">
        <f t="shared" si="34"/>
        <v>0</v>
      </c>
      <c r="DT60" s="1228">
        <f t="shared" si="34"/>
        <v>0</v>
      </c>
      <c r="DU60" s="1228">
        <f t="shared" si="34"/>
        <v>0</v>
      </c>
      <c r="DV60" s="1228">
        <f t="shared" si="34"/>
        <v>0</v>
      </c>
      <c r="DW60" s="1228">
        <f t="shared" si="34"/>
        <v>0</v>
      </c>
      <c r="DX60" s="1228"/>
    </row>
    <row r="61" spans="2:128" x14ac:dyDescent="0.3">
      <c r="B61" s="89" vm="224">
        <f ca="1"/>
        <v>45898</v>
      </c>
      <c r="C61" s="89" vm="225">
        <f ca="1"/>
        <v>229</v>
      </c>
      <c r="D61" s="1210">
        <f t="shared" ca="1" si="0"/>
        <v>-1.1226252158894622E-2</v>
      </c>
      <c r="E61" s="294" t="str" cm="1">
        <f t="array" aca="1" ref="E61" ca="1">_xlfn.IFS(D61&gt;ZPercent,"U",D61&lt;=-ZPercent,"D",TRUE,"Z")</f>
        <v>D</v>
      </c>
      <c r="F61" s="294" t="str">
        <f t="shared" ca="1" si="1"/>
        <v>UD</v>
      </c>
      <c r="G61" s="294" t="str">
        <f t="shared" ca="1" si="2"/>
        <v>ZUD</v>
      </c>
      <c r="H61" s="868" t="str">
        <f t="shared" ca="1" si="3"/>
        <v/>
      </c>
      <c r="J61" s="89" vm="226">
        <f ca="1"/>
        <v>45742</v>
      </c>
      <c r="K61" s="89" vm="227">
        <f ca="1"/>
        <v>201.13</v>
      </c>
      <c r="N61" s="868" t="str">
        <f ca="1">IF(F61=[2]Sheet1!O59,"","dif")</f>
        <v>dif</v>
      </c>
      <c r="O61" s="1202"/>
      <c r="P61" s="1194" cm="1">
        <f t="array" aca="1" ref="P61" ca="1">IFERROR(INDEX($S61:$AT61,
       MATCH(TRUE,
             (($R61=Q57)*
              (RIGHT($S$47:$AT$47,3)=NewMUP)*
              ($S61:$AT61&gt;0))&gt;0,
       0)),0)</f>
        <v>0</v>
      </c>
      <c r="Q61" s="1290">
        <f ca="1">SUM(S23:INDEX(19:19, COLUMN($S23) +$R$47 - 1))</f>
        <v>49</v>
      </c>
      <c r="R61" s="1234" t="str">
        <f t="shared" ca="1" si="6"/>
        <v>ZUU</v>
      </c>
      <c r="S61" s="1227">
        <f t="shared" ref="S61:AS61" ca="1" si="35">IF(S23=0,0,S23/$Q61)</f>
        <v>0</v>
      </c>
      <c r="T61" s="1228">
        <f t="shared" ca="1" si="35"/>
        <v>0</v>
      </c>
      <c r="U61" s="1228">
        <f t="shared" ca="1" si="35"/>
        <v>0</v>
      </c>
      <c r="V61" s="1228">
        <f t="shared" ca="1" si="35"/>
        <v>4.0816326530612242E-2</v>
      </c>
      <c r="W61" s="1228">
        <f t="shared" ca="1" si="35"/>
        <v>0</v>
      </c>
      <c r="X61" s="1228">
        <f t="shared" ca="1" si="35"/>
        <v>0</v>
      </c>
      <c r="Y61" s="1228">
        <f t="shared" ca="1" si="35"/>
        <v>0</v>
      </c>
      <c r="Z61" s="1228">
        <f t="shared" ca="1" si="35"/>
        <v>0</v>
      </c>
      <c r="AA61" s="1228">
        <f t="shared" ca="1" si="35"/>
        <v>6.1224489795918366E-2</v>
      </c>
      <c r="AB61" s="1228">
        <f t="shared" ca="1" si="35"/>
        <v>2.0408163265306121E-2</v>
      </c>
      <c r="AC61" s="1228">
        <f t="shared" ca="1" si="35"/>
        <v>0</v>
      </c>
      <c r="AD61" s="1228">
        <f t="shared" ca="1" si="35"/>
        <v>0</v>
      </c>
      <c r="AE61" s="1228">
        <f t="shared" ca="1" si="35"/>
        <v>0</v>
      </c>
      <c r="AF61" s="1228">
        <f t="shared" ca="1" si="35"/>
        <v>0</v>
      </c>
      <c r="AG61" s="1228">
        <f t="shared" ca="1" si="35"/>
        <v>0</v>
      </c>
      <c r="AH61" s="1228">
        <f t="shared" ca="1" si="35"/>
        <v>0</v>
      </c>
      <c r="AI61" s="1228">
        <f t="shared" ca="1" si="35"/>
        <v>0</v>
      </c>
      <c r="AJ61" s="1228">
        <f t="shared" ca="1" si="35"/>
        <v>0</v>
      </c>
      <c r="AK61" s="1228">
        <f t="shared" ca="1" si="35"/>
        <v>0</v>
      </c>
      <c r="AL61" s="1228">
        <f t="shared" ca="1" si="35"/>
        <v>0</v>
      </c>
      <c r="AM61" s="1228">
        <f t="shared" ca="1" si="35"/>
        <v>0</v>
      </c>
      <c r="AN61" s="1228">
        <f t="shared" ca="1" si="35"/>
        <v>0</v>
      </c>
      <c r="AO61" s="1228">
        <f t="shared" ca="1" si="35"/>
        <v>0</v>
      </c>
      <c r="AP61" s="1228">
        <f t="shared" ca="1" si="35"/>
        <v>0</v>
      </c>
      <c r="AQ61" s="1228">
        <f t="shared" ca="1" si="35"/>
        <v>0</v>
      </c>
      <c r="AR61" s="1228">
        <f t="shared" ca="1" si="35"/>
        <v>0</v>
      </c>
      <c r="AS61" s="1228">
        <f t="shared" ca="1" si="35"/>
        <v>0</v>
      </c>
      <c r="AT61" s="1228">
        <f t="shared" ca="1" si="11"/>
        <v>0</v>
      </c>
      <c r="AU61" s="1228"/>
      <c r="AV61" s="1228"/>
      <c r="AW61" s="1228"/>
      <c r="AX61" s="1228"/>
      <c r="AZ61" s="1228"/>
      <c r="CP61" s="1194" cm="1">
        <f t="array" aca="1" ref="CP61" ca="1">IFERROR(INDEX($CR61:$DU61,
       MATCH(TRUE,
             (($CR61=CQ$43)*
              (RIGHT($CS$47:$DU$47,3)=NewMUP)*
              ($CR61:$DU61&gt;0))&gt;0,
       0)),0)</f>
        <v>0</v>
      </c>
      <c r="CQ61" s="1290">
        <f ca="1">SUM(CS23:INDEX(19:19, COLUMN($CS23) +$CR$47 - 1))</f>
        <v>3</v>
      </c>
      <c r="CR61" s="1203">
        <f t="shared" si="8"/>
        <v>0</v>
      </c>
      <c r="CS61" s="1228">
        <f t="shared" ref="CS61:DW61" si="36">IF(CS23=0,0,CS23/$Q61)</f>
        <v>0</v>
      </c>
      <c r="CT61" s="1228">
        <f t="shared" si="36"/>
        <v>0</v>
      </c>
      <c r="CU61" s="1228">
        <f t="shared" si="36"/>
        <v>0</v>
      </c>
      <c r="CV61" s="1228">
        <f t="shared" si="36"/>
        <v>0</v>
      </c>
      <c r="CW61" s="1228">
        <f t="shared" si="36"/>
        <v>0</v>
      </c>
      <c r="CX61" s="1228">
        <f t="shared" si="36"/>
        <v>0</v>
      </c>
      <c r="CY61" s="1228">
        <f t="shared" si="36"/>
        <v>0</v>
      </c>
      <c r="CZ61" s="1228">
        <f t="shared" si="36"/>
        <v>0</v>
      </c>
      <c r="DA61" s="1228">
        <f t="shared" si="36"/>
        <v>0</v>
      </c>
      <c r="DB61" s="1228">
        <f t="shared" si="36"/>
        <v>0</v>
      </c>
      <c r="DC61" s="1228">
        <f t="shared" si="36"/>
        <v>0</v>
      </c>
      <c r="DD61" s="1228">
        <f t="shared" si="36"/>
        <v>0</v>
      </c>
      <c r="DE61" s="1228">
        <f t="shared" si="36"/>
        <v>0</v>
      </c>
      <c r="DF61" s="1228">
        <f t="shared" si="36"/>
        <v>0</v>
      </c>
      <c r="DG61" s="1228">
        <f t="shared" si="36"/>
        <v>0</v>
      </c>
      <c r="DH61" s="1228">
        <f t="shared" si="36"/>
        <v>0</v>
      </c>
      <c r="DI61" s="1228">
        <f t="shared" si="36"/>
        <v>0</v>
      </c>
      <c r="DJ61" s="1228">
        <f t="shared" si="36"/>
        <v>0</v>
      </c>
      <c r="DK61" s="1228">
        <f t="shared" si="36"/>
        <v>0</v>
      </c>
      <c r="DL61" s="1228">
        <f t="shared" si="36"/>
        <v>0</v>
      </c>
      <c r="DM61" s="1228">
        <f t="shared" si="36"/>
        <v>0</v>
      </c>
      <c r="DN61" s="1228">
        <f t="shared" si="36"/>
        <v>0</v>
      </c>
      <c r="DO61" s="1228">
        <f t="shared" si="36"/>
        <v>0</v>
      </c>
      <c r="DP61" s="1228">
        <f t="shared" si="36"/>
        <v>0</v>
      </c>
      <c r="DQ61" s="1228">
        <f t="shared" si="36"/>
        <v>0</v>
      </c>
      <c r="DR61" s="1228">
        <f t="shared" si="36"/>
        <v>0</v>
      </c>
      <c r="DS61" s="1228">
        <f t="shared" si="36"/>
        <v>0</v>
      </c>
      <c r="DT61" s="1228">
        <f t="shared" si="36"/>
        <v>0</v>
      </c>
      <c r="DU61" s="1228">
        <f t="shared" si="36"/>
        <v>0</v>
      </c>
      <c r="DV61" s="1228">
        <f t="shared" si="36"/>
        <v>0</v>
      </c>
      <c r="DW61" s="1228">
        <f t="shared" si="36"/>
        <v>0</v>
      </c>
      <c r="DX61" s="1228"/>
    </row>
    <row r="62" spans="2:128" x14ac:dyDescent="0.3">
      <c r="B62" s="89" vm="228">
        <f ca="1"/>
        <v>45897</v>
      </c>
      <c r="C62" s="89" vm="229">
        <f ca="1"/>
        <v>231.6</v>
      </c>
      <c r="D62" s="1210">
        <f t="shared" ca="1" si="0"/>
        <v>1.0824022346368671E-2</v>
      </c>
      <c r="E62" s="294" t="str" cm="1">
        <f t="array" aca="1" ref="E62" ca="1">_xlfn.IFS(D62&gt;ZPercent,"U",D62&lt;=-ZPercent,"D",TRUE,"Z")</f>
        <v>U</v>
      </c>
      <c r="F62" s="294" t="str">
        <f t="shared" ca="1" si="1"/>
        <v>ZU</v>
      </c>
      <c r="G62" s="294" t="str">
        <f t="shared" ca="1" si="2"/>
        <v>ZZU</v>
      </c>
      <c r="H62" s="868" t="str">
        <f t="shared" ca="1" si="3"/>
        <v/>
      </c>
      <c r="J62" s="89" vm="230">
        <f ca="1"/>
        <v>45743</v>
      </c>
      <c r="K62" s="89" vm="231">
        <f ca="1"/>
        <v>201.36</v>
      </c>
      <c r="N62" s="868" t="str">
        <f ca="1">IF(F62=[2]Sheet1!O60,"","dif")</f>
        <v>dif</v>
      </c>
      <c r="O62" s="1202"/>
      <c r="P62" s="1194" cm="1">
        <f t="array" aca="1" ref="P62" ca="1">IFERROR(INDEX($S62:$AT62,
       MATCH(TRUE,
             (($R62=Q58)*
              (RIGHT($S$47:$AT$47,3)=NewMUP)*
              ($S62:$AT62&gt;0))&gt;0,
       0)),0)</f>
        <v>0</v>
      </c>
      <c r="Q62" s="1290">
        <f ca="1">SUM(S24:INDEX(20:20, COLUMN($S24) +$R$47 - 1))</f>
        <v>49</v>
      </c>
      <c r="R62" s="1234" t="str">
        <f t="shared" ca="1" si="6"/>
        <v>UZU</v>
      </c>
      <c r="S62" s="1227">
        <f t="shared" ref="S62:AS62" ca="1" si="37">IF(S24=0,0,S24/$Q62)</f>
        <v>0</v>
      </c>
      <c r="T62" s="1228">
        <f t="shared" ca="1" si="37"/>
        <v>0</v>
      </c>
      <c r="U62" s="1228">
        <f t="shared" ca="1" si="37"/>
        <v>0</v>
      </c>
      <c r="V62" s="1228">
        <f t="shared" ca="1" si="37"/>
        <v>0</v>
      </c>
      <c r="W62" s="1228">
        <f t="shared" ca="1" si="37"/>
        <v>0</v>
      </c>
      <c r="X62" s="1228">
        <f t="shared" ca="1" si="37"/>
        <v>0</v>
      </c>
      <c r="Y62" s="1228">
        <f t="shared" ca="1" si="37"/>
        <v>0</v>
      </c>
      <c r="Z62" s="1228">
        <f t="shared" ca="1" si="37"/>
        <v>0</v>
      </c>
      <c r="AA62" s="1228">
        <f t="shared" ca="1" si="37"/>
        <v>0</v>
      </c>
      <c r="AB62" s="1228">
        <f t="shared" ca="1" si="37"/>
        <v>0</v>
      </c>
      <c r="AC62" s="1228">
        <f t="shared" ca="1" si="37"/>
        <v>0</v>
      </c>
      <c r="AD62" s="1228">
        <f t="shared" ca="1" si="37"/>
        <v>0</v>
      </c>
      <c r="AE62" s="1228">
        <f t="shared" ca="1" si="37"/>
        <v>0</v>
      </c>
      <c r="AF62" s="1228">
        <f t="shared" ca="1" si="37"/>
        <v>8.1632653061224483E-2</v>
      </c>
      <c r="AG62" s="1228">
        <f t="shared" ca="1" si="37"/>
        <v>0</v>
      </c>
      <c r="AH62" s="1228">
        <f t="shared" ca="1" si="37"/>
        <v>0</v>
      </c>
      <c r="AI62" s="1228">
        <f t="shared" ca="1" si="37"/>
        <v>4.0816326530612242E-2</v>
      </c>
      <c r="AJ62" s="1228">
        <f t="shared" ca="1" si="37"/>
        <v>0</v>
      </c>
      <c r="AK62" s="1228">
        <f t="shared" ca="1" si="37"/>
        <v>0</v>
      </c>
      <c r="AL62" s="1228">
        <f t="shared" ca="1" si="37"/>
        <v>0</v>
      </c>
      <c r="AM62" s="1228">
        <f t="shared" ca="1" si="37"/>
        <v>0</v>
      </c>
      <c r="AN62" s="1228">
        <f t="shared" ca="1" si="37"/>
        <v>0</v>
      </c>
      <c r="AO62" s="1228">
        <f t="shared" ca="1" si="37"/>
        <v>0</v>
      </c>
      <c r="AP62" s="1228">
        <f t="shared" ca="1" si="37"/>
        <v>0</v>
      </c>
      <c r="AQ62" s="1228">
        <f t="shared" ca="1" si="37"/>
        <v>0</v>
      </c>
      <c r="AR62" s="1228">
        <f t="shared" ca="1" si="37"/>
        <v>0</v>
      </c>
      <c r="AS62" s="1228">
        <f t="shared" ca="1" si="37"/>
        <v>4.0816326530612242E-2</v>
      </c>
      <c r="AT62" s="1228">
        <f t="shared" ca="1" si="11"/>
        <v>0</v>
      </c>
      <c r="AU62" s="1228"/>
      <c r="AV62" s="1228"/>
      <c r="AW62" s="1228"/>
      <c r="AX62" s="1228"/>
      <c r="AZ62" s="1228"/>
      <c r="CP62" s="1194" cm="1">
        <f t="array" aca="1" ref="CP62" ca="1">IFERROR(INDEX($CR62:$DU62,
       MATCH(TRUE,
             (($CR62=CQ$43)*
              (RIGHT($CS$47:$DU$47,3)=NewMUP)*
              ($CR62:$DU62&gt;0))&gt;0,
       0)),0)</f>
        <v>0</v>
      </c>
      <c r="CQ62" s="1290">
        <f ca="1">SUM(CS24:INDEX(20:20, COLUMN($CS24) +$CR$47 - 1))</f>
        <v>1</v>
      </c>
      <c r="CR62" s="1203">
        <f t="shared" si="8"/>
        <v>0</v>
      </c>
      <c r="CS62" s="1228">
        <f t="shared" ref="CS62:DW62" si="38">IF(CS24=0,0,CS24/$Q62)</f>
        <v>0</v>
      </c>
      <c r="CT62" s="1228">
        <f t="shared" si="38"/>
        <v>0</v>
      </c>
      <c r="CU62" s="1228">
        <f t="shared" si="38"/>
        <v>0</v>
      </c>
      <c r="CV62" s="1228">
        <f t="shared" si="38"/>
        <v>0</v>
      </c>
      <c r="CW62" s="1228">
        <f t="shared" si="38"/>
        <v>0</v>
      </c>
      <c r="CX62" s="1228">
        <f t="shared" si="38"/>
        <v>0</v>
      </c>
      <c r="CY62" s="1228">
        <f t="shared" si="38"/>
        <v>0</v>
      </c>
      <c r="CZ62" s="1228">
        <f t="shared" si="38"/>
        <v>0</v>
      </c>
      <c r="DA62" s="1228">
        <f t="shared" si="38"/>
        <v>0</v>
      </c>
      <c r="DB62" s="1228">
        <f t="shared" si="38"/>
        <v>0</v>
      </c>
      <c r="DC62" s="1228">
        <f t="shared" si="38"/>
        <v>0</v>
      </c>
      <c r="DD62" s="1228">
        <f t="shared" si="38"/>
        <v>0</v>
      </c>
      <c r="DE62" s="1228">
        <f t="shared" si="38"/>
        <v>0</v>
      </c>
      <c r="DF62" s="1228">
        <f t="shared" si="38"/>
        <v>0</v>
      </c>
      <c r="DG62" s="1228">
        <f t="shared" si="38"/>
        <v>0</v>
      </c>
      <c r="DH62" s="1228">
        <f t="shared" si="38"/>
        <v>0</v>
      </c>
      <c r="DI62" s="1228">
        <f t="shared" si="38"/>
        <v>0</v>
      </c>
      <c r="DJ62" s="1228">
        <f t="shared" si="38"/>
        <v>0</v>
      </c>
      <c r="DK62" s="1228">
        <f t="shared" si="38"/>
        <v>0</v>
      </c>
      <c r="DL62" s="1228">
        <f t="shared" si="38"/>
        <v>0</v>
      </c>
      <c r="DM62" s="1228">
        <f t="shared" si="38"/>
        <v>0</v>
      </c>
      <c r="DN62" s="1228">
        <f t="shared" si="38"/>
        <v>0</v>
      </c>
      <c r="DO62" s="1228">
        <f t="shared" si="38"/>
        <v>0</v>
      </c>
      <c r="DP62" s="1228">
        <f t="shared" si="38"/>
        <v>0</v>
      </c>
      <c r="DQ62" s="1228">
        <f t="shared" si="38"/>
        <v>0</v>
      </c>
      <c r="DR62" s="1228">
        <f t="shared" si="38"/>
        <v>0</v>
      </c>
      <c r="DS62" s="1228">
        <f t="shared" si="38"/>
        <v>0</v>
      </c>
      <c r="DT62" s="1228">
        <f t="shared" si="38"/>
        <v>0</v>
      </c>
      <c r="DU62" s="1228">
        <f t="shared" si="38"/>
        <v>0</v>
      </c>
      <c r="DV62" s="1228">
        <f t="shared" si="38"/>
        <v>0</v>
      </c>
      <c r="DW62" s="1228">
        <f t="shared" si="38"/>
        <v>0</v>
      </c>
      <c r="DX62" s="1228"/>
    </row>
    <row r="63" spans="2:128" x14ac:dyDescent="0.3">
      <c r="B63" s="89" vm="232">
        <f ca="1"/>
        <v>45896</v>
      </c>
      <c r="C63" s="89" vm="233">
        <f ca="1"/>
        <v>229.12</v>
      </c>
      <c r="D63" s="1210">
        <f t="shared" ca="1" si="0"/>
        <v>1.7926631979362361E-3</v>
      </c>
      <c r="E63" s="294" t="str" cm="1">
        <f t="array" aca="1" ref="E63" ca="1">_xlfn.IFS(D63&gt;ZPercent,"U",D63&lt;=-ZPercent,"D",TRUE,"Z")</f>
        <v>Z</v>
      </c>
      <c r="F63" s="294" t="str">
        <f t="shared" ca="1" si="1"/>
        <v>ZZ</v>
      </c>
      <c r="G63" s="294" t="str">
        <f t="shared" ca="1" si="2"/>
        <v>ZZZ</v>
      </c>
      <c r="H63" s="868" t="str">
        <f t="shared" ca="1" si="3"/>
        <v/>
      </c>
      <c r="J63" s="89" vm="234">
        <f ca="1"/>
        <v>45744</v>
      </c>
      <c r="K63" s="89" vm="235">
        <f ca="1"/>
        <v>192.72</v>
      </c>
      <c r="N63" s="868" t="str">
        <f ca="1">IF(F63=[2]Sheet1!O61,"","dif")</f>
        <v>dif</v>
      </c>
      <c r="O63" s="1202"/>
      <c r="P63" s="1194" cm="1">
        <f t="array" aca="1" ref="P63" ca="1">IFERROR(INDEX($S63:$AT63,
       MATCH(TRUE,
             (($R63=Q59)*
              (RIGHT($S$47:$AT$47,3)=NewMUP)*
              ($S63:$AT63&gt;0))&gt;0,
       0)),0)</f>
        <v>0</v>
      </c>
      <c r="Q63" s="1290">
        <f ca="1">SUM(S25:INDEX(21:21, COLUMN($S25) +$R$47 - 1))</f>
        <v>46</v>
      </c>
      <c r="R63" s="1234" t="str">
        <f t="shared" ca="1" si="6"/>
        <v>DUZ</v>
      </c>
      <c r="S63" s="1227">
        <f t="shared" ref="S63:AS63" ca="1" si="39">IF(S25=0,0,S25/$Q63)</f>
        <v>0</v>
      </c>
      <c r="T63" s="1228">
        <f t="shared" ca="1" si="39"/>
        <v>0</v>
      </c>
      <c r="U63" s="1228">
        <f t="shared" ca="1" si="39"/>
        <v>4.3478260869565216E-2</v>
      </c>
      <c r="V63" s="1228">
        <f t="shared" ca="1" si="39"/>
        <v>0</v>
      </c>
      <c r="W63" s="1228">
        <f t="shared" ca="1" si="39"/>
        <v>0</v>
      </c>
      <c r="X63" s="1228">
        <f t="shared" ca="1" si="39"/>
        <v>0</v>
      </c>
      <c r="Y63" s="1228">
        <f t="shared" ca="1" si="39"/>
        <v>0</v>
      </c>
      <c r="Z63" s="1228">
        <f t="shared" ca="1" si="39"/>
        <v>0</v>
      </c>
      <c r="AA63" s="1228">
        <f t="shared" ca="1" si="39"/>
        <v>0</v>
      </c>
      <c r="AB63" s="1228">
        <f t="shared" ca="1" si="39"/>
        <v>0</v>
      </c>
      <c r="AC63" s="1228">
        <f t="shared" ca="1" si="39"/>
        <v>0</v>
      </c>
      <c r="AD63" s="1228">
        <f t="shared" ca="1" si="39"/>
        <v>0</v>
      </c>
      <c r="AE63" s="1228">
        <f t="shared" ca="1" si="39"/>
        <v>0</v>
      </c>
      <c r="AF63" s="1228">
        <f t="shared" ca="1" si="39"/>
        <v>0</v>
      </c>
      <c r="AG63" s="1228">
        <f t="shared" ca="1" si="39"/>
        <v>0.10869565217391304</v>
      </c>
      <c r="AH63" s="1228">
        <f t="shared" ca="1" si="39"/>
        <v>0</v>
      </c>
      <c r="AI63" s="1228">
        <f t="shared" ca="1" si="39"/>
        <v>0</v>
      </c>
      <c r="AJ63" s="1228">
        <f t="shared" ca="1" si="39"/>
        <v>0</v>
      </c>
      <c r="AK63" s="1228">
        <f t="shared" ca="1" si="39"/>
        <v>0</v>
      </c>
      <c r="AL63" s="1228">
        <f t="shared" ca="1" si="39"/>
        <v>0</v>
      </c>
      <c r="AM63" s="1228">
        <f t="shared" ca="1" si="39"/>
        <v>0</v>
      </c>
      <c r="AN63" s="1228">
        <f t="shared" ca="1" si="39"/>
        <v>0</v>
      </c>
      <c r="AO63" s="1228">
        <f t="shared" ca="1" si="39"/>
        <v>0</v>
      </c>
      <c r="AP63" s="1228">
        <f t="shared" ca="1" si="39"/>
        <v>0</v>
      </c>
      <c r="AQ63" s="1228">
        <f t="shared" ca="1" si="39"/>
        <v>2.1739130434782608E-2</v>
      </c>
      <c r="AR63" s="1228">
        <f t="shared" ca="1" si="39"/>
        <v>0</v>
      </c>
      <c r="AS63" s="1228">
        <f t="shared" ca="1" si="39"/>
        <v>0</v>
      </c>
      <c r="AT63" s="1228">
        <f t="shared" ca="1" si="11"/>
        <v>0</v>
      </c>
      <c r="AU63" s="1228"/>
      <c r="AV63" s="1228"/>
      <c r="AW63" s="1228"/>
      <c r="AX63" s="1228"/>
      <c r="AZ63" s="1228"/>
      <c r="CP63" s="1194" cm="1">
        <f t="array" aca="1" ref="CP63" ca="1">IFERROR(INDEX($CR63:$DU63,
       MATCH(TRUE,
             (($CR63=CQ$43)*
              (RIGHT($CS$47:$DU$47,3)=NewMUP)*
              ($CR63:$DU63&gt;0))&gt;0,
       0)),0)</f>
        <v>0</v>
      </c>
      <c r="CQ63" s="1290">
        <f ca="1">SUM(CS25:INDEX(21:21, COLUMN($CS25) +$CR$47 - 1))</f>
        <v>0</v>
      </c>
      <c r="CR63" s="1203">
        <f t="shared" si="8"/>
        <v>0</v>
      </c>
      <c r="CS63" s="1228">
        <f t="shared" ref="CS63:DW63" si="40">IF(CS25=0,0,CS25/$Q63)</f>
        <v>0</v>
      </c>
      <c r="CT63" s="1228">
        <f t="shared" si="40"/>
        <v>0</v>
      </c>
      <c r="CU63" s="1228">
        <f t="shared" si="40"/>
        <v>0</v>
      </c>
      <c r="CV63" s="1228">
        <f t="shared" si="40"/>
        <v>0</v>
      </c>
      <c r="CW63" s="1228">
        <f t="shared" si="40"/>
        <v>0</v>
      </c>
      <c r="CX63" s="1228">
        <f t="shared" si="40"/>
        <v>0</v>
      </c>
      <c r="CY63" s="1228">
        <f t="shared" si="40"/>
        <v>0</v>
      </c>
      <c r="CZ63" s="1228">
        <f t="shared" si="40"/>
        <v>0</v>
      </c>
      <c r="DA63" s="1228">
        <f t="shared" si="40"/>
        <v>0</v>
      </c>
      <c r="DB63" s="1228">
        <f t="shared" si="40"/>
        <v>0</v>
      </c>
      <c r="DC63" s="1228">
        <f t="shared" si="40"/>
        <v>0</v>
      </c>
      <c r="DD63" s="1228">
        <f t="shared" si="40"/>
        <v>0</v>
      </c>
      <c r="DE63" s="1228">
        <f t="shared" si="40"/>
        <v>0</v>
      </c>
      <c r="DF63" s="1228">
        <f t="shared" si="40"/>
        <v>0</v>
      </c>
      <c r="DG63" s="1228">
        <f t="shared" si="40"/>
        <v>0</v>
      </c>
      <c r="DH63" s="1228">
        <f t="shared" si="40"/>
        <v>0</v>
      </c>
      <c r="DI63" s="1228">
        <f t="shared" si="40"/>
        <v>0</v>
      </c>
      <c r="DJ63" s="1228">
        <f t="shared" si="40"/>
        <v>0</v>
      </c>
      <c r="DK63" s="1228">
        <f t="shared" si="40"/>
        <v>0</v>
      </c>
      <c r="DL63" s="1228">
        <f t="shared" si="40"/>
        <v>0</v>
      </c>
      <c r="DM63" s="1228">
        <f t="shared" si="40"/>
        <v>0</v>
      </c>
      <c r="DN63" s="1228">
        <f t="shared" si="40"/>
        <v>0</v>
      </c>
      <c r="DO63" s="1228">
        <f t="shared" si="40"/>
        <v>0</v>
      </c>
      <c r="DP63" s="1228">
        <f t="shared" si="40"/>
        <v>0</v>
      </c>
      <c r="DQ63" s="1228">
        <f t="shared" si="40"/>
        <v>0</v>
      </c>
      <c r="DR63" s="1228">
        <f t="shared" si="40"/>
        <v>0</v>
      </c>
      <c r="DS63" s="1228">
        <f t="shared" si="40"/>
        <v>0</v>
      </c>
      <c r="DT63" s="1228">
        <f t="shared" si="40"/>
        <v>0</v>
      </c>
      <c r="DU63" s="1228">
        <f t="shared" si="40"/>
        <v>0</v>
      </c>
      <c r="DV63" s="1228">
        <f t="shared" si="40"/>
        <v>0</v>
      </c>
      <c r="DW63" s="1228">
        <f t="shared" si="40"/>
        <v>0</v>
      </c>
      <c r="DX63" s="1228"/>
    </row>
    <row r="64" spans="2:128" x14ac:dyDescent="0.3">
      <c r="B64" s="89" vm="236">
        <f ca="1"/>
        <v>45895</v>
      </c>
      <c r="C64" s="89" vm="237">
        <f ca="1"/>
        <v>228.71</v>
      </c>
      <c r="D64" s="1210">
        <f t="shared" ca="1" si="0"/>
        <v>3.378081951390762E-3</v>
      </c>
      <c r="E64" s="294" t="str" cm="1">
        <f t="array" aca="1" ref="E64" ca="1">_xlfn.IFS(D64&gt;ZPercent,"U",D64&lt;=-ZPercent,"D",TRUE,"Z")</f>
        <v>Z</v>
      </c>
      <c r="F64" s="294" t="str">
        <f t="shared" ca="1" si="1"/>
        <v>ZZ</v>
      </c>
      <c r="G64" s="294" t="str">
        <f t="shared" ca="1" si="2"/>
        <v>UZZ</v>
      </c>
      <c r="H64" s="868" t="str">
        <f t="shared" ca="1" si="3"/>
        <v/>
      </c>
      <c r="J64" s="89" vm="238">
        <f ca="1"/>
        <v>45747</v>
      </c>
      <c r="K64" s="89" vm="239">
        <f ca="1"/>
        <v>190.26</v>
      </c>
      <c r="N64" s="868" t="str">
        <f ca="1">IF(F64=[2]Sheet1!O62,"","dif")</f>
        <v>dif</v>
      </c>
      <c r="O64" s="1202"/>
      <c r="P64" s="1194" cm="1">
        <f t="array" aca="1" ref="P64" ca="1">IFERROR(INDEX($S64:$AT64,
       MATCH(TRUE,
             (($R64=Q60)*
              (RIGHT($S$47:$AT$47,3)=NewMUP)*
              ($S64:$AT64&gt;0))&gt;0,
       0)),0)</f>
        <v>0</v>
      </c>
      <c r="Q64" s="1290">
        <f ca="1">SUM(S26:INDEX(22:22, COLUMN($S26) +$R$47 - 1))</f>
        <v>41</v>
      </c>
      <c r="R64" s="1234" t="str">
        <f t="shared" ca="1" si="6"/>
        <v>ZUD</v>
      </c>
      <c r="S64" s="1227">
        <f t="shared" ref="S64:AS64" ca="1" si="41">IF(S26=0,0,S26/$Q64)</f>
        <v>0</v>
      </c>
      <c r="T64" s="1228">
        <f t="shared" ca="1" si="41"/>
        <v>0</v>
      </c>
      <c r="U64" s="1228">
        <f t="shared" ca="1" si="41"/>
        <v>0</v>
      </c>
      <c r="V64" s="1228">
        <f t="shared" ca="1" si="41"/>
        <v>0</v>
      </c>
      <c r="W64" s="1228">
        <f t="shared" ca="1" si="41"/>
        <v>0</v>
      </c>
      <c r="X64" s="1228">
        <f t="shared" ca="1" si="41"/>
        <v>0</v>
      </c>
      <c r="Y64" s="1228">
        <f t="shared" ca="1" si="41"/>
        <v>0</v>
      </c>
      <c r="Z64" s="1228">
        <f t="shared" ca="1" si="41"/>
        <v>2.4390243902439025E-2</v>
      </c>
      <c r="AA64" s="1228">
        <f t="shared" ca="1" si="41"/>
        <v>0</v>
      </c>
      <c r="AB64" s="1228">
        <f t="shared" ca="1" si="41"/>
        <v>0</v>
      </c>
      <c r="AC64" s="1228">
        <f t="shared" ca="1" si="41"/>
        <v>9.7560975609756101E-2</v>
      </c>
      <c r="AD64" s="1228">
        <f t="shared" ca="1" si="41"/>
        <v>0</v>
      </c>
      <c r="AE64" s="1228">
        <f t="shared" ca="1" si="41"/>
        <v>0</v>
      </c>
      <c r="AF64" s="1228">
        <f t="shared" ca="1" si="41"/>
        <v>0</v>
      </c>
      <c r="AG64" s="1228">
        <f t="shared" ca="1" si="41"/>
        <v>0</v>
      </c>
      <c r="AH64" s="1228">
        <f t="shared" ca="1" si="41"/>
        <v>0</v>
      </c>
      <c r="AI64" s="1228">
        <f t="shared" ca="1" si="41"/>
        <v>0</v>
      </c>
      <c r="AJ64" s="1228">
        <f t="shared" ca="1" si="41"/>
        <v>0</v>
      </c>
      <c r="AK64" s="1228">
        <f t="shared" ca="1" si="41"/>
        <v>0</v>
      </c>
      <c r="AL64" s="1228">
        <f t="shared" ca="1" si="41"/>
        <v>0</v>
      </c>
      <c r="AM64" s="1228">
        <f t="shared" ca="1" si="41"/>
        <v>0</v>
      </c>
      <c r="AN64" s="1228">
        <f t="shared" ca="1" si="41"/>
        <v>4.878048780487805E-2</v>
      </c>
      <c r="AO64" s="1228">
        <f t="shared" ca="1" si="41"/>
        <v>0</v>
      </c>
      <c r="AP64" s="1228">
        <f t="shared" ca="1" si="41"/>
        <v>0</v>
      </c>
      <c r="AQ64" s="1228">
        <f t="shared" ca="1" si="41"/>
        <v>0</v>
      </c>
      <c r="AR64" s="1228">
        <f t="shared" ca="1" si="41"/>
        <v>0</v>
      </c>
      <c r="AS64" s="1228">
        <f t="shared" ca="1" si="41"/>
        <v>0</v>
      </c>
      <c r="AT64" s="1228">
        <f t="shared" ca="1" si="11"/>
        <v>0</v>
      </c>
      <c r="AU64" s="1228"/>
      <c r="AV64" s="1228"/>
      <c r="AW64" s="1228"/>
      <c r="AX64" s="1228"/>
      <c r="AZ64" s="1228"/>
      <c r="CP64" s="1194" cm="1">
        <f t="array" aca="1" ref="CP64" ca="1">IFERROR(INDEX($CR64:$DU64,
       MATCH(TRUE,
             (($CR64=CQ$43)*
              (RIGHT($CS$47:$DU$47,3)=NewMUP)*
              ($CR64:$DU64&gt;0))&gt;0,
       0)),0)</f>
        <v>0</v>
      </c>
      <c r="CQ64" s="1290">
        <f ca="1">SUM(CS26:INDEX(22:22, COLUMN($CS26) +$CR$47 - 1))</f>
        <v>0</v>
      </c>
      <c r="CR64" s="1203">
        <f t="shared" si="8"/>
        <v>0</v>
      </c>
      <c r="CS64" s="1228">
        <f t="shared" ref="CS64:DW64" si="42">IF(CS26=0,0,CS26/$Q64)</f>
        <v>0</v>
      </c>
      <c r="CT64" s="1228">
        <f t="shared" si="42"/>
        <v>0</v>
      </c>
      <c r="CU64" s="1228">
        <f t="shared" si="42"/>
        <v>0</v>
      </c>
      <c r="CV64" s="1228">
        <f t="shared" si="42"/>
        <v>0</v>
      </c>
      <c r="CW64" s="1228">
        <f t="shared" si="42"/>
        <v>0</v>
      </c>
      <c r="CX64" s="1228">
        <f t="shared" si="42"/>
        <v>0</v>
      </c>
      <c r="CY64" s="1228">
        <f t="shared" si="42"/>
        <v>0</v>
      </c>
      <c r="CZ64" s="1228">
        <f t="shared" si="42"/>
        <v>0</v>
      </c>
      <c r="DA64" s="1228">
        <f t="shared" si="42"/>
        <v>0</v>
      </c>
      <c r="DB64" s="1228">
        <f t="shared" si="42"/>
        <v>0</v>
      </c>
      <c r="DC64" s="1228">
        <f t="shared" si="42"/>
        <v>0</v>
      </c>
      <c r="DD64" s="1228">
        <f t="shared" si="42"/>
        <v>0</v>
      </c>
      <c r="DE64" s="1228">
        <f t="shared" si="42"/>
        <v>0</v>
      </c>
      <c r="DF64" s="1228">
        <f t="shared" si="42"/>
        <v>0</v>
      </c>
      <c r="DG64" s="1228">
        <f t="shared" si="42"/>
        <v>0</v>
      </c>
      <c r="DH64" s="1228">
        <f t="shared" si="42"/>
        <v>0</v>
      </c>
      <c r="DI64" s="1228">
        <f t="shared" si="42"/>
        <v>0</v>
      </c>
      <c r="DJ64" s="1228">
        <f t="shared" si="42"/>
        <v>0</v>
      </c>
      <c r="DK64" s="1228">
        <f t="shared" si="42"/>
        <v>0</v>
      </c>
      <c r="DL64" s="1228">
        <f t="shared" si="42"/>
        <v>0</v>
      </c>
      <c r="DM64" s="1228">
        <f t="shared" si="42"/>
        <v>0</v>
      </c>
      <c r="DN64" s="1228">
        <f t="shared" si="42"/>
        <v>0</v>
      </c>
      <c r="DO64" s="1228">
        <f t="shared" si="42"/>
        <v>0</v>
      </c>
      <c r="DP64" s="1228">
        <f t="shared" si="42"/>
        <v>0</v>
      </c>
      <c r="DQ64" s="1228">
        <f t="shared" si="42"/>
        <v>0</v>
      </c>
      <c r="DR64" s="1228">
        <f t="shared" si="42"/>
        <v>0</v>
      </c>
      <c r="DS64" s="1228">
        <f t="shared" si="42"/>
        <v>0</v>
      </c>
      <c r="DT64" s="1228">
        <f t="shared" si="42"/>
        <v>0</v>
      </c>
      <c r="DU64" s="1228">
        <f t="shared" si="42"/>
        <v>0</v>
      </c>
      <c r="DV64" s="1228">
        <f t="shared" si="42"/>
        <v>0</v>
      </c>
      <c r="DW64" s="1228">
        <f t="shared" si="42"/>
        <v>0</v>
      </c>
      <c r="DX64" s="1228"/>
    </row>
    <row r="65" spans="2:128" x14ac:dyDescent="0.3">
      <c r="B65" s="89" vm="240">
        <f ca="1"/>
        <v>45894</v>
      </c>
      <c r="C65" s="89" vm="241">
        <f ca="1"/>
        <v>227.94</v>
      </c>
      <c r="D65" s="1210">
        <f t="shared" ca="1" si="0"/>
        <v>-3.932878867330911E-3</v>
      </c>
      <c r="E65" s="294" t="str" cm="1">
        <f t="array" aca="1" ref="E65" ca="1">_xlfn.IFS(D65&gt;ZPercent,"U",D65&lt;=-ZPercent,"D",TRUE,"Z")</f>
        <v>Z</v>
      </c>
      <c r="F65" s="294" t="str">
        <f t="shared" ca="1" si="1"/>
        <v>UZ</v>
      </c>
      <c r="G65" s="294" t="str">
        <f t="shared" ca="1" si="2"/>
        <v>DUZ</v>
      </c>
      <c r="H65" s="868" t="str">
        <f t="shared" ca="1" si="3"/>
        <v/>
      </c>
      <c r="J65" s="89" vm="242">
        <f ca="1"/>
        <v>45748</v>
      </c>
      <c r="K65" s="89" vm="243">
        <f ca="1"/>
        <v>192.17</v>
      </c>
      <c r="N65" s="868" t="str">
        <f ca="1">IF(F65=[2]Sheet1!O63,"","dif")</f>
        <v>dif</v>
      </c>
      <c r="O65" s="1202"/>
      <c r="P65" s="1194" cm="1">
        <f t="array" aca="1" ref="P65" ca="1">IFERROR(INDEX($S65:$AT65,
       MATCH(TRUE,
             (($R65=Q61)*
              (RIGHT($S$47:$AT$47,3)=NewMUP)*
              ($S65:$AT65&gt;0))&gt;0,
       0)),0)</f>
        <v>0</v>
      </c>
      <c r="Q65" s="1290">
        <f ca="1">SUM(S27:INDEX(23:23, COLUMN($S27) +$R$47 - 1))</f>
        <v>36</v>
      </c>
      <c r="R65" s="1234" t="str">
        <f t="shared" ca="1" si="6"/>
        <v>DZU</v>
      </c>
      <c r="S65" s="1227">
        <f t="shared" ref="S65:AS65" ca="1" si="43">IF(S27=0,0,S27/$Q65)</f>
        <v>0</v>
      </c>
      <c r="T65" s="1228">
        <f t="shared" ca="1" si="43"/>
        <v>0</v>
      </c>
      <c r="U65" s="1228">
        <f t="shared" ca="1" si="43"/>
        <v>0</v>
      </c>
      <c r="V65" s="1228">
        <f t="shared" ca="1" si="43"/>
        <v>0</v>
      </c>
      <c r="W65" s="1228">
        <f t="shared" ca="1" si="43"/>
        <v>0</v>
      </c>
      <c r="X65" s="1228">
        <f t="shared" ca="1" si="43"/>
        <v>0</v>
      </c>
      <c r="Y65" s="1228">
        <f t="shared" ca="1" si="43"/>
        <v>0</v>
      </c>
      <c r="Z65" s="1228">
        <f t="shared" ca="1" si="43"/>
        <v>0</v>
      </c>
      <c r="AA65" s="1228">
        <f t="shared" ca="1" si="43"/>
        <v>0</v>
      </c>
      <c r="AB65" s="1228">
        <f t="shared" ca="1" si="43"/>
        <v>0</v>
      </c>
      <c r="AC65" s="1228">
        <f t="shared" ca="1" si="43"/>
        <v>0</v>
      </c>
      <c r="AD65" s="1228">
        <f t="shared" ca="1" si="43"/>
        <v>0</v>
      </c>
      <c r="AE65" s="1228">
        <f t="shared" ca="1" si="43"/>
        <v>0</v>
      </c>
      <c r="AF65" s="1228">
        <f t="shared" ca="1" si="43"/>
        <v>5.5555555555555552E-2</v>
      </c>
      <c r="AG65" s="1228">
        <f t="shared" ca="1" si="43"/>
        <v>0</v>
      </c>
      <c r="AH65" s="1228">
        <f t="shared" ca="1" si="43"/>
        <v>0</v>
      </c>
      <c r="AI65" s="1228">
        <f t="shared" ca="1" si="43"/>
        <v>0.1111111111111111</v>
      </c>
      <c r="AJ65" s="1228">
        <f t="shared" ca="1" si="43"/>
        <v>0</v>
      </c>
      <c r="AK65" s="1228">
        <f t="shared" ca="1" si="43"/>
        <v>0</v>
      </c>
      <c r="AL65" s="1228">
        <f t="shared" ca="1" si="43"/>
        <v>0</v>
      </c>
      <c r="AM65" s="1228">
        <f t="shared" ca="1" si="43"/>
        <v>0</v>
      </c>
      <c r="AN65" s="1228">
        <f t="shared" ca="1" si="43"/>
        <v>0</v>
      </c>
      <c r="AO65" s="1228">
        <f t="shared" ca="1" si="43"/>
        <v>0</v>
      </c>
      <c r="AP65" s="1228">
        <f t="shared" ca="1" si="43"/>
        <v>0</v>
      </c>
      <c r="AQ65" s="1228">
        <f t="shared" ca="1" si="43"/>
        <v>0</v>
      </c>
      <c r="AR65" s="1228">
        <f t="shared" ca="1" si="43"/>
        <v>0</v>
      </c>
      <c r="AS65" s="1228">
        <f t="shared" ca="1" si="43"/>
        <v>2.7777777777777776E-2</v>
      </c>
      <c r="AT65" s="1228">
        <f t="shared" ca="1" si="11"/>
        <v>0</v>
      </c>
      <c r="AU65" s="1228"/>
      <c r="AV65" s="1228"/>
      <c r="AW65" s="1228"/>
      <c r="AX65" s="1228"/>
      <c r="AZ65" s="1228"/>
      <c r="CP65" s="1194" cm="1">
        <f t="array" aca="1" ref="CP65" ca="1">IFERROR(INDEX($CR65:$DU65,
       MATCH(TRUE,
             (($CR65=CQ$43)*
              (RIGHT($CS$47:$DU$47,3)=NewMUP)*
              ($CR65:$DU65&gt;0))&gt;0,
       0)),0)</f>
        <v>0</v>
      </c>
      <c r="CQ65" s="1290">
        <f ca="1">SUM(CS27:INDEX(23:23, COLUMN($CS27) +$CR$47 - 1))</f>
        <v>0</v>
      </c>
      <c r="CR65" s="1228"/>
      <c r="CS65" s="1228">
        <f t="shared" ref="CS65:DW65" si="44">IF(CS27=0,0,CS27/$Q65)</f>
        <v>0</v>
      </c>
      <c r="CT65" s="1228">
        <f t="shared" si="44"/>
        <v>0</v>
      </c>
      <c r="CU65" s="1228">
        <f t="shared" si="44"/>
        <v>0</v>
      </c>
      <c r="CV65" s="1228">
        <f t="shared" si="44"/>
        <v>0</v>
      </c>
      <c r="CW65" s="1228">
        <f t="shared" si="44"/>
        <v>0</v>
      </c>
      <c r="CX65" s="1228">
        <f t="shared" si="44"/>
        <v>0</v>
      </c>
      <c r="CY65" s="1228">
        <f t="shared" si="44"/>
        <v>0</v>
      </c>
      <c r="CZ65" s="1228">
        <f t="shared" si="44"/>
        <v>0</v>
      </c>
      <c r="DA65" s="1228">
        <f t="shared" si="44"/>
        <v>0</v>
      </c>
      <c r="DB65" s="1228">
        <f t="shared" si="44"/>
        <v>0</v>
      </c>
      <c r="DC65" s="1228">
        <f t="shared" si="44"/>
        <v>0</v>
      </c>
      <c r="DD65" s="1228">
        <f t="shared" si="44"/>
        <v>0</v>
      </c>
      <c r="DE65" s="1228">
        <f t="shared" si="44"/>
        <v>0</v>
      </c>
      <c r="DF65" s="1228">
        <f t="shared" si="44"/>
        <v>0</v>
      </c>
      <c r="DG65" s="1228">
        <f t="shared" si="44"/>
        <v>0</v>
      </c>
      <c r="DH65" s="1228">
        <f t="shared" si="44"/>
        <v>0</v>
      </c>
      <c r="DI65" s="1228">
        <f t="shared" si="44"/>
        <v>0</v>
      </c>
      <c r="DJ65" s="1228">
        <f t="shared" si="44"/>
        <v>0</v>
      </c>
      <c r="DK65" s="1228">
        <f t="shared" si="44"/>
        <v>0</v>
      </c>
      <c r="DL65" s="1228">
        <f t="shared" si="44"/>
        <v>0</v>
      </c>
      <c r="DM65" s="1228">
        <f t="shared" si="44"/>
        <v>0</v>
      </c>
      <c r="DN65" s="1228">
        <f t="shared" si="44"/>
        <v>0</v>
      </c>
      <c r="DO65" s="1228">
        <f t="shared" si="44"/>
        <v>0</v>
      </c>
      <c r="DP65" s="1228">
        <f t="shared" si="44"/>
        <v>0</v>
      </c>
      <c r="DQ65" s="1228">
        <f t="shared" si="44"/>
        <v>0</v>
      </c>
      <c r="DR65" s="1228">
        <f t="shared" si="44"/>
        <v>0</v>
      </c>
      <c r="DS65" s="1228">
        <f t="shared" si="44"/>
        <v>0</v>
      </c>
      <c r="DT65" s="1228">
        <f t="shared" si="44"/>
        <v>0</v>
      </c>
      <c r="DU65" s="1228">
        <f t="shared" si="44"/>
        <v>0</v>
      </c>
      <c r="DV65" s="1228">
        <f t="shared" si="44"/>
        <v>0</v>
      </c>
      <c r="DW65" s="1228">
        <f t="shared" si="44"/>
        <v>0</v>
      </c>
      <c r="DX65" s="1228"/>
    </row>
    <row r="66" spans="2:128" x14ac:dyDescent="0.3">
      <c r="B66" s="89" vm="244">
        <f ca="1"/>
        <v>45891</v>
      </c>
      <c r="C66" s="89" vm="245">
        <f ca="1"/>
        <v>228.84</v>
      </c>
      <c r="D66" s="1210">
        <f t="shared" ca="1" si="0"/>
        <v>3.1043027708943523E-2</v>
      </c>
      <c r="E66" s="294" t="str" cm="1">
        <f t="array" aca="1" ref="E66" ca="1">_xlfn.IFS(D66&gt;ZPercent,"U",D66&lt;=-ZPercent,"D",TRUE,"Z")</f>
        <v>U</v>
      </c>
      <c r="F66" s="294" t="str">
        <f t="shared" ca="1" si="1"/>
        <v>DU</v>
      </c>
      <c r="G66" s="294" t="str">
        <f t="shared" ca="1" si="2"/>
        <v>DDU</v>
      </c>
      <c r="H66" s="868" t="str">
        <f t="shared" ca="1" si="3"/>
        <v/>
      </c>
      <c r="J66" s="89" vm="246">
        <f ca="1"/>
        <v>45749</v>
      </c>
      <c r="K66" s="89" vm="247">
        <f ca="1"/>
        <v>196.01</v>
      </c>
      <c r="N66" s="868" t="str">
        <f ca="1">IF(F66=[2]Sheet1!O64,"","dif")</f>
        <v>dif</v>
      </c>
      <c r="O66" s="1202"/>
      <c r="P66" s="1194" cm="1">
        <f t="array" aca="1" ref="P66" ca="1">IFERROR(INDEX($S66:$AT66,
       MATCH(TRUE,
             (($R66=Q62)*
              (RIGHT($S$47:$AT$47,3)=NewMUP)*
              ($S66:$AT66&gt;0))&gt;0,
       0)),0)</f>
        <v>0</v>
      </c>
      <c r="Q66" s="1290">
        <f ca="1">SUM(S28:INDEX(24:24, COLUMN($S28) +$R$47 - 1))</f>
        <v>35</v>
      </c>
      <c r="R66" s="1234" t="str">
        <f t="shared" ca="1" si="6"/>
        <v>DDZ</v>
      </c>
      <c r="S66" s="1227">
        <f t="shared" ref="S66:AS66" ca="1" si="45">IF(S28=0,0,S28/$Q66)</f>
        <v>0</v>
      </c>
      <c r="T66" s="1228">
        <f t="shared" ca="1" si="45"/>
        <v>0</v>
      </c>
      <c r="U66" s="1228">
        <f t="shared" ca="1" si="45"/>
        <v>0</v>
      </c>
      <c r="V66" s="1228">
        <f t="shared" ca="1" si="45"/>
        <v>0</v>
      </c>
      <c r="W66" s="1228">
        <f t="shared" ca="1" si="45"/>
        <v>0</v>
      </c>
      <c r="X66" s="1228">
        <f t="shared" ca="1" si="45"/>
        <v>0</v>
      </c>
      <c r="Y66" s="1228">
        <f t="shared" ca="1" si="45"/>
        <v>5.7142857142857141E-2</v>
      </c>
      <c r="Z66" s="1228">
        <f t="shared" ca="1" si="45"/>
        <v>0</v>
      </c>
      <c r="AA66" s="1228">
        <f t="shared" ca="1" si="45"/>
        <v>0</v>
      </c>
      <c r="AB66" s="1228">
        <f t="shared" ca="1" si="45"/>
        <v>0</v>
      </c>
      <c r="AC66" s="1228">
        <f t="shared" ca="1" si="45"/>
        <v>0</v>
      </c>
      <c r="AD66" s="1228">
        <f t="shared" ca="1" si="45"/>
        <v>0</v>
      </c>
      <c r="AE66" s="1228">
        <f t="shared" ca="1" si="45"/>
        <v>0</v>
      </c>
      <c r="AF66" s="1228">
        <f t="shared" ca="1" si="45"/>
        <v>0</v>
      </c>
      <c r="AG66" s="1228">
        <f t="shared" ca="1" si="45"/>
        <v>0</v>
      </c>
      <c r="AH66" s="1228">
        <f t="shared" ca="1" si="45"/>
        <v>0</v>
      </c>
      <c r="AI66" s="1228">
        <f t="shared" ca="1" si="45"/>
        <v>0</v>
      </c>
      <c r="AJ66" s="1228">
        <f t="shared" ca="1" si="45"/>
        <v>5.7142857142857141E-2</v>
      </c>
      <c r="AK66" s="1228">
        <f t="shared" ca="1" si="45"/>
        <v>0</v>
      </c>
      <c r="AL66" s="1228">
        <f t="shared" ca="1" si="45"/>
        <v>0</v>
      </c>
      <c r="AM66" s="1228">
        <f t="shared" ca="1" si="45"/>
        <v>2.8571428571428571E-2</v>
      </c>
      <c r="AN66" s="1228">
        <f t="shared" ca="1" si="45"/>
        <v>0</v>
      </c>
      <c r="AO66" s="1228">
        <f t="shared" ca="1" si="45"/>
        <v>0</v>
      </c>
      <c r="AP66" s="1228">
        <f t="shared" ca="1" si="45"/>
        <v>0</v>
      </c>
      <c r="AQ66" s="1228">
        <f t="shared" ca="1" si="45"/>
        <v>0</v>
      </c>
      <c r="AR66" s="1228">
        <f t="shared" ca="1" si="45"/>
        <v>0</v>
      </c>
      <c r="AS66" s="1228">
        <f t="shared" ca="1" si="45"/>
        <v>0</v>
      </c>
      <c r="AT66" s="1228">
        <f t="shared" ca="1" si="11"/>
        <v>0</v>
      </c>
      <c r="AU66" s="1228"/>
      <c r="AV66" s="1228"/>
      <c r="AW66" s="1228"/>
      <c r="AX66" s="1228"/>
      <c r="AZ66" s="1228"/>
      <c r="CP66" s="1194" cm="1">
        <f t="array" aca="1" ref="CP66" ca="1">IFERROR(INDEX($CR66:$DU66,
       MATCH(TRUE,
             (($CR66=CQ$43)*
              (RIGHT($CS$47:$DU$47,3)=NewMUP)*
              ($CR66:$DU66&gt;0))&gt;0,
       0)),0)</f>
        <v>0</v>
      </c>
      <c r="CQ66" s="1290">
        <f ca="1">SUM(CS28:INDEX(24:24, COLUMN($CS28) +$CR$47 - 1))</f>
        <v>0</v>
      </c>
      <c r="CR66" s="1228"/>
      <c r="CS66" s="1228">
        <f t="shared" ref="CS66:DW66" si="46">IF(CS28=0,0,CS28/$Q66)</f>
        <v>0</v>
      </c>
      <c r="CT66" s="1228">
        <f t="shared" si="46"/>
        <v>0</v>
      </c>
      <c r="CU66" s="1228">
        <f t="shared" si="46"/>
        <v>0</v>
      </c>
      <c r="CV66" s="1228">
        <f t="shared" si="46"/>
        <v>0</v>
      </c>
      <c r="CW66" s="1228">
        <f t="shared" si="46"/>
        <v>0</v>
      </c>
      <c r="CX66" s="1228">
        <f t="shared" si="46"/>
        <v>0</v>
      </c>
      <c r="CY66" s="1228">
        <f t="shared" si="46"/>
        <v>0</v>
      </c>
      <c r="CZ66" s="1228">
        <f t="shared" si="46"/>
        <v>0</v>
      </c>
      <c r="DA66" s="1228">
        <f t="shared" si="46"/>
        <v>0</v>
      </c>
      <c r="DB66" s="1228">
        <f t="shared" si="46"/>
        <v>0</v>
      </c>
      <c r="DC66" s="1228">
        <f t="shared" si="46"/>
        <v>0</v>
      </c>
      <c r="DD66" s="1228">
        <f t="shared" si="46"/>
        <v>0</v>
      </c>
      <c r="DE66" s="1228">
        <f t="shared" si="46"/>
        <v>0</v>
      </c>
      <c r="DF66" s="1228">
        <f t="shared" si="46"/>
        <v>0</v>
      </c>
      <c r="DG66" s="1228">
        <f t="shared" si="46"/>
        <v>0</v>
      </c>
      <c r="DH66" s="1228">
        <f t="shared" si="46"/>
        <v>0</v>
      </c>
      <c r="DI66" s="1228">
        <f t="shared" si="46"/>
        <v>0</v>
      </c>
      <c r="DJ66" s="1228">
        <f t="shared" si="46"/>
        <v>0</v>
      </c>
      <c r="DK66" s="1228">
        <f t="shared" si="46"/>
        <v>0</v>
      </c>
      <c r="DL66" s="1228">
        <f t="shared" si="46"/>
        <v>0</v>
      </c>
      <c r="DM66" s="1228">
        <f t="shared" si="46"/>
        <v>0</v>
      </c>
      <c r="DN66" s="1228">
        <f t="shared" si="46"/>
        <v>0</v>
      </c>
      <c r="DO66" s="1228">
        <f t="shared" si="46"/>
        <v>0</v>
      </c>
      <c r="DP66" s="1228">
        <f t="shared" si="46"/>
        <v>0</v>
      </c>
      <c r="DQ66" s="1228">
        <f t="shared" si="46"/>
        <v>0</v>
      </c>
      <c r="DR66" s="1228">
        <f t="shared" si="46"/>
        <v>0</v>
      </c>
      <c r="DS66" s="1228">
        <f t="shared" si="46"/>
        <v>0</v>
      </c>
      <c r="DT66" s="1228">
        <f t="shared" si="46"/>
        <v>0</v>
      </c>
      <c r="DU66" s="1228">
        <f t="shared" si="46"/>
        <v>0</v>
      </c>
      <c r="DV66" s="1228">
        <f t="shared" si="46"/>
        <v>0</v>
      </c>
      <c r="DW66" s="1228">
        <f t="shared" si="46"/>
        <v>0</v>
      </c>
      <c r="DX66" s="1228"/>
    </row>
    <row r="67" spans="2:128" x14ac:dyDescent="0.3">
      <c r="B67" s="89" vm="248">
        <f ca="1"/>
        <v>45890</v>
      </c>
      <c r="C67" s="89" vm="249">
        <f ca="1"/>
        <v>221.95</v>
      </c>
      <c r="D67" s="1210">
        <f t="shared" ca="1" si="0"/>
        <v>-8.3106206157008786E-3</v>
      </c>
      <c r="E67" s="294" t="str" cm="1">
        <f t="array" aca="1" ref="E67" ca="1">_xlfn.IFS(D67&gt;ZPercent,"U",D67&lt;=-ZPercent,"D",TRUE,"Z")</f>
        <v>D</v>
      </c>
      <c r="F67" s="294" t="str">
        <f t="shared" ca="1" si="1"/>
        <v>DD</v>
      </c>
      <c r="G67" s="294" t="str">
        <f t="shared" ca="1" si="2"/>
        <v>DDD</v>
      </c>
      <c r="H67" s="868" t="str">
        <f t="shared" ca="1" si="3"/>
        <v/>
      </c>
      <c r="J67" s="89" vm="250">
        <f ca="1"/>
        <v>45750</v>
      </c>
      <c r="K67" s="89" vm="251">
        <f ca="1"/>
        <v>178.41</v>
      </c>
      <c r="N67" s="868" t="str">
        <f ca="1">IF(F67=[2]Sheet1!O65,"","dif")</f>
        <v>dif</v>
      </c>
      <c r="O67" s="1202"/>
      <c r="P67" s="1194" cm="1">
        <f t="array" aca="1" ref="P67" ca="1">IFERROR(INDEX($S67:$AT67,
       MATCH(TRUE,
             (($R67=Q63)*
              (RIGHT($S$47:$AT$47,3)=NewMUP)*
              ($S67:$AT67&gt;0))&gt;0,
       0)),0)</f>
        <v>0</v>
      </c>
      <c r="Q67" s="1290">
        <f ca="1">SUM(S29:INDEX(25:25, COLUMN($S29) +$R$47 - 1))</f>
        <v>32</v>
      </c>
      <c r="R67" s="1234" t="str">
        <f t="shared" ca="1" si="6"/>
        <v>ZZD</v>
      </c>
      <c r="S67" s="1227">
        <f t="shared" ref="S67:AS67" ca="1" si="47">IF(S29=0,0,S29/$Q67)</f>
        <v>0</v>
      </c>
      <c r="T67" s="1228">
        <f t="shared" ca="1" si="47"/>
        <v>9.375E-2</v>
      </c>
      <c r="U67" s="1228">
        <f t="shared" ca="1" si="47"/>
        <v>0</v>
      </c>
      <c r="V67" s="1228">
        <f t="shared" ca="1" si="47"/>
        <v>0</v>
      </c>
      <c r="W67" s="1228">
        <f t="shared" ca="1" si="47"/>
        <v>0</v>
      </c>
      <c r="X67" s="1228">
        <f t="shared" ca="1" si="47"/>
        <v>0</v>
      </c>
      <c r="Y67" s="1228">
        <f t="shared" ca="1" si="47"/>
        <v>0</v>
      </c>
      <c r="Z67" s="1228">
        <f t="shared" ca="1" si="47"/>
        <v>0</v>
      </c>
      <c r="AA67" s="1228">
        <f t="shared" ca="1" si="47"/>
        <v>0</v>
      </c>
      <c r="AB67" s="1228">
        <f t="shared" ca="1" si="47"/>
        <v>0</v>
      </c>
      <c r="AC67" s="1228">
        <f t="shared" ca="1" si="47"/>
        <v>0</v>
      </c>
      <c r="AD67" s="1228">
        <f t="shared" ca="1" si="47"/>
        <v>0</v>
      </c>
      <c r="AE67" s="1228">
        <f t="shared" ca="1" si="47"/>
        <v>0</v>
      </c>
      <c r="AF67" s="1228">
        <f t="shared" ca="1" si="47"/>
        <v>0</v>
      </c>
      <c r="AG67" s="1228">
        <f t="shared" ca="1" si="47"/>
        <v>0</v>
      </c>
      <c r="AH67" s="1228">
        <f t="shared" ca="1" si="47"/>
        <v>0</v>
      </c>
      <c r="AI67" s="1228">
        <f t="shared" ca="1" si="47"/>
        <v>0</v>
      </c>
      <c r="AJ67" s="1228">
        <f t="shared" ca="1" si="47"/>
        <v>0</v>
      </c>
      <c r="AK67" s="1228">
        <f t="shared" ca="1" si="47"/>
        <v>0</v>
      </c>
      <c r="AL67" s="1228">
        <f t="shared" ca="1" si="47"/>
        <v>0</v>
      </c>
      <c r="AM67" s="1228">
        <f t="shared" ca="1" si="47"/>
        <v>0</v>
      </c>
      <c r="AN67" s="1228">
        <f t="shared" ca="1" si="47"/>
        <v>0</v>
      </c>
      <c r="AO67" s="1228">
        <f t="shared" ca="1" si="47"/>
        <v>0</v>
      </c>
      <c r="AP67" s="1228">
        <f t="shared" ca="1" si="47"/>
        <v>0</v>
      </c>
      <c r="AQ67" s="1228">
        <f t="shared" ca="1" si="47"/>
        <v>0</v>
      </c>
      <c r="AR67" s="1228">
        <f t="shared" ca="1" si="47"/>
        <v>6.25E-2</v>
      </c>
      <c r="AS67" s="1228">
        <f t="shared" ca="1" si="47"/>
        <v>0</v>
      </c>
      <c r="AT67" s="1228">
        <f t="shared" ca="1" si="11"/>
        <v>0</v>
      </c>
      <c r="AU67" s="1228"/>
      <c r="AV67" s="1228"/>
      <c r="AW67" s="1228"/>
      <c r="AX67" s="1228"/>
      <c r="AZ67" s="1228"/>
      <c r="CP67" s="1194" cm="1">
        <f t="array" aca="1" ref="CP67" ca="1">IFERROR(INDEX($CR67:$DU67,
       MATCH(TRUE,
             (($CR67=CQ$43)*
              (RIGHT($CS$47:$DU$47,3)=NewMUP)*
              ($CR67:$DU67&gt;0))&gt;0,
       0)),0)</f>
        <v>0</v>
      </c>
      <c r="CQ67" s="1290">
        <f ca="1">SUM(CS29:INDEX(25:25, COLUMN($CS29) +$CR$47 - 1))</f>
        <v>0</v>
      </c>
      <c r="CR67" s="1228"/>
      <c r="CS67" s="1228">
        <f t="shared" ref="CS67:DW67" si="48">IF(CS29=0,0,CS29/$Q67)</f>
        <v>0</v>
      </c>
      <c r="CT67" s="1228">
        <f t="shared" si="48"/>
        <v>0</v>
      </c>
      <c r="CU67" s="1228">
        <f t="shared" si="48"/>
        <v>0</v>
      </c>
      <c r="CV67" s="1228">
        <f t="shared" si="48"/>
        <v>0</v>
      </c>
      <c r="CW67" s="1228">
        <f t="shared" si="48"/>
        <v>0</v>
      </c>
      <c r="CX67" s="1228">
        <f t="shared" si="48"/>
        <v>0</v>
      </c>
      <c r="CY67" s="1228">
        <f t="shared" si="48"/>
        <v>0</v>
      </c>
      <c r="CZ67" s="1228">
        <f t="shared" si="48"/>
        <v>0</v>
      </c>
      <c r="DA67" s="1228">
        <f t="shared" si="48"/>
        <v>0</v>
      </c>
      <c r="DB67" s="1228">
        <f t="shared" si="48"/>
        <v>0</v>
      </c>
      <c r="DC67" s="1228">
        <f t="shared" si="48"/>
        <v>0</v>
      </c>
      <c r="DD67" s="1228">
        <f t="shared" si="48"/>
        <v>0</v>
      </c>
      <c r="DE67" s="1228">
        <f t="shared" si="48"/>
        <v>0</v>
      </c>
      <c r="DF67" s="1228">
        <f t="shared" si="48"/>
        <v>0</v>
      </c>
      <c r="DG67" s="1228">
        <f t="shared" si="48"/>
        <v>0</v>
      </c>
      <c r="DH67" s="1228">
        <f t="shared" si="48"/>
        <v>0</v>
      </c>
      <c r="DI67" s="1228">
        <f t="shared" si="48"/>
        <v>0</v>
      </c>
      <c r="DJ67" s="1228">
        <f t="shared" si="48"/>
        <v>0</v>
      </c>
      <c r="DK67" s="1228">
        <f t="shared" si="48"/>
        <v>0</v>
      </c>
      <c r="DL67" s="1228">
        <f t="shared" si="48"/>
        <v>0</v>
      </c>
      <c r="DM67" s="1228">
        <f t="shared" si="48"/>
        <v>0</v>
      </c>
      <c r="DN67" s="1228">
        <f t="shared" si="48"/>
        <v>0</v>
      </c>
      <c r="DO67" s="1228">
        <f t="shared" si="48"/>
        <v>0</v>
      </c>
      <c r="DP67" s="1228">
        <f t="shared" si="48"/>
        <v>0</v>
      </c>
      <c r="DQ67" s="1228">
        <f t="shared" si="48"/>
        <v>0</v>
      </c>
      <c r="DR67" s="1228">
        <f t="shared" si="48"/>
        <v>0</v>
      </c>
      <c r="DS67" s="1228">
        <f t="shared" si="48"/>
        <v>0</v>
      </c>
      <c r="DT67" s="1228">
        <f t="shared" si="48"/>
        <v>0</v>
      </c>
      <c r="DU67" s="1228">
        <f t="shared" si="48"/>
        <v>0</v>
      </c>
      <c r="DV67" s="1228">
        <f t="shared" si="48"/>
        <v>0</v>
      </c>
      <c r="DW67" s="1228">
        <f t="shared" si="48"/>
        <v>0</v>
      </c>
      <c r="DX67" s="1228"/>
    </row>
    <row r="68" spans="2:128" x14ac:dyDescent="0.3">
      <c r="B68" s="89" vm="252">
        <f ca="1"/>
        <v>45889</v>
      </c>
      <c r="C68" s="89" vm="253">
        <f ca="1"/>
        <v>223.81</v>
      </c>
      <c r="D68" s="1210">
        <f t="shared" ca="1" si="0"/>
        <v>-1.8420244726108453E-2</v>
      </c>
      <c r="E68" s="294" t="str" cm="1">
        <f t="array" aca="1" ref="E68" ca="1">_xlfn.IFS(D68&gt;ZPercent,"U",D68&lt;=-ZPercent,"D",TRUE,"Z")</f>
        <v>D</v>
      </c>
      <c r="F68" s="294" t="str">
        <f t="shared" ca="1" si="1"/>
        <v>DD</v>
      </c>
      <c r="G68" s="294" t="str">
        <f t="shared" ca="1" si="2"/>
        <v>ZDD</v>
      </c>
      <c r="H68" s="868" t="str">
        <f t="shared" ca="1" si="3"/>
        <v/>
      </c>
      <c r="J68" s="89" vm="254">
        <f ca="1"/>
        <v>45751</v>
      </c>
      <c r="K68" s="89" vm="255">
        <f ca="1"/>
        <v>171</v>
      </c>
      <c r="N68" s="868" t="str">
        <f ca="1">IF(F68=[2]Sheet1!O66,"","dif")</f>
        <v>dif</v>
      </c>
      <c r="O68" s="1202"/>
      <c r="P68" s="1194" cm="1">
        <f t="array" aca="1" ref="P68" ca="1">IFERROR(INDEX($S68:$AT68,
       MATCH(TRUE,
             (($R68=Q64)*
              (RIGHT($S$47:$AT$47,3)=NewMUP)*
              ($S68:$AT68&gt;0))&gt;0,
       0)),0)</f>
        <v>0</v>
      </c>
      <c r="Q68" s="1290">
        <f ca="1">SUM(S30:INDEX(26:26, COLUMN($S30) +$R$47 - 1))</f>
        <v>28</v>
      </c>
      <c r="R68" s="1234" t="str">
        <f t="shared" ca="1" si="6"/>
        <v>DZZ</v>
      </c>
      <c r="S68" s="1227">
        <f t="shared" ref="S68:AS68" ca="1" si="49">IF(S30=0,0,S30/$Q68)</f>
        <v>0</v>
      </c>
      <c r="T68" s="1228">
        <f t="shared" ca="1" si="49"/>
        <v>0</v>
      </c>
      <c r="U68" s="1228">
        <f t="shared" ca="1" si="49"/>
        <v>0</v>
      </c>
      <c r="V68" s="1228">
        <f t="shared" ca="1" si="49"/>
        <v>0</v>
      </c>
      <c r="W68" s="1228">
        <f t="shared" ca="1" si="49"/>
        <v>0</v>
      </c>
      <c r="X68" s="1228">
        <f t="shared" ca="1" si="49"/>
        <v>0</v>
      </c>
      <c r="Y68" s="1228">
        <f t="shared" ca="1" si="49"/>
        <v>0</v>
      </c>
      <c r="Z68" s="1228">
        <f t="shared" ca="1" si="49"/>
        <v>0</v>
      </c>
      <c r="AA68" s="1228">
        <f t="shared" ca="1" si="49"/>
        <v>0</v>
      </c>
      <c r="AB68" s="1228">
        <f t="shared" ca="1" si="49"/>
        <v>0</v>
      </c>
      <c r="AC68" s="1228">
        <f t="shared" ca="1" si="49"/>
        <v>0</v>
      </c>
      <c r="AD68" s="1228">
        <f t="shared" ca="1" si="49"/>
        <v>0</v>
      </c>
      <c r="AE68" s="1228">
        <f t="shared" ca="1" si="49"/>
        <v>0</v>
      </c>
      <c r="AF68" s="1228">
        <f t="shared" ca="1" si="49"/>
        <v>0</v>
      </c>
      <c r="AG68" s="1228">
        <f t="shared" ca="1" si="49"/>
        <v>0</v>
      </c>
      <c r="AH68" s="1228">
        <f t="shared" ca="1" si="49"/>
        <v>0</v>
      </c>
      <c r="AI68" s="1228">
        <f t="shared" ca="1" si="49"/>
        <v>0</v>
      </c>
      <c r="AJ68" s="1228">
        <f t="shared" ca="1" si="49"/>
        <v>0</v>
      </c>
      <c r="AK68" s="1228">
        <f t="shared" ca="1" si="49"/>
        <v>0</v>
      </c>
      <c r="AL68" s="1228">
        <f t="shared" ca="1" si="49"/>
        <v>7.1428571428571425E-2</v>
      </c>
      <c r="AM68" s="1228">
        <f t="shared" ca="1" si="49"/>
        <v>0</v>
      </c>
      <c r="AN68" s="1228">
        <f t="shared" ca="1" si="49"/>
        <v>0</v>
      </c>
      <c r="AO68" s="1228">
        <f t="shared" ca="1" si="49"/>
        <v>7.1428571428571425E-2</v>
      </c>
      <c r="AP68" s="1228">
        <f t="shared" ca="1" si="49"/>
        <v>0</v>
      </c>
      <c r="AQ68" s="1228">
        <f t="shared" ca="1" si="49"/>
        <v>0</v>
      </c>
      <c r="AR68" s="1228">
        <f t="shared" ca="1" si="49"/>
        <v>0</v>
      </c>
      <c r="AS68" s="1228">
        <f t="shared" ca="1" si="49"/>
        <v>0</v>
      </c>
      <c r="AT68" s="1228">
        <f t="shared" ca="1" si="11"/>
        <v>0</v>
      </c>
      <c r="AU68" s="1228"/>
      <c r="AV68" s="1228"/>
      <c r="AW68" s="1228"/>
      <c r="AX68" s="1228"/>
      <c r="AZ68" s="1228"/>
      <c r="CP68" s="1194" cm="1">
        <f t="array" aca="1" ref="CP68" ca="1">IFERROR(INDEX($CR68:$DU68,
       MATCH(TRUE,
             (($CR68=CQ$43)*
              (RIGHT($CS$47:$DU$47,3)=NewMUP)*
              ($CR68:$DU68&gt;0))&gt;0,
       0)),0)</f>
        <v>0</v>
      </c>
      <c r="CQ68" s="1290">
        <f ca="1">SUM(CS30:INDEX(26:26, COLUMN($CS30) +$CR$47 - 1))</f>
        <v>0</v>
      </c>
      <c r="CR68" s="1228"/>
      <c r="CS68" s="1228">
        <f t="shared" ref="CS68:DW68" si="50">IF(CS30=0,0,CS30/$Q68)</f>
        <v>0</v>
      </c>
      <c r="CT68" s="1228">
        <f t="shared" si="50"/>
        <v>0</v>
      </c>
      <c r="CU68" s="1228">
        <f t="shared" si="50"/>
        <v>0</v>
      </c>
      <c r="CV68" s="1228">
        <f t="shared" si="50"/>
        <v>0</v>
      </c>
      <c r="CW68" s="1228">
        <f t="shared" si="50"/>
        <v>0</v>
      </c>
      <c r="CX68" s="1228">
        <f t="shared" si="50"/>
        <v>0</v>
      </c>
      <c r="CY68" s="1228">
        <f t="shared" si="50"/>
        <v>0</v>
      </c>
      <c r="CZ68" s="1228">
        <f t="shared" si="50"/>
        <v>0</v>
      </c>
      <c r="DA68" s="1228">
        <f t="shared" si="50"/>
        <v>0</v>
      </c>
      <c r="DB68" s="1228">
        <f t="shared" si="50"/>
        <v>0</v>
      </c>
      <c r="DC68" s="1228">
        <f t="shared" si="50"/>
        <v>0</v>
      </c>
      <c r="DD68" s="1228">
        <f t="shared" si="50"/>
        <v>0</v>
      </c>
      <c r="DE68" s="1228">
        <f t="shared" si="50"/>
        <v>0</v>
      </c>
      <c r="DF68" s="1228">
        <f t="shared" si="50"/>
        <v>0</v>
      </c>
      <c r="DG68" s="1228">
        <f t="shared" si="50"/>
        <v>0</v>
      </c>
      <c r="DH68" s="1228">
        <f t="shared" si="50"/>
        <v>0</v>
      </c>
      <c r="DI68" s="1228">
        <f t="shared" si="50"/>
        <v>0</v>
      </c>
      <c r="DJ68" s="1228">
        <f t="shared" si="50"/>
        <v>0</v>
      </c>
      <c r="DK68" s="1228">
        <f t="shared" si="50"/>
        <v>0</v>
      </c>
      <c r="DL68" s="1228">
        <f t="shared" si="50"/>
        <v>0</v>
      </c>
      <c r="DM68" s="1228">
        <f t="shared" si="50"/>
        <v>0</v>
      </c>
      <c r="DN68" s="1228">
        <f t="shared" si="50"/>
        <v>0</v>
      </c>
      <c r="DO68" s="1228">
        <f t="shared" si="50"/>
        <v>0</v>
      </c>
      <c r="DP68" s="1228">
        <f t="shared" si="50"/>
        <v>0</v>
      </c>
      <c r="DQ68" s="1228">
        <f t="shared" si="50"/>
        <v>0</v>
      </c>
      <c r="DR68" s="1228">
        <f t="shared" si="50"/>
        <v>0</v>
      </c>
      <c r="DS68" s="1228">
        <f t="shared" si="50"/>
        <v>0</v>
      </c>
      <c r="DT68" s="1228">
        <f t="shared" si="50"/>
        <v>0</v>
      </c>
      <c r="DU68" s="1228">
        <f t="shared" si="50"/>
        <v>0</v>
      </c>
      <c r="DV68" s="1228">
        <f t="shared" si="50"/>
        <v>0</v>
      </c>
      <c r="DW68" s="1228">
        <f t="shared" si="50"/>
        <v>0</v>
      </c>
      <c r="DX68" s="1228"/>
    </row>
    <row r="69" spans="2:128" x14ac:dyDescent="0.3">
      <c r="B69" s="89" vm="256">
        <f ca="1"/>
        <v>45888</v>
      </c>
      <c r="C69" s="89" vm="257">
        <f ca="1"/>
        <v>228.01</v>
      </c>
      <c r="D69" s="1210">
        <f t="shared" ref="D69:D132" ca="1" si="51">IFERROR((C69-C70)/C70,0)</f>
        <v>-1.503304678387843E-2</v>
      </c>
      <c r="E69" s="294" t="str" cm="1">
        <f t="array" aca="1" ref="E69" ca="1">_xlfn.IFS(D69&gt;ZPercent,"U",D69&lt;=-ZPercent,"D",TRUE,"Z")</f>
        <v>D</v>
      </c>
      <c r="F69" s="294" t="str">
        <f t="shared" ca="1" si="1"/>
        <v>ZD</v>
      </c>
      <c r="G69" s="294" t="str">
        <f t="shared" ca="1" si="2"/>
        <v>ZZD</v>
      </c>
      <c r="H69" s="868" t="str">
        <f t="shared" ca="1" si="3"/>
        <v>ZZ</v>
      </c>
      <c r="J69" s="89" vm="258">
        <f ca="1"/>
        <v>45754</v>
      </c>
      <c r="K69" s="89" vm="259">
        <f ca="1"/>
        <v>175.26</v>
      </c>
      <c r="N69" s="868" t="str">
        <f ca="1">IF(F69=[2]Sheet1!O67,"","dif")</f>
        <v>dif</v>
      </c>
      <c r="O69" s="1202"/>
      <c r="P69" s="1194" cm="1">
        <f t="array" aca="1" ref="P69" ca="1">IFERROR(INDEX($S69:$AT69,
       MATCH(TRUE,
             (($R69=Q65)*
              (RIGHT($S$47:$AT$47,3)=NewMUP)*
              ($S69:$AT69&gt;0))&gt;0,
       0)),0)</f>
        <v>0</v>
      </c>
      <c r="Q69" s="1290">
        <f ca="1">SUM(S31:INDEX(27:27, COLUMN($S31) +$R$47 - 1))</f>
        <v>31</v>
      </c>
      <c r="R69" s="1234" t="str">
        <f t="shared" ca="1" si="6"/>
        <v>UDD</v>
      </c>
      <c r="S69" s="1227">
        <f t="shared" ref="S69:AS69" ca="1" si="52">IF(S31=0,0,S31/$Q69)</f>
        <v>9.6774193548387094E-2</v>
      </c>
      <c r="T69" s="1228">
        <f t="shared" ca="1" si="52"/>
        <v>0</v>
      </c>
      <c r="U69" s="1228">
        <f t="shared" ca="1" si="52"/>
        <v>0</v>
      </c>
      <c r="V69" s="1228">
        <f t="shared" ca="1" si="52"/>
        <v>0</v>
      </c>
      <c r="W69" s="1228">
        <f t="shared" ca="1" si="52"/>
        <v>0</v>
      </c>
      <c r="X69" s="1228">
        <f t="shared" ca="1" si="52"/>
        <v>0</v>
      </c>
      <c r="Y69" s="1228">
        <f t="shared" ca="1" si="52"/>
        <v>0</v>
      </c>
      <c r="Z69" s="1228">
        <f t="shared" ca="1" si="52"/>
        <v>0</v>
      </c>
      <c r="AA69" s="1228">
        <f t="shared" ca="1" si="52"/>
        <v>0</v>
      </c>
      <c r="AB69" s="1228">
        <f t="shared" ca="1" si="52"/>
        <v>0</v>
      </c>
      <c r="AC69" s="1228">
        <f t="shared" ca="1" si="52"/>
        <v>0</v>
      </c>
      <c r="AD69" s="1228">
        <f t="shared" ca="1" si="52"/>
        <v>0.12903225806451613</v>
      </c>
      <c r="AE69" s="1228">
        <f t="shared" ca="1" si="52"/>
        <v>0</v>
      </c>
      <c r="AF69" s="1228">
        <f t="shared" ca="1" si="52"/>
        <v>0</v>
      </c>
      <c r="AG69" s="1228">
        <f t="shared" ca="1" si="52"/>
        <v>0</v>
      </c>
      <c r="AH69" s="1228">
        <f t="shared" ca="1" si="52"/>
        <v>0</v>
      </c>
      <c r="AI69" s="1228">
        <f t="shared" ca="1" si="52"/>
        <v>0</v>
      </c>
      <c r="AJ69" s="1228">
        <f t="shared" ca="1" si="52"/>
        <v>0</v>
      </c>
      <c r="AK69" s="1228">
        <f t="shared" ca="1" si="52"/>
        <v>9.6774193548387094E-2</v>
      </c>
      <c r="AL69" s="1228">
        <f t="shared" ca="1" si="52"/>
        <v>0</v>
      </c>
      <c r="AM69" s="1228">
        <f t="shared" ca="1" si="52"/>
        <v>0</v>
      </c>
      <c r="AN69" s="1228">
        <f t="shared" ca="1" si="52"/>
        <v>0</v>
      </c>
      <c r="AO69" s="1228">
        <f t="shared" ca="1" si="52"/>
        <v>0</v>
      </c>
      <c r="AP69" s="1228">
        <f t="shared" ca="1" si="52"/>
        <v>0</v>
      </c>
      <c r="AQ69" s="1228">
        <f t="shared" ca="1" si="52"/>
        <v>0</v>
      </c>
      <c r="AR69" s="1228">
        <f t="shared" ca="1" si="52"/>
        <v>0</v>
      </c>
      <c r="AS69" s="1228">
        <f t="shared" ca="1" si="52"/>
        <v>0</v>
      </c>
      <c r="AT69" s="1228">
        <f t="shared" ca="1" si="11"/>
        <v>0</v>
      </c>
      <c r="AU69" s="1228"/>
      <c r="AV69" s="1228"/>
      <c r="AW69" s="1228"/>
      <c r="AX69" s="1228"/>
      <c r="AZ69" s="1228"/>
      <c r="CP69" s="1194" cm="1">
        <f t="array" aca="1" ref="CP69" ca="1">IFERROR(INDEX($CR69:$DU69,
       MATCH(TRUE,
             (($CR69=CQ$43)*
              (RIGHT($CS$47:$DU$47,3)=NewMUP)*
              ($CR69:$DU69&gt;0))&gt;0,
       0)),0)</f>
        <v>0</v>
      </c>
      <c r="CQ69" s="1290">
        <f ca="1">SUM(CS31:INDEX(27:27, COLUMN($CS31) +$CR$47 - 1))</f>
        <v>0</v>
      </c>
      <c r="CR69" s="1228"/>
      <c r="CS69" s="1228">
        <f t="shared" ref="CS69:DW69" si="53">IF(CS31=0,0,CS31/$Q69)</f>
        <v>0</v>
      </c>
      <c r="CT69" s="1228">
        <f t="shared" si="53"/>
        <v>0</v>
      </c>
      <c r="CU69" s="1228">
        <f t="shared" si="53"/>
        <v>0</v>
      </c>
      <c r="CV69" s="1228">
        <f t="shared" si="53"/>
        <v>0</v>
      </c>
      <c r="CW69" s="1228">
        <f t="shared" si="53"/>
        <v>0</v>
      </c>
      <c r="CX69" s="1228">
        <f t="shared" si="53"/>
        <v>0</v>
      </c>
      <c r="CY69" s="1228">
        <f t="shared" si="53"/>
        <v>0</v>
      </c>
      <c r="CZ69" s="1228">
        <f t="shared" si="53"/>
        <v>0</v>
      </c>
      <c r="DA69" s="1228">
        <f t="shared" si="53"/>
        <v>0</v>
      </c>
      <c r="DB69" s="1228">
        <f t="shared" si="53"/>
        <v>0</v>
      </c>
      <c r="DC69" s="1228">
        <f t="shared" si="53"/>
        <v>0</v>
      </c>
      <c r="DD69" s="1228">
        <f t="shared" si="53"/>
        <v>0</v>
      </c>
      <c r="DE69" s="1228">
        <f t="shared" si="53"/>
        <v>0</v>
      </c>
      <c r="DF69" s="1228">
        <f t="shared" si="53"/>
        <v>0</v>
      </c>
      <c r="DG69" s="1228">
        <f t="shared" si="53"/>
        <v>0</v>
      </c>
      <c r="DH69" s="1228">
        <f t="shared" si="53"/>
        <v>0</v>
      </c>
      <c r="DI69" s="1228">
        <f t="shared" si="53"/>
        <v>0</v>
      </c>
      <c r="DJ69" s="1228">
        <f t="shared" si="53"/>
        <v>0</v>
      </c>
      <c r="DK69" s="1228">
        <f t="shared" si="53"/>
        <v>0</v>
      </c>
      <c r="DL69" s="1228">
        <f t="shared" si="53"/>
        <v>0</v>
      </c>
      <c r="DM69" s="1228">
        <f t="shared" si="53"/>
        <v>0</v>
      </c>
      <c r="DN69" s="1228">
        <f t="shared" si="53"/>
        <v>0</v>
      </c>
      <c r="DO69" s="1228">
        <f t="shared" si="53"/>
        <v>0</v>
      </c>
      <c r="DP69" s="1228">
        <f t="shared" si="53"/>
        <v>0</v>
      </c>
      <c r="DQ69" s="1228">
        <f t="shared" si="53"/>
        <v>0</v>
      </c>
      <c r="DR69" s="1228">
        <f t="shared" si="53"/>
        <v>0</v>
      </c>
      <c r="DS69" s="1228">
        <f t="shared" si="53"/>
        <v>0</v>
      </c>
      <c r="DT69" s="1228">
        <f t="shared" si="53"/>
        <v>0</v>
      </c>
      <c r="DU69" s="1228">
        <f t="shared" si="53"/>
        <v>0</v>
      </c>
      <c r="DV69" s="1228">
        <f t="shared" si="53"/>
        <v>0</v>
      </c>
      <c r="DW69" s="1228">
        <f t="shared" si="53"/>
        <v>0</v>
      </c>
      <c r="DX69" s="1228"/>
    </row>
    <row r="70" spans="2:128" x14ac:dyDescent="0.3">
      <c r="B70" s="89" vm="260">
        <f ca="1"/>
        <v>45887</v>
      </c>
      <c r="C70" s="89" vm="261">
        <f ca="1"/>
        <v>231.49</v>
      </c>
      <c r="D70" s="1210">
        <f t="shared" ca="1" si="51"/>
        <v>1.9910834090811061E-3</v>
      </c>
      <c r="E70" s="294" t="str" cm="1">
        <f t="array" aca="1" ref="E70" ca="1">_xlfn.IFS(D70&gt;ZPercent,"U",D70&lt;=-ZPercent,"D",TRUE,"Z")</f>
        <v>Z</v>
      </c>
      <c r="F70" s="294" t="str">
        <f t="shared" ref="F70:F133" ca="1" si="54">_xlfn.CONCAT(E71,E70)</f>
        <v>ZZ</v>
      </c>
      <c r="G70" s="294" t="str">
        <f t="shared" ref="G70:G133" ca="1" si="55">_xlfn.CONCAT(E72,E71,E70)</f>
        <v>UZZ</v>
      </c>
      <c r="H70" s="868" t="str">
        <f t="shared" ref="H70:H133" ca="1" si="56">IF(AND(E70="D",E71="Z"),"ZZ","")</f>
        <v/>
      </c>
      <c r="J70" s="89" vm="262">
        <f ca="1"/>
        <v>45755</v>
      </c>
      <c r="K70" s="89" vm="263">
        <f ca="1"/>
        <v>170.66</v>
      </c>
      <c r="N70" s="868" t="str">
        <f ca="1">IF(F70=[2]Sheet1!O68,"","dif")</f>
        <v>dif</v>
      </c>
      <c r="O70" s="1202"/>
      <c r="P70" s="1194" cm="1">
        <f t="array" aca="1" ref="P70" ca="1">IFERROR(INDEX($S70:$AT70,
       MATCH(TRUE,
             (($R70=Q66)*
              (RIGHT($S$47:$AT$47,3)=NewMUP)*
              ($S70:$AT70&gt;0))&gt;0,
       0)),0)</f>
        <v>0</v>
      </c>
      <c r="Q70" s="1290">
        <f ca="1">SUM(S32:INDEX(28:28, COLUMN($S32) +$R$47 - 1))</f>
        <v>28</v>
      </c>
      <c r="R70" s="1234" t="str">
        <f t="shared" ca="1" si="6"/>
        <v>ZZU</v>
      </c>
      <c r="S70" s="1227">
        <f t="shared" ref="S70:AS70" ca="1" si="57">IF(S32=0,0,S32/$Q70)</f>
        <v>0</v>
      </c>
      <c r="T70" s="1228">
        <f t="shared" ca="1" si="57"/>
        <v>0</v>
      </c>
      <c r="U70" s="1228">
        <f t="shared" ca="1" si="57"/>
        <v>0</v>
      </c>
      <c r="V70" s="1228">
        <f t="shared" ca="1" si="57"/>
        <v>0</v>
      </c>
      <c r="W70" s="1228">
        <f t="shared" ca="1" si="57"/>
        <v>0</v>
      </c>
      <c r="X70" s="1228">
        <f t="shared" ca="1" si="57"/>
        <v>0</v>
      </c>
      <c r="Y70" s="1228">
        <f t="shared" ca="1" si="57"/>
        <v>0</v>
      </c>
      <c r="Z70" s="1228">
        <f t="shared" ca="1" si="57"/>
        <v>0</v>
      </c>
      <c r="AA70" s="1228">
        <f t="shared" ca="1" si="57"/>
        <v>0</v>
      </c>
      <c r="AB70" s="1228">
        <f t="shared" ca="1" si="57"/>
        <v>0</v>
      </c>
      <c r="AC70" s="1228">
        <f t="shared" ca="1" si="57"/>
        <v>0</v>
      </c>
      <c r="AD70" s="1228">
        <f t="shared" ca="1" si="57"/>
        <v>0</v>
      </c>
      <c r="AE70" s="1228">
        <f t="shared" ca="1" si="57"/>
        <v>0</v>
      </c>
      <c r="AF70" s="1228">
        <f t="shared" ca="1" si="57"/>
        <v>0</v>
      </c>
      <c r="AG70" s="1228">
        <f t="shared" ca="1" si="57"/>
        <v>0</v>
      </c>
      <c r="AH70" s="1228">
        <f t="shared" ca="1" si="57"/>
        <v>0</v>
      </c>
      <c r="AI70" s="1228">
        <f t="shared" ca="1" si="57"/>
        <v>3.5714285714285712E-2</v>
      </c>
      <c r="AJ70" s="1228">
        <f t="shared" ca="1" si="57"/>
        <v>0</v>
      </c>
      <c r="AK70" s="1228">
        <f t="shared" ca="1" si="57"/>
        <v>0</v>
      </c>
      <c r="AL70" s="1228">
        <f t="shared" ca="1" si="57"/>
        <v>0</v>
      </c>
      <c r="AM70" s="1228">
        <f t="shared" ca="1" si="57"/>
        <v>0</v>
      </c>
      <c r="AN70" s="1228">
        <f t="shared" ca="1" si="57"/>
        <v>0</v>
      </c>
      <c r="AO70" s="1228">
        <f t="shared" ca="1" si="57"/>
        <v>0</v>
      </c>
      <c r="AP70" s="1228">
        <f t="shared" ca="1" si="57"/>
        <v>0</v>
      </c>
      <c r="AQ70" s="1228">
        <f t="shared" ca="1" si="57"/>
        <v>0</v>
      </c>
      <c r="AR70" s="1228">
        <f t="shared" ca="1" si="57"/>
        <v>0</v>
      </c>
      <c r="AS70" s="1228">
        <f t="shared" ca="1" si="57"/>
        <v>0.10714285714285714</v>
      </c>
      <c r="AT70" s="1228">
        <f t="shared" ca="1" si="11"/>
        <v>0</v>
      </c>
      <c r="AU70" s="1228"/>
      <c r="AV70" s="1228"/>
      <c r="AW70" s="1228"/>
      <c r="AX70" s="1228"/>
      <c r="AZ70" s="1228"/>
      <c r="CP70" s="1194" cm="1">
        <f t="array" aca="1" ref="CP70" ca="1">IFERROR(INDEX($CR70:$DU70,
       MATCH(TRUE,
             (($CR70=CQ$43)*
              (RIGHT($CS$47:$DU$47,3)=NewMUP)*
              ($CR70:$DU70&gt;0))&gt;0,
       0)),0)</f>
        <v>0</v>
      </c>
      <c r="CQ70" s="1290">
        <f ca="1">SUM(CS32:INDEX(28:28, COLUMN($CS32) +$CR$47 - 1))</f>
        <v>0</v>
      </c>
      <c r="CR70" s="1228"/>
      <c r="CS70" s="1228">
        <f t="shared" ref="CS70:DW70" si="58">IF(CS32=0,0,CS32/$Q70)</f>
        <v>0</v>
      </c>
      <c r="CT70" s="1228">
        <f t="shared" si="58"/>
        <v>0</v>
      </c>
      <c r="CU70" s="1228">
        <f t="shared" si="58"/>
        <v>0</v>
      </c>
      <c r="CV70" s="1228">
        <f t="shared" si="58"/>
        <v>0</v>
      </c>
      <c r="CW70" s="1228">
        <f t="shared" si="58"/>
        <v>0</v>
      </c>
      <c r="CX70" s="1228">
        <f t="shared" si="58"/>
        <v>0</v>
      </c>
      <c r="CY70" s="1228">
        <f t="shared" si="58"/>
        <v>0</v>
      </c>
      <c r="CZ70" s="1228">
        <f t="shared" si="58"/>
        <v>0</v>
      </c>
      <c r="DA70" s="1228">
        <f t="shared" si="58"/>
        <v>0</v>
      </c>
      <c r="DB70" s="1228">
        <f t="shared" si="58"/>
        <v>0</v>
      </c>
      <c r="DC70" s="1228">
        <f t="shared" si="58"/>
        <v>0</v>
      </c>
      <c r="DD70" s="1228">
        <f t="shared" si="58"/>
        <v>0</v>
      </c>
      <c r="DE70" s="1228">
        <f t="shared" si="58"/>
        <v>0</v>
      </c>
      <c r="DF70" s="1228">
        <f t="shared" si="58"/>
        <v>0</v>
      </c>
      <c r="DG70" s="1228">
        <f t="shared" si="58"/>
        <v>0</v>
      </c>
      <c r="DH70" s="1228">
        <f t="shared" si="58"/>
        <v>0</v>
      </c>
      <c r="DI70" s="1228">
        <f t="shared" si="58"/>
        <v>0</v>
      </c>
      <c r="DJ70" s="1228">
        <f t="shared" si="58"/>
        <v>0</v>
      </c>
      <c r="DK70" s="1228">
        <f t="shared" si="58"/>
        <v>0</v>
      </c>
      <c r="DL70" s="1228">
        <f t="shared" si="58"/>
        <v>0</v>
      </c>
      <c r="DM70" s="1228">
        <f t="shared" si="58"/>
        <v>0</v>
      </c>
      <c r="DN70" s="1228">
        <f t="shared" si="58"/>
        <v>0</v>
      </c>
      <c r="DO70" s="1228">
        <f t="shared" si="58"/>
        <v>0</v>
      </c>
      <c r="DP70" s="1228">
        <f t="shared" si="58"/>
        <v>0</v>
      </c>
      <c r="DQ70" s="1228">
        <f t="shared" si="58"/>
        <v>0</v>
      </c>
      <c r="DR70" s="1228">
        <f t="shared" si="58"/>
        <v>0</v>
      </c>
      <c r="DS70" s="1228">
        <f t="shared" si="58"/>
        <v>0</v>
      </c>
      <c r="DT70" s="1228">
        <f t="shared" si="58"/>
        <v>0</v>
      </c>
      <c r="DU70" s="1228">
        <f t="shared" si="58"/>
        <v>0</v>
      </c>
      <c r="DV70" s="1228">
        <f t="shared" si="58"/>
        <v>0</v>
      </c>
      <c r="DW70" s="1228">
        <f t="shared" si="58"/>
        <v>0</v>
      </c>
      <c r="DX70" s="1228"/>
    </row>
    <row r="71" spans="2:128" x14ac:dyDescent="0.3">
      <c r="B71" s="89" vm="264">
        <f ca="1"/>
        <v>45884</v>
      </c>
      <c r="C71" s="89" vm="265">
        <f ca="1"/>
        <v>231.03</v>
      </c>
      <c r="D71" s="1210">
        <f t="shared" ca="1" si="51"/>
        <v>2.1646895835142165E-4</v>
      </c>
      <c r="E71" s="294" t="str" cm="1">
        <f t="array" aca="1" ref="E71" ca="1">_xlfn.IFS(D71&gt;ZPercent,"U",D71&lt;=-ZPercent,"D",TRUE,"Z")</f>
        <v>Z</v>
      </c>
      <c r="F71" s="294" t="str">
        <f t="shared" ca="1" si="54"/>
        <v>UZ</v>
      </c>
      <c r="G71" s="294" t="str">
        <f t="shared" ca="1" si="55"/>
        <v>UUZ</v>
      </c>
      <c r="H71" s="868" t="str">
        <f t="shared" ca="1" si="56"/>
        <v/>
      </c>
      <c r="J71" s="89" vm="266">
        <f ca="1"/>
        <v>45756</v>
      </c>
      <c r="K71" s="89" vm="267">
        <f ca="1"/>
        <v>191.1</v>
      </c>
      <c r="N71" s="868" t="str">
        <f ca="1">IF(F71=[2]Sheet1!O69,"","dif")</f>
        <v>dif</v>
      </c>
      <c r="P71" s="1194" cm="1">
        <f t="array" aca="1" ref="P71" ca="1">IFERROR(INDEX($S71:$AT71,
       MATCH(TRUE,
             (($R71=Q67)*
              (RIGHT($S$47:$AT$47,3)=NewMUP)*
              ($S71:$AT71&gt;0))&gt;0,
       0)),0)</f>
        <v>0</v>
      </c>
      <c r="Q71" s="1290">
        <f ca="1">SUM(S33:INDEX(29:29, COLUMN($S33) +$R$47 - 1))</f>
        <v>25</v>
      </c>
      <c r="R71" s="1234" t="str">
        <f t="shared" ca="1" si="6"/>
        <v>ZZZ</v>
      </c>
      <c r="S71" s="1227">
        <f t="shared" ref="S71:AS71" ca="1" si="59">IF(S33=0,0,S33/$Q71)</f>
        <v>0</v>
      </c>
      <c r="T71" s="1228">
        <f t="shared" ca="1" si="59"/>
        <v>0</v>
      </c>
      <c r="U71" s="1228">
        <f t="shared" ca="1" si="59"/>
        <v>0</v>
      </c>
      <c r="V71" s="1228">
        <f t="shared" ca="1" si="59"/>
        <v>0</v>
      </c>
      <c r="W71" s="1228">
        <f t="shared" ca="1" si="59"/>
        <v>0</v>
      </c>
      <c r="X71" s="1228">
        <f t="shared" ca="1" si="59"/>
        <v>0</v>
      </c>
      <c r="Y71" s="1228">
        <f t="shared" ca="1" si="59"/>
        <v>0</v>
      </c>
      <c r="Z71" s="1228">
        <f t="shared" ca="1" si="59"/>
        <v>0</v>
      </c>
      <c r="AA71" s="1228">
        <f t="shared" ca="1" si="59"/>
        <v>0</v>
      </c>
      <c r="AB71" s="1228">
        <f t="shared" ca="1" si="59"/>
        <v>0</v>
      </c>
      <c r="AC71" s="1228">
        <f t="shared" ca="1" si="59"/>
        <v>0</v>
      </c>
      <c r="AD71" s="1228">
        <f t="shared" ca="1" si="59"/>
        <v>0</v>
      </c>
      <c r="AE71" s="1228">
        <f t="shared" ca="1" si="59"/>
        <v>0</v>
      </c>
      <c r="AF71" s="1228">
        <f t="shared" ca="1" si="59"/>
        <v>0</v>
      </c>
      <c r="AG71" s="1228">
        <f t="shared" ca="1" si="59"/>
        <v>0</v>
      </c>
      <c r="AH71" s="1228">
        <f t="shared" ca="1" si="59"/>
        <v>0</v>
      </c>
      <c r="AI71" s="1228">
        <f t="shared" ca="1" si="59"/>
        <v>0</v>
      </c>
      <c r="AJ71" s="1228">
        <f t="shared" ca="1" si="59"/>
        <v>0</v>
      </c>
      <c r="AK71" s="1228">
        <f t="shared" ca="1" si="59"/>
        <v>0</v>
      </c>
      <c r="AL71" s="1228">
        <f t="shared" ca="1" si="59"/>
        <v>0</v>
      </c>
      <c r="AM71" s="1228">
        <f t="shared" ca="1" si="59"/>
        <v>0</v>
      </c>
      <c r="AN71" s="1228">
        <f t="shared" ca="1" si="59"/>
        <v>0</v>
      </c>
      <c r="AO71" s="1228">
        <f t="shared" ca="1" si="59"/>
        <v>0.08</v>
      </c>
      <c r="AP71" s="1228">
        <f t="shared" ca="1" si="59"/>
        <v>0</v>
      </c>
      <c r="AQ71" s="1228">
        <f t="shared" ca="1" si="59"/>
        <v>0</v>
      </c>
      <c r="AR71" s="1228">
        <f t="shared" ca="1" si="59"/>
        <v>0</v>
      </c>
      <c r="AS71" s="1228">
        <f t="shared" ca="1" si="59"/>
        <v>0</v>
      </c>
      <c r="AT71" s="1228">
        <f t="shared" ca="1" si="11"/>
        <v>0</v>
      </c>
      <c r="AU71" s="1228"/>
      <c r="AV71" s="1228"/>
      <c r="AW71" s="1228"/>
      <c r="AX71" s="1228"/>
      <c r="AZ71" s="1228"/>
      <c r="CP71" s="1194" cm="1">
        <f t="array" aca="1" ref="CP71" ca="1">IFERROR(INDEX($CR71:$DU71,
       MATCH(TRUE,
             (($CR71=CQ$43)*
              (RIGHT($CS$47:$DU$47,3)=NewMUP)*
              ($CR71:$DU71&gt;0))&gt;0,
       0)),0)</f>
        <v>0</v>
      </c>
      <c r="CQ71" s="1290">
        <f ca="1">SUM(CS33:INDEX(29:29, COLUMN($CS33) +$CR$47 - 1))</f>
        <v>0</v>
      </c>
      <c r="CR71" s="1228"/>
      <c r="CS71" s="1228">
        <f t="shared" ref="CS71:DW71" si="60">IF(CS33=0,0,CS33/$Q71)</f>
        <v>0</v>
      </c>
      <c r="CT71" s="1228">
        <f t="shared" si="60"/>
        <v>0</v>
      </c>
      <c r="CU71" s="1228">
        <f t="shared" si="60"/>
        <v>0</v>
      </c>
      <c r="CV71" s="1228">
        <f t="shared" si="60"/>
        <v>0</v>
      </c>
      <c r="CW71" s="1228">
        <f t="shared" si="60"/>
        <v>0</v>
      </c>
      <c r="CX71" s="1228">
        <f t="shared" si="60"/>
        <v>0</v>
      </c>
      <c r="CY71" s="1228">
        <f t="shared" si="60"/>
        <v>0</v>
      </c>
      <c r="CZ71" s="1228">
        <f t="shared" si="60"/>
        <v>0</v>
      </c>
      <c r="DA71" s="1228">
        <f t="shared" si="60"/>
        <v>0</v>
      </c>
      <c r="DB71" s="1228">
        <f t="shared" si="60"/>
        <v>0</v>
      </c>
      <c r="DC71" s="1228">
        <f t="shared" si="60"/>
        <v>0</v>
      </c>
      <c r="DD71" s="1228">
        <f t="shared" si="60"/>
        <v>0</v>
      </c>
      <c r="DE71" s="1228">
        <f t="shared" si="60"/>
        <v>0</v>
      </c>
      <c r="DF71" s="1228">
        <f t="shared" si="60"/>
        <v>0</v>
      </c>
      <c r="DG71" s="1228">
        <f t="shared" si="60"/>
        <v>0</v>
      </c>
      <c r="DH71" s="1228">
        <f t="shared" si="60"/>
        <v>0</v>
      </c>
      <c r="DI71" s="1228">
        <f t="shared" si="60"/>
        <v>0</v>
      </c>
      <c r="DJ71" s="1228">
        <f t="shared" si="60"/>
        <v>0</v>
      </c>
      <c r="DK71" s="1228">
        <f t="shared" si="60"/>
        <v>0</v>
      </c>
      <c r="DL71" s="1228">
        <f t="shared" si="60"/>
        <v>0</v>
      </c>
      <c r="DM71" s="1228">
        <f t="shared" si="60"/>
        <v>0</v>
      </c>
      <c r="DN71" s="1228">
        <f t="shared" si="60"/>
        <v>0</v>
      </c>
      <c r="DO71" s="1228">
        <f t="shared" si="60"/>
        <v>0</v>
      </c>
      <c r="DP71" s="1228">
        <f t="shared" si="60"/>
        <v>0</v>
      </c>
      <c r="DQ71" s="1228">
        <f t="shared" si="60"/>
        <v>0</v>
      </c>
      <c r="DR71" s="1228">
        <f t="shared" si="60"/>
        <v>0</v>
      </c>
      <c r="DS71" s="1228">
        <f t="shared" si="60"/>
        <v>0</v>
      </c>
      <c r="DT71" s="1228">
        <f t="shared" si="60"/>
        <v>0</v>
      </c>
      <c r="DU71" s="1228">
        <f t="shared" si="60"/>
        <v>0</v>
      </c>
      <c r="DV71" s="1228">
        <f t="shared" si="60"/>
        <v>0</v>
      </c>
      <c r="DW71" s="1228">
        <f t="shared" si="60"/>
        <v>0</v>
      </c>
      <c r="DX71" s="1228"/>
    </row>
    <row r="72" spans="2:128" x14ac:dyDescent="0.3">
      <c r="B72" s="89" vm="268">
        <f ca="1"/>
        <v>45883</v>
      </c>
      <c r="C72" s="89" vm="269">
        <f ca="1"/>
        <v>230.98</v>
      </c>
      <c r="D72" s="1210">
        <f t="shared" ca="1" si="51"/>
        <v>2.8589241182757335E-2</v>
      </c>
      <c r="E72" s="294" t="str" cm="1">
        <f t="array" aca="1" ref="E72" ca="1">_xlfn.IFS(D72&gt;ZPercent,"U",D72&lt;=-ZPercent,"D",TRUE,"Z")</f>
        <v>U</v>
      </c>
      <c r="F72" s="294" t="str">
        <f t="shared" ca="1" si="54"/>
        <v>UU</v>
      </c>
      <c r="G72" s="294" t="str">
        <f t="shared" ca="1" si="55"/>
        <v>ZUU</v>
      </c>
      <c r="H72" s="868" t="str">
        <f t="shared" ca="1" si="56"/>
        <v/>
      </c>
      <c r="J72" s="89" vm="270">
        <f ca="1"/>
        <v>45757</v>
      </c>
      <c r="K72" s="89" vm="271">
        <f ca="1"/>
        <v>181.22</v>
      </c>
      <c r="N72" s="868" t="str">
        <f ca="1">IF(F72=[2]Sheet1!O70,"","dif")</f>
        <v>dif</v>
      </c>
      <c r="P72" s="1194" cm="1">
        <f t="array" aca="1" ref="P72" ca="1">IFERROR(INDEX($S72:$AT72,
       MATCH(TRUE,
             (($R72=Q68)*
              (RIGHT($S$47:$AT$47,3)=NewMUP)*
              ($S72:$AT72&gt;0))&gt;0,
       0)),0)</f>
        <v>0</v>
      </c>
      <c r="Q72" s="1290">
        <f ca="1">SUM(S34:INDEX(30:30, COLUMN($S34) +$R$47 - 1))</f>
        <v>24</v>
      </c>
      <c r="R72" s="1234" t="str">
        <f t="shared" ca="1" si="6"/>
        <v>UZZ</v>
      </c>
      <c r="S72" s="1227">
        <f t="shared" ref="S72:AS72" ca="1" si="61">IF(S34=0,0,S34/$Q72)</f>
        <v>0</v>
      </c>
      <c r="T72" s="1228">
        <f t="shared" ca="1" si="61"/>
        <v>0</v>
      </c>
      <c r="U72" s="1228">
        <f t="shared" ca="1" si="61"/>
        <v>0</v>
      </c>
      <c r="V72" s="1228">
        <f t="shared" ca="1" si="61"/>
        <v>0</v>
      </c>
      <c r="W72" s="1228">
        <f t="shared" ca="1" si="61"/>
        <v>0</v>
      </c>
      <c r="X72" s="1228">
        <f t="shared" ca="1" si="61"/>
        <v>0</v>
      </c>
      <c r="Y72" s="1228">
        <f t="shared" ca="1" si="61"/>
        <v>0</v>
      </c>
      <c r="Z72" s="1228">
        <f t="shared" ca="1" si="61"/>
        <v>0</v>
      </c>
      <c r="AA72" s="1228">
        <f t="shared" ca="1" si="61"/>
        <v>0</v>
      </c>
      <c r="AB72" s="1228">
        <f t="shared" ca="1" si="61"/>
        <v>0</v>
      </c>
      <c r="AC72" s="1228">
        <f t="shared" ca="1" si="61"/>
        <v>0</v>
      </c>
      <c r="AD72" s="1228">
        <f t="shared" ca="1" si="61"/>
        <v>0</v>
      </c>
      <c r="AE72" s="1228">
        <f t="shared" ca="1" si="61"/>
        <v>0</v>
      </c>
      <c r="AF72" s="1228">
        <f t="shared" ca="1" si="61"/>
        <v>0</v>
      </c>
      <c r="AG72" s="1228">
        <f t="shared" ca="1" si="61"/>
        <v>0</v>
      </c>
      <c r="AH72" s="1228">
        <f t="shared" ca="1" si="61"/>
        <v>0</v>
      </c>
      <c r="AI72" s="1228">
        <f t="shared" ca="1" si="61"/>
        <v>0</v>
      </c>
      <c r="AJ72" s="1228">
        <f t="shared" ca="1" si="61"/>
        <v>0</v>
      </c>
      <c r="AK72" s="1228">
        <f t="shared" ca="1" si="61"/>
        <v>0</v>
      </c>
      <c r="AL72" s="1228">
        <f t="shared" ca="1" si="61"/>
        <v>0.125</v>
      </c>
      <c r="AM72" s="1228">
        <f t="shared" ca="1" si="61"/>
        <v>0</v>
      </c>
      <c r="AN72" s="1228">
        <f t="shared" ca="1" si="61"/>
        <v>0</v>
      </c>
      <c r="AO72" s="1228">
        <f t="shared" ca="1" si="61"/>
        <v>0</v>
      </c>
      <c r="AP72" s="1228">
        <f t="shared" ca="1" si="61"/>
        <v>4.1666666666666664E-2</v>
      </c>
      <c r="AQ72" s="1228">
        <f t="shared" ca="1" si="61"/>
        <v>0</v>
      </c>
      <c r="AR72" s="1228">
        <f t="shared" ca="1" si="61"/>
        <v>0</v>
      </c>
      <c r="AS72" s="1228">
        <f t="shared" ca="1" si="61"/>
        <v>0</v>
      </c>
      <c r="AT72" s="1228">
        <f t="shared" ca="1" si="11"/>
        <v>0</v>
      </c>
      <c r="AU72" s="1228"/>
      <c r="AV72" s="1228"/>
      <c r="AW72" s="1228"/>
      <c r="AX72" s="1228"/>
      <c r="AZ72" s="1228"/>
      <c r="CP72" s="1194" cm="1">
        <f t="array" aca="1" ref="CP72" ca="1">IFERROR(INDEX($CR72:$DU72,
       MATCH(TRUE,
             (($CR72=CQ$43)*
              (RIGHT($CS$47:$DU$47,3)=NewMUP)*
              ($CR72:$DU72&gt;0))&gt;0,
       0)),0)</f>
        <v>0</v>
      </c>
      <c r="CQ72" s="1290">
        <f ca="1">SUM(CS34:INDEX(30:30, COLUMN($CS34) +$CR$47 - 1))</f>
        <v>0</v>
      </c>
      <c r="CR72" s="1228"/>
      <c r="CS72" s="1228">
        <f t="shared" ref="CS72:DW72" si="62">IF(CS34=0,0,CS34/$Q72)</f>
        <v>0</v>
      </c>
      <c r="CT72" s="1228">
        <f t="shared" si="62"/>
        <v>0</v>
      </c>
      <c r="CU72" s="1228">
        <f t="shared" si="62"/>
        <v>0</v>
      </c>
      <c r="CV72" s="1228">
        <f t="shared" si="62"/>
        <v>0</v>
      </c>
      <c r="CW72" s="1228">
        <f t="shared" si="62"/>
        <v>0</v>
      </c>
      <c r="CX72" s="1228">
        <f t="shared" si="62"/>
        <v>0</v>
      </c>
      <c r="CY72" s="1228">
        <f t="shared" si="62"/>
        <v>0</v>
      </c>
      <c r="CZ72" s="1228">
        <f t="shared" si="62"/>
        <v>0</v>
      </c>
      <c r="DA72" s="1228">
        <f t="shared" si="62"/>
        <v>0</v>
      </c>
      <c r="DB72" s="1228">
        <f t="shared" si="62"/>
        <v>0</v>
      </c>
      <c r="DC72" s="1228">
        <f t="shared" si="62"/>
        <v>0</v>
      </c>
      <c r="DD72" s="1228">
        <f t="shared" si="62"/>
        <v>0</v>
      </c>
      <c r="DE72" s="1228">
        <f t="shared" si="62"/>
        <v>0</v>
      </c>
      <c r="DF72" s="1228">
        <f t="shared" si="62"/>
        <v>0</v>
      </c>
      <c r="DG72" s="1228">
        <f t="shared" si="62"/>
        <v>0</v>
      </c>
      <c r="DH72" s="1228">
        <f t="shared" si="62"/>
        <v>0</v>
      </c>
      <c r="DI72" s="1228">
        <f t="shared" si="62"/>
        <v>0</v>
      </c>
      <c r="DJ72" s="1228">
        <f t="shared" si="62"/>
        <v>0</v>
      </c>
      <c r="DK72" s="1228">
        <f t="shared" si="62"/>
        <v>0</v>
      </c>
      <c r="DL72" s="1228">
        <f t="shared" si="62"/>
        <v>0</v>
      </c>
      <c r="DM72" s="1228">
        <f t="shared" si="62"/>
        <v>0</v>
      </c>
      <c r="DN72" s="1228">
        <f t="shared" si="62"/>
        <v>0</v>
      </c>
      <c r="DO72" s="1228">
        <f t="shared" si="62"/>
        <v>0</v>
      </c>
      <c r="DP72" s="1228">
        <f t="shared" si="62"/>
        <v>0</v>
      </c>
      <c r="DQ72" s="1228">
        <f t="shared" si="62"/>
        <v>0</v>
      </c>
      <c r="DR72" s="1228">
        <f t="shared" si="62"/>
        <v>0</v>
      </c>
      <c r="DS72" s="1228">
        <f t="shared" si="62"/>
        <v>0</v>
      </c>
      <c r="DT72" s="1228">
        <f t="shared" si="62"/>
        <v>0</v>
      </c>
      <c r="DU72" s="1228">
        <f t="shared" si="62"/>
        <v>0</v>
      </c>
      <c r="DV72" s="1228">
        <f t="shared" si="62"/>
        <v>0</v>
      </c>
      <c r="DW72" s="1228">
        <f t="shared" si="62"/>
        <v>0</v>
      </c>
      <c r="DX72" s="1228"/>
    </row>
    <row r="73" spans="2:128" x14ac:dyDescent="0.3">
      <c r="B73" s="89" vm="272">
        <f ca="1"/>
        <v>45882</v>
      </c>
      <c r="C73" s="89" vm="273">
        <f ca="1"/>
        <v>224.56</v>
      </c>
      <c r="D73" s="1210">
        <f t="shared" ca="1" si="51"/>
        <v>1.3952228292771046E-2</v>
      </c>
      <c r="E73" s="294" t="str" cm="1">
        <f t="array" aca="1" ref="E73" ca="1">_xlfn.IFS(D73&gt;ZPercent,"U",D73&lt;=-ZPercent,"D",TRUE,"Z")</f>
        <v>U</v>
      </c>
      <c r="F73" s="294" t="str">
        <f t="shared" ca="1" si="54"/>
        <v>ZU</v>
      </c>
      <c r="G73" s="294" t="str">
        <f t="shared" ca="1" si="55"/>
        <v>DZU</v>
      </c>
      <c r="H73" s="868" t="str">
        <f t="shared" ca="1" si="56"/>
        <v/>
      </c>
      <c r="J73" s="89" vm="274">
        <f ca="1"/>
        <v>45758</v>
      </c>
      <c r="K73" s="89" vm="275">
        <f ca="1"/>
        <v>184.87</v>
      </c>
      <c r="N73" s="868" t="str">
        <f ca="1">IF(F73=[2]Sheet1!O71,"","dif")</f>
        <v/>
      </c>
      <c r="P73" s="1194" cm="1">
        <f t="array" aca="1" ref="P73" ca="1">IFERROR(INDEX($S73:$AT73,
       MATCH(TRUE,
             (($R73=Q69)*
              (RIGHT($S$47:$AT$47,3)=NewMUP)*
              ($S73:$AT73&gt;0))&gt;0,
       0)),0)</f>
        <v>0</v>
      </c>
      <c r="Q73" s="1290">
        <f ca="1">SUM(S35:INDEX(31:31, COLUMN($S35) +$R$47 - 1))</f>
        <v>23</v>
      </c>
      <c r="R73" s="1234" t="str">
        <f t="shared" ca="1" si="6"/>
        <v>ZDZ</v>
      </c>
      <c r="S73" s="1227">
        <f t="shared" ref="S73:AS73" ca="1" si="63">IF(S35=0,0,S35/$Q73)</f>
        <v>0</v>
      </c>
      <c r="T73" s="1228">
        <f t="shared" ca="1" si="63"/>
        <v>0</v>
      </c>
      <c r="U73" s="1228">
        <f t="shared" ca="1" si="63"/>
        <v>0</v>
      </c>
      <c r="V73" s="1228">
        <f t="shared" ca="1" si="63"/>
        <v>0</v>
      </c>
      <c r="W73" s="1228">
        <f t="shared" ca="1" si="63"/>
        <v>0</v>
      </c>
      <c r="X73" s="1228">
        <f t="shared" ca="1" si="63"/>
        <v>0</v>
      </c>
      <c r="Y73" s="1228">
        <f t="shared" ca="1" si="63"/>
        <v>4.3478260869565216E-2</v>
      </c>
      <c r="Z73" s="1228">
        <f t="shared" ca="1" si="63"/>
        <v>0</v>
      </c>
      <c r="AA73" s="1228">
        <f t="shared" ca="1" si="63"/>
        <v>0</v>
      </c>
      <c r="AB73" s="1228">
        <f t="shared" ca="1" si="63"/>
        <v>0</v>
      </c>
      <c r="AC73" s="1228">
        <f t="shared" ca="1" si="63"/>
        <v>0</v>
      </c>
      <c r="AD73" s="1228">
        <f t="shared" ca="1" si="63"/>
        <v>0</v>
      </c>
      <c r="AE73" s="1228">
        <f t="shared" ca="1" si="63"/>
        <v>0</v>
      </c>
      <c r="AF73" s="1228">
        <f t="shared" ca="1" si="63"/>
        <v>0</v>
      </c>
      <c r="AG73" s="1228">
        <f t="shared" ca="1" si="63"/>
        <v>0</v>
      </c>
      <c r="AH73" s="1228">
        <f t="shared" ca="1" si="63"/>
        <v>0</v>
      </c>
      <c r="AI73" s="1228">
        <f t="shared" ca="1" si="63"/>
        <v>0</v>
      </c>
      <c r="AJ73" s="1228">
        <f t="shared" ca="1" si="63"/>
        <v>8.6956521739130432E-2</v>
      </c>
      <c r="AK73" s="1228">
        <f t="shared" ca="1" si="63"/>
        <v>0</v>
      </c>
      <c r="AL73" s="1228">
        <f t="shared" ca="1" si="63"/>
        <v>0</v>
      </c>
      <c r="AM73" s="1228">
        <f t="shared" ca="1" si="63"/>
        <v>0</v>
      </c>
      <c r="AN73" s="1228">
        <f t="shared" ca="1" si="63"/>
        <v>0</v>
      </c>
      <c r="AO73" s="1228">
        <f t="shared" ca="1" si="63"/>
        <v>0</v>
      </c>
      <c r="AP73" s="1228">
        <f t="shared" ca="1" si="63"/>
        <v>0</v>
      </c>
      <c r="AQ73" s="1228">
        <f t="shared" ca="1" si="63"/>
        <v>0</v>
      </c>
      <c r="AR73" s="1228">
        <f t="shared" ca="1" si="63"/>
        <v>0</v>
      </c>
      <c r="AS73" s="1228">
        <f t="shared" ca="1" si="63"/>
        <v>0</v>
      </c>
      <c r="AT73" s="1228">
        <f t="shared" ca="1" si="11"/>
        <v>0</v>
      </c>
      <c r="AU73" s="1228"/>
      <c r="AV73" s="1228"/>
      <c r="AW73" s="1228"/>
      <c r="AX73" s="1228"/>
      <c r="AZ73" s="1228"/>
      <c r="CP73" s="1194" cm="1">
        <f t="array" aca="1" ref="CP73" ca="1">IFERROR(INDEX($CR73:$DU73,
       MATCH(TRUE,
             (($CR73=CQ$43)*
              (RIGHT($CS$47:$DU$47,3)=NewMUP)*
              ($CR73:$DU73&gt;0))&gt;0,
       0)),0)</f>
        <v>0</v>
      </c>
      <c r="CQ73" s="1290">
        <f ca="1">SUM(CS35:INDEX(31:31, COLUMN($CS35) +$CR$47 - 1))</f>
        <v>0</v>
      </c>
      <c r="CR73" s="1228"/>
      <c r="CS73" s="1228">
        <f t="shared" ref="CS73:DW73" si="64">IF(CS35=0,0,CS35/$Q73)</f>
        <v>0</v>
      </c>
      <c r="CT73" s="1228">
        <f t="shared" si="64"/>
        <v>0</v>
      </c>
      <c r="CU73" s="1228">
        <f t="shared" si="64"/>
        <v>0</v>
      </c>
      <c r="CV73" s="1228">
        <f t="shared" si="64"/>
        <v>0</v>
      </c>
      <c r="CW73" s="1228">
        <f t="shared" si="64"/>
        <v>0</v>
      </c>
      <c r="CX73" s="1228">
        <f t="shared" si="64"/>
        <v>0</v>
      </c>
      <c r="CY73" s="1228">
        <f t="shared" si="64"/>
        <v>0</v>
      </c>
      <c r="CZ73" s="1228">
        <f t="shared" si="64"/>
        <v>0</v>
      </c>
      <c r="DA73" s="1228">
        <f t="shared" si="64"/>
        <v>0</v>
      </c>
      <c r="DB73" s="1228">
        <f t="shared" si="64"/>
        <v>0</v>
      </c>
      <c r="DC73" s="1228">
        <f t="shared" si="64"/>
        <v>0</v>
      </c>
      <c r="DD73" s="1228">
        <f t="shared" si="64"/>
        <v>0</v>
      </c>
      <c r="DE73" s="1228">
        <f t="shared" si="64"/>
        <v>0</v>
      </c>
      <c r="DF73" s="1228">
        <f t="shared" si="64"/>
        <v>0</v>
      </c>
      <c r="DG73" s="1228">
        <f t="shared" si="64"/>
        <v>0</v>
      </c>
      <c r="DH73" s="1228">
        <f t="shared" si="64"/>
        <v>0</v>
      </c>
      <c r="DI73" s="1228">
        <f t="shared" si="64"/>
        <v>0</v>
      </c>
      <c r="DJ73" s="1228">
        <f t="shared" si="64"/>
        <v>0</v>
      </c>
      <c r="DK73" s="1228">
        <f t="shared" si="64"/>
        <v>0</v>
      </c>
      <c r="DL73" s="1228">
        <f t="shared" si="64"/>
        <v>0</v>
      </c>
      <c r="DM73" s="1228">
        <f t="shared" si="64"/>
        <v>0</v>
      </c>
      <c r="DN73" s="1228">
        <f t="shared" si="64"/>
        <v>0</v>
      </c>
      <c r="DO73" s="1228">
        <f t="shared" si="64"/>
        <v>0</v>
      </c>
      <c r="DP73" s="1228">
        <f t="shared" si="64"/>
        <v>0</v>
      </c>
      <c r="DQ73" s="1228">
        <f t="shared" si="64"/>
        <v>0</v>
      </c>
      <c r="DR73" s="1228">
        <f t="shared" si="64"/>
        <v>0</v>
      </c>
      <c r="DS73" s="1228">
        <f t="shared" si="64"/>
        <v>0</v>
      </c>
      <c r="DT73" s="1228">
        <f t="shared" si="64"/>
        <v>0</v>
      </c>
      <c r="DU73" s="1228">
        <f t="shared" si="64"/>
        <v>0</v>
      </c>
      <c r="DV73" s="1228">
        <f t="shared" si="64"/>
        <v>0</v>
      </c>
      <c r="DW73" s="1228">
        <f t="shared" si="64"/>
        <v>0</v>
      </c>
      <c r="DX73" s="1228"/>
    </row>
    <row r="74" spans="2:128" x14ac:dyDescent="0.3">
      <c r="B74" s="89" vm="276">
        <f ca="1"/>
        <v>45881</v>
      </c>
      <c r="C74" s="89" vm="277">
        <f ca="1"/>
        <v>221.47</v>
      </c>
      <c r="D74" s="1210">
        <f t="shared" ca="1" si="51"/>
        <v>7.6818798011743105E-4</v>
      </c>
      <c r="E74" s="294" t="str" cm="1">
        <f t="array" aca="1" ref="E74" ca="1">_xlfn.IFS(D74&gt;ZPercent,"U",D74&lt;=-ZPercent,"D",TRUE,"Z")</f>
        <v>Z</v>
      </c>
      <c r="F74" s="294" t="str">
        <f t="shared" ca="1" si="54"/>
        <v>DZ</v>
      </c>
      <c r="G74" s="294" t="str">
        <f t="shared" ca="1" si="55"/>
        <v>ZDZ</v>
      </c>
      <c r="H74" s="868" t="str">
        <f t="shared" ca="1" si="56"/>
        <v/>
      </c>
      <c r="J74" s="89" vm="278">
        <f ca="1"/>
        <v>45761</v>
      </c>
      <c r="K74" s="89" vm="279">
        <f ca="1"/>
        <v>182.12</v>
      </c>
      <c r="N74" s="868" t="str">
        <f ca="1">IF(F74=[2]Sheet1!O72,"","dif")</f>
        <v>dif</v>
      </c>
      <c r="P74" s="1194" cm="1">
        <f t="array" aca="1" ref="P74" ca="1">IFERROR(INDEX($S74:$AT74,
       MATCH(TRUE,
             (($R74=Q70)*
              (RIGHT($S$47:$AT$47,3)=NewMUP)*
              ($S74:$AT74&gt;0))&gt;0,
       0)),0)</f>
        <v>0</v>
      </c>
      <c r="Q74" s="1290"/>
      <c r="R74" s="1234" t="s">
        <v>2732</v>
      </c>
      <c r="S74" s="1227">
        <v>2.1432151043630828E-2</v>
      </c>
      <c r="T74" s="1228">
        <v>2.7630280658763193E-2</v>
      </c>
      <c r="U74" s="1228">
        <v>3.902027285352621E-2</v>
      </c>
      <c r="V74" s="1228">
        <v>4.8835830668445747E-2</v>
      </c>
      <c r="W74" s="1228">
        <v>6.3137084393425968E-2</v>
      </c>
      <c r="X74" s="1228">
        <v>5.2903472456119871E-2</v>
      </c>
      <c r="Y74" s="1228">
        <v>2.016574744734909E-2</v>
      </c>
      <c r="Z74" s="1228">
        <v>2.9099804015140139E-2</v>
      </c>
      <c r="AA74" s="1228">
        <v>2.6689377782031599E-2</v>
      </c>
      <c r="AB74" s="1228">
        <v>2.0491248166899137E-2</v>
      </c>
      <c r="AC74" s="1228">
        <v>4.2929946085011196E-2</v>
      </c>
      <c r="AD74" s="1228">
        <v>4.0734952396294863E-2</v>
      </c>
      <c r="AE74" s="1228">
        <v>2.6958207175383504E-2</v>
      </c>
      <c r="AF74" s="1228">
        <v>4.492676351823148E-2</v>
      </c>
      <c r="AG74" s="1228">
        <v>5.4359101556618335E-2</v>
      </c>
      <c r="AH74" s="1228">
        <v>7.0508850079847876E-2</v>
      </c>
      <c r="AI74" s="1228">
        <v>6.3271505730177327E-2</v>
      </c>
      <c r="AJ74" s="1228">
        <v>3.9154694190277554E-2</v>
      </c>
      <c r="AK74" s="1228">
        <v>2.2755772978456247E-2</v>
      </c>
      <c r="AL74" s="1228">
        <v>3.5701722564485332E-2</v>
      </c>
      <c r="AM74" s="1228">
        <v>2.1123095077251814E-2</v>
      </c>
      <c r="AN74" s="1228">
        <v>4.0301890887000473E-2</v>
      </c>
      <c r="AO74" s="1228">
        <v>2.7630280658763329E-2</v>
      </c>
      <c r="AP74" s="1228">
        <v>3.3079924856533272E-2</v>
      </c>
      <c r="AQ74" s="1228">
        <v>4.8161961317879004E-2</v>
      </c>
      <c r="AR74" s="1228">
        <v>3.8996061442456743E-2</v>
      </c>
      <c r="AS74" s="1228">
        <f t="shared" ref="AS74" si="65">IF(AS44=0,0,AS44/$Q74)</f>
        <v>0</v>
      </c>
      <c r="AT74" s="1228">
        <f t="shared" ref="AT74" si="66">IF(AT44=0,0,AT44/$Q74)</f>
        <v>0</v>
      </c>
      <c r="AU74" s="1228"/>
      <c r="AV74" s="1228"/>
      <c r="AW74" s="1228"/>
      <c r="AX74" s="1228"/>
      <c r="AZ74" s="1228"/>
      <c r="CP74" s="1194" cm="1">
        <f t="array" aca="1" ref="CP74" ca="1">IFERROR(INDEX($CR74:$DU74,
       MATCH(TRUE,
             (($CR74=CQ$43)*
              (RIGHT($CS$47:$DU$47,3)=NewMUP)*
              ($CR74:$DU74&gt;0))&gt;0,
       0)),0)</f>
        <v>0</v>
      </c>
      <c r="CQ74" s="1290">
        <f ca="1">SUM(CS36:INDEX(32:32, COLUMN($CS36) +$CR$47 - 1))</f>
        <v>0</v>
      </c>
      <c r="CR74" s="1228"/>
      <c r="CS74" s="1228">
        <f t="shared" ref="CS74:DW74" si="67">IF(CS36=0,0,CS36/$Q74)</f>
        <v>0</v>
      </c>
      <c r="CT74" s="1228">
        <f t="shared" si="67"/>
        <v>0</v>
      </c>
      <c r="CU74" s="1228">
        <f t="shared" si="67"/>
        <v>0</v>
      </c>
      <c r="CV74" s="1228">
        <f t="shared" si="67"/>
        <v>0</v>
      </c>
      <c r="CW74" s="1228">
        <f t="shared" si="67"/>
        <v>0</v>
      </c>
      <c r="CX74" s="1228">
        <f t="shared" si="67"/>
        <v>0</v>
      </c>
      <c r="CY74" s="1228">
        <f t="shared" si="67"/>
        <v>0</v>
      </c>
      <c r="CZ74" s="1228">
        <f t="shared" si="67"/>
        <v>0</v>
      </c>
      <c r="DA74" s="1228">
        <f t="shared" si="67"/>
        <v>0</v>
      </c>
      <c r="DB74" s="1228">
        <f t="shared" si="67"/>
        <v>0</v>
      </c>
      <c r="DC74" s="1228">
        <f t="shared" si="67"/>
        <v>0</v>
      </c>
      <c r="DD74" s="1228">
        <f t="shared" si="67"/>
        <v>0</v>
      </c>
      <c r="DE74" s="1228">
        <f t="shared" si="67"/>
        <v>0</v>
      </c>
      <c r="DF74" s="1228">
        <f t="shared" si="67"/>
        <v>0</v>
      </c>
      <c r="DG74" s="1228">
        <f t="shared" si="67"/>
        <v>0</v>
      </c>
      <c r="DH74" s="1228">
        <f t="shared" si="67"/>
        <v>0</v>
      </c>
      <c r="DI74" s="1228">
        <f t="shared" si="67"/>
        <v>0</v>
      </c>
      <c r="DJ74" s="1228">
        <f t="shared" si="67"/>
        <v>0</v>
      </c>
      <c r="DK74" s="1228">
        <f t="shared" si="67"/>
        <v>0</v>
      </c>
      <c r="DL74" s="1228">
        <f t="shared" si="67"/>
        <v>0</v>
      </c>
      <c r="DM74" s="1228">
        <f t="shared" si="67"/>
        <v>0</v>
      </c>
      <c r="DN74" s="1228">
        <f t="shared" si="67"/>
        <v>0</v>
      </c>
      <c r="DO74" s="1228">
        <f t="shared" si="67"/>
        <v>0</v>
      </c>
      <c r="DP74" s="1228">
        <f t="shared" si="67"/>
        <v>0</v>
      </c>
      <c r="DQ74" s="1228">
        <f t="shared" si="67"/>
        <v>0</v>
      </c>
      <c r="DR74" s="1228">
        <f t="shared" si="67"/>
        <v>0</v>
      </c>
      <c r="DS74" s="1228">
        <f t="shared" si="67"/>
        <v>0</v>
      </c>
      <c r="DT74" s="1228">
        <f t="shared" si="67"/>
        <v>0</v>
      </c>
      <c r="DU74" s="1228">
        <f t="shared" si="67"/>
        <v>0</v>
      </c>
      <c r="DV74" s="1228">
        <f t="shared" si="67"/>
        <v>0</v>
      </c>
      <c r="DW74" s="1228">
        <f t="shared" si="67"/>
        <v>0</v>
      </c>
      <c r="DX74" s="1228"/>
    </row>
    <row r="75" spans="2:128" ht="23" thickBot="1" x14ac:dyDescent="0.35">
      <c r="B75" s="89" vm="280">
        <f ca="1"/>
        <v>45880</v>
      </c>
      <c r="C75" s="89" vm="281">
        <f ca="1"/>
        <v>221.3</v>
      </c>
      <c r="D75" s="1210">
        <f t="shared" ca="1" si="51"/>
        <v>-6.2418608828415569E-3</v>
      </c>
      <c r="E75" s="294" t="str" cm="1">
        <f t="array" aca="1" ref="E75" ca="1">_xlfn.IFS(D75&gt;ZPercent,"U",D75&lt;=-ZPercent,"D",TRUE,"Z")</f>
        <v>D</v>
      </c>
      <c r="F75" s="294" t="str">
        <f t="shared" ca="1" si="54"/>
        <v>ZD</v>
      </c>
      <c r="G75" s="294" t="str">
        <f t="shared" ca="1" si="55"/>
        <v>ZZD</v>
      </c>
      <c r="H75" s="868" t="str">
        <f t="shared" ca="1" si="56"/>
        <v>ZZ</v>
      </c>
      <c r="J75" s="89" vm="282">
        <f ca="1"/>
        <v>45762</v>
      </c>
      <c r="K75" s="89" vm="283">
        <f ca="1"/>
        <v>179.59</v>
      </c>
      <c r="N75" s="868" t="str">
        <f ca="1">IF(F75=[2]Sheet1!O73,"","dif")</f>
        <v>dif</v>
      </c>
      <c r="P75" s="1194" cm="1">
        <f t="array" aca="1" ref="P75" ca="1">IFERROR(INDEX($S75:$AT75,
       MATCH(TRUE,
             (($R75=Q71)*
              (RIGHT($S$47:$AT$47,3)=NewMUP)*
              ($S75:$AT75&gt;0))&gt;0,
       0)),0)</f>
        <v>0</v>
      </c>
      <c r="Q75" s="869">
        <f t="shared" ref="Q75" si="68">SUM($S45:$AT45)</f>
        <v>0</v>
      </c>
      <c r="R75" s="1235"/>
      <c r="S75" s="1230">
        <f t="shared" ref="S75:AT75" si="69">IF(S45=0,0,S45/$Q75)</f>
        <v>0</v>
      </c>
      <c r="T75" s="1231">
        <f t="shared" si="69"/>
        <v>0</v>
      </c>
      <c r="U75" s="1231">
        <f t="shared" si="69"/>
        <v>0</v>
      </c>
      <c r="V75" s="1231">
        <f t="shared" si="69"/>
        <v>0</v>
      </c>
      <c r="W75" s="1231">
        <f t="shared" si="69"/>
        <v>0</v>
      </c>
      <c r="X75" s="1231">
        <f t="shared" si="69"/>
        <v>0</v>
      </c>
      <c r="Y75" s="1231">
        <f t="shared" si="69"/>
        <v>0</v>
      </c>
      <c r="Z75" s="1231">
        <f t="shared" si="69"/>
        <v>0</v>
      </c>
      <c r="AA75" s="1231">
        <f t="shared" si="69"/>
        <v>0</v>
      </c>
      <c r="AB75" s="1231">
        <f t="shared" si="69"/>
        <v>0</v>
      </c>
      <c r="AC75" s="1231">
        <f t="shared" si="69"/>
        <v>0</v>
      </c>
      <c r="AD75" s="1231">
        <f t="shared" si="69"/>
        <v>0</v>
      </c>
      <c r="AE75" s="1231">
        <f t="shared" si="69"/>
        <v>0</v>
      </c>
      <c r="AF75" s="1231">
        <f t="shared" si="69"/>
        <v>0</v>
      </c>
      <c r="AG75" s="1231">
        <f t="shared" si="69"/>
        <v>0</v>
      </c>
      <c r="AH75" s="1231">
        <f t="shared" si="69"/>
        <v>0</v>
      </c>
      <c r="AI75" s="1231">
        <f t="shared" si="69"/>
        <v>0</v>
      </c>
      <c r="AJ75" s="1231">
        <f t="shared" si="69"/>
        <v>0</v>
      </c>
      <c r="AK75" s="1231">
        <f t="shared" si="69"/>
        <v>0</v>
      </c>
      <c r="AL75" s="1231">
        <f t="shared" si="69"/>
        <v>0</v>
      </c>
      <c r="AM75" s="1231">
        <f t="shared" si="69"/>
        <v>0</v>
      </c>
      <c r="AN75" s="1231">
        <f t="shared" si="69"/>
        <v>0</v>
      </c>
      <c r="AO75" s="1231">
        <f t="shared" si="69"/>
        <v>0</v>
      </c>
      <c r="AP75" s="1231">
        <f t="shared" si="69"/>
        <v>0</v>
      </c>
      <c r="AQ75" s="1231">
        <f t="shared" si="69"/>
        <v>0</v>
      </c>
      <c r="AR75" s="1231">
        <f t="shared" si="69"/>
        <v>0</v>
      </c>
      <c r="AS75" s="1231">
        <f t="shared" si="69"/>
        <v>0</v>
      </c>
      <c r="AT75" s="1231">
        <f t="shared" si="69"/>
        <v>0</v>
      </c>
      <c r="AU75" s="1231"/>
      <c r="AV75" s="1231"/>
      <c r="AW75" s="1231"/>
      <c r="AX75" s="1231"/>
      <c r="AZ75" s="1231"/>
      <c r="CP75" s="1194" cm="1">
        <f t="array" aca="1" ref="CP75" ca="1">IFERROR(INDEX($CR75:$DU75,
       MATCH(TRUE,
             (($CR75=CQ$43)*
              (RIGHT($CS$47:$DU$47,3)=NewMUP)*
              ($CR75:$DU75&gt;0))&gt;0,
       0)),0)</f>
        <v>0</v>
      </c>
      <c r="CQ75" s="1231"/>
      <c r="CR75" s="1231"/>
      <c r="CS75" s="1231"/>
      <c r="CT75" s="1231"/>
      <c r="CU75" s="1231"/>
      <c r="CV75" s="1231"/>
      <c r="CW75" s="1231"/>
      <c r="CX75" s="1231"/>
      <c r="CY75" s="1231"/>
      <c r="CZ75" s="1231"/>
      <c r="DA75" s="1231"/>
      <c r="DB75" s="1231"/>
      <c r="DC75" s="1231"/>
      <c r="DD75" s="1231"/>
      <c r="DE75" s="1231"/>
      <c r="DF75" s="1231"/>
      <c r="DG75" s="1231"/>
      <c r="DH75" s="1231"/>
      <c r="DI75" s="1231"/>
      <c r="DJ75" s="1231"/>
      <c r="DK75" s="1231"/>
      <c r="DL75" s="1231"/>
      <c r="DM75" s="1231"/>
      <c r="DN75" s="1231"/>
      <c r="DO75" s="1231"/>
      <c r="DP75" s="1231"/>
      <c r="DQ75" s="1231"/>
      <c r="DR75" s="1231"/>
      <c r="DS75" s="1231"/>
      <c r="DT75" s="1231"/>
      <c r="DU75" s="1231"/>
      <c r="DV75" s="1231"/>
      <c r="DW75" s="1231"/>
      <c r="DX75" s="1231"/>
    </row>
    <row r="76" spans="2:128" x14ac:dyDescent="0.3">
      <c r="B76" s="89" vm="284">
        <f ca="1"/>
        <v>45877</v>
      </c>
      <c r="C76" s="89" vm="285">
        <f ca="1"/>
        <v>222.69</v>
      </c>
      <c r="D76" s="1210">
        <f t="shared" ca="1" si="51"/>
        <v>-1.9719446062833224E-3</v>
      </c>
      <c r="E76" s="294" t="str" cm="1">
        <f t="array" aca="1" ref="E76" ca="1">_xlfn.IFS(D76&gt;ZPercent,"U",D76&lt;=-ZPercent,"D",TRUE,"Z")</f>
        <v>Z</v>
      </c>
      <c r="F76" s="294" t="str">
        <f t="shared" ca="1" si="54"/>
        <v>ZZ</v>
      </c>
      <c r="G76" s="294" t="str">
        <f t="shared" ca="1" si="55"/>
        <v>UZZ</v>
      </c>
      <c r="H76" s="868" t="str">
        <f t="shared" ca="1" si="56"/>
        <v/>
      </c>
      <c r="J76" s="89" vm="286">
        <f ca="1"/>
        <v>45763</v>
      </c>
      <c r="K76" s="89" vm="287">
        <f ca="1"/>
        <v>174.33</v>
      </c>
      <c r="N76" s="868" t="str">
        <f ca="1">IF(F76=[2]Sheet1!O74,"","dif")</f>
        <v>dif</v>
      </c>
      <c r="AQ76" s="1194">
        <f>IF(AQ46=0,0,AQ46/SUM(AQ42:AZ42))</f>
        <v>0</v>
      </c>
      <c r="AR76" s="1194">
        <f>IF(AR46=0,0,AR46/SUM(AR42:CS42))</f>
        <v>0</v>
      </c>
      <c r="AS76" s="1194">
        <f>IF(AS46=0,0,AS46/SUM(AS42:CT42))</f>
        <v>0</v>
      </c>
      <c r="AT76" s="1194">
        <f>IF(AT46=0,0,AT46/SUM(AT42:CU42))</f>
        <v>0</v>
      </c>
      <c r="AU76" s="1194"/>
      <c r="AV76" s="1194"/>
      <c r="AW76" s="1194"/>
      <c r="AX76" s="1194"/>
    </row>
    <row r="77" spans="2:128" x14ac:dyDescent="0.3">
      <c r="B77" s="89" vm="288">
        <f ca="1"/>
        <v>45876</v>
      </c>
      <c r="C77" s="89" vm="289">
        <f ca="1"/>
        <v>223.13</v>
      </c>
      <c r="D77" s="1210">
        <f t="shared" ca="1" si="51"/>
        <v>3.6885430255048949E-3</v>
      </c>
      <c r="E77" s="294" t="str" cm="1">
        <f t="array" aca="1" ref="E77" ca="1">_xlfn.IFS(D77&gt;ZPercent,"U",D77&lt;=-ZPercent,"D",TRUE,"Z")</f>
        <v>Z</v>
      </c>
      <c r="F77" s="294" t="str">
        <f t="shared" ca="1" si="54"/>
        <v>UZ</v>
      </c>
      <c r="G77" s="294" t="str">
        <f t="shared" ca="1" si="55"/>
        <v>UUZ</v>
      </c>
      <c r="H77" s="868" t="str">
        <f t="shared" ca="1" si="56"/>
        <v/>
      </c>
      <c r="J77" s="89" vm="290">
        <f ca="1"/>
        <v>45764</v>
      </c>
      <c r="K77" s="89" vm="291">
        <f ca="1"/>
        <v>172.61</v>
      </c>
      <c r="N77" s="868" t="str">
        <f ca="1">IF(F77=[2]Sheet1!O75,"","dif")</f>
        <v>dif</v>
      </c>
    </row>
    <row r="78" spans="2:128" x14ac:dyDescent="0.3">
      <c r="B78" s="89" vm="292">
        <f ca="1"/>
        <v>45875</v>
      </c>
      <c r="C78" s="89" vm="293">
        <f ca="1"/>
        <v>222.31</v>
      </c>
      <c r="D78" s="1210">
        <f t="shared" ca="1" si="51"/>
        <v>4.0046783625731004E-2</v>
      </c>
      <c r="E78" s="294" t="str" cm="1">
        <f t="array" aca="1" ref="E78" ca="1">_xlfn.IFS(D78&gt;ZPercent,"U",D78&lt;=-ZPercent,"D",TRUE,"Z")</f>
        <v>U</v>
      </c>
      <c r="F78" s="294" t="str">
        <f t="shared" ca="1" si="54"/>
        <v>UU</v>
      </c>
      <c r="G78" s="294" t="str">
        <f t="shared" ca="1" si="55"/>
        <v>DUU</v>
      </c>
      <c r="H78" s="868" t="str">
        <f t="shared" ca="1" si="56"/>
        <v/>
      </c>
      <c r="J78" s="89" vm="294">
        <f ca="1"/>
        <v>45768</v>
      </c>
      <c r="K78" s="89" vm="295">
        <f ca="1"/>
        <v>167.32</v>
      </c>
      <c r="N78" s="868" t="str">
        <f ca="1">IF(F78=[2]Sheet1!O76,"","dif")</f>
        <v>dif</v>
      </c>
    </row>
    <row r="79" spans="2:128" x14ac:dyDescent="0.3">
      <c r="B79" s="89" vm="296">
        <f ca="1"/>
        <v>45874</v>
      </c>
      <c r="C79" s="89" vm="297">
        <f ca="1"/>
        <v>213.75</v>
      </c>
      <c r="D79" s="1210">
        <f t="shared" ca="1" si="51"/>
        <v>9.9220411055988382E-3</v>
      </c>
      <c r="E79" s="294" t="str" cm="1">
        <f t="array" aca="1" ref="E79" ca="1">_xlfn.IFS(D79&gt;ZPercent,"U",D79&lt;=-ZPercent,"D",TRUE,"Z")</f>
        <v>U</v>
      </c>
      <c r="F79" s="294" t="str">
        <f t="shared" ca="1" si="54"/>
        <v>DU</v>
      </c>
      <c r="G79" s="294" t="str">
        <f t="shared" ca="1" si="55"/>
        <v>DDU</v>
      </c>
      <c r="H79" s="868" t="str">
        <f t="shared" ca="1" si="56"/>
        <v/>
      </c>
      <c r="J79" s="89" vm="298">
        <f ca="1"/>
        <v>45769</v>
      </c>
      <c r="K79" s="89" vm="299">
        <f ca="1"/>
        <v>173.18</v>
      </c>
      <c r="N79" s="868" t="str">
        <f ca="1">IF(F79=[2]Sheet1!O77,"","dif")</f>
        <v>dif</v>
      </c>
    </row>
    <row r="80" spans="2:128" x14ac:dyDescent="0.3">
      <c r="B80" s="89" vm="300">
        <f ca="1"/>
        <v>45873</v>
      </c>
      <c r="C80" s="89" vm="301">
        <f ca="1"/>
        <v>211.65</v>
      </c>
      <c r="D80" s="1210">
        <f t="shared" ca="1" si="51"/>
        <v>-1.443538998835853E-2</v>
      </c>
      <c r="E80" s="294" t="str" cm="1">
        <f t="array" aca="1" ref="E80" ca="1">_xlfn.IFS(D80&gt;ZPercent,"U",D80&lt;=-ZPercent,"D",TRUE,"Z")</f>
        <v>D</v>
      </c>
      <c r="F80" s="294" t="str">
        <f t="shared" ca="1" si="54"/>
        <v>DD</v>
      </c>
      <c r="G80" s="294" t="str">
        <f t="shared" ca="1" si="55"/>
        <v>UDD</v>
      </c>
      <c r="H80" s="868" t="str">
        <f t="shared" ca="1" si="56"/>
        <v/>
      </c>
      <c r="J80" s="89" vm="302">
        <f ca="1"/>
        <v>45770</v>
      </c>
      <c r="K80" s="89" vm="303">
        <f ca="1"/>
        <v>180.6</v>
      </c>
      <c r="N80" s="868" t="str">
        <f ca="1">IF(F80=[2]Sheet1!O78,"","dif")</f>
        <v>dif</v>
      </c>
    </row>
    <row r="81" spans="2:96" x14ac:dyDescent="0.3">
      <c r="B81" s="89" vm="304">
        <f ca="1"/>
        <v>45870</v>
      </c>
      <c r="C81" s="89" vm="305">
        <f ca="1"/>
        <v>214.75</v>
      </c>
      <c r="D81" s="1210">
        <f t="shared" ca="1" si="51"/>
        <v>-8.2696168467814329E-2</v>
      </c>
      <c r="E81" s="294" t="str" cm="1">
        <f t="array" aca="1" ref="E81" ca="1">_xlfn.IFS(D81&gt;ZPercent,"U",D81&lt;=-ZPercent,"D",TRUE,"Z")</f>
        <v>D</v>
      </c>
      <c r="F81" s="294" t="str">
        <f t="shared" ca="1" si="54"/>
        <v>UD</v>
      </c>
      <c r="G81" s="294" t="str">
        <f t="shared" ca="1" si="55"/>
        <v>ZUD</v>
      </c>
      <c r="H81" s="868" t="str">
        <f t="shared" ca="1" si="56"/>
        <v/>
      </c>
      <c r="J81" s="89" vm="306">
        <f ca="1"/>
        <v>45771</v>
      </c>
      <c r="K81" s="89" vm="307">
        <f ca="1"/>
        <v>186.54</v>
      </c>
      <c r="N81" s="868" t="str">
        <f ca="1">IF(F81=[2]Sheet1!O79,"","dif")</f>
        <v>dif</v>
      </c>
    </row>
    <row r="82" spans="2:96" x14ac:dyDescent="0.3">
      <c r="B82" s="89" vm="308">
        <f ca="1"/>
        <v>45869</v>
      </c>
      <c r="C82" s="89" vm="309">
        <f ca="1"/>
        <v>234.11</v>
      </c>
      <c r="D82" s="1210">
        <f t="shared" ca="1" si="51"/>
        <v>1.7029410486989079E-2</v>
      </c>
      <c r="E82" s="294" t="str" cm="1">
        <f t="array" aca="1" ref="E82" ca="1">_xlfn.IFS(D82&gt;ZPercent,"U",D82&lt;=-ZPercent,"D",TRUE,"Z")</f>
        <v>U</v>
      </c>
      <c r="F82" s="294" t="str">
        <f t="shared" ca="1" si="54"/>
        <v>ZU</v>
      </c>
      <c r="G82" s="294" t="str">
        <f t="shared" ca="1" si="55"/>
        <v>DZU</v>
      </c>
      <c r="H82" s="868" t="str">
        <f t="shared" ca="1" si="56"/>
        <v/>
      </c>
      <c r="J82" s="89" vm="310">
        <f ca="1"/>
        <v>45772</v>
      </c>
      <c r="K82" s="89" vm="311">
        <f ca="1"/>
        <v>188.99</v>
      </c>
      <c r="N82" s="868" t="str">
        <f ca="1">IF(F82=[2]Sheet1!O80,"","dif")</f>
        <v>dif</v>
      </c>
    </row>
    <row r="83" spans="2:96" x14ac:dyDescent="0.3">
      <c r="B83" s="89" vm="312">
        <f ca="1"/>
        <v>45868</v>
      </c>
      <c r="C83" s="89" vm="313">
        <f ca="1"/>
        <v>230.19</v>
      </c>
      <c r="D83" s="1210">
        <f t="shared" ca="1" si="51"/>
        <v>-3.5496298861520852E-3</v>
      </c>
      <c r="E83" s="294" t="str" cm="1">
        <f t="array" aca="1" ref="E83" ca="1">_xlfn.IFS(D83&gt;ZPercent,"U",D83&lt;=-ZPercent,"D",TRUE,"Z")</f>
        <v>Z</v>
      </c>
      <c r="F83" s="294" t="str">
        <f t="shared" ca="1" si="54"/>
        <v>DZ</v>
      </c>
      <c r="G83" s="294" t="str">
        <f t="shared" ca="1" si="55"/>
        <v>UDZ</v>
      </c>
      <c r="H83" s="868" t="str">
        <f t="shared" ca="1" si="56"/>
        <v/>
      </c>
      <c r="J83" s="89" vm="314">
        <f ca="1"/>
        <v>45775</v>
      </c>
      <c r="K83" s="89" vm="315">
        <f ca="1"/>
        <v>187.7</v>
      </c>
      <c r="N83" s="868" t="str">
        <f ca="1">IF(F83=[2]Sheet1!O81,"","dif")</f>
        <v>dif</v>
      </c>
    </row>
    <row r="84" spans="2:96" x14ac:dyDescent="0.3">
      <c r="B84" s="89" vm="316">
        <f ca="1"/>
        <v>45867</v>
      </c>
      <c r="C84" s="89" vm="317">
        <f ca="1"/>
        <v>231.01</v>
      </c>
      <c r="D84" s="1210">
        <f t="shared" ca="1" si="51"/>
        <v>-7.6463765625671256E-3</v>
      </c>
      <c r="E84" s="294" t="str" cm="1">
        <f t="array" aca="1" ref="E84" ca="1">_xlfn.IFS(D84&gt;ZPercent,"U",D84&lt;=-ZPercent,"D",TRUE,"Z")</f>
        <v>D</v>
      </c>
      <c r="F84" s="294" t="str">
        <f t="shared" ca="1" si="54"/>
        <v>UD</v>
      </c>
      <c r="G84" s="294" t="str">
        <f t="shared" ca="1" si="55"/>
        <v>ZUD</v>
      </c>
      <c r="H84" s="868" t="str">
        <f t="shared" ca="1" si="56"/>
        <v/>
      </c>
      <c r="J84" s="89" vm="318">
        <f ca="1"/>
        <v>45776</v>
      </c>
      <c r="K84" s="89" vm="319">
        <f ca="1"/>
        <v>187.39</v>
      </c>
      <c r="N84" s="868" t="str">
        <f ca="1">IF(F84=[2]Sheet1!O82,"","dif")</f>
        <v>dif</v>
      </c>
    </row>
    <row r="85" spans="2:96" x14ac:dyDescent="0.3">
      <c r="B85" s="89" vm="320">
        <f ca="1"/>
        <v>45866</v>
      </c>
      <c r="C85" s="89" vm="321">
        <f ca="1"/>
        <v>232.79</v>
      </c>
      <c r="D85" s="1210">
        <f t="shared" ca="1" si="51"/>
        <v>5.8330452817144584E-3</v>
      </c>
      <c r="E85" s="294" t="str" cm="1">
        <f t="array" aca="1" ref="E85" ca="1">_xlfn.IFS(D85&gt;ZPercent,"U",D85&lt;=-ZPercent,"D",TRUE,"Z")</f>
        <v>U</v>
      </c>
      <c r="F85" s="294" t="str">
        <f t="shared" ca="1" si="54"/>
        <v>ZU</v>
      </c>
      <c r="G85" s="294" t="str">
        <f t="shared" ca="1" si="55"/>
        <v>UZU</v>
      </c>
      <c r="H85" s="868" t="str">
        <f t="shared" ca="1" si="56"/>
        <v/>
      </c>
      <c r="J85" s="89" vm="322">
        <f ca="1"/>
        <v>45777</v>
      </c>
      <c r="K85" s="89" vm="323">
        <f ca="1"/>
        <v>184.42</v>
      </c>
      <c r="N85" s="868" t="str">
        <f ca="1">IF(F85=[2]Sheet1!O83,"","dif")</f>
        <v>dif</v>
      </c>
    </row>
    <row r="86" spans="2:96" ht="23" thickBot="1" x14ac:dyDescent="0.35">
      <c r="B86" s="89" vm="324">
        <f ca="1"/>
        <v>45863</v>
      </c>
      <c r="C86" s="89" vm="325">
        <f ca="1"/>
        <v>231.44</v>
      </c>
      <c r="D86" s="1210">
        <f t="shared" ca="1" si="51"/>
        <v>-3.4017999397149036E-3</v>
      </c>
      <c r="E86" s="294" t="str" cm="1">
        <f t="array" aca="1" ref="E86" ca="1">_xlfn.IFS(D86&gt;ZPercent,"U",D86&lt;=-ZPercent,"D",TRUE,"Z")</f>
        <v>Z</v>
      </c>
      <c r="F86" s="294" t="str">
        <f t="shared" ca="1" si="54"/>
        <v>UZ</v>
      </c>
      <c r="G86" s="294" t="str">
        <f t="shared" ca="1" si="55"/>
        <v>ZUZ</v>
      </c>
      <c r="H86" s="868" t="str">
        <f t="shared" ca="1" si="56"/>
        <v/>
      </c>
      <c r="J86" s="89" vm="326">
        <f ca="1"/>
        <v>45778</v>
      </c>
      <c r="K86" s="89" vm="327">
        <f ca="1"/>
        <v>190.2</v>
      </c>
      <c r="N86" s="868" t="str">
        <f ca="1">IF(F86=[2]Sheet1!O84,"","dif")</f>
        <v>dif</v>
      </c>
    </row>
    <row r="87" spans="2:96" ht="23" thickBot="1" x14ac:dyDescent="0.35">
      <c r="B87" s="89" vm="328">
        <f ca="1"/>
        <v>45862</v>
      </c>
      <c r="C87" s="89" vm="329">
        <f ca="1"/>
        <v>232.23</v>
      </c>
      <c r="D87" s="1210">
        <f t="shared" ca="1" si="51"/>
        <v>1.7258749835735238E-2</v>
      </c>
      <c r="E87" s="294" t="str" cm="1">
        <f t="array" aca="1" ref="E87" ca="1">_xlfn.IFS(D87&gt;ZPercent,"U",D87&lt;=-ZPercent,"D",TRUE,"Z")</f>
        <v>U</v>
      </c>
      <c r="F87" s="294" t="str">
        <f t="shared" ca="1" si="54"/>
        <v>ZU</v>
      </c>
      <c r="G87" s="294" t="str">
        <f t="shared" ca="1" si="55"/>
        <v>DZU</v>
      </c>
      <c r="H87" s="868" t="str">
        <f t="shared" ca="1" si="56"/>
        <v/>
      </c>
      <c r="J87" s="89" vm="330">
        <f ca="1"/>
        <v>45779</v>
      </c>
      <c r="K87" s="89" vm="331">
        <f ca="1"/>
        <v>189.98</v>
      </c>
      <c r="N87" s="868" t="str">
        <f ca="1">IF(F87=[2]Sheet1!O85,"","dif")</f>
        <v>dif</v>
      </c>
      <c r="V87" s="923" t="s">
        <v>2742</v>
      </c>
      <c r="X87" s="886" t="str">
        <f>J3</f>
        <v>AMZN</v>
      </c>
      <c r="Y87" s="886" t="str">
        <f ca="1">LastMark2</f>
        <v>DD</v>
      </c>
      <c r="Z87" s="869" t="s">
        <v>1669</v>
      </c>
      <c r="AA87" s="868" t="s">
        <v>1670</v>
      </c>
    </row>
    <row r="88" spans="2:96" ht="23" thickBot="1" x14ac:dyDescent="0.35">
      <c r="B88" s="89" vm="332">
        <f ca="1"/>
        <v>45861</v>
      </c>
      <c r="C88" s="89" vm="333">
        <f ca="1"/>
        <v>228.29</v>
      </c>
      <c r="D88" s="1210">
        <f t="shared" ca="1" si="51"/>
        <v>3.6048709719962773E-3</v>
      </c>
      <c r="E88" s="294" t="str" cm="1">
        <f t="array" aca="1" ref="E88" ca="1">_xlfn.IFS(D88&gt;ZPercent,"U",D88&lt;=-ZPercent,"D",TRUE,"Z")</f>
        <v>Z</v>
      </c>
      <c r="F88" s="294" t="str">
        <f t="shared" ca="1" si="54"/>
        <v>DZ</v>
      </c>
      <c r="G88" s="294" t="str">
        <f t="shared" ca="1" si="55"/>
        <v>UDZ</v>
      </c>
      <c r="H88" s="868" t="str">
        <f t="shared" ca="1" si="56"/>
        <v/>
      </c>
      <c r="J88" s="89" vm="334">
        <f ca="1"/>
        <v>45782</v>
      </c>
      <c r="K88" s="89" vm="335">
        <f ca="1"/>
        <v>186.35</v>
      </c>
      <c r="N88" s="868" t="str">
        <f ca="1">IF(F88=[2]Sheet1!O86,"","dif")</f>
        <v>dif</v>
      </c>
      <c r="X88" s="868" t="s">
        <v>2719</v>
      </c>
      <c r="Y88" s="1293" t="str">
        <f ca="1">RIGHT(Y87,1)&amp;"U"</f>
        <v>DU</v>
      </c>
      <c r="Z88" s="1195">
        <f ca="1">IFERROR(_xlfn.MINIFS(AE93:AM101, AE93:AM101, "&gt;0", AE93:AM101, "&lt;1"), "")</f>
        <v>0.15</v>
      </c>
      <c r="AA88" s="1196">
        <f ca="1">IFERROR(_xlfn.MAXIFS(AE93:AM101, AE93:AM101, "&gt;0", AE93:AM101, "&lt;1"), "")</f>
        <v>0.5</v>
      </c>
      <c r="BA88" s="1409" t="str">
        <f>CG88</f>
        <v>AMZN</v>
      </c>
      <c r="BB88" s="1410" t="str">
        <f ca="1">CH88</f>
        <v>DD</v>
      </c>
      <c r="BU88" s="965" t="s">
        <v>2766</v>
      </c>
      <c r="CG88" s="886" t="str">
        <f>B2</f>
        <v>AMZN</v>
      </c>
      <c r="CH88" s="886" t="str">
        <f ca="1">LastMark2</f>
        <v>DD</v>
      </c>
      <c r="CI88" s="869" t="s">
        <v>1669</v>
      </c>
      <c r="CJ88" s="868" t="s">
        <v>1670</v>
      </c>
    </row>
    <row r="89" spans="2:96" ht="28" thickBot="1" x14ac:dyDescent="0.4">
      <c r="B89" s="89" vm="336">
        <f ca="1"/>
        <v>45860</v>
      </c>
      <c r="C89" s="89" vm="337">
        <f ca="1"/>
        <v>227.47</v>
      </c>
      <c r="D89" s="1210">
        <f t="shared" ca="1" si="51"/>
        <v>-7.9808111644134871E-3</v>
      </c>
      <c r="E89" s="294" t="str" cm="1">
        <f t="array" aca="1" ref="E89" ca="1">_xlfn.IFS(D89&gt;ZPercent,"U",D89&lt;=-ZPercent,"D",TRUE,"Z")</f>
        <v>D</v>
      </c>
      <c r="F89" s="294" t="str">
        <f t="shared" ca="1" si="54"/>
        <v>UD</v>
      </c>
      <c r="G89" s="294" t="str">
        <f t="shared" ca="1" si="55"/>
        <v>UUD</v>
      </c>
      <c r="H89" s="868" t="str">
        <f t="shared" ca="1" si="56"/>
        <v/>
      </c>
      <c r="J89" s="89" vm="338">
        <f ca="1"/>
        <v>45783</v>
      </c>
      <c r="K89" s="89" vm="339">
        <f ca="1"/>
        <v>185.01</v>
      </c>
      <c r="N89" s="868" t="str">
        <f ca="1">IF(F89=[2]Sheet1!O87,"","dif")</f>
        <v>dif</v>
      </c>
      <c r="X89" s="1291" t="str">
        <f ca="1">IF(Y89=0,"No "&amp;Y88,"Up")</f>
        <v>Up</v>
      </c>
      <c r="Y89" s="1297">
        <f ca="1">MAX(AB93:AB101)</f>
        <v>0.44444444444444442</v>
      </c>
      <c r="AE89" s="1407" t="s">
        <v>2760</v>
      </c>
      <c r="AQ89" s="1407" t="s">
        <v>2721</v>
      </c>
      <c r="BD89" s="1407" t="s">
        <v>2759</v>
      </c>
      <c r="CG89" s="868" t="s">
        <v>2719</v>
      </c>
      <c r="CH89" s="1293" t="str">
        <f ca="1">RIGHT(CH88,1)&amp;"U"</f>
        <v>DU</v>
      </c>
      <c r="CI89" s="1195">
        <f ca="1">IFERROR(_xlfn.MINIFS(CJ93:CR101, CJ93:CR101, "&gt;0", CJ93:CR101, "&lt;1"), "")</f>
        <v>0.33333333333333331</v>
      </c>
      <c r="CJ89" s="1196">
        <f ca="1">IFERROR(_xlfn.MAXIFS(CJ93:CR101, CJ93:CR101, "&gt;0", CJ93:CR101, "&lt;1"), "")</f>
        <v>0.66666666666666663</v>
      </c>
    </row>
    <row r="90" spans="2:96" x14ac:dyDescent="0.3">
      <c r="B90" s="89" vm="340">
        <f ca="1"/>
        <v>45859</v>
      </c>
      <c r="C90" s="89" vm="341">
        <f ca="1"/>
        <v>229.3</v>
      </c>
      <c r="D90" s="1210">
        <f t="shared" ca="1" si="51"/>
        <v>1.4018484942289904E-2</v>
      </c>
      <c r="E90" s="294" t="str" cm="1">
        <f t="array" aca="1" ref="E90" ca="1">_xlfn.IFS(D90&gt;ZPercent,"U",D90&lt;=-ZPercent,"D",TRUE,"Z")</f>
        <v>U</v>
      </c>
      <c r="F90" s="294" t="str">
        <f t="shared" ca="1" si="54"/>
        <v>UU</v>
      </c>
      <c r="G90" s="294" t="str">
        <f t="shared" ca="1" si="55"/>
        <v>ZUU</v>
      </c>
      <c r="H90" s="868" t="str">
        <f t="shared" ca="1" si="56"/>
        <v/>
      </c>
      <c r="J90" s="89" vm="342">
        <f ca="1"/>
        <v>45784</v>
      </c>
      <c r="K90" s="89" vm="343">
        <f ca="1"/>
        <v>188.71</v>
      </c>
      <c r="N90" s="868" t="str">
        <f ca="1">IF(F90=[2]Sheet1!O88,"","dif")</f>
        <v>dif</v>
      </c>
      <c r="AE90" s="882">
        <f ca="1">MAX(AE92:AE100)</f>
        <v>0.4</v>
      </c>
      <c r="AF90" s="882">
        <f t="shared" ref="AF90:AM90" ca="1" si="70">MAX(AF92:AF100)</f>
        <v>0.42105263157894735</v>
      </c>
      <c r="AG90" s="882">
        <f t="shared" ca="1" si="70"/>
        <v>0.31578947368421051</v>
      </c>
      <c r="AH90" s="882">
        <f t="shared" ca="1" si="70"/>
        <v>0.375</v>
      </c>
      <c r="AI90" s="882">
        <f t="shared" ca="1" si="70"/>
        <v>0.45</v>
      </c>
      <c r="AJ90" s="882">
        <f t="shared" ca="1" si="70"/>
        <v>0.34375</v>
      </c>
      <c r="AK90" s="882">
        <f t="shared" ca="1" si="70"/>
        <v>0.5</v>
      </c>
      <c r="AL90" s="882">
        <f t="shared" ca="1" si="70"/>
        <v>0.42105263157894735</v>
      </c>
      <c r="AM90" s="882">
        <f t="shared" ca="1" si="70"/>
        <v>0.21052631578947367</v>
      </c>
      <c r="CG90" s="1291" t="str">
        <f ca="1">IF(CH90=0,"No "&amp;CH89,"Up")</f>
        <v>No DU</v>
      </c>
      <c r="CH90" s="1297">
        <f ca="1">MAX(CG93:CG101)</f>
        <v>0</v>
      </c>
    </row>
    <row r="91" spans="2:96" ht="23" thickBot="1" x14ac:dyDescent="0.35">
      <c r="B91" s="89" vm="344">
        <f ca="1"/>
        <v>45856</v>
      </c>
      <c r="C91" s="89" vm="345">
        <f ca="1"/>
        <v>226.13</v>
      </c>
      <c r="D91" s="1210">
        <f t="shared" ca="1" si="51"/>
        <v>1.0050026800071468E-2</v>
      </c>
      <c r="E91" s="294" t="str" cm="1">
        <f t="array" aca="1" ref="E91" ca="1">_xlfn.IFS(D91&gt;ZPercent,"U",D91&lt;=-ZPercent,"D",TRUE,"Z")</f>
        <v>U</v>
      </c>
      <c r="F91" s="294" t="str">
        <f t="shared" ca="1" si="54"/>
        <v>ZU</v>
      </c>
      <c r="G91" s="294" t="str">
        <f t="shared" ca="1" si="55"/>
        <v>DZU</v>
      </c>
      <c r="H91" s="868" t="str">
        <f t="shared" ca="1" si="56"/>
        <v/>
      </c>
      <c r="J91" s="89" vm="346">
        <f ca="1"/>
        <v>45785</v>
      </c>
      <c r="K91" s="89" vm="347">
        <f ca="1"/>
        <v>192.08</v>
      </c>
      <c r="N91" s="868" t="str">
        <f ca="1">IF(F91=[2]Sheet1!O89,"","dif")</f>
        <v>dif</v>
      </c>
      <c r="AC91" s="869"/>
      <c r="AE91" s="868">
        <v>1</v>
      </c>
      <c r="AF91" s="868">
        <v>2</v>
      </c>
      <c r="AG91" s="868">
        <v>3</v>
      </c>
      <c r="AH91" s="868">
        <v>4</v>
      </c>
      <c r="AI91" s="868">
        <v>5</v>
      </c>
      <c r="AJ91" s="868">
        <v>6</v>
      </c>
      <c r="AK91" s="868">
        <v>7</v>
      </c>
      <c r="AL91" s="868">
        <v>8</v>
      </c>
      <c r="AM91" s="868">
        <v>9</v>
      </c>
      <c r="BD91" s="882">
        <f ca="1">SUM(BD93:BD101)</f>
        <v>1</v>
      </c>
      <c r="BE91" s="882">
        <f t="shared" ref="BE91:BL91" ca="1" si="71">SUM(BE93:BE101)</f>
        <v>1</v>
      </c>
      <c r="BF91" s="882">
        <f t="shared" ca="1" si="71"/>
        <v>1</v>
      </c>
      <c r="BG91" s="882">
        <f t="shared" ca="1" si="71"/>
        <v>1</v>
      </c>
      <c r="BH91" s="882">
        <f t="shared" ca="1" si="71"/>
        <v>1</v>
      </c>
      <c r="BI91" s="882">
        <f t="shared" ca="1" si="71"/>
        <v>0.99999999999999989</v>
      </c>
      <c r="BJ91" s="882">
        <f t="shared" ca="1" si="71"/>
        <v>1</v>
      </c>
      <c r="BK91" s="882">
        <f t="shared" ca="1" si="71"/>
        <v>1</v>
      </c>
      <c r="BL91" s="882">
        <f t="shared" ca="1" si="71"/>
        <v>0.99999999999999989</v>
      </c>
      <c r="BM91" s="882">
        <f ca="1">SUM(BD91:BL91)</f>
        <v>9</v>
      </c>
      <c r="CH91" s="869"/>
    </row>
    <row r="92" spans="2:96" ht="23" thickBot="1" x14ac:dyDescent="0.35">
      <c r="B92" s="89" vm="348">
        <f ca="1"/>
        <v>45855</v>
      </c>
      <c r="C92" s="89" vm="349">
        <f ca="1"/>
        <v>223.88</v>
      </c>
      <c r="D92" s="1210">
        <f t="shared" ca="1" si="51"/>
        <v>3.0915363591558658E-3</v>
      </c>
      <c r="E92" s="294" t="str" cm="1">
        <f t="array" aca="1" ref="E92" ca="1">_xlfn.IFS(D92&gt;ZPercent,"U",D92&lt;=-ZPercent,"D",TRUE,"Z")</f>
        <v>Z</v>
      </c>
      <c r="F92" s="294" t="str">
        <f t="shared" ca="1" si="54"/>
        <v>DZ</v>
      </c>
      <c r="G92" s="294" t="str">
        <f t="shared" ca="1" si="55"/>
        <v>ZDZ</v>
      </c>
      <c r="H92" s="868" t="str">
        <f t="shared" ca="1" si="56"/>
        <v/>
      </c>
      <c r="J92" s="89" vm="350">
        <f ca="1"/>
        <v>45786</v>
      </c>
      <c r="K92" s="89" vm="351">
        <f ca="1"/>
        <v>193.06</v>
      </c>
      <c r="N92" s="868" t="str">
        <f ca="1">IF(F92=[2]Sheet1!O90,"","dif")</f>
        <v>dif</v>
      </c>
      <c r="Q92" s="868"/>
      <c r="R92" s="868">
        <v>1</v>
      </c>
      <c r="S92" s="868">
        <v>2</v>
      </c>
      <c r="T92" s="868">
        <v>3</v>
      </c>
      <c r="U92" s="868">
        <v>4</v>
      </c>
      <c r="V92" s="868">
        <v>5</v>
      </c>
      <c r="W92" s="868">
        <v>6</v>
      </c>
      <c r="X92" s="868">
        <v>7</v>
      </c>
      <c r="Y92" s="868">
        <v>8</v>
      </c>
      <c r="Z92" s="868">
        <v>9</v>
      </c>
      <c r="AC92" s="1294">
        <f ca="1">SUM(AC93:AC101)</f>
        <v>205</v>
      </c>
      <c r="AD92" s="1236">
        <f ca="1">ROWS(_xlfn.UNIQUE(F5:F157))</f>
        <v>9</v>
      </c>
      <c r="AE92" s="1224" t="str">
        <f t="shared" ref="AE92:AM92" ca="1" si="72">R93</f>
        <v>DD</v>
      </c>
      <c r="AF92" s="1217" t="str">
        <f t="shared" ca="1" si="72"/>
        <v>ZD</v>
      </c>
      <c r="AG92" s="1217" t="str">
        <f t="shared" ca="1" si="72"/>
        <v>UZ</v>
      </c>
      <c r="AH92" s="1217" t="str">
        <f t="shared" ca="1" si="72"/>
        <v>UU</v>
      </c>
      <c r="AI92" s="1217" t="str">
        <f t="shared" ca="1" si="72"/>
        <v>DU</v>
      </c>
      <c r="AJ92" s="1217" t="str">
        <f t="shared" ca="1" si="72"/>
        <v>DZ</v>
      </c>
      <c r="AK92" s="1217" t="str">
        <f t="shared" ca="1" si="72"/>
        <v>UD</v>
      </c>
      <c r="AL92" s="1217" t="str">
        <f t="shared" ca="1" si="72"/>
        <v>ZU</v>
      </c>
      <c r="AM92" s="1218" t="str">
        <f t="shared" ca="1" si="72"/>
        <v>ZZ</v>
      </c>
      <c r="AP92" s="1420"/>
      <c r="AQ92" s="1236"/>
      <c r="AR92" s="1224" t="str">
        <f t="shared" ref="AR92:AZ92" ca="1" si="73">AE92</f>
        <v>DD</v>
      </c>
      <c r="AS92" s="1418" t="str">
        <f t="shared" ca="1" si="73"/>
        <v>ZD</v>
      </c>
      <c r="AT92" s="1418" t="str">
        <f t="shared" ca="1" si="73"/>
        <v>UZ</v>
      </c>
      <c r="AU92" s="1418" t="str">
        <f t="shared" ca="1" si="73"/>
        <v>UU</v>
      </c>
      <c r="AV92" s="1418" t="str">
        <f t="shared" ca="1" si="73"/>
        <v>DU</v>
      </c>
      <c r="AW92" s="1418" t="str">
        <f t="shared" ca="1" si="73"/>
        <v>DZ</v>
      </c>
      <c r="AX92" s="1418" t="str">
        <f t="shared" ca="1" si="73"/>
        <v>UD</v>
      </c>
      <c r="AY92" s="1418" t="str">
        <f t="shared" ca="1" si="73"/>
        <v>ZU</v>
      </c>
      <c r="AZ92" s="1419" t="str">
        <f t="shared" ca="1" si="73"/>
        <v>ZZ</v>
      </c>
      <c r="BD92" s="868" t="s">
        <v>2739</v>
      </c>
      <c r="BE92" s="868" t="s">
        <v>2735</v>
      </c>
      <c r="BF92" s="868" t="s">
        <v>2737</v>
      </c>
      <c r="BG92" s="868" t="s">
        <v>2741</v>
      </c>
      <c r="BH92" s="868" t="s">
        <v>2733</v>
      </c>
      <c r="BI92" s="868" t="s">
        <v>2734</v>
      </c>
      <c r="BJ92" s="868" t="s">
        <v>2736</v>
      </c>
      <c r="BK92" s="868" t="s">
        <v>2740</v>
      </c>
      <c r="BL92" s="868" t="s">
        <v>2738</v>
      </c>
      <c r="BN92" s="1203" t="s">
        <v>2764</v>
      </c>
      <c r="BO92" s="1203" t="s">
        <v>2765</v>
      </c>
      <c r="BU92" s="1216">
        <f ca="1">COUNTA(BU93:BU101)</f>
        <v>7</v>
      </c>
      <c r="BV92" s="1224" t="str" cm="1">
        <f t="array" aca="1" ref="BV92:CB92" ca="1">TRANSPOSE(_xlfn.ANCHORARRAY(BU93))</f>
        <v>DD</v>
      </c>
      <c r="BW92" s="1217" t="str">
        <f ca="1"/>
        <v>ZD</v>
      </c>
      <c r="BX92" s="1217" t="str">
        <f ca="1"/>
        <v>UZ</v>
      </c>
      <c r="BY92" s="1217" t="str">
        <f ca="1"/>
        <v>UU</v>
      </c>
      <c r="BZ92" s="1217" t="str">
        <f ca="1"/>
        <v>DU</v>
      </c>
      <c r="CA92" s="1217" t="str">
        <f ca="1"/>
        <v>DZ</v>
      </c>
      <c r="CB92" s="1217" t="str">
        <f ca="1"/>
        <v>UD</v>
      </c>
      <c r="CC92" s="1217"/>
      <c r="CD92" s="1218"/>
      <c r="CH92" s="1303">
        <f ca="1">SUM(CH93:CH101)</f>
        <v>19</v>
      </c>
      <c r="CI92" s="1304">
        <f ca="1">ROWS(_xlfn.UNIQUE(G66:G75))</f>
        <v>9</v>
      </c>
      <c r="CJ92" s="1224" t="str" cm="1">
        <f t="array" aca="1" ref="CJ92:CR92" ca="1">TRANSPOSE(CI93:CI101)</f>
        <v>DD</v>
      </c>
      <c r="CK92" s="1217" t="str">
        <f ca="1"/>
        <v>ZD</v>
      </c>
      <c r="CL92" s="1217" t="str">
        <f ca="1"/>
        <v>UZ</v>
      </c>
      <c r="CM92" s="1217" t="str">
        <f ca="1"/>
        <v>UU</v>
      </c>
      <c r="CN92" s="1217" t="str">
        <f ca="1"/>
        <v>DU</v>
      </c>
      <c r="CO92" s="1217" t="str">
        <f ca="1"/>
        <v>DZ</v>
      </c>
      <c r="CP92" s="1217" t="str">
        <f ca="1"/>
        <v>UD</v>
      </c>
      <c r="CQ92" s="1217">
        <f ca="1"/>
        <v>0</v>
      </c>
      <c r="CR92" s="1218">
        <f ca="1"/>
        <v>0</v>
      </c>
    </row>
    <row r="93" spans="2:96" ht="24" thickTop="1" thickBot="1" x14ac:dyDescent="0.35">
      <c r="B93" s="89" vm="352">
        <f ca="1"/>
        <v>45854</v>
      </c>
      <c r="C93" s="89" vm="353">
        <f ca="1"/>
        <v>223.19</v>
      </c>
      <c r="D93" s="1210">
        <f t="shared" ca="1" si="51"/>
        <v>-1.3960680362270805E-2</v>
      </c>
      <c r="E93" s="294" t="str" cm="1">
        <f t="array" aca="1" ref="E93" ca="1">_xlfn.IFS(D93&gt;ZPercent,"U",D93&lt;=-ZPercent,"D",TRUE,"Z")</f>
        <v>D</v>
      </c>
      <c r="F93" s="294" t="str">
        <f t="shared" ca="1" si="54"/>
        <v>ZD</v>
      </c>
      <c r="G93" s="294" t="str">
        <f t="shared" ca="1" si="55"/>
        <v>ZZD</v>
      </c>
      <c r="H93" s="868" t="str">
        <f t="shared" ca="1" si="56"/>
        <v>ZZ</v>
      </c>
      <c r="J93" s="89" vm="354">
        <f ca="1"/>
        <v>45789</v>
      </c>
      <c r="K93" s="89" vm="355">
        <f ca="1"/>
        <v>208.64</v>
      </c>
      <c r="N93" s="868" t="str">
        <f ca="1">IF(F93=[2]Sheet1!O91,"","dif")</f>
        <v>dif</v>
      </c>
      <c r="Q93" s="1216">
        <f ca="1">ROWS(_xlfn.UNIQUE(G66:G75))</f>
        <v>9</v>
      </c>
      <c r="R93" s="1221" t="str" cm="1">
        <f t="array" aca="1" ref="R93:Z93" ca="1">TRANSPOSE(_xlfn.ANCHORARRAY(Q94))</f>
        <v>DD</v>
      </c>
      <c r="S93" s="1222" t="str">
        <f ca="1"/>
        <v>ZD</v>
      </c>
      <c r="T93" s="1222" t="str">
        <f ca="1"/>
        <v>UZ</v>
      </c>
      <c r="U93" s="1222" t="str">
        <f ca="1"/>
        <v>UU</v>
      </c>
      <c r="V93" s="1222" t="str">
        <f ca="1"/>
        <v>DU</v>
      </c>
      <c r="W93" s="1222" t="str">
        <f ca="1"/>
        <v>DZ</v>
      </c>
      <c r="X93" s="1222" t="str">
        <f ca="1"/>
        <v>UD</v>
      </c>
      <c r="Y93" s="1222" t="str">
        <f ca="1"/>
        <v>ZU</v>
      </c>
      <c r="Z93" s="1223" t="str">
        <f ca="1"/>
        <v>ZZ</v>
      </c>
      <c r="AB93" s="1194" cm="1">
        <f t="array" aca="1" ref="AB93" ca="1">IFERROR(INDEX($AE93:$AM93,
       MATCH(TRUE,
             (($AD93=Y$87)*
              ($AE$92:$AM$92=$Y$88)*
              ($AE93:$AM93&gt;0))&gt;0,
       0)),0)</f>
        <v>0.44444444444444442</v>
      </c>
      <c r="AC93" s="1290">
        <f t="shared" ref="AC93:AC101" ca="1" si="74">SUM(R94:Z94)</f>
        <v>27</v>
      </c>
      <c r="AD93" s="1219" t="str">
        <f t="shared" ref="AD93:AD101" ca="1" si="75">Q94</f>
        <v>DD</v>
      </c>
      <c r="AE93" s="1225">
        <f t="shared" ref="AE93:AE101" ca="1" si="76">IF(R94=0,0,R94/$AC93)</f>
        <v>0.37037037037037035</v>
      </c>
      <c r="AF93" s="1211">
        <f t="shared" ref="AF93:AF101" ca="1" si="77">IF(S94=0,0,S94/$AC93)</f>
        <v>0</v>
      </c>
      <c r="AG93" s="1211">
        <f t="shared" ref="AG93:AG101" ca="1" si="78">IF(T94=0,0,T94/$AC93)</f>
        <v>0</v>
      </c>
      <c r="AH93" s="1211">
        <f t="shared" ref="AH93:AH101" ca="1" si="79">IF(U94=0,0,U94/$AC93)</f>
        <v>0</v>
      </c>
      <c r="AI93" s="1211">
        <f t="shared" ref="AI93:AI101" ca="1" si="80">IF(V94=0,0,V94/$AC93)</f>
        <v>0.44444444444444442</v>
      </c>
      <c r="AJ93" s="1211">
        <f t="shared" ref="AJ93:AJ101" ca="1" si="81">IF(W94=0,0,W94/$AC93)</f>
        <v>0.18518518518518517</v>
      </c>
      <c r="AK93" s="1211">
        <f t="shared" ref="AK93:AK101" ca="1" si="82">IF(X94=0,0,X94/$AC93)</f>
        <v>0</v>
      </c>
      <c r="AL93" s="1211">
        <f t="shared" ref="AL93:AL101" ca="1" si="83">IF(Y94=0,0,Y94/$AC93)</f>
        <v>0</v>
      </c>
      <c r="AM93" s="1226">
        <f t="shared" ref="AM93:AM101" ca="1" si="84">IF(Z94=0,0,Z94/$AC93)</f>
        <v>0</v>
      </c>
      <c r="AP93" s="1290"/>
      <c r="AQ93" s="1234" t="str">
        <f t="shared" ref="AQ93:AQ101" ca="1" si="85">Q94</f>
        <v>DD</v>
      </c>
      <c r="AR93" s="1225">
        <f ca="1">AE93/SUM(AE$93:AE$101)</f>
        <v>0.34202650705429671</v>
      </c>
      <c r="AS93" s="1211">
        <f t="shared" ref="AS93:AS101" ca="1" si="86">AF93/SUM(AF$93:AF$101)</f>
        <v>0</v>
      </c>
      <c r="AT93" s="1211">
        <f t="shared" ref="AT93:AT101" ca="1" si="87">AG93/SUM(AG$93:AG$101)</f>
        <v>0</v>
      </c>
      <c r="AU93" s="1211">
        <f t="shared" ref="AU93:AU101" ca="1" si="88">AH93/SUM(AH$93:AH$101)</f>
        <v>0</v>
      </c>
      <c r="AV93" s="1211">
        <f t="shared" ref="AV93:AV101" ca="1" si="89">AI93/SUM(AI$93:AI$101)</f>
        <v>0.35894559730790804</v>
      </c>
      <c r="AW93" s="1211">
        <f t="shared" ref="AW93:AW101" ca="1" si="90">AJ93/SUM(AJ$93:AJ$101)</f>
        <v>0.2727582679849983</v>
      </c>
      <c r="AX93" s="1211">
        <f t="shared" ref="AX93:AX101" ca="1" si="91">AK93/SUM(AK$93:AK$101)</f>
        <v>0</v>
      </c>
      <c r="AY93" s="1211">
        <f t="shared" ref="AY93:AY101" ca="1" si="92">AL93/SUM(AL$93:AL$101)</f>
        <v>0</v>
      </c>
      <c r="AZ93" s="1226">
        <f t="shared" ref="AZ93:AZ101" ca="1" si="93">AM93/SUM(AM$93:AM$101)</f>
        <v>0</v>
      </c>
      <c r="BC93" s="868" t="str">
        <f t="shared" ref="BC93:BC101" ca="1" si="94">AD93</f>
        <v>DD</v>
      </c>
      <c r="BD93" s="1225" cm="1">
        <f t="array" aca="1" ref="BD93:BD101" ca="1">_xlfn.LET(
  _xlpm.P,  $AE$93:$AM$101,
  _xlpm.pi, $AE$102:$AM$102,
  _xlpm.states, $AE$92:$AM$92,
  _xlpm.j,  _xlfn.XMATCH(BD92, _xlpm.states),
  _xlpm.colj, _xlfn.TAKE(_xlfn.CHOOSECOLS(_xlpm.P, _xlpm.j), ROWS(_xlpm.P)),
  _xlpm.num, TRANSPOSE(_xlpm.pi) * _xlpm.colj,
  _xlpm.num / INDEX(_xlpm.pi, _xlpm.j)
)</f>
        <v>0.38852127866678671</v>
      </c>
      <c r="BE93" s="1211"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11"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11"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11" cm="1">
        <f t="array" aca="1" ref="BH93:BH101" ca="1">_xlfn.LET(
  _xlpm.P,  $AE$93:$AM$101,
  _xlpm.pi, $AE$102:$AM$102,
  _xlpm.states, $AE$92:$AM$92,
  _xlpm.j,  _xlfn.XMATCH(BH92, _xlpm.states),
  _xlpm.colj, _xlfn.TAKE(_xlfn.CHOOSECOLS(_xlpm.P, _xlpm.j), ROWS(_xlpm.P)),
  _xlpm.num, TRANSPOSE(_xlpm.pi) * _xlpm.colj,
  _xlpm.num / INDEX(_xlpm.pi, _xlpm.j)
)</f>
        <v>0.27328134096819007</v>
      </c>
      <c r="BI93" s="1211" cm="1">
        <f t="array" aca="1" ref="BI93:BI101" ca="1">_xlfn.LET(
  _xlpm.P,  $AE$93:$AM$101,
  _xlpm.pi, $AE$102:$AM$102,
  _xlpm.states, $AE$92:$AM$92,
  _xlpm.j,  _xlfn.XMATCH(BI92, _xlpm.states),
  _xlpm.colj, _xlfn.TAKE(_xlfn.CHOOSECOLS(_xlpm.P, _xlpm.j), ROWS(_xlpm.P)),
  _xlpm.num, TRANSPOSE(_xlpm.pi) * _xlpm.colj,
  _xlpm.num / INDEX(_xlpm.pi, _xlpm.j)
)</f>
        <v>0.37037037037037035</v>
      </c>
      <c r="BJ93" s="1211"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11"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26"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2">
        <f t="shared" ref="BM93:BM101" ca="1" si="95">SUM(BD93:BL93)</f>
        <v>1.0321729900053471</v>
      </c>
      <c r="BN93" s="1411">
        <f t="shared" ref="BN93:BN101" ca="1" si="96">IF(MarkCurr=BC93,_xlfn.XLOOKUP(MAX(BD93:BL93),BD93:BL93,BD93:BL93),"")</f>
        <v>0.38852127866678671</v>
      </c>
      <c r="BO93" s="1415">
        <f t="shared" ref="BO93:BO101" ca="1" si="97">MAX(INDEX(BD123:BL131,ROW()-ROW(BO$92),MATCH(RIGHT(MarkCurr,1)&amp;"U",$BD$92:$BL$92,0)))</f>
        <v>0</v>
      </c>
      <c r="BT93" s="1290">
        <f ca="1">SUM(BV93:CD93)</f>
        <v>2</v>
      </c>
      <c r="BU93" s="1219" t="str" cm="1">
        <f t="array" aca="1" ref="BU93:BU99" ca="1">_xlfn.UNIQUE(F$5:F$25)</f>
        <v>DD</v>
      </c>
      <c r="BV93" s="883" cm="1">
        <f t="array" aca="1" ref="BV93" ca="1">SUM( ($F$7:$F$25=$Q94) * ($F$6:$F$24=BV$92) )</f>
        <v>2</v>
      </c>
      <c r="BW93" s="1306" cm="1">
        <f t="array" aca="1" ref="BW93" ca="1">SUM( ($F$7:$F$25=$Q94) * ($F$6:$F$24=BW$92) )</f>
        <v>0</v>
      </c>
      <c r="BX93" s="1306" cm="1">
        <f t="array" aca="1" ref="BX93" ca="1">SUM( ($F$7:$F$25=$Q94) * ($F$6:$F$24=BX$92) )</f>
        <v>0</v>
      </c>
      <c r="BY93" s="1306" cm="1">
        <f t="array" aca="1" ref="BY93" ca="1">SUM( ($F$7:$F$25=$Q94) * ($F$6:$F$24=BY$92) )</f>
        <v>0</v>
      </c>
      <c r="BZ93" s="1306" cm="1">
        <f t="array" aca="1" ref="BZ93" ca="1">SUM( ($F$7:$F$25=$Q94) * ($F$6:$F$24=BZ$92) )</f>
        <v>0</v>
      </c>
      <c r="CA93" s="1306" cm="1">
        <f t="array" aca="1" ref="CA93" ca="1">SUM( ($F$7:$F$25=$Q94) * ($F$6:$F$24=CA$92) )</f>
        <v>0</v>
      </c>
      <c r="CB93" s="1306" cm="1">
        <f t="array" aca="1" ref="CB93" ca="1">SUM( ($F$7:$F$25=$Q94) * ($F$6:$F$24=CB$92) )</f>
        <v>0</v>
      </c>
      <c r="CC93" s="1306" cm="1">
        <f t="array" aca="1" ref="CC93" ca="1">SUM( ($F$7:$F$25=$Q94) * ($F$6:$F$24=CC$92) )</f>
        <v>0</v>
      </c>
      <c r="CD93" s="1307" cm="1">
        <f t="array" aca="1" ref="CD93" ca="1">SUM( ($F$7:$F$25=$Q94) * ($F$6:$F$24=CD$92) )</f>
        <v>0</v>
      </c>
      <c r="CG93" s="1194" cm="1">
        <f t="array" aca="1" ref="CG93" ca="1">IFERROR(INDEX($CJ93:$CR93,
       MATCH(TRUE,
             (($CI93=CH$88)*
              (_xlfn.ANCHORARRAY($CJ$92)=$CH$89)*
              ($CJ93:$CR93&gt;0))&gt;0,
       0)),0)</f>
        <v>0</v>
      </c>
      <c r="CH93" s="1290">
        <f t="shared" ref="CH93:CH101" ca="1" si="98">SUM(BV93:CD93)</f>
        <v>2</v>
      </c>
      <c r="CI93" s="1203" t="str" cm="1">
        <f t="array" aca="1" ref="CI93:CI99" ca="1">_xlfn.UNIQUE(F$5:F$25)</f>
        <v>DD</v>
      </c>
      <c r="CJ93" s="1225">
        <f t="shared" ref="CJ93:CJ101" ca="1" si="99">IF(BV93=0,0,BV93/$CH93)</f>
        <v>1</v>
      </c>
      <c r="CK93" s="1211">
        <f t="shared" ref="CK93:CK101" ca="1" si="100">IF(BW93=0,0,BW93/$CH93)</f>
        <v>0</v>
      </c>
      <c r="CL93" s="1211">
        <f t="shared" ref="CL93:CL101" ca="1" si="101">IF(BX93=0,0,BX93/$CH93)</f>
        <v>0</v>
      </c>
      <c r="CM93" s="1211">
        <f t="shared" ref="CM93:CM101" ca="1" si="102">IF(BY93=0,0,BY93/$CH93)</f>
        <v>0</v>
      </c>
      <c r="CN93" s="1211">
        <f t="shared" ref="CN93:CN101" ca="1" si="103">IF(BZ93=0,0,BZ93/$CH93)</f>
        <v>0</v>
      </c>
      <c r="CO93" s="1211">
        <f t="shared" ref="CO93:CO101" ca="1" si="104">IF(CA93=0,0,CA93/$CH93)</f>
        <v>0</v>
      </c>
      <c r="CP93" s="1211">
        <f t="shared" ref="CP93:CP101" ca="1" si="105">IF(CB93=0,0,CB93/$CH93)</f>
        <v>0</v>
      </c>
      <c r="CQ93" s="1211">
        <f t="shared" ref="CQ93:CQ101" ca="1" si="106">IF(CC93=0,0,CC93/$CH93)</f>
        <v>0</v>
      </c>
      <c r="CR93" s="1226">
        <f t="shared" ref="CR93:CR101" ca="1" si="107">IF(CD93=0,0,CD93/$CH93)</f>
        <v>0</v>
      </c>
    </row>
    <row r="94" spans="2:96" ht="23" thickTop="1" x14ac:dyDescent="0.3">
      <c r="B94" s="89" vm="356">
        <f ca="1"/>
        <v>45853</v>
      </c>
      <c r="C94" s="89" vm="357">
        <f ca="1"/>
        <v>226.35</v>
      </c>
      <c r="D94" s="1210">
        <f t="shared" ca="1" si="51"/>
        <v>2.9243652798085721E-3</v>
      </c>
      <c r="E94" s="294" t="str" cm="1">
        <f t="array" aca="1" ref="E94" ca="1">_xlfn.IFS(D94&gt;ZPercent,"U",D94&lt;=-ZPercent,"D",TRUE,"Z")</f>
        <v>Z</v>
      </c>
      <c r="F94" s="294" t="str">
        <f t="shared" ca="1" si="54"/>
        <v>ZZ</v>
      </c>
      <c r="G94" s="294" t="str">
        <f t="shared" ca="1" si="55"/>
        <v>UZZ</v>
      </c>
      <c r="H94" s="868" t="str">
        <f t="shared" ca="1" si="56"/>
        <v/>
      </c>
      <c r="J94" s="89" vm="358">
        <f ca="1"/>
        <v>45790</v>
      </c>
      <c r="K94" s="89" vm="359">
        <f ca="1"/>
        <v>211.37</v>
      </c>
      <c r="N94" s="868" t="str">
        <f ca="1">IF(F94=[2]Sheet1!O92,"","dif")</f>
        <v>dif</v>
      </c>
      <c r="Q94" s="1219" t="str" cm="1">
        <f t="array" aca="1" ref="Q94:Q102" ca="1">_xlfn.UNIQUE(F5:F158)</f>
        <v>DD</v>
      </c>
      <c r="R94" s="1212" cm="1">
        <f t="array" aca="1" ref="R94" ca="1">SUM( ($F$7:$F$212=$Q94) * ($F$6:$F$211=R$93) )</f>
        <v>10</v>
      </c>
      <c r="S94" s="868" cm="1">
        <f t="array" aca="1" ref="S94" ca="1">SUM( ($F$7:$F$212=$Q94) * ($F$6:$F$211=S$93) )</f>
        <v>0</v>
      </c>
      <c r="T94" s="868" cm="1">
        <f t="array" aca="1" ref="T94" ca="1">SUM( ($F$7:$F$212=$Q94) * ($F$6:$F$211=T$93) )</f>
        <v>0</v>
      </c>
      <c r="U94" s="868" cm="1">
        <f t="array" aca="1" ref="U94" ca="1">SUM( ($F$7:$F$212=$Q94) * ($F$6:$F$211=U$93) )</f>
        <v>0</v>
      </c>
      <c r="V94" s="868" cm="1">
        <f t="array" aca="1" ref="V94" ca="1">SUM( ($F$7:$F$212=$Q94) * ($F$6:$F$211=V$93) )</f>
        <v>12</v>
      </c>
      <c r="W94" s="868" cm="1">
        <f t="array" aca="1" ref="W94" ca="1">SUM( ($F$7:$F$212=$Q94) * ($F$6:$F$211=W$93) )</f>
        <v>5</v>
      </c>
      <c r="X94" s="868" cm="1">
        <f t="array" aca="1" ref="X94" ca="1">SUM( ($F$7:$F$212=$Q94) * ($F$6:$F$211=X$93) )</f>
        <v>0</v>
      </c>
      <c r="Y94" s="868" cm="1">
        <f t="array" aca="1" ref="Y94" ca="1">SUM( ($F$7:$F$212=$Q94) * ($F$6:$F$211=Y$93) )</f>
        <v>0</v>
      </c>
      <c r="Z94" s="1213" cm="1">
        <f t="array" aca="1" ref="Z94" ca="1">SUM( ($F$7:$F$212=$Q94) * ($F$6:$F$211=Z$93) )</f>
        <v>0</v>
      </c>
      <c r="AB94" s="1194" cm="1">
        <f t="array" aca="1" ref="AB94" ca="1">IFERROR(INDEX($AE94:$AM94,
       MATCH(TRUE,
             (($AD94=Y$87)*
              ($AE$92:$AM$92=$Y$88)*
              ($AE94:$AM94&gt;0))&gt;0,
       0)),0)</f>
        <v>0</v>
      </c>
      <c r="AC94" s="1290">
        <f t="shared" ca="1" si="74"/>
        <v>20</v>
      </c>
      <c r="AD94" s="1219" t="str">
        <f t="shared" ca="1" si="75"/>
        <v>ZD</v>
      </c>
      <c r="AE94" s="1227">
        <f t="shared" ca="1" si="76"/>
        <v>0.4</v>
      </c>
      <c r="AF94" s="1228">
        <f t="shared" ca="1" si="77"/>
        <v>0</v>
      </c>
      <c r="AG94" s="1228">
        <f t="shared" ca="1" si="78"/>
        <v>0</v>
      </c>
      <c r="AH94" s="1228">
        <f t="shared" ca="1" si="79"/>
        <v>0</v>
      </c>
      <c r="AI94" s="1228">
        <f t="shared" ca="1" si="80"/>
        <v>0.45</v>
      </c>
      <c r="AJ94" s="1228">
        <f t="shared" ca="1" si="81"/>
        <v>0.15</v>
      </c>
      <c r="AK94" s="1228">
        <f t="shared" ca="1" si="82"/>
        <v>0</v>
      </c>
      <c r="AL94" s="1228">
        <f t="shared" ca="1" si="83"/>
        <v>0</v>
      </c>
      <c r="AM94" s="1229">
        <f t="shared" ca="1" si="84"/>
        <v>0</v>
      </c>
      <c r="AP94" s="1290"/>
      <c r="AQ94" s="1234" t="str">
        <f t="shared" ca="1" si="85"/>
        <v>ZD</v>
      </c>
      <c r="AR94" s="1227">
        <f t="shared" ref="AR94:AR101" ca="1" si="108">AE94/SUM(AE$93:AE$101)</f>
        <v>0.36938862761864044</v>
      </c>
      <c r="AS94" s="1228">
        <f t="shared" ca="1" si="86"/>
        <v>0</v>
      </c>
      <c r="AT94" s="1228">
        <f t="shared" ca="1" si="87"/>
        <v>0</v>
      </c>
      <c r="AU94" s="1228">
        <f t="shared" ca="1" si="88"/>
        <v>0</v>
      </c>
      <c r="AV94" s="1228">
        <f t="shared" ca="1" si="89"/>
        <v>0.3634324172742569</v>
      </c>
      <c r="AW94" s="1228">
        <f t="shared" ca="1" si="90"/>
        <v>0.22093419706784861</v>
      </c>
      <c r="AX94" s="1228">
        <f t="shared" ca="1" si="91"/>
        <v>0</v>
      </c>
      <c r="AY94" s="1228">
        <f t="shared" ca="1" si="92"/>
        <v>0</v>
      </c>
      <c r="AZ94" s="1229">
        <f t="shared" ca="1" si="93"/>
        <v>0</v>
      </c>
      <c r="BC94" s="868" t="str">
        <f t="shared" ca="1" si="94"/>
        <v>ZD</v>
      </c>
      <c r="BD94" s="1227">
        <f ca="1"/>
        <v>0.27148779348618612</v>
      </c>
      <c r="BE94" s="1228">
        <f ca="1"/>
        <v>0</v>
      </c>
      <c r="BF94" s="1228">
        <f ca="1"/>
        <v>0</v>
      </c>
      <c r="BG94" s="1228">
        <f ca="1"/>
        <v>0</v>
      </c>
      <c r="BH94" s="1228">
        <f ca="1"/>
        <v>0.15276908078752796</v>
      </c>
      <c r="BI94" s="1228">
        <f ca="1"/>
        <v>0.27605807666663346</v>
      </c>
      <c r="BJ94" s="1228">
        <f ca="1"/>
        <v>0</v>
      </c>
      <c r="BK94" s="1228">
        <f ca="1"/>
        <v>0</v>
      </c>
      <c r="BL94" s="1229">
        <f ca="1"/>
        <v>0</v>
      </c>
      <c r="BM94" s="882">
        <f t="shared" ca="1" si="95"/>
        <v>0.70031495094034746</v>
      </c>
      <c r="BN94" s="1412" t="str">
        <f t="shared" ca="1" si="96"/>
        <v/>
      </c>
      <c r="BO94" s="1416">
        <f t="shared" ca="1" si="97"/>
        <v>0</v>
      </c>
      <c r="BT94" s="1290">
        <f t="shared" ref="BT94:BT101" ca="1" si="109">SUM(BV94:CD94)</f>
        <v>3</v>
      </c>
      <c r="BU94" s="1219" t="str">
        <f ca="1"/>
        <v>ZD</v>
      </c>
      <c r="BV94" s="1212" cm="1">
        <f t="array" aca="1" ref="BV94" ca="1">SUM( ($F$7:$F$25=$Q95) * ($F$6:$F$24=BV$92) )</f>
        <v>1</v>
      </c>
      <c r="BW94" s="868" cm="1">
        <f t="array" aca="1" ref="BW94" ca="1">SUM( ($F$7:$F$25=$Q95) * ($F$6:$F$24=BW$92) )</f>
        <v>0</v>
      </c>
      <c r="BX94" s="868" cm="1">
        <f t="array" aca="1" ref="BX94" ca="1">SUM( ($F$7:$F$25=$Q95) * ($F$6:$F$24=BX$92) )</f>
        <v>0</v>
      </c>
      <c r="BY94" s="868" cm="1">
        <f t="array" aca="1" ref="BY94" ca="1">SUM( ($F$7:$F$25=$Q95) * ($F$6:$F$24=BY$92) )</f>
        <v>0</v>
      </c>
      <c r="BZ94" s="868" cm="1">
        <f t="array" aca="1" ref="BZ94" ca="1">SUM( ($F$7:$F$25=$Q95) * ($F$6:$F$24=BZ$92) )</f>
        <v>2</v>
      </c>
      <c r="CA94" s="868" cm="1">
        <f t="array" aca="1" ref="CA94" ca="1">SUM( ($F$7:$F$25=$Q95) * ($F$6:$F$24=CA$92) )</f>
        <v>0</v>
      </c>
      <c r="CB94" s="868" cm="1">
        <f t="array" aca="1" ref="CB94" ca="1">SUM( ($F$7:$F$25=$Q95) * ($F$6:$F$24=CB$92) )</f>
        <v>0</v>
      </c>
      <c r="CC94" s="868" cm="1">
        <f t="array" aca="1" ref="CC94" ca="1">SUM( ($F$7:$F$25=$Q95) * ($F$6:$F$24=CC$92) )</f>
        <v>0</v>
      </c>
      <c r="CD94" s="1213" cm="1">
        <f t="array" aca="1" ref="CD94" ca="1">SUM( ($F$7:$F$25=$Q95) * ($F$6:$F$24=CD$92) )</f>
        <v>0</v>
      </c>
      <c r="CG94" s="1194" cm="1">
        <f t="array" aca="1" ref="CG94" ca="1">IFERROR(INDEX($CJ94:$CR94,
       MATCH(TRUE,
             (($CI94=CH$88)*
              (_xlfn.ANCHORARRAY($CJ$92)=$CH$89)*
              ($CJ94:$CR94&gt;0))&gt;0,
       0)),0)</f>
        <v>0</v>
      </c>
      <c r="CH94" s="1290">
        <f t="shared" ca="1" si="98"/>
        <v>3</v>
      </c>
      <c r="CI94" s="1219" t="str">
        <f ca="1"/>
        <v>ZD</v>
      </c>
      <c r="CJ94" s="1227">
        <f t="shared" ca="1" si="99"/>
        <v>0.33333333333333331</v>
      </c>
      <c r="CK94" s="1228">
        <f t="shared" ca="1" si="100"/>
        <v>0</v>
      </c>
      <c r="CL94" s="1228">
        <f t="shared" ca="1" si="101"/>
        <v>0</v>
      </c>
      <c r="CM94" s="1228">
        <f t="shared" ca="1" si="102"/>
        <v>0</v>
      </c>
      <c r="CN94" s="1228">
        <f t="shared" ca="1" si="103"/>
        <v>0.66666666666666663</v>
      </c>
      <c r="CO94" s="1228">
        <f t="shared" ca="1" si="104"/>
        <v>0</v>
      </c>
      <c r="CP94" s="1228">
        <f t="shared" ca="1" si="105"/>
        <v>0</v>
      </c>
      <c r="CQ94" s="1228">
        <f t="shared" ca="1" si="106"/>
        <v>0</v>
      </c>
      <c r="CR94" s="1229">
        <f t="shared" ca="1" si="107"/>
        <v>0</v>
      </c>
    </row>
    <row r="95" spans="2:96" x14ac:dyDescent="0.3">
      <c r="B95" s="89" vm="360">
        <f ca="1"/>
        <v>45852</v>
      </c>
      <c r="C95" s="89" vm="361">
        <f ca="1"/>
        <v>225.69</v>
      </c>
      <c r="D95" s="1210">
        <f t="shared" ca="1" si="51"/>
        <v>2.9775131099457268E-3</v>
      </c>
      <c r="E95" s="294" t="str" cm="1">
        <f t="array" aca="1" ref="E95" ca="1">_xlfn.IFS(D95&gt;ZPercent,"U",D95&lt;=-ZPercent,"D",TRUE,"Z")</f>
        <v>Z</v>
      </c>
      <c r="F95" s="294" t="str">
        <f t="shared" ca="1" si="54"/>
        <v>UZ</v>
      </c>
      <c r="G95" s="294" t="str">
        <f t="shared" ca="1" si="55"/>
        <v>ZUZ</v>
      </c>
      <c r="H95" s="868" t="str">
        <f t="shared" ca="1" si="56"/>
        <v/>
      </c>
      <c r="J95" s="89" vm="362">
        <f ca="1"/>
        <v>45791</v>
      </c>
      <c r="K95" s="89" vm="363">
        <f ca="1"/>
        <v>210.25</v>
      </c>
      <c r="N95" s="868" t="str">
        <f ca="1">IF(F95=[2]Sheet1!O93,"","dif")</f>
        <v>dif</v>
      </c>
      <c r="Q95" s="1219" t="str">
        <f ca="1"/>
        <v>ZD</v>
      </c>
      <c r="R95" s="1212" cm="1">
        <f t="array" aca="1" ref="R95" ca="1">SUM( ($F$7:$F$212=$Q95) * ($F$6:$F$211=R$93) )</f>
        <v>8</v>
      </c>
      <c r="S95" s="868" cm="1">
        <f t="array" aca="1" ref="S95" ca="1">SUM( ($F$7:$F$212=$Q95) * ($F$6:$F$211=S$93) )</f>
        <v>0</v>
      </c>
      <c r="T95" s="868" cm="1">
        <f t="array" aca="1" ref="T95" ca="1">SUM( ($F$7:$F$212=$Q95) * ($F$6:$F$211=T$93) )</f>
        <v>0</v>
      </c>
      <c r="U95" s="868" cm="1">
        <f t="array" aca="1" ref="U95" ca="1">SUM( ($F$7:$F$212=$Q95) * ($F$6:$F$211=U$93) )</f>
        <v>0</v>
      </c>
      <c r="V95" s="868" cm="1">
        <f t="array" aca="1" ref="V95" ca="1">SUM( ($F$7:$F$212=$Q95) * ($F$6:$F$211=V$93) )</f>
        <v>9</v>
      </c>
      <c r="W95" s="868" cm="1">
        <f t="array" aca="1" ref="W95" ca="1">SUM( ($F$7:$F$212=$Q95) * ($F$6:$F$211=W$93) )</f>
        <v>3</v>
      </c>
      <c r="X95" s="868" cm="1">
        <f t="array" aca="1" ref="X95" ca="1">SUM( ($F$7:$F$212=$Q95) * ($F$6:$F$211=X$93) )</f>
        <v>0</v>
      </c>
      <c r="Y95" s="868" cm="1">
        <f t="array" aca="1" ref="Y95" ca="1">SUM( ($F$7:$F$212=$Q95) * ($F$6:$F$211=Y$93) )</f>
        <v>0</v>
      </c>
      <c r="Z95" s="1213" cm="1">
        <f t="array" aca="1" ref="Z95" ca="1">SUM( ($F$7:$F$212=$Q95) * ($F$6:$F$211=Z$93) )</f>
        <v>0</v>
      </c>
      <c r="AB95" s="1194" cm="1">
        <f t="array" aca="1" ref="AB95" ca="1">IFERROR(INDEX($AE95:$AM95,
       MATCH(TRUE,
             (($AD95=Y$87)*
              ($AE$92:$AM$92=$Y$88)*
              ($AE95:$AM95&gt;0))&gt;0,
       0)),0)</f>
        <v>0</v>
      </c>
      <c r="AC95" s="1290">
        <f t="shared" ca="1" si="74"/>
        <v>19</v>
      </c>
      <c r="AD95" s="1219" t="str">
        <f t="shared" ca="1" si="75"/>
        <v>UZ</v>
      </c>
      <c r="AE95" s="1227">
        <f t="shared" ca="1" si="76"/>
        <v>0</v>
      </c>
      <c r="AF95" s="1228">
        <f t="shared" ca="1" si="77"/>
        <v>0.36842105263157893</v>
      </c>
      <c r="AG95" s="1228">
        <f t="shared" ca="1" si="78"/>
        <v>0</v>
      </c>
      <c r="AH95" s="1228">
        <f t="shared" ca="1" si="79"/>
        <v>0</v>
      </c>
      <c r="AI95" s="1228">
        <f t="shared" ca="1" si="80"/>
        <v>0</v>
      </c>
      <c r="AJ95" s="1228">
        <f t="shared" ca="1" si="81"/>
        <v>0</v>
      </c>
      <c r="AK95" s="1228">
        <f t="shared" ca="1" si="82"/>
        <v>0</v>
      </c>
      <c r="AL95" s="1228">
        <f t="shared" ca="1" si="83"/>
        <v>0.42105263157894735</v>
      </c>
      <c r="AM95" s="1229">
        <f t="shared" ca="1" si="84"/>
        <v>0.21052631578947367</v>
      </c>
      <c r="AP95" s="1290"/>
      <c r="AQ95" s="1234" t="str">
        <f t="shared" ca="1" si="85"/>
        <v>UZ</v>
      </c>
      <c r="AR95" s="1227">
        <f t="shared" ca="1" si="108"/>
        <v>0</v>
      </c>
      <c r="AS95" s="1228">
        <f t="shared" ca="1" si="86"/>
        <v>0.2961538461538461</v>
      </c>
      <c r="AT95" s="1228">
        <f t="shared" ca="1" si="87"/>
        <v>0</v>
      </c>
      <c r="AU95" s="1228">
        <f t="shared" ca="1" si="88"/>
        <v>0</v>
      </c>
      <c r="AV95" s="1228">
        <f t="shared" ca="1" si="89"/>
        <v>0</v>
      </c>
      <c r="AW95" s="1228">
        <f t="shared" ca="1" si="90"/>
        <v>0</v>
      </c>
      <c r="AX95" s="1228">
        <f t="shared" ca="1" si="91"/>
        <v>0</v>
      </c>
      <c r="AY95" s="1228">
        <f t="shared" ca="1" si="92"/>
        <v>0.36514522821576767</v>
      </c>
      <c r="AZ95" s="1229">
        <f t="shared" ca="1" si="93"/>
        <v>0.34920634920634919</v>
      </c>
      <c r="BC95" s="868" t="str">
        <f t="shared" ca="1" si="94"/>
        <v>UZ</v>
      </c>
      <c r="BD95" s="1227">
        <f ca="1"/>
        <v>0</v>
      </c>
      <c r="BE95" s="1228">
        <f ca="1"/>
        <v>0.3580679107311559</v>
      </c>
      <c r="BF95" s="1228">
        <f ca="1"/>
        <v>0</v>
      </c>
      <c r="BG95" s="1228">
        <f ca="1"/>
        <v>0.4290545047554038</v>
      </c>
      <c r="BH95" s="1228">
        <f ca="1"/>
        <v>0</v>
      </c>
      <c r="BI95" s="1228">
        <f ca="1"/>
        <v>0</v>
      </c>
      <c r="BJ95" s="1228">
        <f ca="1"/>
        <v>0.40700219611656352</v>
      </c>
      <c r="BK95" s="1228">
        <f ca="1"/>
        <v>0</v>
      </c>
      <c r="BL95" s="1229">
        <f ca="1"/>
        <v>0</v>
      </c>
      <c r="BM95" s="882">
        <f t="shared" ca="1" si="95"/>
        <v>1.1941246116031232</v>
      </c>
      <c r="BN95" s="1412" t="str">
        <f t="shared" ca="1" si="96"/>
        <v/>
      </c>
      <c r="BO95" s="1416">
        <f t="shared" ca="1" si="97"/>
        <v>0</v>
      </c>
      <c r="BT95" s="1290">
        <f t="shared" ca="1" si="109"/>
        <v>2</v>
      </c>
      <c r="BU95" s="1219" t="str">
        <f ca="1"/>
        <v>UZ</v>
      </c>
      <c r="BV95" s="1212" cm="1">
        <f t="array" aca="1" ref="BV95" ca="1">SUM( ($F$7:$F$25=$Q96) * ($F$6:$F$24=BV$92) )</f>
        <v>0</v>
      </c>
      <c r="BW95" s="868" cm="1">
        <f t="array" aca="1" ref="BW95" ca="1">SUM( ($F$7:$F$25=$Q96) * ($F$6:$F$24=BW$92) )</f>
        <v>2</v>
      </c>
      <c r="BX95" s="868" cm="1">
        <f t="array" aca="1" ref="BX95" ca="1">SUM( ($F$7:$F$25=$Q96) * ($F$6:$F$24=BX$92) )</f>
        <v>0</v>
      </c>
      <c r="BY95" s="868" cm="1">
        <f t="array" aca="1" ref="BY95" ca="1">SUM( ($F$7:$F$25=$Q96) * ($F$6:$F$24=BY$92) )</f>
        <v>0</v>
      </c>
      <c r="BZ95" s="868" cm="1">
        <f t="array" aca="1" ref="BZ95" ca="1">SUM( ($F$7:$F$25=$Q96) * ($F$6:$F$24=BZ$92) )</f>
        <v>0</v>
      </c>
      <c r="CA95" s="868" cm="1">
        <f t="array" aca="1" ref="CA95" ca="1">SUM( ($F$7:$F$25=$Q96) * ($F$6:$F$24=CA$92) )</f>
        <v>0</v>
      </c>
      <c r="CB95" s="868" cm="1">
        <f t="array" aca="1" ref="CB95" ca="1">SUM( ($F$7:$F$25=$Q96) * ($F$6:$F$24=CB$92) )</f>
        <v>0</v>
      </c>
      <c r="CC95" s="868" cm="1">
        <f t="array" aca="1" ref="CC95" ca="1">SUM( ($F$7:$F$25=$Q96) * ($F$6:$F$24=CC$92) )</f>
        <v>0</v>
      </c>
      <c r="CD95" s="1213" cm="1">
        <f t="array" aca="1" ref="CD95" ca="1">SUM( ($F$7:$F$25=$Q96) * ($F$6:$F$24=CD$92) )</f>
        <v>0</v>
      </c>
      <c r="CG95" s="1194" cm="1">
        <f t="array" aca="1" ref="CG95" ca="1">IFERROR(INDEX($CJ95:$CR95,
       MATCH(TRUE,
             (($CI95=CH$88)*
              (_xlfn.ANCHORARRAY($CJ$92)=$CH$89)*
              ($CJ95:$CR95&gt;0))&gt;0,
       0)),0)</f>
        <v>0</v>
      </c>
      <c r="CH95" s="1290">
        <f t="shared" ca="1" si="98"/>
        <v>2</v>
      </c>
      <c r="CI95" s="1219" t="str">
        <f ca="1"/>
        <v>UZ</v>
      </c>
      <c r="CJ95" s="1227">
        <f t="shared" ca="1" si="99"/>
        <v>0</v>
      </c>
      <c r="CK95" s="1228">
        <f t="shared" ca="1" si="100"/>
        <v>1</v>
      </c>
      <c r="CL95" s="1228">
        <f t="shared" ca="1" si="101"/>
        <v>0</v>
      </c>
      <c r="CM95" s="1228">
        <f t="shared" ca="1" si="102"/>
        <v>0</v>
      </c>
      <c r="CN95" s="1228">
        <f t="shared" ca="1" si="103"/>
        <v>0</v>
      </c>
      <c r="CO95" s="1228">
        <f t="shared" ca="1" si="104"/>
        <v>0</v>
      </c>
      <c r="CP95" s="1228">
        <f t="shared" ca="1" si="105"/>
        <v>0</v>
      </c>
      <c r="CQ95" s="1228">
        <f t="shared" ca="1" si="106"/>
        <v>0</v>
      </c>
      <c r="CR95" s="1229">
        <f t="shared" ca="1" si="107"/>
        <v>0</v>
      </c>
    </row>
    <row r="96" spans="2:96" x14ac:dyDescent="0.3">
      <c r="B96" s="89" vm="364">
        <f ca="1"/>
        <v>45849</v>
      </c>
      <c r="C96" s="89" vm="365">
        <f ca="1"/>
        <v>225.02</v>
      </c>
      <c r="D96" s="1210">
        <f t="shared" ca="1" si="51"/>
        <v>1.2417888958877079E-2</v>
      </c>
      <c r="E96" s="294" t="str" cm="1">
        <f t="array" aca="1" ref="E96" ca="1">_xlfn.IFS(D96&gt;ZPercent,"U",D96&lt;=-ZPercent,"D",TRUE,"Z")</f>
        <v>U</v>
      </c>
      <c r="F96" s="294" t="str">
        <f t="shared" ca="1" si="54"/>
        <v>ZU</v>
      </c>
      <c r="G96" s="294" t="str">
        <f t="shared" ca="1" si="55"/>
        <v>UZU</v>
      </c>
      <c r="H96" s="868" t="str">
        <f t="shared" ca="1" si="56"/>
        <v/>
      </c>
      <c r="J96" s="89" vm="366">
        <f ca="1"/>
        <v>45792</v>
      </c>
      <c r="K96" s="89" vm="367">
        <f ca="1"/>
        <v>205.17</v>
      </c>
      <c r="N96" s="868" t="str">
        <f ca="1">IF(F96=[2]Sheet1!O94,"","dif")</f>
        <v>dif</v>
      </c>
      <c r="Q96" s="1219" t="str">
        <f ca="1"/>
        <v>UZ</v>
      </c>
      <c r="R96" s="1212" cm="1">
        <f t="array" aca="1" ref="R96" ca="1">SUM( ($F$7:$F$212=$Q96) * ($F$6:$F$211=R$93) )</f>
        <v>0</v>
      </c>
      <c r="S96" s="868" cm="1">
        <f t="array" aca="1" ref="S96" ca="1">SUM( ($F$7:$F$212=$Q96) * ($F$6:$F$211=S$93) )</f>
        <v>7</v>
      </c>
      <c r="T96" s="868" cm="1">
        <f t="array" aca="1" ref="T96" ca="1">SUM( ($F$7:$F$212=$Q96) * ($F$6:$F$211=T$93) )</f>
        <v>0</v>
      </c>
      <c r="U96" s="868" cm="1">
        <f t="array" aca="1" ref="U96" ca="1">SUM( ($F$7:$F$212=$Q96) * ($F$6:$F$211=U$93) )</f>
        <v>0</v>
      </c>
      <c r="V96" s="868" cm="1">
        <f t="array" aca="1" ref="V96" ca="1">SUM( ($F$7:$F$212=$Q96) * ($F$6:$F$211=V$93) )</f>
        <v>0</v>
      </c>
      <c r="W96" s="868" cm="1">
        <f t="array" aca="1" ref="W96" ca="1">SUM( ($F$7:$F$212=$Q96) * ($F$6:$F$211=W$93) )</f>
        <v>0</v>
      </c>
      <c r="X96" s="868" cm="1">
        <f t="array" aca="1" ref="X96" ca="1">SUM( ($F$7:$F$212=$Q96) * ($F$6:$F$211=X$93) )</f>
        <v>0</v>
      </c>
      <c r="Y96" s="868" cm="1">
        <f t="array" aca="1" ref="Y96" ca="1">SUM( ($F$7:$F$212=$Q96) * ($F$6:$F$211=Y$93) )</f>
        <v>8</v>
      </c>
      <c r="Z96" s="1213" cm="1">
        <f t="array" aca="1" ref="Z96" ca="1">SUM( ($F$7:$F$212=$Q96) * ($F$6:$F$211=Z$93) )</f>
        <v>4</v>
      </c>
      <c r="AB96" s="1194" cm="1">
        <f t="array" aca="1" ref="AB96" ca="1">IFERROR(INDEX($AE96:$AM96,
       MATCH(TRUE,
             (($AD96=Y$87)*
              ($AE$92:$AM$92=$Y$88)*
              ($AE96:$AM96&gt;0))&gt;0,
       0)),0)</f>
        <v>0</v>
      </c>
      <c r="AC96" s="1290">
        <f t="shared" ca="1" si="74"/>
        <v>26</v>
      </c>
      <c r="AD96" s="1219" t="str">
        <f t="shared" ca="1" si="75"/>
        <v>UU</v>
      </c>
      <c r="AE96" s="1227">
        <f t="shared" ca="1" si="76"/>
        <v>0</v>
      </c>
      <c r="AF96" s="1228">
        <f t="shared" ca="1" si="77"/>
        <v>0</v>
      </c>
      <c r="AG96" s="1228">
        <f t="shared" ca="1" si="78"/>
        <v>0.19230769230769232</v>
      </c>
      <c r="AH96" s="1228">
        <f t="shared" ca="1" si="79"/>
        <v>0.30769230769230771</v>
      </c>
      <c r="AI96" s="1228">
        <f t="shared" ca="1" si="80"/>
        <v>0</v>
      </c>
      <c r="AJ96" s="1228">
        <f t="shared" ca="1" si="81"/>
        <v>0</v>
      </c>
      <c r="AK96" s="1228">
        <f t="shared" ca="1" si="82"/>
        <v>0.5</v>
      </c>
      <c r="AL96" s="1228">
        <f t="shared" ca="1" si="83"/>
        <v>0</v>
      </c>
      <c r="AM96" s="1229">
        <f t="shared" ca="1" si="84"/>
        <v>0</v>
      </c>
      <c r="AP96" s="1290"/>
      <c r="AQ96" s="1234" t="str">
        <f t="shared" ca="1" si="85"/>
        <v>UU</v>
      </c>
      <c r="AR96" s="1227">
        <f t="shared" ca="1" si="108"/>
        <v>0</v>
      </c>
      <c r="AS96" s="1228">
        <f t="shared" ca="1" si="86"/>
        <v>0</v>
      </c>
      <c r="AT96" s="1228">
        <f t="shared" ca="1" si="87"/>
        <v>0.25367156208277708</v>
      </c>
      <c r="AU96" s="1228">
        <f t="shared" ca="1" si="88"/>
        <v>0.30816016218955905</v>
      </c>
      <c r="AV96" s="1228">
        <f t="shared" ca="1" si="89"/>
        <v>0</v>
      </c>
      <c r="AW96" s="1228">
        <f t="shared" ca="1" si="90"/>
        <v>0</v>
      </c>
      <c r="AX96" s="1228">
        <f t="shared" ca="1" si="91"/>
        <v>0.40211640211640209</v>
      </c>
      <c r="AY96" s="1228">
        <f t="shared" ca="1" si="92"/>
        <v>0</v>
      </c>
      <c r="AZ96" s="1229">
        <f t="shared" ca="1" si="93"/>
        <v>0</v>
      </c>
      <c r="BC96" s="868" t="str">
        <f t="shared" ca="1" si="94"/>
        <v>UU</v>
      </c>
      <c r="BD96" s="1227">
        <f ca="1"/>
        <v>0</v>
      </c>
      <c r="BE96" s="1228">
        <f ca="1"/>
        <v>0</v>
      </c>
      <c r="BF96" s="1228">
        <f ca="1"/>
        <v>0.26373529459841971</v>
      </c>
      <c r="BG96" s="1228">
        <f ca="1"/>
        <v>0</v>
      </c>
      <c r="BH96" s="1228">
        <f ca="1"/>
        <v>0</v>
      </c>
      <c r="BI96" s="1228">
        <f ca="1"/>
        <v>0</v>
      </c>
      <c r="BJ96" s="1228">
        <f ca="1"/>
        <v>0</v>
      </c>
      <c r="BK96" s="1228">
        <f ca="1"/>
        <v>0.40651421519224162</v>
      </c>
      <c r="BL96" s="1229">
        <f ca="1"/>
        <v>0.30769230769230771</v>
      </c>
      <c r="BM96" s="882">
        <f t="shared" ca="1" si="95"/>
        <v>0.97794181748296904</v>
      </c>
      <c r="BN96" s="1412" t="str">
        <f t="shared" ca="1" si="96"/>
        <v/>
      </c>
      <c r="BO96" s="1416">
        <f t="shared" ca="1" si="97"/>
        <v>0</v>
      </c>
      <c r="BT96" s="1290">
        <f t="shared" ca="1" si="109"/>
        <v>6</v>
      </c>
      <c r="BU96" s="1219" t="str">
        <f ca="1"/>
        <v>UU</v>
      </c>
      <c r="BV96" s="1212" cm="1">
        <f t="array" aca="1" ref="BV96" ca="1">SUM( ($F$7:$F$25=$Q97) * ($F$6:$F$24=BV$92) )</f>
        <v>0</v>
      </c>
      <c r="BW96" s="868" cm="1">
        <f t="array" aca="1" ref="BW96" ca="1">SUM( ($F$7:$F$25=$Q97) * ($F$6:$F$24=BW$92) )</f>
        <v>0</v>
      </c>
      <c r="BX96" s="868" cm="1">
        <f t="array" aca="1" ref="BX96" ca="1">SUM( ($F$7:$F$25=$Q97) * ($F$6:$F$24=BX$92) )</f>
        <v>2</v>
      </c>
      <c r="BY96" s="868" cm="1">
        <f t="array" aca="1" ref="BY96" ca="1">SUM( ($F$7:$F$25=$Q97) * ($F$6:$F$24=BY$92) )</f>
        <v>2</v>
      </c>
      <c r="BZ96" s="868" cm="1">
        <f t="array" aca="1" ref="BZ96" ca="1">SUM( ($F$7:$F$25=$Q97) * ($F$6:$F$24=BZ$92) )</f>
        <v>0</v>
      </c>
      <c r="CA96" s="868" cm="1">
        <f t="array" aca="1" ref="CA96" ca="1">SUM( ($F$7:$F$25=$Q97) * ($F$6:$F$24=CA$92) )</f>
        <v>0</v>
      </c>
      <c r="CB96" s="868" cm="1">
        <f t="array" aca="1" ref="CB96" ca="1">SUM( ($F$7:$F$25=$Q97) * ($F$6:$F$24=CB$92) )</f>
        <v>2</v>
      </c>
      <c r="CC96" s="868" cm="1">
        <f t="array" aca="1" ref="CC96" ca="1">SUM( ($F$7:$F$25=$Q97) * ($F$6:$F$24=CC$92) )</f>
        <v>0</v>
      </c>
      <c r="CD96" s="1213" cm="1">
        <f t="array" aca="1" ref="CD96" ca="1">SUM( ($F$7:$F$25=$Q97) * ($F$6:$F$24=CD$92) )</f>
        <v>0</v>
      </c>
      <c r="CG96" s="1194" cm="1">
        <f t="array" aca="1" ref="CG96" ca="1">IFERROR(INDEX($CJ96:$CR96,
       MATCH(TRUE,
             (($CI96=CH$88)*
              (_xlfn.ANCHORARRAY($CJ$92)=$CH$89)*
              ($CJ96:$CR96&gt;0))&gt;0,
       0)),0)</f>
        <v>0</v>
      </c>
      <c r="CH96" s="1290">
        <f t="shared" ca="1" si="98"/>
        <v>6</v>
      </c>
      <c r="CI96" s="1219" t="str">
        <f ca="1"/>
        <v>UU</v>
      </c>
      <c r="CJ96" s="1227">
        <f t="shared" ca="1" si="99"/>
        <v>0</v>
      </c>
      <c r="CK96" s="1228">
        <f t="shared" ca="1" si="100"/>
        <v>0</v>
      </c>
      <c r="CL96" s="1228">
        <f t="shared" ca="1" si="101"/>
        <v>0.33333333333333331</v>
      </c>
      <c r="CM96" s="1228">
        <f t="shared" ca="1" si="102"/>
        <v>0.33333333333333331</v>
      </c>
      <c r="CN96" s="1228">
        <f t="shared" ca="1" si="103"/>
        <v>0</v>
      </c>
      <c r="CO96" s="1228">
        <f t="shared" ca="1" si="104"/>
        <v>0</v>
      </c>
      <c r="CP96" s="1228">
        <f t="shared" ca="1" si="105"/>
        <v>0.33333333333333331</v>
      </c>
      <c r="CQ96" s="1228">
        <f t="shared" ca="1" si="106"/>
        <v>0</v>
      </c>
      <c r="CR96" s="1229">
        <f t="shared" ca="1" si="107"/>
        <v>0</v>
      </c>
    </row>
    <row r="97" spans="2:98" x14ac:dyDescent="0.3">
      <c r="B97" s="89" vm="368">
        <f ca="1"/>
        <v>45848</v>
      </c>
      <c r="C97" s="89" vm="369">
        <f ca="1"/>
        <v>222.26</v>
      </c>
      <c r="D97" s="1210">
        <f t="shared" ca="1" si="51"/>
        <v>-1.2582007728947657E-3</v>
      </c>
      <c r="E97" s="294" t="str" cm="1">
        <f t="array" aca="1" ref="E97" ca="1">_xlfn.IFS(D97&gt;ZPercent,"U",D97&lt;=-ZPercent,"D",TRUE,"Z")</f>
        <v>Z</v>
      </c>
      <c r="F97" s="294" t="str">
        <f t="shared" ca="1" si="54"/>
        <v>UZ</v>
      </c>
      <c r="G97" s="294" t="str">
        <f t="shared" ca="1" si="55"/>
        <v>DUZ</v>
      </c>
      <c r="H97" s="868" t="str">
        <f t="shared" ca="1" si="56"/>
        <v/>
      </c>
      <c r="J97" s="89" vm="370">
        <f ca="1"/>
        <v>45793</v>
      </c>
      <c r="K97" s="89" vm="371">
        <f ca="1"/>
        <v>205.59</v>
      </c>
      <c r="N97" s="868" t="str">
        <f ca="1">IF(F97=[2]Sheet1!O95,"","dif")</f>
        <v>dif</v>
      </c>
      <c r="Q97" s="1219" t="str">
        <f ca="1"/>
        <v>UU</v>
      </c>
      <c r="R97" s="1212" cm="1">
        <f t="array" aca="1" ref="R97" ca="1">SUM( ($F$7:$F$212=$Q97) * ($F$6:$F$211=R$93) )</f>
        <v>0</v>
      </c>
      <c r="S97" s="868" cm="1">
        <f t="array" aca="1" ref="S97" ca="1">SUM( ($F$7:$F$212=$Q97) * ($F$6:$F$211=S$93) )</f>
        <v>0</v>
      </c>
      <c r="T97" s="868" cm="1">
        <f t="array" aca="1" ref="T97" ca="1">SUM( ($F$7:$F$212=$Q97) * ($F$6:$F$211=T$93) )</f>
        <v>5</v>
      </c>
      <c r="U97" s="868" cm="1">
        <f t="array" aca="1" ref="U97" ca="1">SUM( ($F$7:$F$212=$Q97) * ($F$6:$F$211=U$93) )</f>
        <v>8</v>
      </c>
      <c r="V97" s="868" cm="1">
        <f t="array" aca="1" ref="V97" ca="1">SUM( ($F$7:$F$212=$Q97) * ($F$6:$F$211=V$93) )</f>
        <v>0</v>
      </c>
      <c r="W97" s="868" cm="1">
        <f t="array" aca="1" ref="W97" ca="1">SUM( ($F$7:$F$212=$Q97) * ($F$6:$F$211=W$93) )</f>
        <v>0</v>
      </c>
      <c r="X97" s="868" cm="1">
        <f t="array" aca="1" ref="X97" ca="1">SUM( ($F$7:$F$212=$Q97) * ($F$6:$F$211=X$93) )</f>
        <v>13</v>
      </c>
      <c r="Y97" s="868" cm="1">
        <f t="array" aca="1" ref="Y97" ca="1">SUM( ($F$7:$F$212=$Q97) * ($F$6:$F$211=Y$93) )</f>
        <v>0</v>
      </c>
      <c r="Z97" s="1213" cm="1">
        <f t="array" aca="1" ref="Z97" ca="1">SUM( ($F$7:$F$212=$Q97) * ($F$6:$F$211=Z$93) )</f>
        <v>0</v>
      </c>
      <c r="AB97" s="1194" cm="1">
        <f t="array" aca="1" ref="AB97" ca="1">IFERROR(INDEX($AE97:$AM97,
       MATCH(TRUE,
             (($AD97=Y$87)*
              ($AE$92:$AM$92=$Y$88)*
              ($AE97:$AM97&gt;0))&gt;0,
       0)),0)</f>
        <v>0</v>
      </c>
      <c r="AC97" s="1290">
        <f t="shared" ca="1" si="74"/>
        <v>32</v>
      </c>
      <c r="AD97" s="1219" t="str">
        <f t="shared" ca="1" si="75"/>
        <v>DU</v>
      </c>
      <c r="AE97" s="1227">
        <f t="shared" ca="1" si="76"/>
        <v>0</v>
      </c>
      <c r="AF97" s="1228">
        <f t="shared" ca="1" si="77"/>
        <v>0</v>
      </c>
      <c r="AG97" s="1228">
        <f t="shared" ca="1" si="78"/>
        <v>0.25</v>
      </c>
      <c r="AH97" s="1228">
        <f t="shared" ca="1" si="79"/>
        <v>0.375</v>
      </c>
      <c r="AI97" s="1228">
        <f t="shared" ca="1" si="80"/>
        <v>0</v>
      </c>
      <c r="AJ97" s="1228">
        <f t="shared" ca="1" si="81"/>
        <v>0</v>
      </c>
      <c r="AK97" s="1228">
        <f t="shared" ca="1" si="82"/>
        <v>0.375</v>
      </c>
      <c r="AL97" s="1228">
        <f t="shared" ca="1" si="83"/>
        <v>0</v>
      </c>
      <c r="AM97" s="1229">
        <f t="shared" ca="1" si="84"/>
        <v>0</v>
      </c>
      <c r="AP97" s="1290"/>
      <c r="AQ97" s="1234" t="str">
        <f t="shared" ca="1" si="85"/>
        <v>DU</v>
      </c>
      <c r="AR97" s="1227">
        <f t="shared" ca="1" si="108"/>
        <v>0</v>
      </c>
      <c r="AS97" s="1228">
        <f t="shared" ca="1" si="86"/>
        <v>0</v>
      </c>
      <c r="AT97" s="1228">
        <f t="shared" ca="1" si="87"/>
        <v>0.32977303070761016</v>
      </c>
      <c r="AU97" s="1228">
        <f t="shared" ca="1" si="88"/>
        <v>0.37557019766852506</v>
      </c>
      <c r="AV97" s="1228">
        <f t="shared" ca="1" si="89"/>
        <v>0</v>
      </c>
      <c r="AW97" s="1228">
        <f t="shared" ca="1" si="90"/>
        <v>0</v>
      </c>
      <c r="AX97" s="1228">
        <f t="shared" ca="1" si="91"/>
        <v>0.30158730158730157</v>
      </c>
      <c r="AY97" s="1228">
        <f t="shared" ca="1" si="92"/>
        <v>0</v>
      </c>
      <c r="AZ97" s="1229">
        <f t="shared" ca="1" si="93"/>
        <v>0</v>
      </c>
      <c r="BC97" s="868" t="str">
        <f t="shared" ca="1" si="94"/>
        <v>DU</v>
      </c>
      <c r="BD97" s="1227">
        <f ca="1"/>
        <v>0</v>
      </c>
      <c r="BE97" s="1228">
        <f ca="1"/>
        <v>0</v>
      </c>
      <c r="BF97" s="1228">
        <f ca="1"/>
        <v>0.4263647103054608</v>
      </c>
      <c r="BG97" s="1228">
        <f ca="1"/>
        <v>0</v>
      </c>
      <c r="BH97" s="1228">
        <f ca="1"/>
        <v>0</v>
      </c>
      <c r="BI97" s="1228">
        <f ca="1"/>
        <v>0</v>
      </c>
      <c r="BJ97" s="1228">
        <f ca="1"/>
        <v>0</v>
      </c>
      <c r="BK97" s="1228">
        <f ca="1"/>
        <v>0.3791461460936365</v>
      </c>
      <c r="BL97" s="1229">
        <f ca="1"/>
        <v>0.46633811552486215</v>
      </c>
      <c r="BM97" s="882">
        <f t="shared" ca="1" si="95"/>
        <v>1.2718489719239594</v>
      </c>
      <c r="BN97" s="1412" t="str">
        <f t="shared" ca="1" si="96"/>
        <v/>
      </c>
      <c r="BO97" s="1416">
        <f t="shared" ca="1" si="97"/>
        <v>0</v>
      </c>
      <c r="BT97" s="1290">
        <f t="shared" ca="1" si="109"/>
        <v>3</v>
      </c>
      <c r="BU97" s="1219" t="str">
        <f ca="1"/>
        <v>DU</v>
      </c>
      <c r="BV97" s="1212" cm="1">
        <f t="array" aca="1" ref="BV97" ca="1">SUM( ($F$7:$F$25=$Q98) * ($F$6:$F$24=BV$92) )</f>
        <v>0</v>
      </c>
      <c r="BW97" s="868" cm="1">
        <f t="array" aca="1" ref="BW97" ca="1">SUM( ($F$7:$F$25=$Q98) * ($F$6:$F$24=BW$92) )</f>
        <v>0</v>
      </c>
      <c r="BX97" s="868" cm="1">
        <f t="array" aca="1" ref="BX97" ca="1">SUM( ($F$7:$F$25=$Q98) * ($F$6:$F$24=BX$92) )</f>
        <v>0</v>
      </c>
      <c r="BY97" s="868" cm="1">
        <f t="array" aca="1" ref="BY97" ca="1">SUM( ($F$7:$F$25=$Q98) * ($F$6:$F$24=BY$92) )</f>
        <v>3</v>
      </c>
      <c r="BZ97" s="868" cm="1">
        <f t="array" aca="1" ref="BZ97" ca="1">SUM( ($F$7:$F$25=$Q98) * ($F$6:$F$24=BZ$92) )</f>
        <v>0</v>
      </c>
      <c r="CA97" s="868" cm="1">
        <f t="array" aca="1" ref="CA97" ca="1">SUM( ($F$7:$F$25=$Q98) * ($F$6:$F$24=CA$92) )</f>
        <v>0</v>
      </c>
      <c r="CB97" s="868" cm="1">
        <f t="array" aca="1" ref="CB97" ca="1">SUM( ($F$7:$F$25=$Q98) * ($F$6:$F$24=CB$92) )</f>
        <v>0</v>
      </c>
      <c r="CC97" s="868" cm="1">
        <f t="array" aca="1" ref="CC97" ca="1">SUM( ($F$7:$F$25=$Q98) * ($F$6:$F$24=CC$92) )</f>
        <v>0</v>
      </c>
      <c r="CD97" s="1213" cm="1">
        <f t="array" aca="1" ref="CD97" ca="1">SUM( ($F$7:$F$25=$Q98) * ($F$6:$F$24=CD$92) )</f>
        <v>0</v>
      </c>
      <c r="CG97" s="1194" cm="1">
        <f t="array" aca="1" ref="CG97" ca="1">IFERROR(INDEX($CJ97:$CR97,
       MATCH(TRUE,
             (($CI97=CH$88)*
              (_xlfn.ANCHORARRAY($CJ$92)=$CH$89)*
              ($CJ97:$CR97&gt;0))&gt;0,
       0)),0)</f>
        <v>0</v>
      </c>
      <c r="CH97" s="1290">
        <f t="shared" ca="1" si="98"/>
        <v>3</v>
      </c>
      <c r="CI97" s="1219" t="str">
        <f ca="1"/>
        <v>DU</v>
      </c>
      <c r="CJ97" s="1227">
        <f t="shared" ca="1" si="99"/>
        <v>0</v>
      </c>
      <c r="CK97" s="1228">
        <f t="shared" ca="1" si="100"/>
        <v>0</v>
      </c>
      <c r="CL97" s="1228">
        <f t="shared" ca="1" si="101"/>
        <v>0</v>
      </c>
      <c r="CM97" s="1228">
        <f t="shared" ca="1" si="102"/>
        <v>1</v>
      </c>
      <c r="CN97" s="1228">
        <f t="shared" ca="1" si="103"/>
        <v>0</v>
      </c>
      <c r="CO97" s="1228">
        <f t="shared" ca="1" si="104"/>
        <v>0</v>
      </c>
      <c r="CP97" s="1228">
        <f t="shared" ca="1" si="105"/>
        <v>0</v>
      </c>
      <c r="CQ97" s="1228">
        <f t="shared" ca="1" si="106"/>
        <v>0</v>
      </c>
      <c r="CR97" s="1229">
        <f t="shared" ca="1" si="107"/>
        <v>0</v>
      </c>
    </row>
    <row r="98" spans="2:98" x14ac:dyDescent="0.3">
      <c r="B98" s="89" vm="372">
        <f ca="1"/>
        <v>45847</v>
      </c>
      <c r="C98" s="89" vm="373">
        <f ca="1"/>
        <v>222.54</v>
      </c>
      <c r="D98" s="1210">
        <f t="shared" ca="1" si="51"/>
        <v>1.4496717724288741E-2</v>
      </c>
      <c r="E98" s="294" t="str" cm="1">
        <f t="array" aca="1" ref="E98" ca="1">_xlfn.IFS(D98&gt;ZPercent,"U",D98&lt;=-ZPercent,"D",TRUE,"Z")</f>
        <v>U</v>
      </c>
      <c r="F98" s="294" t="str">
        <f t="shared" ca="1" si="54"/>
        <v>DU</v>
      </c>
      <c r="G98" s="294" t="str">
        <f t="shared" ca="1" si="55"/>
        <v>ZDU</v>
      </c>
      <c r="H98" s="868" t="str">
        <f t="shared" ca="1" si="56"/>
        <v/>
      </c>
      <c r="J98" s="89" vm="374">
        <f ca="1"/>
        <v>45796</v>
      </c>
      <c r="K98" s="89" vm="375">
        <f ca="1"/>
        <v>206.16</v>
      </c>
      <c r="N98" s="868" t="str">
        <f ca="1">IF(F98=[2]Sheet1!O96,"","dif")</f>
        <v>dif</v>
      </c>
      <c r="Q98" s="1219" t="str">
        <f ca="1"/>
        <v>DU</v>
      </c>
      <c r="R98" s="1212" cm="1">
        <f t="array" aca="1" ref="R98" ca="1">SUM( ($F$7:$F$212=$Q98) * ($F$6:$F$211=R$93) )</f>
        <v>0</v>
      </c>
      <c r="S98" s="868" cm="1">
        <f t="array" aca="1" ref="S98" ca="1">SUM( ($F$7:$F$212=$Q98) * ($F$6:$F$211=S$93) )</f>
        <v>0</v>
      </c>
      <c r="T98" s="868" cm="1">
        <f t="array" aca="1" ref="T98" ca="1">SUM( ($F$7:$F$212=$Q98) * ($F$6:$F$211=T$93) )</f>
        <v>8</v>
      </c>
      <c r="U98" s="868" cm="1">
        <f t="array" aca="1" ref="U98" ca="1">SUM( ($F$7:$F$212=$Q98) * ($F$6:$F$211=U$93) )</f>
        <v>12</v>
      </c>
      <c r="V98" s="868" cm="1">
        <f t="array" aca="1" ref="V98" ca="1">SUM( ($F$7:$F$212=$Q98) * ($F$6:$F$211=V$93) )</f>
        <v>0</v>
      </c>
      <c r="W98" s="868" cm="1">
        <f t="array" aca="1" ref="W98" ca="1">SUM( ($F$7:$F$212=$Q98) * ($F$6:$F$211=W$93) )</f>
        <v>0</v>
      </c>
      <c r="X98" s="868" cm="1">
        <f t="array" aca="1" ref="X98" ca="1">SUM( ($F$7:$F$212=$Q98) * ($F$6:$F$211=X$93) )</f>
        <v>12</v>
      </c>
      <c r="Y98" s="868" cm="1">
        <f t="array" aca="1" ref="Y98" ca="1">SUM( ($F$7:$F$212=$Q98) * ($F$6:$F$211=Y$93) )</f>
        <v>0</v>
      </c>
      <c r="Z98" s="1213" cm="1">
        <f t="array" aca="1" ref="Z98" ca="1">SUM( ($F$7:$F$212=$Q98) * ($F$6:$F$211=Z$93) )</f>
        <v>0</v>
      </c>
      <c r="AB98" s="1194" cm="1">
        <f t="array" aca="1" ref="AB98" ca="1">IFERROR(INDEX($AE98:$AM98,
       MATCH(TRUE,
             (($AD98=Y$87)*
              ($AE$92:$AM$92=$Y$88)*
              ($AE98:$AM98&gt;0))&gt;0,
       0)),0)</f>
        <v>0</v>
      </c>
      <c r="AC98" s="1290">
        <f t="shared" ca="1" si="74"/>
        <v>19</v>
      </c>
      <c r="AD98" s="1219" t="str">
        <f t="shared" ca="1" si="75"/>
        <v>DZ</v>
      </c>
      <c r="AE98" s="1227">
        <f t="shared" ca="1" si="76"/>
        <v>0</v>
      </c>
      <c r="AF98" s="1228">
        <f t="shared" ca="1" si="77"/>
        <v>0.42105263157894735</v>
      </c>
      <c r="AG98" s="1228">
        <f t="shared" ca="1" si="78"/>
        <v>0</v>
      </c>
      <c r="AH98" s="1228">
        <f t="shared" ca="1" si="79"/>
        <v>0</v>
      </c>
      <c r="AI98" s="1228">
        <f t="shared" ca="1" si="80"/>
        <v>0</v>
      </c>
      <c r="AJ98" s="1228">
        <f t="shared" ca="1" si="81"/>
        <v>0</v>
      </c>
      <c r="AK98" s="1228">
        <f t="shared" ca="1" si="82"/>
        <v>0</v>
      </c>
      <c r="AL98" s="1228">
        <f t="shared" ca="1" si="83"/>
        <v>0.36842105263157893</v>
      </c>
      <c r="AM98" s="1229">
        <f t="shared" ca="1" si="84"/>
        <v>0.21052631578947367</v>
      </c>
      <c r="AP98" s="1290"/>
      <c r="AQ98" s="1234" t="str">
        <f t="shared" ca="1" si="85"/>
        <v>DZ</v>
      </c>
      <c r="AR98" s="1227">
        <f t="shared" ca="1" si="108"/>
        <v>0</v>
      </c>
      <c r="AS98" s="1228">
        <f t="shared" ca="1" si="86"/>
        <v>0.33846153846153842</v>
      </c>
      <c r="AT98" s="1228">
        <f t="shared" ca="1" si="87"/>
        <v>0</v>
      </c>
      <c r="AU98" s="1228">
        <f t="shared" ca="1" si="88"/>
        <v>0</v>
      </c>
      <c r="AV98" s="1228">
        <f t="shared" ca="1" si="89"/>
        <v>0</v>
      </c>
      <c r="AW98" s="1228">
        <f t="shared" ca="1" si="90"/>
        <v>0</v>
      </c>
      <c r="AX98" s="1228">
        <f t="shared" ca="1" si="91"/>
        <v>0</v>
      </c>
      <c r="AY98" s="1228">
        <f t="shared" ca="1" si="92"/>
        <v>0.31950207468879671</v>
      </c>
      <c r="AZ98" s="1229">
        <f t="shared" ca="1" si="93"/>
        <v>0.34920634920634919</v>
      </c>
      <c r="BC98" s="868" t="str">
        <f t="shared" ca="1" si="94"/>
        <v>DZ</v>
      </c>
      <c r="BD98" s="1227">
        <f ca="1"/>
        <v>0</v>
      </c>
      <c r="BE98" s="1228">
        <f ca="1"/>
        <v>0.41342066346973988</v>
      </c>
      <c r="BF98" s="1228">
        <f ca="1"/>
        <v>0</v>
      </c>
      <c r="BG98" s="1228">
        <f ca="1"/>
        <v>0.37927598903587229</v>
      </c>
      <c r="BH98" s="1228">
        <f ca="1"/>
        <v>0</v>
      </c>
      <c r="BI98" s="1228">
        <f ca="1"/>
        <v>0</v>
      </c>
      <c r="BJ98" s="1228">
        <f ca="1"/>
        <v>0.4111796220652546</v>
      </c>
      <c r="BK98" s="1228">
        <f ca="1"/>
        <v>0</v>
      </c>
      <c r="BL98" s="1229">
        <f ca="1"/>
        <v>0</v>
      </c>
      <c r="BM98" s="882">
        <f t="shared" ca="1" si="95"/>
        <v>1.2038762745708667</v>
      </c>
      <c r="BN98" s="1412" t="str">
        <f t="shared" ca="1" si="96"/>
        <v/>
      </c>
      <c r="BO98" s="1416">
        <f t="shared" ca="1" si="97"/>
        <v>0</v>
      </c>
      <c r="BT98" s="1290">
        <f t="shared" ca="1" si="109"/>
        <v>1</v>
      </c>
      <c r="BU98" s="1219" t="str">
        <f ca="1"/>
        <v>DZ</v>
      </c>
      <c r="BV98" s="1212" cm="1">
        <f t="array" aca="1" ref="BV98" ca="1">SUM( ($F$7:$F$25=$Q99) * ($F$6:$F$24=BV$92) )</f>
        <v>0</v>
      </c>
      <c r="BW98" s="868" cm="1">
        <f t="array" aca="1" ref="BW98" ca="1">SUM( ($F$7:$F$25=$Q99) * ($F$6:$F$24=BW$92) )</f>
        <v>1</v>
      </c>
      <c r="BX98" s="868" cm="1">
        <f t="array" aca="1" ref="BX98" ca="1">SUM( ($F$7:$F$25=$Q99) * ($F$6:$F$24=BX$92) )</f>
        <v>0</v>
      </c>
      <c r="BY98" s="868" cm="1">
        <f t="array" aca="1" ref="BY98" ca="1">SUM( ($F$7:$F$25=$Q99) * ($F$6:$F$24=BY$92) )</f>
        <v>0</v>
      </c>
      <c r="BZ98" s="868" cm="1">
        <f t="array" aca="1" ref="BZ98" ca="1">SUM( ($F$7:$F$25=$Q99) * ($F$6:$F$24=BZ$92) )</f>
        <v>0</v>
      </c>
      <c r="CA98" s="868" cm="1">
        <f t="array" aca="1" ref="CA98" ca="1">SUM( ($F$7:$F$25=$Q99) * ($F$6:$F$24=CA$92) )</f>
        <v>0</v>
      </c>
      <c r="CB98" s="868" cm="1">
        <f t="array" aca="1" ref="CB98" ca="1">SUM( ($F$7:$F$25=$Q99) * ($F$6:$F$24=CB$92) )</f>
        <v>0</v>
      </c>
      <c r="CC98" s="868" cm="1">
        <f t="array" aca="1" ref="CC98" ca="1">SUM( ($F$7:$F$25=$Q99) * ($F$6:$F$24=CC$92) )</f>
        <v>0</v>
      </c>
      <c r="CD98" s="1213" cm="1">
        <f t="array" aca="1" ref="CD98" ca="1">SUM( ($F$7:$F$25=$Q99) * ($F$6:$F$24=CD$92) )</f>
        <v>0</v>
      </c>
      <c r="CG98" s="1194" cm="1">
        <f t="array" aca="1" ref="CG98" ca="1">IFERROR(INDEX($CJ98:$CR98,
       MATCH(TRUE,
             (($CI98=CH$88)*
              (_xlfn.ANCHORARRAY($CJ$92)=$CH$89)*
              ($CJ98:$CR98&gt;0))&gt;0,
       0)),0)</f>
        <v>0</v>
      </c>
      <c r="CH98" s="1290">
        <f t="shared" ca="1" si="98"/>
        <v>1</v>
      </c>
      <c r="CI98" s="1219" t="str">
        <f ca="1"/>
        <v>DZ</v>
      </c>
      <c r="CJ98" s="1227">
        <f t="shared" ca="1" si="99"/>
        <v>0</v>
      </c>
      <c r="CK98" s="1228">
        <f t="shared" ca="1" si="100"/>
        <v>1</v>
      </c>
      <c r="CL98" s="1228">
        <f t="shared" ca="1" si="101"/>
        <v>0</v>
      </c>
      <c r="CM98" s="1228">
        <f t="shared" ca="1" si="102"/>
        <v>0</v>
      </c>
      <c r="CN98" s="1228">
        <f t="shared" ca="1" si="103"/>
        <v>0</v>
      </c>
      <c r="CO98" s="1228">
        <f t="shared" ca="1" si="104"/>
        <v>0</v>
      </c>
      <c r="CP98" s="1228">
        <f t="shared" ca="1" si="105"/>
        <v>0</v>
      </c>
      <c r="CQ98" s="1228">
        <f t="shared" ca="1" si="106"/>
        <v>0</v>
      </c>
      <c r="CR98" s="1229">
        <f t="shared" ca="1" si="107"/>
        <v>0</v>
      </c>
    </row>
    <row r="99" spans="2:98" x14ac:dyDescent="0.3">
      <c r="B99" s="89" vm="376">
        <f ca="1"/>
        <v>45846</v>
      </c>
      <c r="C99" s="89" vm="377">
        <f ca="1"/>
        <v>219.36</v>
      </c>
      <c r="D99" s="1210">
        <f t="shared" ca="1" si="51"/>
        <v>-1.8391730433615184E-2</v>
      </c>
      <c r="E99" s="294" t="str" cm="1">
        <f t="array" aca="1" ref="E99" ca="1">_xlfn.IFS(D99&gt;ZPercent,"U",D99&lt;=-ZPercent,"D",TRUE,"Z")</f>
        <v>D</v>
      </c>
      <c r="F99" s="294" t="str">
        <f t="shared" ca="1" si="54"/>
        <v>ZD</v>
      </c>
      <c r="G99" s="294" t="str">
        <f t="shared" ca="1" si="55"/>
        <v>UZD</v>
      </c>
      <c r="H99" s="868" t="str">
        <f t="shared" ca="1" si="56"/>
        <v>ZZ</v>
      </c>
      <c r="J99" s="89" vm="378">
        <f ca="1"/>
        <v>45797</v>
      </c>
      <c r="K99" s="89" vm="379">
        <f ca="1"/>
        <v>204.07</v>
      </c>
      <c r="N99" s="868" t="str">
        <f ca="1">IF(F99=[2]Sheet1!O97,"","dif")</f>
        <v>dif</v>
      </c>
      <c r="Q99" s="1219" t="str">
        <f ca="1"/>
        <v>DZ</v>
      </c>
      <c r="R99" s="1212" cm="1">
        <f t="array" aca="1" ref="R99" ca="1">SUM( ($F$7:$F$212=$Q99) * ($F$6:$F$211=R$93) )</f>
        <v>0</v>
      </c>
      <c r="S99" s="868" cm="1">
        <f t="array" aca="1" ref="S99" ca="1">SUM( ($F$7:$F$212=$Q99) * ($F$6:$F$211=S$93) )</f>
        <v>8</v>
      </c>
      <c r="T99" s="868" cm="1">
        <f t="array" aca="1" ref="T99" ca="1">SUM( ($F$7:$F$212=$Q99) * ($F$6:$F$211=T$93) )</f>
        <v>0</v>
      </c>
      <c r="U99" s="868" cm="1">
        <f t="array" aca="1" ref="U99" ca="1">SUM( ($F$7:$F$212=$Q99) * ($F$6:$F$211=U$93) )</f>
        <v>0</v>
      </c>
      <c r="V99" s="868" cm="1">
        <f t="array" aca="1" ref="V99" ca="1">SUM( ($F$7:$F$212=$Q99) * ($F$6:$F$211=V$93) )</f>
        <v>0</v>
      </c>
      <c r="W99" s="868" cm="1">
        <f t="array" aca="1" ref="W99" ca="1">SUM( ($F$7:$F$212=$Q99) * ($F$6:$F$211=W$93) )</f>
        <v>0</v>
      </c>
      <c r="X99" s="868" cm="1">
        <f t="array" aca="1" ref="X99" ca="1">SUM( ($F$7:$F$212=$Q99) * ($F$6:$F$211=X$93) )</f>
        <v>0</v>
      </c>
      <c r="Y99" s="868" cm="1">
        <f t="array" aca="1" ref="Y99" ca="1">SUM( ($F$7:$F$212=$Q99) * ($F$6:$F$211=Y$93) )</f>
        <v>7</v>
      </c>
      <c r="Z99" s="1213" cm="1">
        <f t="array" aca="1" ref="Z99" ca="1">SUM( ($F$7:$F$212=$Q99) * ($F$6:$F$211=Z$93) )</f>
        <v>4</v>
      </c>
      <c r="AB99" s="1194" cm="1">
        <f t="array" aca="1" ref="AB99" ca="1">IFERROR(INDEX($AE99:$AM99,
       MATCH(TRUE,
             (($AD99=Y$87)*
              ($AE$92:$AM$92=$Y$88)*
              ($AE99:$AM99&gt;0))&gt;0,
       0)),0)</f>
        <v>0</v>
      </c>
      <c r="AC99" s="1290">
        <f t="shared" ca="1" si="74"/>
        <v>32</v>
      </c>
      <c r="AD99" s="1219" t="str">
        <f t="shared" ca="1" si="75"/>
        <v>UD</v>
      </c>
      <c r="AE99" s="1227">
        <f t="shared" ca="1" si="76"/>
        <v>0.3125</v>
      </c>
      <c r="AF99" s="1228">
        <f t="shared" ca="1" si="77"/>
        <v>0</v>
      </c>
      <c r="AG99" s="1228">
        <f t="shared" ca="1" si="78"/>
        <v>0</v>
      </c>
      <c r="AH99" s="1228">
        <f t="shared" ca="1" si="79"/>
        <v>0</v>
      </c>
      <c r="AI99" s="1228">
        <f t="shared" ca="1" si="80"/>
        <v>0.34375</v>
      </c>
      <c r="AJ99" s="1228">
        <f t="shared" ca="1" si="81"/>
        <v>0.34375</v>
      </c>
      <c r="AK99" s="1228">
        <f t="shared" ca="1" si="82"/>
        <v>0</v>
      </c>
      <c r="AL99" s="1228">
        <f t="shared" ca="1" si="83"/>
        <v>0</v>
      </c>
      <c r="AM99" s="1229">
        <f t="shared" ca="1" si="84"/>
        <v>0</v>
      </c>
      <c r="AP99" s="1290"/>
      <c r="AQ99" s="1234" t="str">
        <f t="shared" ca="1" si="85"/>
        <v>UD</v>
      </c>
      <c r="AR99" s="1227">
        <f t="shared" ca="1" si="108"/>
        <v>0.28858486532706284</v>
      </c>
      <c r="AS99" s="1228">
        <f t="shared" ca="1" si="86"/>
        <v>0</v>
      </c>
      <c r="AT99" s="1228">
        <f t="shared" ca="1" si="87"/>
        <v>0</v>
      </c>
      <c r="AU99" s="1228">
        <f t="shared" ca="1" si="88"/>
        <v>0</v>
      </c>
      <c r="AV99" s="1228">
        <f t="shared" ca="1" si="89"/>
        <v>0.27762198541783512</v>
      </c>
      <c r="AW99" s="1228">
        <f t="shared" ca="1" si="90"/>
        <v>0.50630753494715308</v>
      </c>
      <c r="AX99" s="1228">
        <f t="shared" ca="1" si="91"/>
        <v>0</v>
      </c>
      <c r="AY99" s="1228">
        <f t="shared" ca="1" si="92"/>
        <v>0</v>
      </c>
      <c r="AZ99" s="1229">
        <f t="shared" ca="1" si="93"/>
        <v>0</v>
      </c>
      <c r="BC99" s="868" t="str">
        <f t="shared" ca="1" si="94"/>
        <v>UD</v>
      </c>
      <c r="BD99" s="1227">
        <f ca="1"/>
        <v>0.33999092784702722</v>
      </c>
      <c r="BE99" s="1228">
        <f ca="1"/>
        <v>0</v>
      </c>
      <c r="BF99" s="1228">
        <f ca="1"/>
        <v>0</v>
      </c>
      <c r="BG99" s="1228">
        <f ca="1"/>
        <v>0</v>
      </c>
      <c r="BH99" s="1228">
        <f ca="1"/>
        <v>0.57394957824428205</v>
      </c>
      <c r="BI99" s="1228">
        <f ca="1"/>
        <v>0.35357155296299603</v>
      </c>
      <c r="BJ99" s="1228">
        <f ca="1"/>
        <v>0</v>
      </c>
      <c r="BK99" s="1228">
        <f ca="1"/>
        <v>0</v>
      </c>
      <c r="BL99" s="1229">
        <f ca="1"/>
        <v>0</v>
      </c>
      <c r="BM99" s="882">
        <f t="shared" ca="1" si="95"/>
        <v>1.2675120590543054</v>
      </c>
      <c r="BN99" s="1412" t="str">
        <f t="shared" ca="1" si="96"/>
        <v/>
      </c>
      <c r="BO99" s="1416">
        <f t="shared" ca="1" si="97"/>
        <v>0</v>
      </c>
      <c r="BT99" s="1290">
        <f t="shared" ca="1" si="109"/>
        <v>2</v>
      </c>
      <c r="BU99" s="1219" t="str">
        <f ca="1"/>
        <v>UD</v>
      </c>
      <c r="BV99" s="1212" cm="1">
        <f t="array" aca="1" ref="BV99" ca="1">SUM( ($F$7:$F$25=$Q100) * ($F$6:$F$24=BV$92) )</f>
        <v>0</v>
      </c>
      <c r="BW99" s="868" cm="1">
        <f t="array" aca="1" ref="BW99" ca="1">SUM( ($F$7:$F$25=$Q100) * ($F$6:$F$24=BW$92) )</f>
        <v>0</v>
      </c>
      <c r="BX99" s="868" cm="1">
        <f t="array" aca="1" ref="BX99" ca="1">SUM( ($F$7:$F$25=$Q100) * ($F$6:$F$24=BX$92) )</f>
        <v>0</v>
      </c>
      <c r="BY99" s="868" cm="1">
        <f t="array" aca="1" ref="BY99" ca="1">SUM( ($F$7:$F$25=$Q100) * ($F$6:$F$24=BY$92) )</f>
        <v>0</v>
      </c>
      <c r="BZ99" s="868" cm="1">
        <f t="array" aca="1" ref="BZ99" ca="1">SUM( ($F$7:$F$25=$Q100) * ($F$6:$F$24=BZ$92) )</f>
        <v>1</v>
      </c>
      <c r="CA99" s="868" cm="1">
        <f t="array" aca="1" ref="CA99" ca="1">SUM( ($F$7:$F$25=$Q100) * ($F$6:$F$24=CA$92) )</f>
        <v>1</v>
      </c>
      <c r="CB99" s="868" cm="1">
        <f t="array" aca="1" ref="CB99" ca="1">SUM( ($F$7:$F$25=$Q100) * ($F$6:$F$24=CB$92) )</f>
        <v>0</v>
      </c>
      <c r="CC99" s="868" cm="1">
        <f t="array" aca="1" ref="CC99" ca="1">SUM( ($F$7:$F$25=$Q100) * ($F$6:$F$24=CC$92) )</f>
        <v>0</v>
      </c>
      <c r="CD99" s="1213" cm="1">
        <f t="array" aca="1" ref="CD99" ca="1">SUM( ($F$7:$F$25=$Q100) * ($F$6:$F$24=CD$92) )</f>
        <v>0</v>
      </c>
      <c r="CG99" s="1194" cm="1">
        <f t="array" aca="1" ref="CG99" ca="1">IFERROR(INDEX($CJ99:$CR99,
       MATCH(TRUE,
             (($CI99=CH$88)*
              (_xlfn.ANCHORARRAY($CJ$92)=$CH$89)*
              ($CJ99:$CR99&gt;0))&gt;0,
       0)),0)</f>
        <v>0</v>
      </c>
      <c r="CH99" s="1290">
        <f t="shared" ca="1" si="98"/>
        <v>2</v>
      </c>
      <c r="CI99" s="1219" t="str">
        <f ca="1"/>
        <v>UD</v>
      </c>
      <c r="CJ99" s="1227">
        <f t="shared" ca="1" si="99"/>
        <v>0</v>
      </c>
      <c r="CK99" s="1228">
        <f t="shared" ca="1" si="100"/>
        <v>0</v>
      </c>
      <c r="CL99" s="1228">
        <f t="shared" ca="1" si="101"/>
        <v>0</v>
      </c>
      <c r="CM99" s="1228">
        <f t="shared" ca="1" si="102"/>
        <v>0</v>
      </c>
      <c r="CN99" s="1228">
        <f t="shared" ca="1" si="103"/>
        <v>0.5</v>
      </c>
      <c r="CO99" s="1228">
        <f t="shared" ca="1" si="104"/>
        <v>0.5</v>
      </c>
      <c r="CP99" s="1228">
        <f t="shared" ca="1" si="105"/>
        <v>0</v>
      </c>
      <c r="CQ99" s="1228">
        <f t="shared" ca="1" si="106"/>
        <v>0</v>
      </c>
      <c r="CR99" s="1229">
        <f t="shared" ca="1" si="107"/>
        <v>0</v>
      </c>
    </row>
    <row r="100" spans="2:98" x14ac:dyDescent="0.3">
      <c r="B100" s="89" vm="380">
        <f ca="1"/>
        <v>45845</v>
      </c>
      <c r="C100" s="89" vm="381">
        <f ca="1"/>
        <v>223.47</v>
      </c>
      <c r="D100" s="1210">
        <f t="shared" ca="1" si="51"/>
        <v>2.685645226265712E-4</v>
      </c>
      <c r="E100" s="294" t="str" cm="1">
        <f t="array" aca="1" ref="E100" ca="1">_xlfn.IFS(D100&gt;ZPercent,"U",D100&lt;=-ZPercent,"D",TRUE,"Z")</f>
        <v>Z</v>
      </c>
      <c r="F100" s="294" t="str">
        <f t="shared" ca="1" si="54"/>
        <v>UZ</v>
      </c>
      <c r="G100" s="294" t="str">
        <f t="shared" ca="1" si="55"/>
        <v>ZUZ</v>
      </c>
      <c r="H100" s="868" t="str">
        <f t="shared" ca="1" si="56"/>
        <v/>
      </c>
      <c r="J100" s="89" vm="382">
        <f ca="1"/>
        <v>45798</v>
      </c>
      <c r="K100" s="89" vm="383">
        <f ca="1"/>
        <v>201.12</v>
      </c>
      <c r="N100" s="868" t="str">
        <f ca="1">IF(F100=[2]Sheet1!O98,"","dif")</f>
        <v>dif</v>
      </c>
      <c r="Q100" s="1219" t="str">
        <f ca="1"/>
        <v>UD</v>
      </c>
      <c r="R100" s="1212" cm="1">
        <f t="array" aca="1" ref="R100" ca="1">SUM( ($F$7:$F$212=$Q100) * ($F$6:$F$211=R$93) )</f>
        <v>10</v>
      </c>
      <c r="S100" s="868" cm="1">
        <f t="array" aca="1" ref="S100" ca="1">SUM( ($F$7:$F$212=$Q100) * ($F$6:$F$211=S$93) )</f>
        <v>0</v>
      </c>
      <c r="T100" s="868" cm="1">
        <f t="array" aca="1" ref="T100" ca="1">SUM( ($F$7:$F$212=$Q100) * ($F$6:$F$211=T$93) )</f>
        <v>0</v>
      </c>
      <c r="U100" s="868" cm="1">
        <f t="array" aca="1" ref="U100" ca="1">SUM( ($F$7:$F$212=$Q100) * ($F$6:$F$211=U$93) )</f>
        <v>0</v>
      </c>
      <c r="V100" s="868" cm="1">
        <f t="array" aca="1" ref="V100" ca="1">SUM( ($F$7:$F$212=$Q100) * ($F$6:$F$211=V$93) )</f>
        <v>11</v>
      </c>
      <c r="W100" s="868" cm="1">
        <f t="array" aca="1" ref="W100" ca="1">SUM( ($F$7:$F$212=$Q100) * ($F$6:$F$211=W$93) )</f>
        <v>11</v>
      </c>
      <c r="X100" s="868" cm="1">
        <f t="array" aca="1" ref="X100" ca="1">SUM( ($F$7:$F$212=$Q100) * ($F$6:$F$211=X$93) )</f>
        <v>0</v>
      </c>
      <c r="Y100" s="868" cm="1">
        <f t="array" aca="1" ref="Y100" ca="1">SUM( ($F$7:$F$212=$Q100) * ($F$6:$F$211=Y$93) )</f>
        <v>0</v>
      </c>
      <c r="Z100" s="1213" cm="1">
        <f t="array" aca="1" ref="Z100" ca="1">SUM( ($F$7:$F$212=$Q100) * ($F$6:$F$211=Z$93) )</f>
        <v>0</v>
      </c>
      <c r="AB100" s="1194" cm="1">
        <f t="array" aca="1" ref="AB100" ca="1">IFERROR(INDEX($AE100:$AM100,
       MATCH(TRUE,
             (($AD100=Y$87)*
              ($AE$92:$AM$92=$Y$88)*
              ($AE100:$AM100&gt;0))&gt;0,
       0)),0)</f>
        <v>0</v>
      </c>
      <c r="AC100" s="1290">
        <f t="shared" ca="1" si="74"/>
        <v>19</v>
      </c>
      <c r="AD100" s="1219" t="str">
        <f t="shared" ca="1" si="75"/>
        <v>ZU</v>
      </c>
      <c r="AE100" s="1227">
        <f t="shared" ca="1" si="76"/>
        <v>0</v>
      </c>
      <c r="AF100" s="1228">
        <f t="shared" ca="1" si="77"/>
        <v>0</v>
      </c>
      <c r="AG100" s="1228">
        <f t="shared" ca="1" si="78"/>
        <v>0.31578947368421051</v>
      </c>
      <c r="AH100" s="1228">
        <f t="shared" ca="1" si="79"/>
        <v>0.31578947368421051</v>
      </c>
      <c r="AI100" s="1228">
        <f t="shared" ca="1" si="80"/>
        <v>0</v>
      </c>
      <c r="AJ100" s="1228">
        <f t="shared" ca="1" si="81"/>
        <v>0</v>
      </c>
      <c r="AK100" s="1228">
        <f t="shared" ca="1" si="82"/>
        <v>0.36842105263157893</v>
      </c>
      <c r="AL100" s="1228">
        <f t="shared" ca="1" si="83"/>
        <v>0</v>
      </c>
      <c r="AM100" s="1229">
        <f t="shared" ca="1" si="84"/>
        <v>0</v>
      </c>
      <c r="AP100" s="1290"/>
      <c r="AQ100" s="1234" t="str">
        <f t="shared" ca="1" si="85"/>
        <v>ZU</v>
      </c>
      <c r="AR100" s="1227">
        <f t="shared" ca="1" si="108"/>
        <v>0</v>
      </c>
      <c r="AS100" s="1228">
        <f t="shared" ca="1" si="86"/>
        <v>0</v>
      </c>
      <c r="AT100" s="1228">
        <f t="shared" ca="1" si="87"/>
        <v>0.41655540720961282</v>
      </c>
      <c r="AU100" s="1228">
        <f t="shared" ca="1" si="88"/>
        <v>0.31626964014191583</v>
      </c>
      <c r="AV100" s="1228">
        <f t="shared" ca="1" si="89"/>
        <v>0</v>
      </c>
      <c r="AW100" s="1228">
        <f t="shared" ca="1" si="90"/>
        <v>0</v>
      </c>
      <c r="AX100" s="1228">
        <f t="shared" ca="1" si="91"/>
        <v>0.29629629629629628</v>
      </c>
      <c r="AY100" s="1228">
        <f t="shared" ca="1" si="92"/>
        <v>0</v>
      </c>
      <c r="AZ100" s="1229">
        <f t="shared" ca="1" si="93"/>
        <v>0</v>
      </c>
      <c r="BC100" s="868" t="str">
        <f t="shared" ca="1" si="94"/>
        <v>ZU</v>
      </c>
      <c r="BD100" s="1227">
        <f ca="1"/>
        <v>0</v>
      </c>
      <c r="BE100" s="1228">
        <f ca="1"/>
        <v>0</v>
      </c>
      <c r="BF100" s="1228">
        <f ca="1"/>
        <v>0.30989999509611943</v>
      </c>
      <c r="BG100" s="1228">
        <f ca="1"/>
        <v>0</v>
      </c>
      <c r="BH100" s="1228">
        <f ca="1"/>
        <v>0</v>
      </c>
      <c r="BI100" s="1228">
        <f ca="1"/>
        <v>0</v>
      </c>
      <c r="BJ100" s="1228">
        <f ca="1"/>
        <v>0</v>
      </c>
      <c r="BK100" s="1228">
        <f ca="1"/>
        <v>0.21433963871412196</v>
      </c>
      <c r="BL100" s="1229">
        <f ca="1"/>
        <v>0.22596957678283</v>
      </c>
      <c r="BM100" s="882">
        <f t="shared" ca="1" si="95"/>
        <v>0.75020921059307144</v>
      </c>
      <c r="BN100" s="1412" t="str">
        <f t="shared" ca="1" si="96"/>
        <v/>
      </c>
      <c r="BO100" s="1416">
        <f t="shared" ca="1" si="97"/>
        <v>0</v>
      </c>
      <c r="BT100" s="1290">
        <f t="shared" ca="1" si="109"/>
        <v>0</v>
      </c>
      <c r="BU100" s="1219"/>
      <c r="BV100" s="1212" cm="1">
        <f t="array" aca="1" ref="BV100" ca="1">SUM( ($F$7:$F$25=$Q101) * ($F$6:$F$24=BV$92) )</f>
        <v>0</v>
      </c>
      <c r="BW100" s="868" cm="1">
        <f t="array" aca="1" ref="BW100" ca="1">SUM( ($F$7:$F$25=$Q101) * ($F$6:$F$24=BW$92) )</f>
        <v>0</v>
      </c>
      <c r="BX100" s="868" cm="1">
        <f t="array" aca="1" ref="BX100" ca="1">SUM( ($F$7:$F$25=$Q101) * ($F$6:$F$24=BX$92) )</f>
        <v>0</v>
      </c>
      <c r="BY100" s="868" cm="1">
        <f t="array" aca="1" ref="BY100" ca="1">SUM( ($F$7:$F$25=$Q101) * ($F$6:$F$24=BY$92) )</f>
        <v>0</v>
      </c>
      <c r="BZ100" s="868" cm="1">
        <f t="array" aca="1" ref="BZ100" ca="1">SUM( ($F$7:$F$25=$Q101) * ($F$6:$F$24=BZ$92) )</f>
        <v>0</v>
      </c>
      <c r="CA100" s="868" cm="1">
        <f t="array" aca="1" ref="CA100" ca="1">SUM( ($F$7:$F$25=$Q101) * ($F$6:$F$24=CA$92) )</f>
        <v>0</v>
      </c>
      <c r="CB100" s="868" cm="1">
        <f t="array" aca="1" ref="CB100" ca="1">SUM( ($F$7:$F$25=$Q101) * ($F$6:$F$24=CB$92) )</f>
        <v>0</v>
      </c>
      <c r="CC100" s="868" cm="1">
        <f t="array" aca="1" ref="CC100" ca="1">SUM( ($F$7:$F$25=$Q101) * ($F$6:$F$24=CC$92) )</f>
        <v>0</v>
      </c>
      <c r="CD100" s="1213" cm="1">
        <f t="array" aca="1" ref="CD100" ca="1">SUM( ($F$7:$F$25=$Q101) * ($F$6:$F$24=CD$92) )</f>
        <v>0</v>
      </c>
      <c r="CG100" s="1194" cm="1">
        <f t="array" aca="1" ref="CG100" ca="1">IFERROR(INDEX($CJ100:$CR100,
       MATCH(TRUE,
             (($CI100=CH$88)*
              (_xlfn.ANCHORARRAY($CJ$92)=$CH$89)*
              ($CJ100:$CR100&gt;0))&gt;0,
       0)),0)</f>
        <v>0</v>
      </c>
      <c r="CH100" s="1290">
        <f t="shared" ca="1" si="98"/>
        <v>0</v>
      </c>
      <c r="CI100" s="1219"/>
      <c r="CJ100" s="1227">
        <f t="shared" ca="1" si="99"/>
        <v>0</v>
      </c>
      <c r="CK100" s="1228">
        <f t="shared" ca="1" si="100"/>
        <v>0</v>
      </c>
      <c r="CL100" s="1228">
        <f t="shared" ca="1" si="101"/>
        <v>0</v>
      </c>
      <c r="CM100" s="1228">
        <f t="shared" ca="1" si="102"/>
        <v>0</v>
      </c>
      <c r="CN100" s="1228">
        <f t="shared" ca="1" si="103"/>
        <v>0</v>
      </c>
      <c r="CO100" s="1228">
        <f t="shared" ca="1" si="104"/>
        <v>0</v>
      </c>
      <c r="CP100" s="1228">
        <f t="shared" ca="1" si="105"/>
        <v>0</v>
      </c>
      <c r="CQ100" s="1228">
        <f t="shared" ca="1" si="106"/>
        <v>0</v>
      </c>
      <c r="CR100" s="1229">
        <f t="shared" ca="1" si="107"/>
        <v>0</v>
      </c>
    </row>
    <row r="101" spans="2:98" ht="23" thickBot="1" x14ac:dyDescent="0.35">
      <c r="B101" s="89" vm="384">
        <f ca="1"/>
        <v>45841</v>
      </c>
      <c r="C101" s="89" vm="385">
        <f ca="1"/>
        <v>223.41</v>
      </c>
      <c r="D101" s="1210">
        <f t="shared" ca="1" si="51"/>
        <v>1.586940705711172E-2</v>
      </c>
      <c r="E101" s="294" t="str" cm="1">
        <f t="array" aca="1" ref="E101" ca="1">_xlfn.IFS(D101&gt;ZPercent,"U",D101&lt;=-ZPercent,"D",TRUE,"Z")</f>
        <v>U</v>
      </c>
      <c r="F101" s="294" t="str">
        <f t="shared" ca="1" si="54"/>
        <v>ZU</v>
      </c>
      <c r="G101" s="294" t="str">
        <f t="shared" ca="1" si="55"/>
        <v>ZZU</v>
      </c>
      <c r="H101" s="868" t="str">
        <f t="shared" ca="1" si="56"/>
        <v/>
      </c>
      <c r="J101" s="89" vm="386">
        <f ca="1"/>
        <v>45799</v>
      </c>
      <c r="K101" s="89" vm="387">
        <f ca="1"/>
        <v>203.1</v>
      </c>
      <c r="N101" s="868" t="str">
        <f ca="1">IF(F101=[2]Sheet1!O99,"","dif")</f>
        <v>dif</v>
      </c>
      <c r="Q101" s="1219" t="str">
        <f ca="1"/>
        <v>ZU</v>
      </c>
      <c r="R101" s="1212" cm="1">
        <f t="array" aca="1" ref="R101" ca="1">SUM( ($F$7:$F$212=$Q101) * ($F$6:$F$211=R$93) )</f>
        <v>0</v>
      </c>
      <c r="S101" s="868" cm="1">
        <f t="array" aca="1" ref="S101" ca="1">SUM( ($F$7:$F$212=$Q101) * ($F$6:$F$211=S$93) )</f>
        <v>0</v>
      </c>
      <c r="T101" s="868" cm="1">
        <f t="array" aca="1" ref="T101" ca="1">SUM( ($F$7:$F$212=$Q101) * ($F$6:$F$211=T$93) )</f>
        <v>6</v>
      </c>
      <c r="U101" s="868" cm="1">
        <f t="array" aca="1" ref="U101" ca="1">SUM( ($F$7:$F$212=$Q101) * ($F$6:$F$211=U$93) )</f>
        <v>6</v>
      </c>
      <c r="V101" s="868" cm="1">
        <f t="array" aca="1" ref="V101" ca="1">SUM( ($F$7:$F$212=$Q101) * ($F$6:$F$211=V$93) )</f>
        <v>0</v>
      </c>
      <c r="W101" s="868" cm="1">
        <f t="array" aca="1" ref="W101" ca="1">SUM( ($F$7:$F$212=$Q101) * ($F$6:$F$211=W$93) )</f>
        <v>0</v>
      </c>
      <c r="X101" s="868" cm="1">
        <f t="array" aca="1" ref="X101" ca="1">SUM( ($F$7:$F$212=$Q101) * ($F$6:$F$211=X$93) )</f>
        <v>7</v>
      </c>
      <c r="Y101" s="868" cm="1">
        <f t="array" aca="1" ref="Y101" ca="1">SUM( ($F$7:$F$212=$Q101) * ($F$6:$F$211=Y$93) )</f>
        <v>0</v>
      </c>
      <c r="Z101" s="1213" cm="1">
        <f t="array" aca="1" ref="Z101" ca="1">SUM( ($F$7:$F$212=$Q101) * ($F$6:$F$211=Z$93) )</f>
        <v>0</v>
      </c>
      <c r="AB101" s="1194" cm="1">
        <f t="array" aca="1" ref="AB101" ca="1">IFERROR(INDEX($AE101:$AM101,
       MATCH(TRUE,
             (($AD101=Y$87)*
              ($AE$92:$AM$92=$Y$88)*
              ($AE101:$AM101&gt;0))&gt;0,
       0)),0)</f>
        <v>0</v>
      </c>
      <c r="AC101" s="1290">
        <f t="shared" ca="1" si="74"/>
        <v>11</v>
      </c>
      <c r="AD101" s="1220" t="str">
        <f t="shared" ca="1" si="75"/>
        <v>ZZ</v>
      </c>
      <c r="AE101" s="1230">
        <f t="shared" ca="1" si="76"/>
        <v>0</v>
      </c>
      <c r="AF101" s="1231">
        <f t="shared" ca="1" si="77"/>
        <v>0.45454545454545453</v>
      </c>
      <c r="AG101" s="1231">
        <f t="shared" ca="1" si="78"/>
        <v>0</v>
      </c>
      <c r="AH101" s="1231">
        <f t="shared" ca="1" si="79"/>
        <v>0</v>
      </c>
      <c r="AI101" s="1231">
        <f t="shared" ca="1" si="80"/>
        <v>0</v>
      </c>
      <c r="AJ101" s="1231">
        <f t="shared" ca="1" si="81"/>
        <v>0</v>
      </c>
      <c r="AK101" s="1231">
        <f t="shared" ca="1" si="82"/>
        <v>0</v>
      </c>
      <c r="AL101" s="1231">
        <f t="shared" ca="1" si="83"/>
        <v>0.36363636363636365</v>
      </c>
      <c r="AM101" s="1232">
        <f t="shared" ca="1" si="84"/>
        <v>0.18181818181818182</v>
      </c>
      <c r="AP101" s="1290"/>
      <c r="AQ101" s="1235" t="str">
        <f t="shared" ca="1" si="85"/>
        <v>ZZ</v>
      </c>
      <c r="AR101" s="1230">
        <f t="shared" ca="1" si="108"/>
        <v>0</v>
      </c>
      <c r="AS101" s="1231">
        <f t="shared" ca="1" si="86"/>
        <v>0.36538461538461536</v>
      </c>
      <c r="AT101" s="1231">
        <f t="shared" ca="1" si="87"/>
        <v>0</v>
      </c>
      <c r="AU101" s="1231">
        <f t="shared" ca="1" si="88"/>
        <v>0</v>
      </c>
      <c r="AV101" s="1231">
        <f t="shared" ca="1" si="89"/>
        <v>0</v>
      </c>
      <c r="AW101" s="1231">
        <f t="shared" ca="1" si="90"/>
        <v>0</v>
      </c>
      <c r="AX101" s="1231">
        <f t="shared" ca="1" si="91"/>
        <v>0</v>
      </c>
      <c r="AY101" s="1231">
        <f t="shared" ca="1" si="92"/>
        <v>0.31535269709543573</v>
      </c>
      <c r="AZ101" s="1232">
        <f t="shared" ca="1" si="93"/>
        <v>0.30158730158730157</v>
      </c>
      <c r="BC101" s="868" t="str">
        <f t="shared" ca="1" si="94"/>
        <v>ZZ</v>
      </c>
      <c r="BD101" s="1230">
        <f ca="1"/>
        <v>0</v>
      </c>
      <c r="BE101" s="1231">
        <f ca="1"/>
        <v>0.22851142579910425</v>
      </c>
      <c r="BF101" s="1231">
        <f ca="1"/>
        <v>0</v>
      </c>
      <c r="BG101" s="1231">
        <f ca="1"/>
        <v>0.19166950620872397</v>
      </c>
      <c r="BH101" s="1231">
        <f ca="1"/>
        <v>0</v>
      </c>
      <c r="BI101" s="1231">
        <f ca="1"/>
        <v>0</v>
      </c>
      <c r="BJ101" s="1231">
        <f ca="1"/>
        <v>0.18181818181818185</v>
      </c>
      <c r="BK101" s="1231">
        <f ca="1"/>
        <v>0</v>
      </c>
      <c r="BL101" s="1232">
        <f ca="1"/>
        <v>0</v>
      </c>
      <c r="BM101" s="882">
        <f t="shared" ca="1" si="95"/>
        <v>0.60199911382601012</v>
      </c>
      <c r="BN101" s="1413" t="str">
        <f t="shared" ca="1" si="96"/>
        <v/>
      </c>
      <c r="BO101" s="1417">
        <f t="shared" ca="1" si="97"/>
        <v>0</v>
      </c>
      <c r="BT101" s="1290">
        <f t="shared" ca="1" si="109"/>
        <v>0</v>
      </c>
      <c r="BU101" s="1220"/>
      <c r="BV101" s="874" cm="1">
        <f t="array" aca="1" ref="BV101" ca="1">SUM( ($F$7:$F$25=$Q102) * ($F$6:$F$24=BV$92) )</f>
        <v>0</v>
      </c>
      <c r="BW101" s="1214" cm="1">
        <f t="array" aca="1" ref="BW101" ca="1">SUM( ($F$7:$F$25=$Q102) * ($F$6:$F$24=BW$92) )</f>
        <v>0</v>
      </c>
      <c r="BX101" s="1214" cm="1">
        <f t="array" aca="1" ref="BX101" ca="1">SUM( ($F$7:$F$25=$Q102) * ($F$6:$F$24=BX$92) )</f>
        <v>0</v>
      </c>
      <c r="BY101" s="1214" cm="1">
        <f t="array" aca="1" ref="BY101" ca="1">SUM( ($F$7:$F$25=$Q102) * ($F$6:$F$24=BY$92) )</f>
        <v>0</v>
      </c>
      <c r="BZ101" s="1214" cm="1">
        <f t="array" aca="1" ref="BZ101" ca="1">SUM( ($F$7:$F$25=$Q102) * ($F$6:$F$24=BZ$92) )</f>
        <v>0</v>
      </c>
      <c r="CA101" s="1214" cm="1">
        <f t="array" aca="1" ref="CA101" ca="1">SUM( ($F$7:$F$25=$Q102) * ($F$6:$F$24=CA$92) )</f>
        <v>0</v>
      </c>
      <c r="CB101" s="1214" cm="1">
        <f t="array" aca="1" ref="CB101" ca="1">SUM( ($F$7:$F$25=$Q102) * ($F$6:$F$24=CB$92) )</f>
        <v>0</v>
      </c>
      <c r="CC101" s="1214" cm="1">
        <f t="array" aca="1" ref="CC101" ca="1">SUM( ($F$7:$F$25=$Q102) * ($F$6:$F$24=CC$92) )</f>
        <v>0</v>
      </c>
      <c r="CD101" s="1215" cm="1">
        <f t="array" aca="1" ref="CD101" ca="1">SUM( ($F$7:$F$25=$Q102) * ($F$6:$F$24=CD$92) )</f>
        <v>0</v>
      </c>
      <c r="CG101" s="1194" cm="1">
        <f t="array" aca="1" ref="CG101" ca="1">IFERROR(INDEX($CJ101:$CR101,
       MATCH(TRUE,
             (($CI101=CH$88)*
              (_xlfn.ANCHORARRAY($CJ$92)=$CH$89)*
              ($CJ101:$CR101&gt;0))&gt;0,
       0)),0)</f>
        <v>0</v>
      </c>
      <c r="CH101" s="1290">
        <f t="shared" ca="1" si="98"/>
        <v>0</v>
      </c>
      <c r="CI101" s="1220"/>
      <c r="CJ101" s="1230">
        <f t="shared" ca="1" si="99"/>
        <v>0</v>
      </c>
      <c r="CK101" s="1231">
        <f t="shared" ca="1" si="100"/>
        <v>0</v>
      </c>
      <c r="CL101" s="1231">
        <f t="shared" ca="1" si="101"/>
        <v>0</v>
      </c>
      <c r="CM101" s="1231">
        <f t="shared" ca="1" si="102"/>
        <v>0</v>
      </c>
      <c r="CN101" s="1231">
        <f t="shared" ca="1" si="103"/>
        <v>0</v>
      </c>
      <c r="CO101" s="1231">
        <f t="shared" ca="1" si="104"/>
        <v>0</v>
      </c>
      <c r="CP101" s="1231">
        <f t="shared" ca="1" si="105"/>
        <v>0</v>
      </c>
      <c r="CQ101" s="1231">
        <f t="shared" ca="1" si="106"/>
        <v>0</v>
      </c>
      <c r="CR101" s="1232">
        <f t="shared" ca="1" si="107"/>
        <v>0</v>
      </c>
    </row>
    <row r="102" spans="2:98" ht="23" thickBot="1" x14ac:dyDescent="0.35">
      <c r="B102" s="89" vm="388">
        <f ca="1"/>
        <v>45840</v>
      </c>
      <c r="C102" s="89" vm="389">
        <f ca="1"/>
        <v>219.92</v>
      </c>
      <c r="D102" s="1210">
        <f t="shared" ca="1" si="51"/>
        <v>-2.4494239317791001E-3</v>
      </c>
      <c r="E102" s="294" t="str" cm="1">
        <f t="array" aca="1" ref="E102" ca="1">_xlfn.IFS(D102&gt;ZPercent,"U",D102&lt;=-ZPercent,"D",TRUE,"Z")</f>
        <v>Z</v>
      </c>
      <c r="F102" s="294" t="str">
        <f t="shared" ca="1" si="54"/>
        <v>ZZ</v>
      </c>
      <c r="G102" s="294" t="str">
        <f t="shared" ca="1" si="55"/>
        <v>DZZ</v>
      </c>
      <c r="H102" s="868" t="str">
        <f t="shared" ca="1" si="56"/>
        <v/>
      </c>
      <c r="J102" s="89" vm="390">
        <f ca="1"/>
        <v>45800</v>
      </c>
      <c r="K102" s="89" vm="391">
        <f ca="1"/>
        <v>200.99</v>
      </c>
      <c r="N102" s="868" t="str">
        <f ca="1">IF(F102=[2]Sheet1!O100,"","dif")</f>
        <v/>
      </c>
      <c r="Q102" s="1220" t="str">
        <f ca="1"/>
        <v>ZZ</v>
      </c>
      <c r="R102" s="874" cm="1">
        <f t="array" aca="1" ref="R102" ca="1">SUM( ($F$7:$F$212=$Q102) * ($F$6:$F$211=R$93) )</f>
        <v>0</v>
      </c>
      <c r="S102" s="1214" cm="1">
        <f t="array" aca="1" ref="S102" ca="1">SUM( ($F$7:$F$212=$Q102) * ($F$6:$F$211=S$93) )</f>
        <v>5</v>
      </c>
      <c r="T102" s="1214" cm="1">
        <f t="array" aca="1" ref="T102" ca="1">SUM( ($F$7:$F$212=$Q102) * ($F$6:$F$211=T$93) )</f>
        <v>0</v>
      </c>
      <c r="U102" s="1214" cm="1">
        <f t="array" aca="1" ref="U102" ca="1">SUM( ($F$7:$F$212=$Q102) * ($F$6:$F$211=U$93) )</f>
        <v>0</v>
      </c>
      <c r="V102" s="1214" cm="1">
        <f t="array" aca="1" ref="V102" ca="1">SUM( ($F$7:$F$212=$Q102) * ($F$6:$F$211=V$93) )</f>
        <v>0</v>
      </c>
      <c r="W102" s="1214" cm="1">
        <f t="array" aca="1" ref="W102" ca="1">SUM( ($F$7:$F$212=$Q102) * ($F$6:$F$211=W$93) )</f>
        <v>0</v>
      </c>
      <c r="X102" s="1214" cm="1">
        <f t="array" aca="1" ref="X102" ca="1">SUM( ($F$7:$F$212=$Q102) * ($F$6:$F$211=X$93) )</f>
        <v>0</v>
      </c>
      <c r="Y102" s="1214" cm="1">
        <f t="array" aca="1" ref="Y102" ca="1">SUM( ($F$7:$F$212=$Q102) * ($F$6:$F$211=Y$93) )</f>
        <v>4</v>
      </c>
      <c r="Z102" s="1215" cm="1">
        <f t="array" aca="1" ref="Z102" ca="1">SUM( ($F$7:$F$212=$Q102) * ($F$6:$F$211=Z$93) )</f>
        <v>2</v>
      </c>
      <c r="AC102" s="869"/>
      <c r="AD102" s="1355" t="s">
        <v>2732</v>
      </c>
      <c r="AE102" s="1194"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0.13814103993132282</v>
      </c>
      <c r="AF102" s="1194">
        <f ca="1"/>
        <v>9.5337374480423967E-2</v>
      </c>
      <c r="AG102" s="1194">
        <f ca="1"/>
        <v>9.2658262200169345E-2</v>
      </c>
      <c r="AH102" s="1194">
        <f ca="1"/>
        <v>0.12707372120736424</v>
      </c>
      <c r="AI102" s="1194">
        <f ca="1"/>
        <v>0.15802485248153053</v>
      </c>
      <c r="AJ102" s="1194">
        <f ca="1"/>
        <v>9.3609296451504828E-2</v>
      </c>
      <c r="AK102" s="1194">
        <f ca="1"/>
        <v>0.15629677445261139</v>
      </c>
      <c r="AL102" s="1194">
        <f ca="1"/>
        <v>9.0930184171250192E-2</v>
      </c>
      <c r="AM102" s="1194">
        <f ca="1"/>
        <v>4.7928494623822593E-2</v>
      </c>
      <c r="AZ102" s="1194"/>
      <c r="BA102" s="1194"/>
      <c r="BB102" s="869"/>
      <c r="BC102" s="868">
        <f t="shared" ref="BC102" si="110">BC87</f>
        <v>0</v>
      </c>
      <c r="BD102" s="1194"/>
      <c r="BE102" s="1194"/>
      <c r="BF102" s="1194"/>
      <c r="BG102" s="1194"/>
      <c r="BH102" s="1194"/>
      <c r="BI102" s="1194"/>
      <c r="BJ102" s="1194"/>
      <c r="BK102" s="1194"/>
      <c r="BL102" s="1194"/>
      <c r="BM102" s="1194"/>
      <c r="BN102" s="1194"/>
    </row>
    <row r="103" spans="2:98" x14ac:dyDescent="0.3">
      <c r="B103" s="89" vm="392">
        <f ca="1"/>
        <v>45839</v>
      </c>
      <c r="C103" s="89" vm="393">
        <f ca="1"/>
        <v>220.46</v>
      </c>
      <c r="D103" s="1210">
        <f t="shared" ca="1" si="51"/>
        <v>4.8771593965085992E-3</v>
      </c>
      <c r="E103" s="294" t="str" cm="1">
        <f t="array" aca="1" ref="E103" ca="1">_xlfn.IFS(D103&gt;ZPercent,"U",D103&lt;=-ZPercent,"D",TRUE,"Z")</f>
        <v>Z</v>
      </c>
      <c r="F103" s="294" t="str">
        <f t="shared" ca="1" si="54"/>
        <v>DZ</v>
      </c>
      <c r="G103" s="294" t="str">
        <f t="shared" ca="1" si="55"/>
        <v>UDZ</v>
      </c>
      <c r="H103" s="868" t="str">
        <f t="shared" ca="1" si="56"/>
        <v/>
      </c>
      <c r="J103" s="89" vm="394">
        <f ca="1"/>
        <v>45804</v>
      </c>
      <c r="K103" s="89" vm="395">
        <f ca="1"/>
        <v>206.02</v>
      </c>
      <c r="N103" s="868" t="str">
        <f ca="1">IF(F103=[2]Sheet1!O101,"","dif")</f>
        <v>dif</v>
      </c>
    </row>
    <row r="104" spans="2:98" ht="23" thickBot="1" x14ac:dyDescent="0.35">
      <c r="B104" s="89" vm="396">
        <f ca="1"/>
        <v>45838</v>
      </c>
      <c r="C104" s="89" vm="397">
        <f ca="1"/>
        <v>219.39</v>
      </c>
      <c r="D104" s="1210">
        <f t="shared" ca="1" si="51"/>
        <v>-1.7510076130765898E-2</v>
      </c>
      <c r="E104" s="294" t="str" cm="1">
        <f t="array" aca="1" ref="E104" ca="1">_xlfn.IFS(D104&gt;ZPercent,"U",D104&lt;=-ZPercent,"D",TRUE,"Z")</f>
        <v>D</v>
      </c>
      <c r="F104" s="294" t="str">
        <f t="shared" ca="1" si="54"/>
        <v>UD</v>
      </c>
      <c r="G104" s="294" t="str">
        <f t="shared" ca="1" si="55"/>
        <v>UUD</v>
      </c>
      <c r="H104" s="868" t="str">
        <f t="shared" ca="1" si="56"/>
        <v/>
      </c>
      <c r="J104" s="89" vm="398">
        <f ca="1"/>
        <v>45805</v>
      </c>
      <c r="K104" s="89" vm="399">
        <f ca="1"/>
        <v>204.72</v>
      </c>
      <c r="N104" s="868" t="str">
        <f ca="1">IF(F104=[2]Sheet1!O102,"","dif")</f>
        <v>dif</v>
      </c>
    </row>
    <row r="105" spans="2:98" ht="23" thickBot="1" x14ac:dyDescent="0.35">
      <c r="B105" s="89" vm="400">
        <f ca="1"/>
        <v>45835</v>
      </c>
      <c r="C105" s="89" vm="401">
        <f ca="1"/>
        <v>223.3</v>
      </c>
      <c r="D105" s="1210">
        <f t="shared" ca="1" si="51"/>
        <v>2.8463522476050142E-2</v>
      </c>
      <c r="E105" s="294" t="str" cm="1">
        <f t="array" aca="1" ref="E105" ca="1">_xlfn.IFS(D105&gt;ZPercent,"U",D105&lt;=-ZPercent,"D",TRUE,"Z")</f>
        <v>U</v>
      </c>
      <c r="F105" s="294" t="str">
        <f t="shared" ca="1" si="54"/>
        <v>UU</v>
      </c>
      <c r="G105" s="294" t="str">
        <f t="shared" ca="1" si="55"/>
        <v>ZUU</v>
      </c>
      <c r="H105" s="868" t="str">
        <f t="shared" ca="1" si="56"/>
        <v/>
      </c>
      <c r="J105" s="89" vm="402">
        <f ca="1"/>
        <v>45806</v>
      </c>
      <c r="K105" s="89" vm="403">
        <f ca="1"/>
        <v>205.7</v>
      </c>
      <c r="N105" s="868" t="str">
        <f ca="1">IF(F105=[2]Sheet1!O103,"","dif")</f>
        <v>dif</v>
      </c>
      <c r="Q105" s="868"/>
      <c r="AB105" s="886" t="str">
        <f>J3</f>
        <v>AMZN</v>
      </c>
      <c r="AC105" s="886" t="str">
        <f ca="1">E5</f>
        <v>D</v>
      </c>
      <c r="AD105" s="869" t="s">
        <v>1669</v>
      </c>
      <c r="AE105" s="868" t="s">
        <v>1670</v>
      </c>
      <c r="CG105" s="886" t="str">
        <f>AB105</f>
        <v>AMZN</v>
      </c>
      <c r="CH105" s="886" t="str">
        <f ca="1">AC105</f>
        <v>D</v>
      </c>
      <c r="CI105" s="869" t="s">
        <v>1669</v>
      </c>
      <c r="CJ105" s="868" t="s">
        <v>1670</v>
      </c>
    </row>
    <row r="106" spans="2:98" ht="23" thickBot="1" x14ac:dyDescent="0.35">
      <c r="B106" s="89" vm="404">
        <f ca="1"/>
        <v>45834</v>
      </c>
      <c r="C106" s="89" vm="405">
        <f ca="1"/>
        <v>217.12</v>
      </c>
      <c r="D106" s="1210">
        <f t="shared" ca="1" si="51"/>
        <v>2.4199254681824593E-2</v>
      </c>
      <c r="E106" s="294" t="str" cm="1">
        <f t="array" aca="1" ref="E106" ca="1">_xlfn.IFS(D106&gt;ZPercent,"U",D106&lt;=-ZPercent,"D",TRUE,"Z")</f>
        <v>U</v>
      </c>
      <c r="F106" s="294" t="str">
        <f t="shared" ca="1" si="54"/>
        <v>ZU</v>
      </c>
      <c r="G106" s="294" t="str">
        <f t="shared" ca="1" si="55"/>
        <v>UZU</v>
      </c>
      <c r="H106" s="868" t="str">
        <f t="shared" ca="1" si="56"/>
        <v/>
      </c>
      <c r="J106" s="89" vm="406">
        <f ca="1"/>
        <v>45807</v>
      </c>
      <c r="K106" s="89" vm="407">
        <f ca="1"/>
        <v>205.01</v>
      </c>
      <c r="N106" s="868" t="str">
        <f ca="1">IF(F106=[2]Sheet1!O104,"","dif")</f>
        <v/>
      </c>
      <c r="Q106" s="868"/>
      <c r="AB106" s="868" t="s">
        <v>2719</v>
      </c>
      <c r="AC106" s="1295" t="s">
        <v>2299</v>
      </c>
      <c r="AD106" s="1195">
        <f ca="1">IFERROR(_xlfn.MINIFS(AE110:AG112, AE110:AG112, "&gt;0", AE110:AG112, "&lt;1"), "")</f>
        <v>0.22</v>
      </c>
      <c r="AE106" s="1196">
        <f ca="1">IFERROR(_xlfn.MAXIFS(AE110:AG112, AE110:AG112, "&gt;0", AE110:AG112, "&lt;1"), "")</f>
        <v>0.41558441558441561</v>
      </c>
      <c r="CG106" s="868" t="s">
        <v>2719</v>
      </c>
      <c r="CH106" s="1295" t="s">
        <v>2299</v>
      </c>
      <c r="CI106" s="1195">
        <f>IFERROR(_xlfn.MINIFS(BD111:BL118, BD111:BL118, "&gt;0", BD111:BL118, "&lt;1"), "")</f>
        <v>0</v>
      </c>
      <c r="CJ106" s="1196">
        <f>IFERROR(_xlfn.MAXIFS(BD111:BL118, BD111:BL118, "&gt;0", BD111:BL118, "&lt;1"), "")</f>
        <v>0</v>
      </c>
    </row>
    <row r="107" spans="2:98" x14ac:dyDescent="0.3">
      <c r="B107" s="89" vm="408">
        <f ca="1"/>
        <v>45833</v>
      </c>
      <c r="C107" s="89" vm="409">
        <f ca="1"/>
        <v>211.99</v>
      </c>
      <c r="D107" s="1210">
        <f t="shared" ca="1" si="51"/>
        <v>-3.6659303473234061E-3</v>
      </c>
      <c r="E107" s="294" t="str" cm="1">
        <f t="array" aca="1" ref="E107" ca="1">_xlfn.IFS(D107&gt;ZPercent,"U",D107&lt;=-ZPercent,"D",TRUE,"Z")</f>
        <v>Z</v>
      </c>
      <c r="F107" s="294" t="str">
        <f t="shared" ca="1" si="54"/>
        <v>UZ</v>
      </c>
      <c r="G107" s="294" t="str">
        <f t="shared" ca="1" si="55"/>
        <v>DUZ</v>
      </c>
      <c r="H107" s="868" t="str">
        <f t="shared" ca="1" si="56"/>
        <v/>
      </c>
      <c r="J107" s="89" vm="410">
        <f ca="1"/>
        <v>45810</v>
      </c>
      <c r="K107" s="89" vm="411">
        <f ca="1"/>
        <v>206.65</v>
      </c>
      <c r="N107" s="868" t="str">
        <f ca="1">IF(F107=[2]Sheet1!O105,"","dif")</f>
        <v>dif</v>
      </c>
      <c r="Q107" s="869" t="s">
        <v>2671</v>
      </c>
      <c r="AB107" s="1291" t="str">
        <f>IF(AC106=0,"No "&amp;AB106,"Up")</f>
        <v>Up</v>
      </c>
      <c r="AC107" s="1296">
        <f ca="1">MAX(AB110:AB112)</f>
        <v>0.4050632911392405</v>
      </c>
      <c r="AQ107" s="868" t="s">
        <v>2721</v>
      </c>
      <c r="BU107" s="868" t="s">
        <v>2722</v>
      </c>
      <c r="CG107" s="1291" t="str">
        <f>IF(CH106=0,"No "&amp;CG106,"Up")</f>
        <v>Up</v>
      </c>
      <c r="CH107" s="882">
        <f ca="1">MAX(CG111:CG113)</f>
        <v>0.54285714285714282</v>
      </c>
      <c r="CP107" s="868" t="s">
        <v>2721</v>
      </c>
    </row>
    <row r="108" spans="2:98" ht="23" thickBot="1" x14ac:dyDescent="0.35">
      <c r="B108" s="89" vm="412">
        <f ca="1"/>
        <v>45832</v>
      </c>
      <c r="C108" s="89" vm="413">
        <f ca="1"/>
        <v>212.77</v>
      </c>
      <c r="D108" s="1210">
        <f t="shared" ca="1" si="51"/>
        <v>2.0626469036312232E-2</v>
      </c>
      <c r="E108" s="294" t="str" cm="1">
        <f t="array" aca="1" ref="E108" ca="1">_xlfn.IFS(D108&gt;ZPercent,"U",D108&lt;=-ZPercent,"D",TRUE,"Z")</f>
        <v>U</v>
      </c>
      <c r="F108" s="294" t="str">
        <f t="shared" ca="1" si="54"/>
        <v>DU</v>
      </c>
      <c r="G108" s="294" t="str">
        <f t="shared" ca="1" si="55"/>
        <v>DDU</v>
      </c>
      <c r="H108" s="868" t="str">
        <f t="shared" ca="1" si="56"/>
        <v/>
      </c>
      <c r="J108" s="89" vm="414">
        <f ca="1"/>
        <v>45811</v>
      </c>
      <c r="K108" s="89" vm="223">
        <f ca="1"/>
        <v>205.71</v>
      </c>
      <c r="N108" s="868" t="str">
        <f ca="1">IF(F108=[2]Sheet1!O106,"","dif")</f>
        <v>dif</v>
      </c>
      <c r="Q108" s="868"/>
      <c r="AC108" s="869"/>
      <c r="AE108" s="1242" t="str">
        <f ca="1">IF($AC$105=AE109,AE109,"")</f>
        <v>D</v>
      </c>
      <c r="AF108" s="1242" t="str">
        <f ca="1">IF($AC$105=AF109,AF109,"")</f>
        <v/>
      </c>
      <c r="AG108" s="1242" t="str">
        <f ca="1">IF($AC$105=AG109,AG109,"")</f>
        <v/>
      </c>
      <c r="AH108" s="923"/>
      <c r="AQ108" s="923"/>
      <c r="AR108" s="1242" t="str">
        <f ca="1">IF($AC$105=AR109,AR109,"")</f>
        <v>D</v>
      </c>
      <c r="AS108" s="1242" t="str">
        <f ca="1">IF($AC$105=AS109,AS109,"")</f>
        <v/>
      </c>
      <c r="AT108" s="1242" t="str">
        <f ca="1">IF($AC$105=AT109,AT109,"")</f>
        <v/>
      </c>
    </row>
    <row r="109" spans="2:98" ht="23" thickBot="1" x14ac:dyDescent="0.35">
      <c r="B109" s="89" vm="415">
        <f ca="1"/>
        <v>45831</v>
      </c>
      <c r="C109" s="89" vm="416">
        <f ca="1"/>
        <v>208.47</v>
      </c>
      <c r="D109" s="1210">
        <f t="shared" ca="1" si="51"/>
        <v>-5.81811245171443E-3</v>
      </c>
      <c r="E109" s="294" t="str" cm="1">
        <f t="array" aca="1" ref="E109" ca="1">_xlfn.IFS(D109&gt;ZPercent,"U",D109&lt;=-ZPercent,"D",TRUE,"Z")</f>
        <v>D</v>
      </c>
      <c r="F109" s="294" t="str">
        <f t="shared" ca="1" si="54"/>
        <v>DD</v>
      </c>
      <c r="G109" s="294" t="str">
        <f t="shared" ca="1" si="55"/>
        <v>DDD</v>
      </c>
      <c r="H109" s="868" t="str">
        <f t="shared" ca="1" si="56"/>
        <v/>
      </c>
      <c r="J109" s="89" vm="417">
        <f ca="1"/>
        <v>45812</v>
      </c>
      <c r="K109" s="89" vm="418">
        <f ca="1"/>
        <v>207.23</v>
      </c>
      <c r="N109" s="868" t="str">
        <f ca="1">IF(F109=[2]Sheet1!O107,"","dif")</f>
        <v>dif</v>
      </c>
      <c r="Q109" s="1216"/>
      <c r="R109" s="1216" t="str" cm="1">
        <f t="array" aca="1" ref="R109:T109" ca="1">TRANSPOSE(Q110:Q112)</f>
        <v>D</v>
      </c>
      <c r="S109" s="1222" t="str">
        <f ca="1"/>
        <v>Z</v>
      </c>
      <c r="T109" s="1223" t="str">
        <f ca="1"/>
        <v>U</v>
      </c>
      <c r="AC109" s="869"/>
      <c r="AD109" s="1216">
        <f ca="1">ROWS(_xlfn.UNIQUE(G103:G105))</f>
        <v>3</v>
      </c>
      <c r="AE109" s="1216" t="str">
        <f ca="1">R109</f>
        <v>D</v>
      </c>
      <c r="AF109" s="1222" t="str">
        <f ca="1">S109</f>
        <v>Z</v>
      </c>
      <c r="AG109" s="1223" t="str">
        <f ca="1">T109</f>
        <v>U</v>
      </c>
      <c r="AH109" s="1203"/>
      <c r="AQ109" s="1216"/>
      <c r="AR109" s="1216" t="str">
        <f ca="1">AE109</f>
        <v>D</v>
      </c>
      <c r="AS109" s="1222" t="str">
        <f ca="1">AF109</f>
        <v>Z</v>
      </c>
      <c r="AT109" s="1223" t="str">
        <f ca="1">AG109</f>
        <v>U</v>
      </c>
      <c r="BT109" s="869"/>
      <c r="CH109" s="869"/>
      <c r="CJ109" s="1242" t="str">
        <f ca="1">IF($AC$105=CJ110,CJ110,"")</f>
        <v>D</v>
      </c>
      <c r="CK109" s="1242" t="str">
        <f ca="1">IF($AC$105=CK110,CK110,"")</f>
        <v/>
      </c>
      <c r="CL109" s="1242" t="str">
        <f ca="1">IF($AC$105=CL110,CL110,"")</f>
        <v/>
      </c>
      <c r="CM109" s="923"/>
      <c r="CP109" s="923"/>
      <c r="CQ109" s="1242" t="str">
        <f ca="1">IF($AC$105=CQ110,CQ110,"")</f>
        <v>D</v>
      </c>
      <c r="CR109" s="1242" t="str">
        <f ca="1">IF($AC$105=CR110,CR110,"")</f>
        <v/>
      </c>
      <c r="CT109" s="1296">
        <f>MAX(CT111:CT113)</f>
        <v>0</v>
      </c>
    </row>
    <row r="110" spans="2:98" ht="24" thickTop="1" thickBot="1" x14ac:dyDescent="0.35">
      <c r="B110" s="89" vm="419">
        <f ca="1"/>
        <v>45828</v>
      </c>
      <c r="C110" s="89" vm="420">
        <f ca="1"/>
        <v>209.69</v>
      </c>
      <c r="D110" s="1210">
        <f t="shared" ca="1" si="51"/>
        <v>-1.3316393751176417E-2</v>
      </c>
      <c r="E110" s="294" t="str" cm="1">
        <f t="array" aca="1" ref="E110" ca="1">_xlfn.IFS(D110&gt;ZPercent,"U",D110&lt;=-ZPercent,"D",TRUE,"Z")</f>
        <v>D</v>
      </c>
      <c r="F110" s="294" t="str">
        <f t="shared" ca="1" si="54"/>
        <v>DD</v>
      </c>
      <c r="G110" s="294" t="str">
        <f t="shared" ca="1" si="55"/>
        <v>DDD</v>
      </c>
      <c r="H110" s="868" t="str">
        <f t="shared" ca="1" si="56"/>
        <v/>
      </c>
      <c r="J110" s="89" vm="421">
        <f ca="1"/>
        <v>45813</v>
      </c>
      <c r="K110" s="89" vm="422">
        <f ca="1"/>
        <v>207.91</v>
      </c>
      <c r="N110" s="868" t="str">
        <f ca="1">IF(F110=[2]Sheet1!O108,"","dif")</f>
        <v>dif</v>
      </c>
      <c r="P110" s="869"/>
      <c r="Q110" s="1234" t="str" cm="1">
        <f t="array" aca="1" ref="Q110:Q112" ca="1">_xlfn.UNIQUE(E5:E25)</f>
        <v>D</v>
      </c>
      <c r="R110" s="1238" cm="1">
        <f t="array" aca="1" ref="R110" ca="1">SUM( ($E$7:$E$212=$Q110) * ($E$6:$E$211=R$109) )</f>
        <v>28</v>
      </c>
      <c r="S110" s="1238" cm="1">
        <f t="array" aca="1" ref="S110" ca="1">SUM( ($E$7:$E$212=$Q110) * ($E$6:$E$211=S$109) )</f>
        <v>19</v>
      </c>
      <c r="T110" s="1239" cm="1">
        <f t="array" aca="1" ref="T110" ca="1">SUM( ($E$7:$E$212=$Q110) * ($E$6:$E$211=T$109) )</f>
        <v>32</v>
      </c>
      <c r="AB110" s="1194" cm="1">
        <f t="array" aca="1" ref="AB110" ca="1">IFERROR(INDEX($AE110:$AG110,
       MATCH(TRUE,
             (($AD110=AC$105)*
              ($AE$109:$AG$109=$AC$106)*
              ($AE110:$AG110&gt;0))&gt;0,
       0)),0)</f>
        <v>0.4050632911392405</v>
      </c>
      <c r="AC110" s="1290">
        <f ca="1">SUM(R110:T110)</f>
        <v>79</v>
      </c>
      <c r="AD110" s="1234" t="str">
        <f ca="1">Q110</f>
        <v>D</v>
      </c>
      <c r="AE110" s="1228">
        <f t="shared" ref="AE110:AG112" ca="1" si="111">R110/$AC110</f>
        <v>0.35443037974683544</v>
      </c>
      <c r="AF110" s="1228">
        <f t="shared" ca="1" si="111"/>
        <v>0.24050632911392406</v>
      </c>
      <c r="AG110" s="1229">
        <f t="shared" ca="1" si="111"/>
        <v>0.4050632911392405</v>
      </c>
      <c r="AQ110" s="1234" t="str">
        <f ca="1">AD110</f>
        <v>D</v>
      </c>
      <c r="AR110" s="1228">
        <f t="shared" ref="AR110:AT112" ca="1" si="112">AE110/SUM(AE$110:AE$112)</f>
        <v>0.30292811779913448</v>
      </c>
      <c r="AS110" s="1228">
        <f t="shared" ca="1" si="112"/>
        <v>0.34005383217192825</v>
      </c>
      <c r="AT110" s="1229">
        <f t="shared" ca="1" si="112"/>
        <v>0.36078564588537437</v>
      </c>
      <c r="BU110" s="1216"/>
      <c r="BV110" s="1216" t="str" cm="1">
        <f t="array" aca="1" ref="BV110:BX110" ca="1">TRANSPOSE(BU111:BU113)</f>
        <v>D</v>
      </c>
      <c r="BW110" s="1222" t="str">
        <f ca="1"/>
        <v>Z</v>
      </c>
      <c r="BX110" s="1223" t="str">
        <f ca="1"/>
        <v>U</v>
      </c>
      <c r="CH110" s="869"/>
      <c r="CI110" s="1216">
        <f>ROWS(_xlfn.UNIQUE(AH113:AH115))</f>
        <v>1</v>
      </c>
      <c r="CJ110" s="1216" t="str">
        <f ca="1">BV110</f>
        <v>D</v>
      </c>
      <c r="CK110" s="1222" t="str">
        <f ca="1">BW110</f>
        <v>Z</v>
      </c>
      <c r="CL110" s="1223" t="str">
        <f ca="1">BX110</f>
        <v>U</v>
      </c>
      <c r="CM110" s="1203"/>
      <c r="CP110" s="1216"/>
      <c r="CQ110" s="1216" t="str">
        <f ca="1">CJ110</f>
        <v>D</v>
      </c>
      <c r="CR110" s="1222" t="str">
        <f ca="1">CK110</f>
        <v>Z</v>
      </c>
      <c r="CS110" s="1223" t="str">
        <f ca="1">CL110</f>
        <v>U</v>
      </c>
    </row>
    <row r="111" spans="2:98" ht="23" thickTop="1" x14ac:dyDescent="0.3">
      <c r="B111" s="89" vm="423">
        <f ca="1"/>
        <v>45826</v>
      </c>
      <c r="C111" s="89" vm="424">
        <f ca="1"/>
        <v>212.52</v>
      </c>
      <c r="D111" s="1210">
        <f t="shared" ca="1" si="51"/>
        <v>-1.0706638115631613E-2</v>
      </c>
      <c r="E111" s="294" t="str" cm="1">
        <f t="array" aca="1" ref="E111" ca="1">_xlfn.IFS(D111&gt;ZPercent,"U",D111&lt;=-ZPercent,"D",TRUE,"Z")</f>
        <v>D</v>
      </c>
      <c r="F111" s="294" t="str">
        <f t="shared" ca="1" si="54"/>
        <v>DD</v>
      </c>
      <c r="G111" s="294" t="str">
        <f t="shared" ca="1" si="55"/>
        <v>UDD</v>
      </c>
      <c r="H111" s="868" t="str">
        <f t="shared" ca="1" si="56"/>
        <v/>
      </c>
      <c r="J111" s="89" vm="425">
        <f ca="1"/>
        <v>45814</v>
      </c>
      <c r="K111" s="89" vm="426">
        <f ca="1"/>
        <v>213.57</v>
      </c>
      <c r="N111" s="868" t="str">
        <f ca="1">IF(F111=[2]Sheet1!O109,"","dif")</f>
        <v>dif</v>
      </c>
      <c r="P111" s="869"/>
      <c r="Q111" s="1234" t="str">
        <f ca="1"/>
        <v>Z</v>
      </c>
      <c r="R111" s="1238" cm="1">
        <f t="array" aca="1" ref="R111" ca="1">SUM( ($E$7:$E$212=$Q111) * ($E$6:$E$211=R$109) )</f>
        <v>20</v>
      </c>
      <c r="S111" s="1238" cm="1">
        <f t="array" aca="1" ref="S111" ca="1">SUM( ($E$7:$E$212=$Q111) * ($E$6:$E$211=S$109) )</f>
        <v>11</v>
      </c>
      <c r="T111" s="1239" cm="1">
        <f t="array" aca="1" ref="T111" ca="1">SUM( ($E$7:$E$212=$Q111) * ($E$6:$E$211=T$109) )</f>
        <v>19</v>
      </c>
      <c r="AB111" s="1194" cm="1">
        <f t="array" aca="1" ref="AB111" ca="1">IFERROR(INDEX($AE111:$AG111,
       MATCH(TRUE,
             (($AD111=AC$105)*
              ($AE$109:$AG$109=$AC$106)*
              ($AE111:$AG111&gt;0))&gt;0,
       0)),0)</f>
        <v>0</v>
      </c>
      <c r="AC111" s="1290">
        <f ca="1">SUM(R111:T111)</f>
        <v>50</v>
      </c>
      <c r="AD111" s="1234" t="str">
        <f ca="1">Q111</f>
        <v>Z</v>
      </c>
      <c r="AE111" s="1228">
        <f t="shared" ca="1" si="111"/>
        <v>0.4</v>
      </c>
      <c r="AF111" s="1228">
        <f t="shared" ca="1" si="111"/>
        <v>0.22</v>
      </c>
      <c r="AG111" s="1229">
        <f t="shared" ca="1" si="111"/>
        <v>0.38</v>
      </c>
      <c r="AQ111" s="1234" t="str">
        <f ca="1">AD111</f>
        <v>Z</v>
      </c>
      <c r="AR111" s="1228">
        <f t="shared" ca="1" si="112"/>
        <v>0.34187601865902317</v>
      </c>
      <c r="AS111" s="1228">
        <f t="shared" ca="1" si="112"/>
        <v>0.31105976858674278</v>
      </c>
      <c r="AT111" s="1229">
        <f t="shared" ca="1" si="112"/>
        <v>0.33846203404621683</v>
      </c>
      <c r="BT111" s="1290">
        <f ca="1">SUM(BV111:BX111)</f>
        <v>35</v>
      </c>
      <c r="BU111" s="1234" t="str" cm="1">
        <f t="array" aca="1" ref="BU111:BU113" ca="1">_xlfn.UNIQUE(E5:E25)</f>
        <v>D</v>
      </c>
      <c r="BV111" s="1238" cm="1">
        <f t="array" aca="1" ref="BV111" ca="1">SUM( ($E$7:$E$25=$Q94) * ($E$6:$E$24=BV$92) )</f>
        <v>0</v>
      </c>
      <c r="BW111" s="1238" cm="1">
        <f t="array" aca="1" ref="BW111" ca="1">SUM( ($E$7:$E$155=$Q110) * ($E$6:$E$154=BW$110) )</f>
        <v>16</v>
      </c>
      <c r="BX111" s="1239" cm="1">
        <f t="array" aca="1" ref="BX111" ca="1">SUM( ($E$7:$E$155=$Q110) * ($E$6:$E$154=BX$110) )</f>
        <v>19</v>
      </c>
      <c r="CG111" s="1194" cm="1">
        <f t="array" aca="1" ref="CG111" ca="1">IFERROR(INDEX($CJ111:$CL111,
       MATCH(TRUE,
             (($CI111=CH$105)*
              ($CJ$110:$CL$110=$CH$106)*
              ($CJ111:$CL111&gt;0))&gt;0,
       0)),0)</f>
        <v>0.54285714285714282</v>
      </c>
      <c r="CI111" s="1234" t="str">
        <f ca="1">BU111</f>
        <v>D</v>
      </c>
      <c r="CJ111" s="1228">
        <f t="shared" ref="CJ111:CL113" ca="1" si="113">BV111/$BT111</f>
        <v>0</v>
      </c>
      <c r="CK111" s="1228">
        <f t="shared" ca="1" si="113"/>
        <v>0.45714285714285713</v>
      </c>
      <c r="CL111" s="1229">
        <f t="shared" ca="1" si="113"/>
        <v>0.54285714285714282</v>
      </c>
      <c r="CP111" s="1234" t="str">
        <f ca="1">CI111</f>
        <v>D</v>
      </c>
      <c r="CQ111" s="1228">
        <f t="shared" ref="CQ111:CS113" ca="1" si="114">CJ111/SUM(CJ$111:CJ$113)</f>
        <v>0</v>
      </c>
      <c r="CR111" s="1228">
        <f t="shared" ca="1" si="114"/>
        <v>0.48120300751879702</v>
      </c>
      <c r="CS111" s="1229">
        <f t="shared" ca="1" si="114"/>
        <v>0.41416893732970023</v>
      </c>
    </row>
    <row r="112" spans="2:98" ht="23" thickBot="1" x14ac:dyDescent="0.35">
      <c r="B112" s="89" vm="427">
        <f ca="1"/>
        <v>45825</v>
      </c>
      <c r="C112" s="89" vm="428">
        <f ca="1"/>
        <v>214.82</v>
      </c>
      <c r="D112" s="1210">
        <f t="shared" ca="1" si="51"/>
        <v>-5.9231837112447994E-3</v>
      </c>
      <c r="E112" s="294" t="str" cm="1">
        <f t="array" aca="1" ref="E112" ca="1">_xlfn.IFS(D112&gt;ZPercent,"U",D112&lt;=-ZPercent,"D",TRUE,"Z")</f>
        <v>D</v>
      </c>
      <c r="F112" s="294" t="str">
        <f t="shared" ca="1" si="54"/>
        <v>UD</v>
      </c>
      <c r="G112" s="294" t="str">
        <f t="shared" ca="1" si="55"/>
        <v>DUD</v>
      </c>
      <c r="H112" s="868" t="str">
        <f t="shared" ca="1" si="56"/>
        <v/>
      </c>
      <c r="J112" s="89" vm="429">
        <f ca="1"/>
        <v>45817</v>
      </c>
      <c r="K112" s="89" vm="430">
        <f ca="1"/>
        <v>216.98</v>
      </c>
      <c r="N112" s="868" t="str">
        <f ca="1">IF(F112=[2]Sheet1!O110,"","dif")</f>
        <v>dif</v>
      </c>
      <c r="P112" s="869"/>
      <c r="Q112" s="1235" t="str">
        <f ca="1"/>
        <v>U</v>
      </c>
      <c r="R112" s="1240" cm="1">
        <f t="array" aca="1" ref="R112" ca="1">SUM( ($E$7:$E$212=$Q112) * ($E$6:$E$211=R$109) )</f>
        <v>32</v>
      </c>
      <c r="S112" s="1240" cm="1">
        <f t="array" aca="1" ref="S112" ca="1">SUM( ($E$7:$E$212=$Q112) * ($E$6:$E$211=S$109) )</f>
        <v>19</v>
      </c>
      <c r="T112" s="1241" cm="1">
        <f t="array" aca="1" ref="T112" ca="1">SUM( ($E$7:$E$212=$Q112) * ($E$6:$E$211=T$109) )</f>
        <v>26</v>
      </c>
      <c r="AB112" s="1194" cm="1">
        <f t="array" aca="1" ref="AB112" ca="1">IFERROR(INDEX($AE112:$AG112,
       MATCH(TRUE,
             (($AD112=AC$105)*
              ($AE$109:$AG$109=$AC$106)*
              ($AE112:$AG112&gt;0))&gt;0,
       0)),0)</f>
        <v>0</v>
      </c>
      <c r="AC112" s="1290">
        <f ca="1">SUM(R112:T112)</f>
        <v>77</v>
      </c>
      <c r="AD112" s="1235" t="str">
        <f ca="1">Q112</f>
        <v>U</v>
      </c>
      <c r="AE112" s="1231">
        <f t="shared" ca="1" si="111"/>
        <v>0.41558441558441561</v>
      </c>
      <c r="AF112" s="1231">
        <f t="shared" ca="1" si="111"/>
        <v>0.24675324675324675</v>
      </c>
      <c r="AG112" s="1232">
        <f t="shared" ca="1" si="111"/>
        <v>0.33766233766233766</v>
      </c>
      <c r="AQ112" s="1235" t="str">
        <f ca="1">AD112</f>
        <v>U</v>
      </c>
      <c r="AR112" s="1231">
        <f t="shared" ca="1" si="112"/>
        <v>0.35519586354184229</v>
      </c>
      <c r="AS112" s="1231">
        <f t="shared" ca="1" si="112"/>
        <v>0.34888639924132897</v>
      </c>
      <c r="AT112" s="1232">
        <f t="shared" ca="1" si="112"/>
        <v>0.30075232006840869</v>
      </c>
      <c r="BT112" s="1290">
        <f ca="1">SUM(BV112:BX112)</f>
        <v>40</v>
      </c>
      <c r="BU112" s="1234" t="str">
        <f ca="1"/>
        <v>Z</v>
      </c>
      <c r="BV112" s="1238" cm="1">
        <f t="array" aca="1" ref="BV112" ca="1">SUM( ($E$7:$E$155=$Q111) * ($E$6:$E$154=BV$110) )</f>
        <v>16</v>
      </c>
      <c r="BW112" s="1238" cm="1">
        <f t="array" aca="1" ref="BW112" ca="1">SUM( ($E$7:$E$155=$Q111) * ($E$6:$E$154=BW$110) )</f>
        <v>9</v>
      </c>
      <c r="BX112" s="1239" cm="1">
        <f t="array" aca="1" ref="BX112" ca="1">SUM( ($E$7:$E$155=$Q111) * ($E$6:$E$154=BX$110) )</f>
        <v>15</v>
      </c>
      <c r="CG112" s="1194" cm="1">
        <f t="array" aca="1" ref="CG112" ca="1">IFERROR(INDEX($CJ112:$CL112,
       MATCH(TRUE,
             (($CI112=CH$105)*
              ($CJ$110:$CL$110=$CH$106)*
              ($CJ112:$CL112&gt;0))&gt;0,
       0)),0)</f>
        <v>0</v>
      </c>
      <c r="CI112" s="1234" t="str">
        <f ca="1">BU112</f>
        <v>Z</v>
      </c>
      <c r="CJ112" s="1228">
        <f t="shared" ca="1" si="113"/>
        <v>0.4</v>
      </c>
      <c r="CK112" s="1228">
        <f t="shared" ca="1" si="113"/>
        <v>0.22500000000000001</v>
      </c>
      <c r="CL112" s="1229">
        <f t="shared" ca="1" si="113"/>
        <v>0.375</v>
      </c>
      <c r="CP112" s="1234" t="str">
        <f ca="1">CI112</f>
        <v>Z</v>
      </c>
      <c r="CQ112" s="1228">
        <f t="shared" ca="1" si="114"/>
        <v>0.54106280193236711</v>
      </c>
      <c r="CR112" s="1228">
        <f t="shared" ca="1" si="114"/>
        <v>0.23684210526315791</v>
      </c>
      <c r="CS112" s="1229">
        <f t="shared" ca="1" si="114"/>
        <v>0.28610354223433243</v>
      </c>
    </row>
    <row r="113" spans="2:97" ht="23" thickBot="1" x14ac:dyDescent="0.35">
      <c r="B113" s="89" vm="431">
        <f ca="1"/>
        <v>45824</v>
      </c>
      <c r="C113" s="89" vm="432">
        <f ca="1"/>
        <v>216.1</v>
      </c>
      <c r="D113" s="1210">
        <f t="shared" ca="1" si="51"/>
        <v>1.885902876001886E-2</v>
      </c>
      <c r="E113" s="294" t="str" cm="1">
        <f t="array" aca="1" ref="E113" ca="1">_xlfn.IFS(D113&gt;ZPercent,"U",D113&lt;=-ZPercent,"D",TRUE,"Z")</f>
        <v>U</v>
      </c>
      <c r="F113" s="294" t="str">
        <f t="shared" ca="1" si="54"/>
        <v>DU</v>
      </c>
      <c r="G113" s="294" t="str">
        <f t="shared" ca="1" si="55"/>
        <v>ZDU</v>
      </c>
      <c r="H113" s="868" t="str">
        <f t="shared" ca="1" si="56"/>
        <v/>
      </c>
      <c r="J113" s="89" vm="433">
        <f ca="1"/>
        <v>45818</v>
      </c>
      <c r="K113" s="89" vm="434">
        <f ca="1"/>
        <v>217.61</v>
      </c>
      <c r="N113" s="868" t="str">
        <f ca="1">IF(F113=[2]Sheet1!O111,"","dif")</f>
        <v>dif</v>
      </c>
      <c r="AC113" s="869"/>
      <c r="AD113" s="1355" t="s">
        <v>2732</v>
      </c>
      <c r="AE113" s="868">
        <v>0.38786090647190596</v>
      </c>
      <c r="AF113" s="868">
        <v>0.26722571712731896</v>
      </c>
      <c r="AG113" s="868">
        <v>0.34491337640077513</v>
      </c>
      <c r="AQ113" s="1355" t="s">
        <v>2732</v>
      </c>
      <c r="AR113" s="868">
        <v>0.33359290047434614</v>
      </c>
      <c r="AS113" s="868">
        <v>0.33312884953579752</v>
      </c>
      <c r="AT113" s="868">
        <v>0.33327824998985628</v>
      </c>
      <c r="BT113" s="1290">
        <f ca="1">SUM(BV113:BX113)</f>
        <v>56</v>
      </c>
      <c r="BU113" s="1235" t="str">
        <f ca="1"/>
        <v>U</v>
      </c>
      <c r="BV113" s="1240" cm="1">
        <f t="array" aca="1" ref="BV113" ca="1">SUM( ($E$7:$E$155=$Q112) * ($E$6:$E$154=BV$110) )</f>
        <v>19</v>
      </c>
      <c r="BW113" s="1240" cm="1">
        <f t="array" aca="1" ref="BW113" ca="1">SUM( ($E$7:$E$155=$Q112) * ($E$6:$E$154=BW$110) )</f>
        <v>15</v>
      </c>
      <c r="BX113" s="1241" cm="1">
        <f t="array" aca="1" ref="BX113" ca="1">SUM( ($E$7:$E$155=$Q112) * ($E$6:$E$154=BX$110) )</f>
        <v>22</v>
      </c>
      <c r="CG113" s="1194" cm="1">
        <f t="array" aca="1" ref="CG113" ca="1">IFERROR(INDEX($CJ113:$CL113,
       MATCH(TRUE,
             (($CI113=CH$105)*
              ($CJ$110:$CL$110=$CH$106)*
              ($CJ113:$CL113&gt;0))&gt;0,
       0)),0)</f>
        <v>0</v>
      </c>
      <c r="CI113" s="1235" t="str">
        <f ca="1">BU113</f>
        <v>U</v>
      </c>
      <c r="CJ113" s="1231">
        <f t="shared" ca="1" si="113"/>
        <v>0.3392857142857143</v>
      </c>
      <c r="CK113" s="1231">
        <f t="shared" ca="1" si="113"/>
        <v>0.26785714285714285</v>
      </c>
      <c r="CL113" s="1232">
        <f t="shared" ca="1" si="113"/>
        <v>0.39285714285714285</v>
      </c>
      <c r="CP113" s="1235" t="str">
        <f ca="1">CI113</f>
        <v>U</v>
      </c>
      <c r="CQ113" s="1231">
        <f t="shared" ca="1" si="114"/>
        <v>0.45893719806763283</v>
      </c>
      <c r="CR113" s="1231">
        <f t="shared" ca="1" si="114"/>
        <v>0.28195488721804512</v>
      </c>
      <c r="CS113" s="1232">
        <f t="shared" ca="1" si="114"/>
        <v>0.29972752043596729</v>
      </c>
    </row>
    <row r="114" spans="2:97" x14ac:dyDescent="0.3">
      <c r="B114" s="89" vm="435">
        <f ca="1"/>
        <v>45821</v>
      </c>
      <c r="C114" s="89" vm="436">
        <f ca="1"/>
        <v>212.1</v>
      </c>
      <c r="D114" s="1210">
        <f t="shared" ca="1" si="51"/>
        <v>-5.3460889138998999E-3</v>
      </c>
      <c r="E114" s="294" t="str" cm="1">
        <f t="array" aca="1" ref="E114" ca="1">_xlfn.IFS(D114&gt;ZPercent,"U",D114&lt;=-ZPercent,"D",TRUE,"Z")</f>
        <v>D</v>
      </c>
      <c r="F114" s="294" t="str">
        <f t="shared" ca="1" si="54"/>
        <v>ZD</v>
      </c>
      <c r="G114" s="294" t="str">
        <f t="shared" ca="1" si="55"/>
        <v>DZD</v>
      </c>
      <c r="H114" s="868" t="str">
        <f t="shared" ca="1" si="56"/>
        <v>ZZ</v>
      </c>
      <c r="J114" s="89" vm="437">
        <f ca="1"/>
        <v>45819</v>
      </c>
      <c r="K114" s="89" vm="438">
        <f ca="1"/>
        <v>213.2</v>
      </c>
      <c r="N114" s="868" t="str">
        <f ca="1">IF(F114=[2]Sheet1!O112,"","dif")</f>
        <v>dif</v>
      </c>
    </row>
    <row r="115" spans="2:97" x14ac:dyDescent="0.3">
      <c r="B115" s="89" vm="439">
        <f ca="1"/>
        <v>45820</v>
      </c>
      <c r="C115" s="89" vm="440">
        <f ca="1"/>
        <v>213.24</v>
      </c>
      <c r="D115" s="1210">
        <f t="shared" ca="1" si="51"/>
        <v>1.876172607880885E-4</v>
      </c>
      <c r="E115" s="294" t="str" cm="1">
        <f t="array" aca="1" ref="E115" ca="1">_xlfn.IFS(D115&gt;ZPercent,"U",D115&lt;=-ZPercent,"D",TRUE,"Z")</f>
        <v>Z</v>
      </c>
      <c r="F115" s="294" t="str">
        <f t="shared" ca="1" si="54"/>
        <v>DZ</v>
      </c>
      <c r="G115" s="294" t="str">
        <f t="shared" ca="1" si="55"/>
        <v>ZDZ</v>
      </c>
      <c r="H115" s="868" t="str">
        <f t="shared" ca="1" si="56"/>
        <v/>
      </c>
      <c r="J115" s="89" vm="439">
        <f ca="1"/>
        <v>45820</v>
      </c>
      <c r="K115" s="89" vm="440">
        <f ca="1"/>
        <v>213.24</v>
      </c>
      <c r="N115" s="868" t="str">
        <f ca="1">IF(F115=[2]Sheet1!O113,"","dif")</f>
        <v>dif</v>
      </c>
    </row>
    <row r="116" spans="2:97" x14ac:dyDescent="0.3">
      <c r="B116" s="89" vm="437">
        <f ca="1"/>
        <v>45819</v>
      </c>
      <c r="C116" s="89" vm="438">
        <f ca="1"/>
        <v>213.2</v>
      </c>
      <c r="D116" s="1210">
        <f t="shared" ca="1" si="51"/>
        <v>-2.0265612793529824E-2</v>
      </c>
      <c r="E116" s="294" t="str" cm="1">
        <f t="array" aca="1" ref="E116" ca="1">_xlfn.IFS(D116&gt;ZPercent,"U",D116&lt;=-ZPercent,"D",TRUE,"Z")</f>
        <v>D</v>
      </c>
      <c r="F116" s="294" t="str">
        <f t="shared" ca="1" si="54"/>
        <v>ZD</v>
      </c>
      <c r="G116" s="294" t="str">
        <f t="shared" ca="1" si="55"/>
        <v>UZD</v>
      </c>
      <c r="H116" s="868" t="str">
        <f t="shared" ca="1" si="56"/>
        <v>ZZ</v>
      </c>
      <c r="J116" s="89" vm="435">
        <f ca="1"/>
        <v>45821</v>
      </c>
      <c r="K116" s="89" vm="436">
        <f ca="1"/>
        <v>212.1</v>
      </c>
      <c r="N116" s="868" t="str">
        <f ca="1">IF(F116=[2]Sheet1!O114,"","dif")</f>
        <v>dif</v>
      </c>
    </row>
    <row r="117" spans="2:97" x14ac:dyDescent="0.3">
      <c r="B117" s="89" vm="433">
        <f ca="1"/>
        <v>45818</v>
      </c>
      <c r="C117" s="89" vm="434">
        <f ca="1"/>
        <v>217.61</v>
      </c>
      <c r="D117" s="1210">
        <f t="shared" ca="1" si="51"/>
        <v>2.9034934095309426E-3</v>
      </c>
      <c r="E117" s="294" t="str" cm="1">
        <f t="array" aca="1" ref="E117" ca="1">_xlfn.IFS(D117&gt;ZPercent,"U",D117&lt;=-ZPercent,"D",TRUE,"Z")</f>
        <v>Z</v>
      </c>
      <c r="F117" s="294" t="str">
        <f t="shared" ca="1" si="54"/>
        <v>UZ</v>
      </c>
      <c r="G117" s="294" t="str">
        <f t="shared" ca="1" si="55"/>
        <v>UUZ</v>
      </c>
      <c r="H117" s="868" t="str">
        <f t="shared" ca="1" si="56"/>
        <v/>
      </c>
      <c r="J117" s="89" vm="431">
        <f ca="1"/>
        <v>45824</v>
      </c>
      <c r="K117" s="89" vm="432">
        <f ca="1"/>
        <v>216.1</v>
      </c>
      <c r="N117" s="868" t="str">
        <f ca="1">IF(F117=[2]Sheet1!O115,"","dif")</f>
        <v>dif</v>
      </c>
    </row>
    <row r="118" spans="2:97" x14ac:dyDescent="0.3">
      <c r="B118" s="89" vm="429">
        <f ca="1"/>
        <v>45817</v>
      </c>
      <c r="C118" s="89" vm="430">
        <f ca="1"/>
        <v>216.98</v>
      </c>
      <c r="D118" s="1210">
        <f t="shared" ca="1" si="51"/>
        <v>1.5966661984361082E-2</v>
      </c>
      <c r="E118" s="294" t="str" cm="1">
        <f t="array" aca="1" ref="E118" ca="1">_xlfn.IFS(D118&gt;ZPercent,"U",D118&lt;=-ZPercent,"D",TRUE,"Z")</f>
        <v>U</v>
      </c>
      <c r="F118" s="294" t="str">
        <f t="shared" ca="1" si="54"/>
        <v>UU</v>
      </c>
      <c r="G118" s="294" t="str">
        <f t="shared" ca="1" si="55"/>
        <v>ZUU</v>
      </c>
      <c r="H118" s="868" t="str">
        <f t="shared" ca="1" si="56"/>
        <v/>
      </c>
      <c r="J118" s="89" vm="427">
        <f ca="1"/>
        <v>45825</v>
      </c>
      <c r="K118" s="89" vm="428">
        <f ca="1"/>
        <v>214.82</v>
      </c>
      <c r="N118" s="868" t="str">
        <f ca="1">IF(F118=[2]Sheet1!O116,"","dif")</f>
        <v>dif</v>
      </c>
    </row>
    <row r="119" spans="2:97" ht="27" x14ac:dyDescent="0.35">
      <c r="B119" s="89" vm="425">
        <f ca="1"/>
        <v>45814</v>
      </c>
      <c r="C119" s="89" vm="426">
        <f ca="1"/>
        <v>213.57</v>
      </c>
      <c r="D119" s="1210">
        <f t="shared" ca="1" si="51"/>
        <v>2.7223317781732464E-2</v>
      </c>
      <c r="E119" s="294" t="str" cm="1">
        <f t="array" aca="1" ref="E119" ca="1">_xlfn.IFS(D119&gt;ZPercent,"U",D119&lt;=-ZPercent,"D",TRUE,"Z")</f>
        <v>U</v>
      </c>
      <c r="F119" s="294" t="str">
        <f t="shared" ca="1" si="54"/>
        <v>ZU</v>
      </c>
      <c r="G119" s="294" t="str">
        <f t="shared" ca="1" si="55"/>
        <v>UZU</v>
      </c>
      <c r="H119" s="868" t="str">
        <f t="shared" ca="1" si="56"/>
        <v/>
      </c>
      <c r="J119" s="89" vm="423">
        <f ca="1"/>
        <v>45826</v>
      </c>
      <c r="K119" s="89" vm="424">
        <f ca="1"/>
        <v>212.52</v>
      </c>
      <c r="N119" s="868" t="str">
        <f ca="1">IF(F119=[2]Sheet1!O117,"","dif")</f>
        <v/>
      </c>
      <c r="BD119" s="1407" t="s">
        <v>2760</v>
      </c>
    </row>
    <row r="120" spans="2:97" x14ac:dyDescent="0.3">
      <c r="B120" s="89" vm="421">
        <f ca="1"/>
        <v>45813</v>
      </c>
      <c r="C120" s="89" vm="422">
        <f ca="1"/>
        <v>207.91</v>
      </c>
      <c r="D120" s="1210">
        <f t="shared" ca="1" si="51"/>
        <v>3.2813781788351439E-3</v>
      </c>
      <c r="E120" s="294" t="str" cm="1">
        <f t="array" aca="1" ref="E120" ca="1">_xlfn.IFS(D120&gt;ZPercent,"U",D120&lt;=-ZPercent,"D",TRUE,"Z")</f>
        <v>Z</v>
      </c>
      <c r="F120" s="294" t="str">
        <f t="shared" ca="1" si="54"/>
        <v>UZ</v>
      </c>
      <c r="G120" s="294" t="str">
        <f t="shared" ca="1" si="55"/>
        <v>ZUZ</v>
      </c>
      <c r="H120" s="868" t="str">
        <f t="shared" ca="1" si="56"/>
        <v/>
      </c>
      <c r="J120" s="89" vm="419">
        <f ca="1"/>
        <v>45828</v>
      </c>
      <c r="K120" s="89" vm="420">
        <f ca="1"/>
        <v>209.69</v>
      </c>
      <c r="N120" s="868" t="str">
        <f ca="1">IF(F120=[2]Sheet1!O118,"","dif")</f>
        <v/>
      </c>
      <c r="BD120" s="882">
        <f>MAX(BD122:BD130)</f>
        <v>0.44827586206896552</v>
      </c>
      <c r="BE120" s="882">
        <f t="shared" ref="BE120:BL120" si="115">MAX(BE122:BE130)</f>
        <v>0.26315789473684209</v>
      </c>
      <c r="BF120" s="882">
        <f t="shared" si="115"/>
        <v>0.35</v>
      </c>
      <c r="BG120" s="882">
        <f t="shared" si="115"/>
        <v>0.36</v>
      </c>
      <c r="BH120" s="882">
        <f t="shared" si="115"/>
        <v>0.23333333333333334</v>
      </c>
      <c r="BI120" s="882">
        <f t="shared" si="115"/>
        <v>0.61538461538461542</v>
      </c>
      <c r="BJ120" s="882">
        <f t="shared" si="115"/>
        <v>0.44</v>
      </c>
      <c r="BK120" s="882">
        <f t="shared" si="115"/>
        <v>0.4642857142857143</v>
      </c>
      <c r="BL120" s="882">
        <f t="shared" si="115"/>
        <v>0.35714285714285715</v>
      </c>
    </row>
    <row r="121" spans="2:97" ht="23" thickBot="1" x14ac:dyDescent="0.35">
      <c r="B121" s="89" vm="417">
        <f ca="1"/>
        <v>45812</v>
      </c>
      <c r="C121" s="89" vm="418">
        <f ca="1"/>
        <v>207.23</v>
      </c>
      <c r="D121" s="1210">
        <f t="shared" ca="1" si="51"/>
        <v>7.3890428272810355E-3</v>
      </c>
      <c r="E121" s="294" t="str" cm="1">
        <f t="array" aca="1" ref="E121" ca="1">_xlfn.IFS(D121&gt;ZPercent,"U",D121&lt;=-ZPercent,"D",TRUE,"Z")</f>
        <v>U</v>
      </c>
      <c r="F121" s="294" t="str">
        <f t="shared" ca="1" si="54"/>
        <v>ZU</v>
      </c>
      <c r="G121" s="294" t="str">
        <f t="shared" ca="1" si="55"/>
        <v>UZU</v>
      </c>
      <c r="H121" s="868" t="str">
        <f t="shared" ca="1" si="56"/>
        <v/>
      </c>
      <c r="J121" s="89" vm="415">
        <f ca="1"/>
        <v>45831</v>
      </c>
      <c r="K121" s="89" vm="416">
        <f ca="1"/>
        <v>208.47</v>
      </c>
      <c r="N121" s="868" t="str">
        <f ca="1">IF(F121=[2]Sheet1!O119,"","dif")</f>
        <v>dif</v>
      </c>
      <c r="BG121" s="1414"/>
    </row>
    <row r="122" spans="2:97" ht="23" thickBot="1" x14ac:dyDescent="0.35">
      <c r="B122" s="89" vm="414">
        <f ca="1"/>
        <v>45811</v>
      </c>
      <c r="C122" s="89" vm="223">
        <f ca="1"/>
        <v>205.71</v>
      </c>
      <c r="D122" s="1210">
        <f t="shared" ca="1" si="51"/>
        <v>-4.5487539317686796E-3</v>
      </c>
      <c r="E122" s="294" t="str" cm="1">
        <f t="array" aca="1" ref="E122" ca="1">_xlfn.IFS(D122&gt;ZPercent,"U",D122&lt;=-ZPercent,"D",TRUE,"Z")</f>
        <v>Z</v>
      </c>
      <c r="F122" s="294" t="str">
        <f t="shared" ca="1" si="54"/>
        <v>UZ</v>
      </c>
      <c r="G122" s="294" t="str">
        <f t="shared" ca="1" si="55"/>
        <v>ZUZ</v>
      </c>
      <c r="H122" s="868" t="str">
        <f t="shared" ca="1" si="56"/>
        <v/>
      </c>
      <c r="J122" s="89" vm="412">
        <f ca="1"/>
        <v>45832</v>
      </c>
      <c r="K122" s="89" vm="413">
        <f ca="1"/>
        <v>212.77</v>
      </c>
      <c r="N122" s="868" t="str">
        <f ca="1">IF(F122=[2]Sheet1!O120,"","dif")</f>
        <v>dif</v>
      </c>
      <c r="BC122" s="1236">
        <v>9</v>
      </c>
      <c r="BD122" s="1224" t="s">
        <v>2739</v>
      </c>
      <c r="BE122" s="1217" t="s">
        <v>2735</v>
      </c>
      <c r="BF122" s="1217" t="s">
        <v>2737</v>
      </c>
      <c r="BG122" s="1217" t="s">
        <v>2741</v>
      </c>
      <c r="BH122" s="1217" t="s">
        <v>2733</v>
      </c>
      <c r="BI122" s="1217" t="s">
        <v>2734</v>
      </c>
      <c r="BJ122" s="1217" t="s">
        <v>2736</v>
      </c>
      <c r="BK122" s="1217" t="s">
        <v>2740</v>
      </c>
      <c r="BL122" s="1218" t="s">
        <v>2738</v>
      </c>
      <c r="BM122" s="882">
        <f t="shared" ref="BM122:BM131" si="116">SUM(BD122:BL122)</f>
        <v>0</v>
      </c>
    </row>
    <row r="123" spans="2:97" x14ac:dyDescent="0.3">
      <c r="B123" s="89" vm="410">
        <f ca="1"/>
        <v>45810</v>
      </c>
      <c r="C123" s="89" vm="411">
        <f ca="1"/>
        <v>206.65</v>
      </c>
      <c r="D123" s="1210">
        <f t="shared" ca="1" si="51"/>
        <v>7.9996097751329921E-3</v>
      </c>
      <c r="E123" s="294" t="str" cm="1">
        <f t="array" aca="1" ref="E123" ca="1">_xlfn.IFS(D123&gt;ZPercent,"U",D123&lt;=-ZPercent,"D",TRUE,"Z")</f>
        <v>U</v>
      </c>
      <c r="F123" s="294" t="str">
        <f t="shared" ca="1" si="54"/>
        <v>ZU</v>
      </c>
      <c r="G123" s="294" t="str">
        <f t="shared" ca="1" si="55"/>
        <v>ZZU</v>
      </c>
      <c r="H123" s="868" t="str">
        <f t="shared" ca="1" si="56"/>
        <v/>
      </c>
      <c r="J123" s="89" vm="408">
        <f ca="1"/>
        <v>45833</v>
      </c>
      <c r="K123" s="89" vm="409">
        <f ca="1"/>
        <v>211.99</v>
      </c>
      <c r="N123" s="868" t="str">
        <f ca="1">IF(F123=[2]Sheet1!O121,"","dif")</f>
        <v>dif</v>
      </c>
      <c r="BC123" s="1219" t="s">
        <v>2739</v>
      </c>
      <c r="BD123" s="1225">
        <v>0</v>
      </c>
      <c r="BE123" s="1211">
        <v>0</v>
      </c>
      <c r="BF123" s="1211">
        <v>0.17857142857142858</v>
      </c>
      <c r="BG123" s="1211">
        <v>0</v>
      </c>
      <c r="BH123" s="1211">
        <v>0</v>
      </c>
      <c r="BI123" s="1211">
        <v>0</v>
      </c>
      <c r="BJ123" s="1211">
        <v>0</v>
      </c>
      <c r="BK123" s="1211">
        <v>0.4642857142857143</v>
      </c>
      <c r="BL123" s="1226">
        <v>0.35714285714285715</v>
      </c>
      <c r="BM123" s="882">
        <f t="shared" si="116"/>
        <v>1</v>
      </c>
      <c r="BN123" s="1411" t="str">
        <f t="shared" ref="BN123:BN131" ca="1" si="117">IF(MarkCurr=BC123,_xlfn.XLOOKUP(MAX(BD123:BL123),BD123:BL123,BD123:BL123),"")</f>
        <v/>
      </c>
      <c r="BP123" s="868">
        <f t="shared" ref="BP123:BP131" ca="1" si="118">MATCH(MarkCurr,BC$123:BC$131,0)</f>
        <v>6</v>
      </c>
      <c r="BQ123" s="868">
        <f t="shared" ref="BQ123:BQ131" ca="1" si="119">MATCH(RIGHT(MarkCurr,1)&amp;"U",$BD$122:$BL$122,0)</f>
        <v>1</v>
      </c>
    </row>
    <row r="124" spans="2:97" x14ac:dyDescent="0.3">
      <c r="B124" s="89" vm="406">
        <f ca="1"/>
        <v>45807</v>
      </c>
      <c r="C124" s="89" vm="407">
        <f ca="1"/>
        <v>205.01</v>
      </c>
      <c r="D124" s="1210">
        <f t="shared" ca="1" si="51"/>
        <v>-3.3543996110840923E-3</v>
      </c>
      <c r="E124" s="294" t="str" cm="1">
        <f t="array" aca="1" ref="E124" ca="1">_xlfn.IFS(D124&gt;ZPercent,"U",D124&lt;=-ZPercent,"D",TRUE,"Z")</f>
        <v>Z</v>
      </c>
      <c r="F124" s="294" t="str">
        <f t="shared" ca="1" si="54"/>
        <v>ZZ</v>
      </c>
      <c r="G124" s="294" t="str">
        <f t="shared" ca="1" si="55"/>
        <v>DZZ</v>
      </c>
      <c r="H124" s="868" t="str">
        <f t="shared" ca="1" si="56"/>
        <v/>
      </c>
      <c r="J124" s="89" vm="404">
        <f ca="1"/>
        <v>45834</v>
      </c>
      <c r="K124" s="89" vm="405">
        <f ca="1"/>
        <v>217.12</v>
      </c>
      <c r="N124" s="868" t="str">
        <f ca="1">IF(F124=[2]Sheet1!O122,"","dif")</f>
        <v>dif</v>
      </c>
      <c r="BC124" s="1219" t="s">
        <v>2735</v>
      </c>
      <c r="BD124" s="1227">
        <v>0.30769230769230771</v>
      </c>
      <c r="BE124" s="1228">
        <v>0</v>
      </c>
      <c r="BF124" s="1228">
        <v>0</v>
      </c>
      <c r="BG124" s="1228">
        <v>0</v>
      </c>
      <c r="BH124" s="1228">
        <v>7.6923076923076927E-2</v>
      </c>
      <c r="BI124" s="1228">
        <v>0.61538461538461542</v>
      </c>
      <c r="BJ124" s="1228">
        <v>0</v>
      </c>
      <c r="BK124" s="1228">
        <v>0</v>
      </c>
      <c r="BL124" s="1229">
        <v>0</v>
      </c>
      <c r="BM124" s="882">
        <f t="shared" si="116"/>
        <v>1</v>
      </c>
      <c r="BN124" s="1412" t="str">
        <f t="shared" ca="1" si="117"/>
        <v/>
      </c>
      <c r="BP124" s="868">
        <f t="shared" ca="1" si="118"/>
        <v>6</v>
      </c>
      <c r="BQ124" s="868">
        <f t="shared" ca="1" si="119"/>
        <v>1</v>
      </c>
    </row>
    <row r="125" spans="2:97" x14ac:dyDescent="0.3">
      <c r="B125" s="89" vm="402">
        <f ca="1"/>
        <v>45806</v>
      </c>
      <c r="C125" s="89" vm="403">
        <f ca="1"/>
        <v>205.7</v>
      </c>
      <c r="D125" s="1210">
        <f t="shared" ca="1" si="51"/>
        <v>4.7870261821023339E-3</v>
      </c>
      <c r="E125" s="294" t="str" cm="1">
        <f t="array" aca="1" ref="E125" ca="1">_xlfn.IFS(D125&gt;ZPercent,"U",D125&lt;=-ZPercent,"D",TRUE,"Z")</f>
        <v>Z</v>
      </c>
      <c r="F125" s="294" t="str">
        <f t="shared" ca="1" si="54"/>
        <v>DZ</v>
      </c>
      <c r="G125" s="294" t="str">
        <f t="shared" ca="1" si="55"/>
        <v>UDZ</v>
      </c>
      <c r="H125" s="868" t="str">
        <f t="shared" ca="1" si="56"/>
        <v/>
      </c>
      <c r="J125" s="89" vm="400">
        <f ca="1"/>
        <v>45835</v>
      </c>
      <c r="K125" s="89" vm="401">
        <f ca="1"/>
        <v>223.3</v>
      </c>
      <c r="N125" s="868" t="str">
        <f ca="1">IF(F125=[2]Sheet1!O123,"","dif")</f>
        <v>dif</v>
      </c>
      <c r="BC125" s="1219" t="s">
        <v>2737</v>
      </c>
      <c r="BD125" s="1227">
        <v>0</v>
      </c>
      <c r="BE125" s="1228">
        <v>0.26315789473684209</v>
      </c>
      <c r="BF125" s="1228">
        <v>0</v>
      </c>
      <c r="BG125" s="1228">
        <v>0.31578947368421051</v>
      </c>
      <c r="BH125" s="1228">
        <v>0</v>
      </c>
      <c r="BI125" s="1228">
        <v>0</v>
      </c>
      <c r="BJ125" s="1228">
        <v>0.42105263157894735</v>
      </c>
      <c r="BK125" s="1228">
        <v>0</v>
      </c>
      <c r="BL125" s="1229">
        <v>0</v>
      </c>
      <c r="BM125" s="882">
        <f t="shared" si="116"/>
        <v>1</v>
      </c>
      <c r="BN125" s="1412" t="str">
        <f t="shared" ca="1" si="117"/>
        <v/>
      </c>
      <c r="BO125" s="868" t="str">
        <f ca="1">IF(MarkCurr=BC125,_xlfn.XLOOKUP(MAX(BD125:BL125),BD125:BL125,BD125:BL125),"")</f>
        <v/>
      </c>
      <c r="BP125" s="868">
        <f t="shared" ca="1" si="118"/>
        <v>6</v>
      </c>
      <c r="BQ125" s="868">
        <f t="shared" ca="1" si="119"/>
        <v>1</v>
      </c>
    </row>
    <row r="126" spans="2:97" x14ac:dyDescent="0.3">
      <c r="B126" s="89" vm="398">
        <f ca="1"/>
        <v>45805</v>
      </c>
      <c r="C126" s="89" vm="399">
        <f ca="1"/>
        <v>204.72</v>
      </c>
      <c r="D126" s="1210">
        <f t="shared" ca="1" si="51"/>
        <v>-6.3100669837880367E-3</v>
      </c>
      <c r="E126" s="294" t="str" cm="1">
        <f t="array" aca="1" ref="E126" ca="1">_xlfn.IFS(D126&gt;ZPercent,"U",D126&lt;=-ZPercent,"D",TRUE,"Z")</f>
        <v>D</v>
      </c>
      <c r="F126" s="294" t="str">
        <f t="shared" ca="1" si="54"/>
        <v>UD</v>
      </c>
      <c r="G126" s="294" t="str">
        <f t="shared" ca="1" si="55"/>
        <v>DUD</v>
      </c>
      <c r="H126" s="868" t="str">
        <f t="shared" ca="1" si="56"/>
        <v/>
      </c>
      <c r="J126" s="89" vm="396">
        <f ca="1"/>
        <v>45838</v>
      </c>
      <c r="K126" s="89" vm="397">
        <f ca="1"/>
        <v>219.39</v>
      </c>
      <c r="N126" s="868" t="str">
        <f ca="1">IF(F126=[2]Sheet1!O124,"","dif")</f>
        <v>dif</v>
      </c>
      <c r="BC126" s="1219" t="s">
        <v>2741</v>
      </c>
      <c r="BD126" s="1227">
        <v>0</v>
      </c>
      <c r="BE126" s="1228">
        <v>0</v>
      </c>
      <c r="BF126" s="1228">
        <v>0.35</v>
      </c>
      <c r="BG126" s="1228">
        <v>0</v>
      </c>
      <c r="BH126" s="1228">
        <v>0</v>
      </c>
      <c r="BI126" s="1228">
        <v>0</v>
      </c>
      <c r="BJ126" s="1228">
        <v>0</v>
      </c>
      <c r="BK126" s="1228">
        <v>0.35</v>
      </c>
      <c r="BL126" s="1229">
        <v>0.3</v>
      </c>
      <c r="BM126" s="882">
        <f t="shared" si="116"/>
        <v>1</v>
      </c>
      <c r="BN126" s="1412" t="str">
        <f t="shared" ca="1" si="117"/>
        <v/>
      </c>
      <c r="BP126" s="868">
        <f t="shared" ca="1" si="118"/>
        <v>6</v>
      </c>
      <c r="BQ126" s="868">
        <f t="shared" ca="1" si="119"/>
        <v>1</v>
      </c>
    </row>
    <row r="127" spans="2:97" x14ac:dyDescent="0.3">
      <c r="B127" s="89" vm="394">
        <f ca="1"/>
        <v>45804</v>
      </c>
      <c r="C127" s="89" vm="395">
        <f ca="1"/>
        <v>206.02</v>
      </c>
      <c r="D127" s="1210">
        <f t="shared" ca="1" si="51"/>
        <v>2.5026120702522518E-2</v>
      </c>
      <c r="E127" s="294" t="str" cm="1">
        <f t="array" aca="1" ref="E127" ca="1">_xlfn.IFS(D127&gt;ZPercent,"U",D127&lt;=-ZPercent,"D",TRUE,"Z")</f>
        <v>U</v>
      </c>
      <c r="F127" s="294" t="str">
        <f t="shared" ca="1" si="54"/>
        <v>DU</v>
      </c>
      <c r="G127" s="294" t="str">
        <f t="shared" ca="1" si="55"/>
        <v>UDU</v>
      </c>
      <c r="H127" s="868" t="str">
        <f t="shared" ca="1" si="56"/>
        <v/>
      </c>
      <c r="J127" s="89" vm="392">
        <f ca="1"/>
        <v>45839</v>
      </c>
      <c r="K127" s="89" vm="393">
        <f ca="1"/>
        <v>220.46</v>
      </c>
      <c r="N127" s="868" t="str">
        <f ca="1">IF(F127=[2]Sheet1!O125,"","dif")</f>
        <v>dif</v>
      </c>
      <c r="BC127" s="1219" t="s">
        <v>2733</v>
      </c>
      <c r="BD127" s="1227">
        <v>0</v>
      </c>
      <c r="BE127" s="1228">
        <v>0.21428571428571427</v>
      </c>
      <c r="BF127" s="1228">
        <v>0</v>
      </c>
      <c r="BG127" s="1228">
        <v>0.35714285714285715</v>
      </c>
      <c r="BH127" s="1228">
        <v>0</v>
      </c>
      <c r="BI127" s="1228">
        <v>0</v>
      </c>
      <c r="BJ127" s="1228">
        <v>0.42857142857142855</v>
      </c>
      <c r="BK127" s="1228">
        <v>0</v>
      </c>
      <c r="BL127" s="1229">
        <v>0</v>
      </c>
      <c r="BM127" s="882">
        <f t="shared" si="116"/>
        <v>1</v>
      </c>
      <c r="BN127" s="1412" t="str">
        <f t="shared" ca="1" si="117"/>
        <v/>
      </c>
      <c r="BP127" s="868">
        <f t="shared" ca="1" si="118"/>
        <v>6</v>
      </c>
      <c r="BQ127" s="868">
        <f t="shared" ca="1" si="119"/>
        <v>1</v>
      </c>
    </row>
    <row r="128" spans="2:97" x14ac:dyDescent="0.3">
      <c r="B128" s="89" vm="390">
        <f ca="1"/>
        <v>45800</v>
      </c>
      <c r="C128" s="89" vm="391">
        <f ca="1"/>
        <v>200.99</v>
      </c>
      <c r="D128" s="1210">
        <f t="shared" ca="1" si="51"/>
        <v>-1.0388970950270729E-2</v>
      </c>
      <c r="E128" s="294" t="str" cm="1">
        <f t="array" aca="1" ref="E128" ca="1">_xlfn.IFS(D128&gt;ZPercent,"U",D128&lt;=-ZPercent,"D",TRUE,"Z")</f>
        <v>D</v>
      </c>
      <c r="F128" s="294" t="str">
        <f t="shared" ca="1" si="54"/>
        <v>UD</v>
      </c>
      <c r="G128" s="294" t="str">
        <f t="shared" ca="1" si="55"/>
        <v>DUD</v>
      </c>
      <c r="H128" s="868" t="str">
        <f t="shared" ca="1" si="56"/>
        <v/>
      </c>
      <c r="J128" s="89" vm="388">
        <f ca="1"/>
        <v>45840</v>
      </c>
      <c r="K128" s="89" vm="389">
        <f ca="1"/>
        <v>219.92</v>
      </c>
      <c r="N128" s="868" t="str">
        <f ca="1">IF(F128=[2]Sheet1!O126,"","dif")</f>
        <v>dif</v>
      </c>
      <c r="BC128" s="1219" t="s">
        <v>2734</v>
      </c>
      <c r="BD128" s="1227">
        <v>0.36666666666666664</v>
      </c>
      <c r="BE128" s="1228">
        <v>0</v>
      </c>
      <c r="BF128" s="1228">
        <v>0</v>
      </c>
      <c r="BG128" s="1228">
        <v>0</v>
      </c>
      <c r="BH128" s="1228">
        <v>0.23333333333333334</v>
      </c>
      <c r="BI128" s="1228">
        <v>0.4</v>
      </c>
      <c r="BJ128" s="1228">
        <v>0</v>
      </c>
      <c r="BK128" s="1228">
        <v>0</v>
      </c>
      <c r="BL128" s="1229">
        <v>0</v>
      </c>
      <c r="BM128" s="882">
        <f t="shared" si="116"/>
        <v>1</v>
      </c>
      <c r="BN128" s="1412">
        <f t="shared" ca="1" si="117"/>
        <v>0.4</v>
      </c>
      <c r="BP128" s="868">
        <f t="shared" ca="1" si="118"/>
        <v>6</v>
      </c>
      <c r="BQ128" s="868">
        <f t="shared" ca="1" si="119"/>
        <v>1</v>
      </c>
    </row>
    <row r="129" spans="2:69" x14ac:dyDescent="0.3">
      <c r="B129" s="89" vm="386">
        <f ca="1"/>
        <v>45799</v>
      </c>
      <c r="C129" s="89" vm="387">
        <f ca="1"/>
        <v>203.1</v>
      </c>
      <c r="D129" s="1210">
        <f t="shared" ca="1" si="51"/>
        <v>9.8448687350834816E-3</v>
      </c>
      <c r="E129" s="294" t="str" cm="1">
        <f t="array" aca="1" ref="E129" ca="1">_xlfn.IFS(D129&gt;ZPercent,"U",D129&lt;=-ZPercent,"D",TRUE,"Z")</f>
        <v>U</v>
      </c>
      <c r="F129" s="294" t="str">
        <f t="shared" ca="1" si="54"/>
        <v>DU</v>
      </c>
      <c r="G129" s="294" t="str">
        <f t="shared" ca="1" si="55"/>
        <v>DDU</v>
      </c>
      <c r="H129" s="868" t="str">
        <f t="shared" ca="1" si="56"/>
        <v/>
      </c>
      <c r="J129" s="89" vm="384">
        <f ca="1"/>
        <v>45841</v>
      </c>
      <c r="K129" s="89" vm="385">
        <f ca="1"/>
        <v>223.41</v>
      </c>
      <c r="N129" s="868" t="str">
        <f ca="1">IF(F129=[2]Sheet1!O127,"","dif")</f>
        <v>dif</v>
      </c>
      <c r="BC129" s="1219" t="s">
        <v>2736</v>
      </c>
      <c r="BD129" s="1227">
        <v>0</v>
      </c>
      <c r="BE129" s="1228">
        <v>0.2</v>
      </c>
      <c r="BF129" s="1228">
        <v>0</v>
      </c>
      <c r="BG129" s="1228">
        <v>0.36</v>
      </c>
      <c r="BH129" s="1228">
        <v>0</v>
      </c>
      <c r="BI129" s="1228">
        <v>0</v>
      </c>
      <c r="BJ129" s="1228">
        <v>0.44</v>
      </c>
      <c r="BK129" s="1228">
        <v>0</v>
      </c>
      <c r="BL129" s="1229">
        <v>0</v>
      </c>
      <c r="BM129" s="882">
        <f t="shared" si="116"/>
        <v>1</v>
      </c>
      <c r="BN129" s="1412" t="str">
        <f t="shared" ca="1" si="117"/>
        <v/>
      </c>
      <c r="BP129" s="868">
        <f t="shared" ca="1" si="118"/>
        <v>6</v>
      </c>
      <c r="BQ129" s="868">
        <f t="shared" ca="1" si="119"/>
        <v>1</v>
      </c>
    </row>
    <row r="130" spans="2:69" x14ac:dyDescent="0.3">
      <c r="B130" s="89" vm="382">
        <f ca="1"/>
        <v>45798</v>
      </c>
      <c r="C130" s="89" vm="383">
        <f ca="1"/>
        <v>201.12</v>
      </c>
      <c r="D130" s="1210">
        <f t="shared" ca="1" si="51"/>
        <v>-1.4455823981966917E-2</v>
      </c>
      <c r="E130" s="294" t="str" cm="1">
        <f t="array" aca="1" ref="E130" ca="1">_xlfn.IFS(D130&gt;ZPercent,"U",D130&lt;=-ZPercent,"D",TRUE,"Z")</f>
        <v>D</v>
      </c>
      <c r="F130" s="294" t="str">
        <f t="shared" ca="1" si="54"/>
        <v>DD</v>
      </c>
      <c r="G130" s="294" t="str">
        <f t="shared" ca="1" si="55"/>
        <v>ZDD</v>
      </c>
      <c r="H130" s="868" t="str">
        <f t="shared" ca="1" si="56"/>
        <v/>
      </c>
      <c r="J130" s="89" vm="380">
        <f ca="1"/>
        <v>45845</v>
      </c>
      <c r="K130" s="89" vm="381">
        <f ca="1"/>
        <v>223.47</v>
      </c>
      <c r="N130" s="868" t="str">
        <f ca="1">IF(F130=[2]Sheet1!O128,"","dif")</f>
        <v>dif</v>
      </c>
      <c r="BC130" s="1219" t="s">
        <v>2740</v>
      </c>
      <c r="BD130" s="1227">
        <v>0.44827586206896552</v>
      </c>
      <c r="BE130" s="1228">
        <v>0</v>
      </c>
      <c r="BF130" s="1228">
        <v>0</v>
      </c>
      <c r="BG130" s="1228">
        <v>0</v>
      </c>
      <c r="BH130" s="1228">
        <v>0.20689655172413793</v>
      </c>
      <c r="BI130" s="1228">
        <v>0.34482758620689657</v>
      </c>
      <c r="BJ130" s="1228">
        <v>0</v>
      </c>
      <c r="BK130" s="1228">
        <v>0</v>
      </c>
      <c r="BL130" s="1229">
        <v>0</v>
      </c>
      <c r="BM130" s="882">
        <f t="shared" si="116"/>
        <v>1</v>
      </c>
      <c r="BN130" s="1412" t="str">
        <f t="shared" ca="1" si="117"/>
        <v/>
      </c>
      <c r="BP130" s="868">
        <f t="shared" ca="1" si="118"/>
        <v>6</v>
      </c>
      <c r="BQ130" s="868">
        <f t="shared" ca="1" si="119"/>
        <v>1</v>
      </c>
    </row>
    <row r="131" spans="2:69" ht="23" thickBot="1" x14ac:dyDescent="0.35">
      <c r="B131" s="89" vm="378">
        <f ca="1"/>
        <v>45797</v>
      </c>
      <c r="C131" s="89" vm="379">
        <f ca="1"/>
        <v>204.07</v>
      </c>
      <c r="D131" s="1210">
        <f t="shared" ca="1" si="51"/>
        <v>-1.013775708187817E-2</v>
      </c>
      <c r="E131" s="294" t="str" cm="1">
        <f t="array" aca="1" ref="E131" ca="1">_xlfn.IFS(D131&gt;ZPercent,"U",D131&lt;=-ZPercent,"D",TRUE,"Z")</f>
        <v>D</v>
      </c>
      <c r="F131" s="294" t="str">
        <f t="shared" ca="1" si="54"/>
        <v>ZD</v>
      </c>
      <c r="G131" s="294" t="str">
        <f t="shared" ca="1" si="55"/>
        <v>ZZD</v>
      </c>
      <c r="H131" s="868" t="str">
        <f t="shared" ca="1" si="56"/>
        <v>ZZ</v>
      </c>
      <c r="J131" s="89" vm="376">
        <f ca="1"/>
        <v>45846</v>
      </c>
      <c r="K131" s="89" vm="377">
        <f ca="1"/>
        <v>219.36</v>
      </c>
      <c r="N131" s="868" t="str">
        <f ca="1">IF(F131=[2]Sheet1!O129,"","dif")</f>
        <v>dif</v>
      </c>
      <c r="BC131" s="1220" t="s">
        <v>2738</v>
      </c>
      <c r="BD131" s="1230">
        <v>0</v>
      </c>
      <c r="BE131" s="1231">
        <v>0</v>
      </c>
      <c r="BF131" s="1231">
        <v>0.25925925925925924</v>
      </c>
      <c r="BG131" s="1231">
        <v>0</v>
      </c>
      <c r="BH131" s="1231">
        <v>0</v>
      </c>
      <c r="BI131" s="1231">
        <v>0</v>
      </c>
      <c r="BJ131" s="1231">
        <v>0</v>
      </c>
      <c r="BK131" s="1231">
        <v>0.33333333333333331</v>
      </c>
      <c r="BL131" s="1232">
        <v>0.40740740740740738</v>
      </c>
      <c r="BM131" s="882">
        <f t="shared" si="116"/>
        <v>1</v>
      </c>
      <c r="BN131" s="1413" t="str">
        <f t="shared" ca="1" si="117"/>
        <v/>
      </c>
      <c r="BP131" s="868">
        <f t="shared" ca="1" si="118"/>
        <v>6</v>
      </c>
      <c r="BQ131" s="868">
        <f t="shared" ca="1" si="119"/>
        <v>1</v>
      </c>
    </row>
    <row r="132" spans="2:69" x14ac:dyDescent="0.3">
      <c r="B132" s="89" vm="374">
        <f ca="1"/>
        <v>45796</v>
      </c>
      <c r="C132" s="89" vm="375">
        <f ca="1"/>
        <v>206.16</v>
      </c>
      <c r="D132" s="1210">
        <f t="shared" ca="1" si="51"/>
        <v>2.7725083904858853E-3</v>
      </c>
      <c r="E132" s="294" t="str" cm="1">
        <f t="array" aca="1" ref="E132" ca="1">_xlfn.IFS(D132&gt;ZPercent,"U",D132&lt;=-ZPercent,"D",TRUE,"Z")</f>
        <v>Z</v>
      </c>
      <c r="F132" s="294" t="str">
        <f t="shared" ca="1" si="54"/>
        <v>ZZ</v>
      </c>
      <c r="G132" s="294" t="str">
        <f t="shared" ca="1" si="55"/>
        <v>DZZ</v>
      </c>
      <c r="H132" s="868" t="str">
        <f t="shared" ca="1" si="56"/>
        <v/>
      </c>
      <c r="J132" s="89" vm="372">
        <f ca="1"/>
        <v>45847</v>
      </c>
      <c r="K132" s="89" vm="373">
        <f ca="1"/>
        <v>222.54</v>
      </c>
      <c r="N132" s="868" t="str">
        <f ca="1">IF(F132=[2]Sheet1!O130,"","dif")</f>
        <v>dif</v>
      </c>
      <c r="BC132" s="1355" t="s">
        <v>2732</v>
      </c>
      <c r="BD132" s="1194"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0.13814103993132282</v>
      </c>
      <c r="BE132" s="1194">
        <f ca="1"/>
        <v>9.5337374480423967E-2</v>
      </c>
      <c r="BF132" s="1194">
        <f ca="1"/>
        <v>9.2658262200169345E-2</v>
      </c>
      <c r="BG132" s="1194">
        <f ca="1"/>
        <v>0.12707372120736424</v>
      </c>
      <c r="BH132" s="1194">
        <f ca="1"/>
        <v>0.15802485248153053</v>
      </c>
      <c r="BI132" s="1194">
        <f ca="1"/>
        <v>9.3609296451504828E-2</v>
      </c>
      <c r="BJ132" s="1194">
        <f ca="1"/>
        <v>0.15629677445261139</v>
      </c>
      <c r="BK132" s="1194">
        <f ca="1"/>
        <v>9.0930184171250192E-2</v>
      </c>
      <c r="BL132" s="1194">
        <f ca="1"/>
        <v>4.7928494623822593E-2</v>
      </c>
    </row>
    <row r="133" spans="2:69" x14ac:dyDescent="0.3">
      <c r="B133" s="89" vm="370">
        <f ca="1"/>
        <v>45793</v>
      </c>
      <c r="C133" s="89" vm="371">
        <f ca="1"/>
        <v>205.59</v>
      </c>
      <c r="D133" s="1210">
        <f t="shared" ref="D133:D159" ca="1" si="120">IFERROR((C133-C134)/C134,0)</f>
        <v>2.0470829068578054E-3</v>
      </c>
      <c r="E133" s="294" t="str" cm="1">
        <f t="array" aca="1" ref="E133" ca="1">_xlfn.IFS(D133&gt;ZPercent,"U",D133&lt;=-ZPercent,"D",TRUE,"Z")</f>
        <v>Z</v>
      </c>
      <c r="F133" s="294" t="str">
        <f t="shared" ca="1" si="54"/>
        <v>DZ</v>
      </c>
      <c r="G133" s="294" t="str">
        <f t="shared" ca="1" si="55"/>
        <v>DDZ</v>
      </c>
      <c r="H133" s="868" t="str">
        <f t="shared" ca="1" si="56"/>
        <v/>
      </c>
      <c r="J133" s="89" vm="368">
        <f ca="1"/>
        <v>45848</v>
      </c>
      <c r="K133" s="89" vm="369">
        <f ca="1"/>
        <v>222.26</v>
      </c>
      <c r="N133" s="868" t="str">
        <f ca="1">IF(F133=[2]Sheet1!O131,"","dif")</f>
        <v>dif</v>
      </c>
    </row>
    <row r="134" spans="2:69" x14ac:dyDescent="0.3">
      <c r="B134" s="89" vm="366">
        <f ca="1"/>
        <v>45792</v>
      </c>
      <c r="C134" s="89" vm="367">
        <f ca="1"/>
        <v>205.17</v>
      </c>
      <c r="D134" s="1210">
        <f t="shared" ca="1" si="120"/>
        <v>-2.4161712247324673E-2</v>
      </c>
      <c r="E134" s="294" t="str" cm="1">
        <f t="array" aca="1" ref="E134" ca="1">_xlfn.IFS(D134&gt;ZPercent,"U",D134&lt;=-ZPercent,"D",TRUE,"Z")</f>
        <v>D</v>
      </c>
      <c r="F134" s="294" t="str">
        <f t="shared" ref="F134:F159" ca="1" si="121">_xlfn.CONCAT(E135,E134)</f>
        <v>DD</v>
      </c>
      <c r="G134" s="294" t="str">
        <f t="shared" ref="G134:G159" ca="1" si="122">_xlfn.CONCAT(E136,E135,E134)</f>
        <v>UDD</v>
      </c>
      <c r="H134" s="868" t="str">
        <f t="shared" ref="H134:H197" ca="1" si="123">IF(AND(E134="D",E135="Z"),"ZZ","")</f>
        <v/>
      </c>
      <c r="J134" s="89" vm="364">
        <f ca="1"/>
        <v>45849</v>
      </c>
      <c r="K134" s="89" vm="365">
        <f ca="1"/>
        <v>225.02</v>
      </c>
      <c r="N134" s="868" t="str">
        <f ca="1">IF(F134=[2]Sheet1!O132,"","dif")</f>
        <v>dif</v>
      </c>
    </row>
    <row r="135" spans="2:69" x14ac:dyDescent="0.3">
      <c r="B135" s="89" vm="362">
        <f ca="1"/>
        <v>45791</v>
      </c>
      <c r="C135" s="89" vm="363">
        <f ca="1"/>
        <v>210.25</v>
      </c>
      <c r="D135" s="1210">
        <f t="shared" ca="1" si="120"/>
        <v>-5.2987651984671641E-3</v>
      </c>
      <c r="E135" s="294" t="str" cm="1">
        <f t="array" aca="1" ref="E135" ca="1">_xlfn.IFS(D135&gt;ZPercent,"U",D135&lt;=-ZPercent,"D",TRUE,"Z")</f>
        <v>D</v>
      </c>
      <c r="F135" s="294" t="str">
        <f t="shared" ca="1" si="121"/>
        <v>UD</v>
      </c>
      <c r="G135" s="294" t="str">
        <f t="shared" ca="1" si="122"/>
        <v>UUD</v>
      </c>
      <c r="H135" s="868" t="str">
        <f t="shared" ca="1" si="123"/>
        <v/>
      </c>
      <c r="J135" s="89" vm="360">
        <f ca="1"/>
        <v>45852</v>
      </c>
      <c r="K135" s="89" vm="361">
        <f ca="1"/>
        <v>225.69</v>
      </c>
      <c r="N135" s="868" t="str">
        <f ca="1">IF(F135=[2]Sheet1!O133,"","dif")</f>
        <v>dif</v>
      </c>
    </row>
    <row r="136" spans="2:69" x14ac:dyDescent="0.3">
      <c r="B136" s="89" vm="358">
        <f ca="1"/>
        <v>45790</v>
      </c>
      <c r="C136" s="89" vm="359">
        <f ca="1"/>
        <v>211.37</v>
      </c>
      <c r="D136" s="1210">
        <f t="shared" ca="1" si="120"/>
        <v>1.3084739263803769E-2</v>
      </c>
      <c r="E136" s="294" t="str" cm="1">
        <f t="array" aca="1" ref="E136" ca="1">_xlfn.IFS(D136&gt;ZPercent,"U",D136&lt;=-ZPercent,"D",TRUE,"Z")</f>
        <v>U</v>
      </c>
      <c r="F136" s="294" t="str">
        <f t="shared" ca="1" si="121"/>
        <v>UU</v>
      </c>
      <c r="G136" s="294" t="str">
        <f t="shared" ca="1" si="122"/>
        <v>UUU</v>
      </c>
      <c r="H136" s="868" t="str">
        <f t="shared" ca="1" si="123"/>
        <v/>
      </c>
      <c r="J136" s="89" vm="356">
        <f ca="1"/>
        <v>45853</v>
      </c>
      <c r="K136" s="89" vm="357">
        <f ca="1"/>
        <v>226.35</v>
      </c>
      <c r="N136" s="868" t="str">
        <f ca="1">IF(F136=[2]Sheet1!O134,"","dif")</f>
        <v/>
      </c>
    </row>
    <row r="137" spans="2:69" x14ac:dyDescent="0.3">
      <c r="B137" s="89" vm="354">
        <f ca="1"/>
        <v>45789</v>
      </c>
      <c r="C137" s="89" vm="355">
        <f ca="1"/>
        <v>208.64</v>
      </c>
      <c r="D137" s="1210">
        <f t="shared" ca="1" si="120"/>
        <v>8.0700300424738344E-2</v>
      </c>
      <c r="E137" s="294" t="str" cm="1">
        <f t="array" aca="1" ref="E137" ca="1">_xlfn.IFS(D137&gt;ZPercent,"U",D137&lt;=-ZPercent,"D",TRUE,"Z")</f>
        <v>U</v>
      </c>
      <c r="F137" s="294" t="str">
        <f t="shared" ca="1" si="121"/>
        <v>UU</v>
      </c>
      <c r="G137" s="294" t="str">
        <f t="shared" ca="1" si="122"/>
        <v>UUU</v>
      </c>
      <c r="H137" s="868" t="str">
        <f t="shared" ca="1" si="123"/>
        <v/>
      </c>
      <c r="J137" s="89" vm="352">
        <f ca="1"/>
        <v>45854</v>
      </c>
      <c r="K137" s="89" vm="353">
        <f ca="1"/>
        <v>223.19</v>
      </c>
      <c r="N137" s="868" t="str">
        <f ca="1">IF(F137=[2]Sheet1!O135,"","dif")</f>
        <v/>
      </c>
    </row>
    <row r="138" spans="2:69" x14ac:dyDescent="0.3">
      <c r="B138" s="89" vm="350">
        <f ca="1"/>
        <v>45786</v>
      </c>
      <c r="C138" s="89" vm="351">
        <f ca="1"/>
        <v>193.06</v>
      </c>
      <c r="D138" s="1210">
        <f t="shared" ca="1" si="120"/>
        <v>5.1020408163264773E-3</v>
      </c>
      <c r="E138" s="294" t="str" cm="1">
        <f t="array" aca="1" ref="E138" ca="1">_xlfn.IFS(D138&gt;ZPercent,"U",D138&lt;=-ZPercent,"D",TRUE,"Z")</f>
        <v>U</v>
      </c>
      <c r="F138" s="294" t="str">
        <f t="shared" ca="1" si="121"/>
        <v>UU</v>
      </c>
      <c r="G138" s="294" t="str">
        <f t="shared" ca="1" si="122"/>
        <v>UUU</v>
      </c>
      <c r="H138" s="868" t="str">
        <f t="shared" ca="1" si="123"/>
        <v/>
      </c>
      <c r="J138" s="89" vm="348">
        <f ca="1"/>
        <v>45855</v>
      </c>
      <c r="K138" s="89" vm="349">
        <f ca="1"/>
        <v>223.88</v>
      </c>
      <c r="N138" s="868" t="str">
        <f ca="1">IF(F138=[2]Sheet1!O136,"","dif")</f>
        <v>dif</v>
      </c>
    </row>
    <row r="139" spans="2:69" x14ac:dyDescent="0.3">
      <c r="B139" s="89" vm="346">
        <f ca="1"/>
        <v>45785</v>
      </c>
      <c r="C139" s="89" vm="347">
        <f ca="1"/>
        <v>192.08</v>
      </c>
      <c r="D139" s="1210">
        <f t="shared" ca="1" si="120"/>
        <v>1.7858089131471595E-2</v>
      </c>
      <c r="E139" s="294" t="str" cm="1">
        <f t="array" aca="1" ref="E139" ca="1">_xlfn.IFS(D139&gt;ZPercent,"U",D139&lt;=-ZPercent,"D",TRUE,"Z")</f>
        <v>U</v>
      </c>
      <c r="F139" s="294" t="str">
        <f t="shared" ca="1" si="121"/>
        <v>UU</v>
      </c>
      <c r="G139" s="294" t="str">
        <f t="shared" ca="1" si="122"/>
        <v>DUU</v>
      </c>
      <c r="H139" s="868" t="str">
        <f t="shared" ca="1" si="123"/>
        <v/>
      </c>
      <c r="J139" s="89" vm="344">
        <f ca="1"/>
        <v>45856</v>
      </c>
      <c r="K139" s="89" vm="345">
        <f ca="1"/>
        <v>226.13</v>
      </c>
      <c r="N139" s="868" t="str">
        <f ca="1">IF(F139=[2]Sheet1!O137,"","dif")</f>
        <v>dif</v>
      </c>
    </row>
    <row r="140" spans="2:69" x14ac:dyDescent="0.3">
      <c r="B140" s="89" vm="342">
        <f ca="1"/>
        <v>45784</v>
      </c>
      <c r="C140" s="89" vm="343">
        <f ca="1"/>
        <v>188.71</v>
      </c>
      <c r="D140" s="1210">
        <f t="shared" ca="1" si="120"/>
        <v>1.9998918977352668E-2</v>
      </c>
      <c r="E140" s="294" t="str" cm="1">
        <f t="array" aca="1" ref="E140" ca="1">_xlfn.IFS(D140&gt;ZPercent,"U",D140&lt;=-ZPercent,"D",TRUE,"Z")</f>
        <v>U</v>
      </c>
      <c r="F140" s="294" t="str">
        <f t="shared" ca="1" si="121"/>
        <v>DU</v>
      </c>
      <c r="G140" s="294" t="str">
        <f t="shared" ca="1" si="122"/>
        <v>DDU</v>
      </c>
      <c r="H140" s="868" t="str">
        <f t="shared" ca="1" si="123"/>
        <v/>
      </c>
      <c r="J140" s="89" vm="340">
        <f ca="1"/>
        <v>45859</v>
      </c>
      <c r="K140" s="89" vm="341">
        <f ca="1"/>
        <v>229.3</v>
      </c>
      <c r="N140" s="868" t="str">
        <f ca="1">IF(F140=[2]Sheet1!O138,"","dif")</f>
        <v/>
      </c>
    </row>
    <row r="141" spans="2:69" x14ac:dyDescent="0.3">
      <c r="B141" s="89" vm="338">
        <f ca="1"/>
        <v>45783</v>
      </c>
      <c r="C141" s="89" vm="339">
        <f ca="1"/>
        <v>185.01</v>
      </c>
      <c r="D141" s="1210">
        <f t="shared" ca="1" si="120"/>
        <v>-7.1907700563456044E-3</v>
      </c>
      <c r="E141" s="294" t="str" cm="1">
        <f t="array" aca="1" ref="E141" ca="1">_xlfn.IFS(D141&gt;ZPercent,"U",D141&lt;=-ZPercent,"D",TRUE,"Z")</f>
        <v>D</v>
      </c>
      <c r="F141" s="294" t="str">
        <f t="shared" ca="1" si="121"/>
        <v>DD</v>
      </c>
      <c r="G141" s="294" t="str">
        <f t="shared" ca="1" si="122"/>
        <v>ZDD</v>
      </c>
      <c r="H141" s="868" t="str">
        <f t="shared" ca="1" si="123"/>
        <v/>
      </c>
      <c r="J141" s="89" vm="336">
        <f ca="1"/>
        <v>45860</v>
      </c>
      <c r="K141" s="89" vm="337">
        <f ca="1"/>
        <v>227.47</v>
      </c>
      <c r="N141" s="868" t="str">
        <f ca="1">IF(F141=[2]Sheet1!O139,"","dif")</f>
        <v>dif</v>
      </c>
    </row>
    <row r="142" spans="2:69" x14ac:dyDescent="0.3">
      <c r="B142" s="89" vm="334">
        <f ca="1"/>
        <v>45782</v>
      </c>
      <c r="C142" s="89" vm="335">
        <f ca="1"/>
        <v>186.35</v>
      </c>
      <c r="D142" s="1210">
        <f t="shared" ca="1" si="120"/>
        <v>-1.9107274449942077E-2</v>
      </c>
      <c r="E142" s="294" t="str" cm="1">
        <f t="array" aca="1" ref="E142" ca="1">_xlfn.IFS(D142&gt;ZPercent,"U",D142&lt;=-ZPercent,"D",TRUE,"Z")</f>
        <v>D</v>
      </c>
      <c r="F142" s="294" t="str">
        <f t="shared" ca="1" si="121"/>
        <v>ZD</v>
      </c>
      <c r="G142" s="294" t="str">
        <f t="shared" ca="1" si="122"/>
        <v>UZD</v>
      </c>
      <c r="H142" s="868" t="str">
        <f t="shared" ca="1" si="123"/>
        <v>ZZ</v>
      </c>
      <c r="J142" s="89" vm="332">
        <f ca="1"/>
        <v>45861</v>
      </c>
      <c r="K142" s="89" vm="333">
        <f ca="1"/>
        <v>228.29</v>
      </c>
      <c r="N142" s="868" t="str">
        <f ca="1">IF(F142=[2]Sheet1!O140,"","dif")</f>
        <v>dif</v>
      </c>
    </row>
    <row r="143" spans="2:69" x14ac:dyDescent="0.3">
      <c r="B143" s="89" vm="330">
        <f ca="1"/>
        <v>45779</v>
      </c>
      <c r="C143" s="89" vm="331">
        <f ca="1"/>
        <v>189.98</v>
      </c>
      <c r="D143" s="1210">
        <f t="shared" ca="1" si="120"/>
        <v>-1.156677181913769E-3</v>
      </c>
      <c r="E143" s="294" t="str" cm="1">
        <f t="array" aca="1" ref="E143" ca="1">_xlfn.IFS(D143&gt;ZPercent,"U",D143&lt;=-ZPercent,"D",TRUE,"Z")</f>
        <v>Z</v>
      </c>
      <c r="F143" s="294" t="str">
        <f t="shared" ca="1" si="121"/>
        <v>UZ</v>
      </c>
      <c r="G143" s="294" t="str">
        <f t="shared" ca="1" si="122"/>
        <v>DUZ</v>
      </c>
      <c r="H143" s="868" t="str">
        <f t="shared" ca="1" si="123"/>
        <v/>
      </c>
      <c r="J143" s="89" vm="328">
        <f ca="1"/>
        <v>45862</v>
      </c>
      <c r="K143" s="89" vm="329">
        <f ca="1"/>
        <v>232.23</v>
      </c>
      <c r="N143" s="868" t="str">
        <f ca="1">IF(F143=[2]Sheet1!O141,"","dif")</f>
        <v>dif</v>
      </c>
    </row>
    <row r="144" spans="2:69" x14ac:dyDescent="0.3">
      <c r="B144" s="89" vm="326">
        <f ca="1"/>
        <v>45778</v>
      </c>
      <c r="C144" s="89" vm="327">
        <f ca="1"/>
        <v>190.2</v>
      </c>
      <c r="D144" s="1210">
        <f t="shared" ca="1" si="120"/>
        <v>3.1341503090771071E-2</v>
      </c>
      <c r="E144" s="294" t="str" cm="1">
        <f t="array" aca="1" ref="E144" ca="1">_xlfn.IFS(D144&gt;ZPercent,"U",D144&lt;=-ZPercent,"D",TRUE,"Z")</f>
        <v>U</v>
      </c>
      <c r="F144" s="294" t="str">
        <f t="shared" ca="1" si="121"/>
        <v>DU</v>
      </c>
      <c r="G144" s="294" t="str">
        <f t="shared" ca="1" si="122"/>
        <v>ZDU</v>
      </c>
      <c r="H144" s="868" t="str">
        <f t="shared" ca="1" si="123"/>
        <v/>
      </c>
      <c r="J144" s="89" vm="324">
        <f ca="1"/>
        <v>45863</v>
      </c>
      <c r="K144" s="89" vm="325">
        <f ca="1"/>
        <v>231.44</v>
      </c>
      <c r="N144" s="868" t="str">
        <f ca="1">IF(F144=[2]Sheet1!O142,"","dif")</f>
        <v/>
      </c>
    </row>
    <row r="145" spans="2:64" x14ac:dyDescent="0.3">
      <c r="B145" s="89" vm="322">
        <f ca="1"/>
        <v>45777</v>
      </c>
      <c r="C145" s="89" vm="323">
        <f ca="1"/>
        <v>184.42</v>
      </c>
      <c r="D145" s="1210">
        <f t="shared" ca="1" si="120"/>
        <v>-1.5849298254976246E-2</v>
      </c>
      <c r="E145" s="294" t="str" cm="1">
        <f t="array" aca="1" ref="E145" ca="1">_xlfn.IFS(D145&gt;ZPercent,"U",D145&lt;=-ZPercent,"D",TRUE,"Z")</f>
        <v>D</v>
      </c>
      <c r="F145" s="294" t="str">
        <f t="shared" ca="1" si="121"/>
        <v>ZD</v>
      </c>
      <c r="G145" s="294" t="str">
        <f t="shared" ca="1" si="122"/>
        <v>DZD</v>
      </c>
      <c r="H145" s="868" t="str">
        <f t="shared" ca="1" si="123"/>
        <v>ZZ</v>
      </c>
      <c r="J145" s="89" vm="320">
        <f ca="1"/>
        <v>45866</v>
      </c>
      <c r="K145" s="89" vm="321">
        <f ca="1"/>
        <v>232.79</v>
      </c>
      <c r="N145" s="868" t="str">
        <f ca="1">IF(F145=[2]Sheet1!O143,"","dif")</f>
        <v>dif</v>
      </c>
    </row>
    <row r="146" spans="2:64" x14ac:dyDescent="0.3">
      <c r="B146" s="89" vm="318">
        <f ca="1"/>
        <v>45776</v>
      </c>
      <c r="C146" s="89" vm="319">
        <f ca="1"/>
        <v>187.39</v>
      </c>
      <c r="D146" s="1210">
        <f t="shared" ca="1" si="120"/>
        <v>-1.6515716568993196E-3</v>
      </c>
      <c r="E146" s="294" t="str" cm="1">
        <f t="array" aca="1" ref="E146" ca="1">_xlfn.IFS(D146&gt;ZPercent,"U",D146&lt;=-ZPercent,"D",TRUE,"Z")</f>
        <v>Z</v>
      </c>
      <c r="F146" s="294" t="str">
        <f t="shared" ca="1" si="121"/>
        <v>DZ</v>
      </c>
      <c r="G146" s="294" t="str">
        <f t="shared" ca="1" si="122"/>
        <v>UDZ</v>
      </c>
      <c r="H146" s="868" t="str">
        <f t="shared" ca="1" si="123"/>
        <v/>
      </c>
      <c r="J146" s="89" vm="316">
        <f ca="1"/>
        <v>45867</v>
      </c>
      <c r="K146" s="89" vm="317">
        <f ca="1"/>
        <v>231.01</v>
      </c>
      <c r="N146" s="868" t="str">
        <f ca="1">IF(F146=[2]Sheet1!O144,"","dif")</f>
        <v>dif</v>
      </c>
    </row>
    <row r="147" spans="2:64" x14ac:dyDescent="0.3">
      <c r="B147" s="89" vm="314">
        <f ca="1"/>
        <v>45775</v>
      </c>
      <c r="C147" s="89" vm="315">
        <f ca="1"/>
        <v>187.7</v>
      </c>
      <c r="D147" s="1210">
        <f t="shared" ca="1" si="120"/>
        <v>-6.8257579766126267E-3</v>
      </c>
      <c r="E147" s="294" t="str" cm="1">
        <f t="array" aca="1" ref="E147" ca="1">_xlfn.IFS(D147&gt;ZPercent,"U",D147&lt;=-ZPercent,"D",TRUE,"Z")</f>
        <v>D</v>
      </c>
      <c r="F147" s="294" t="str">
        <f t="shared" ca="1" si="121"/>
        <v>UD</v>
      </c>
      <c r="G147" s="294" t="str">
        <f t="shared" ca="1" si="122"/>
        <v>UUD</v>
      </c>
      <c r="H147" s="868" t="str">
        <f t="shared" ca="1" si="123"/>
        <v/>
      </c>
      <c r="J147" s="89" vm="312">
        <f ca="1"/>
        <v>45868</v>
      </c>
      <c r="K147" s="89" vm="313">
        <f ca="1"/>
        <v>230.19</v>
      </c>
      <c r="N147" s="868" t="str">
        <f ca="1">IF(F147=[2]Sheet1!O145,"","dif")</f>
        <v>dif</v>
      </c>
      <c r="BD147" s="1194"/>
      <c r="BE147" s="1194"/>
      <c r="BF147" s="1194"/>
      <c r="BG147" s="1194"/>
      <c r="BH147" s="1194"/>
      <c r="BI147" s="1194"/>
      <c r="BJ147" s="1194"/>
      <c r="BK147" s="1194"/>
      <c r="BL147" s="1194"/>
    </row>
    <row r="148" spans="2:64" x14ac:dyDescent="0.3">
      <c r="B148" s="89" vm="310">
        <f ca="1"/>
        <v>45772</v>
      </c>
      <c r="C148" s="89" vm="311">
        <f ca="1"/>
        <v>188.99</v>
      </c>
      <c r="D148" s="1210">
        <f t="shared" ca="1" si="120"/>
        <v>1.3133912297630628E-2</v>
      </c>
      <c r="E148" s="294" t="str" cm="1">
        <f t="array" aca="1" ref="E148" ca="1">_xlfn.IFS(D148&gt;ZPercent,"U",D148&lt;=-ZPercent,"D",TRUE,"Z")</f>
        <v>U</v>
      </c>
      <c r="F148" s="294" t="str">
        <f t="shared" ca="1" si="121"/>
        <v>UU</v>
      </c>
      <c r="G148" s="294" t="str">
        <f t="shared" ca="1" si="122"/>
        <v>UUU</v>
      </c>
      <c r="H148" s="868" t="str">
        <f t="shared" ca="1" si="123"/>
        <v/>
      </c>
      <c r="J148" s="89" vm="308">
        <f ca="1"/>
        <v>45869</v>
      </c>
      <c r="K148" s="89" vm="309">
        <f ca="1"/>
        <v>234.11</v>
      </c>
      <c r="N148" s="868" t="str">
        <f ca="1">IF(F148=[2]Sheet1!O146,"","dif")</f>
        <v>dif</v>
      </c>
    </row>
    <row r="149" spans="2:64" x14ac:dyDescent="0.3">
      <c r="B149" s="89" vm="306">
        <f ca="1"/>
        <v>45771</v>
      </c>
      <c r="C149" s="89" vm="307">
        <f ca="1"/>
        <v>186.54</v>
      </c>
      <c r="D149" s="1210">
        <f t="shared" ca="1" si="120"/>
        <v>3.2890365448504974E-2</v>
      </c>
      <c r="E149" s="294" t="str" cm="1">
        <f t="array" aca="1" ref="E149" ca="1">_xlfn.IFS(D149&gt;ZPercent,"U",D149&lt;=-ZPercent,"D",TRUE,"Z")</f>
        <v>U</v>
      </c>
      <c r="F149" s="294" t="str">
        <f t="shared" ca="1" si="121"/>
        <v>UU</v>
      </c>
      <c r="G149" s="294" t="str">
        <f t="shared" ca="1" si="122"/>
        <v>UUU</v>
      </c>
      <c r="H149" s="868" t="str">
        <f t="shared" ca="1" si="123"/>
        <v/>
      </c>
      <c r="J149" s="89" vm="304">
        <f ca="1"/>
        <v>45870</v>
      </c>
      <c r="K149" s="89" vm="305">
        <f ca="1"/>
        <v>214.75</v>
      </c>
      <c r="N149" s="868" t="str">
        <f ca="1">IF(F149=[2]Sheet1!O147,"","dif")</f>
        <v>dif</v>
      </c>
    </row>
    <row r="150" spans="2:64" x14ac:dyDescent="0.3">
      <c r="B150" s="89" vm="302">
        <f ca="1"/>
        <v>45770</v>
      </c>
      <c r="C150" s="89" vm="303">
        <f ca="1"/>
        <v>180.6</v>
      </c>
      <c r="D150" s="1210">
        <f t="shared" ca="1" si="120"/>
        <v>4.284559417946638E-2</v>
      </c>
      <c r="E150" s="294" t="str" cm="1">
        <f t="array" aca="1" ref="E150" ca="1">_xlfn.IFS(D150&gt;ZPercent,"U",D150&lt;=-ZPercent,"D",TRUE,"Z")</f>
        <v>U</v>
      </c>
      <c r="F150" s="294" t="str">
        <f t="shared" ca="1" si="121"/>
        <v>UU</v>
      </c>
      <c r="G150" s="294" t="str">
        <f t="shared" ca="1" si="122"/>
        <v>DUU</v>
      </c>
      <c r="H150" s="868" t="str">
        <f t="shared" ca="1" si="123"/>
        <v/>
      </c>
      <c r="J150" s="89" vm="300">
        <f ca="1"/>
        <v>45873</v>
      </c>
      <c r="K150" s="89" vm="301">
        <f ca="1"/>
        <v>211.65</v>
      </c>
      <c r="N150" s="868" t="str">
        <f ca="1">IF(F150=[2]Sheet1!O148,"","dif")</f>
        <v>dif</v>
      </c>
    </row>
    <row r="151" spans="2:64" x14ac:dyDescent="0.3">
      <c r="B151" s="89" vm="298">
        <f ca="1"/>
        <v>45769</v>
      </c>
      <c r="C151" s="89" vm="299">
        <f ca="1"/>
        <v>173.18</v>
      </c>
      <c r="D151" s="1210">
        <f t="shared" ca="1" si="120"/>
        <v>3.5022710972985975E-2</v>
      </c>
      <c r="E151" s="294" t="str" cm="1">
        <f t="array" aca="1" ref="E151" ca="1">_xlfn.IFS(D151&gt;ZPercent,"U",D151&lt;=-ZPercent,"D",TRUE,"Z")</f>
        <v>U</v>
      </c>
      <c r="F151" s="294" t="str">
        <f t="shared" ca="1" si="121"/>
        <v>DU</v>
      </c>
      <c r="G151" s="294" t="str">
        <f t="shared" ca="1" si="122"/>
        <v>DDU</v>
      </c>
      <c r="H151" s="868" t="str">
        <f t="shared" ca="1" si="123"/>
        <v/>
      </c>
      <c r="J151" s="89" vm="296">
        <f ca="1"/>
        <v>45874</v>
      </c>
      <c r="K151" s="89" vm="297">
        <f ca="1"/>
        <v>213.75</v>
      </c>
      <c r="N151" s="868" t="str">
        <f ca="1">IF(F151=[2]Sheet1!O149,"","dif")</f>
        <v>dif</v>
      </c>
    </row>
    <row r="152" spans="2:64" x14ac:dyDescent="0.3">
      <c r="B152" s="89" vm="294">
        <f ca="1"/>
        <v>45768</v>
      </c>
      <c r="C152" s="89" vm="295">
        <f ca="1"/>
        <v>167.32</v>
      </c>
      <c r="D152" s="1210">
        <f t="shared" ca="1" si="120"/>
        <v>-3.0647123573373618E-2</v>
      </c>
      <c r="E152" s="294" t="str" cm="1">
        <f t="array" aca="1" ref="E152" ca="1">_xlfn.IFS(D152&gt;ZPercent,"U",D152&lt;=-ZPercent,"D",TRUE,"Z")</f>
        <v>D</v>
      </c>
      <c r="F152" s="294" t="str">
        <f t="shared" ca="1" si="121"/>
        <v>DD</v>
      </c>
      <c r="G152" s="294" t="str">
        <f t="shared" ca="1" si="122"/>
        <v>DDD</v>
      </c>
      <c r="H152" s="868" t="str">
        <f t="shared" ca="1" si="123"/>
        <v/>
      </c>
      <c r="J152" s="89" vm="292">
        <f ca="1"/>
        <v>45875</v>
      </c>
      <c r="K152" s="89" vm="293">
        <f ca="1"/>
        <v>222.31</v>
      </c>
      <c r="N152" s="868" t="str">
        <f ca="1">IF(F152=[2]Sheet1!O150,"","dif")</f>
        <v>dif</v>
      </c>
    </row>
    <row r="153" spans="2:64" x14ac:dyDescent="0.3">
      <c r="B153" s="89" vm="290">
        <f ca="1"/>
        <v>45764</v>
      </c>
      <c r="C153" s="89" vm="291">
        <f ca="1"/>
        <v>172.61</v>
      </c>
      <c r="D153" s="1210">
        <f t="shared" ca="1" si="120"/>
        <v>-9.8663454368152284E-3</v>
      </c>
      <c r="E153" s="294" t="str" cm="1">
        <f t="array" aca="1" ref="E153" ca="1">_xlfn.IFS(D153&gt;ZPercent,"U",D153&lt;=-ZPercent,"D",TRUE,"Z")</f>
        <v>D</v>
      </c>
      <c r="F153" s="294" t="str">
        <f t="shared" ca="1" si="121"/>
        <v>DD</v>
      </c>
      <c r="G153" s="294" t="str">
        <f t="shared" ca="1" si="122"/>
        <v>DDD</v>
      </c>
      <c r="H153" s="868" t="str">
        <f t="shared" ca="1" si="123"/>
        <v/>
      </c>
      <c r="J153" s="89" vm="288">
        <f ca="1"/>
        <v>45876</v>
      </c>
      <c r="K153" s="89" vm="289">
        <f ca="1"/>
        <v>223.13</v>
      </c>
      <c r="N153" s="868" t="str">
        <f ca="1">IF(F153=[2]Sheet1!O151,"","dif")</f>
        <v>dif</v>
      </c>
    </row>
    <row r="154" spans="2:64" x14ac:dyDescent="0.3">
      <c r="B154" s="89" vm="286">
        <f ca="1"/>
        <v>45763</v>
      </c>
      <c r="C154" s="89" vm="287">
        <f ca="1"/>
        <v>174.33</v>
      </c>
      <c r="D154" s="1210">
        <f t="shared" ca="1" si="120"/>
        <v>-2.928893590957175E-2</v>
      </c>
      <c r="E154" s="294" t="str" cm="1">
        <f t="array" aca="1" ref="E154" ca="1">_xlfn.IFS(D154&gt;ZPercent,"U",D154&lt;=-ZPercent,"D",TRUE,"Z")</f>
        <v>D</v>
      </c>
      <c r="F154" s="294" t="str">
        <f t="shared" ca="1" si="121"/>
        <v>DD</v>
      </c>
      <c r="G154" s="294" t="str">
        <f t="shared" ca="1" si="122"/>
        <v>DDD</v>
      </c>
      <c r="H154" s="868" t="str">
        <f t="shared" ca="1" si="123"/>
        <v/>
      </c>
      <c r="J154" s="89" vm="284">
        <f ca="1"/>
        <v>45877</v>
      </c>
      <c r="K154" s="89" vm="285">
        <f ca="1"/>
        <v>222.69</v>
      </c>
      <c r="N154" s="868" t="str">
        <f ca="1">IF(F154=[2]Sheet1!O152,"","dif")</f>
        <v>dif</v>
      </c>
    </row>
    <row r="155" spans="2:64" x14ac:dyDescent="0.3">
      <c r="B155" s="89" vm="282">
        <f ca="1"/>
        <v>45762</v>
      </c>
      <c r="C155" s="89" vm="283">
        <f ca="1"/>
        <v>179.59</v>
      </c>
      <c r="D155" s="1210">
        <f t="shared" ca="1" si="120"/>
        <v>-1.3891939380628163E-2</v>
      </c>
      <c r="E155" s="294" t="str" cm="1">
        <f t="array" aca="1" ref="E155" ca="1">_xlfn.IFS(D155&gt;ZPercent,"U",D155&lt;=-ZPercent,"D",TRUE,"Z")</f>
        <v>D</v>
      </c>
      <c r="F155" s="294" t="str">
        <f t="shared" ca="1" si="121"/>
        <v>DD</v>
      </c>
      <c r="G155" s="294" t="str">
        <f t="shared" ca="1" si="122"/>
        <v>UDD</v>
      </c>
      <c r="H155" s="868" t="str">
        <f t="shared" ca="1" si="123"/>
        <v/>
      </c>
      <c r="J155" s="89" vm="280">
        <f ca="1"/>
        <v>45880</v>
      </c>
      <c r="K155" s="89" vm="281">
        <f ca="1"/>
        <v>221.3</v>
      </c>
      <c r="N155" s="868" t="str">
        <f ca="1">IF(F155=[2]Sheet1!O153,"","dif")</f>
        <v>dif</v>
      </c>
    </row>
    <row r="156" spans="2:64" x14ac:dyDescent="0.3">
      <c r="B156" s="89" vm="278">
        <f ca="1"/>
        <v>45761</v>
      </c>
      <c r="C156" s="89" vm="279">
        <f ca="1"/>
        <v>182.12</v>
      </c>
      <c r="D156" s="1210">
        <f t="shared" ca="1" si="120"/>
        <v>-1.4875317790880077E-2</v>
      </c>
      <c r="E156" s="294" t="str" cm="1">
        <f t="array" aca="1" ref="E156" ca="1">_xlfn.IFS(D156&gt;ZPercent,"U",D156&lt;=-ZPercent,"D",TRUE,"Z")</f>
        <v>D</v>
      </c>
      <c r="F156" s="294" t="str">
        <f t="shared" ca="1" si="121"/>
        <v>UD</v>
      </c>
      <c r="G156" s="294" t="str">
        <f t="shared" ca="1" si="122"/>
        <v>DUD</v>
      </c>
      <c r="H156" s="868" t="str">
        <f t="shared" ca="1" si="123"/>
        <v/>
      </c>
      <c r="J156" s="89" vm="276">
        <f ca="1"/>
        <v>45881</v>
      </c>
      <c r="K156" s="89" vm="277">
        <f ca="1"/>
        <v>221.47</v>
      </c>
      <c r="N156" s="868" t="str">
        <f ca="1">IF(F156=[2]Sheet1!O154,"","dif")</f>
        <v>dif</v>
      </c>
    </row>
    <row r="157" spans="2:64" x14ac:dyDescent="0.3">
      <c r="B157" s="89" vm="274">
        <f ca="1"/>
        <v>45758</v>
      </c>
      <c r="C157" s="89" vm="275">
        <f ca="1"/>
        <v>184.87</v>
      </c>
      <c r="D157" s="1210">
        <f t="shared" ca="1" si="120"/>
        <v>2.0141264761063933E-2</v>
      </c>
      <c r="E157" s="294" t="str" cm="1">
        <f t="array" aca="1" ref="E157" ca="1">_xlfn.IFS(D157&gt;ZPercent,"U",D157&lt;=-ZPercent,"D",TRUE,"Z")</f>
        <v>U</v>
      </c>
      <c r="F157" s="294" t="str">
        <f t="shared" ca="1" si="121"/>
        <v>DU</v>
      </c>
      <c r="G157" s="294" t="str">
        <f t="shared" ca="1" si="122"/>
        <v>UDU</v>
      </c>
      <c r="H157" s="868" t="str">
        <f t="shared" ca="1" si="123"/>
        <v/>
      </c>
      <c r="J157" s="89" vm="272">
        <f ca="1"/>
        <v>45882</v>
      </c>
      <c r="K157" s="89" vm="273">
        <f ca="1"/>
        <v>224.56</v>
      </c>
      <c r="N157" s="868" t="str">
        <f ca="1">IF(F157=[2]Sheet1!O155,"","dif")</f>
        <v>dif</v>
      </c>
    </row>
    <row r="158" spans="2:64" x14ac:dyDescent="0.3">
      <c r="B158" s="89" vm="270">
        <f ca="1"/>
        <v>45757</v>
      </c>
      <c r="C158" s="89" vm="271">
        <f ca="1"/>
        <v>181.22</v>
      </c>
      <c r="D158" s="1210">
        <f t="shared" ca="1" si="120"/>
        <v>-5.170068027210882E-2</v>
      </c>
      <c r="E158" s="294" t="str" cm="1">
        <f t="array" aca="1" ref="E158" ca="1">_xlfn.IFS(D158&gt;ZPercent,"U",D158&lt;=-ZPercent,"D",TRUE,"Z")</f>
        <v>D</v>
      </c>
      <c r="F158" s="294" t="str">
        <f t="shared" ca="1" si="121"/>
        <v>UD</v>
      </c>
      <c r="G158" s="294" t="str">
        <f t="shared" ca="1" si="122"/>
        <v>DUD</v>
      </c>
      <c r="H158" s="868" t="str">
        <f t="shared" ca="1" si="123"/>
        <v/>
      </c>
      <c r="J158" s="89" vm="268">
        <f ca="1"/>
        <v>45883</v>
      </c>
      <c r="K158" s="89" vm="269">
        <f ca="1"/>
        <v>230.98</v>
      </c>
      <c r="N158" s="868" t="str">
        <f ca="1">IF(F158=[2]Sheet1!O156,"","dif")</f>
        <v>dif</v>
      </c>
    </row>
    <row r="159" spans="2:64" x14ac:dyDescent="0.3">
      <c r="B159" s="89" vm="266">
        <f ca="1"/>
        <v>45756</v>
      </c>
      <c r="C159" s="89" vm="267">
        <f ca="1"/>
        <v>191.1</v>
      </c>
      <c r="D159" s="1210">
        <f t="shared" ca="1" si="120"/>
        <v>0.11977030352748153</v>
      </c>
      <c r="E159" s="294" t="str" cm="1">
        <f t="array" aca="1" ref="E159" ca="1">_xlfn.IFS(D159&gt;ZPercent,"U",D159&lt;=-ZPercent,"D",TRUE,"Z")</f>
        <v>U</v>
      </c>
      <c r="F159" s="294" t="str">
        <f t="shared" ca="1" si="121"/>
        <v>DU</v>
      </c>
      <c r="G159" s="294" t="str">
        <f t="shared" ca="1" si="122"/>
        <v>UDU</v>
      </c>
      <c r="H159" s="868" t="str">
        <f t="shared" ca="1" si="123"/>
        <v/>
      </c>
      <c r="J159" s="89" vm="264">
        <f ca="1"/>
        <v>45884</v>
      </c>
      <c r="K159" s="89" vm="265">
        <f ca="1"/>
        <v>231.03</v>
      </c>
      <c r="N159" s="868" t="str">
        <f ca="1">IF(F159=[2]Sheet1!O157,"","dif")</f>
        <v>dif</v>
      </c>
    </row>
    <row r="160" spans="2:64" x14ac:dyDescent="0.3">
      <c r="B160" s="89" vm="262">
        <f ca="1"/>
        <v>45755</v>
      </c>
      <c r="C160" s="89" vm="263">
        <f ca="1"/>
        <v>170.66</v>
      </c>
      <c r="D160" s="1210">
        <f t="shared" ref="D160:D164" ca="1" si="124">IFERROR((C160-C161)/C161,0)</f>
        <v>-2.6246719160104955E-2</v>
      </c>
      <c r="E160" s="294" t="str" cm="1">
        <f t="array" aca="1" ref="E160" ca="1">_xlfn.IFS(D160&gt;ZPercent,"U",D160&lt;=-ZPercent,"D",TRUE,"Z")</f>
        <v>D</v>
      </c>
      <c r="F160" s="294" t="str">
        <f t="shared" ref="F160:F164" ca="1" si="125">_xlfn.CONCAT(E161,E160)</f>
        <v>UD</v>
      </c>
      <c r="G160" s="294" t="str">
        <f t="shared" ref="G160:G164" ca="1" si="126">_xlfn.CONCAT(E162,E161,E160)</f>
        <v>DUD</v>
      </c>
      <c r="H160" s="868" t="str">
        <f t="shared" ca="1" si="123"/>
        <v/>
      </c>
      <c r="J160" s="89" vm="260">
        <f ca="1"/>
        <v>45887</v>
      </c>
      <c r="K160" s="89" vm="261">
        <f ca="1"/>
        <v>231.49</v>
      </c>
      <c r="N160" s="868" t="str">
        <f ca="1">IF(F160=[2]Sheet1!O158,"","dif")</f>
        <v>dif</v>
      </c>
    </row>
    <row r="161" spans="2:14" x14ac:dyDescent="0.3">
      <c r="B161" s="89" vm="258">
        <f ca="1"/>
        <v>45754</v>
      </c>
      <c r="C161" s="89" vm="259">
        <f ca="1"/>
        <v>175.26</v>
      </c>
      <c r="D161" s="1210">
        <f t="shared" ca="1" si="124"/>
        <v>2.4912280701754334E-2</v>
      </c>
      <c r="E161" s="294" t="str" cm="1">
        <f t="array" aca="1" ref="E161" ca="1">_xlfn.IFS(D161&gt;ZPercent,"U",D161&lt;=-ZPercent,"D",TRUE,"Z")</f>
        <v>U</v>
      </c>
      <c r="F161" s="294" t="str">
        <f t="shared" ca="1" si="125"/>
        <v>DU</v>
      </c>
      <c r="G161" s="294" t="str">
        <f t="shared" ca="1" si="126"/>
        <v>DDU</v>
      </c>
      <c r="H161" s="868" t="str">
        <f t="shared" ca="1" si="123"/>
        <v/>
      </c>
      <c r="J161" s="89" vm="256">
        <f ca="1"/>
        <v>45888</v>
      </c>
      <c r="K161" s="89" vm="257">
        <f ca="1"/>
        <v>228.01</v>
      </c>
      <c r="N161" s="868" t="str">
        <f ca="1">IF(F161=[2]Sheet1!O159,"","dif")</f>
        <v>dif</v>
      </c>
    </row>
    <row r="162" spans="2:14" x14ac:dyDescent="0.3">
      <c r="B162" s="89" vm="254">
        <f ca="1"/>
        <v>45751</v>
      </c>
      <c r="C162" s="89" vm="255">
        <f ca="1"/>
        <v>171</v>
      </c>
      <c r="D162" s="1210">
        <f t="shared" ca="1" si="124"/>
        <v>-4.1533546325878579E-2</v>
      </c>
      <c r="E162" s="294" t="str" cm="1">
        <f t="array" aca="1" ref="E162" ca="1">_xlfn.IFS(D162&gt;ZPercent,"U",D162&lt;=-ZPercent,"D",TRUE,"Z")</f>
        <v>D</v>
      </c>
      <c r="F162" s="294" t="str">
        <f t="shared" ca="1" si="125"/>
        <v>DD</v>
      </c>
      <c r="G162" s="294" t="str">
        <f t="shared" ca="1" si="126"/>
        <v>UDD</v>
      </c>
      <c r="H162" s="868" t="str">
        <f t="shared" ca="1" si="123"/>
        <v/>
      </c>
      <c r="J162" s="89" vm="252">
        <f ca="1"/>
        <v>45889</v>
      </c>
      <c r="K162" s="89" vm="253">
        <f ca="1"/>
        <v>223.81</v>
      </c>
      <c r="N162" s="868" t="str">
        <f ca="1">IF(F162=[2]Sheet1!O160,"","dif")</f>
        <v>dif</v>
      </c>
    </row>
    <row r="163" spans="2:14" x14ac:dyDescent="0.3">
      <c r="B163" s="89" vm="250">
        <f ca="1"/>
        <v>45750</v>
      </c>
      <c r="C163" s="89" vm="251">
        <f ca="1"/>
        <v>178.41</v>
      </c>
      <c r="D163" s="1210">
        <f t="shared" ca="1" si="124"/>
        <v>-8.9791337176674632E-2</v>
      </c>
      <c r="E163" s="294" t="str" cm="1">
        <f t="array" aca="1" ref="E163" ca="1">_xlfn.IFS(D163&gt;ZPercent,"U",D163&lt;=-ZPercent,"D",TRUE,"Z")</f>
        <v>D</v>
      </c>
      <c r="F163" s="294" t="str">
        <f t="shared" ca="1" si="125"/>
        <v>UD</v>
      </c>
      <c r="G163" s="294" t="str">
        <f t="shared" ca="1" si="126"/>
        <v>UUD</v>
      </c>
      <c r="H163" s="868" t="str">
        <f t="shared" ca="1" si="123"/>
        <v/>
      </c>
      <c r="J163" s="89" vm="248">
        <f ca="1"/>
        <v>45890</v>
      </c>
      <c r="K163" s="89" vm="249">
        <f ca="1"/>
        <v>221.95</v>
      </c>
      <c r="N163" s="868" t="str">
        <f ca="1">IF(F163=[2]Sheet1!O161,"","dif")</f>
        <v>dif</v>
      </c>
    </row>
    <row r="164" spans="2:14" x14ac:dyDescent="0.3">
      <c r="B164" s="89" vm="246">
        <f ca="1"/>
        <v>45749</v>
      </c>
      <c r="C164" s="89" vm="247">
        <f ca="1"/>
        <v>196.01</v>
      </c>
      <c r="D164" s="1210">
        <f t="shared" ca="1" si="124"/>
        <v>1.9982307332049767E-2</v>
      </c>
      <c r="E164" s="294" t="str" cm="1">
        <f t="array" aca="1" ref="E164" ca="1">_xlfn.IFS(D164&gt;ZPercent,"U",D164&lt;=-ZPercent,"D",TRUE,"Z")</f>
        <v>U</v>
      </c>
      <c r="F164" s="294" t="str">
        <f t="shared" ca="1" si="125"/>
        <v>UU</v>
      </c>
      <c r="G164" s="294" t="str">
        <f t="shared" ca="1" si="126"/>
        <v>DUU</v>
      </c>
      <c r="H164" s="868" t="str">
        <f t="shared" ca="1" si="123"/>
        <v/>
      </c>
      <c r="J164" s="89" vm="244">
        <f ca="1"/>
        <v>45891</v>
      </c>
      <c r="K164" s="89" vm="245">
        <f ca="1"/>
        <v>228.84</v>
      </c>
      <c r="N164" s="868" t="str">
        <f ca="1">IF(F164=[2]Sheet1!O162,"","dif")</f>
        <v>dif</v>
      </c>
    </row>
    <row r="165" spans="2:14" x14ac:dyDescent="0.3">
      <c r="B165" s="89" vm="242">
        <f ca="1"/>
        <v>45748</v>
      </c>
      <c r="C165" s="89" vm="243">
        <f ca="1"/>
        <v>192.17</v>
      </c>
      <c r="D165" s="1210">
        <f t="shared" ref="D165:D201" ca="1" si="127">IFERROR((C165-C166)/C166,0)</f>
        <v>1.0038894144854392E-2</v>
      </c>
      <c r="E165" s="294" t="str" cm="1">
        <f t="array" aca="1" ref="E165" ca="1">_xlfn.IFS(D165&gt;ZPercent,"U",D165&lt;=-ZPercent,"D",TRUE,"Z")</f>
        <v>U</v>
      </c>
      <c r="F165" s="294" t="str">
        <f t="shared" ref="F165:F201" ca="1" si="128">_xlfn.CONCAT(E166,E165)</f>
        <v>DU</v>
      </c>
      <c r="G165" s="294" t="str">
        <f t="shared" ref="G165:G201" ca="1" si="129">_xlfn.CONCAT(E167,E166,E165)</f>
        <v>DDU</v>
      </c>
      <c r="H165" s="868" t="str">
        <f t="shared" ca="1" si="123"/>
        <v/>
      </c>
      <c r="J165" s="89" vm="240">
        <f ca="1"/>
        <v>45894</v>
      </c>
      <c r="K165" s="89" vm="241">
        <f ca="1"/>
        <v>227.94</v>
      </c>
      <c r="N165" s="868" t="str">
        <f ca="1">IF(F165=[2]Sheet1!O163,"","dif")</f>
        <v>dif</v>
      </c>
    </row>
    <row r="166" spans="2:14" x14ac:dyDescent="0.3">
      <c r="B166" s="89" vm="238">
        <f ca="1"/>
        <v>45747</v>
      </c>
      <c r="C166" s="89" vm="239">
        <f ca="1"/>
        <v>190.26</v>
      </c>
      <c r="D166" s="1210">
        <f t="shared" ca="1" si="127"/>
        <v>-1.2764632627646367E-2</v>
      </c>
      <c r="E166" s="294" t="str" cm="1">
        <f t="array" aca="1" ref="E166" ca="1">_xlfn.IFS(D166&gt;ZPercent,"U",D166&lt;=-ZPercent,"D",TRUE,"Z")</f>
        <v>D</v>
      </c>
      <c r="F166" s="294" t="str">
        <f t="shared" ca="1" si="128"/>
        <v>DD</v>
      </c>
      <c r="G166" s="294" t="str">
        <f t="shared" ca="1" si="129"/>
        <v>ZDD</v>
      </c>
      <c r="H166" s="868" t="str">
        <f t="shared" ca="1" si="123"/>
        <v/>
      </c>
      <c r="J166" s="89" vm="236">
        <f ca="1"/>
        <v>45895</v>
      </c>
      <c r="K166" s="89" vm="237">
        <f ca="1"/>
        <v>228.71</v>
      </c>
      <c r="N166" s="868" t="str">
        <f ca="1">IF(F166=[2]Sheet1!O164,"","dif")</f>
        <v>dif</v>
      </c>
    </row>
    <row r="167" spans="2:14" x14ac:dyDescent="0.3">
      <c r="B167" s="89" vm="234">
        <f ca="1"/>
        <v>45744</v>
      </c>
      <c r="C167" s="89" vm="235">
        <f ca="1"/>
        <v>192.72</v>
      </c>
      <c r="D167" s="1210">
        <f t="shared" ca="1" si="127"/>
        <v>-4.2908224076281358E-2</v>
      </c>
      <c r="E167" s="294" t="str" cm="1">
        <f t="array" aca="1" ref="E167" ca="1">_xlfn.IFS(D167&gt;ZPercent,"U",D167&lt;=-ZPercent,"D",TRUE,"Z")</f>
        <v>D</v>
      </c>
      <c r="F167" s="294" t="str">
        <f t="shared" ca="1" si="128"/>
        <v>ZD</v>
      </c>
      <c r="G167" s="294" t="str">
        <f t="shared" ca="1" si="129"/>
        <v>DZD</v>
      </c>
      <c r="H167" s="868" t="str">
        <f t="shared" ca="1" si="123"/>
        <v>ZZ</v>
      </c>
      <c r="J167" s="89" vm="232">
        <f ca="1"/>
        <v>45896</v>
      </c>
      <c r="K167" s="89" vm="233">
        <f ca="1"/>
        <v>229.12</v>
      </c>
      <c r="N167" s="868" t="str">
        <f ca="1">IF(F167=[2]Sheet1!O165,"","dif")</f>
        <v>dif</v>
      </c>
    </row>
    <row r="168" spans="2:14" x14ac:dyDescent="0.3">
      <c r="B168" s="89" vm="230">
        <f ca="1"/>
        <v>45743</v>
      </c>
      <c r="C168" s="89" vm="231">
        <f ca="1"/>
        <v>201.36</v>
      </c>
      <c r="D168" s="1210">
        <f t="shared" ca="1" si="127"/>
        <v>1.1435390046239655E-3</v>
      </c>
      <c r="E168" s="294" t="str" cm="1">
        <f t="array" aca="1" ref="E168" ca="1">_xlfn.IFS(D168&gt;ZPercent,"U",D168&lt;=-ZPercent,"D",TRUE,"Z")</f>
        <v>Z</v>
      </c>
      <c r="F168" s="294" t="str">
        <f t="shared" ca="1" si="128"/>
        <v>DZ</v>
      </c>
      <c r="G168" s="294" t="str">
        <f t="shared" ca="1" si="129"/>
        <v>UDZ</v>
      </c>
      <c r="H168" s="868" t="str">
        <f t="shared" ca="1" si="123"/>
        <v/>
      </c>
      <c r="J168" s="89" vm="228">
        <f ca="1"/>
        <v>45897</v>
      </c>
      <c r="K168" s="89" vm="229">
        <f ca="1"/>
        <v>231.6</v>
      </c>
      <c r="N168" s="868" t="str">
        <f ca="1">IF(F168=[2]Sheet1!O166,"","dif")</f>
        <v>dif</v>
      </c>
    </row>
    <row r="169" spans="2:14" x14ac:dyDescent="0.3">
      <c r="B169" s="89" vm="226">
        <f ca="1"/>
        <v>45742</v>
      </c>
      <c r="C169" s="89" vm="227">
        <f ca="1"/>
        <v>201.13</v>
      </c>
      <c r="D169" s="1210">
        <f t="shared" ca="1" si="127"/>
        <v>-2.2264352729570815E-2</v>
      </c>
      <c r="E169" s="294" t="str" cm="1">
        <f t="array" aca="1" ref="E169" ca="1">_xlfn.IFS(D169&gt;ZPercent,"U",D169&lt;=-ZPercent,"D",TRUE,"Z")</f>
        <v>D</v>
      </c>
      <c r="F169" s="294" t="str">
        <f t="shared" ca="1" si="128"/>
        <v>UD</v>
      </c>
      <c r="G169" s="294" t="str">
        <f t="shared" ca="1" si="129"/>
        <v>UUD</v>
      </c>
      <c r="H169" s="868" t="str">
        <f t="shared" ca="1" si="123"/>
        <v/>
      </c>
      <c r="J169" s="89" vm="224">
        <f ca="1"/>
        <v>45898</v>
      </c>
      <c r="K169" s="89" vm="225">
        <f ca="1"/>
        <v>229</v>
      </c>
      <c r="N169" s="868" t="str">
        <f ca="1">IF(F169=[2]Sheet1!O167,"","dif")</f>
        <v>dif</v>
      </c>
    </row>
    <row r="170" spans="2:14" x14ac:dyDescent="0.3">
      <c r="B170" s="89" vm="222">
        <f ca="1"/>
        <v>45741</v>
      </c>
      <c r="C170" s="89" vm="223">
        <f ca="1"/>
        <v>205.71</v>
      </c>
      <c r="D170" s="1210">
        <f t="shared" ca="1" si="127"/>
        <v>1.2053527501722018E-2</v>
      </c>
      <c r="E170" s="294" t="str" cm="1">
        <f t="array" aca="1" ref="E170" ca="1">_xlfn.IFS(D170&gt;ZPercent,"U",D170&lt;=-ZPercent,"D",TRUE,"Z")</f>
        <v>U</v>
      </c>
      <c r="F170" s="294" t="str">
        <f t="shared" ca="1" si="128"/>
        <v>UU</v>
      </c>
      <c r="G170" s="294" t="str">
        <f t="shared" ca="1" si="129"/>
        <v>UUU</v>
      </c>
      <c r="H170" s="868" t="str">
        <f t="shared" ca="1" si="123"/>
        <v/>
      </c>
      <c r="J170" s="89" vm="220">
        <f ca="1"/>
        <v>45902</v>
      </c>
      <c r="K170" s="89" vm="221">
        <f ca="1"/>
        <v>225.34</v>
      </c>
      <c r="N170" s="868" t="str">
        <f ca="1">IF(F170=[2]Sheet1!O168,"","dif")</f>
        <v>dif</v>
      </c>
    </row>
    <row r="171" spans="2:14" x14ac:dyDescent="0.3">
      <c r="B171" s="89" vm="218">
        <f ca="1"/>
        <v>45740</v>
      </c>
      <c r="C171" s="89" vm="219">
        <f ca="1"/>
        <v>203.26</v>
      </c>
      <c r="D171" s="1210">
        <f t="shared" ca="1" si="127"/>
        <v>3.593089037255992E-2</v>
      </c>
      <c r="E171" s="294" t="str" cm="1">
        <f t="array" aca="1" ref="E171" ca="1">_xlfn.IFS(D171&gt;ZPercent,"U",D171&lt;=-ZPercent,"D",TRUE,"Z")</f>
        <v>U</v>
      </c>
      <c r="F171" s="294" t="str">
        <f t="shared" ca="1" si="128"/>
        <v>UU</v>
      </c>
      <c r="G171" s="294" t="str">
        <f t="shared" ca="1" si="129"/>
        <v>ZUU</v>
      </c>
      <c r="H171" s="868" t="str">
        <f t="shared" ca="1" si="123"/>
        <v/>
      </c>
      <c r="J171" s="89" vm="216">
        <f ca="1"/>
        <v>45903</v>
      </c>
      <c r="K171" s="89" vm="217">
        <f ca="1"/>
        <v>225.99</v>
      </c>
      <c r="N171" s="868" t="str">
        <f ca="1">IF(F171=[2]Sheet1!O169,"","dif")</f>
        <v>dif</v>
      </c>
    </row>
    <row r="172" spans="2:14" x14ac:dyDescent="0.3">
      <c r="B172" s="89" vm="214">
        <f ca="1"/>
        <v>45737</v>
      </c>
      <c r="C172" s="89" vm="215">
        <f ca="1"/>
        <v>196.21</v>
      </c>
      <c r="D172" s="1210">
        <f t="shared" ca="1" si="127"/>
        <v>6.4631956912029722E-3</v>
      </c>
      <c r="E172" s="294" t="str" cm="1">
        <f t="array" aca="1" ref="E172" ca="1">_xlfn.IFS(D172&gt;ZPercent,"U",D172&lt;=-ZPercent,"D",TRUE,"Z")</f>
        <v>U</v>
      </c>
      <c r="F172" s="294" t="str">
        <f t="shared" ca="1" si="128"/>
        <v>ZU</v>
      </c>
      <c r="G172" s="294" t="str">
        <f t="shared" ca="1" si="129"/>
        <v>UZU</v>
      </c>
      <c r="H172" s="868" t="str">
        <f t="shared" ca="1" si="123"/>
        <v/>
      </c>
      <c r="J172" s="89" vm="212">
        <f ca="1"/>
        <v>45904</v>
      </c>
      <c r="K172" s="89" vm="213">
        <f ca="1"/>
        <v>235.68</v>
      </c>
      <c r="N172" s="868" t="str">
        <f ca="1">IF(F172=[2]Sheet1!O170,"","dif")</f>
        <v>dif</v>
      </c>
    </row>
    <row r="173" spans="2:14" x14ac:dyDescent="0.3">
      <c r="B173" s="89" vm="210">
        <f ca="1"/>
        <v>45736</v>
      </c>
      <c r="C173" s="89" vm="211">
        <f ca="1"/>
        <v>194.95</v>
      </c>
      <c r="D173" s="1210">
        <f t="shared" ca="1" si="127"/>
        <v>-3.0172854658893499E-3</v>
      </c>
      <c r="E173" s="294" t="str" cm="1">
        <f t="array" aca="1" ref="E173" ca="1">_xlfn.IFS(D173&gt;ZPercent,"U",D173&lt;=-ZPercent,"D",TRUE,"Z")</f>
        <v>Z</v>
      </c>
      <c r="F173" s="294" t="str">
        <f t="shared" ca="1" si="128"/>
        <v>UZ</v>
      </c>
      <c r="G173" s="294" t="str">
        <f t="shared" ca="1" si="129"/>
        <v>DUZ</v>
      </c>
      <c r="H173" s="868" t="str">
        <f t="shared" ca="1" si="123"/>
        <v/>
      </c>
      <c r="J173" s="89" vm="208">
        <f ca="1"/>
        <v>45905</v>
      </c>
      <c r="K173" s="89" vm="209">
        <f ca="1"/>
        <v>232.33</v>
      </c>
      <c r="N173" s="868" t="str">
        <f ca="1">IF(F173=[2]Sheet1!O171,"","dif")</f>
        <v/>
      </c>
    </row>
    <row r="174" spans="2:14" x14ac:dyDescent="0.3">
      <c r="B174" s="89" vm="206">
        <f ca="1"/>
        <v>45735</v>
      </c>
      <c r="C174" s="89" vm="207">
        <f ca="1"/>
        <v>195.54</v>
      </c>
      <c r="D174" s="1210">
        <f t="shared" ca="1" si="127"/>
        <v>1.4106420495799186E-2</v>
      </c>
      <c r="E174" s="294" t="str" cm="1">
        <f t="array" aca="1" ref="E174" ca="1">_xlfn.IFS(D174&gt;ZPercent,"U",D174&lt;=-ZPercent,"D",TRUE,"Z")</f>
        <v>U</v>
      </c>
      <c r="F174" s="294" t="str">
        <f t="shared" ca="1" si="128"/>
        <v>DU</v>
      </c>
      <c r="G174" s="294" t="str">
        <f t="shared" ca="1" si="129"/>
        <v>DDU</v>
      </c>
      <c r="H174" s="868" t="str">
        <f t="shared" ca="1" si="123"/>
        <v/>
      </c>
      <c r="J174" s="89" vm="204">
        <f ca="1"/>
        <v>45908</v>
      </c>
      <c r="K174" s="89" vm="205">
        <f ca="1"/>
        <v>235.84</v>
      </c>
      <c r="N174" s="868" t="str">
        <f ca="1">IF(F174=[2]Sheet1!O172,"","dif")</f>
        <v>dif</v>
      </c>
    </row>
    <row r="175" spans="2:14" x14ac:dyDescent="0.3">
      <c r="B175" s="89" vm="202">
        <f ca="1"/>
        <v>45734</v>
      </c>
      <c r="C175" s="89" vm="203">
        <f ca="1"/>
        <v>192.82</v>
      </c>
      <c r="D175" s="1210">
        <f t="shared" ca="1" si="127"/>
        <v>-1.491774803310522E-2</v>
      </c>
      <c r="E175" s="294" t="str" cm="1">
        <f t="array" aca="1" ref="E175" ca="1">_xlfn.IFS(D175&gt;ZPercent,"U",D175&lt;=-ZPercent,"D",TRUE,"Z")</f>
        <v>D</v>
      </c>
      <c r="F175" s="294" t="str">
        <f t="shared" ca="1" si="128"/>
        <v>DD</v>
      </c>
      <c r="G175" s="294" t="str">
        <f t="shared" ca="1" si="129"/>
        <v>UDD</v>
      </c>
      <c r="H175" s="868" t="str">
        <f t="shared" ca="1" si="123"/>
        <v/>
      </c>
      <c r="J175" s="89" vm="200">
        <f ca="1"/>
        <v>45909</v>
      </c>
      <c r="K175" s="89" vm="201">
        <f ca="1"/>
        <v>238.24</v>
      </c>
      <c r="N175" s="868" t="str">
        <f ca="1">IF(F175=[2]Sheet1!O173,"","dif")</f>
        <v>dif</v>
      </c>
    </row>
    <row r="176" spans="2:14" x14ac:dyDescent="0.3">
      <c r="B176" s="89" vm="198">
        <f ca="1"/>
        <v>45733</v>
      </c>
      <c r="C176" s="89" vm="199">
        <f ca="1"/>
        <v>195.74</v>
      </c>
      <c r="D176" s="1210">
        <f t="shared" ca="1" si="127"/>
        <v>-1.1164435463500781E-2</v>
      </c>
      <c r="E176" s="294" t="str" cm="1">
        <f t="array" aca="1" ref="E176" ca="1">_xlfn.IFS(D176&gt;ZPercent,"U",D176&lt;=-ZPercent,"D",TRUE,"Z")</f>
        <v>D</v>
      </c>
      <c r="F176" s="294" t="str">
        <f t="shared" ca="1" si="128"/>
        <v>UD</v>
      </c>
      <c r="G176" s="294" t="str">
        <f t="shared" ca="1" si="129"/>
        <v>DUD</v>
      </c>
      <c r="H176" s="868" t="str">
        <f t="shared" ca="1" si="123"/>
        <v/>
      </c>
      <c r="J176" s="89" vm="196">
        <f ca="1"/>
        <v>45910</v>
      </c>
      <c r="K176" s="89" vm="197">
        <f ca="1"/>
        <v>230.33</v>
      </c>
      <c r="N176" s="868" t="str">
        <f ca="1">IF(F176=[2]Sheet1!O174,"","dif")</f>
        <v>dif</v>
      </c>
    </row>
    <row r="177" spans="2:14" x14ac:dyDescent="0.3">
      <c r="B177" s="89" vm="194">
        <f ca="1"/>
        <v>45730</v>
      </c>
      <c r="C177" s="89" vm="195">
        <f ca="1"/>
        <v>197.95</v>
      </c>
      <c r="D177" s="1210">
        <f t="shared" ca="1" si="127"/>
        <v>2.0939708081902122E-2</v>
      </c>
      <c r="E177" s="294" t="str" cm="1">
        <f t="array" aca="1" ref="E177" ca="1">_xlfn.IFS(D177&gt;ZPercent,"U",D177&lt;=-ZPercent,"D",TRUE,"Z")</f>
        <v>U</v>
      </c>
      <c r="F177" s="294" t="str">
        <f t="shared" ca="1" si="128"/>
        <v>DU</v>
      </c>
      <c r="G177" s="294" t="str">
        <f t="shared" ca="1" si="129"/>
        <v>UDU</v>
      </c>
      <c r="H177" s="868" t="str">
        <f t="shared" ca="1" si="123"/>
        <v/>
      </c>
      <c r="J177" s="89" vm="192">
        <f ca="1"/>
        <v>45911</v>
      </c>
      <c r="K177" s="89" vm="193">
        <f ca="1"/>
        <v>229.95</v>
      </c>
      <c r="N177" s="868" t="str">
        <f ca="1">IF(F177=[2]Sheet1!O175,"","dif")</f>
        <v>dif</v>
      </c>
    </row>
    <row r="178" spans="2:14" x14ac:dyDescent="0.3">
      <c r="B178" s="89" vm="190">
        <f ca="1"/>
        <v>45729</v>
      </c>
      <c r="C178" s="89" vm="191">
        <f ca="1"/>
        <v>193.89</v>
      </c>
      <c r="D178" s="1210">
        <f t="shared" ca="1" si="127"/>
        <v>-2.5139524360199107E-2</v>
      </c>
      <c r="E178" s="294" t="str" cm="1">
        <f t="array" aca="1" ref="E178" ca="1">_xlfn.IFS(D178&gt;ZPercent,"U",D178&lt;=-ZPercent,"D",TRUE,"Z")</f>
        <v>D</v>
      </c>
      <c r="F178" s="294" t="str">
        <f t="shared" ca="1" si="128"/>
        <v>UD</v>
      </c>
      <c r="G178" s="294" t="str">
        <f t="shared" ca="1" si="129"/>
        <v>UUD</v>
      </c>
      <c r="H178" s="868" t="str">
        <f t="shared" ca="1" si="123"/>
        <v/>
      </c>
      <c r="J178" s="89" vm="188">
        <f ca="1"/>
        <v>45912</v>
      </c>
      <c r="K178" s="89" vm="189">
        <f ca="1"/>
        <v>228.15</v>
      </c>
      <c r="N178" s="868" t="str">
        <f ca="1">IF(F178=[2]Sheet1!O176,"","dif")</f>
        <v>dif</v>
      </c>
    </row>
    <row r="179" spans="2:14" x14ac:dyDescent="0.3">
      <c r="B179" s="89" vm="186">
        <f ca="1"/>
        <v>45728</v>
      </c>
      <c r="C179" s="89" vm="187">
        <f ca="1"/>
        <v>198.89</v>
      </c>
      <c r="D179" s="1210">
        <f t="shared" ca="1" si="127"/>
        <v>1.1699476066941264E-2</v>
      </c>
      <c r="E179" s="294" t="str" cm="1">
        <f t="array" aca="1" ref="E179" ca="1">_xlfn.IFS(D179&gt;ZPercent,"U",D179&lt;=-ZPercent,"D",TRUE,"Z")</f>
        <v>U</v>
      </c>
      <c r="F179" s="294" t="str">
        <f t="shared" ca="1" si="128"/>
        <v>UU</v>
      </c>
      <c r="G179" s="294" t="str">
        <f t="shared" ca="1" si="129"/>
        <v>DUU</v>
      </c>
      <c r="H179" s="868" t="str">
        <f t="shared" ca="1" si="123"/>
        <v/>
      </c>
      <c r="J179" s="89" vm="184">
        <f ca="1"/>
        <v>45915</v>
      </c>
      <c r="K179" s="89" vm="185">
        <f ca="1"/>
        <v>231.43</v>
      </c>
      <c r="N179" s="868" t="str">
        <f ca="1">IF(F179=[2]Sheet1!O177,"","dif")</f>
        <v>dif</v>
      </c>
    </row>
    <row r="180" spans="2:14" x14ac:dyDescent="0.3">
      <c r="B180" s="89" vm="182">
        <f ca="1"/>
        <v>45727</v>
      </c>
      <c r="C180" s="89" vm="183">
        <f ca="1"/>
        <v>196.59</v>
      </c>
      <c r="D180" s="1210">
        <f t="shared" ca="1" si="127"/>
        <v>1.0537678626503606E-2</v>
      </c>
      <c r="E180" s="294" t="str" cm="1">
        <f t="array" aca="1" ref="E180" ca="1">_xlfn.IFS(D180&gt;ZPercent,"U",D180&lt;=-ZPercent,"D",TRUE,"Z")</f>
        <v>U</v>
      </c>
      <c r="F180" s="294" t="str">
        <f t="shared" ca="1" si="128"/>
        <v>DU</v>
      </c>
      <c r="G180" s="294" t="str">
        <f t="shared" ca="1" si="129"/>
        <v>DDU</v>
      </c>
      <c r="H180" s="868" t="str">
        <f t="shared" ca="1" si="123"/>
        <v/>
      </c>
      <c r="J180" s="89" vm="180">
        <f ca="1"/>
        <v>45916</v>
      </c>
      <c r="K180" s="89" vm="181">
        <f ca="1"/>
        <v>234.05</v>
      </c>
      <c r="N180" s="868" t="str">
        <f ca="1">IF(F180=[2]Sheet1!O178,"","dif")</f>
        <v>dif</v>
      </c>
    </row>
    <row r="181" spans="2:14" x14ac:dyDescent="0.3">
      <c r="B181" s="89" vm="178">
        <f ca="1"/>
        <v>45726</v>
      </c>
      <c r="C181" s="89" vm="179">
        <f ca="1"/>
        <v>194.54</v>
      </c>
      <c r="D181" s="1210">
        <f t="shared" ca="1" si="127"/>
        <v>-2.3638644918444206E-2</v>
      </c>
      <c r="E181" s="294" t="str" cm="1">
        <f t="array" aca="1" ref="E181" ca="1">_xlfn.IFS(D181&gt;ZPercent,"U",D181&lt;=-ZPercent,"D",TRUE,"Z")</f>
        <v>D</v>
      </c>
      <c r="F181" s="294" t="str">
        <f t="shared" ca="1" si="128"/>
        <v>DD</v>
      </c>
      <c r="G181" s="294" t="str">
        <f t="shared" ca="1" si="129"/>
        <v>DDD</v>
      </c>
      <c r="H181" s="868" t="str">
        <f t="shared" ca="1" si="123"/>
        <v/>
      </c>
      <c r="J181" s="89" vm="176">
        <f ca="1"/>
        <v>45917</v>
      </c>
      <c r="K181" s="89" vm="177">
        <f ca="1"/>
        <v>231.62</v>
      </c>
      <c r="N181" s="868" t="str">
        <f ca="1">IF(F181=[2]Sheet1!O179,"","dif")</f>
        <v>dif</v>
      </c>
    </row>
    <row r="182" spans="2:14" x14ac:dyDescent="0.3">
      <c r="B182" s="89" vm="174">
        <f ca="1"/>
        <v>45723</v>
      </c>
      <c r="C182" s="89" vm="175">
        <f ca="1"/>
        <v>199.25</v>
      </c>
      <c r="D182" s="1210">
        <f t="shared" ca="1" si="127"/>
        <v>-7.2247135027403526E-3</v>
      </c>
      <c r="E182" s="294" t="str" cm="1">
        <f t="array" aca="1" ref="E182" ca="1">_xlfn.IFS(D182&gt;ZPercent,"U",D182&lt;=-ZPercent,"D",TRUE,"Z")</f>
        <v>D</v>
      </c>
      <c r="F182" s="294" t="str">
        <f t="shared" ca="1" si="128"/>
        <v>DD</v>
      </c>
      <c r="G182" s="294" t="str">
        <f t="shared" ca="1" si="129"/>
        <v>UDD</v>
      </c>
      <c r="H182" s="868" t="str">
        <f t="shared" ca="1" si="123"/>
        <v/>
      </c>
      <c r="J182" s="89" vm="172">
        <f ca="1"/>
        <v>45918</v>
      </c>
      <c r="K182" s="89" vm="173">
        <f ca="1"/>
        <v>231.23</v>
      </c>
      <c r="N182" s="868" t="str">
        <f ca="1">IF(F182=[2]Sheet1!O180,"","dif")</f>
        <v>dif</v>
      </c>
    </row>
    <row r="183" spans="2:14" x14ac:dyDescent="0.3">
      <c r="B183" s="89" vm="170">
        <f ca="1"/>
        <v>45722</v>
      </c>
      <c r="C183" s="89" vm="171">
        <f ca="1"/>
        <v>200.7</v>
      </c>
      <c r="D183" s="1210">
        <f t="shared" ca="1" si="127"/>
        <v>-3.6763294298329932E-2</v>
      </c>
      <c r="E183" s="294" t="str" cm="1">
        <f t="array" aca="1" ref="E183" ca="1">_xlfn.IFS(D183&gt;ZPercent,"U",D183&lt;=-ZPercent,"D",TRUE,"Z")</f>
        <v>D</v>
      </c>
      <c r="F183" s="294" t="str">
        <f t="shared" ca="1" si="128"/>
        <v>UD</v>
      </c>
      <c r="G183" s="294" t="str">
        <f t="shared" ca="1" si="129"/>
        <v>DUD</v>
      </c>
      <c r="H183" s="868" t="str">
        <f t="shared" ca="1" si="123"/>
        <v/>
      </c>
      <c r="J183" s="89" vm="168">
        <f ca="1"/>
        <v>45919</v>
      </c>
      <c r="K183" s="89" vm="169">
        <f ca="1"/>
        <v>231.48</v>
      </c>
      <c r="N183" s="868" t="str">
        <f ca="1">IF(F183=[2]Sheet1!O181,"","dif")</f>
        <v>dif</v>
      </c>
    </row>
    <row r="184" spans="2:14" x14ac:dyDescent="0.3">
      <c r="B184" s="89" vm="166">
        <f ca="1"/>
        <v>45721</v>
      </c>
      <c r="C184" s="89" vm="167">
        <f ca="1"/>
        <v>208.36</v>
      </c>
      <c r="D184" s="1210">
        <f t="shared" ca="1" si="127"/>
        <v>2.23748773307164E-2</v>
      </c>
      <c r="E184" s="294" t="str" cm="1">
        <f t="array" aca="1" ref="E184" ca="1">_xlfn.IFS(D184&gt;ZPercent,"U",D184&lt;=-ZPercent,"D",TRUE,"Z")</f>
        <v>U</v>
      </c>
      <c r="F184" s="294" t="str">
        <f t="shared" ca="1" si="128"/>
        <v>DU</v>
      </c>
      <c r="G184" s="294" t="str">
        <f t="shared" ca="1" si="129"/>
        <v>DDU</v>
      </c>
      <c r="H184" s="868" t="str">
        <f t="shared" ca="1" si="123"/>
        <v/>
      </c>
      <c r="J184" s="89" vm="164">
        <f ca="1"/>
        <v>45922</v>
      </c>
      <c r="K184" s="89" vm="165">
        <f ca="1"/>
        <v>227.63</v>
      </c>
      <c r="N184" s="868" t="str">
        <f ca="1">IF(F184=[2]Sheet1!O182,"","dif")</f>
        <v>dif</v>
      </c>
    </row>
    <row r="185" spans="2:14" x14ac:dyDescent="0.3">
      <c r="B185" s="89" vm="162">
        <f ca="1"/>
        <v>45720</v>
      </c>
      <c r="C185" s="89" vm="163">
        <f ca="1"/>
        <v>203.8</v>
      </c>
      <c r="D185" s="1210">
        <f t="shared" ca="1" si="127"/>
        <v>-5.950638962052477E-3</v>
      </c>
      <c r="E185" s="294" t="str" cm="1">
        <f t="array" aca="1" ref="E185" ca="1">_xlfn.IFS(D185&gt;ZPercent,"U",D185&lt;=-ZPercent,"D",TRUE,"Z")</f>
        <v>D</v>
      </c>
      <c r="F185" s="294" t="str">
        <f t="shared" ca="1" si="128"/>
        <v>DD</v>
      </c>
      <c r="G185" s="294" t="str">
        <f t="shared" ca="1" si="129"/>
        <v>UDD</v>
      </c>
      <c r="H185" s="868" t="str">
        <f t="shared" ca="1" si="123"/>
        <v/>
      </c>
      <c r="J185" s="89" vm="160">
        <f ca="1"/>
        <v>45923</v>
      </c>
      <c r="K185" s="89" vm="161">
        <f ca="1"/>
        <v>220.71</v>
      </c>
      <c r="N185" s="868" t="str">
        <f ca="1">IF(F185=[2]Sheet1!O183,"","dif")</f>
        <v>dif</v>
      </c>
    </row>
    <row r="186" spans="2:14" x14ac:dyDescent="0.3">
      <c r="B186" s="89" vm="158">
        <f ca="1"/>
        <v>45719</v>
      </c>
      <c r="C186" s="89" vm="159">
        <f ca="1"/>
        <v>205.02</v>
      </c>
      <c r="D186" s="1210">
        <f t="shared" ca="1" si="127"/>
        <v>-3.4200113058224943E-2</v>
      </c>
      <c r="E186" s="294" t="str" cm="1">
        <f t="array" aca="1" ref="E186" ca="1">_xlfn.IFS(D186&gt;ZPercent,"U",D186&lt;=-ZPercent,"D",TRUE,"Z")</f>
        <v>D</v>
      </c>
      <c r="F186" s="294" t="str">
        <f t="shared" ca="1" si="128"/>
        <v>UD</v>
      </c>
      <c r="G186" s="294" t="str">
        <f t="shared" ca="1" si="129"/>
        <v>DUD</v>
      </c>
      <c r="H186" s="868" t="str">
        <f t="shared" ca="1" si="123"/>
        <v/>
      </c>
      <c r="J186" s="89" vm="156">
        <f ca="1"/>
        <v>45924</v>
      </c>
      <c r="K186" s="89" vm="157">
        <f ca="1"/>
        <v>220.21</v>
      </c>
      <c r="N186" s="868" t="str">
        <f ca="1">IF(F186=[2]Sheet1!O184,"","dif")</f>
        <v>dif</v>
      </c>
    </row>
    <row r="187" spans="2:14" x14ac:dyDescent="0.3">
      <c r="B187" s="89" vm="154">
        <f ca="1"/>
        <v>45716</v>
      </c>
      <c r="C187" s="89" vm="155">
        <f ca="1"/>
        <v>212.28</v>
      </c>
      <c r="D187" s="1210">
        <f t="shared" ca="1" si="127"/>
        <v>1.695889623455012E-2</v>
      </c>
      <c r="E187" s="294" t="str" cm="1">
        <f t="array" aca="1" ref="E187" ca="1">_xlfn.IFS(D187&gt;ZPercent,"U",D187&lt;=-ZPercent,"D",TRUE,"Z")</f>
        <v>U</v>
      </c>
      <c r="F187" s="294" t="str">
        <f t="shared" ca="1" si="128"/>
        <v>DU</v>
      </c>
      <c r="G187" s="294" t="str">
        <f t="shared" ca="1" si="129"/>
        <v>UDU</v>
      </c>
      <c r="H187" s="868" t="str">
        <f t="shared" ca="1" si="123"/>
        <v/>
      </c>
      <c r="J187" s="89" vm="152">
        <f ca="1"/>
        <v>45925</v>
      </c>
      <c r="K187" s="89" vm="153">
        <f ca="1"/>
        <v>218.15</v>
      </c>
      <c r="N187" s="868" t="str">
        <f ca="1">IF(F187=[2]Sheet1!O185,"","dif")</f>
        <v>dif</v>
      </c>
    </row>
    <row r="188" spans="2:14" x14ac:dyDescent="0.3">
      <c r="B188" s="89" vm="150">
        <f ca="1"/>
        <v>45715</v>
      </c>
      <c r="C188" s="89" vm="151">
        <f ca="1"/>
        <v>208.74</v>
      </c>
      <c r="D188" s="1210">
        <f t="shared" ca="1" si="127"/>
        <v>-2.6172148355493283E-2</v>
      </c>
      <c r="E188" s="294" t="str" cm="1">
        <f t="array" aca="1" ref="E188" ca="1">_xlfn.IFS(D188&gt;ZPercent,"U",D188&lt;=-ZPercent,"D",TRUE,"Z")</f>
        <v>D</v>
      </c>
      <c r="F188" s="294" t="str">
        <f t="shared" ca="1" si="128"/>
        <v>UD</v>
      </c>
      <c r="G188" s="294" t="str">
        <f t="shared" ca="1" si="129"/>
        <v>ZUD</v>
      </c>
      <c r="H188" s="868" t="str">
        <f t="shared" ca="1" si="123"/>
        <v/>
      </c>
      <c r="J188" s="89" vm="148">
        <f ca="1"/>
        <v>45926</v>
      </c>
      <c r="K188" s="89" vm="149">
        <f ca="1"/>
        <v>219.78</v>
      </c>
      <c r="N188" s="868" t="str">
        <f ca="1">IF(F188=[2]Sheet1!O186,"","dif")</f>
        <v>dif</v>
      </c>
    </row>
    <row r="189" spans="2:14" x14ac:dyDescent="0.3">
      <c r="B189" s="89" vm="146">
        <f ca="1"/>
        <v>45714</v>
      </c>
      <c r="C189" s="89" vm="147">
        <f ca="1"/>
        <v>214.35</v>
      </c>
      <c r="D189" s="1210">
        <f t="shared" ca="1" si="127"/>
        <v>7.2838345864660852E-3</v>
      </c>
      <c r="E189" s="294" t="str" cm="1">
        <f t="array" aca="1" ref="E189" ca="1">_xlfn.IFS(D189&gt;ZPercent,"U",D189&lt;=-ZPercent,"D",TRUE,"Z")</f>
        <v>U</v>
      </c>
      <c r="F189" s="294" t="str">
        <f t="shared" ca="1" si="128"/>
        <v>ZU</v>
      </c>
      <c r="G189" s="294" t="str">
        <f t="shared" ca="1" si="129"/>
        <v>DZU</v>
      </c>
      <c r="H189" s="868" t="str">
        <f t="shared" ca="1" si="123"/>
        <v/>
      </c>
      <c r="J189" s="89" vm="144">
        <f ca="1"/>
        <v>45929</v>
      </c>
      <c r="K189" s="89" vm="145">
        <f ca="1"/>
        <v>222.17</v>
      </c>
      <c r="N189" s="868" t="str">
        <f ca="1">IF(F189=[2]Sheet1!O187,"","dif")</f>
        <v>dif</v>
      </c>
    </row>
    <row r="190" spans="2:14" x14ac:dyDescent="0.3">
      <c r="B190" s="89" vm="142">
        <f ca="1"/>
        <v>45713</v>
      </c>
      <c r="C190" s="89" vm="143">
        <f ca="1"/>
        <v>212.8</v>
      </c>
      <c r="D190" s="1210">
        <f t="shared" ca="1" si="127"/>
        <v>4.2311127826620001E-4</v>
      </c>
      <c r="E190" s="294" t="str" cm="1">
        <f t="array" aca="1" ref="E190" ca="1">_xlfn.IFS(D190&gt;ZPercent,"U",D190&lt;=-ZPercent,"D",TRUE,"Z")</f>
        <v>Z</v>
      </c>
      <c r="F190" s="294" t="str">
        <f t="shared" ca="1" si="128"/>
        <v>DZ</v>
      </c>
      <c r="G190" s="294" t="str">
        <f t="shared" ca="1" si="129"/>
        <v>DDZ</v>
      </c>
      <c r="H190" s="868" t="str">
        <f t="shared" ca="1" si="123"/>
        <v/>
      </c>
      <c r="J190" s="89" vm="140">
        <f ca="1"/>
        <v>45930</v>
      </c>
      <c r="K190" s="89" vm="141">
        <f ca="1"/>
        <v>219.57</v>
      </c>
      <c r="N190" s="868" t="str">
        <f ca="1">IF(F190=[2]Sheet1!O188,"","dif")</f>
        <v>dif</v>
      </c>
    </row>
    <row r="191" spans="2:14" x14ac:dyDescent="0.3">
      <c r="B191" s="89" vm="138">
        <f ca="1"/>
        <v>45712</v>
      </c>
      <c r="C191" s="89" vm="139">
        <f ca="1"/>
        <v>212.71</v>
      </c>
      <c r="D191" s="1210">
        <f t="shared" ca="1" si="127"/>
        <v>-1.7868685935912846E-2</v>
      </c>
      <c r="E191" s="294" t="str" cm="1">
        <f t="array" aca="1" ref="E191" ca="1">_xlfn.IFS(D191&gt;ZPercent,"U",D191&lt;=-ZPercent,"D",TRUE,"Z")</f>
        <v>D</v>
      </c>
      <c r="F191" s="294" t="str">
        <f t="shared" ca="1" si="128"/>
        <v>DD</v>
      </c>
      <c r="G191" s="294" t="str">
        <f t="shared" ca="1" si="129"/>
        <v>DDD</v>
      </c>
      <c r="H191" s="868" t="str">
        <f t="shared" ca="1" si="123"/>
        <v/>
      </c>
      <c r="J191" s="89" vm="136">
        <f ca="1"/>
        <v>45931</v>
      </c>
      <c r="K191" s="89" vm="137">
        <f ca="1"/>
        <v>220.63</v>
      </c>
      <c r="N191" s="868" t="str">
        <f ca="1">IF(F191=[2]Sheet1!O189,"","dif")</f>
        <v>dif</v>
      </c>
    </row>
    <row r="192" spans="2:14" x14ac:dyDescent="0.3">
      <c r="B192" s="89" vm="134">
        <f ca="1"/>
        <v>45709</v>
      </c>
      <c r="C192" s="89" vm="135">
        <f ca="1"/>
        <v>216.58</v>
      </c>
      <c r="D192" s="1210">
        <f t="shared" ca="1" si="127"/>
        <v>-2.8266331658291382E-2</v>
      </c>
      <c r="E192" s="294" t="str" cm="1">
        <f t="array" aca="1" ref="E192" ca="1">_xlfn.IFS(D192&gt;ZPercent,"U",D192&lt;=-ZPercent,"D",TRUE,"Z")</f>
        <v>D</v>
      </c>
      <c r="F192" s="294" t="str">
        <f t="shared" ca="1" si="128"/>
        <v>DD</v>
      </c>
      <c r="G192" s="294" t="str">
        <f t="shared" ca="1" si="129"/>
        <v>ZDD</v>
      </c>
      <c r="H192" s="868" t="str">
        <f t="shared" ca="1" si="123"/>
        <v/>
      </c>
      <c r="J192" s="89" vm="132">
        <f ca="1"/>
        <v>45932</v>
      </c>
      <c r="K192" s="89" vm="133">
        <f ca="1"/>
        <v>222.41</v>
      </c>
      <c r="N192" s="868" t="str">
        <f ca="1">IF(F192=[2]Sheet1!O190,"","dif")</f>
        <v>dif</v>
      </c>
    </row>
    <row r="193" spans="2:14" x14ac:dyDescent="0.3">
      <c r="B193" s="89" vm="130">
        <f ca="1"/>
        <v>45708</v>
      </c>
      <c r="C193" s="89" vm="131">
        <f ca="1"/>
        <v>222.88</v>
      </c>
      <c r="D193" s="1210">
        <f t="shared" ca="1" si="127"/>
        <v>-1.6546794334377619E-2</v>
      </c>
      <c r="E193" s="294" t="str" cm="1">
        <f t="array" aca="1" ref="E193" ca="1">_xlfn.IFS(D193&gt;ZPercent,"U",D193&lt;=-ZPercent,"D",TRUE,"Z")</f>
        <v>D</v>
      </c>
      <c r="F193" s="294" t="str">
        <f t="shared" ca="1" si="128"/>
        <v>ZD</v>
      </c>
      <c r="G193" s="294" t="str">
        <f t="shared" ca="1" si="129"/>
        <v>DZD</v>
      </c>
      <c r="H193" s="868" t="str">
        <f t="shared" ca="1" si="123"/>
        <v>ZZ</v>
      </c>
      <c r="J193" s="89" vm="128">
        <f ca="1"/>
        <v>45933</v>
      </c>
      <c r="K193" s="89" vm="129">
        <f ca="1"/>
        <v>219.51</v>
      </c>
      <c r="N193" s="868" t="str">
        <f ca="1">IF(F193=[2]Sheet1!O191,"","dif")</f>
        <v>dif</v>
      </c>
    </row>
    <row r="194" spans="2:14" x14ac:dyDescent="0.3">
      <c r="B194" s="89" vm="126">
        <f ca="1"/>
        <v>45707</v>
      </c>
      <c r="C194" s="89" vm="127">
        <f ca="1"/>
        <v>226.63</v>
      </c>
      <c r="D194" s="1210">
        <f t="shared" ca="1" si="127"/>
        <v>-8.824178248405132E-5</v>
      </c>
      <c r="E194" s="294" t="str" cm="1">
        <f t="array" aca="1" ref="E194" ca="1">_xlfn.IFS(D194&gt;ZPercent,"U",D194&lt;=-ZPercent,"D",TRUE,"Z")</f>
        <v>Z</v>
      </c>
      <c r="F194" s="294" t="str">
        <f t="shared" ca="1" si="128"/>
        <v>DZ</v>
      </c>
      <c r="G194" s="294" t="str">
        <f t="shared" ca="1" si="129"/>
        <v>DDZ</v>
      </c>
      <c r="H194" s="868" t="str">
        <f t="shared" ca="1" si="123"/>
        <v/>
      </c>
      <c r="J194" s="89" vm="124">
        <f ca="1"/>
        <v>45936</v>
      </c>
      <c r="K194" s="89" vm="125">
        <f ca="1"/>
        <v>220.9</v>
      </c>
      <c r="N194" s="868" t="str">
        <f ca="1">IF(F194=[2]Sheet1!O192,"","dif")</f>
        <v>dif</v>
      </c>
    </row>
    <row r="195" spans="2:14" x14ac:dyDescent="0.3">
      <c r="B195" s="89" vm="122">
        <f ca="1"/>
        <v>45706</v>
      </c>
      <c r="C195" s="89" vm="123">
        <f ca="1"/>
        <v>226.65</v>
      </c>
      <c r="D195" s="1210">
        <f t="shared" ca="1" si="127"/>
        <v>-8.877033409130668E-3</v>
      </c>
      <c r="E195" s="294" t="str" cm="1">
        <f t="array" aca="1" ref="E195" ca="1">_xlfn.IFS(D195&gt;ZPercent,"U",D195&lt;=-ZPercent,"D",TRUE,"Z")</f>
        <v>D</v>
      </c>
      <c r="F195" s="294" t="str">
        <f t="shared" ca="1" si="128"/>
        <v>DD</v>
      </c>
      <c r="G195" s="294" t="str">
        <f t="shared" ca="1" si="129"/>
        <v>UDD</v>
      </c>
      <c r="H195" s="868" t="str">
        <f t="shared" ca="1" si="123"/>
        <v/>
      </c>
      <c r="J195" s="89" vm="120">
        <f ca="1"/>
        <v>45937</v>
      </c>
      <c r="K195" s="89" vm="121">
        <f ca="1"/>
        <v>221.78</v>
      </c>
      <c r="N195" s="868" t="str">
        <f ca="1">IF(F195=[2]Sheet1!O193,"","dif")</f>
        <v>dif</v>
      </c>
    </row>
    <row r="196" spans="2:14" x14ac:dyDescent="0.3">
      <c r="B196" s="89" vm="118">
        <f ca="1"/>
        <v>45702</v>
      </c>
      <c r="C196" s="89" vm="119">
        <f ca="1"/>
        <v>228.68</v>
      </c>
      <c r="D196" s="1210">
        <f t="shared" ca="1" si="127"/>
        <v>-7.3360246559881831E-3</v>
      </c>
      <c r="E196" s="294" t="str" cm="1">
        <f t="array" aca="1" ref="E196" ca="1">_xlfn.IFS(D196&gt;ZPercent,"U",D196&lt;=-ZPercent,"D",TRUE,"Z")</f>
        <v>D</v>
      </c>
      <c r="F196" s="294" t="str">
        <f t="shared" ca="1" si="128"/>
        <v>UD</v>
      </c>
      <c r="G196" s="294" t="str">
        <f t="shared" ca="1" si="129"/>
        <v>DUD</v>
      </c>
      <c r="H196" s="868" t="str">
        <f t="shared" ca="1" si="123"/>
        <v/>
      </c>
      <c r="J196" s="89" vm="116">
        <f ca="1"/>
        <v>45938</v>
      </c>
      <c r="K196" s="89" vm="117">
        <f ca="1"/>
        <v>225.22</v>
      </c>
      <c r="N196" s="868" t="str">
        <f ca="1">IF(F196=[2]Sheet1!O194,"","dif")</f>
        <v>dif</v>
      </c>
    </row>
    <row r="197" spans="2:14" x14ac:dyDescent="0.3">
      <c r="B197" s="89" vm="114">
        <f ca="1"/>
        <v>45701</v>
      </c>
      <c r="C197" s="89" vm="115">
        <f ca="1"/>
        <v>230.37</v>
      </c>
      <c r="D197" s="1210">
        <f t="shared" ca="1" si="127"/>
        <v>6.2901323548682905E-3</v>
      </c>
      <c r="E197" s="294" t="str" cm="1">
        <f t="array" aca="1" ref="E197" ca="1">_xlfn.IFS(D197&gt;ZPercent,"U",D197&lt;=-ZPercent,"D",TRUE,"Z")</f>
        <v>U</v>
      </c>
      <c r="F197" s="294" t="str">
        <f t="shared" ca="1" si="128"/>
        <v>DU</v>
      </c>
      <c r="G197" s="294" t="str">
        <f t="shared" ca="1" si="129"/>
        <v>ZDU</v>
      </c>
      <c r="H197" s="868" t="str">
        <f t="shared" ca="1" si="123"/>
        <v/>
      </c>
      <c r="J197" s="89" vm="112">
        <f ca="1"/>
        <v>45939</v>
      </c>
      <c r="K197" s="89" vm="113">
        <f ca="1"/>
        <v>227.74</v>
      </c>
      <c r="N197" s="868" t="str">
        <f ca="1">IF(F197=[2]Sheet1!O195,"","dif")</f>
        <v>dif</v>
      </c>
    </row>
    <row r="198" spans="2:14" x14ac:dyDescent="0.3">
      <c r="B198" s="89" vm="110">
        <f ca="1"/>
        <v>45700</v>
      </c>
      <c r="C198" s="89" vm="111">
        <f ca="1"/>
        <v>228.93</v>
      </c>
      <c r="D198" s="1210">
        <f t="shared" ca="1" si="127"/>
        <v>-1.6454717305378862E-2</v>
      </c>
      <c r="E198" s="294" t="str" cm="1">
        <f t="array" aca="1" ref="E198" ca="1">_xlfn.IFS(D198&gt;ZPercent,"U",D198&lt;=-ZPercent,"D",TRUE,"Z")</f>
        <v>D</v>
      </c>
      <c r="F198" s="294" t="str">
        <f t="shared" ca="1" si="128"/>
        <v>ZD</v>
      </c>
      <c r="G198" s="294" t="str">
        <f t="shared" ca="1" si="129"/>
        <v>UZD</v>
      </c>
      <c r="H198" s="868" t="str">
        <f t="shared" ref="H198:H212" ca="1" si="130">IF(AND(E198="D",E199="Z"),"ZZ","")</f>
        <v>ZZ</v>
      </c>
      <c r="J198" s="89" vm="108">
        <f ca="1"/>
        <v>45940</v>
      </c>
      <c r="K198" s="89" vm="109">
        <f ca="1"/>
        <v>216.37</v>
      </c>
      <c r="N198" s="868" t="str">
        <f ca="1">IF(F198=[2]Sheet1!O196,"","dif")</f>
        <v>dif</v>
      </c>
    </row>
    <row r="199" spans="2:14" x14ac:dyDescent="0.3">
      <c r="B199" s="89" vm="106">
        <f ca="1"/>
        <v>45699</v>
      </c>
      <c r="C199" s="89" vm="107">
        <f ca="1"/>
        <v>232.76</v>
      </c>
      <c r="D199" s="1210">
        <f t="shared" ca="1" si="127"/>
        <v>-1.6299219353178153E-3</v>
      </c>
      <c r="E199" s="294" t="str" cm="1">
        <f t="array" aca="1" ref="E199" ca="1">_xlfn.IFS(D199&gt;ZPercent,"U",D199&lt;=-ZPercent,"D",TRUE,"Z")</f>
        <v>Z</v>
      </c>
      <c r="F199" s="294" t="str">
        <f t="shared" ca="1" si="128"/>
        <v>UZ</v>
      </c>
      <c r="G199" s="294" t="str">
        <f t="shared" ca="1" si="129"/>
        <v>DUZ</v>
      </c>
      <c r="H199" s="868" t="str">
        <f t="shared" ca="1" si="130"/>
        <v/>
      </c>
      <c r="J199" s="89" vm="104">
        <f ca="1"/>
        <v>45943</v>
      </c>
      <c r="K199" s="89" vm="105">
        <f ca="1"/>
        <v>220.07</v>
      </c>
      <c r="N199" s="868" t="str">
        <f ca="1">IF(F199=[2]Sheet1!O197,"","dif")</f>
        <v>dif</v>
      </c>
    </row>
    <row r="200" spans="2:14" x14ac:dyDescent="0.3">
      <c r="B200" s="89" vm="102">
        <f ca="1"/>
        <v>45698</v>
      </c>
      <c r="C200" s="89" vm="103">
        <f ca="1"/>
        <v>233.14</v>
      </c>
      <c r="D200" s="1210">
        <f t="shared" ca="1" si="127"/>
        <v>1.7412175430940348E-2</v>
      </c>
      <c r="E200" s="294" t="str" cm="1">
        <f t="array" aca="1" ref="E200" ca="1">_xlfn.IFS(D200&gt;ZPercent,"U",D200&lt;=-ZPercent,"D",TRUE,"Z")</f>
        <v>U</v>
      </c>
      <c r="F200" s="294" t="str">
        <f t="shared" ca="1" si="128"/>
        <v>DU</v>
      </c>
      <c r="G200" s="294" t="str">
        <f t="shared" ca="1" si="129"/>
        <v>UDU</v>
      </c>
      <c r="H200" s="868" t="str">
        <f t="shared" ca="1" si="130"/>
        <v/>
      </c>
      <c r="J200" s="89" vm="100">
        <f ca="1"/>
        <v>45944</v>
      </c>
      <c r="K200" s="89" vm="101">
        <f ca="1"/>
        <v>216.39</v>
      </c>
      <c r="N200" s="868" t="str">
        <f ca="1">IF(F200=[2]Sheet1!O198,"","dif")</f>
        <v>dif</v>
      </c>
    </row>
    <row r="201" spans="2:14" x14ac:dyDescent="0.3">
      <c r="B201" s="89" vm="98">
        <f ca="1"/>
        <v>45695</v>
      </c>
      <c r="C201" s="89" vm="99">
        <f ca="1"/>
        <v>229.15</v>
      </c>
      <c r="D201" s="1210">
        <f t="shared" ca="1" si="127"/>
        <v>-4.053092157601644E-2</v>
      </c>
      <c r="E201" s="294" t="str" cm="1">
        <f t="array" aca="1" ref="E201" ca="1">_xlfn.IFS(D201&gt;ZPercent,"U",D201&lt;=-ZPercent,"D",TRUE,"Z")</f>
        <v>D</v>
      </c>
      <c r="F201" s="294" t="str">
        <f t="shared" ca="1" si="128"/>
        <v>UD</v>
      </c>
      <c r="G201" s="294" t="str">
        <f t="shared" ca="1" si="129"/>
        <v>DUD</v>
      </c>
      <c r="H201" s="868" t="str">
        <f t="shared" ca="1" si="130"/>
        <v/>
      </c>
      <c r="J201" s="89" vm="96">
        <f ca="1"/>
        <v>45945</v>
      </c>
      <c r="K201" s="89" vm="97">
        <f ca="1"/>
        <v>215.57</v>
      </c>
      <c r="N201" s="868" t="str">
        <f ca="1">IF(F201=[2]Sheet1!O199,"","dif")</f>
        <v>dif</v>
      </c>
    </row>
    <row r="202" spans="2:14" x14ac:dyDescent="0.3">
      <c r="B202" s="1353" vm="94">
        <f ca="1"/>
        <v>45694</v>
      </c>
      <c r="C202" s="1354" vm="95">
        <f ca="1"/>
        <v>238.83</v>
      </c>
      <c r="D202" s="1210">
        <f t="shared" ref="D202:D212" ca="1" si="131">IFERROR((C202-C203)/C203,0)</f>
        <v>1.1263073209975971E-2</v>
      </c>
      <c r="E202" s="294" t="str" cm="1">
        <f t="array" aca="1" ref="E202" ca="1">_xlfn.IFS(D202&gt;ZPercent,"U",D202&lt;=-ZPercent,"D",TRUE,"Z")</f>
        <v>U</v>
      </c>
      <c r="F202" s="294" t="str">
        <f t="shared" ref="F202:F212" ca="1" si="132">_xlfn.CONCAT(E203,E202)</f>
        <v>DU</v>
      </c>
      <c r="G202" s="294" t="str">
        <f t="shared" ref="G202:G212" ca="1" si="133">_xlfn.CONCAT(E204,E203,E202)</f>
        <v>UDU</v>
      </c>
      <c r="H202" s="868" t="str">
        <f t="shared" ca="1" si="130"/>
        <v/>
      </c>
      <c r="J202" s="89" vm="92">
        <f ca="1"/>
        <v>45946</v>
      </c>
      <c r="K202" s="89" vm="93">
        <f ca="1"/>
        <v>214.47</v>
      </c>
      <c r="N202" s="868" t="str">
        <f ca="1">IF(F202=[2]Sheet1!O200,"","dif")</f>
        <v>dif</v>
      </c>
    </row>
    <row r="203" spans="2:14" x14ac:dyDescent="0.3">
      <c r="B203" s="1353" vm="90">
        <f ca="1"/>
        <v>45693</v>
      </c>
      <c r="C203" s="1354" vm="91">
        <f ca="1"/>
        <v>236.17</v>
      </c>
      <c r="D203" s="1210">
        <f t="shared" ca="1" si="131"/>
        <v>-2.4332810047095824E-2</v>
      </c>
      <c r="E203" s="294" t="str" cm="1">
        <f t="array" aca="1" ref="E203" ca="1">_xlfn.IFS(D203&gt;ZPercent,"U",D203&lt;=-ZPercent,"D",TRUE,"Z")</f>
        <v>D</v>
      </c>
      <c r="F203" s="294" t="str">
        <f t="shared" ca="1" si="132"/>
        <v>UD</v>
      </c>
      <c r="G203" s="294" t="str">
        <f t="shared" ca="1" si="133"/>
        <v>ZUD</v>
      </c>
      <c r="H203" s="868" t="str">
        <f t="shared" ca="1" si="130"/>
        <v/>
      </c>
      <c r="J203" s="89" vm="88">
        <f ca="1"/>
        <v>45947</v>
      </c>
      <c r="K203" s="89" vm="89">
        <f ca="1"/>
        <v>213.04</v>
      </c>
      <c r="N203" s="868" t="str">
        <f ca="1">IF(F203=[2]Sheet1!O201,"","dif")</f>
        <v>dif</v>
      </c>
    </row>
    <row r="204" spans="2:14" x14ac:dyDescent="0.3">
      <c r="B204" s="1353" vm="86">
        <f ca="1"/>
        <v>45692</v>
      </c>
      <c r="C204" s="1354" vm="87">
        <f ca="1"/>
        <v>242.06</v>
      </c>
      <c r="D204" s="1210">
        <f t="shared" ca="1" si="131"/>
        <v>1.9543425153736058E-2</v>
      </c>
      <c r="E204" s="294" t="str" cm="1">
        <f t="array" aca="1" ref="E204" ca="1">_xlfn.IFS(D204&gt;ZPercent,"U",D204&lt;=-ZPercent,"D",TRUE,"Z")</f>
        <v>U</v>
      </c>
      <c r="F204" s="294" t="str">
        <f t="shared" ca="1" si="132"/>
        <v>ZU</v>
      </c>
      <c r="G204" s="294" t="str">
        <f t="shared" ca="1" si="133"/>
        <v>UZU</v>
      </c>
      <c r="H204" s="868" t="str">
        <f t="shared" ca="1" si="130"/>
        <v/>
      </c>
      <c r="J204" s="89" vm="84">
        <f ca="1"/>
        <v>45950</v>
      </c>
      <c r="K204" s="89" vm="85">
        <f ca="1"/>
        <v>216.48</v>
      </c>
      <c r="N204" s="868" t="str">
        <f ca="1">IF(F204=[2]Sheet1!O202,"","dif")</f>
        <v>dif</v>
      </c>
    </row>
    <row r="205" spans="2:14" x14ac:dyDescent="0.3">
      <c r="B205" s="1353" vm="82">
        <f ca="1"/>
        <v>45691</v>
      </c>
      <c r="C205" s="1354" vm="83">
        <f ca="1"/>
        <v>237.42</v>
      </c>
      <c r="D205" s="1210">
        <f t="shared" ca="1" si="131"/>
        <v>-1.0939077751599602E-3</v>
      </c>
      <c r="E205" s="294" t="str" cm="1">
        <f t="array" aca="1" ref="E205" ca="1">_xlfn.IFS(D205&gt;ZPercent,"U",D205&lt;=-ZPercent,"D",TRUE,"Z")</f>
        <v>Z</v>
      </c>
      <c r="F205" s="294" t="str">
        <f t="shared" ca="1" si="132"/>
        <v>UZ</v>
      </c>
      <c r="G205" s="294" t="str">
        <f t="shared" ca="1" si="133"/>
        <v>DUZ</v>
      </c>
      <c r="H205" s="868" t="str">
        <f t="shared" ca="1" si="130"/>
        <v/>
      </c>
      <c r="J205" s="89" vm="80">
        <f ca="1"/>
        <v>45951</v>
      </c>
      <c r="K205" s="89" vm="81">
        <f ca="1"/>
        <v>222.03</v>
      </c>
      <c r="N205" s="868" t="str">
        <f ca="1">IF(F205=[2]Sheet1!O203,"","dif")</f>
        <v>dif</v>
      </c>
    </row>
    <row r="206" spans="2:14" x14ac:dyDescent="0.3">
      <c r="B206" s="1353" vm="78">
        <f ca="1"/>
        <v>45688</v>
      </c>
      <c r="C206" s="1354" vm="79">
        <f ca="1"/>
        <v>237.68</v>
      </c>
      <c r="D206" s="1210">
        <f t="shared" ca="1" si="131"/>
        <v>1.2956017729287507E-2</v>
      </c>
      <c r="E206" s="294" t="str" cm="1">
        <f t="array" aca="1" ref="E206" ca="1">_xlfn.IFS(D206&gt;ZPercent,"U",D206&lt;=-ZPercent,"D",TRUE,"Z")</f>
        <v>U</v>
      </c>
      <c r="F206" s="294" t="str">
        <f t="shared" ca="1" si="132"/>
        <v>DU</v>
      </c>
      <c r="G206" s="294" t="str">
        <f t="shared" ca="1" si="133"/>
        <v>ZDU</v>
      </c>
      <c r="H206" s="868" t="str">
        <f t="shared" ca="1" si="130"/>
        <v/>
      </c>
      <c r="J206" s="89" vm="76">
        <f ca="1"/>
        <v>45952</v>
      </c>
      <c r="K206" s="89" vm="77">
        <f ca="1"/>
        <v>217.95</v>
      </c>
      <c r="N206" s="868" t="str">
        <f ca="1">IF(F206=[2]Sheet1!O204,"","dif")</f>
        <v>dif</v>
      </c>
    </row>
    <row r="207" spans="2:14" x14ac:dyDescent="0.3">
      <c r="B207" s="1353" vm="74">
        <f ca="1"/>
        <v>45687</v>
      </c>
      <c r="C207" s="1354" vm="75">
        <f ca="1"/>
        <v>234.64</v>
      </c>
      <c r="D207" s="1210">
        <f t="shared" ca="1" si="131"/>
        <v>-1.0250137090310908E-2</v>
      </c>
      <c r="E207" s="294" t="str" cm="1">
        <f t="array" aca="1" ref="E207" ca="1">_xlfn.IFS(D207&gt;ZPercent,"U",D207&lt;=-ZPercent,"D",TRUE,"Z")</f>
        <v>D</v>
      </c>
      <c r="F207" s="294" t="str">
        <f t="shared" ca="1" si="132"/>
        <v>ZD</v>
      </c>
      <c r="G207" s="294" t="str">
        <f t="shared" ca="1" si="133"/>
        <v>UZD</v>
      </c>
      <c r="H207" s="868" t="str">
        <f t="shared" ca="1" si="130"/>
        <v>ZZ</v>
      </c>
      <c r="J207" s="1353" vm="72">
        <f ca="1"/>
        <v>45953</v>
      </c>
      <c r="K207" s="1354" vm="73">
        <f ca="1"/>
        <v>221.09</v>
      </c>
      <c r="N207" s="868" t="str">
        <f ca="1">IF(F207=[2]Sheet1!O205,"","dif")</f>
        <v>dif</v>
      </c>
    </row>
    <row r="208" spans="2:14" x14ac:dyDescent="0.3">
      <c r="B208" s="1353" vm="70">
        <f ca="1"/>
        <v>45686</v>
      </c>
      <c r="C208" s="1354" vm="71">
        <f ca="1"/>
        <v>237.07</v>
      </c>
      <c r="D208" s="1210">
        <f t="shared" ca="1" si="131"/>
        <v>-4.5349569598992752E-3</v>
      </c>
      <c r="E208" s="294" t="str" cm="1">
        <f t="array" aca="1" ref="E208" ca="1">_xlfn.IFS(D208&gt;ZPercent,"U",D208&lt;=-ZPercent,"D",TRUE,"Z")</f>
        <v>Z</v>
      </c>
      <c r="F208" s="294" t="str">
        <f t="shared" ca="1" si="132"/>
        <v>UZ</v>
      </c>
      <c r="G208" s="294" t="str">
        <f t="shared" ca="1" si="133"/>
        <v>ZUZ</v>
      </c>
      <c r="H208" s="868" t="str">
        <f t="shared" ca="1" si="130"/>
        <v/>
      </c>
      <c r="J208" s="1353" vm="68">
        <f ca="1"/>
        <v>45954</v>
      </c>
      <c r="K208" s="1354" vm="69">
        <f ca="1"/>
        <v>224.21</v>
      </c>
      <c r="N208" s="868" t="str">
        <f ca="1">IF(F208=[2]Sheet1!O206,"","dif")</f>
        <v>dif</v>
      </c>
    </row>
    <row r="209" spans="2:14" x14ac:dyDescent="0.3">
      <c r="B209" s="1353" vm="66">
        <f ca="1"/>
        <v>45685</v>
      </c>
      <c r="C209" s="1354" vm="67">
        <f ca="1"/>
        <v>238.15</v>
      </c>
      <c r="D209" s="1210">
        <f t="shared" ca="1" si="131"/>
        <v>1.1596295981649895E-2</v>
      </c>
      <c r="E209" s="294" t="str" cm="1">
        <f t="array" aca="1" ref="E209" ca="1">_xlfn.IFS(D209&gt;ZPercent,"U",D209&lt;=-ZPercent,"D",TRUE,"Z")</f>
        <v>U</v>
      </c>
      <c r="F209" s="294" t="str">
        <f t="shared" ca="1" si="132"/>
        <v>ZU</v>
      </c>
      <c r="G209" s="294" t="str">
        <f t="shared" ca="1" si="133"/>
        <v>ZZU</v>
      </c>
      <c r="H209" s="868" t="str">
        <f t="shared" ca="1" si="130"/>
        <v/>
      </c>
      <c r="J209" s="1353" vm="64">
        <f ca="1"/>
        <v>45957</v>
      </c>
      <c r="K209" s="1354" vm="65">
        <f ca="1"/>
        <v>226.97</v>
      </c>
      <c r="N209" s="868" t="str">
        <f ca="1">IF(F209=[2]Sheet1!O207,"","dif")</f>
        <v>dif</v>
      </c>
    </row>
    <row r="210" spans="2:14" x14ac:dyDescent="0.3">
      <c r="B210" s="1353" vm="63">
        <f ca="1"/>
        <v>45684</v>
      </c>
      <c r="C210" s="1354" vm="56">
        <f ca="1"/>
        <v>235.42</v>
      </c>
      <c r="D210" s="1210">
        <f t="shared" ca="1" si="131"/>
        <v>2.4270811156056767E-3</v>
      </c>
      <c r="E210" s="294" t="str" cm="1">
        <f t="array" aca="1" ref="E210" ca="1">_xlfn.IFS(D210&gt;ZPercent,"U",D210&lt;=-ZPercent,"D",TRUE,"Z")</f>
        <v>Z</v>
      </c>
      <c r="F210" s="294" t="str">
        <f t="shared" ca="1" si="132"/>
        <v>ZZ</v>
      </c>
      <c r="G210" s="294" t="str">
        <f t="shared" ca="1" si="133"/>
        <v>ZZZ</v>
      </c>
      <c r="H210" s="868" t="str">
        <f t="shared" ca="1" si="130"/>
        <v/>
      </c>
      <c r="J210" s="1353" vm="61">
        <f ca="1"/>
        <v>45958</v>
      </c>
      <c r="K210" s="1354" vm="62">
        <f ca="1"/>
        <v>229.25</v>
      </c>
      <c r="N210" s="868" t="str">
        <f ca="1">IF(F210=[2]Sheet1!O208,"","dif")</f>
        <v>dif</v>
      </c>
    </row>
    <row r="211" spans="2:14" x14ac:dyDescent="0.3">
      <c r="B211" s="1353" vm="59">
        <f ca="1"/>
        <v>45681</v>
      </c>
      <c r="C211" s="1354" vm="60">
        <f ca="1"/>
        <v>234.85</v>
      </c>
      <c r="D211" s="1210">
        <f t="shared" ca="1" si="131"/>
        <v>-2.4212046555092737E-3</v>
      </c>
      <c r="E211" s="294" t="str" cm="1">
        <f t="array" aca="1" ref="E211" ca="1">_xlfn.IFS(D211&gt;ZPercent,"U",D211&lt;=-ZPercent,"D",TRUE,"Z")</f>
        <v>Z</v>
      </c>
      <c r="F211" s="294" t="str">
        <f t="shared" ca="1" si="132"/>
        <v>ZZ</v>
      </c>
      <c r="G211" s="294" t="str">
        <f t="shared" ca="1" si="133"/>
        <v>ZZ</v>
      </c>
      <c r="H211" s="868" t="str">
        <f t="shared" ca="1" si="130"/>
        <v/>
      </c>
      <c r="J211" s="1353" vm="57">
        <f ca="1"/>
        <v>45959</v>
      </c>
      <c r="K211" s="1354" vm="58">
        <f ca="1"/>
        <v>230.3</v>
      </c>
      <c r="N211" s="868" t="str">
        <f ca="1">IF(F211=[2]Sheet1!O209,"","dif")</f>
        <v/>
      </c>
    </row>
    <row r="212" spans="2:14" x14ac:dyDescent="0.3">
      <c r="B212" s="1353" vm="55">
        <f ca="1"/>
        <v>45680</v>
      </c>
      <c r="C212" s="1354" vm="56">
        <f ca="1"/>
        <v>235.42</v>
      </c>
      <c r="D212" s="1210">
        <f t="shared" ca="1" si="131"/>
        <v>0</v>
      </c>
      <c r="E212" s="294" t="str" cm="1">
        <f t="array" aca="1" ref="E212" ca="1">_xlfn.IFS(D212&gt;ZPercent,"U",D212&lt;=-ZPercent,"D",TRUE,"Z")</f>
        <v>Z</v>
      </c>
      <c r="F212" s="294" t="str">
        <f t="shared" ca="1" si="132"/>
        <v>Z</v>
      </c>
      <c r="G212" s="294" t="str">
        <f t="shared" ca="1" si="133"/>
        <v>Z</v>
      </c>
      <c r="H212" s="868" t="str">
        <f t="shared" ca="1" si="130"/>
        <v/>
      </c>
      <c r="J212" s="1353" vm="53">
        <f ca="1"/>
        <v>45960</v>
      </c>
      <c r="K212" s="1354" vm="54">
        <f ca="1"/>
        <v>222.86</v>
      </c>
      <c r="N212" s="868" t="str" cm="1">
        <f t="array" aca="1" ref="N212" ca="1">IF(LastMark2=[2]!Last2,"","dif")</f>
        <v>dif</v>
      </c>
    </row>
    <row r="213" spans="2:14" x14ac:dyDescent="0.3">
      <c r="J213" s="868" vm="49">
        <f ca="1"/>
        <v>45961</v>
      </c>
      <c r="K213" s="868" vm="50">
        <f ca="1"/>
        <v>244.22</v>
      </c>
    </row>
    <row r="214" spans="2:14" x14ac:dyDescent="0.3">
      <c r="J214" s="868" vm="45">
        <f ca="1"/>
        <v>45964</v>
      </c>
      <c r="K214" s="868" vm="46">
        <f ca="1"/>
        <v>254</v>
      </c>
    </row>
    <row r="215" spans="2:14" x14ac:dyDescent="0.3">
      <c r="J215" s="868" vm="41">
        <f ca="1"/>
        <v>45965</v>
      </c>
      <c r="K215" s="868" vm="42">
        <f ca="1"/>
        <v>249.32</v>
      </c>
    </row>
    <row r="216" spans="2:14" x14ac:dyDescent="0.3">
      <c r="J216" s="868" vm="37">
        <f ca="1"/>
        <v>45966</v>
      </c>
      <c r="K216" s="868" vm="38">
        <f ca="1"/>
        <v>250.2</v>
      </c>
    </row>
    <row r="217" spans="2:14" x14ac:dyDescent="0.3">
      <c r="J217" s="868" vm="33">
        <f ca="1"/>
        <v>45967</v>
      </c>
      <c r="K217" s="868" vm="34">
        <f ca="1"/>
        <v>243.04</v>
      </c>
    </row>
    <row r="218" spans="2:14" x14ac:dyDescent="0.3">
      <c r="J218" s="868" vm="29">
        <f ca="1"/>
        <v>45968</v>
      </c>
      <c r="K218" s="868" vm="30">
        <f ca="1"/>
        <v>244.41</v>
      </c>
    </row>
    <row r="219" spans="2:14" x14ac:dyDescent="0.3">
      <c r="J219" s="868" vm="25">
        <f ca="1"/>
        <v>45971</v>
      </c>
      <c r="K219" s="868" vm="26">
        <f ca="1"/>
        <v>248.4</v>
      </c>
    </row>
    <row r="220" spans="2:14" x14ac:dyDescent="0.3">
      <c r="J220" s="868" vm="21">
        <f ca="1"/>
        <v>45972</v>
      </c>
      <c r="K220" s="868" vm="22">
        <f ca="1"/>
        <v>249.1</v>
      </c>
    </row>
    <row r="221" spans="2:14" x14ac:dyDescent="0.3">
      <c r="J221" s="868" vm="17">
        <f ca="1"/>
        <v>45973</v>
      </c>
      <c r="K221" s="868" vm="18">
        <f ca="1"/>
        <v>244.2</v>
      </c>
    </row>
    <row r="222" spans="2:14" x14ac:dyDescent="0.3">
      <c r="J222" s="868" vm="13">
        <f ca="1"/>
        <v>45974</v>
      </c>
      <c r="K222" s="868" vm="14">
        <f ca="1"/>
        <v>237.58</v>
      </c>
    </row>
    <row r="223" spans="2:14" x14ac:dyDescent="0.3">
      <c r="J223" s="868" vm="9">
        <f ca="1"/>
        <v>45975</v>
      </c>
      <c r="K223" s="868" vm="10">
        <f ca="1"/>
        <v>234.69</v>
      </c>
    </row>
    <row r="224" spans="2:14" x14ac:dyDescent="0.3">
      <c r="J224" s="868" vm="5">
        <f ca="1"/>
        <v>45978</v>
      </c>
      <c r="K224" s="868" vm="6">
        <f ca="1"/>
        <v>232.87</v>
      </c>
    </row>
    <row r="225" spans="10:11" x14ac:dyDescent="0.3">
      <c r="J225" s="868" vm="1">
        <f ca="1"/>
        <v>45979</v>
      </c>
      <c r="K225" s="868" vm="2">
        <f ca="1"/>
        <v>222.55</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3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31" priority="3026">
      <formula>$BC123=$BB$88</formula>
    </cfRule>
  </conditionalFormatting>
  <conditionalFormatting sqref="BN93:BN101">
    <cfRule type="expression" dxfId="730"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6"/>
  <sheetViews>
    <sheetView showZeros="0" topLeftCell="A5" zoomScale="60" zoomScaleNormal="6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1861</v>
      </c>
      <c r="B1" s="353" t="s">
        <v>1862</v>
      </c>
      <c r="L1" s="1489" t="s">
        <v>2352</v>
      </c>
      <c r="M1" s="1489"/>
      <c r="N1" s="1489"/>
      <c r="O1" s="1489"/>
      <c r="W1" s="222" t="s">
        <v>1837</v>
      </c>
      <c r="Y1" t="s">
        <v>2821</v>
      </c>
    </row>
    <row r="2" spans="1:33" ht="23" thickBot="1" x14ac:dyDescent="0.35">
      <c r="A2" s="627" t="str">
        <f ca="1">TEXT(_xlfn.XLOOKUP(ID_Currency,BankCheck!F2:F7,BankCheck!D2:D7),"#,#0")&amp;" "&amp;ID_Currency</f>
        <v>1,985,798 USD</v>
      </c>
      <c r="B2" s="785">
        <v>67899</v>
      </c>
      <c r="F2">
        <f ca="1">(TabFIFO[[#Totals],[Profit/Loss]]*GBpScale-(TradeIncome-TotalCost))*Commission</f>
        <v>-14885.0670981272</v>
      </c>
      <c r="G2" cm="1">
        <f t="array" ref="G2">SUMPRODUCT((TabFIFO[Profit/Loss]&gt;0)*TabFIFO[Profit/Loss]*(1-Commission)
           + (TabFIFO[Profit/Loss]&lt;0)*TabFIFO[Profit/Loss]*(1+Commission))</f>
        <v>474281.4247439999</v>
      </c>
      <c r="K2" s="589"/>
      <c r="L2">
        <f>DesiredSaleGain</f>
        <v>5000</v>
      </c>
      <c r="M2" s="593" t="s">
        <v>1853</v>
      </c>
      <c r="N2" s="569">
        <f>DesiredBuyGain</f>
        <v>5000</v>
      </c>
      <c r="O2" s="569" t="s">
        <v>2353</v>
      </c>
      <c r="W2" s="580" t="s">
        <v>1838</v>
      </c>
      <c r="X2" s="581" t="s">
        <v>1839</v>
      </c>
    </row>
    <row r="3" spans="1:33" ht="24" thickTop="1" thickBot="1" x14ac:dyDescent="0.35">
      <c r="A3" s="627" t="str">
        <f ca="1">TEXT(_xlfn.XLOOKUP(ID_Currency,BankCheck!F84:F86,BankCheck!D84:D86),"#,#0")&amp;" "&amp;ID_Currency</f>
        <v>20,639 USD</v>
      </c>
      <c r="B3" s="1145">
        <v>28690</v>
      </c>
      <c r="C3" s="967"/>
      <c r="D3" s="967"/>
      <c r="E3" s="968"/>
      <c r="F3" s="969"/>
      <c r="G3" s="969"/>
      <c r="H3" s="970"/>
      <c r="K3" s="928">
        <f ca="1">[1]ExtEntry!$A$1</f>
        <v>45980.727392904686</v>
      </c>
      <c r="L3" s="837" t="str" cm="1">
        <f t="array" aca="1" ref="L3:M13" ca="1">_xlfn._xlws.FILTER(CHOOSE({1,2}, TabTRADER[ClickTick], TabTRADER[Sell_Advice]), (TabTRADER[Cur] = ID_Currency) * (TabTRADER[Sell_Advice]&lt;&gt;""),"No Match")</f>
        <v>AMZN</v>
      </c>
      <c r="M3" s="835" t="str">
        <f ca="1"/>
        <v>811/12,000=179,473</v>
      </c>
      <c r="N3" s="838" t="str" cm="1">
        <f t="array" aca="1" ref="N3:O15" ca="1">_xlfn._xlws.FILTER(CHOOSE({1,2}, TabTRADER[ClickTick], TabTRADER[Buy_Advice]), (TabTRADER[Cur] = ID_Currency) * (TabTRADER[Buy_Advice]&lt;&gt;""),"No Match")</f>
        <v>AAPL</v>
      </c>
      <c r="O3" s="836" t="str">
        <f ca="1"/>
        <v>BUY  500,000</v>
      </c>
      <c r="R3" s="1"/>
    </row>
    <row r="4" spans="1:33" ht="23" thickBot="1" x14ac:dyDescent="0.35">
      <c r="C4" s="875"/>
      <c r="D4" s="875"/>
      <c r="E4" s="887"/>
      <c r="F4" s="875"/>
      <c r="G4" s="875"/>
      <c r="H4" s="876"/>
      <c r="K4" s="591" t="s">
        <v>1844</v>
      </c>
      <c r="L4" s="839" t="str">
        <f ca="1"/>
        <v>AZN</v>
      </c>
      <c r="M4" s="611" t="str">
        <f ca="1"/>
        <v>261/500=23,254</v>
      </c>
      <c r="N4" s="840" t="str">
        <f ca="1"/>
        <v>AMZN</v>
      </c>
      <c r="O4" s="841" t="str">
        <f ca="1"/>
        <v>BUY  15,015</v>
      </c>
    </row>
    <row r="5" spans="1:33" ht="27" x14ac:dyDescent="0.35">
      <c r="A5" s="643" t="s">
        <v>1864</v>
      </c>
      <c r="B5" s="603" t="s">
        <v>1866</v>
      </c>
      <c r="C5" s="872"/>
      <c r="D5" s="877"/>
      <c r="E5" s="878"/>
      <c r="F5" s="872"/>
      <c r="G5" s="877"/>
      <c r="H5" s="878"/>
      <c r="K5" s="630">
        <f ca="1">_xlfn.XLOOKUP(IDTICKER,[1]!RTData[Ticker_Symbol],[1]!RTData[M-Price])</f>
        <v>221.18199999999999</v>
      </c>
      <c r="L5" s="839" t="str">
        <f ca="1"/>
        <v>CSCO</v>
      </c>
      <c r="M5" s="611" t="str">
        <f ca="1"/>
        <v>452/1,000=35,342</v>
      </c>
      <c r="N5" s="840" t="str">
        <f ca="1"/>
        <v>BLDP</v>
      </c>
      <c r="O5" s="841" t="str">
        <f ca="1"/>
        <v>BUY  9,841</v>
      </c>
      <c r="R5" s="115"/>
    </row>
    <row r="6" spans="1:33" ht="23" thickBot="1" x14ac:dyDescent="0.35">
      <c r="A6" s="626" t="str" cm="1">
        <f t="array" aca="1" ref="A6" ca="1">_xlfn.IFS(H16&gt;0,"Free Stock",StockNow*ID_M&lt;ABS(H16),"n/a",H16&lt;=0,TEXT(-H16/ID_M/GBpScale,"#,#0"))</f>
        <v>8,945</v>
      </c>
      <c r="B6" s="625">
        <f ca="1">_xlfn.XLOOKUP(IDTICKER,[1]!RTData[Ticker_Symbol],[1]!RTData[1YT])</f>
        <v>288.42410000000001</v>
      </c>
      <c r="C6" s="873"/>
      <c r="D6" s="879"/>
      <c r="E6" s="881"/>
      <c r="F6" s="873"/>
      <c r="G6" s="880"/>
      <c r="H6" s="881"/>
      <c r="K6" s="592" t="str">
        <f ca="1">_xlfn.XLOOKUP(K7,[1]!RTData[Ticker_Symbol],[1]!RTData[Currency])</f>
        <v>USD</v>
      </c>
      <c r="L6" s="839" t="str">
        <f ca="1"/>
        <v>KR</v>
      </c>
      <c r="M6" s="611" t="str">
        <f ca="1"/>
        <v>1,295/6,000=87,500</v>
      </c>
      <c r="N6" s="840" t="str">
        <f ca="1"/>
        <v>HPE</v>
      </c>
      <c r="O6" s="841" t="str">
        <f ca="1"/>
        <v>BUY  1,477</v>
      </c>
    </row>
    <row r="7" spans="1:33" ht="28" thickBot="1" x14ac:dyDescent="0.4">
      <c r="A7" s="603" t="str">
        <f ca="1">IF(A8&gt;0,"Sell-to-Cash (GL=0)","Hold")</f>
        <v>Sell-to-Cash (GL=0)</v>
      </c>
      <c r="B7" s="676">
        <f ca="1">GBpScale*((StockNow+_xlfn.XLOOKUP(IDTICKER,TabTRADER[ClickTick],TabTRADER[L_Sn]))*_xlfn.XLOOKUP(IDTICKER,TabTRADER[ClickTick],TabTRADER[Agiotage]))-CurrentValue</f>
        <v>-2640545.3816555715</v>
      </c>
      <c r="C7" s="1429" t="s">
        <v>2793</v>
      </c>
      <c r="D7" s="1430" t="str">
        <f ca="1">TEXT(100*ID_Up20,"#")&amp;"/"&amp;TEXT(100*$C$10,"#")&amp;"/"&amp;TEXT($C$11,"#%")</f>
        <v>//54%</v>
      </c>
      <c r="E7" s="1309"/>
      <c r="F7" s="1431" t="s">
        <v>2794</v>
      </c>
      <c r="G7" s="1309" t="str">
        <f ca="1">TEXT(100*ID_Up150,"#")&amp;"/"&amp;TEXT(100*F10,"#")&amp;"/"&amp;TEXT(F11,"#%")</f>
        <v>44/44/41%</v>
      </c>
      <c r="H7" s="1309"/>
      <c r="I7" s="7" t="s">
        <v>2695</v>
      </c>
      <c r="J7" s="1"/>
      <c r="K7" s="1051" t="s">
        <v>3</v>
      </c>
      <c r="L7" s="839" t="str">
        <f ca="1"/>
        <v>NEM</v>
      </c>
      <c r="M7" s="611" t="str">
        <f ca="1"/>
        <v>574/20,000=50,255</v>
      </c>
      <c r="N7" s="840" t="str">
        <f ca="1"/>
        <v>MSFT</v>
      </c>
      <c r="O7" s="841" t="str">
        <f ca="1"/>
        <v>BUY  134</v>
      </c>
    </row>
    <row r="8" spans="1:33" ht="23" thickBot="1" x14ac:dyDescent="0.35">
      <c r="A8" s="599">
        <f ca="1">INT(GL_Now/ID_M)</f>
        <v>3023</v>
      </c>
      <c r="B8" s="676">
        <f ca="1">GBpScale*(StockNow*_xlfn.XLOOKUP(IDTICKER,TabTRADER[ClickTick],TabTRADER[Agiotage]))-CurrentValue</f>
        <v>-2640655.836408759</v>
      </c>
      <c r="C8" s="1311" t="s">
        <v>2791</v>
      </c>
      <c r="E8" s="875"/>
      <c r="F8" s="1311" t="s">
        <v>2724</v>
      </c>
      <c r="G8" s="1480" t="s">
        <v>2479</v>
      </c>
      <c r="H8" s="1010">
        <f ca="1">SUMIFS(TabFIFO[Remaining], TabFIFO[Price], "&lt;" &amp; -ID_M*(1-NeutralZoneM))</f>
        <v>2200</v>
      </c>
      <c r="I8" s="1077">
        <f ca="1">_xlfn.XLOOKUP(IDTICKER,TabCalc[Ticker],TabCalc[Rev(MinStock)])</f>
        <v>12323.999999999956</v>
      </c>
      <c r="J8" s="1367"/>
      <c r="K8" s="1052" t="str">
        <f>IDTICKER&amp;1</f>
        <v>AMZN1</v>
      </c>
      <c r="L8" s="839" t="str">
        <f ca="1"/>
        <v>RIGL</v>
      </c>
      <c r="M8" s="611" t="str">
        <f ca="1"/>
        <v>360/1,000=15,213</v>
      </c>
      <c r="N8" s="840" t="str">
        <f ca="1"/>
        <v>PAAS</v>
      </c>
      <c r="O8" s="841" t="str">
        <f ca="1"/>
        <v>BUY  13,774</v>
      </c>
    </row>
    <row r="9" spans="1:33" ht="23" thickBot="1" x14ac:dyDescent="0.35">
      <c r="B9" s="677">
        <f ca="1">(B7-B8)/(_xlfn.XLOOKUP(IDTICKER,TabTRADER[ClickTick],TabTRADER[L_Sn])*ID_M*GBpScale)</f>
        <v>2.4969200293759224E-3</v>
      </c>
      <c r="C9" s="1299">
        <f ca="1">Markov!CQ45</f>
        <v>0</v>
      </c>
      <c r="E9" s="1310"/>
      <c r="F9" s="1299">
        <f ca="1">UpPercent</f>
        <v>0.44444444444444442</v>
      </c>
      <c r="G9" s="1481" t="s">
        <v>2480</v>
      </c>
      <c r="H9" s="1011">
        <f ca="1">SUMIFS(TabFIFO[Remaining], TabFIFO[Price], "&gt;" &amp; -(ID_M*(1-NeutralZoneM)))</f>
        <v>9800</v>
      </c>
      <c r="I9" s="948">
        <f ca="1">_xlfn.XLOOKUP(IDTICKER,TabCalc[Ticker],TabCalc[ReverseB])</f>
        <v>66.599999999999682</v>
      </c>
      <c r="J9" s="1368"/>
      <c r="K9" s="1053" t="str">
        <f>IDTICKER&amp;2</f>
        <v>AMZN2</v>
      </c>
      <c r="L9" s="839" t="str">
        <f ca="1"/>
        <v>VTRS</v>
      </c>
      <c r="M9" s="611" t="str">
        <f ca="1"/>
        <v>4,608/5,000=48,594</v>
      </c>
      <c r="N9" s="840" t="str">
        <f ca="1"/>
        <v>TSLA</v>
      </c>
      <c r="O9" s="841" t="str">
        <f ca="1"/>
        <v>BUY  197</v>
      </c>
    </row>
    <row r="10" spans="1:33" ht="23" thickBot="1" x14ac:dyDescent="0.35">
      <c r="A10" s="91">
        <f ca="1">(B7-B8)/(B10*GBpScale)-1</f>
        <v>-0.99750307997062404</v>
      </c>
      <c r="B10" s="676">
        <f ca="1">_xlfn.XLOOKUP(IDTICKER,TabTRADER[ClickTick],TabTRADER[L_Sn])*ID_M</f>
        <v>44236.399999999994</v>
      </c>
      <c r="C10" s="1300">
        <f ca="1">Markov!CH90</f>
        <v>0</v>
      </c>
      <c r="E10" s="1310"/>
      <c r="F10" s="1300">
        <f ca="1">Markov!Y89</f>
        <v>0.44444444444444442</v>
      </c>
      <c r="G10" s="1482" t="s">
        <v>2481</v>
      </c>
      <c r="H10" s="1012">
        <f ca="1">StockNow-H9-H8</f>
        <v>0</v>
      </c>
      <c r="I10" s="1428" t="s">
        <v>694</v>
      </c>
      <c r="J10" s="1369"/>
      <c r="K10" s="949">
        <f ca="1">IF(ID_Currency="GBp",0.01,1)</f>
        <v>1</v>
      </c>
      <c r="L10" s="839" t="str">
        <f ca="1"/>
        <v>WBA</v>
      </c>
      <c r="M10" s="611" t="str">
        <f ca="1"/>
        <v>2,604/3,000=31,196</v>
      </c>
      <c r="N10" s="840" t="str">
        <f ca="1"/>
        <v>TSM</v>
      </c>
      <c r="O10" s="841" t="str">
        <f ca="1"/>
        <v>BUY  534</v>
      </c>
    </row>
    <row r="11" spans="1:33" ht="23" thickBot="1" x14ac:dyDescent="0.35">
      <c r="A11" s="633" t="s">
        <v>1875</v>
      </c>
      <c r="B11" s="603" t="s">
        <v>1865</v>
      </c>
      <c r="C11" s="1301">
        <f ca="1">Markov!CH107</f>
        <v>0.54285714285714282</v>
      </c>
      <c r="E11" s="875"/>
      <c r="F11" s="1301">
        <f ca="1">Markov!AC107</f>
        <v>0.4050632911392405</v>
      </c>
      <c r="G11" s="869"/>
      <c r="H11" s="871"/>
      <c r="I11" s="948">
        <f ca="1">_xlfn.XLOOKUP(IDTICKER,[1]!RTData[Ticker_Symbol],[1]!RTData[RepDiv])*ID_M_Value</f>
        <v>0</v>
      </c>
      <c r="J11" s="1367"/>
      <c r="K11" s="1150" t="str" cm="1">
        <f t="array" aca="1" ref="K11" ca="1">"High "&amp;TEXT(_xlfn.XLOOKUP(IDTICKER,ListTickers,Tab1High[High20]),"#,#0.00")</f>
        <v>High 223.74</v>
      </c>
      <c r="L11" s="839" t="str">
        <f ca="1"/>
        <v>SAFAAPL</v>
      </c>
      <c r="M11" s="611" t="str">
        <f ca="1"/>
        <v>70/350=18,955</v>
      </c>
      <c r="N11" s="840" t="str">
        <f ca="1"/>
        <v>VLVLY</v>
      </c>
      <c r="O11" s="841" t="str">
        <f ca="1"/>
        <v>BUY  2,410</v>
      </c>
    </row>
    <row r="12" spans="1:33" ht="23" thickBot="1" x14ac:dyDescent="0.35">
      <c r="A12" s="634" t="e" cm="1">
        <f t="array" ref="A12">TEXT(MIN(_xlfn._xlws.FILTER(Q22:Q47, Q22:Q47 &lt; ABS_A)),"#.#0")&amp;" (max "&amp;TEXT(_xlfn.XLOOKUP(MIN(_xlfn._xlws.FILTER(Q22:Q47, Q22:Q47 &lt; ABS_A)),Q22:Q47,R22:R47),"#,#0")&amp;")"</f>
        <v>#NAME?</v>
      </c>
      <c r="B12" s="634">
        <f ca="1">ABS(ID_A+C15)</f>
        <v>147.42434001433338</v>
      </c>
      <c r="C12" s="880"/>
      <c r="D12" s="880"/>
      <c r="E12" s="891"/>
      <c r="F12" s="884"/>
      <c r="G12" s="880"/>
      <c r="H12" s="885"/>
      <c r="I12" s="677">
        <f ca="1">_xlfn.XLOOKUP(IDTICKER,[1]!RTData[Ticker_Symbol],[1]!RTData[RepDiv])</f>
        <v>0</v>
      </c>
      <c r="J12" s="677"/>
      <c r="K12" s="1151" t="str" cm="1">
        <f t="array" aca="1" ref="K12" ca="1">"Low. "&amp;_xlfn.XLOOKUP(IDTICKER,ListTickers,Tab1Low[Low20])</f>
        <v>Low. 218.53</v>
      </c>
      <c r="L12" s="839" t="str">
        <f ca="1"/>
        <v>RIG</v>
      </c>
      <c r="M12" s="611" t="str">
        <f ca="1"/>
        <v>6,993/43,000=28,636</v>
      </c>
      <c r="N12" s="840" t="str">
        <f ca="1"/>
        <v>SAFAMZN</v>
      </c>
      <c r="O12" s="841" t="str">
        <f ca="1"/>
        <v>BUY  10,684</v>
      </c>
      <c r="P12" s="91" cm="1">
        <f t="array" aca="1" ref="P12" ca="1">_xlfn.XLOOKUP(IDTICKER,ListTickers,Tab1ChangePercent[Change%15])</f>
        <v>-2.5554E-2</v>
      </c>
      <c r="Q12" s="91" cm="1">
        <f t="array" aca="1" ref="Q12" ca="1">_xlfn.XLOOKUP(IDTICKER,ListTickers,Tab1ChangePercent[Change%16])</f>
        <v>6.2539999999999991E-3</v>
      </c>
      <c r="R12" s="91" cm="1">
        <f t="array" aca="1" ref="R12" ca="1">_xlfn.XLOOKUP(IDTICKER,ListTickers,Tab1ChangePercent[Change%17])</f>
        <v>-1.2163999999999999E-2</v>
      </c>
      <c r="S12" s="91" cm="1">
        <f t="array" aca="1" ref="S12" ca="1">_xlfn.XLOOKUP(IDTICKER,ListTickers,Tab1ChangePercent[Change%18])</f>
        <v>-4.4317000000000002E-2</v>
      </c>
      <c r="T12" s="91" cm="1">
        <f t="array" aca="1" ref="T12" ca="1">_xlfn.XLOOKUP(IDTICKER,ListTickers,Tab1ChangePercent[Change%19])</f>
        <v>-6.1470000000000006E-3</v>
      </c>
      <c r="U12" s="91" cm="1">
        <f t="array" aca="1" ref="U12" ca="1">_xlfn.XLOOKUP(IDTICKER,ListTickers,Tab1ChangePercent[Change%20])</f>
        <v>-6.1470000000000006E-3</v>
      </c>
    </row>
    <row r="13" spans="1:33" ht="23" thickBot="1" x14ac:dyDescent="0.35">
      <c r="A13" s="914"/>
      <c r="B13" s="914"/>
      <c r="C13" s="915"/>
      <c r="D13" s="916"/>
      <c r="E13" s="917"/>
      <c r="F13" s="915"/>
      <c r="G13" s="916"/>
      <c r="H13" s="918"/>
      <c r="I13" s="900"/>
      <c r="J13" s="900"/>
      <c r="K13" s="954" t="str" cm="1">
        <f t="array" aca="1" ref="K13" ca="1">"Vol. "&amp;TEXT(_xlfn.XLOOKUP(IDTICKER,DataShift!A1002:A1095,Tab1Volume[Volume20]),"#,#0")</f>
        <v>Vol. 29,090,882</v>
      </c>
      <c r="L13" s="839" t="str">
        <f ca="1"/>
        <v>LOCK</v>
      </c>
      <c r="M13" s="611" t="str">
        <f ca="1"/>
        <v>1,130/77,100=11,034</v>
      </c>
      <c r="N13" s="840" t="str">
        <f ca="1"/>
        <v>LUV</v>
      </c>
      <c r="O13" s="841" t="str">
        <f ca="1"/>
        <v>BUY  2,737</v>
      </c>
      <c r="P13" s="1264">
        <f ca="1">DataShift!U103</f>
        <v>45973</v>
      </c>
      <c r="Q13" s="1264">
        <f ca="1">DataShift!V103</f>
        <v>45974</v>
      </c>
      <c r="R13" s="1264">
        <f ca="1">DataShift!W103</f>
        <v>45975</v>
      </c>
      <c r="S13" s="1264">
        <f ca="1">DataShift!X103</f>
        <v>45978</v>
      </c>
      <c r="T13" s="1264">
        <f ca="1">DataShift!Y103</f>
        <v>45979</v>
      </c>
      <c r="U13" s="1264">
        <f ca="1">DataShift!Z103</f>
        <v>45980</v>
      </c>
    </row>
    <row r="14" spans="1:33" ht="23" thickBot="1" x14ac:dyDescent="0.35">
      <c r="A14" s="597" t="s">
        <v>1915</v>
      </c>
      <c r="B14" s="598" t="s">
        <v>1856</v>
      </c>
      <c r="C14" s="613" t="s">
        <v>1834</v>
      </c>
      <c r="D14" s="959" t="s">
        <v>2143</v>
      </c>
      <c r="E14" s="618" t="s">
        <v>1858</v>
      </c>
      <c r="F14" s="619">
        <f ca="1">SUM(F15:F16)</f>
        <v>2437902.7800000003</v>
      </c>
      <c r="G14" s="619">
        <f ca="1">SUM(G15:G16)</f>
        <v>2654184</v>
      </c>
      <c r="H14" s="667" t="s">
        <v>1867</v>
      </c>
      <c r="I14" s="69"/>
      <c r="K14" s="963" t="s">
        <v>1852</v>
      </c>
      <c r="L14" s="839"/>
      <c r="M14" s="611"/>
      <c r="N14" s="840" t="str">
        <f ca="1"/>
        <v>PFE</v>
      </c>
      <c r="O14" s="841" t="str">
        <f ca="1"/>
        <v>BUY  1,023</v>
      </c>
      <c r="P14" s="91" cm="1">
        <f t="array" aca="1" ref="P14" ca="1">_xlfn.XLOOKUP(IDTICKER,ListTickers,Tab2SumChangePercent[AVGChan15])</f>
        <v>-3.2659166666666665E-3</v>
      </c>
      <c r="Q14" s="91" cm="1">
        <f t="array" aca="1" ref="Q14" ca="1">_xlfn.XLOOKUP(IDTICKER,ListTickers,Tab2SumChangePercent[AVGChan16])</f>
        <v>-4.393136904761904E-3</v>
      </c>
      <c r="R14" s="91" cm="1">
        <f t="array" aca="1" ref="R14" ca="1">_xlfn.XLOOKUP(IDTICKER,ListTickers,Tab2SumChangePercent[AVGChan17])</f>
        <v>-6.3597797619047627E-3</v>
      </c>
      <c r="S14" s="91" cm="1">
        <f t="array" aca="1" ref="S14" ca="1">_xlfn.XLOOKUP(IDTICKER,ListTickers,Tab2SumChangePercent[AVGChan18])</f>
        <v>-1.0795011904761906E-2</v>
      </c>
      <c r="T14" s="91" cm="1">
        <f t="array" aca="1" ref="T14" ca="1">_xlfn.XLOOKUP(IDTICKER,ListTickers,Tab2SumChangePercent[AVGChan19])</f>
        <v>-1.1993488095238099E-2</v>
      </c>
      <c r="U14" s="91" cm="1">
        <f t="array" aca="1" ref="U14" ca="1">_xlfn.XLOOKUP(IDTICKER,ListTickers,Tab2SumChangePercent[AVGChan20])</f>
        <v>-7.6166130952380956E-3</v>
      </c>
      <c r="AC14" s="1447" t="str">
        <f ca="1">D7</f>
        <v>//54%</v>
      </c>
      <c r="AG14" s="1448" t="str">
        <f ca="1">G7</f>
        <v>44/44/41%</v>
      </c>
    </row>
    <row r="15" spans="1:33" ht="23" thickBot="1" x14ac:dyDescent="0.35">
      <c r="A15" s="599" cm="1">
        <f t="array" aca="1" ref="A15" ca="1">ABS(SUMPRODUCT((ABS(TabFIFO[Price])&lt;ID_M)*TabFIFO[Price],TabFIFO[Remaining])*GBpScale)</f>
        <v>1931187.78</v>
      </c>
      <c r="B15" s="600" cm="1">
        <f t="array" aca="1" ref="B15" ca="1">SUMPRODUCT((ABS(TabFIFO[Price])&lt;ID_M)*ID_M,TabFIFO[Remaining])*GBpScale</f>
        <v>2167583.6</v>
      </c>
      <c r="C15" s="705">
        <f ca="1">GL_Now/StockNow</f>
        <v>55.734224985666614</v>
      </c>
      <c r="D15" s="962" t="str">
        <f ca="1">"M&gt;"&amp;TEXT(ID_A+GLperShare,"#,#0.00")</f>
        <v>M&gt;-147.42</v>
      </c>
      <c r="E15" s="706" cm="1">
        <f t="array" ref="E15">SUM((TabFIFO[Price]&lt;=ID_A)*(TabFIFO[Remaining]))</f>
        <v>7000</v>
      </c>
      <c r="F15" s="615" cm="1">
        <f t="array" aca="1" ref="F15" ca="1">ABS(SUMPRODUCT((TabFIFO[Price]&lt;ID_A)*TabFIFO[Price],TabFIFO[Remaining])*GBpScale)</f>
        <v>1520014.22</v>
      </c>
      <c r="G15" s="616" cm="1">
        <f t="array" aca="1" ref="G15" ca="1">SUMPRODUCT((TabFIFO[Price]&lt;ID_A)*ID_M,TabFIFO[Remaining])*GBpScale</f>
        <v>1548274</v>
      </c>
      <c r="H15" s="623">
        <f ca="1">FirstLot*BeginCost*GBpScale</f>
        <v>-1060400</v>
      </c>
      <c r="I15" s="624">
        <f ca="1">FirstLot*ID_M*GBpScale+H15</f>
        <v>709056</v>
      </c>
      <c r="J15" s="685"/>
      <c r="K15" s="964">
        <f ca="1">_xlfn.XLOOKUP(IDTICKER,[1]!RTData[Ticker_Symbol],[1]!RTData[Ddate])</f>
        <v>0</v>
      </c>
      <c r="L15" s="839"/>
      <c r="M15" s="611"/>
      <c r="N15" s="840" t="str">
        <f ca="1"/>
        <v>THC</v>
      </c>
      <c r="O15" s="841" t="str">
        <f ca="1"/>
        <v>BUY  456</v>
      </c>
      <c r="P15" s="1259">
        <v>0</v>
      </c>
      <c r="Q15" s="1259">
        <v>0</v>
      </c>
      <c r="R15" s="1259">
        <v>0</v>
      </c>
      <c r="S15" s="1259">
        <v>0</v>
      </c>
      <c r="T15" s="1259">
        <v>0</v>
      </c>
      <c r="U15" s="1259">
        <v>0</v>
      </c>
      <c r="V15" s="1259">
        <v>0.5</v>
      </c>
      <c r="W15" s="1259">
        <v>0.5</v>
      </c>
    </row>
    <row r="16" spans="1:33" ht="23" thickBot="1" x14ac:dyDescent="0.35">
      <c r="A16" s="595" cm="1">
        <f t="array" aca="1" ref="A16" ca="1">ABS(SUMPRODUCT((ABS(TabFIFO[Price])&gt;ID_M)*TabFIFO[Price],TabFIFO[Remaining])*GBpScale)</f>
        <v>506715</v>
      </c>
      <c r="B16" s="595" cm="1">
        <f t="array" aca="1" ref="B16" ca="1">SUMPRODUCT((ABS(TabFIFO[Price])&gt;ID_M)*ID_M,TabFIFO[Remaining])*GBpScale</f>
        <v>486600.4</v>
      </c>
      <c r="C16" s="955" t="str">
        <f ca="1">TEXT(V20*K5*GBpScale,"#,#0")&amp;" / "&amp;TEXT(V20*C15*GBpScale,"#,#0")</f>
        <v>0 / 0</v>
      </c>
      <c r="D16" s="962">
        <f ca="1">ID_M+ID_A</f>
        <v>18.023434999999978</v>
      </c>
      <c r="E16" s="957" cm="1">
        <f t="array" ref="E16">SUM((TabFIFO[Price]&gt;ID_A)*(TabFIFO[Remaining]))</f>
        <v>5000</v>
      </c>
      <c r="F16" s="587" cm="1">
        <f t="array" aca="1" ref="F16" ca="1">ABS(SUMPRODUCT((TabFIFO[Price]&gt;ID_A)*TabFIFO[Price],TabFIFO[Remaining])*GBpScale)</f>
        <v>917888.56</v>
      </c>
      <c r="G16" s="575" cm="1">
        <f t="array" aca="1" ref="G16" ca="1">SUMPRODUCT((TabFIFO[Price]&gt;ID_A)*ID_M,TabFIFO[Remaining])*GBpScale</f>
        <v>1105910</v>
      </c>
      <c r="H16" s="954">
        <f ca="1">TotalCost+TradeIncome</f>
        <v>-1978472.4217719999</v>
      </c>
      <c r="I16" s="590">
        <f ca="1">SUM(G19:I19)</f>
        <v>668810.69982799934</v>
      </c>
      <c r="J16" s="685"/>
      <c r="K16" s="842" t="str">
        <f ca="1">_xlfn.LET(_xlpm.div,_xlfn.XLOOKUP(IDTICKER,[1]!RTData[Ticker_Symbol],[1]!RTData[RepDiv]),TEXT(_xlpm.div,"#0.0%")&amp;"="&amp;TEXT(_xlpm.div*CurrentValue,"#,#0"))</f>
        <v>0.0%=0</v>
      </c>
      <c r="L16" s="839"/>
      <c r="M16" s="611"/>
      <c r="N16" s="840"/>
      <c r="O16" s="841"/>
      <c r="P16" s="90" cm="1">
        <f t="array" aca="1" ref="P16" ca="1">_xlfn.XLOOKUP(IDTICKER,ListTickers,Tab2Agiotage[XAgio15])</f>
        <v>0.61932402019166766</v>
      </c>
      <c r="Q16" s="90" cm="1">
        <f t="array" aca="1" ref="Q16" ca="1">_xlfn.XLOOKUP(IDTICKER,ListTickers,Tab2Agiotage[XAgio16])</f>
        <v>0.6942070189669548</v>
      </c>
      <c r="R16" s="90" cm="1">
        <f t="array" aca="1" ref="R16" ca="1">_xlfn.XLOOKUP(IDTICKER,ListTickers,Tab2Agiotage[XAgio17])</f>
        <v>0.7408131718550709</v>
      </c>
      <c r="S16" s="90" cm="1">
        <f t="array" aca="1" ref="S16" ca="1">_xlfn.XLOOKUP(IDTICKER,ListTickers,Tab2Agiotage[XAgio18])</f>
        <v>8.3155655847150288E-4</v>
      </c>
      <c r="T16" s="90" cm="1">
        <f t="array" aca="1" ref="T16" ca="1">_xlfn.XLOOKUP(IDTICKER,ListTickers,Tab2Agiotage[XAgio19])</f>
        <v>0.55227376593669197</v>
      </c>
      <c r="U16" s="90" cm="1">
        <f t="array" aca="1" ref="U16" ca="1">_xlfn.XLOOKUP(IDTICKER,ListTickers,Tab2Agiotage[XAgio20])</f>
        <v>0.55227376593669197</v>
      </c>
      <c r="AC16" s="1490" t="str">
        <f>IDTICKER</f>
        <v>AMZN</v>
      </c>
      <c r="AD16" s="569" t="s">
        <v>2756</v>
      </c>
      <c r="AE16" s="593" t="s">
        <v>2667</v>
      </c>
      <c r="AF16" s="593" t="s">
        <v>2754</v>
      </c>
    </row>
    <row r="17" spans="1:37" ht="23" thickBot="1" x14ac:dyDescent="0.35">
      <c r="A17" s="617" t="s">
        <v>1916</v>
      </c>
      <c r="B17" s="596" t="s">
        <v>1857</v>
      </c>
      <c r="C17" s="956" t="s">
        <v>1845</v>
      </c>
      <c r="D17" s="960" t="s">
        <v>1846</v>
      </c>
      <c r="E17" s="958" t="s">
        <v>1848</v>
      </c>
      <c r="F17" s="606" t="s">
        <v>1855</v>
      </c>
      <c r="G17" s="609" t="s">
        <v>1835</v>
      </c>
      <c r="H17" s="609" t="s">
        <v>1836</v>
      </c>
      <c r="I17" s="512" t="s">
        <v>1869</v>
      </c>
      <c r="J17" s="353"/>
      <c r="K17" s="824" t="str">
        <f ca="1">"1YT "&amp;TEXT(_xlfn.XLOOKUP(IDTICKER,[1]!RTData[Ticker_Symbol],[1]!RTData[1YT]),"#,#0.00")</f>
        <v>1YT 288.42</v>
      </c>
      <c r="L17" s="839"/>
      <c r="M17" s="1006"/>
      <c r="N17" s="840"/>
      <c r="O17" s="841"/>
      <c r="P17" s="221">
        <v>1</v>
      </c>
      <c r="Q17" s="90">
        <v>1</v>
      </c>
      <c r="R17" s="221">
        <v>1</v>
      </c>
      <c r="S17" s="90">
        <v>1</v>
      </c>
      <c r="T17" s="221">
        <v>1</v>
      </c>
      <c r="U17" s="90">
        <v>1</v>
      </c>
      <c r="AC17" s="1490"/>
      <c r="AD17" s="941">
        <f ca="1">_xlfn.XLOOKUP(IDTICKER,TabCalc[Ticker],TabCalc[ValueBegin])</f>
        <v>-1060400</v>
      </c>
      <c r="AE17" s="1384">
        <f ca="1">CurrentValue</f>
        <v>2647283.1215999993</v>
      </c>
      <c r="AF17" s="1384">
        <f ca="1">GL_Now</f>
        <v>668810.69982799934</v>
      </c>
      <c r="AG17" s="941">
        <f>StockNow</f>
        <v>12000</v>
      </c>
    </row>
    <row r="18" spans="1:37" ht="23" thickBot="1" x14ac:dyDescent="0.35">
      <c r="B18" s="576" t="s">
        <v>1859</v>
      </c>
      <c r="C18" s="617" t="s">
        <v>1849</v>
      </c>
      <c r="D18" s="960" t="s">
        <v>1579</v>
      </c>
      <c r="E18" s="604">
        <f ca="1">StockNow*ID_M*GBpScale</f>
        <v>2654184</v>
      </c>
      <c r="F18" s="576" t="s">
        <v>2792</v>
      </c>
      <c r="G18" s="603" t="s">
        <v>1000</v>
      </c>
      <c r="H18" s="603" t="s">
        <v>1847</v>
      </c>
      <c r="I18" s="603" t="s">
        <v>1842</v>
      </c>
      <c r="J18" s="353"/>
      <c r="L18" s="839"/>
      <c r="M18" s="611"/>
      <c r="N18" s="840"/>
      <c r="O18" s="905"/>
      <c r="P18" t="str">
        <f>IDTICKER&amp;": Last 5 Day Fl_Avg.Ch,Agio)"</f>
        <v>AMZN: Last 5 Day Fl_Avg.Ch,Agio)</v>
      </c>
      <c r="AC18" s="1424" t="s">
        <v>2799</v>
      </c>
      <c r="AD18" s="1425"/>
      <c r="AE18" s="1425"/>
      <c r="AF18" s="1426"/>
      <c r="AG18" s="1423" t="s">
        <v>2800</v>
      </c>
      <c r="AH18" s="1421"/>
      <c r="AI18" s="1421"/>
      <c r="AJ18" s="1422"/>
    </row>
    <row r="19" spans="1:37" ht="23" thickBot="1" x14ac:dyDescent="0.35">
      <c r="A19" s="612" t="s">
        <v>1833</v>
      </c>
      <c r="B19" s="602" cm="1">
        <f t="array" aca="1" ref="B19" ca="1">SUM((ABS(TabFIFO[Price])&lt;ID_M)*(TabFIFO[Remaining]))</f>
        <v>9800</v>
      </c>
      <c r="C19" s="614">
        <f ca="1">_xlfn.XLOOKUP(IDTICKER,[1]!RTData[Ticker_Symbol],[1]!RTData[RepDiv])*ID_M</f>
        <v>0</v>
      </c>
      <c r="D19" s="961">
        <f>IFERROR(SUMPRODUCT(TabFIFO[Price],TabFIFO[Remaining])/StockNow,0)</f>
        <v>-203.15856500000001</v>
      </c>
      <c r="E19" s="605">
        <f>TabFIFO[[#Totals],[Remaining]]</f>
        <v>12000</v>
      </c>
      <c r="F19" s="608" cm="1">
        <f t="array" aca="1" ref="F19" ca="1">GBpScale*SUMPRODUCT((TabFIFO[Profit/Loss]&gt;0)*TabFIFO[Profit/Loss]*(1-Commission)
           + (TabFIFO[Profit/Loss]&lt;0)*TabFIFO[Profit/Loss]*(1+Commission))</f>
        <v>474281.4247439999</v>
      </c>
      <c r="G19" s="607">
        <f ca="1">TabFIFO[[#Totals],[Income]]</f>
        <v>2111045.9725999995</v>
      </c>
      <c r="H19" s="610">
        <f ca="1">TabFIFO[[#Totals],[Cost]]</f>
        <v>-4089518.3943719994</v>
      </c>
      <c r="I19" s="607">
        <f ca="1">TabFIFO[[#Totals],[M-VALUE Now]]*(1-Commission)</f>
        <v>2647283.1215999993</v>
      </c>
      <c r="J19" s="1370"/>
      <c r="L19" s="839"/>
      <c r="M19" s="611"/>
      <c r="N19" s="840"/>
      <c r="O19" s="906"/>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221.18199999999999</v>
      </c>
      <c r="AE19" s="593" t="s">
        <v>2758</v>
      </c>
      <c r="AF19" s="1427" t="s">
        <v>2789</v>
      </c>
      <c r="AI19" s="569" t="s">
        <v>2757</v>
      </c>
      <c r="AJ19" s="569" t="s">
        <v>2754</v>
      </c>
    </row>
    <row r="20" spans="1:37" ht="23" thickBot="1" x14ac:dyDescent="0.35">
      <c r="A20" s="502" t="s">
        <v>2478</v>
      </c>
      <c r="B20" s="1003">
        <v>5.0000000000000001E-3</v>
      </c>
      <c r="C20" s="353" t="s">
        <v>549</v>
      </c>
      <c r="D20" s="353" t="s">
        <v>139</v>
      </c>
      <c r="E20" s="353" t="s">
        <v>1792</v>
      </c>
      <c r="F20" s="126" t="s">
        <v>1793</v>
      </c>
      <c r="G20" s="1" t="s">
        <v>1794</v>
      </c>
      <c r="H20" s="1" t="s">
        <v>971</v>
      </c>
      <c r="I20" s="293" t="s">
        <v>1795</v>
      </c>
      <c r="J20" s="293"/>
      <c r="K20" s="93" t="s">
        <v>178</v>
      </c>
      <c r="L20" s="839"/>
      <c r="M20" s="611"/>
      <c r="N20" s="840"/>
      <c r="O20" s="906"/>
      <c r="P20" s="475" t="s">
        <v>677</v>
      </c>
      <c r="Q20" s="83">
        <f ca="1">ID_M</f>
        <v>221.18199999999999</v>
      </c>
      <c r="R20" s="568"/>
      <c r="S20" s="568"/>
      <c r="T20" s="861">
        <f>S21</f>
        <v>2000</v>
      </c>
      <c r="U20" s="489" cm="1">
        <f t="array" aca="1" ref="U20:X99" ca="1">_xlfn._xlws.SORT(Q20:T99)</f>
        <v>132.55000000000001</v>
      </c>
      <c r="V20" s="82">
        <f ca="1"/>
        <v>0</v>
      </c>
      <c r="W20" s="82">
        <f ca="1"/>
        <v>0</v>
      </c>
      <c r="X20" s="82">
        <f ca="1"/>
        <v>0</v>
      </c>
      <c r="Y20" s="83">
        <f ca="1">U20</f>
        <v>132.55000000000001</v>
      </c>
      <c r="Z20" s="845">
        <f ca="1">Q20</f>
        <v>221.18199999999999</v>
      </c>
      <c r="AA20" s="845">
        <v>9.9999999999999995E-7</v>
      </c>
      <c r="AB20" s="569" t="s">
        <v>2790</v>
      </c>
      <c r="AC20" s="745">
        <f>ID_A</f>
        <v>-203.15856500000001</v>
      </c>
      <c r="AD20" s="1384">
        <f>SUM(AD22:AD99)</f>
        <v>12000</v>
      </c>
      <c r="AE20" s="1384">
        <f ca="1">SUM(AE22:AE99)</f>
        <v>2654183.9999999995</v>
      </c>
      <c r="AF20" s="1384">
        <f ca="1">SUMIF(AF22:AF99,"&gt;0",AF22:AF99)</f>
        <v>236395.81999999983</v>
      </c>
      <c r="AG20" s="725">
        <f>SUM(AG22:AG99)</f>
        <v>11200</v>
      </c>
      <c r="AH20" s="666"/>
      <c r="AI20" s="1384">
        <f ca="1">SUMIF((AI22:AI99),"&gt;0",(AI22:AI99))</f>
        <v>2477238.4</v>
      </c>
      <c r="AJ20" s="1384">
        <f ca="1">SUMIF((AJ22:AJ99),"&gt;0",(AJ22:AJ99))</f>
        <v>7509.6000000000122</v>
      </c>
      <c r="AK20" s="1483">
        <f ca="1">AJ20/AI20</f>
        <v>3.0314401714425275E-3</v>
      </c>
    </row>
    <row r="21" spans="1:37" ht="23" thickBot="1" x14ac:dyDescent="0.35">
      <c r="A21" s="122"/>
      <c r="B21" s="1439"/>
      <c r="C21" s="574">
        <v>8000</v>
      </c>
      <c r="D21" s="571">
        <v>-132.55000000000001</v>
      </c>
      <c r="E21" s="570">
        <v>0</v>
      </c>
      <c r="F21" s="821">
        <v>0</v>
      </c>
      <c r="G21" s="572">
        <f ca="1">IF(TabFIFO[[#This Row],[Price]]&gt;0,TabFIFO[[#This Row],[Number]]*TabFIFO[[#This Row],[Price]],0)*(1-Commission)*GBpScale</f>
        <v>0</v>
      </c>
      <c r="H21" s="572">
        <f ca="1">IF(TabFIFO[[#This Row],[Price]]&lt;0,TabFIFO[[#This Row],[Number]]*TabFIFO[[#This Row],[Price]],0)*(1+Commission)*GBpScale</f>
        <v>-1063157.04</v>
      </c>
      <c r="I21" s="822">
        <f ca="1">TabFIFO[[#This Row],[Remaining]]*ID_M*GBpScale</f>
        <v>0</v>
      </c>
      <c r="J21" s="1371"/>
      <c r="K21">
        <f>FirstLot</f>
        <v>8000</v>
      </c>
      <c r="L21" s="839"/>
      <c r="M21" s="611"/>
      <c r="N21" s="840"/>
      <c r="O21" s="906"/>
      <c r="P21" s="1374" t="s">
        <v>1579</v>
      </c>
      <c r="Q21" s="1375">
        <f>ABS(ID_A)</f>
        <v>203.15856500000001</v>
      </c>
      <c r="R21" s="1376"/>
      <c r="S21" s="1377">
        <f>MAX(R22:R99)</f>
        <v>2000</v>
      </c>
      <c r="T21" s="1376"/>
      <c r="U21" s="1378">
        <f ca="1"/>
        <v>173.55</v>
      </c>
      <c r="V21" s="1379">
        <f ca="1"/>
        <v>200</v>
      </c>
      <c r="W21" s="1379">
        <f ca="1"/>
        <v>0</v>
      </c>
      <c r="X21" s="1379">
        <f ca="1"/>
        <v>0</v>
      </c>
      <c r="Y21" s="1380">
        <f t="shared" ref="Y21:Y50" ca="1" si="0">U21</f>
        <v>173.55</v>
      </c>
      <c r="Z21" s="1381">
        <f>ABS(ID_A)</f>
        <v>203.15856500000001</v>
      </c>
      <c r="AA21" s="1381">
        <v>9.9999999999999995E-7</v>
      </c>
      <c r="AB21" s="831"/>
      <c r="AE21" s="1485">
        <f ca="1">AF20/AE20</f>
        <v>8.9065347391137875E-2</v>
      </c>
      <c r="AF21" s="1384">
        <f ca="1">SUMIF(AF22:AF99,"&lt;0",AF22:AF99)</f>
        <v>-20114.60000000002</v>
      </c>
      <c r="AI21" s="1484">
        <f ca="1">AJ21/AI20</f>
        <v>-0.14863284857848155</v>
      </c>
      <c r="AJ21" s="1384">
        <f ca="1">SUMIF((AJ22:AJ99),"&lt;0",(AJ22:AJ99))</f>
        <v>-368198.99999999988</v>
      </c>
    </row>
    <row r="22" spans="1:37" ht="23" thickTop="1" x14ac:dyDescent="0.3">
      <c r="A22" s="122"/>
      <c r="B22" s="162"/>
      <c r="C22" s="574">
        <v>2000</v>
      </c>
      <c r="D22" s="571">
        <v>185.035</v>
      </c>
      <c r="E22" s="570"/>
      <c r="F22" s="821">
        <v>104970</v>
      </c>
      <c r="G22" s="572">
        <f ca="1">IF(TabFIFO[[#This Row],[Price]]&gt;0,TabFIFO[[#This Row],[Number]]*TabFIFO[[#This Row],[Price]],0)*(1-Commission)*GBpScale</f>
        <v>369107.81799999997</v>
      </c>
      <c r="H22" s="572">
        <f ca="1">IF(TabFIFO[[#This Row],[Price]]&lt;0,TabFIFO[[#This Row],[Number]]*TabFIFO[[#This Row],[Price]],0)*(1+Commission)*GBpScale</f>
        <v>0</v>
      </c>
      <c r="I22" s="579">
        <f ca="1">TabFIFO[[#This Row],[Remaining]]*ID_M*GBpScale</f>
        <v>0</v>
      </c>
      <c r="J22" s="1372"/>
      <c r="K22">
        <f>C21-SIGN(TabFIFO[[#This Row],[Price]])*TabFIFO[[#This Row],[Number]]</f>
        <v>6000</v>
      </c>
      <c r="L22" s="839"/>
      <c r="M22" s="611"/>
      <c r="N22" s="840"/>
      <c r="O22" s="906"/>
      <c r="P22" s="1373" t="s">
        <v>1873</v>
      </c>
      <c r="Q22" s="828" cm="1">
        <f t="array" ref="Q22:Q40">ABS(_xlfn._xlws.FILTER(TabFIFO[Price],TabFIFO[Price]&lt;0,NA()))</f>
        <v>132.55000000000001</v>
      </c>
      <c r="R22" s="1206" cm="1">
        <f t="array" ref="R22:R40">ABS(_xlfn._xlws.FILTER(TabFIFO[Remaining],TabFIFO[Price]&lt;0,0))</f>
        <v>0</v>
      </c>
      <c r="S22" s="1207"/>
      <c r="T22" s="1207"/>
      <c r="U22" s="1208">
        <f ca="1"/>
        <v>177.47720000000001</v>
      </c>
      <c r="V22" s="829">
        <f ca="1"/>
        <v>800</v>
      </c>
      <c r="W22" s="829">
        <f ca="1"/>
        <v>0</v>
      </c>
      <c r="X22" s="829">
        <f ca="1"/>
        <v>0</v>
      </c>
      <c r="Y22" s="828">
        <f t="shared" ca="1" si="0"/>
        <v>177.47720000000001</v>
      </c>
      <c r="Z22" s="362" cm="1">
        <f t="array" ref="Z22:AA99">_xlfn._xlws.SORT(_xlfn._xlws.FILTER(Q22:R99, R22:R99 &gt;=0), 1, 1)</f>
        <v>132.55000000000001</v>
      </c>
      <c r="AA22" s="829">
        <v>0</v>
      </c>
      <c r="AB22" s="719"/>
      <c r="AC22" s="1387" cm="1">
        <f t="array" ref="AC22:AD37">IFERROR(_xlfn._xlws.SORT(
    _xlfn._xlws.FILTER(TabFIFO[[Price]:[Remaining]], (TabFIFO[Price]&lt;0)*(TabFIFO[Remaining]&gt;0)),
    1, -1
),"Market price LT all purchase prices")</f>
        <v>-173.55</v>
      </c>
      <c r="AD22" s="1388">
        <v>200</v>
      </c>
      <c r="AE22" s="1393">
        <f t="shared" ref="AE22:AE42" ca="1" si="1">AD22*ID_M*GBpScale</f>
        <v>44236.399999999994</v>
      </c>
      <c r="AF22" s="1394">
        <f t="shared" ref="AF22:AF42" ca="1" si="2">IFERROR(AD22*(ID_M+AC22)*GBpScale,0)</f>
        <v>9526.399999999996</v>
      </c>
      <c r="AG22" s="1399" cm="1">
        <f t="array" ref="AG22:AH32">IFERROR(_xlfn._xlws.SORT(
    _xlfn._xlws.FILTER(TabFIFO[[Number]:[Price]], (TabFIFO[Price]&gt;0)*(TabFIFO[Remaining]=0)),
    2, -1
),"Market price GT all sale prices")</f>
        <v>500</v>
      </c>
      <c r="AH22" s="1400">
        <v>234.24</v>
      </c>
      <c r="AI22" s="1403">
        <f t="shared" ref="AI22:AI41" ca="1" si="3">IFERROR(AG22*ID_M*GBpScale,AG22)</f>
        <v>110591</v>
      </c>
      <c r="AJ22" s="1404">
        <f t="shared" ref="AJ22:AJ41" ca="1" si="4">IFERROR(AG22*(AH22-ID_M)*GBpScale,0)</f>
        <v>6529.0000000000109</v>
      </c>
    </row>
    <row r="23" spans="1:37" x14ac:dyDescent="0.3">
      <c r="A23" s="996"/>
      <c r="B23" s="991"/>
      <c r="C23" s="574">
        <v>2000</v>
      </c>
      <c r="D23" s="571">
        <v>-179.7175</v>
      </c>
      <c r="E23" s="570">
        <v>0</v>
      </c>
      <c r="F23" s="821">
        <v>0</v>
      </c>
      <c r="G23" s="572">
        <f ca="1">IF(TabFIFO[[#This Row],[Price]]&gt;0,TabFIFO[[#This Row],[Number]]*TabFIFO[[#This Row],[Price]],0)*(1-Commission)*GBpScale</f>
        <v>0</v>
      </c>
      <c r="H23" s="572">
        <f ca="1">IF(TabFIFO[[#This Row],[Price]]&lt;0,TabFIFO[[#This Row],[Number]]*TabFIFO[[#This Row],[Price]],0)*(1+Commission)*GBpScale</f>
        <v>-360369.53099999996</v>
      </c>
      <c r="I23" s="579">
        <f ca="1">TabFIFO[[#This Row],[Remaining]]*ID_M*GBpScale</f>
        <v>0</v>
      </c>
      <c r="J23" s="1372"/>
      <c r="K23">
        <f>K22-SIGN(TabFIFO[[#This Row],[Price]])*TabFIFO[[#This Row],[Number]]</f>
        <v>8000</v>
      </c>
      <c r="L23" s="839"/>
      <c r="M23" s="904"/>
      <c r="N23" s="840"/>
      <c r="O23" s="906"/>
      <c r="P23" s="1204" t="s">
        <v>1874</v>
      </c>
      <c r="Q23" s="828">
        <v>179.7175</v>
      </c>
      <c r="R23" s="1206">
        <v>0</v>
      </c>
      <c r="S23" s="1207"/>
      <c r="T23" s="1207">
        <f t="shared" ref="T23:T37" si="5">S23</f>
        <v>0</v>
      </c>
      <c r="U23" s="1208">
        <f ca="1"/>
        <v>179.7175</v>
      </c>
      <c r="V23" s="829">
        <f ca="1"/>
        <v>0</v>
      </c>
      <c r="W23" s="829">
        <f ca="1"/>
        <v>0</v>
      </c>
      <c r="X23" s="829">
        <f ca="1"/>
        <v>0</v>
      </c>
      <c r="Y23" s="828">
        <f t="shared" ca="1" si="0"/>
        <v>179.7175</v>
      </c>
      <c r="Z23" s="362">
        <v>173.55</v>
      </c>
      <c r="AA23" s="829">
        <v>200</v>
      </c>
      <c r="AB23" s="719"/>
      <c r="AC23" s="1389">
        <v>-177.47720000000001</v>
      </c>
      <c r="AD23" s="1390">
        <v>800</v>
      </c>
      <c r="AE23" s="1395">
        <f t="shared" ca="1" si="1"/>
        <v>176945.59999999998</v>
      </c>
      <c r="AF23" s="1396">
        <f t="shared" ca="1" si="2"/>
        <v>34963.839999999982</v>
      </c>
      <c r="AG23" s="1401">
        <v>500</v>
      </c>
      <c r="AH23" s="1402">
        <v>223.01</v>
      </c>
      <c r="AI23" s="1405">
        <f t="shared" ca="1" si="3"/>
        <v>110591</v>
      </c>
      <c r="AJ23" s="1406">
        <f t="shared" ca="1" si="4"/>
        <v>914.00000000000148</v>
      </c>
    </row>
    <row r="24" spans="1:37" x14ac:dyDescent="0.3">
      <c r="A24" s="122"/>
      <c r="B24" s="162"/>
      <c r="C24" s="574">
        <v>1000</v>
      </c>
      <c r="D24" s="571">
        <v>-185.68</v>
      </c>
      <c r="E24" s="570">
        <v>0</v>
      </c>
      <c r="F24" s="821">
        <v>0</v>
      </c>
      <c r="G24" s="572">
        <f ca="1">IF(TabFIFO[[#This Row],[Price]]&gt;0,TabFIFO[[#This Row],[Number]]*TabFIFO[[#This Row],[Price]],0)*(1-Commission)*GBpScale</f>
        <v>0</v>
      </c>
      <c r="H24" s="572">
        <f ca="1">IF(TabFIFO[[#This Row],[Price]]&lt;0,TabFIFO[[#This Row],[Number]]*TabFIFO[[#This Row],[Price]],0)*(1+Commission)*GBpScale</f>
        <v>-186162.76799999998</v>
      </c>
      <c r="I24" s="579">
        <f ca="1">TabFIFO[[#This Row],[Remaining]]*ID_M*GBpScale</f>
        <v>0</v>
      </c>
      <c r="J24" s="1372"/>
      <c r="K24">
        <f>K23-SIGN(TabFIFO[[#This Row],[Price]])*TabFIFO[[#This Row],[Number]]</f>
        <v>9000</v>
      </c>
      <c r="L24" s="839"/>
      <c r="M24" s="904"/>
      <c r="N24" s="840"/>
      <c r="O24" s="906"/>
      <c r="P24" s="362"/>
      <c r="Q24" s="828">
        <v>185.68</v>
      </c>
      <c r="R24" s="1206">
        <v>0</v>
      </c>
      <c r="S24" s="1207"/>
      <c r="T24" s="1207">
        <f t="shared" si="5"/>
        <v>0</v>
      </c>
      <c r="U24" s="1208">
        <f ca="1"/>
        <v>183.43340000000001</v>
      </c>
      <c r="V24" s="829">
        <f ca="1"/>
        <v>2000</v>
      </c>
      <c r="W24" s="829">
        <f ca="1"/>
        <v>0</v>
      </c>
      <c r="X24" s="829">
        <f ca="1"/>
        <v>0</v>
      </c>
      <c r="Y24" s="828">
        <f t="shared" ca="1" si="0"/>
        <v>183.43340000000001</v>
      </c>
      <c r="Z24" s="362">
        <v>177.47720000000001</v>
      </c>
      <c r="AA24" s="829">
        <v>800</v>
      </c>
      <c r="AB24" s="719"/>
      <c r="AC24" s="1389">
        <v>-183.43340000000001</v>
      </c>
      <c r="AD24" s="1390">
        <v>2000</v>
      </c>
      <c r="AE24" s="1395">
        <f t="shared" ca="1" si="1"/>
        <v>442364</v>
      </c>
      <c r="AF24" s="1396">
        <f t="shared" ca="1" si="2"/>
        <v>75497.199999999968</v>
      </c>
      <c r="AG24" s="1401">
        <v>200</v>
      </c>
      <c r="AH24" s="1402">
        <v>221.51499999999999</v>
      </c>
      <c r="AI24" s="1405">
        <f t="shared" ca="1" si="3"/>
        <v>44236.399999999994</v>
      </c>
      <c r="AJ24" s="1406">
        <f t="shared" ca="1" si="4"/>
        <v>66.599999999999682</v>
      </c>
    </row>
    <row r="25" spans="1:37" x14ac:dyDescent="0.3">
      <c r="A25" s="996"/>
      <c r="B25" s="991"/>
      <c r="C25" s="574">
        <v>1000</v>
      </c>
      <c r="D25" s="571">
        <v>183.77</v>
      </c>
      <c r="E25" s="570"/>
      <c r="F25" s="821">
        <v>51220</v>
      </c>
      <c r="G25" s="572">
        <f ca="1">IF(TabFIFO[[#This Row],[Price]]&gt;0,TabFIFO[[#This Row],[Number]]*TabFIFO[[#This Row],[Price]],0)*(1-Commission)*GBpScale</f>
        <v>183292.198</v>
      </c>
      <c r="H25" s="572">
        <f ca="1">IF(TabFIFO[[#This Row],[Price]]&lt;0,TabFIFO[[#This Row],[Number]]*TabFIFO[[#This Row],[Price]],0)*(1+Commission)*GBpScale</f>
        <v>0</v>
      </c>
      <c r="I25" s="579">
        <f ca="1">TabFIFO[[#This Row],[Remaining]]*ID_M*GBpScale</f>
        <v>0</v>
      </c>
      <c r="J25" s="1372"/>
      <c r="K25">
        <f>K24-SIGN(TabFIFO[[#This Row],[Price]])*TabFIFO[[#This Row],[Number]]</f>
        <v>8000</v>
      </c>
      <c r="L25" s="839"/>
      <c r="M25" s="904"/>
      <c r="N25" s="840"/>
      <c r="O25" s="906"/>
      <c r="P25" s="362"/>
      <c r="Q25" s="828">
        <v>177.47720000000001</v>
      </c>
      <c r="R25" s="1206">
        <v>800</v>
      </c>
      <c r="S25" s="1207"/>
      <c r="T25" s="1207">
        <f t="shared" si="5"/>
        <v>0</v>
      </c>
      <c r="U25" s="1208">
        <f ca="1"/>
        <v>185.28</v>
      </c>
      <c r="V25" s="829">
        <f ca="1"/>
        <v>1500</v>
      </c>
      <c r="W25" s="829">
        <f ca="1"/>
        <v>0</v>
      </c>
      <c r="X25" s="829">
        <f ca="1"/>
        <v>0</v>
      </c>
      <c r="Y25" s="828">
        <f t="shared" ca="1" si="0"/>
        <v>185.28</v>
      </c>
      <c r="Z25" s="362">
        <v>179.7175</v>
      </c>
      <c r="AA25" s="829">
        <v>0</v>
      </c>
      <c r="AB25" s="719"/>
      <c r="AC25" s="1389">
        <v>-185.28</v>
      </c>
      <c r="AD25" s="1390">
        <v>1500</v>
      </c>
      <c r="AE25" s="1395">
        <f t="shared" ca="1" si="1"/>
        <v>331773</v>
      </c>
      <c r="AF25" s="1396">
        <f t="shared" ca="1" si="2"/>
        <v>53852.999999999978</v>
      </c>
      <c r="AG25" s="1401">
        <v>500</v>
      </c>
      <c r="AH25" s="1402">
        <v>218.88</v>
      </c>
      <c r="AI25" s="1405">
        <f t="shared" ca="1" si="3"/>
        <v>110591</v>
      </c>
      <c r="AJ25" s="1406">
        <f t="shared" ca="1" si="4"/>
        <v>-1150.9999999999964</v>
      </c>
    </row>
    <row r="26" spans="1:37" x14ac:dyDescent="0.3">
      <c r="A26" s="122"/>
      <c r="B26" s="162"/>
      <c r="C26" s="574">
        <v>1000</v>
      </c>
      <c r="D26" s="571">
        <v>-177.47720000000001</v>
      </c>
      <c r="E26" s="570">
        <v>800</v>
      </c>
      <c r="F26" s="821">
        <v>0</v>
      </c>
      <c r="G26" s="572">
        <f ca="1">IF(TabFIFO[[#This Row],[Price]]&gt;0,TabFIFO[[#This Row],[Number]]*TabFIFO[[#This Row],[Price]],0)*(1-Commission)*GBpScale</f>
        <v>0</v>
      </c>
      <c r="H26" s="572">
        <f ca="1">IF(TabFIFO[[#This Row],[Price]]&lt;0,TabFIFO[[#This Row],[Number]]*TabFIFO[[#This Row],[Price]],0)*(1+Commission)*GBpScale</f>
        <v>-177938.64072</v>
      </c>
      <c r="I26" s="579">
        <f ca="1">TabFIFO[[#This Row],[Remaining]]*ID_M*GBpScale</f>
        <v>176945.59999999998</v>
      </c>
      <c r="J26" s="1372"/>
      <c r="K26">
        <f>K25-SIGN(TabFIFO[[#This Row],[Price]])*TabFIFO[[#This Row],[Number]]</f>
        <v>9000</v>
      </c>
      <c r="L26" s="839"/>
      <c r="M26" s="904"/>
      <c r="N26" s="840"/>
      <c r="O26" s="906"/>
      <c r="P26" s="362"/>
      <c r="Q26" s="828">
        <v>183.43340000000001</v>
      </c>
      <c r="R26" s="1206">
        <v>2000</v>
      </c>
      <c r="S26" s="1207"/>
      <c r="T26" s="1207">
        <f t="shared" si="5"/>
        <v>0</v>
      </c>
      <c r="U26" s="1208">
        <f ca="1"/>
        <v>185.68</v>
      </c>
      <c r="V26" s="829">
        <f ca="1"/>
        <v>0</v>
      </c>
      <c r="W26" s="829">
        <f ca="1"/>
        <v>0</v>
      </c>
      <c r="X26" s="829">
        <f ca="1"/>
        <v>0</v>
      </c>
      <c r="Y26" s="828">
        <f t="shared" ca="1" si="0"/>
        <v>185.68</v>
      </c>
      <c r="Z26" s="362">
        <v>183.43340000000001</v>
      </c>
      <c r="AA26" s="829">
        <v>2000</v>
      </c>
      <c r="AB26" s="719"/>
      <c r="AC26" s="1389">
        <v>-192.82</v>
      </c>
      <c r="AD26" s="1390">
        <v>500</v>
      </c>
      <c r="AE26" s="1395">
        <f t="shared" ca="1" si="1"/>
        <v>110591</v>
      </c>
      <c r="AF26" s="1396">
        <f t="shared" ca="1" si="2"/>
        <v>14180.999999999998</v>
      </c>
      <c r="AG26" s="1401">
        <v>2000</v>
      </c>
      <c r="AH26" s="1402">
        <v>196.03550000000001</v>
      </c>
      <c r="AI26" s="1405">
        <f t="shared" ca="1" si="3"/>
        <v>442364</v>
      </c>
      <c r="AJ26" s="1406">
        <f t="shared" ca="1" si="4"/>
        <v>-50292.999999999949</v>
      </c>
    </row>
    <row r="27" spans="1:37" x14ac:dyDescent="0.3">
      <c r="A27" s="996"/>
      <c r="B27" s="991"/>
      <c r="C27" s="574">
        <v>1000</v>
      </c>
      <c r="D27" s="571">
        <v>180.75</v>
      </c>
      <c r="E27" s="570"/>
      <c r="F27" s="821">
        <v>48200</v>
      </c>
      <c r="G27" s="572">
        <f ca="1">IF(TabFIFO[[#This Row],[Price]]&gt;0,TabFIFO[[#This Row],[Number]]*TabFIFO[[#This Row],[Price]],0)*(1-Commission)*GBpScale</f>
        <v>180280.05</v>
      </c>
      <c r="H27" s="572">
        <f ca="1">IF(TabFIFO[[#This Row],[Price]]&lt;0,TabFIFO[[#This Row],[Number]]*TabFIFO[[#This Row],[Price]],0)*(1+Commission)*GBpScale</f>
        <v>0</v>
      </c>
      <c r="I27" s="579">
        <f ca="1">TabFIFO[[#This Row],[Remaining]]*ID_M*GBpScale</f>
        <v>0</v>
      </c>
      <c r="J27" s="1372"/>
      <c r="K27">
        <f>K26-SIGN(TabFIFO[[#This Row],[Price]])*TabFIFO[[#This Row],[Number]]</f>
        <v>8000</v>
      </c>
      <c r="L27" s="839"/>
      <c r="M27" s="904"/>
      <c r="N27" s="840"/>
      <c r="O27" s="906"/>
      <c r="P27" s="362"/>
      <c r="Q27" s="828">
        <v>185.28</v>
      </c>
      <c r="R27" s="1206">
        <v>1500</v>
      </c>
      <c r="S27" s="1207"/>
      <c r="T27" s="1207">
        <f t="shared" si="5"/>
        <v>0</v>
      </c>
      <c r="U27" s="1208">
        <f ca="1"/>
        <v>192.82</v>
      </c>
      <c r="V27" s="829">
        <f ca="1"/>
        <v>500</v>
      </c>
      <c r="W27" s="829">
        <f ca="1"/>
        <v>0</v>
      </c>
      <c r="X27" s="829">
        <f ca="1"/>
        <v>0</v>
      </c>
      <c r="Y27" s="828">
        <f t="shared" ca="1" si="0"/>
        <v>192.82</v>
      </c>
      <c r="Z27" s="362">
        <v>185.28</v>
      </c>
      <c r="AA27" s="829">
        <v>1500</v>
      </c>
      <c r="AB27" s="719"/>
      <c r="AC27" s="1389">
        <v>-204.0975</v>
      </c>
      <c r="AD27" s="1390">
        <v>1000</v>
      </c>
      <c r="AE27" s="1395">
        <f t="shared" ca="1" si="1"/>
        <v>221182</v>
      </c>
      <c r="AF27" s="1396">
        <f t="shared" ca="1" si="2"/>
        <v>17084.499999999993</v>
      </c>
      <c r="AG27" s="1401">
        <v>500</v>
      </c>
      <c r="AH27" s="1402">
        <v>195.82</v>
      </c>
      <c r="AI27" s="1405">
        <f t="shared" ca="1" si="3"/>
        <v>110591</v>
      </c>
      <c r="AJ27" s="1406">
        <f t="shared" ca="1" si="4"/>
        <v>-12680.999999999998</v>
      </c>
    </row>
    <row r="28" spans="1:37" x14ac:dyDescent="0.3">
      <c r="A28" s="122"/>
      <c r="B28" s="162"/>
      <c r="C28" s="574">
        <v>2000</v>
      </c>
      <c r="D28" s="571">
        <v>196.03550000000001</v>
      </c>
      <c r="E28" s="570"/>
      <c r="F28" s="821">
        <v>126971</v>
      </c>
      <c r="G28" s="572">
        <f ca="1">IF(TabFIFO[[#This Row],[Price]]&gt;0,TabFIFO[[#This Row],[Number]]*TabFIFO[[#This Row],[Price]],0)*(1-Commission)*GBpScale</f>
        <v>391051.61540000001</v>
      </c>
      <c r="H28" s="572">
        <f ca="1">IF(TabFIFO[[#This Row],[Price]]&lt;0,TabFIFO[[#This Row],[Number]]*TabFIFO[[#This Row],[Price]],0)*(1+Commission)*GBpScale</f>
        <v>0</v>
      </c>
      <c r="I28" s="579">
        <f ca="1">TabFIFO[[#This Row],[Remaining]]*ID_M*GBpScale</f>
        <v>0</v>
      </c>
      <c r="J28" s="1372"/>
      <c r="K28">
        <f>K27-SIGN(TabFIFO[[#This Row],[Price]])*TabFIFO[[#This Row],[Number]]</f>
        <v>6000</v>
      </c>
      <c r="L28" s="839"/>
      <c r="M28" s="904"/>
      <c r="N28" s="840"/>
      <c r="O28" s="906"/>
      <c r="P28" s="362"/>
      <c r="Q28" s="828">
        <v>236.70750000000001</v>
      </c>
      <c r="R28" s="1206">
        <v>400</v>
      </c>
      <c r="S28" s="1207"/>
      <c r="T28" s="1207">
        <f t="shared" si="5"/>
        <v>0</v>
      </c>
      <c r="U28" s="1208">
        <f ca="1"/>
        <v>203.15856500000001</v>
      </c>
      <c r="V28" s="829">
        <f ca="1"/>
        <v>0</v>
      </c>
      <c r="W28" s="829">
        <f ca="1"/>
        <v>2000</v>
      </c>
      <c r="X28" s="829">
        <f ca="1"/>
        <v>0</v>
      </c>
      <c r="Y28" s="828">
        <f t="shared" ca="1" si="0"/>
        <v>203.15856500000001</v>
      </c>
      <c r="Z28" s="362">
        <v>185.68</v>
      </c>
      <c r="AA28" s="829">
        <v>0</v>
      </c>
      <c r="AB28" s="719"/>
      <c r="AC28" s="1389">
        <v>-206.18340000000001</v>
      </c>
      <c r="AD28" s="1390">
        <v>800</v>
      </c>
      <c r="AE28" s="1395">
        <f t="shared" ca="1" si="1"/>
        <v>176945.59999999998</v>
      </c>
      <c r="AF28" s="1396">
        <f t="shared" ca="1" si="2"/>
        <v>11998.879999999986</v>
      </c>
      <c r="AG28" s="1401">
        <v>2000</v>
      </c>
      <c r="AH28" s="1402">
        <v>185.035</v>
      </c>
      <c r="AI28" s="1405">
        <f t="shared" ca="1" si="3"/>
        <v>442364</v>
      </c>
      <c r="AJ28" s="1406">
        <f t="shared" ca="1" si="4"/>
        <v>-72293.999999999985</v>
      </c>
    </row>
    <row r="29" spans="1:37" x14ac:dyDescent="0.3">
      <c r="A29" s="996"/>
      <c r="B29" s="991"/>
      <c r="C29" s="574">
        <v>2000</v>
      </c>
      <c r="D29" s="571">
        <v>-183.43340000000001</v>
      </c>
      <c r="E29" s="570">
        <v>2000</v>
      </c>
      <c r="F29" s="821">
        <v>0</v>
      </c>
      <c r="G29" s="572">
        <f ca="1">IF(TabFIFO[[#This Row],[Price]]&gt;0,TabFIFO[[#This Row],[Number]]*TabFIFO[[#This Row],[Price]],0)*(1-Commission)*GBpScale</f>
        <v>0</v>
      </c>
      <c r="H29" s="572">
        <f ca="1">IF(TabFIFO[[#This Row],[Price]]&lt;0,TabFIFO[[#This Row],[Number]]*TabFIFO[[#This Row],[Price]],0)*(1+Commission)*GBpScale</f>
        <v>-367820.65367999999</v>
      </c>
      <c r="I29" s="579">
        <f ca="1">TabFIFO[[#This Row],[Remaining]]*ID_M*GBpScale</f>
        <v>442364</v>
      </c>
      <c r="J29" s="1372"/>
      <c r="K29">
        <f>K28-SIGN(TabFIFO[[#This Row],[Price]])*TabFIFO[[#This Row],[Number]]</f>
        <v>8000</v>
      </c>
      <c r="L29" s="839"/>
      <c r="M29" s="904"/>
      <c r="N29" s="840"/>
      <c r="O29" s="906"/>
      <c r="P29" s="362"/>
      <c r="Q29" s="828">
        <v>228.95</v>
      </c>
      <c r="R29" s="1206">
        <v>450</v>
      </c>
      <c r="S29" s="1207"/>
      <c r="T29" s="1207">
        <f t="shared" si="5"/>
        <v>0</v>
      </c>
      <c r="U29" s="1208">
        <f ca="1"/>
        <v>204.0975</v>
      </c>
      <c r="V29" s="829">
        <f ca="1"/>
        <v>1000</v>
      </c>
      <c r="W29" s="829">
        <f ca="1"/>
        <v>0</v>
      </c>
      <c r="X29" s="829">
        <f ca="1"/>
        <v>0</v>
      </c>
      <c r="Y29" s="828">
        <f t="shared" ca="1" si="0"/>
        <v>204.0975</v>
      </c>
      <c r="Z29" s="362">
        <v>192.82</v>
      </c>
      <c r="AA29" s="829">
        <v>500</v>
      </c>
      <c r="AB29" s="719"/>
      <c r="AC29" s="1389">
        <v>-212.98</v>
      </c>
      <c r="AD29" s="1390">
        <v>500</v>
      </c>
      <c r="AE29" s="1395">
        <f t="shared" ca="1" si="1"/>
        <v>110591</v>
      </c>
      <c r="AF29" s="1396">
        <f t="shared" ca="1" si="2"/>
        <v>4100.9999999999991</v>
      </c>
      <c r="AG29" s="1401">
        <v>1000</v>
      </c>
      <c r="AH29" s="1402">
        <v>183.77</v>
      </c>
      <c r="AI29" s="1405">
        <f t="shared" ca="1" si="3"/>
        <v>221182</v>
      </c>
      <c r="AJ29" s="1406">
        <f t="shared" ca="1" si="4"/>
        <v>-37411.999999999978</v>
      </c>
    </row>
    <row r="30" spans="1:37" x14ac:dyDescent="0.3">
      <c r="A30" s="122"/>
      <c r="B30" s="162"/>
      <c r="C30" s="574">
        <v>2000</v>
      </c>
      <c r="D30" s="571">
        <v>166.94</v>
      </c>
      <c r="E30" s="570"/>
      <c r="F30" s="821">
        <v>68780</v>
      </c>
      <c r="G30" s="572">
        <f ca="1">IF(TabFIFO[[#This Row],[Price]]&gt;0,TabFIFO[[#This Row],[Number]]*TabFIFO[[#This Row],[Price]],0)*(1-Commission)*GBpScale</f>
        <v>333011.91200000001</v>
      </c>
      <c r="H30" s="572">
        <f ca="1">IF(TabFIFO[[#This Row],[Price]]&lt;0,TabFIFO[[#This Row],[Number]]*TabFIFO[[#This Row],[Price]],0)*(1+Commission)*GBpScale</f>
        <v>0</v>
      </c>
      <c r="I30" s="579">
        <f ca="1">TabFIFO[[#This Row],[Remaining]]*ID_M*GBpScale</f>
        <v>0</v>
      </c>
      <c r="J30" s="1372"/>
      <c r="K30">
        <f>K29-SIGN(TabFIFO[[#This Row],[Price]])*TabFIFO[[#This Row],[Number]]</f>
        <v>6000</v>
      </c>
      <c r="L30" s="839"/>
      <c r="M30" s="904"/>
      <c r="N30" s="840"/>
      <c r="O30" s="906"/>
      <c r="P30" s="362"/>
      <c r="Q30" s="828">
        <v>232.89</v>
      </c>
      <c r="R30" s="1206">
        <v>250</v>
      </c>
      <c r="S30" s="1207"/>
      <c r="T30" s="1207">
        <f t="shared" si="5"/>
        <v>0</v>
      </c>
      <c r="U30" s="1208">
        <f ca="1"/>
        <v>206.18340000000001</v>
      </c>
      <c r="V30" s="829">
        <f ca="1"/>
        <v>800</v>
      </c>
      <c r="W30" s="829">
        <f ca="1"/>
        <v>0</v>
      </c>
      <c r="X30" s="829">
        <f ca="1"/>
        <v>0</v>
      </c>
      <c r="Y30" s="828">
        <f t="shared" ca="1" si="0"/>
        <v>206.18340000000001</v>
      </c>
      <c r="Z30" s="362">
        <v>204.0975</v>
      </c>
      <c r="AA30" s="829">
        <v>1000</v>
      </c>
      <c r="AB30" s="719"/>
      <c r="AC30" s="1389">
        <v>-215.02</v>
      </c>
      <c r="AD30" s="1390">
        <v>2000</v>
      </c>
      <c r="AE30" s="1395">
        <f t="shared" ca="1" si="1"/>
        <v>442364</v>
      </c>
      <c r="AF30" s="1396">
        <f t="shared" ca="1" si="2"/>
        <v>12323.999999999956</v>
      </c>
      <c r="AG30" s="1401">
        <v>1000</v>
      </c>
      <c r="AH30" s="1402">
        <v>180.75</v>
      </c>
      <c r="AI30" s="1405">
        <f t="shared" ca="1" si="3"/>
        <v>221182</v>
      </c>
      <c r="AJ30" s="1406">
        <f t="shared" ca="1" si="4"/>
        <v>-40431.999999999985</v>
      </c>
    </row>
    <row r="31" spans="1:37" x14ac:dyDescent="0.3">
      <c r="A31" s="996"/>
      <c r="B31" s="991"/>
      <c r="C31" s="574">
        <v>1000</v>
      </c>
      <c r="D31" s="571">
        <v>175.73</v>
      </c>
      <c r="E31" s="570"/>
      <c r="F31" s="821">
        <v>-3987.5</v>
      </c>
      <c r="G31" s="572">
        <f ca="1">IF(TabFIFO[[#This Row],[Price]]&gt;0,TabFIFO[[#This Row],[Number]]*TabFIFO[[#This Row],[Price]],0)*(1-Commission)*GBpScale</f>
        <v>175273.10199999998</v>
      </c>
      <c r="H31" s="572">
        <f ca="1">IF(TabFIFO[[#This Row],[Price]]&lt;0,TabFIFO[[#This Row],[Number]]*TabFIFO[[#This Row],[Price]],0)*(1+Commission)*GBpScale</f>
        <v>0</v>
      </c>
      <c r="I31" s="579">
        <f ca="1">TabFIFO[[#This Row],[Remaining]]*ID_M*GBpScale</f>
        <v>0</v>
      </c>
      <c r="J31" s="1372"/>
      <c r="K31">
        <f>K30-SIGN(TabFIFO[[#This Row],[Price]])*TabFIFO[[#This Row],[Number]]</f>
        <v>5000</v>
      </c>
      <c r="L31" s="839"/>
      <c r="M31" s="904"/>
      <c r="N31" s="840"/>
      <c r="O31" s="906"/>
      <c r="P31" s="362"/>
      <c r="Q31" s="828">
        <v>229.005</v>
      </c>
      <c r="R31" s="1206">
        <v>400</v>
      </c>
      <c r="S31" s="1207"/>
      <c r="T31" s="1207">
        <f t="shared" si="5"/>
        <v>0</v>
      </c>
      <c r="U31" s="1208">
        <f ca="1"/>
        <v>212.98</v>
      </c>
      <c r="V31" s="829">
        <f ca="1"/>
        <v>500</v>
      </c>
      <c r="W31" s="829">
        <f ca="1"/>
        <v>0</v>
      </c>
      <c r="X31" s="829">
        <f ca="1"/>
        <v>0</v>
      </c>
      <c r="Y31" s="828">
        <f t="shared" ca="1" si="0"/>
        <v>212.98</v>
      </c>
      <c r="Z31" s="362">
        <v>206.18340000000001</v>
      </c>
      <c r="AA31" s="829">
        <v>800</v>
      </c>
      <c r="AB31" s="719"/>
      <c r="AC31" s="1389">
        <v>-215.45</v>
      </c>
      <c r="AD31" s="1390">
        <v>500</v>
      </c>
      <c r="AE31" s="1395">
        <f t="shared" ca="1" si="1"/>
        <v>110591</v>
      </c>
      <c r="AF31" s="1396">
        <f t="shared" ca="1" si="2"/>
        <v>2865.9999999999995</v>
      </c>
      <c r="AG31" s="1401">
        <v>1000</v>
      </c>
      <c r="AH31" s="1402">
        <v>175.73</v>
      </c>
      <c r="AI31" s="1405">
        <f t="shared" ca="1" si="3"/>
        <v>221182</v>
      </c>
      <c r="AJ31" s="1406">
        <f t="shared" ca="1" si="4"/>
        <v>-45452</v>
      </c>
    </row>
    <row r="32" spans="1:37" x14ac:dyDescent="0.3">
      <c r="A32" s="122"/>
      <c r="B32" s="162"/>
      <c r="C32" s="574">
        <v>1500</v>
      </c>
      <c r="D32" s="571">
        <v>-185.28</v>
      </c>
      <c r="E32" s="570">
        <v>1500</v>
      </c>
      <c r="F32" s="821">
        <v>0</v>
      </c>
      <c r="G32" s="572">
        <f ca="1">IF(TabFIFO[[#This Row],[Price]]&gt;0,TabFIFO[[#This Row],[Number]]*TabFIFO[[#This Row],[Price]],0)*(1-Commission)*GBpScale</f>
        <v>0</v>
      </c>
      <c r="H32" s="572">
        <f ca="1">IF(TabFIFO[[#This Row],[Price]]&lt;0,TabFIFO[[#This Row],[Number]]*TabFIFO[[#This Row],[Price]],0)*(1+Commission)*GBpScale</f>
        <v>-278642.592</v>
      </c>
      <c r="I32" s="579">
        <f ca="1">TabFIFO[[#This Row],[Remaining]]*ID_M*GBpScale</f>
        <v>331773</v>
      </c>
      <c r="J32" s="1372"/>
      <c r="K32">
        <f>K31-SIGN(TabFIFO[[#This Row],[Price]])*TabFIFO[[#This Row],[Number]]</f>
        <v>6500</v>
      </c>
      <c r="L32" s="907"/>
      <c r="M32" s="908"/>
      <c r="N32" s="840"/>
      <c r="O32" s="906"/>
      <c r="P32" s="362"/>
      <c r="Q32" s="828">
        <v>228.54</v>
      </c>
      <c r="R32" s="1206">
        <v>500</v>
      </c>
      <c r="S32" s="1207"/>
      <c r="T32" s="1207">
        <f t="shared" si="5"/>
        <v>0</v>
      </c>
      <c r="U32" s="1208">
        <f ca="1"/>
        <v>215.02</v>
      </c>
      <c r="V32" s="829">
        <f ca="1"/>
        <v>2000</v>
      </c>
      <c r="W32" s="829">
        <f ca="1"/>
        <v>0</v>
      </c>
      <c r="X32" s="829">
        <f ca="1"/>
        <v>0</v>
      </c>
      <c r="Y32" s="828">
        <f t="shared" ca="1" si="0"/>
        <v>215.02</v>
      </c>
      <c r="Z32" s="362">
        <v>212.98</v>
      </c>
      <c r="AA32" s="829">
        <v>500</v>
      </c>
      <c r="AB32" s="719"/>
      <c r="AC32" s="1389">
        <v>-224.55</v>
      </c>
      <c r="AD32" s="1390">
        <v>200</v>
      </c>
      <c r="AE32" s="1395">
        <f t="shared" ca="1" si="1"/>
        <v>44236.399999999994</v>
      </c>
      <c r="AF32" s="1396">
        <f t="shared" ca="1" si="2"/>
        <v>-673.60000000000468</v>
      </c>
      <c r="AG32" s="1401">
        <v>2000</v>
      </c>
      <c r="AH32" s="1402">
        <v>166.94</v>
      </c>
      <c r="AI32" s="1405">
        <f t="shared" ca="1" si="3"/>
        <v>442364</v>
      </c>
      <c r="AJ32" s="1406">
        <f t="shared" ca="1" si="4"/>
        <v>-108483.99999999999</v>
      </c>
    </row>
    <row r="33" spans="1:36" x14ac:dyDescent="0.3">
      <c r="A33" s="996"/>
      <c r="B33" s="991"/>
      <c r="C33" s="574">
        <v>500</v>
      </c>
      <c r="D33" s="571">
        <v>195.82</v>
      </c>
      <c r="E33" s="570"/>
      <c r="F33" s="821">
        <v>8051.25</v>
      </c>
      <c r="G33" s="572">
        <f ca="1">IF(TabFIFO[[#This Row],[Price]]&gt;0,TabFIFO[[#This Row],[Number]]*TabFIFO[[#This Row],[Price]],0)*(1-Commission)*GBpScale</f>
        <v>97655.433999999994</v>
      </c>
      <c r="H33" s="572">
        <f ca="1">IF(TabFIFO[[#This Row],[Price]]&lt;0,TabFIFO[[#This Row],[Number]]*TabFIFO[[#This Row],[Price]],0)*(1+Commission)*GBpScale</f>
        <v>0</v>
      </c>
      <c r="I33" s="579">
        <f ca="1">TabFIFO[[#This Row],[Remaining]]*ID_M*GBpScale</f>
        <v>0</v>
      </c>
      <c r="J33" s="1372"/>
      <c r="K33">
        <f>K32-SIGN(TabFIFO[[#This Row],[Price]])*TabFIFO[[#This Row],[Number]]</f>
        <v>6000</v>
      </c>
      <c r="L33" s="907"/>
      <c r="M33" s="908"/>
      <c r="N33" s="840"/>
      <c r="O33" s="906"/>
      <c r="P33" s="362"/>
      <c r="Q33" s="828">
        <v>224.55</v>
      </c>
      <c r="R33" s="1206">
        <v>200</v>
      </c>
      <c r="S33" s="1207"/>
      <c r="T33" s="1207">
        <f t="shared" si="5"/>
        <v>0</v>
      </c>
      <c r="U33" s="1208">
        <f ca="1"/>
        <v>215.45</v>
      </c>
      <c r="V33" s="829">
        <f ca="1"/>
        <v>500</v>
      </c>
      <c r="W33" s="829">
        <f ca="1"/>
        <v>0</v>
      </c>
      <c r="X33" s="829">
        <f ca="1"/>
        <v>0</v>
      </c>
      <c r="Y33" s="828">
        <f t="shared" ca="1" si="0"/>
        <v>215.45</v>
      </c>
      <c r="Z33" s="362">
        <v>215.02</v>
      </c>
      <c r="AA33" s="829">
        <v>2000</v>
      </c>
      <c r="AB33" s="719"/>
      <c r="AC33" s="1389">
        <v>-228.54</v>
      </c>
      <c r="AD33" s="1390">
        <v>500</v>
      </c>
      <c r="AE33" s="1395">
        <f t="shared" ca="1" si="1"/>
        <v>110591</v>
      </c>
      <c r="AF33" s="1396">
        <f t="shared" ca="1" si="2"/>
        <v>-3679.0000000000018</v>
      </c>
      <c r="AG33" s="1401"/>
      <c r="AH33" s="1402"/>
      <c r="AI33" s="1405">
        <f t="shared" ca="1" si="3"/>
        <v>0</v>
      </c>
      <c r="AJ33" s="1406">
        <f t="shared" ca="1" si="4"/>
        <v>0</v>
      </c>
    </row>
    <row r="34" spans="1:36" x14ac:dyDescent="0.3">
      <c r="A34" s="122"/>
      <c r="B34" s="162"/>
      <c r="C34" s="574">
        <v>500</v>
      </c>
      <c r="D34" s="571">
        <v>218.88</v>
      </c>
      <c r="E34" s="570"/>
      <c r="F34" s="821">
        <v>19581.25</v>
      </c>
      <c r="G34" s="572">
        <f ca="1">IF(TabFIFO[[#This Row],[Price]]&gt;0,TabFIFO[[#This Row],[Number]]*TabFIFO[[#This Row],[Price]],0)*(1-Commission)*GBpScale</f>
        <v>109155.45599999999</v>
      </c>
      <c r="H34" s="572">
        <f ca="1">IF(TabFIFO[[#This Row],[Price]]&lt;0,TabFIFO[[#This Row],[Number]]*TabFIFO[[#This Row],[Price]],0)*(1+Commission)*GBpScale</f>
        <v>0</v>
      </c>
      <c r="I34" s="579">
        <f ca="1">TabFIFO[[#This Row],[Remaining]]*ID_M*GBpScale</f>
        <v>0</v>
      </c>
      <c r="J34" s="1372"/>
      <c r="K34">
        <f>K33-SIGN(TabFIFO[[#This Row],[Price]])*TabFIFO[[#This Row],[Number]]</f>
        <v>5500</v>
      </c>
      <c r="L34" s="907"/>
      <c r="M34" s="908"/>
      <c r="N34" s="840"/>
      <c r="O34" s="906"/>
      <c r="P34" s="362"/>
      <c r="Q34" s="828">
        <v>215.45</v>
      </c>
      <c r="R34" s="1206">
        <v>500</v>
      </c>
      <c r="S34" s="1207"/>
      <c r="T34" s="1207">
        <f t="shared" si="5"/>
        <v>0</v>
      </c>
      <c r="U34" s="1208">
        <f ca="1"/>
        <v>221.18199999999999</v>
      </c>
      <c r="V34" s="829">
        <f ca="1"/>
        <v>0</v>
      </c>
      <c r="W34" s="829">
        <f ca="1"/>
        <v>0</v>
      </c>
      <c r="X34" s="829">
        <f ca="1"/>
        <v>2000</v>
      </c>
      <c r="Y34" s="828">
        <f t="shared" ca="1" si="0"/>
        <v>221.18199999999999</v>
      </c>
      <c r="Z34" s="362">
        <v>215.45</v>
      </c>
      <c r="AA34" s="829">
        <v>500</v>
      </c>
      <c r="AB34" s="719"/>
      <c r="AC34" s="1389">
        <v>-228.95</v>
      </c>
      <c r="AD34" s="1390">
        <v>450</v>
      </c>
      <c r="AE34" s="1395">
        <f t="shared" ca="1" si="1"/>
        <v>99531.9</v>
      </c>
      <c r="AF34" s="1396">
        <f t="shared" ca="1" si="2"/>
        <v>-3495.6000000000004</v>
      </c>
      <c r="AG34" s="1401"/>
      <c r="AH34" s="1402"/>
      <c r="AI34" s="1405">
        <f t="shared" ca="1" si="3"/>
        <v>0</v>
      </c>
      <c r="AJ34" s="1406">
        <f t="shared" ca="1" si="4"/>
        <v>0</v>
      </c>
    </row>
    <row r="35" spans="1:36" x14ac:dyDescent="0.3">
      <c r="A35" s="996"/>
      <c r="B35" s="991"/>
      <c r="C35" s="574">
        <v>500</v>
      </c>
      <c r="D35" s="571">
        <v>223.01</v>
      </c>
      <c r="E35" s="570"/>
      <c r="F35" s="821">
        <v>18665</v>
      </c>
      <c r="G35" s="572">
        <f ca="1">IF(TabFIFO[[#This Row],[Price]]&gt;0,TabFIFO[[#This Row],[Number]]*TabFIFO[[#This Row],[Price]],0)*(1-Commission)*GBpScale</f>
        <v>111215.087</v>
      </c>
      <c r="H35" s="572">
        <f ca="1">IF(TabFIFO[[#This Row],[Price]]&lt;0,TabFIFO[[#This Row],[Number]]*TabFIFO[[#This Row],[Price]],0)*(1+Commission)*GBpScale</f>
        <v>0</v>
      </c>
      <c r="I35" s="579">
        <f ca="1">TabFIFO[[#This Row],[Remaining]]*ID_M*GBpScale</f>
        <v>0</v>
      </c>
      <c r="J35" s="1372"/>
      <c r="K35">
        <f>K34-SIGN(TabFIFO[[#This Row],[Price]])*TabFIFO[[#This Row],[Number]]</f>
        <v>5000</v>
      </c>
      <c r="L35" s="907"/>
      <c r="M35" s="908"/>
      <c r="N35" s="840"/>
      <c r="O35" s="906"/>
      <c r="P35" s="362"/>
      <c r="Q35" s="828">
        <v>206.18340000000001</v>
      </c>
      <c r="R35" s="362">
        <v>800</v>
      </c>
      <c r="S35" s="1207"/>
      <c r="T35" s="1207">
        <f t="shared" si="5"/>
        <v>0</v>
      </c>
      <c r="U35" s="1208">
        <f ca="1"/>
        <v>224.55</v>
      </c>
      <c r="V35" s="829">
        <f ca="1"/>
        <v>200</v>
      </c>
      <c r="W35" s="829">
        <f ca="1"/>
        <v>0</v>
      </c>
      <c r="X35" s="829">
        <f ca="1"/>
        <v>0</v>
      </c>
      <c r="Y35" s="828">
        <f t="shared" ca="1" si="0"/>
        <v>224.55</v>
      </c>
      <c r="Z35" s="362">
        <v>224.55</v>
      </c>
      <c r="AA35" s="829">
        <v>200</v>
      </c>
      <c r="AB35" s="719"/>
      <c r="AC35" s="1389">
        <v>-229.005</v>
      </c>
      <c r="AD35" s="1390">
        <v>400</v>
      </c>
      <c r="AE35" s="1395">
        <f t="shared" ca="1" si="1"/>
        <v>88472.799999999988</v>
      </c>
      <c r="AF35" s="1396">
        <f t="shared" ca="1" si="2"/>
        <v>-3129.200000000003</v>
      </c>
      <c r="AG35" s="1401"/>
      <c r="AH35" s="1402"/>
      <c r="AI35" s="1405">
        <f t="shared" ca="1" si="3"/>
        <v>0</v>
      </c>
      <c r="AJ35" s="1406">
        <f t="shared" ca="1" si="4"/>
        <v>0</v>
      </c>
    </row>
    <row r="36" spans="1:36" x14ac:dyDescent="0.3">
      <c r="A36" s="122"/>
      <c r="B36" s="162"/>
      <c r="C36" s="574">
        <v>500</v>
      </c>
      <c r="D36" s="571">
        <v>234.24</v>
      </c>
      <c r="E36" s="570"/>
      <c r="F36" s="821">
        <v>24280</v>
      </c>
      <c r="G36" s="572">
        <f ca="1">IF(TabFIFO[[#This Row],[Price]]&gt;0,TabFIFO[[#This Row],[Number]]*TabFIFO[[#This Row],[Price]],0)*(1-Commission)*GBpScale</f>
        <v>116815.488</v>
      </c>
      <c r="H36" s="572">
        <f ca="1">IF(TabFIFO[[#This Row],[Price]]&lt;0,TabFIFO[[#This Row],[Number]]*TabFIFO[[#This Row],[Price]],0)*(1+Commission)*GBpScale</f>
        <v>0</v>
      </c>
      <c r="I36" s="579">
        <f ca="1">TabFIFO[[#This Row],[Remaining]]*ID_M*GBpScale</f>
        <v>0</v>
      </c>
      <c r="J36" s="82"/>
      <c r="K36">
        <f>K35-SIGN(TabFIFO[[#This Row],[Price]])*TabFIFO[[#This Row],[Number]]</f>
        <v>4500</v>
      </c>
      <c r="L36" s="907"/>
      <c r="M36" s="908"/>
      <c r="N36" s="840"/>
      <c r="O36" s="906"/>
      <c r="P36" s="362"/>
      <c r="Q36" s="828">
        <v>192.82</v>
      </c>
      <c r="R36" s="1206">
        <v>500</v>
      </c>
      <c r="S36" s="1207"/>
      <c r="T36" s="1207">
        <f t="shared" si="5"/>
        <v>0</v>
      </c>
      <c r="U36" s="1208">
        <f ca="1"/>
        <v>228.54</v>
      </c>
      <c r="V36" s="829">
        <f ca="1"/>
        <v>500</v>
      </c>
      <c r="W36" s="829">
        <f ca="1"/>
        <v>0</v>
      </c>
      <c r="X36" s="829">
        <f ca="1"/>
        <v>0</v>
      </c>
      <c r="Y36" s="828">
        <f t="shared" ca="1" si="0"/>
        <v>228.54</v>
      </c>
      <c r="Z36" s="362">
        <v>228.54</v>
      </c>
      <c r="AA36" s="829">
        <v>500</v>
      </c>
      <c r="AB36" s="719"/>
      <c r="AC36" s="1389">
        <v>-232.89</v>
      </c>
      <c r="AD36" s="1390">
        <v>250</v>
      </c>
      <c r="AE36" s="1395">
        <f t="shared" ca="1" si="1"/>
        <v>55295.5</v>
      </c>
      <c r="AF36" s="1396">
        <f t="shared" ca="1" si="2"/>
        <v>-2926.9999999999995</v>
      </c>
      <c r="AG36" s="1401"/>
      <c r="AH36" s="1402"/>
      <c r="AI36" s="1405">
        <f t="shared" ca="1" si="3"/>
        <v>0</v>
      </c>
      <c r="AJ36" s="1406">
        <f t="shared" ca="1" si="4"/>
        <v>0</v>
      </c>
    </row>
    <row r="37" spans="1:36" x14ac:dyDescent="0.3">
      <c r="A37" s="996"/>
      <c r="B37" s="991"/>
      <c r="C37" s="574">
        <v>400</v>
      </c>
      <c r="D37" s="571">
        <v>-236.70750000000001</v>
      </c>
      <c r="E37" s="570">
        <v>400</v>
      </c>
      <c r="F37" s="821">
        <v>0</v>
      </c>
      <c r="G37" s="572">
        <f ca="1">IF(TabFIFO[[#This Row],[Price]]&gt;0,TabFIFO[[#This Row],[Number]]*TabFIFO[[#This Row],[Price]],0)*(1-Commission)*GBpScale</f>
        <v>0</v>
      </c>
      <c r="H37" s="572">
        <f ca="1">IF(TabFIFO[[#This Row],[Price]]&lt;0,TabFIFO[[#This Row],[Number]]*TabFIFO[[#This Row],[Price]],0)*(1+Commission)*GBpScale</f>
        <v>-94929.175799999997</v>
      </c>
      <c r="I37" s="579">
        <f ca="1">TabFIFO[[#This Row],[Remaining]]*ID_M*GBpScale</f>
        <v>88472.799999999988</v>
      </c>
      <c r="K37">
        <f>K36-SIGN(TabFIFO[[#This Row],[Price]])*TabFIFO[[#This Row],[Number]]</f>
        <v>4900</v>
      </c>
      <c r="L37" s="907"/>
      <c r="M37" s="908"/>
      <c r="N37" s="840"/>
      <c r="O37" s="906"/>
      <c r="P37" s="362"/>
      <c r="Q37" s="828">
        <v>173.55</v>
      </c>
      <c r="R37" s="1206">
        <v>200</v>
      </c>
      <c r="S37" s="1207"/>
      <c r="T37" s="1207">
        <f t="shared" si="5"/>
        <v>0</v>
      </c>
      <c r="U37" s="1208">
        <f ca="1"/>
        <v>228.95</v>
      </c>
      <c r="V37" s="829">
        <f ca="1"/>
        <v>450</v>
      </c>
      <c r="W37" s="829">
        <f ca="1"/>
        <v>0</v>
      </c>
      <c r="X37" s="829">
        <f ca="1"/>
        <v>0</v>
      </c>
      <c r="Y37" s="828">
        <f t="shared" ca="1" si="0"/>
        <v>228.95</v>
      </c>
      <c r="Z37" s="362">
        <v>228.95</v>
      </c>
      <c r="AA37" s="829">
        <v>450</v>
      </c>
      <c r="AB37" s="719"/>
      <c r="AC37" s="1389">
        <v>-236.70750000000001</v>
      </c>
      <c r="AD37" s="1390">
        <v>400</v>
      </c>
      <c r="AE37" s="1395">
        <f t="shared" ca="1" si="1"/>
        <v>88472.799999999988</v>
      </c>
      <c r="AF37" s="1396">
        <f t="shared" ca="1" si="2"/>
        <v>-6210.2000000000089</v>
      </c>
      <c r="AG37" s="1401"/>
      <c r="AH37" s="1402"/>
      <c r="AI37" s="1405">
        <f t="shared" ca="1" si="3"/>
        <v>0</v>
      </c>
      <c r="AJ37" s="1406">
        <f t="shared" ca="1" si="4"/>
        <v>0</v>
      </c>
    </row>
    <row r="38" spans="1:36" x14ac:dyDescent="0.3">
      <c r="A38" s="122"/>
      <c r="B38" s="162"/>
      <c r="C38" s="574">
        <v>450</v>
      </c>
      <c r="D38" s="571">
        <v>-228.95</v>
      </c>
      <c r="E38" s="570">
        <v>450</v>
      </c>
      <c r="F38" s="821">
        <v>0</v>
      </c>
      <c r="G38" s="572">
        <f ca="1">IF(TabFIFO[[#This Row],[Price]]&gt;0,TabFIFO[[#This Row],[Number]]*TabFIFO[[#This Row],[Price]],0)*(1-Commission)*GBpScale</f>
        <v>0</v>
      </c>
      <c r="H38" s="572">
        <f ca="1">IF(TabFIFO[[#This Row],[Price]]&lt;0,TabFIFO[[#This Row],[Number]]*TabFIFO[[#This Row],[Price]],0)*(1+Commission)*GBpScale</f>
        <v>-103295.37149999999</v>
      </c>
      <c r="I38" s="579">
        <f ca="1">TabFIFO[[#This Row],[Remaining]]*ID_M*GBpScale</f>
        <v>99531.9</v>
      </c>
      <c r="K38">
        <f>K37-SIGN(TabFIFO[[#This Row],[Price]])*TabFIFO[[#This Row],[Number]]</f>
        <v>5350</v>
      </c>
      <c r="L38" s="907"/>
      <c r="M38" s="908"/>
      <c r="N38" s="909"/>
      <c r="O38" s="906"/>
      <c r="P38" s="362"/>
      <c r="Q38" s="828">
        <v>204.0975</v>
      </c>
      <c r="R38" s="1206">
        <v>1000</v>
      </c>
      <c r="S38" s="1207"/>
      <c r="T38" s="1207"/>
      <c r="U38" s="362">
        <f ca="1"/>
        <v>229.005</v>
      </c>
      <c r="V38" s="362">
        <f ca="1"/>
        <v>400</v>
      </c>
      <c r="W38" s="362">
        <f ca="1"/>
        <v>0</v>
      </c>
      <c r="X38" s="362">
        <f ca="1"/>
        <v>0</v>
      </c>
      <c r="Y38" s="828">
        <f t="shared" ca="1" si="0"/>
        <v>229.005</v>
      </c>
      <c r="Z38" s="362">
        <v>229.005</v>
      </c>
      <c r="AA38" s="829">
        <v>400</v>
      </c>
      <c r="AB38" s="719"/>
      <c r="AC38" s="1389"/>
      <c r="AD38" s="1390"/>
      <c r="AE38" s="1395">
        <f t="shared" ca="1" si="1"/>
        <v>0</v>
      </c>
      <c r="AF38" s="1396">
        <f t="shared" ca="1" si="2"/>
        <v>0</v>
      </c>
      <c r="AG38" s="1401"/>
      <c r="AH38" s="1402"/>
      <c r="AI38" s="1405">
        <f t="shared" ca="1" si="3"/>
        <v>0</v>
      </c>
      <c r="AJ38" s="1406">
        <f t="shared" ca="1" si="4"/>
        <v>0</v>
      </c>
    </row>
    <row r="39" spans="1:36" x14ac:dyDescent="0.3">
      <c r="A39" s="996"/>
      <c r="B39" s="991"/>
      <c r="C39" s="574">
        <v>250</v>
      </c>
      <c r="D39" s="571">
        <v>-232.89</v>
      </c>
      <c r="E39" s="570">
        <v>250</v>
      </c>
      <c r="F39" s="821">
        <v>0</v>
      </c>
      <c r="G39" s="572">
        <f ca="1">IF(TabFIFO[[#This Row],[Price]]&gt;0,TabFIFO[[#This Row],[Number]]*TabFIFO[[#This Row],[Price]],0)*(1-Commission)*GBpScale</f>
        <v>0</v>
      </c>
      <c r="H39" s="572">
        <f ca="1">IF(TabFIFO[[#This Row],[Price]]&lt;0,TabFIFO[[#This Row],[Number]]*TabFIFO[[#This Row],[Price]],0)*(1+Commission)*GBpScale</f>
        <v>-58373.878499999999</v>
      </c>
      <c r="I39" s="579">
        <f ca="1">TabFIFO[[#This Row],[Remaining]]*ID_M*GBpScale</f>
        <v>55295.5</v>
      </c>
      <c r="K39">
        <f>K38-SIGN(TabFIFO[[#This Row],[Price]])*TabFIFO[[#This Row],[Number]]</f>
        <v>5600</v>
      </c>
      <c r="L39" s="907"/>
      <c r="M39" s="908"/>
      <c r="N39" s="909"/>
      <c r="O39" s="906"/>
      <c r="P39" s="362"/>
      <c r="Q39" s="828">
        <v>212.98</v>
      </c>
      <c r="R39" s="1206">
        <v>500</v>
      </c>
      <c r="S39" s="1207"/>
      <c r="T39" s="1207"/>
      <c r="U39" s="362">
        <f ca="1"/>
        <v>232.89</v>
      </c>
      <c r="V39" s="362">
        <f ca="1"/>
        <v>250</v>
      </c>
      <c r="W39" s="362">
        <f ca="1"/>
        <v>0</v>
      </c>
      <c r="X39" s="362">
        <f ca="1"/>
        <v>0</v>
      </c>
      <c r="Y39" s="828">
        <f t="shared" ca="1" si="0"/>
        <v>232.89</v>
      </c>
      <c r="Z39" s="362">
        <v>232.89</v>
      </c>
      <c r="AA39" s="829">
        <v>250</v>
      </c>
      <c r="AB39" s="719"/>
      <c r="AC39" s="1389"/>
      <c r="AD39" s="1390"/>
      <c r="AE39" s="1395">
        <f t="shared" ca="1" si="1"/>
        <v>0</v>
      </c>
      <c r="AF39" s="1396">
        <f t="shared" ca="1" si="2"/>
        <v>0</v>
      </c>
      <c r="AG39" s="1401"/>
      <c r="AH39" s="1402"/>
      <c r="AI39" s="1405">
        <f t="shared" ca="1" si="3"/>
        <v>0</v>
      </c>
      <c r="AJ39" s="1406">
        <f t="shared" ca="1" si="4"/>
        <v>0</v>
      </c>
    </row>
    <row r="40" spans="1:36" x14ac:dyDescent="0.3">
      <c r="A40" s="122"/>
      <c r="B40" s="162"/>
      <c r="C40" s="574">
        <v>400</v>
      </c>
      <c r="D40" s="571">
        <v>-229.005</v>
      </c>
      <c r="E40" s="570">
        <v>400</v>
      </c>
      <c r="F40" s="821">
        <v>0</v>
      </c>
      <c r="G40" s="572">
        <f ca="1">IF(TabFIFO[[#This Row],[Price]]&gt;0,TabFIFO[[#This Row],[Number]]*TabFIFO[[#This Row],[Price]],0)*(1-Commission)*GBpScale</f>
        <v>0</v>
      </c>
      <c r="H40" s="572">
        <f ca="1">IF(TabFIFO[[#This Row],[Price]]&lt;0,TabFIFO[[#This Row],[Number]]*TabFIFO[[#This Row],[Price]],0)*(1+Commission)*GBpScale</f>
        <v>-91840.165199999989</v>
      </c>
      <c r="I40" s="579">
        <f ca="1">TabFIFO[[#This Row],[Remaining]]*ID_M*GBpScale</f>
        <v>88472.799999999988</v>
      </c>
      <c r="K40">
        <f>K39-SIGN(TabFIFO[[#This Row],[Price]])*TabFIFO[[#This Row],[Number]]</f>
        <v>6000</v>
      </c>
      <c r="L40" s="907"/>
      <c r="M40" s="908"/>
      <c r="N40" s="909"/>
      <c r="O40" s="906"/>
      <c r="P40" s="362"/>
      <c r="Q40" s="828">
        <v>215.02</v>
      </c>
      <c r="R40" s="1206">
        <v>2000</v>
      </c>
      <c r="S40" s="1207"/>
      <c r="T40" s="1207"/>
      <c r="U40" s="362">
        <f ca="1"/>
        <v>236.70750000000001</v>
      </c>
      <c r="V40" s="362">
        <f ca="1"/>
        <v>400</v>
      </c>
      <c r="W40" s="362">
        <f ca="1"/>
        <v>0</v>
      </c>
      <c r="X40" s="362">
        <f ca="1"/>
        <v>0</v>
      </c>
      <c r="Y40" s="828">
        <f t="shared" ca="1" si="0"/>
        <v>236.70750000000001</v>
      </c>
      <c r="Z40" s="362">
        <v>236.70750000000001</v>
      </c>
      <c r="AA40" s="829">
        <v>400</v>
      </c>
      <c r="AB40" s="719"/>
      <c r="AC40" s="1389"/>
      <c r="AD40" s="1390"/>
      <c r="AE40" s="1395">
        <f t="shared" ca="1" si="1"/>
        <v>0</v>
      </c>
      <c r="AF40" s="1396">
        <f t="shared" ca="1" si="2"/>
        <v>0</v>
      </c>
      <c r="AG40" s="1401"/>
      <c r="AH40" s="1402"/>
      <c r="AI40" s="1405">
        <f t="shared" ca="1" si="3"/>
        <v>0</v>
      </c>
      <c r="AJ40" s="1406">
        <f t="shared" ca="1" si="4"/>
        <v>0</v>
      </c>
    </row>
    <row r="41" spans="1:36" x14ac:dyDescent="0.3">
      <c r="A41" s="996"/>
      <c r="B41" s="991"/>
      <c r="C41" s="574">
        <v>500</v>
      </c>
      <c r="D41" s="571">
        <v>-228.54</v>
      </c>
      <c r="E41" s="570">
        <v>500</v>
      </c>
      <c r="F41" s="821">
        <v>0</v>
      </c>
      <c r="G41" s="572">
        <f ca="1">IF(TabFIFO[[#This Row],[Price]]&gt;0,TabFIFO[[#This Row],[Number]]*TabFIFO[[#This Row],[Price]],0)*(1-Commission)*GBpScale</f>
        <v>0</v>
      </c>
      <c r="H41" s="572">
        <f ca="1">IF(TabFIFO[[#This Row],[Price]]&lt;0,TabFIFO[[#This Row],[Number]]*TabFIFO[[#This Row],[Price]],0)*(1+Commission)*GBpScale</f>
        <v>-114567.102</v>
      </c>
      <c r="I41" s="579">
        <f ca="1">TabFIFO[[#This Row],[Remaining]]*ID_M*GBpScale</f>
        <v>110591</v>
      </c>
      <c r="K41">
        <f>K40-SIGN(TabFIFO[[#This Row],[Price]])*TabFIFO[[#This Row],[Number]]</f>
        <v>6500</v>
      </c>
      <c r="L41" s="907"/>
      <c r="M41" s="908"/>
      <c r="N41" s="909"/>
      <c r="O41" s="906"/>
      <c r="P41" s="362"/>
      <c r="Q41" s="828"/>
      <c r="R41" s="1206"/>
      <c r="S41" s="1207"/>
      <c r="T41" s="1207"/>
      <c r="U41" s="362">
        <f ca="1"/>
        <v>0</v>
      </c>
      <c r="V41" s="362">
        <f ca="1"/>
        <v>0</v>
      </c>
      <c r="W41" s="362">
        <f ca="1"/>
        <v>0</v>
      </c>
      <c r="X41" s="362">
        <f ca="1"/>
        <v>0</v>
      </c>
      <c r="Y41" s="828">
        <f t="shared" ca="1" si="0"/>
        <v>0</v>
      </c>
      <c r="Z41" s="362">
        <v>0</v>
      </c>
      <c r="AA41" s="829">
        <v>0</v>
      </c>
      <c r="AB41" s="719"/>
      <c r="AC41" s="1389"/>
      <c r="AD41" s="1390"/>
      <c r="AE41" s="1395">
        <f t="shared" ca="1" si="1"/>
        <v>0</v>
      </c>
      <c r="AF41" s="1396">
        <f t="shared" ca="1" si="2"/>
        <v>0</v>
      </c>
      <c r="AG41" s="1401"/>
      <c r="AH41" s="1402"/>
      <c r="AI41" s="1405">
        <f t="shared" ca="1" si="3"/>
        <v>0</v>
      </c>
      <c r="AJ41" s="1406">
        <f t="shared" ca="1" si="4"/>
        <v>0</v>
      </c>
    </row>
    <row r="42" spans="1:36" ht="23" thickBot="1" x14ac:dyDescent="0.35">
      <c r="A42" s="122"/>
      <c r="B42" s="162"/>
      <c r="C42" s="574">
        <v>200</v>
      </c>
      <c r="D42" s="571">
        <v>-224.55</v>
      </c>
      <c r="E42" s="570">
        <v>200</v>
      </c>
      <c r="F42" s="821">
        <v>0</v>
      </c>
      <c r="G42" s="572">
        <f ca="1">IF(TabFIFO[[#This Row],[Price]]&gt;0,TabFIFO[[#This Row],[Number]]*TabFIFO[[#This Row],[Price]],0)*(1-Commission)*GBpScale</f>
        <v>0</v>
      </c>
      <c r="H42" s="572">
        <f ca="1">IF(TabFIFO[[#This Row],[Price]]&lt;0,TabFIFO[[#This Row],[Number]]*TabFIFO[[#This Row],[Price]],0)*(1+Commission)*GBpScale</f>
        <v>-45026.765999999996</v>
      </c>
      <c r="I42" s="579">
        <f ca="1">TabFIFO[[#This Row],[Remaining]]*ID_M*GBpScale</f>
        <v>44236.399999999994</v>
      </c>
      <c r="K42">
        <f>K41-SIGN(TabFIFO[[#This Row],[Price]])*TabFIFO[[#This Row],[Number]]</f>
        <v>6700</v>
      </c>
      <c r="L42" s="907"/>
      <c r="M42" s="908"/>
      <c r="N42" s="909"/>
      <c r="O42" s="906"/>
      <c r="P42" s="362"/>
      <c r="Q42" s="828"/>
      <c r="R42" s="1206"/>
      <c r="S42" s="1206"/>
      <c r="T42" s="1206"/>
      <c r="U42" s="362">
        <f ca="1"/>
        <v>0</v>
      </c>
      <c r="V42" s="362">
        <f ca="1"/>
        <v>0</v>
      </c>
      <c r="W42" s="362">
        <f ca="1"/>
        <v>0</v>
      </c>
      <c r="X42" s="362">
        <f ca="1"/>
        <v>0</v>
      </c>
      <c r="Y42" s="828">
        <f t="shared" ca="1" si="0"/>
        <v>0</v>
      </c>
      <c r="Z42" s="362">
        <v>0</v>
      </c>
      <c r="AA42" s="829">
        <v>0</v>
      </c>
      <c r="AB42" s="719"/>
      <c r="AC42" s="1391"/>
      <c r="AD42" s="1392"/>
      <c r="AE42" s="1397">
        <f t="shared" ca="1" si="1"/>
        <v>0</v>
      </c>
      <c r="AF42" s="1398">
        <f t="shared" ca="1" si="2"/>
        <v>0</v>
      </c>
      <c r="AG42" s="1401"/>
      <c r="AH42" s="1402"/>
      <c r="AI42" s="1405">
        <f t="shared" ref="AI42:AI44" ca="1" si="6">IFERROR(AG42*ID_M*GBpScale,AG42)</f>
        <v>0</v>
      </c>
      <c r="AJ42" s="1406">
        <f t="shared" ref="AJ42:AJ44" ca="1" si="7">IFERROR(AG42*(AH42-ID_M)*GBpScale,0)</f>
        <v>0</v>
      </c>
    </row>
    <row r="43" spans="1:36" x14ac:dyDescent="0.3">
      <c r="A43" s="996"/>
      <c r="B43" s="991"/>
      <c r="C43" s="574">
        <v>500</v>
      </c>
      <c r="D43" s="571">
        <v>-215.45</v>
      </c>
      <c r="E43" s="570">
        <v>500</v>
      </c>
      <c r="F43" s="821">
        <v>0</v>
      </c>
      <c r="G43" s="572">
        <f ca="1">IF(TabFIFO[[#This Row],[Price]]&gt;0,TabFIFO[[#This Row],[Number]]*TabFIFO[[#This Row],[Price]],0)*(1-Commission)*GBpScale</f>
        <v>0</v>
      </c>
      <c r="H43" s="572">
        <f ca="1">IF(TabFIFO[[#This Row],[Price]]&lt;0,TabFIFO[[#This Row],[Number]]*TabFIFO[[#This Row],[Price]],0)*(1+Commission)*GBpScale</f>
        <v>-108005.08499999999</v>
      </c>
      <c r="I43" s="579">
        <f ca="1">TabFIFO[[#This Row],[Remaining]]*ID_M*GBpScale</f>
        <v>110591</v>
      </c>
      <c r="K43">
        <f>K42-SIGN(TabFIFO[[#This Row],[Price]])*TabFIFO[[#This Row],[Number]]</f>
        <v>7200</v>
      </c>
      <c r="L43" s="907"/>
      <c r="M43" s="908"/>
      <c r="N43" s="909"/>
      <c r="O43" s="906"/>
      <c r="P43" s="362"/>
      <c r="Q43" s="828"/>
      <c r="R43" s="1206"/>
      <c r="S43" s="1206"/>
      <c r="T43" s="1206"/>
      <c r="U43" s="362">
        <f ca="1"/>
        <v>0</v>
      </c>
      <c r="V43" s="362">
        <f ca="1"/>
        <v>0</v>
      </c>
      <c r="W43" s="362">
        <f ca="1"/>
        <v>0</v>
      </c>
      <c r="X43" s="362">
        <f ca="1"/>
        <v>0</v>
      </c>
      <c r="Y43" s="828">
        <f t="shared" ca="1" si="0"/>
        <v>0</v>
      </c>
      <c r="Z43" s="362">
        <v>0</v>
      </c>
      <c r="AA43" s="829">
        <v>0</v>
      </c>
      <c r="AB43" s="719"/>
      <c r="AE43" s="719">
        <f t="shared" ref="AE43:AE53" ca="1" si="8">AD43*ID_M</f>
        <v>0</v>
      </c>
      <c r="AF43" s="1382">
        <f t="shared" ref="AF43:AF54" ca="1" si="9">AD43*(ID_M+AC43)</f>
        <v>0</v>
      </c>
      <c r="AG43" s="1401"/>
      <c r="AH43" s="1402"/>
      <c r="AI43" s="1405">
        <f t="shared" ca="1" si="6"/>
        <v>0</v>
      </c>
      <c r="AJ43" s="1406">
        <f t="shared" ca="1" si="7"/>
        <v>0</v>
      </c>
    </row>
    <row r="44" spans="1:36" x14ac:dyDescent="0.3">
      <c r="A44" s="122"/>
      <c r="B44" s="162"/>
      <c r="C44" s="574">
        <v>800</v>
      </c>
      <c r="D44" s="571">
        <v>-206.18340000000001</v>
      </c>
      <c r="E44" s="570">
        <v>800</v>
      </c>
      <c r="F44" s="821">
        <v>0</v>
      </c>
      <c r="G44" s="572">
        <f ca="1">IF(TabFIFO[[#This Row],[Price]]&gt;0,TabFIFO[[#This Row],[Number]]*TabFIFO[[#This Row],[Price]],0)*(1-Commission)*GBpScale</f>
        <v>0</v>
      </c>
      <c r="H44" s="572">
        <f ca="1">IF(TabFIFO[[#This Row],[Price]]&lt;0,TabFIFO[[#This Row],[Number]]*TabFIFO[[#This Row],[Price]],0)*(1+Commission)*GBpScale</f>
        <v>-165375.58147199999</v>
      </c>
      <c r="I44" s="579">
        <f ca="1">TabFIFO[[#This Row],[Remaining]]*ID_M*GBpScale</f>
        <v>176945.59999999998</v>
      </c>
      <c r="K44">
        <f>K43-SIGN(TabFIFO[[#This Row],[Price]])*TabFIFO[[#This Row],[Number]]</f>
        <v>8000</v>
      </c>
      <c r="L44" s="907"/>
      <c r="M44" s="908"/>
      <c r="N44" s="909"/>
      <c r="O44" s="906"/>
      <c r="P44" s="362"/>
      <c r="Q44" s="828"/>
      <c r="R44" s="1206"/>
      <c r="S44" s="1206"/>
      <c r="T44" s="1206"/>
      <c r="U44" s="362">
        <f ca="1"/>
        <v>0</v>
      </c>
      <c r="V44" s="362">
        <f ca="1"/>
        <v>0</v>
      </c>
      <c r="W44" s="362">
        <f ca="1"/>
        <v>0</v>
      </c>
      <c r="X44" s="362">
        <f ca="1"/>
        <v>0</v>
      </c>
      <c r="Y44" s="828">
        <f t="shared" ca="1" si="0"/>
        <v>0</v>
      </c>
      <c r="Z44" s="362">
        <v>0</v>
      </c>
      <c r="AA44" s="829">
        <v>0</v>
      </c>
      <c r="AB44" s="719"/>
      <c r="AE44" s="719">
        <f t="shared" ca="1" si="8"/>
        <v>0</v>
      </c>
      <c r="AF44" s="1382">
        <f t="shared" ca="1" si="9"/>
        <v>0</v>
      </c>
      <c r="AG44" s="1401"/>
      <c r="AH44" s="1402"/>
      <c r="AI44" s="1405">
        <f t="shared" ca="1" si="6"/>
        <v>0</v>
      </c>
      <c r="AJ44" s="1406">
        <f t="shared" ca="1" si="7"/>
        <v>0</v>
      </c>
    </row>
    <row r="45" spans="1:36" x14ac:dyDescent="0.3">
      <c r="A45" s="996"/>
      <c r="B45" s="991"/>
      <c r="C45" s="574">
        <v>500</v>
      </c>
      <c r="D45" s="571">
        <v>-192.82</v>
      </c>
      <c r="E45" s="570">
        <v>500</v>
      </c>
      <c r="F45" s="821">
        <v>0</v>
      </c>
      <c r="G45" s="572">
        <f ca="1">IF(TabFIFO[[#This Row],[Price]]&gt;0,TabFIFO[[#This Row],[Number]]*TabFIFO[[#This Row],[Price]],0)*(1-Commission)*GBpScale</f>
        <v>0</v>
      </c>
      <c r="H45" s="572">
        <f ca="1">IF(TabFIFO[[#This Row],[Price]]&lt;0,TabFIFO[[#This Row],[Number]]*TabFIFO[[#This Row],[Price]],0)*(1+Commission)*GBpScale</f>
        <v>-96660.665999999997</v>
      </c>
      <c r="I45" s="579">
        <f ca="1">TabFIFO[[#This Row],[Remaining]]*ID_M*GBpScale</f>
        <v>110591</v>
      </c>
      <c r="K45">
        <f>K44-SIGN(TabFIFO[[#This Row],[Price]])*TabFIFO[[#This Row],[Number]]</f>
        <v>8500</v>
      </c>
      <c r="L45" s="907"/>
      <c r="M45" s="908"/>
      <c r="N45" s="909"/>
      <c r="O45" s="906"/>
      <c r="P45" s="362"/>
      <c r="Q45" s="828"/>
      <c r="R45" s="1206"/>
      <c r="S45" s="1206"/>
      <c r="T45" s="1206"/>
      <c r="U45" s="362">
        <f ca="1"/>
        <v>0</v>
      </c>
      <c r="V45" s="362">
        <f ca="1"/>
        <v>0</v>
      </c>
      <c r="W45" s="362">
        <f ca="1"/>
        <v>0</v>
      </c>
      <c r="X45" s="362">
        <f ca="1"/>
        <v>0</v>
      </c>
      <c r="Y45" s="828">
        <f t="shared" ca="1" si="0"/>
        <v>0</v>
      </c>
      <c r="Z45" s="362">
        <v>0</v>
      </c>
      <c r="AA45" s="829">
        <v>0</v>
      </c>
      <c r="AB45" s="719"/>
      <c r="AE45" s="719">
        <f t="shared" ca="1" si="8"/>
        <v>0</v>
      </c>
      <c r="AF45" s="1382">
        <f t="shared" ca="1" si="9"/>
        <v>0</v>
      </c>
      <c r="AG45" s="1401"/>
      <c r="AH45" s="1402"/>
      <c r="AI45" s="1405">
        <f t="shared" ref="AI45:AI53" ca="1" si="10">AH45*ID_M</f>
        <v>0</v>
      </c>
      <c r="AJ45" s="1406">
        <f t="shared" ref="AJ45:AJ54" ca="1" si="11">AG45*(ID_M-AH45)</f>
        <v>0</v>
      </c>
    </row>
    <row r="46" spans="1:36" x14ac:dyDescent="0.3">
      <c r="A46" s="122"/>
      <c r="B46" s="162"/>
      <c r="C46" s="574">
        <v>200</v>
      </c>
      <c r="D46" s="571">
        <v>-173.55</v>
      </c>
      <c r="E46" s="570">
        <v>200</v>
      </c>
      <c r="F46" s="821">
        <v>0</v>
      </c>
      <c r="G46" s="572">
        <f ca="1">IF(TabFIFO[[#This Row],[Price]]&gt;0,TabFIFO[[#This Row],[Number]]*TabFIFO[[#This Row],[Price]],0)*(1-Commission)*GBpScale</f>
        <v>0</v>
      </c>
      <c r="H46" s="572">
        <f ca="1">IF(TabFIFO[[#This Row],[Price]]&lt;0,TabFIFO[[#This Row],[Number]]*TabFIFO[[#This Row],[Price]],0)*(1+Commission)*GBpScale</f>
        <v>-34800.245999999999</v>
      </c>
      <c r="I46" s="579">
        <f ca="1">TabFIFO[[#This Row],[Remaining]]*ID_M*GBpScale</f>
        <v>44236.399999999994</v>
      </c>
      <c r="K46">
        <f>K45-SIGN(TabFIFO[[#This Row],[Price]])*TabFIFO[[#This Row],[Number]]</f>
        <v>8700</v>
      </c>
      <c r="L46" s="907"/>
      <c r="M46" s="908"/>
      <c r="N46" s="909"/>
      <c r="O46" s="906"/>
      <c r="P46" s="362"/>
      <c r="Q46" s="828"/>
      <c r="R46" s="1206"/>
      <c r="S46" s="1206"/>
      <c r="T46" s="1206"/>
      <c r="U46" s="362">
        <f ca="1"/>
        <v>0</v>
      </c>
      <c r="V46" s="362">
        <f ca="1"/>
        <v>0</v>
      </c>
      <c r="W46" s="362">
        <f ca="1"/>
        <v>0</v>
      </c>
      <c r="X46" s="362">
        <f ca="1"/>
        <v>0</v>
      </c>
      <c r="Y46" s="828">
        <f t="shared" ca="1" si="0"/>
        <v>0</v>
      </c>
      <c r="Z46" s="362">
        <v>0</v>
      </c>
      <c r="AA46" s="829">
        <v>0</v>
      </c>
      <c r="AB46" s="719"/>
      <c r="AE46" s="719">
        <f t="shared" ca="1" si="8"/>
        <v>0</v>
      </c>
      <c r="AF46" s="1382">
        <f t="shared" ca="1" si="9"/>
        <v>0</v>
      </c>
      <c r="AG46" s="1401"/>
      <c r="AH46" s="1402"/>
      <c r="AI46" s="1405">
        <f t="shared" ca="1" si="10"/>
        <v>0</v>
      </c>
      <c r="AJ46" s="1406">
        <f t="shared" ca="1" si="11"/>
        <v>0</v>
      </c>
    </row>
    <row r="47" spans="1:36" ht="23" thickBot="1" x14ac:dyDescent="0.35">
      <c r="A47" s="996"/>
      <c r="B47" s="991"/>
      <c r="C47" s="574">
        <v>1000</v>
      </c>
      <c r="D47" s="571">
        <v>-204.0975</v>
      </c>
      <c r="E47" s="570">
        <v>1000</v>
      </c>
      <c r="F47" s="821">
        <v>0</v>
      </c>
      <c r="G47" s="572">
        <f ca="1">IF(TabFIFO[[#This Row],[Price]]&gt;0,TabFIFO[[#This Row],[Number]]*TabFIFO[[#This Row],[Price]],0)*(1-Commission)*GBpScale</f>
        <v>0</v>
      </c>
      <c r="H47" s="572">
        <f ca="1">IF(TabFIFO[[#This Row],[Price]]&lt;0,TabFIFO[[#This Row],[Number]]*TabFIFO[[#This Row],[Price]],0)*(1+Commission)*GBpScale</f>
        <v>-204628.15349999999</v>
      </c>
      <c r="I47" s="579">
        <f ca="1">TabFIFO[[#This Row],[Remaining]]*ID_M*GBpScale</f>
        <v>221182</v>
      </c>
      <c r="K47">
        <f>K46-SIGN(TabFIFO[[#This Row],[Price]])*TabFIFO[[#This Row],[Number]]</f>
        <v>9700</v>
      </c>
      <c r="L47" s="910"/>
      <c r="M47" s="911"/>
      <c r="N47" s="912"/>
      <c r="O47" s="913"/>
      <c r="P47" s="362"/>
      <c r="Q47" s="362"/>
      <c r="R47" s="1206"/>
      <c r="S47" s="1206"/>
      <c r="T47" s="1206"/>
      <c r="U47" s="362">
        <f ca="1"/>
        <v>0</v>
      </c>
      <c r="V47" s="362">
        <f ca="1"/>
        <v>0</v>
      </c>
      <c r="W47" s="362">
        <f ca="1"/>
        <v>0</v>
      </c>
      <c r="X47" s="362">
        <f ca="1"/>
        <v>0</v>
      </c>
      <c r="Y47" s="828">
        <f t="shared" ca="1" si="0"/>
        <v>0</v>
      </c>
      <c r="Z47" s="362">
        <v>0</v>
      </c>
      <c r="AA47" s="829">
        <v>0</v>
      </c>
      <c r="AB47" s="719"/>
      <c r="AE47" s="719">
        <f t="shared" ca="1" si="8"/>
        <v>0</v>
      </c>
      <c r="AF47" s="1382">
        <f t="shared" ca="1" si="9"/>
        <v>0</v>
      </c>
      <c r="AG47" s="1401"/>
      <c r="AH47" s="1402"/>
      <c r="AI47" s="1405">
        <f t="shared" ca="1" si="10"/>
        <v>0</v>
      </c>
      <c r="AJ47" s="1406">
        <f t="shared" ca="1" si="11"/>
        <v>0</v>
      </c>
    </row>
    <row r="48" spans="1:36" x14ac:dyDescent="0.3">
      <c r="A48" s="122"/>
      <c r="B48" s="162"/>
      <c r="C48" s="574">
        <v>500</v>
      </c>
      <c r="D48" s="571">
        <v>-212.98</v>
      </c>
      <c r="E48" s="570">
        <v>500</v>
      </c>
      <c r="F48" s="821">
        <v>0</v>
      </c>
      <c r="G48" s="572">
        <f ca="1">IF(TabFIFO[[#This Row],[Price]]&gt;0,TabFIFO[[#This Row],[Number]]*TabFIFO[[#This Row],[Price]],0)*(1-Commission)*GBpScale</f>
        <v>0</v>
      </c>
      <c r="H48" s="572">
        <f ca="1">IF(TabFIFO[[#This Row],[Price]]&lt;0,TabFIFO[[#This Row],[Number]]*TabFIFO[[#This Row],[Price]],0)*(1+Commission)*GBpScale</f>
        <v>-106766.874</v>
      </c>
      <c r="I48" s="579">
        <f ca="1">TabFIFO[[#This Row],[Remaining]]*ID_M*GBpScale</f>
        <v>110591</v>
      </c>
      <c r="K48">
        <f>K47-SIGN(TabFIFO[[#This Row],[Price]])*TabFIFO[[#This Row],[Number]]</f>
        <v>10200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382">
        <f t="shared" ca="1" si="9"/>
        <v>0</v>
      </c>
      <c r="AG48" s="1401"/>
      <c r="AH48" s="1402"/>
      <c r="AI48" s="1405">
        <f t="shared" ca="1" si="10"/>
        <v>0</v>
      </c>
      <c r="AJ48" s="1406">
        <f t="shared" ca="1" si="11"/>
        <v>0</v>
      </c>
    </row>
    <row r="49" spans="1:36" x14ac:dyDescent="0.3">
      <c r="A49" s="996"/>
      <c r="B49" s="991"/>
      <c r="C49" s="574">
        <v>2000</v>
      </c>
      <c r="D49" s="571">
        <v>-215.02</v>
      </c>
      <c r="E49" s="570">
        <v>2000</v>
      </c>
      <c r="F49" s="821">
        <v>0</v>
      </c>
      <c r="G49" s="572">
        <f ca="1">IF(TabFIFO[[#This Row],[Price]]&gt;0,TabFIFO[[#This Row],[Number]]*TabFIFO[[#This Row],[Price]],0)*(1-Commission)*GBpScale</f>
        <v>0</v>
      </c>
      <c r="H49" s="572">
        <f ca="1">IF(TabFIFO[[#This Row],[Price]]&lt;0,TabFIFO[[#This Row],[Number]]*TabFIFO[[#This Row],[Price]],0)*(1+Commission)*GBpScale</f>
        <v>-431158.10399999999</v>
      </c>
      <c r="I49" s="579">
        <f ca="1">TabFIFO[[#This Row],[Remaining]]*ID_M*GBpScale</f>
        <v>442364</v>
      </c>
      <c r="K49">
        <f>K48-SIGN(TabFIFO[[#This Row],[Price]])*TabFIFO[[#This Row],[Number]]</f>
        <v>12200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382">
        <f t="shared" ca="1" si="9"/>
        <v>0</v>
      </c>
      <c r="AG49" s="1401"/>
      <c r="AH49" s="1402"/>
      <c r="AI49" s="1405">
        <f t="shared" ca="1" si="10"/>
        <v>0</v>
      </c>
      <c r="AJ49" s="1406">
        <f t="shared" ca="1" si="11"/>
        <v>0</v>
      </c>
    </row>
    <row r="50" spans="1:36" x14ac:dyDescent="0.3">
      <c r="A50" s="122"/>
      <c r="B50" s="162"/>
      <c r="C50" s="574">
        <v>200</v>
      </c>
      <c r="D50" s="571">
        <v>221.51499999999999</v>
      </c>
      <c r="E50" s="570"/>
      <c r="F50" s="821">
        <v>8807.5599999999977</v>
      </c>
      <c r="G50" s="572">
        <f ca="1">IF(TabFIFO[[#This Row],[Price]]&gt;0,TabFIFO[[#This Row],[Number]]*TabFIFO[[#This Row],[Price]],0)*(1-Commission)*GBpScale</f>
        <v>44187.8122</v>
      </c>
      <c r="H50" s="572">
        <f ca="1">IF(TabFIFO[[#This Row],[Price]]&lt;0,TabFIFO[[#This Row],[Number]]*TabFIFO[[#This Row],[Price]],0)*(1+Commission)*GBpScale</f>
        <v>0</v>
      </c>
      <c r="I50" s="579">
        <f ca="1">TabFIFO[[#This Row],[Remaining]]*ID_M*GBpScale</f>
        <v>0</v>
      </c>
      <c r="K50">
        <f>K49-SIGN(TabFIFO[[#This Row],[Price]])*TabFIFO[[#This Row],[Number]]</f>
        <v>12000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382">
        <f t="shared" ca="1" si="9"/>
        <v>0</v>
      </c>
      <c r="AG50" s="1401"/>
      <c r="AH50" s="1402"/>
      <c r="AI50" s="1405">
        <f t="shared" ca="1" si="10"/>
        <v>0</v>
      </c>
      <c r="AJ50" s="1406">
        <f t="shared" ca="1" si="11"/>
        <v>0</v>
      </c>
    </row>
    <row r="51" spans="1:36" x14ac:dyDescent="0.3">
      <c r="A51" s="996"/>
      <c r="B51" s="991"/>
      <c r="C51" s="823">
        <f>SUBTOTAL(109,TabFIFO[Number])</f>
        <v>34400</v>
      </c>
      <c r="D51" s="573"/>
      <c r="E51" s="578">
        <f>SUBTOTAL(109,TabFIFO[Remaining])</f>
        <v>12000</v>
      </c>
      <c r="F51" s="257">
        <f>SUBTOTAL(109,TabFIFO[Profit/Loss])</f>
        <v>475538.56</v>
      </c>
      <c r="G51" s="257">
        <f ca="1">SUBTOTAL(109,TabFIFO[Income])</f>
        <v>2111045.9725999995</v>
      </c>
      <c r="H51" s="257">
        <f ca="1">SUBTOTAL(109,TabFIFO[Cost])</f>
        <v>-4089518.3943719994</v>
      </c>
      <c r="I51" s="257">
        <f ca="1">SUBTOTAL(109,TabFIFO[M-VALUE Now])</f>
        <v>2654183.9999999995</v>
      </c>
      <c r="K51" t="e">
        <f>K50-SIGN(TabFIFO[[#This Row],[Price]])*TabFIFO[[#This Row],[Number]]</f>
        <v>#VALUE!</v>
      </c>
      <c r="P51" s="16"/>
      <c r="R51" s="1206"/>
      <c r="S51" s="1206"/>
      <c r="T51" s="1206"/>
      <c r="U51">
        <f ca="1"/>
        <v>0</v>
      </c>
      <c r="V51">
        <f ca="1"/>
        <v>0</v>
      </c>
      <c r="W51">
        <f ca="1"/>
        <v>0</v>
      </c>
      <c r="X51">
        <f ca="1"/>
        <v>0</v>
      </c>
      <c r="Z51">
        <v>0</v>
      </c>
      <c r="AA51">
        <v>0</v>
      </c>
      <c r="AB51" s="719"/>
      <c r="AE51" s="719">
        <f t="shared" ca="1" si="8"/>
        <v>0</v>
      </c>
      <c r="AF51" s="1382">
        <f t="shared" ca="1" si="9"/>
        <v>0</v>
      </c>
      <c r="AG51" s="1401"/>
      <c r="AH51" s="1402"/>
      <c r="AI51" s="1405">
        <f t="shared" ca="1" si="10"/>
        <v>0</v>
      </c>
      <c r="AJ51" s="1406">
        <f t="shared" ca="1" si="11"/>
        <v>0</v>
      </c>
    </row>
    <row r="52" spans="1:36" x14ac:dyDescent="0.3">
      <c r="A52" s="122"/>
      <c r="B52" s="162"/>
      <c r="E52" s="574"/>
      <c r="F52">
        <v>0</v>
      </c>
      <c r="K52" t="e">
        <f>K51-SIGN(TabFIFO[[#This Row],[Price]])*TabFIFO[[#This Row],[Number]]</f>
        <v>#VALUE!</v>
      </c>
      <c r="P52" s="16"/>
      <c r="R52" s="1205"/>
      <c r="S52" s="1205"/>
      <c r="T52" s="1205"/>
      <c r="U52">
        <f ca="1"/>
        <v>0</v>
      </c>
      <c r="V52">
        <f ca="1"/>
        <v>0</v>
      </c>
      <c r="W52">
        <f ca="1"/>
        <v>0</v>
      </c>
      <c r="X52">
        <f ca="1"/>
        <v>0</v>
      </c>
      <c r="Z52">
        <v>0</v>
      </c>
      <c r="AA52">
        <v>0</v>
      </c>
      <c r="AB52" s="719"/>
      <c r="AE52" s="719">
        <f t="shared" ca="1" si="8"/>
        <v>0</v>
      </c>
      <c r="AF52" s="1382">
        <f t="shared" ca="1" si="9"/>
        <v>0</v>
      </c>
      <c r="AG52" s="1401"/>
      <c r="AH52" s="1402"/>
      <c r="AI52" s="1405">
        <f t="shared" ca="1" si="10"/>
        <v>0</v>
      </c>
      <c r="AJ52" s="1406">
        <f t="shared" ca="1" si="11"/>
        <v>0</v>
      </c>
    </row>
    <row r="53" spans="1:36" x14ac:dyDescent="0.3">
      <c r="A53" s="996"/>
      <c r="B53" s="991"/>
      <c r="F53">
        <v>0</v>
      </c>
      <c r="K53" t="e">
        <f>K52-SIGN(TabFIFO[[#This Row],[Price]])*TabFIFO[[#This Row],[Number]]</f>
        <v>#VALUE!</v>
      </c>
      <c r="P53" s="16"/>
      <c r="R53" s="816"/>
      <c r="S53" s="816"/>
      <c r="T53" s="816"/>
      <c r="U53">
        <f ca="1"/>
        <v>0</v>
      </c>
      <c r="V53">
        <f ca="1"/>
        <v>0</v>
      </c>
      <c r="W53">
        <f ca="1"/>
        <v>0</v>
      </c>
      <c r="X53">
        <f ca="1"/>
        <v>0</v>
      </c>
      <c r="Z53">
        <v>0</v>
      </c>
      <c r="AA53">
        <v>0</v>
      </c>
      <c r="AB53" s="719"/>
      <c r="AE53" s="719">
        <f t="shared" ca="1" si="8"/>
        <v>0</v>
      </c>
      <c r="AF53" s="1382">
        <f t="shared" ca="1" si="9"/>
        <v>0</v>
      </c>
      <c r="AG53" s="1401"/>
      <c r="AH53" s="1402"/>
      <c r="AI53" s="1405">
        <f t="shared" ca="1" si="10"/>
        <v>0</v>
      </c>
      <c r="AJ53" s="1406">
        <f t="shared" ca="1" si="11"/>
        <v>0</v>
      </c>
    </row>
    <row r="54" spans="1:36" x14ac:dyDescent="0.3">
      <c r="A54" s="122"/>
      <c r="B54" s="162"/>
      <c r="F54">
        <v>0</v>
      </c>
      <c r="K54" t="e">
        <f>K53-SIGN(TabFIFO[[#This Row],[Price]])*TabFIFO[[#This Row],[Number]]</f>
        <v>#VALUE!</v>
      </c>
      <c r="P54" s="16"/>
      <c r="R54" s="816"/>
      <c r="S54" s="816"/>
      <c r="T54" s="816"/>
      <c r="U54">
        <f ca="1"/>
        <v>0</v>
      </c>
      <c r="V54">
        <f ca="1"/>
        <v>0</v>
      </c>
      <c r="W54">
        <f ca="1"/>
        <v>0</v>
      </c>
      <c r="X54">
        <f ca="1"/>
        <v>0</v>
      </c>
      <c r="Z54">
        <v>0</v>
      </c>
      <c r="AA54">
        <v>0</v>
      </c>
      <c r="AB54" s="719"/>
      <c r="AE54" s="719">
        <f t="shared" ref="AE54:AE85" ca="1" si="12">AD54*ID_M</f>
        <v>0</v>
      </c>
      <c r="AF54" s="1382">
        <f t="shared" ca="1" si="9"/>
        <v>0</v>
      </c>
      <c r="AG54" s="1401"/>
      <c r="AH54" s="1402"/>
      <c r="AI54" s="1405">
        <f t="shared" ref="AI54:AI85" ca="1" si="13">AH54*ID_M</f>
        <v>0</v>
      </c>
      <c r="AJ54" s="1406">
        <f t="shared" ca="1" si="11"/>
        <v>0</v>
      </c>
    </row>
    <row r="55" spans="1:36" x14ac:dyDescent="0.3">
      <c r="A55" s="996"/>
      <c r="B55" s="991"/>
      <c r="F55">
        <v>0</v>
      </c>
      <c r="K55" t="e">
        <f>K54-SIGN(TabFIFO[[#This Row],[Price]])*TabFIFO[[#This Row],[Number]]</f>
        <v>#VALUE!</v>
      </c>
      <c r="P55" s="16"/>
      <c r="R55" s="816"/>
      <c r="S55" s="816"/>
      <c r="T55" s="816"/>
      <c r="U55">
        <f ca="1"/>
        <v>0</v>
      </c>
      <c r="V55">
        <f ca="1"/>
        <v>0</v>
      </c>
      <c r="W55">
        <f ca="1"/>
        <v>0</v>
      </c>
      <c r="X55">
        <f ca="1"/>
        <v>0</v>
      </c>
      <c r="Z55">
        <v>0</v>
      </c>
      <c r="AA55">
        <v>0</v>
      </c>
      <c r="AB55" s="719"/>
      <c r="AE55" s="719">
        <f t="shared" ca="1" si="12"/>
        <v>0</v>
      </c>
      <c r="AF55" s="1382">
        <f t="shared" ref="AF55:AF86" ca="1" si="14">AD55*(ID_M+AC55)</f>
        <v>0</v>
      </c>
      <c r="AG55" s="1401"/>
      <c r="AH55" s="1402"/>
      <c r="AI55" s="1405">
        <f t="shared" ca="1" si="13"/>
        <v>0</v>
      </c>
      <c r="AJ55" s="1406">
        <f t="shared" ref="AJ55:AJ86" ca="1" si="15">AG55*(ID_M-AH55)</f>
        <v>0</v>
      </c>
    </row>
    <row r="56" spans="1:36" x14ac:dyDescent="0.3">
      <c r="A56" s="122"/>
      <c r="B56" s="162"/>
      <c r="C56">
        <f>SUMIF(TabFIFO[Price],"&gt;0",TabFIFO[Number])</f>
        <v>11200</v>
      </c>
      <c r="D56" cm="1">
        <f t="array" ref="D56">COUNT(_xlfn._xlws.FILTER(TabFIFO[Price], TabFIFO[Price]&lt;0))</f>
        <v>19</v>
      </c>
      <c r="F56">
        <v>0</v>
      </c>
      <c r="H56" s="815"/>
      <c r="K56" t="e">
        <f>K55-SIGN(TabFIFO[[#This Row],[Price]])*TabFIFO[[#This Row],[Number]]</f>
        <v>#VALUE!</v>
      </c>
      <c r="P56" s="16"/>
      <c r="R56" s="816"/>
      <c r="S56" s="816"/>
      <c r="T56" s="816"/>
      <c r="U56">
        <f ca="1"/>
        <v>0</v>
      </c>
      <c r="V56">
        <f ca="1"/>
        <v>0</v>
      </c>
      <c r="W56">
        <f ca="1"/>
        <v>0</v>
      </c>
      <c r="X56">
        <f ca="1"/>
        <v>0</v>
      </c>
      <c r="Z56">
        <v>0</v>
      </c>
      <c r="AA56">
        <v>0</v>
      </c>
      <c r="AB56" s="719"/>
      <c r="AE56" s="719">
        <f t="shared" ca="1" si="12"/>
        <v>0</v>
      </c>
      <c r="AF56" s="1382">
        <f t="shared" ca="1" si="14"/>
        <v>0</v>
      </c>
      <c r="AG56" s="1401"/>
      <c r="AH56" s="1402"/>
      <c r="AI56" s="1405">
        <f t="shared" ca="1" si="13"/>
        <v>0</v>
      </c>
      <c r="AJ56" s="1406">
        <f t="shared" ca="1" si="15"/>
        <v>0</v>
      </c>
    </row>
    <row r="57" spans="1:36" x14ac:dyDescent="0.3">
      <c r="A57" s="996"/>
      <c r="B57" s="991"/>
      <c r="C57">
        <f>SUMIF(TabFIFO[Price],"&lt;0",TabFIFO[Number])</f>
        <v>23200</v>
      </c>
      <c r="F57">
        <v>0</v>
      </c>
      <c r="K57" t="e">
        <f>K56-SIGN(TabFIFO[[#This Row],[Price]])*TabFIFO[[#This Row],[Number]]</f>
        <v>#VALUE!</v>
      </c>
      <c r="P57" s="16"/>
      <c r="R57" s="816"/>
      <c r="S57" s="816"/>
      <c r="T57" s="816"/>
      <c r="U57">
        <f ca="1"/>
        <v>0</v>
      </c>
      <c r="V57">
        <f ca="1"/>
        <v>0</v>
      </c>
      <c r="W57">
        <f ca="1"/>
        <v>0</v>
      </c>
      <c r="X57">
        <f ca="1"/>
        <v>0</v>
      </c>
      <c r="Z57">
        <v>0</v>
      </c>
      <c r="AA57">
        <v>0</v>
      </c>
      <c r="AB57" s="719"/>
      <c r="AE57" s="719">
        <f t="shared" ca="1" si="12"/>
        <v>0</v>
      </c>
      <c r="AF57" s="1382">
        <f t="shared" ca="1" si="14"/>
        <v>0</v>
      </c>
      <c r="AG57" s="1401"/>
      <c r="AH57" s="1402"/>
      <c r="AI57" s="1405">
        <f t="shared" ca="1" si="13"/>
        <v>0</v>
      </c>
      <c r="AJ57" s="1406">
        <f t="shared" ca="1" si="15"/>
        <v>0</v>
      </c>
    </row>
    <row r="58" spans="1:36" x14ac:dyDescent="0.3">
      <c r="A58" s="122"/>
      <c r="B58" s="778"/>
      <c r="F58">
        <v>0</v>
      </c>
      <c r="K58" t="e">
        <f>K57-SIGN(TabFIFO[[#This Row],[Price]])*TabFIFO[[#This Row],[Number]]</f>
        <v>#VALUE!</v>
      </c>
      <c r="P58" s="16"/>
      <c r="R58" s="816"/>
      <c r="S58" s="816"/>
      <c r="T58" s="816"/>
      <c r="U58">
        <f ca="1"/>
        <v>0</v>
      </c>
      <c r="V58">
        <f ca="1"/>
        <v>0</v>
      </c>
      <c r="W58">
        <f ca="1"/>
        <v>0</v>
      </c>
      <c r="X58">
        <f ca="1"/>
        <v>0</v>
      </c>
      <c r="Z58">
        <v>0</v>
      </c>
      <c r="AA58">
        <v>0</v>
      </c>
      <c r="AB58" s="719"/>
      <c r="AE58" s="719">
        <f t="shared" ca="1" si="12"/>
        <v>0</v>
      </c>
      <c r="AF58" s="1382">
        <f t="shared" ca="1" si="14"/>
        <v>0</v>
      </c>
      <c r="AG58" s="1401"/>
      <c r="AH58" s="1402"/>
      <c r="AI58" s="1405">
        <f t="shared" ca="1" si="13"/>
        <v>0</v>
      </c>
      <c r="AJ58" s="1406">
        <f t="shared" ca="1" si="15"/>
        <v>0</v>
      </c>
    </row>
    <row r="59" spans="1:36" x14ac:dyDescent="0.3">
      <c r="A59" s="996"/>
      <c r="B59" s="778"/>
      <c r="F59">
        <v>0</v>
      </c>
      <c r="K59" t="e">
        <f>K58-SIGN(TabFIFO[[#This Row],[Price]])*TabFIFO[[#This Row],[Number]]</f>
        <v>#VALUE!</v>
      </c>
      <c r="P59" s="16"/>
      <c r="R59" s="816"/>
      <c r="S59" s="816"/>
      <c r="T59" s="816"/>
      <c r="U59">
        <f ca="1"/>
        <v>0</v>
      </c>
      <c r="V59">
        <f ca="1"/>
        <v>0</v>
      </c>
      <c r="W59">
        <f ca="1"/>
        <v>0</v>
      </c>
      <c r="X59">
        <f ca="1"/>
        <v>0</v>
      </c>
      <c r="Z59">
        <v>0</v>
      </c>
      <c r="AA59">
        <v>0</v>
      </c>
      <c r="AB59" s="719"/>
      <c r="AE59" s="719">
        <f t="shared" ca="1" si="12"/>
        <v>0</v>
      </c>
      <c r="AF59" s="1382">
        <f t="shared" ca="1" si="14"/>
        <v>0</v>
      </c>
      <c r="AG59" s="1401"/>
      <c r="AH59" s="1402"/>
      <c r="AI59" s="1405">
        <f t="shared" ca="1" si="13"/>
        <v>0</v>
      </c>
      <c r="AJ59" s="1406">
        <f t="shared" ca="1" si="15"/>
        <v>0</v>
      </c>
    </row>
    <row r="60" spans="1:36" x14ac:dyDescent="0.3">
      <c r="A60" s="122"/>
      <c r="B60" s="778"/>
      <c r="F60">
        <v>0</v>
      </c>
      <c r="K60" t="e">
        <f>K59-SIGN(TabFIFO[[#This Row],[Price]])*TabFIFO[[#This Row],[Number]]</f>
        <v>#VALUE!</v>
      </c>
      <c r="P60" s="16"/>
      <c r="R60" s="816"/>
      <c r="S60" s="816"/>
      <c r="T60" s="816"/>
      <c r="U60">
        <f ca="1"/>
        <v>0</v>
      </c>
      <c r="V60">
        <f ca="1"/>
        <v>0</v>
      </c>
      <c r="W60">
        <f ca="1"/>
        <v>0</v>
      </c>
      <c r="X60">
        <f ca="1"/>
        <v>0</v>
      </c>
      <c r="Z60">
        <v>0</v>
      </c>
      <c r="AA60">
        <v>0</v>
      </c>
      <c r="AB60" s="719"/>
      <c r="AE60" s="719">
        <f t="shared" ca="1" si="12"/>
        <v>0</v>
      </c>
      <c r="AF60" s="1382">
        <f t="shared" ca="1" si="14"/>
        <v>0</v>
      </c>
      <c r="AG60" s="1401"/>
      <c r="AH60" s="1402"/>
      <c r="AI60" s="1405">
        <f t="shared" ca="1" si="13"/>
        <v>0</v>
      </c>
      <c r="AJ60" s="1406">
        <f t="shared" ca="1" si="15"/>
        <v>0</v>
      </c>
    </row>
    <row r="61" spans="1:36" x14ac:dyDescent="0.3">
      <c r="A61" s="996"/>
      <c r="B61" s="778"/>
      <c r="F61">
        <v>0</v>
      </c>
      <c r="K61" t="e">
        <f>K60-SIGN(TabFIFO[[#This Row],[Price]])*TabFIFO[[#This Row],[Number]]</f>
        <v>#VALUE!</v>
      </c>
      <c r="P61" s="16"/>
      <c r="R61" s="816"/>
      <c r="S61" s="816"/>
      <c r="T61" s="816"/>
      <c r="U61">
        <f ca="1"/>
        <v>0</v>
      </c>
      <c r="V61">
        <f ca="1"/>
        <v>0</v>
      </c>
      <c r="W61">
        <f ca="1"/>
        <v>0</v>
      </c>
      <c r="X61">
        <f ca="1"/>
        <v>0</v>
      </c>
      <c r="Z61">
        <v>0</v>
      </c>
      <c r="AA61">
        <v>0</v>
      </c>
      <c r="AB61" s="719"/>
      <c r="AE61" s="719">
        <f t="shared" ca="1" si="12"/>
        <v>0</v>
      </c>
      <c r="AF61" s="1382">
        <f t="shared" ca="1" si="14"/>
        <v>0</v>
      </c>
      <c r="AG61" s="1401"/>
      <c r="AH61" s="1402"/>
      <c r="AI61" s="1405">
        <f t="shared" ca="1" si="13"/>
        <v>0</v>
      </c>
      <c r="AJ61" s="1406">
        <f t="shared" ca="1" si="15"/>
        <v>0</v>
      </c>
    </row>
    <row r="62" spans="1:36" x14ac:dyDescent="0.3">
      <c r="A62" s="122"/>
      <c r="B62" s="778"/>
      <c r="F62">
        <v>0</v>
      </c>
      <c r="K62" t="e">
        <f>K61-SIGN(TabFIFO[[#This Row],[Price]])*TabFIFO[[#This Row],[Number]]</f>
        <v>#VALUE!</v>
      </c>
      <c r="P62" s="16"/>
      <c r="R62" s="816"/>
      <c r="S62" s="816"/>
      <c r="T62" s="816"/>
      <c r="U62">
        <f ca="1"/>
        <v>0</v>
      </c>
      <c r="V62">
        <f ca="1"/>
        <v>0</v>
      </c>
      <c r="W62">
        <f ca="1"/>
        <v>0</v>
      </c>
      <c r="X62">
        <f ca="1"/>
        <v>0</v>
      </c>
      <c r="Z62">
        <v>0</v>
      </c>
      <c r="AA62">
        <v>0</v>
      </c>
      <c r="AB62" s="719"/>
      <c r="AE62" s="719">
        <f t="shared" ca="1" si="12"/>
        <v>0</v>
      </c>
      <c r="AF62" s="1382">
        <f t="shared" ca="1" si="14"/>
        <v>0</v>
      </c>
      <c r="AG62" s="1401"/>
      <c r="AH62" s="1402"/>
      <c r="AI62" s="1405">
        <f t="shared" ca="1" si="13"/>
        <v>0</v>
      </c>
      <c r="AJ62" s="1406">
        <f t="shared" ca="1" si="15"/>
        <v>0</v>
      </c>
    </row>
    <row r="63" spans="1:36" x14ac:dyDescent="0.3">
      <c r="A63" s="996"/>
      <c r="B63" s="778"/>
      <c r="F63">
        <v>0</v>
      </c>
      <c r="K63" t="e">
        <f>K62-SIGN(TabFIFO[[#This Row],[Price]])*TabFIFO[[#This Row],[Number]]</f>
        <v>#VALUE!</v>
      </c>
      <c r="P63" s="16"/>
      <c r="R63" s="816"/>
      <c r="S63" s="816"/>
      <c r="T63" s="816"/>
      <c r="U63">
        <f ca="1"/>
        <v>0</v>
      </c>
      <c r="V63">
        <f ca="1"/>
        <v>0</v>
      </c>
      <c r="W63">
        <f ca="1"/>
        <v>0</v>
      </c>
      <c r="X63">
        <f ca="1"/>
        <v>0</v>
      </c>
      <c r="Z63">
        <v>0</v>
      </c>
      <c r="AA63">
        <v>0</v>
      </c>
      <c r="AB63" s="719"/>
      <c r="AE63" s="719">
        <f t="shared" ca="1" si="12"/>
        <v>0</v>
      </c>
      <c r="AF63" s="1382">
        <f t="shared" ca="1" si="14"/>
        <v>0</v>
      </c>
      <c r="AG63" s="1401"/>
      <c r="AH63" s="1402"/>
      <c r="AI63" s="1405">
        <f t="shared" ca="1" si="13"/>
        <v>0</v>
      </c>
      <c r="AJ63" s="1406">
        <f t="shared" ca="1" si="15"/>
        <v>0</v>
      </c>
    </row>
    <row r="64" spans="1:36" x14ac:dyDescent="0.3">
      <c r="A64" s="122"/>
      <c r="B64" s="778"/>
      <c r="F64">
        <v>0</v>
      </c>
      <c r="K64" t="e">
        <f>K63-SIGN(TabFIFO[[#This Row],[Price]])*TabFIFO[[#This Row],[Number]]</f>
        <v>#VALUE!</v>
      </c>
      <c r="P64" s="16"/>
      <c r="R64" s="816"/>
      <c r="S64" s="816"/>
      <c r="T64" s="816"/>
      <c r="U64">
        <f ca="1"/>
        <v>0</v>
      </c>
      <c r="V64">
        <f ca="1"/>
        <v>0</v>
      </c>
      <c r="W64">
        <f ca="1"/>
        <v>0</v>
      </c>
      <c r="X64">
        <f ca="1"/>
        <v>0</v>
      </c>
      <c r="Z64">
        <v>0</v>
      </c>
      <c r="AA64">
        <v>0</v>
      </c>
      <c r="AB64" s="719"/>
      <c r="AE64" s="719">
        <f t="shared" ca="1" si="12"/>
        <v>0</v>
      </c>
      <c r="AF64" s="1382">
        <f t="shared" ca="1" si="14"/>
        <v>0</v>
      </c>
      <c r="AI64" s="719">
        <f t="shared" ca="1" si="13"/>
        <v>0</v>
      </c>
      <c r="AJ64" s="719">
        <f t="shared" ca="1" si="15"/>
        <v>0</v>
      </c>
    </row>
    <row r="65" spans="1:36" x14ac:dyDescent="0.3">
      <c r="A65" s="996"/>
      <c r="B65" s="778"/>
      <c r="F65">
        <v>0</v>
      </c>
      <c r="K65" t="e">
        <f>K64-SIGN(TabFIFO[[#This Row],[Price]])*TabFIFO[[#This Row],[Number]]</f>
        <v>#VALUE!</v>
      </c>
      <c r="P65" s="16"/>
      <c r="R65" s="816"/>
      <c r="S65" s="816"/>
      <c r="T65" s="816"/>
      <c r="U65">
        <f ca="1"/>
        <v>0</v>
      </c>
      <c r="V65">
        <f ca="1"/>
        <v>0</v>
      </c>
      <c r="W65">
        <f ca="1"/>
        <v>0</v>
      </c>
      <c r="X65">
        <f ca="1"/>
        <v>0</v>
      </c>
      <c r="Z65">
        <v>0</v>
      </c>
      <c r="AA65">
        <v>0</v>
      </c>
      <c r="AB65" s="719"/>
      <c r="AE65" s="719">
        <f t="shared" ca="1" si="12"/>
        <v>0</v>
      </c>
      <c r="AF65" s="1382">
        <f t="shared" ca="1" si="14"/>
        <v>0</v>
      </c>
      <c r="AI65" s="719">
        <f t="shared" ca="1" si="13"/>
        <v>0</v>
      </c>
      <c r="AJ65" s="719">
        <f t="shared" ca="1" si="15"/>
        <v>0</v>
      </c>
    </row>
    <row r="66" spans="1:36" x14ac:dyDescent="0.3">
      <c r="A66" s="122"/>
      <c r="B66" s="778"/>
      <c r="F66">
        <v>0</v>
      </c>
      <c r="K66" t="e">
        <f>K65-SIGN(TabFIFO[[#This Row],[Price]])*TabFIFO[[#This Row],[Number]]</f>
        <v>#VALUE!</v>
      </c>
      <c r="P66" s="16"/>
      <c r="R66" s="816"/>
      <c r="S66" s="816"/>
      <c r="T66" s="816"/>
      <c r="U66">
        <f ca="1"/>
        <v>0</v>
      </c>
      <c r="V66">
        <f ca="1"/>
        <v>0</v>
      </c>
      <c r="W66">
        <f ca="1"/>
        <v>0</v>
      </c>
      <c r="X66">
        <f ca="1"/>
        <v>0</v>
      </c>
      <c r="Z66">
        <v>0</v>
      </c>
      <c r="AA66">
        <v>0</v>
      </c>
      <c r="AB66" s="719"/>
      <c r="AE66" s="719">
        <f t="shared" ca="1" si="12"/>
        <v>0</v>
      </c>
      <c r="AF66" s="1382">
        <f t="shared" ca="1" si="14"/>
        <v>0</v>
      </c>
      <c r="AI66" s="719">
        <f t="shared" ca="1" si="13"/>
        <v>0</v>
      </c>
      <c r="AJ66" s="719">
        <f t="shared" ca="1" si="15"/>
        <v>0</v>
      </c>
    </row>
    <row r="67" spans="1:36" x14ac:dyDescent="0.3">
      <c r="A67" s="996"/>
      <c r="B67" s="778"/>
      <c r="K67" t="e">
        <f>K66-SIGN(TabFIFO[[#This Row],[Price]])*TabFIFO[[#This Row],[Number]]</f>
        <v>#VALUE!</v>
      </c>
      <c r="P67" s="16"/>
      <c r="R67" s="816"/>
      <c r="S67" s="816"/>
      <c r="T67" s="816"/>
      <c r="U67">
        <f ca="1"/>
        <v>0</v>
      </c>
      <c r="V67">
        <f ca="1"/>
        <v>0</v>
      </c>
      <c r="W67">
        <f ca="1"/>
        <v>0</v>
      </c>
      <c r="X67">
        <f ca="1"/>
        <v>0</v>
      </c>
      <c r="Z67">
        <v>0</v>
      </c>
      <c r="AA67">
        <v>0</v>
      </c>
      <c r="AB67" s="719"/>
      <c r="AE67" s="719">
        <f t="shared" ca="1" si="12"/>
        <v>0</v>
      </c>
      <c r="AF67" s="1382">
        <f t="shared" ca="1" si="14"/>
        <v>0</v>
      </c>
      <c r="AI67" s="719">
        <f t="shared" ca="1" si="13"/>
        <v>0</v>
      </c>
      <c r="AJ67" s="719">
        <f t="shared" ca="1" si="15"/>
        <v>0</v>
      </c>
    </row>
    <row r="68" spans="1:36" x14ac:dyDescent="0.3">
      <c r="A68" s="122"/>
      <c r="B68" s="778"/>
      <c r="K68" t="e">
        <f>K67-SIGN(TabFIFO[[#This Row],[Price]])*TabFIFO[[#This Row],[Number]]</f>
        <v>#VALUE!</v>
      </c>
      <c r="P68" s="16"/>
      <c r="R68" s="816"/>
      <c r="S68" s="816"/>
      <c r="T68" s="816"/>
      <c r="U68">
        <f ca="1"/>
        <v>0</v>
      </c>
      <c r="V68">
        <f ca="1"/>
        <v>0</v>
      </c>
      <c r="W68">
        <f ca="1"/>
        <v>0</v>
      </c>
      <c r="X68">
        <f ca="1"/>
        <v>0</v>
      </c>
      <c r="Z68">
        <v>0</v>
      </c>
      <c r="AA68">
        <v>0</v>
      </c>
      <c r="AB68" s="719"/>
      <c r="AE68" s="719">
        <f t="shared" ca="1" si="12"/>
        <v>0</v>
      </c>
      <c r="AF68" s="1382">
        <f t="shared" ca="1" si="14"/>
        <v>0</v>
      </c>
      <c r="AI68" s="719">
        <f t="shared" ca="1" si="13"/>
        <v>0</v>
      </c>
      <c r="AJ68" s="719">
        <f t="shared" ca="1" si="15"/>
        <v>0</v>
      </c>
    </row>
    <row r="69" spans="1:36" x14ac:dyDescent="0.3">
      <c r="A69" s="996"/>
      <c r="B69" s="778"/>
      <c r="K69" t="e">
        <f>K68-SIGN(TabFIFO[[#This Row],[Price]])*TabFIFO[[#This Row],[Number]]</f>
        <v>#VALUE!</v>
      </c>
      <c r="P69" s="16"/>
      <c r="R69" s="816"/>
      <c r="S69" s="816"/>
      <c r="T69" s="816"/>
      <c r="U69">
        <f ca="1"/>
        <v>0</v>
      </c>
      <c r="V69">
        <f ca="1"/>
        <v>0</v>
      </c>
      <c r="W69">
        <f ca="1"/>
        <v>0</v>
      </c>
      <c r="X69">
        <f ca="1"/>
        <v>0</v>
      </c>
      <c r="Z69">
        <v>0</v>
      </c>
      <c r="AA69">
        <v>0</v>
      </c>
      <c r="AB69" s="719"/>
      <c r="AE69" s="719">
        <f t="shared" ca="1" si="12"/>
        <v>0</v>
      </c>
      <c r="AF69" s="1382">
        <f t="shared" ca="1" si="14"/>
        <v>0</v>
      </c>
      <c r="AI69" s="719">
        <f t="shared" ca="1" si="13"/>
        <v>0</v>
      </c>
      <c r="AJ69" s="719">
        <f t="shared" ca="1" si="15"/>
        <v>0</v>
      </c>
    </row>
    <row r="70" spans="1:36" x14ac:dyDescent="0.3">
      <c r="A70" s="122"/>
      <c r="B70" s="778"/>
      <c r="K70" t="e">
        <f>K69-SIGN(TabFIFO[[#This Row],[Price]])*TabFIFO[[#This Row],[Number]]</f>
        <v>#VALUE!</v>
      </c>
      <c r="P70" s="16"/>
      <c r="R70" s="816"/>
      <c r="S70" s="816"/>
      <c r="T70" s="816"/>
      <c r="U70">
        <f ca="1"/>
        <v>0</v>
      </c>
      <c r="V70">
        <f ca="1"/>
        <v>0</v>
      </c>
      <c r="W70">
        <f ca="1"/>
        <v>0</v>
      </c>
      <c r="X70">
        <f ca="1"/>
        <v>0</v>
      </c>
      <c r="Z70">
        <v>0</v>
      </c>
      <c r="AA70">
        <v>0</v>
      </c>
      <c r="AB70" s="719"/>
      <c r="AE70" s="719">
        <f t="shared" ca="1" si="12"/>
        <v>0</v>
      </c>
      <c r="AF70" s="1382">
        <f t="shared" ca="1" si="14"/>
        <v>0</v>
      </c>
      <c r="AI70" s="719">
        <f t="shared" ca="1" si="13"/>
        <v>0</v>
      </c>
      <c r="AJ70" s="719">
        <f t="shared" ca="1" si="15"/>
        <v>0</v>
      </c>
    </row>
    <row r="71" spans="1:36" x14ac:dyDescent="0.3">
      <c r="A71" s="996"/>
      <c r="B71" s="778"/>
      <c r="K71" t="e">
        <f>K70-SIGN(TabFIFO[[#This Row],[Price]])*TabFIFO[[#This Row],[Number]]</f>
        <v>#VALUE!</v>
      </c>
      <c r="P71" s="16"/>
      <c r="R71" s="816"/>
      <c r="S71" s="816"/>
      <c r="T71" s="816"/>
      <c r="U71">
        <f ca="1"/>
        <v>0</v>
      </c>
      <c r="V71">
        <f ca="1"/>
        <v>0</v>
      </c>
      <c r="W71">
        <f ca="1"/>
        <v>0</v>
      </c>
      <c r="X71">
        <f ca="1"/>
        <v>0</v>
      </c>
      <c r="Z71">
        <v>0</v>
      </c>
      <c r="AA71">
        <v>0</v>
      </c>
      <c r="AB71" s="719"/>
      <c r="AE71" s="719">
        <f t="shared" ca="1" si="12"/>
        <v>0</v>
      </c>
      <c r="AF71" s="1382">
        <f t="shared" ca="1" si="14"/>
        <v>0</v>
      </c>
      <c r="AI71" s="719">
        <f t="shared" ca="1" si="13"/>
        <v>0</v>
      </c>
      <c r="AJ71" s="719">
        <f t="shared" ca="1" si="15"/>
        <v>0</v>
      </c>
    </row>
    <row r="72" spans="1:36" x14ac:dyDescent="0.3">
      <c r="A72" s="122"/>
      <c r="B72" s="778"/>
      <c r="K72" t="e">
        <f>K71-SIGN(TabFIFO[[#This Row],[Price]])*TabFIFO[[#This Row],[Number]]</f>
        <v>#VALUE!</v>
      </c>
      <c r="P72" s="16"/>
      <c r="R72" s="816"/>
      <c r="S72" s="816"/>
      <c r="T72" s="816"/>
      <c r="U72">
        <f ca="1"/>
        <v>0</v>
      </c>
      <c r="V72">
        <f ca="1"/>
        <v>0</v>
      </c>
      <c r="W72">
        <f ca="1"/>
        <v>0</v>
      </c>
      <c r="X72">
        <f ca="1"/>
        <v>0</v>
      </c>
      <c r="Z72">
        <v>0</v>
      </c>
      <c r="AA72">
        <v>0</v>
      </c>
      <c r="AB72" s="719"/>
      <c r="AE72" s="719">
        <f t="shared" ca="1" si="12"/>
        <v>0</v>
      </c>
      <c r="AF72" s="1382">
        <f t="shared" ca="1" si="14"/>
        <v>0</v>
      </c>
      <c r="AI72" s="719">
        <f t="shared" ca="1" si="13"/>
        <v>0</v>
      </c>
      <c r="AJ72" s="719">
        <f t="shared" ca="1" si="15"/>
        <v>0</v>
      </c>
    </row>
    <row r="73" spans="1:36" x14ac:dyDescent="0.3">
      <c r="A73" s="996"/>
      <c r="B73" s="778"/>
      <c r="K73" t="e">
        <f>K72-SIGN(TabFIFO[[#This Row],[Price]])*TabFIFO[[#This Row],[Number]]</f>
        <v>#VALUE!</v>
      </c>
      <c r="P73" s="16"/>
      <c r="R73" s="816"/>
      <c r="S73" s="816"/>
      <c r="T73" s="816"/>
      <c r="U73">
        <f ca="1"/>
        <v>0</v>
      </c>
      <c r="V73">
        <f ca="1"/>
        <v>0</v>
      </c>
      <c r="W73">
        <f ca="1"/>
        <v>0</v>
      </c>
      <c r="X73">
        <f ca="1"/>
        <v>0</v>
      </c>
      <c r="Z73">
        <v>0</v>
      </c>
      <c r="AA73">
        <v>0</v>
      </c>
      <c r="AB73" s="719"/>
      <c r="AE73" s="719">
        <f t="shared" ca="1" si="12"/>
        <v>0</v>
      </c>
      <c r="AF73" s="1382">
        <f t="shared" ca="1" si="14"/>
        <v>0</v>
      </c>
      <c r="AI73" s="719">
        <f t="shared" ca="1" si="13"/>
        <v>0</v>
      </c>
      <c r="AJ73" s="719">
        <f t="shared" ca="1" si="15"/>
        <v>0</v>
      </c>
    </row>
    <row r="74" spans="1:36" x14ac:dyDescent="0.3">
      <c r="A74" s="122"/>
      <c r="B74" s="778"/>
      <c r="K74" t="e">
        <f>K73-SIGN(TabFIFO[[#This Row],[Price]])*TabFIFO[[#This Row],[Number]]</f>
        <v>#VALUE!</v>
      </c>
      <c r="P74" s="16"/>
      <c r="R74" s="816"/>
      <c r="S74" s="816"/>
      <c r="T74" s="816"/>
      <c r="U74">
        <f ca="1"/>
        <v>0</v>
      </c>
      <c r="V74">
        <f ca="1"/>
        <v>0</v>
      </c>
      <c r="W74">
        <f ca="1"/>
        <v>0</v>
      </c>
      <c r="X74">
        <f ca="1"/>
        <v>0</v>
      </c>
      <c r="Z74">
        <v>0</v>
      </c>
      <c r="AA74">
        <v>0</v>
      </c>
      <c r="AB74" s="719"/>
      <c r="AE74" s="719">
        <f t="shared" ca="1" si="12"/>
        <v>0</v>
      </c>
      <c r="AF74" s="1382">
        <f t="shared" ca="1" si="14"/>
        <v>0</v>
      </c>
      <c r="AI74" s="719">
        <f t="shared" ca="1" si="13"/>
        <v>0</v>
      </c>
      <c r="AJ74" s="719">
        <f t="shared" ca="1" si="15"/>
        <v>0</v>
      </c>
    </row>
    <row r="75" spans="1:36" x14ac:dyDescent="0.3">
      <c r="A75" s="996"/>
      <c r="B75" s="778"/>
      <c r="K75" t="e">
        <f>K74-SIGN(TabFIFO[[#This Row],[Price]])*TabFIFO[[#This Row],[Number]]</f>
        <v>#VALUE!</v>
      </c>
      <c r="P75" s="16"/>
      <c r="R75" s="816"/>
      <c r="S75" s="816"/>
      <c r="T75" s="816"/>
      <c r="U75">
        <f ca="1"/>
        <v>0</v>
      </c>
      <c r="V75">
        <f ca="1"/>
        <v>0</v>
      </c>
      <c r="W75">
        <f ca="1"/>
        <v>0</v>
      </c>
      <c r="X75">
        <f ca="1"/>
        <v>0</v>
      </c>
      <c r="Z75">
        <v>0</v>
      </c>
      <c r="AA75">
        <v>0</v>
      </c>
      <c r="AB75" s="719"/>
      <c r="AE75" s="719">
        <f t="shared" ca="1" si="12"/>
        <v>0</v>
      </c>
      <c r="AF75" s="1382">
        <f t="shared" ca="1" si="14"/>
        <v>0</v>
      </c>
      <c r="AI75" s="719">
        <f t="shared" ca="1" si="13"/>
        <v>0</v>
      </c>
      <c r="AJ75" s="719">
        <f t="shared" ca="1" si="15"/>
        <v>0</v>
      </c>
    </row>
    <row r="76" spans="1:36" x14ac:dyDescent="0.3">
      <c r="K76" s="815"/>
      <c r="P76" s="16"/>
      <c r="R76" s="816"/>
      <c r="S76" s="816"/>
      <c r="T76" s="816"/>
      <c r="U76">
        <f ca="1"/>
        <v>0</v>
      </c>
      <c r="V76">
        <f ca="1"/>
        <v>0</v>
      </c>
      <c r="W76">
        <f ca="1"/>
        <v>0</v>
      </c>
      <c r="X76">
        <f ca="1"/>
        <v>0</v>
      </c>
      <c r="Z76">
        <v>0</v>
      </c>
      <c r="AA76">
        <v>0</v>
      </c>
      <c r="AB76" s="719"/>
      <c r="AE76" s="719">
        <f t="shared" ca="1" si="12"/>
        <v>0</v>
      </c>
      <c r="AF76" s="1382">
        <f t="shared" ca="1" si="14"/>
        <v>0</v>
      </c>
      <c r="AI76" s="719">
        <f t="shared" ca="1" si="13"/>
        <v>0</v>
      </c>
      <c r="AJ76" s="719">
        <f t="shared" ca="1" si="15"/>
        <v>0</v>
      </c>
    </row>
    <row r="77" spans="1:36" x14ac:dyDescent="0.3">
      <c r="K77" s="815"/>
      <c r="P77" s="16"/>
      <c r="R77" s="816"/>
      <c r="S77" s="816"/>
      <c r="T77" s="816"/>
      <c r="U77">
        <f ca="1"/>
        <v>0</v>
      </c>
      <c r="V77">
        <f ca="1"/>
        <v>0</v>
      </c>
      <c r="W77">
        <f ca="1"/>
        <v>0</v>
      </c>
      <c r="X77">
        <f ca="1"/>
        <v>0</v>
      </c>
      <c r="Z77">
        <v>0</v>
      </c>
      <c r="AA77">
        <v>0</v>
      </c>
      <c r="AB77" s="719"/>
      <c r="AE77" s="719">
        <f t="shared" ca="1" si="12"/>
        <v>0</v>
      </c>
      <c r="AF77" s="1382">
        <f t="shared" ca="1" si="14"/>
        <v>0</v>
      </c>
      <c r="AI77" s="719">
        <f t="shared" ca="1" si="13"/>
        <v>0</v>
      </c>
      <c r="AJ77" s="719">
        <f t="shared" ca="1" si="15"/>
        <v>0</v>
      </c>
    </row>
    <row r="78" spans="1:36" x14ac:dyDescent="0.3">
      <c r="K78" s="815"/>
      <c r="P78" s="16"/>
      <c r="R78" s="816"/>
      <c r="S78" s="816"/>
      <c r="T78" s="816"/>
      <c r="U78">
        <f ca="1"/>
        <v>0</v>
      </c>
      <c r="V78">
        <f ca="1"/>
        <v>0</v>
      </c>
      <c r="W78">
        <f ca="1"/>
        <v>0</v>
      </c>
      <c r="X78">
        <f ca="1"/>
        <v>0</v>
      </c>
      <c r="Z78">
        <v>0</v>
      </c>
      <c r="AA78">
        <v>0</v>
      </c>
      <c r="AB78" s="719"/>
      <c r="AE78" s="719">
        <f t="shared" ca="1" si="12"/>
        <v>0</v>
      </c>
      <c r="AF78" s="1382">
        <f t="shared" ca="1" si="14"/>
        <v>0</v>
      </c>
      <c r="AI78" s="719">
        <f t="shared" ca="1" si="13"/>
        <v>0</v>
      </c>
      <c r="AJ78" s="719">
        <f t="shared" ca="1" si="15"/>
        <v>0</v>
      </c>
    </row>
    <row r="79" spans="1:36" x14ac:dyDescent="0.3">
      <c r="K79" s="815"/>
      <c r="P79" s="16"/>
      <c r="R79" s="816"/>
      <c r="S79" s="816"/>
      <c r="T79" s="816"/>
      <c r="U79">
        <f ca="1"/>
        <v>0</v>
      </c>
      <c r="V79">
        <f ca="1"/>
        <v>0</v>
      </c>
      <c r="W79">
        <f ca="1"/>
        <v>0</v>
      </c>
      <c r="X79">
        <f ca="1"/>
        <v>0</v>
      </c>
      <c r="Z79">
        <v>0</v>
      </c>
      <c r="AA79">
        <v>0</v>
      </c>
      <c r="AB79" s="719"/>
      <c r="AE79" s="719">
        <f t="shared" ca="1" si="12"/>
        <v>0</v>
      </c>
      <c r="AF79" s="1382">
        <f t="shared" ca="1" si="14"/>
        <v>0</v>
      </c>
      <c r="AI79" s="719">
        <f t="shared" ca="1" si="13"/>
        <v>0</v>
      </c>
      <c r="AJ79" s="719">
        <f t="shared" ca="1" si="15"/>
        <v>0</v>
      </c>
    </row>
    <row r="80" spans="1:36" x14ac:dyDescent="0.3">
      <c r="K80" s="815"/>
      <c r="P80" s="16"/>
      <c r="R80" s="816"/>
      <c r="S80" s="816"/>
      <c r="T80" s="816"/>
      <c r="U80">
        <f ca="1"/>
        <v>0</v>
      </c>
      <c r="V80">
        <f ca="1"/>
        <v>0</v>
      </c>
      <c r="W80">
        <f ca="1"/>
        <v>0</v>
      </c>
      <c r="X80">
        <f ca="1"/>
        <v>0</v>
      </c>
      <c r="Z80">
        <v>0</v>
      </c>
      <c r="AA80">
        <v>0</v>
      </c>
      <c r="AB80" s="719"/>
      <c r="AE80" s="719">
        <f t="shared" ca="1" si="12"/>
        <v>0</v>
      </c>
      <c r="AF80" s="1382">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382">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382">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382">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382">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382">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382">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382">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382">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382">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382">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382">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382">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382">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382">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382">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382">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382">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382">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382">
        <f t="shared" ca="1" si="18"/>
        <v>0</v>
      </c>
      <c r="AI99" s="719">
        <f t="shared" ca="1" si="17"/>
        <v>0</v>
      </c>
      <c r="AJ99" s="719">
        <f t="shared" ca="1" si="19"/>
        <v>0</v>
      </c>
    </row>
    <row r="100" spans="16:36" ht="23" thickTop="1" x14ac:dyDescent="0.3">
      <c r="AF100" s="1383"/>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row r="133" spans="3:4" x14ac:dyDescent="0.3">
      <c r="C133" s="88"/>
      <c r="D133" s="82"/>
    </row>
    <row r="134" spans="3:4" x14ac:dyDescent="0.3">
      <c r="C134" s="88"/>
      <c r="D134" s="82"/>
    </row>
    <row r="135" spans="3:4" x14ac:dyDescent="0.3">
      <c r="C135" s="88"/>
      <c r="D135" s="82"/>
    </row>
    <row r="136" spans="3:4" x14ac:dyDescent="0.3">
      <c r="C136" s="88"/>
      <c r="D136" s="82"/>
    </row>
  </sheetData>
  <autoFilter ref="L3:M24" xr:uid="{EF59AA03-5DFB-5944-9EED-C02761F17A18}"/>
  <mergeCells count="2">
    <mergeCell ref="L1:O1"/>
    <mergeCell ref="AC16:AC17"/>
  </mergeCells>
  <phoneticPr fontId="48" type="noConversion"/>
  <conditionalFormatting sqref="C15">
    <cfRule type="cellIs" dxfId="729" priority="38" operator="greaterThan">
      <formula>0</formula>
    </cfRule>
    <cfRule type="cellIs" dxfId="728" priority="39" operator="lessThan">
      <formula>0</formula>
    </cfRule>
  </conditionalFormatting>
  <conditionalFormatting sqref="H16:J16">
    <cfRule type="expression" dxfId="727" priority="15">
      <formula>$I$16&gt;$I$15</formula>
    </cfRule>
    <cfRule type="cellIs" dxfId="726" priority="36" operator="greaterThan">
      <formula>0</formula>
    </cfRule>
    <cfRule type="cellIs" dxfId="725" priority="37" operator="lessThan">
      <formula>0</formula>
    </cfRule>
  </conditionalFormatting>
  <conditionalFormatting sqref="C16">
    <cfRule type="cellIs" dxfId="724" priority="35" operator="lessThan">
      <formula>"-"</formula>
    </cfRule>
  </conditionalFormatting>
  <conditionalFormatting sqref="A8">
    <cfRule type="cellIs" dxfId="723" priority="16" operator="lessThan">
      <formula>0</formula>
    </cfRule>
    <cfRule type="cellIs" dxfId="722" priority="17" operator="greaterThan">
      <formula>0</formula>
    </cfRule>
  </conditionalFormatting>
  <conditionalFormatting sqref="A6">
    <cfRule type="expression" dxfId="721" priority="1834">
      <formula>AND($A$6&gt;0,$A$6&lt;$E$19)</formula>
    </cfRule>
    <cfRule type="containsText" dxfId="720" priority="1835" operator="containsText" text="n/a">
      <formula>NOT(ISERROR(SEARCH("n/a",A6)))</formula>
    </cfRule>
  </conditionalFormatting>
  <conditionalFormatting sqref="D17:D18">
    <cfRule type="expression" dxfId="719" priority="10">
      <formula>$D$16&gt;0</formula>
    </cfRule>
  </conditionalFormatting>
  <conditionalFormatting sqref="C9:C11 F9:F11">
    <cfRule type="cellIs" dxfId="718" priority="8" operator="lessThan">
      <formula>0.5</formula>
    </cfRule>
    <cfRule type="cellIs" dxfId="717" priority="12" stopIfTrue="1" operator="greaterThan">
      <formula>0.5</formula>
    </cfRule>
  </conditionalFormatting>
  <conditionalFormatting sqref="U20:U99">
    <cfRule type="cellIs" dxfId="716" priority="6" operator="equal">
      <formula>$K$5</formula>
    </cfRule>
    <cfRule type="cellIs" dxfId="715" priority="7" operator="equal">
      <formula>$Q$21</formula>
    </cfRule>
  </conditionalFormatting>
  <conditionalFormatting sqref="AB19:AC19">
    <cfRule type="expression" dxfId="714"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Z193"/>
  <sheetViews>
    <sheetView showZeros="0" topLeftCell="Z1" zoomScale="70" zoomScaleNormal="70" workbookViewId="0">
      <selection activeCell="Z6" sqref="Z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7" style="666" customWidth="1"/>
    <col min="29" max="29" width="14" bestFit="1" customWidth="1"/>
    <col min="30" max="30" width="12.75" bestFit="1" customWidth="1"/>
    <col min="31" max="31" width="20" customWidth="1"/>
    <col min="32" max="32" width="16.25" style="1" bestFit="1" customWidth="1"/>
    <col min="33" max="33" width="14.5" style="1" bestFit="1" customWidth="1"/>
    <col min="34" max="34" width="16" bestFit="1" customWidth="1"/>
    <col min="35" max="35" width="13.375" bestFit="1" customWidth="1"/>
    <col min="36" max="36" width="16.875" bestFit="1" customWidth="1"/>
    <col min="37" max="37" width="18.125" bestFit="1" customWidth="1"/>
    <col min="38" max="38" width="15.75" customWidth="1"/>
    <col min="39" max="39" width="15" bestFit="1" customWidth="1"/>
    <col min="40" max="40" width="22" bestFit="1" customWidth="1"/>
    <col min="41" max="41" width="24.125" bestFit="1" customWidth="1"/>
    <col min="42" max="42" width="19.375" bestFit="1" customWidth="1"/>
    <col min="43" max="43" width="11.25" bestFit="1" customWidth="1"/>
    <col min="44" max="44" width="12.75" bestFit="1" customWidth="1"/>
    <col min="45" max="45" width="18.125" customWidth="1"/>
    <col min="46" max="46" width="10.625" bestFit="1" customWidth="1"/>
    <col min="47" max="47" width="12.625" bestFit="1" customWidth="1"/>
    <col min="48" max="48" width="9.375" bestFit="1" customWidth="1"/>
    <col min="49" max="50" width="10.5" customWidth="1"/>
    <col min="51" max="51" width="14.875" customWidth="1"/>
    <col min="52" max="52" width="10" customWidth="1"/>
    <col min="53" max="53" width="8.5" customWidth="1"/>
    <col min="54" max="54" width="12.25" customWidth="1"/>
    <col min="55" max="55" width="23.375" customWidth="1"/>
    <col min="56" max="56" width="16.875" customWidth="1"/>
    <col min="57" max="57" width="11.5" customWidth="1"/>
    <col min="58" max="58" width="8.625" style="93" customWidth="1"/>
    <col min="59" max="59" width="8.875" customWidth="1"/>
    <col min="61" max="61" width="11.875" style="409" bestFit="1" customWidth="1"/>
    <col min="62" max="62" width="8.125" bestFit="1" customWidth="1"/>
    <col min="63" max="63" width="13.375" bestFit="1" customWidth="1"/>
    <col min="64" max="64" width="9.625" customWidth="1"/>
    <col min="65" max="65" width="19.875" bestFit="1" customWidth="1"/>
    <col min="66" max="66" width="18.625" bestFit="1" customWidth="1"/>
    <col min="70" max="70" width="10.25" bestFit="1" customWidth="1"/>
  </cols>
  <sheetData>
    <row r="1" spans="1:78"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94" t="s">
        <v>2193</v>
      </c>
      <c r="Q1" s="1495"/>
      <c r="R1" s="1495"/>
      <c r="S1" s="1496"/>
      <c r="T1" s="784" t="s">
        <v>183</v>
      </c>
      <c r="U1" s="696" t="s">
        <v>2637</v>
      </c>
      <c r="V1" s="1352" t="s">
        <v>2078</v>
      </c>
      <c r="W1" s="1386" t="s">
        <v>2087</v>
      </c>
      <c r="X1" s="1385" t="s">
        <v>1889</v>
      </c>
      <c r="Y1" s="783" t="s">
        <v>682</v>
      </c>
      <c r="Z1" s="834" t="s">
        <v>2235</v>
      </c>
      <c r="AA1" s="1002" t="s">
        <v>2475</v>
      </c>
      <c r="AB1" s="826" t="s">
        <v>2281</v>
      </c>
      <c r="AF1" s="1436" t="s">
        <v>2798</v>
      </c>
      <c r="AG1" s="1524" t="s">
        <v>2820</v>
      </c>
      <c r="AH1" s="1503"/>
      <c r="AI1" s="1503"/>
      <c r="AJ1" s="1503"/>
      <c r="AK1" s="1504"/>
      <c r="AL1" s="1525" t="s">
        <v>2812</v>
      </c>
      <c r="AM1" s="1526"/>
      <c r="AN1" s="1526"/>
      <c r="AO1" s="1526"/>
      <c r="AP1" s="1526"/>
      <c r="AQ1" s="1157"/>
      <c r="AR1" s="1157"/>
      <c r="AS1" s="1157"/>
      <c r="AT1" s="1157"/>
      <c r="AU1" s="1497" t="s">
        <v>2532</v>
      </c>
      <c r="AV1" s="1497"/>
      <c r="AW1" s="940"/>
      <c r="AX1" s="940"/>
      <c r="AY1" s="1498" t="s">
        <v>2323</v>
      </c>
      <c r="AZ1" s="1499"/>
      <c r="BA1" s="1500" t="s">
        <v>2229</v>
      </c>
      <c r="BB1" s="1500"/>
      <c r="BC1" s="800" t="s">
        <v>2227</v>
      </c>
      <c r="BD1" s="1501" t="s">
        <v>2511</v>
      </c>
      <c r="BE1" s="1502"/>
      <c r="BF1" s="1502"/>
      <c r="BG1" s="1491" t="s">
        <v>2194</v>
      </c>
      <c r="BH1" s="1492"/>
      <c r="BI1" s="1492"/>
      <c r="BJ1" s="1493"/>
      <c r="BK1" s="694" t="s">
        <v>2098</v>
      </c>
      <c r="BL1" s="799" t="s">
        <v>1917</v>
      </c>
      <c r="BM1" s="754"/>
      <c r="BN1" s="754"/>
    </row>
    <row r="2" spans="1:78" ht="57" thickBot="1" x14ac:dyDescent="0.4">
      <c r="A2" s="224" t="s">
        <v>547</v>
      </c>
      <c r="B2" s="197" t="s">
        <v>1876</v>
      </c>
      <c r="C2" s="492" t="s">
        <v>1688</v>
      </c>
      <c r="D2" s="349" t="s">
        <v>2077</v>
      </c>
      <c r="E2" s="862"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27" t="s">
        <v>2403</v>
      </c>
      <c r="T2" s="781" t="s">
        <v>544</v>
      </c>
      <c r="U2" s="748" t="s">
        <v>2282</v>
      </c>
      <c r="V2" s="772" t="s">
        <v>1114</v>
      </c>
      <c r="W2" s="1005" t="s">
        <v>677</v>
      </c>
      <c r="X2" s="1315" t="s">
        <v>2132</v>
      </c>
      <c r="Y2" s="801" t="s">
        <v>2198</v>
      </c>
      <c r="Z2" s="817" t="s">
        <v>2234</v>
      </c>
      <c r="AA2" s="833" t="s">
        <v>1579</v>
      </c>
      <c r="AB2" s="827" t="s">
        <v>2280</v>
      </c>
      <c r="AC2" s="1055" t="s">
        <v>1607</v>
      </c>
      <c r="AD2" s="1055" t="s">
        <v>1616</v>
      </c>
      <c r="AE2" s="746" t="s">
        <v>2533</v>
      </c>
      <c r="AF2" s="1449" t="s">
        <v>2796</v>
      </c>
      <c r="AG2" s="1453" t="s">
        <v>2813</v>
      </c>
      <c r="AH2" s="1454" t="s">
        <v>1853</v>
      </c>
      <c r="AI2" s="1454" t="s">
        <v>2817</v>
      </c>
      <c r="AJ2" s="1458" t="s">
        <v>2816</v>
      </c>
      <c r="AK2" s="1458" t="s">
        <v>2815</v>
      </c>
      <c r="AL2" s="1463" t="s">
        <v>2814</v>
      </c>
      <c r="AM2" s="1463" t="s">
        <v>2797</v>
      </c>
      <c r="AN2" s="1463" t="s">
        <v>2803</v>
      </c>
      <c r="AO2" s="1464" t="s">
        <v>2819</v>
      </c>
      <c r="AP2" s="1463" t="s">
        <v>2818</v>
      </c>
      <c r="AQ2" s="1462" t="s">
        <v>2727</v>
      </c>
      <c r="AR2" s="759" t="s">
        <v>2728</v>
      </c>
      <c r="AS2" s="759" t="s">
        <v>2415</v>
      </c>
      <c r="AT2" s="947" t="s">
        <v>2411</v>
      </c>
      <c r="AU2" s="947" t="s">
        <v>2412</v>
      </c>
      <c r="AV2" s="1271" t="s">
        <v>2577</v>
      </c>
      <c r="AW2" s="1269" t="s">
        <v>2795</v>
      </c>
      <c r="AX2" s="805" t="s">
        <v>2413</v>
      </c>
      <c r="AY2" s="805" t="s">
        <v>2414</v>
      </c>
      <c r="AZ2" s="833" t="s">
        <v>2232</v>
      </c>
      <c r="BA2" s="833" t="s">
        <v>2233</v>
      </c>
      <c r="BB2" s="759" t="s">
        <v>2197</v>
      </c>
      <c r="BC2" s="735" t="s">
        <v>2144</v>
      </c>
      <c r="BD2" s="806" t="s">
        <v>2142</v>
      </c>
      <c r="BE2" s="713" t="s">
        <v>2102</v>
      </c>
      <c r="BF2" s="662" t="s">
        <v>1446</v>
      </c>
      <c r="BG2" s="727" t="s">
        <v>1686</v>
      </c>
      <c r="BH2" s="663" t="s">
        <v>1879</v>
      </c>
      <c r="BI2" s="926" t="s">
        <v>2402</v>
      </c>
      <c r="BJ2" s="695" t="s">
        <v>2079</v>
      </c>
      <c r="BK2" s="637" t="s">
        <v>1878</v>
      </c>
      <c r="BL2" s="637" t="s">
        <v>2214</v>
      </c>
      <c r="BM2" s="689" t="s">
        <v>2086</v>
      </c>
      <c r="BN2" s="689" t="s">
        <v>2131</v>
      </c>
      <c r="BO2" s="668" t="s">
        <v>1885</v>
      </c>
      <c r="BP2" s="1" t="s">
        <v>1881</v>
      </c>
      <c r="BQ2" s="758" t="s">
        <v>2141</v>
      </c>
      <c r="BR2" s="901" t="s">
        <v>2685</v>
      </c>
      <c r="BS2" s="678" t="s">
        <v>2212</v>
      </c>
      <c r="BT2" s="678" t="s">
        <v>2324</v>
      </c>
      <c r="BU2" s="753" t="s">
        <v>2325</v>
      </c>
      <c r="BV2" s="1263" t="s">
        <v>2080</v>
      </c>
      <c r="BW2" s="678" t="s">
        <v>2084</v>
      </c>
      <c r="BX2" s="678" t="s">
        <v>2085</v>
      </c>
      <c r="BY2" s="1261" t="s">
        <v>2686</v>
      </c>
    </row>
    <row r="3" spans="1:78"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+4,302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8.0%</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500,000</v>
      </c>
      <c r="F3" s="226" t="str">
        <f ca="1">TRUNC(TabCalc[[#This Row],[L_B1p]],2)&amp;"x"&amp;TabCalc[[#This Row],[L_B1n]]&amp;"=   "&amp;TEXT(TabCalc[[#This Row],[ReverseS1]],"#,#0")&amp;"$"</f>
        <v>-200.7x300=   20,799$</v>
      </c>
      <c r="G3" s="225" t="str">
        <f ca="1">IFERROR(TRUNC(_xlfn.XLOOKUP(Tab_NewTRADER[[#This Row],[ClickTick]],TabCalc[Ticker],ListLastSalep),2)&amp;"x"&amp;_xlfn.XLOOKUP(Tab_NewTRADER[[#This Row],[ClickTick]],TabCalc[Ticker],ListLastSalen)&amp;"=   "&amp;TEXT(-_xlfn.XLOOKUP(Tab_NewTRADER[[#This Row],[ClickTick]],TabCalc[Ticker],ListReverseB),"#,#0")&amp;"$","")</f>
        <v>270.04x500=   -5$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500,000</v>
      </c>
      <c r="I3" s="226" t="str">
        <f ca="1">IFERROR(TRUNC(TabCalc[[#This Row],[L_S1p]],2)&amp;"x"&amp;TabCalc[[#This Row],[L_S1n]]&amp;"=   "&amp;TEXT(TabCalc[[#This Row],[ReverseB1]],"#,#0"),"")</f>
        <v>263.58x500=   -3,225</v>
      </c>
      <c r="J3" s="295">
        <f ca="1">_xlfn.XLOOKUP(Tab_NewTRADER[[#This Row],[ClickTick]],TabCalc[Ticker],ListGravity)</f>
        <v>1.0237046624449135</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1215134.9999999998</v>
      </c>
      <c r="M3" s="323">
        <f ca="1">_xlfn.XLOOKUP(Tab_NewTRADER[[#This Row],[ClickTick]],TabCalc[Ticker],TabCalc[Agiotage])</f>
        <v>0.30565067320598954</v>
      </c>
      <c r="N3" s="324" cm="1">
        <f t="array" aca="1" ref="N3" ca="1">_xlfn.XLOOKUP(Tab_NewTRADER[[#This Row],[ClickTick]],ListTickers,Tab2RSIConventional[RSIConv20])</f>
        <v>59</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8.6552390149685993E-2</v>
      </c>
      <c r="S3" s="683">
        <f ca="1">_xlfn.XLOOKUP(Tab_NewTRADER[[#This Row],[ClickTick]],TabCalc[Ticker],TabCalc[Rev(MinStock)])*(1-Commission)</f>
        <v>4290.8147999999928</v>
      </c>
      <c r="T3" s="782">
        <f ca="1">_xlfn.XLOOKUP(Tab_NewTRADER[[#This Row],[ClickTick]],TabCalc[Ticker],TabCalc[Agiotage])</f>
        <v>0.30565067320598954</v>
      </c>
      <c r="U3" s="747"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43,035/43,035=&gt;1.0% / 1.0%</v>
      </c>
      <c r="V3" s="739" t="str">
        <f ca="1">_xlfn.XLOOKUP(Tab_NewTRADER[[#This Row],[ClickTick]],[1]!RTData[Ticker_Symbol],[1]!RTData[Currency])</f>
        <v>USD</v>
      </c>
      <c r="W3" s="749">
        <f ca="1">_xlfn.XLOOKUP(Tab_NewTRADER[[#This Row],[ClickTick]],TabCalc[Ticker],TabCalc[M])</f>
        <v>270.02999999999997</v>
      </c>
      <c r="X3" s="1315"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9.6839999999999999E-3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^1,142K / 2,565 K$</v>
      </c>
      <c r="AF3" s="1161"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3" s="1530" t="str">
        <f ca="1">TEXT(MIN(Tab_NewTRADER[[#This Row],[L_Bn]],Tab_NewTRADER[[#This Row],[N]]),"#,#0")&amp;" x "&amp;TEXT(Tab_NewTRADER[[#This Row],[L_Bp]],"#,#0.#0")</f>
        <v>200 x -248.52</v>
      </c>
      <c r="AH3" s="1530" t="str" cm="1">
        <f t="array" aca="1" ref="AH3" ca="1">_xlfn.IFS(Tab_NewTRADER[[#This Row],[M_State]]=Sale_Back,Tab_NewTRADER[[#This Row],[Sale_Back_$]], TRUE,"M = "&amp;Tab_NewTRADER[[#This Row],[M]])</f>
        <v>M = 270.03</v>
      </c>
      <c r="AI3" s="1433" cm="1">
        <f t="array" aca="1" ref="AI3" ca="1">IF(Tab_NewTRADER[[#This Row],[M_State]]=MUp,_xlfn.IFS(Tab_NewTRADER[[#This Row],[M_State]]=MUp,MIN(Tab_NewTRADER[[#This Row],[N]],Tab_NewTRADER[[#This Row],[L_Bn]])*(Tab_NewTRADER[[#This Row],[M]]-Tab_NewTRADER[[#This Row],[L_Sp]])*Tab_NewTRADER[[#This Row],[Scale]]*ComFactor, TRUE,0),0)</f>
        <v>0</v>
      </c>
      <c r="AJ3" s="1433" cm="1">
        <f t="array" aca="1" ref="AJ3" ca="1">_xlfn.IFS(Tab_NewTRADER[[#This Row],[M_State]]=MUp,                 MIN(Tab_NewTRADER[[#This Row],[L_Sn]],Tab_NewTRADER[[#This Row],[N]])*(Tab_NewTRADER[[#This Row],[M]]-Tab_NewTRADER[[#This Row],[A]])*Tab_NewTRADER[[#This Row],[Scale]]*ComFactor, TRUE,0)</f>
        <v>0</v>
      </c>
      <c r="AK3" s="1433" cm="1">
        <f t="array" aca="1" ref="AK3" ca="1">_xlfn.IFS(Tab_NewTRADER[[#This Row],[M_State]]=MUp,                  Tab_NewTRADER[[#This Row],[N]]*(Tab_NewTRADER[[#This Row],[M]]-Tab_NewTRADER[[#This Row],[A]])*Tab_NewTRADER[[#This Row],[Scale]]*ComFactor, TRUE,0)</f>
        <v>0</v>
      </c>
      <c r="AL3" s="1435" t="str">
        <f ca="1">TEXT(Tab_NewTRADER[[#This Row],[L_Sn]],"#,#0")&amp;" x "&amp;TEXT(Tab_NewTRADER[[#This Row],[L_Sp]],"#,#0.#0")</f>
        <v>500 x 270.04</v>
      </c>
      <c r="AM3" s="1465" t="str" cm="1">
        <f t="array" aca="1" ref="AM3" ca="1">_xlfn.IFS(Tab_NewTRADER[[#This Row],[M_State]]=RePurchaseGain,TEXT(-Tab_NewTRADER[[#This Row],[Buy_Back]],"#,#0")&amp;"       / "&amp;TEXT(Tab_NewTRADER[[#This Row],[Rev_Buy]],"#,#00.0)%"),TRUE,"M = "&amp;Tab_NewTRADER[[#This Row],[M]])</f>
        <v>5       / 00.0)%</v>
      </c>
      <c r="AN3" s="1435" cm="1">
        <f t="array" aca="1" ref="AN3" ca="1">_xlfn.IFS(Tab_NewTRADER[[#This Row],[M_State]]=MDown,TEXT(Tab_NewTRADER[[#This Row],[L_Sn]]*(Tab_NewTRADER[[#This Row],[M]]-Tab_NewTRADER[[#This Row],[L_Sp]])*ComFactor,"#,#0")&amp;"       / "&amp;TEXT((TabTRADER[[#This Row],[M]]-TabTRADER[[#This Row],[L_Sp]])/TabTRADER[[#This Row],[M]],"#,#00.0)%"),TRUE,0)</f>
        <v>0</v>
      </c>
      <c r="AO3" s="1486" cm="1">
        <f t="array" aca="1" ref="AO3" ca="1">_xlfn.IFS(Tab_NewTRADER[[#This Row],[M_State]]=MDown,TEXT(Tab_NewTRADER[[#This Row],[N]]*(Tab_NewTRADER[[#This Row],[M]]-Tab_NewTRADER[[#This Row],[A]])*Tab_NewTRADER[[#This Row],[Scale]]*ComFactor,"#,#0")&amp;"       / "&amp;TEXT((TabTRADER[[#This Row],[M]]-TabTRADER[[#This Row],[L_Bp]])/TabTRADER[[#This Row],[M]],"#,#00.0%"),TRUE,0)</f>
        <v>0</v>
      </c>
      <c r="AP3" s="1435" t="str" cm="1">
        <f t="array" aca="1" ref="AP3" ca="1">_xlfn.IFS(Tab_NewTRADER[[#This Row],[M_State]]=MDown,TEXT(Tab_NewTRADER[[#This Row],[N]]*Tab_NewTRADER[[#This Row],[M]],"#,#0")&amp;" @ "&amp;TEXT(Tab_NewTRADER[[#This Row],[A]],"#,#0.#0"),TRUE,"M = "&amp; Tab_NewTRADER[[#This Row],[M]])</f>
        <v>M = 270.03</v>
      </c>
      <c r="AQ3" s="760">
        <f ca="1">Tab_NewTRADER[[#This Row],[N]]*(Tab_NewTRADER[[#This Row],[M]]-Tab_NewTRADER[[#This Row],[A]])*(1-Commission)*Tab_NewTRADER[[#This Row],[Scale]]</f>
        <v>549674.51078599982</v>
      </c>
      <c r="AR3" s="760">
        <f ca="1">Tab_NewTRADER[[#This Row],[M]]*Tab_NewTRADER[[#This Row],[N]]*(1-Commission)*Tab_NewTRADER[[#This Row],[Scale]]</f>
        <v>2558615.2589999996</v>
      </c>
      <c r="AS3" s="1174" cm="1">
        <f t="array" aca="1" ref="AS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3.703155088152773E-5</v>
      </c>
      <c r="AT3" s="1174" t="str" cm="1">
        <f t="array" aca="1" ref="AT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3" s="825" t="str" cm="1">
        <f t="array" aca="1" ref="AU3" ca="1">_xlfn.IFS(   Tab_NewTRADER[[#This Row],[M_State]]=SellMorePercentGain,                     MIN(Tab_NewTRADER[[#This Row],[L_Sn]],Tab_NewTRADER[[#This Row],[N]])*(Tab_NewTRADER[[#This Row],[M]]-Tab_NewTRADER[[#This Row],[L_Sp]])*(1-Commission)*Tab_NewTRADER[[#This Row],[Scale]],                    TRUE,"")</f>
        <v/>
      </c>
      <c r="AV3" s="1163">
        <f ca="1">_xlfn.XLOOKUP(Tab_NewTRADER[[#This Row],[ClickTick]],TabCalc[Ticker],TabCalc[Ann%RevLB])</f>
        <v>0.84213136361856644</v>
      </c>
      <c r="AW3" s="1267">
        <f ca="1">_xlfn.XLOOKUP(Tab_NewTRADER[[#This Row],[ClickTick]],TabCalc[Ticker],TabCalc[Up20])</f>
        <v>0</v>
      </c>
      <c r="AX3" s="1175" t="str" cm="1">
        <f t="array" aca="1" ref="AX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 s="825" t="str" cm="1">
        <f t="array" aca="1" ref="AY3" ca="1">_xlfn.IFS(         Tab_NewTRADER[[#This Row],[M_State]]=MDown,Tab_NewTRADER[[#This Row],[L_Bn]]*Tab_NewTRADER[[#This Row],[M]]*(-(Tab_NewTRADER[[#This Row],[L_Bp]]+Tab_NewTRADER[[#This Row],[M]])/Tab_NewTRADER[[#This Row],[M]])*(1-Commission)*Tab_NewTRADER[[#This Row],[Scale]],                               TRUE,"")</f>
        <v/>
      </c>
      <c r="AZ3" s="1174" t="str" cm="1">
        <f t="array" aca="1" ref="AZ3" ca="1">_xlfn.IFS(   Tab_NewTRADER[[#This Row],[M_State]]=MUp,Tab_NewTRADER[[#This Row],[TakeGain_A]]-Commission,        Tab_NewTRADER[[#This Row],[M_State]]=MDown,(Tab_NewTRADER[[#This Row],[A]]-Tab_NewTRADER[[#This Row],[M]])/Tab_NewTRADER[[#This Row],[M]]-Commission,                              TRUE,"")</f>
        <v/>
      </c>
      <c r="BA3" s="825" cm="1">
        <f t="array" aca="1" ref="BA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549674.51078599982</v>
      </c>
      <c r="BB3" s="760" t="str" cm="1">
        <f t="array" aca="1" ref="BB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C3" s="736" t="str" cm="1">
        <f t="array" aca="1" ref="BC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3" s="765" cm="1">
        <f t="array" aca="1" ref="BD3" ca="1">_xlfn.IFS(Tab_NewTRADER[[#This Row],[M_State]]=Sale_Back,"",         Tab_NewTRADER[[#This Row],[M_State]]=MDown, (Tab_NewTRADER[[#This Row],[M]]-Tab_NewTRADER[[#This Row],[A]])/Tab_NewTRADER[[#This Row],[A]]*ComFactor,             TRUE, IFERROR((Tab_NewTRADER[[#This Row],[M]]-Tab_NewTRADER[[#This Row],[A]])/Tab_NewTRADER[[#This Row],[A]]*ComFactor,""))</f>
        <v>0.27290270135909211</v>
      </c>
      <c r="BE3" s="762" cm="1">
        <f t="array" aca="1" ref="BE3" ca="1">_xlfn.IFS(               Tab_NewTRADER[[#This Row],[M_State]]=NoStock,(Tab_NewTRADER[[#This Row],[L_Sp]]-Tab_NewTRADER[[#This Row],[M]])/Tab_NewTRADER[[#This Row],[M]]-Commission,             Tab_NewTRADER[[#This Row],[A]]&lt;&gt;0,(Tab_NewTRADER[[#This Row],[A]]-Tab_NewTRADER[[#This Row],[M]])/Tab_NewTRADER[[#This Row],[M]]-Commission)</f>
        <v>-0.21743281194876979</v>
      </c>
      <c r="BF3" s="324">
        <f ca="1">_xlfn.XLOOKUP(Tab_NewTRADER[[#This Row],[ClickTick]],TabCalc[Ticker],TabCalc[L_Sn])</f>
        <v>500</v>
      </c>
      <c r="BG3" s="728">
        <f ca="1">_xlfn.XLOOKUP(Tab_NewTRADER[[#This Row],[ClickTick]],TabCalc[Ticker],TabCalc[L_Sp])</f>
        <v>270.04000000000002</v>
      </c>
      <c r="BH3" s="764">
        <f ca="1">-IFERROR((Tab_NewTRADER[[#This Row],[M]]-Tab_NewTRADER[[#This Row],[L_Sp]])/Tab_NewTRADER[[#This Row],[L_Sp]],0)</f>
        <v>3.703155088152773E-5</v>
      </c>
      <c r="BI3" s="729">
        <f ca="1">MIN(Tab_NewTRADER[[#This Row],[L_Sn]],Tab_NewTRADER[[#This Row],[N]])*(Tab_NewTRADER[[#This Row],[M]]-Tab_NewTRADER[[#This Row],[L_Sp]])*(1-Commission)*Tab_NewTRADER[[#This Row],[Scale]]</f>
        <v>-4.9870000000238122</v>
      </c>
      <c r="BJ3" s="692">
        <f ca="1">Tab_NewTRADER[[#This Row],[L_Sn]]*(Tab_NewTRADER[[#This Row],[Agiotage]]-Tab_NewTRADER[[#This Row],[M]])/(Tab_NewTRADER[[#This Row],[L_Bn]]*Tab_NewTRADER[[#This Row],[M]])</f>
        <v>-2.4971702155945081</v>
      </c>
      <c r="BK3" s="635">
        <f ca="1">IFERROR((Tab_NewTRADER[[#This Row],[M]]-Tab_NewTRADER[[#This Row],[A]])/Tab_NewTRADER[[#This Row],[A]],0)</f>
        <v>0.27361409801392833</v>
      </c>
      <c r="BL3" s="638" t="str">
        <f ca="1">TEXT(_xlfn.XLOOKUP(Tab_NewTRADER[[#This Row],[ClickTick]],TabCalc[Ticker],TabCalc[NAfter]),"#,#0")&amp;" : "&amp;TEXT(_xlfn.XLOOKUP(Tab_NewTRADER[[#This Row],[ClickTick]],TabCalc[Ticker],TabCalc[NAfter])*(Tab_NewTRADER[[#This Row],[M]]-Tab_NewTRADER[[#This Row],[A]])*(1-Commission)*Tab_NewTRADER[[#This Row],[Scale]],"#,#0$")</f>
        <v>9,500 : 549,675$</v>
      </c>
      <c r="BM3" s="684">
        <f ca="1">_xlfn.XLOOKUP(Tab_NewTRADER[[#This Row],[ClickTick]],TabCalc[[#This Row],[Ticker]],TabCalc[[#This Row],[GL]])*(1-Commission)</f>
        <v>1139085.2854435649</v>
      </c>
      <c r="BN3" s="684"/>
      <c r="BO3" s="669" t="str">
        <f ca="1">Tab_NewTRADER[[#This Row],[ClickTick]]&amp;": "&amp;_xlfn.XLOOKUP(Tab_NewTRADER[[#This Row],[ClickTick]],TabCalc[Ticker],TabCalc[Pile?])</f>
        <v xml:space="preserve">AAPL: </v>
      </c>
      <c r="BP3" s="350" t="s">
        <v>2060</v>
      </c>
      <c r="BQ3" s="755" t="str" cm="1">
        <f t="array" aca="1" ref="BQ3" ca="1">_xlfn.TEXTJOIN("",,INDEX({"M","A","Y"}, _xlfn.SORTBY({1,2,3}, -CHOOSE({1,2,3}, Tab_NewTRADER[[#This Row],[M]], Tab_NewTRADER[[#This Row],[A]], Tab_NewTRADER[[#This Row],[Agiotage]]))))</f>
        <v>MAY</v>
      </c>
      <c r="BR3" s="902" t="str" cm="1">
        <f t="array" aca="1" ref="BR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3" s="679">
        <f ca="1">Tab_NewTRADER[[#This Row],[L_Sn]]*Tab_NewTRADER[[#This Row],[L_Sp]]+Tab_NewTRADER[[#This Row],[SellMore]]*Tab_NewTRADER[[#This Row],[M]]</f>
        <v>189026</v>
      </c>
      <c r="BT3" s="679">
        <f ca="1">INDEX(
  INDEX(TabConsolid[], , _xlfn.XMATCH(Tab_NewTRADER[[#This Row],[ClickTick]]&amp;1, TabConsolid[#Headers])),
  MATCH(
    -Tab_NewTRADER[[#This Row],[M]],
    INDEX(TabConsolid[], , _xlfn.XMATCH(Tab_NewTRADER[[#This Row],[ClickTick]]&amp;2, TabConsolid[#Headers])),
    -1
  )
)</f>
        <v>200</v>
      </c>
      <c r="BU3" s="679" cm="1">
        <f t="array" aca="1" ref="BU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3" s="1144">
        <f ca="1">Tab_NewTRADER[[#This Row],[ReBuy]]/(Tab_NewTRADER[[#This Row],[L_Sn]]+Tab_NewTRADER[[#This Row],[SellMore]])</f>
        <v>270.03714285714284</v>
      </c>
      <c r="BW3" s="687">
        <f ca="1">((_xlfn.XLOOKUP(Tab_NewTRADER[[#This Row],[ClickTick]],TabCalc[Ticker],TabCalc[NAfter])+Tab_NewTRADER[[#This Row],[L_Sn]])*(Tab_NewTRADER[[#This Row],[Agiotage]]-Tab_NewTRADER[[#This Row],[M]]))/(Tab_NewTRADER[[#This Row],[L_Sn]]*_xlfn.XLOOKUP(Tab_NewTRADER[[#This Row],[ClickTick]],TabCalc[Ticker],TabCalc[NAfter]))</f>
        <v>-0.56784073542482949</v>
      </c>
      <c r="BX3" s="687">
        <f ca="1">(Tab_NewTRADER[[#This Row],[M]]-Tab_NewTRADER[[#This Row],[Agiotage]])/(Tab_NewTRADER[[#This Row],[M]]-Tab_NewTRADER[[#This Row],[A]])-1</f>
        <v>3.6495136249298765</v>
      </c>
      <c r="BY3" s="1262">
        <f ca="1">_xlfn.XMATCH(Tab_NewTRADER[[#This Row],[ClickTick]]&amp;1, TabConsolid[#Headers])</f>
        <v>2</v>
      </c>
      <c r="BZ3" t="b">
        <f ca="1">IF(ABS(Tab_NewTRADER[[#This Row],[L_Bp]])&gt;=Tab_NewTRADER[[#This Row],[M]],"OK")</f>
        <v>0</v>
      </c>
    </row>
    <row r="4" spans="1:78" ht="23" thickBot="1" x14ac:dyDescent="0.35">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-378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-16.2%</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-2,128$</v>
      </c>
      <c r="G4" s="225" t="str">
        <f ca="1">IFERROR(TRUNC(_xlfn.XLOOKUP(Tab_NewTRADER[[#This Row],[ClickTick]],TabCalc[Ticker],ListLastSalep),2)&amp;"x"&amp;_xlfn.XLOOKUP(Tab_NewTRADER[[#This Row],[ClickTick]],TabCalc[Ticker],ListLastSalen)&amp;"=   "&amp;TEXT(-_xlfn.XLOOKUP(Tab_NewTRADER[[#This Row],[ClickTick]],TabCalc[Ticker],ListReverseB),"#,#0")&amp;"$","")</f>
        <v>16.86x1000=   -4,600$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37.5% = 1,087</v>
      </c>
      <c r="I4" s="226" t="str">
        <f ca="1">IFERROR(TRUNC(TabCalc[[#This Row],[L_S1p]],2)&amp;"x"&amp;TabCalc[[#This Row],[L_S1n]]&amp;"=   "&amp;TEXT(TabCalc[[#This Row],[ReverseB1]],"#,#0"),"")</f>
        <v>16.67x2990=   13,186</v>
      </c>
      <c r="J4" s="295">
        <f ca="1">_xlfn.XLOOKUP(Tab_NewTRADER[[#This Row],[ClickTick]],TabCalc[Ticker],ListGravity)</f>
        <v>1.6856990212071779</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0.26803017315275157</v>
      </c>
      <c r="N4" s="324" cm="1">
        <f t="array" aca="1" ref="N4" ca="1">_xlfn.XLOOKUP(Tab_NewTRADER[[#This Row],[ClickTick]],ListTickers,Tab2RSIConventional[RSIConv20])</f>
        <v>42</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-0.13964912280701755</v>
      </c>
      <c r="S4" s="683">
        <f ca="1">_xlfn.XLOOKUP(Tab_NewTRADER[[#This Row],[ClickTick]],TabCalc[Ticker],TabCalc[Rev(MinStock)])*(1-Commission)</f>
        <v>-377.11694</v>
      </c>
      <c r="T4" s="782">
        <f ca="1">_xlfn.XLOOKUP(Tab_NewTRADER[[#This Row],[ClickTick]],TabCalc[Ticker],TabCalc[Agiotage])</f>
        <v>0.26803017315275157</v>
      </c>
      <c r="U4" s="747"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-650/-650=&gt;-0.7% / -0.7%</v>
      </c>
      <c r="V4" s="739" t="str">
        <f ca="1">_xlfn.XLOOKUP(Tab_NewTRADER[[#This Row],[ClickTick]],[1]!RTData[Ticker_Symbol],[1]!RTData[Currency])</f>
        <v>USD</v>
      </c>
      <c r="W4" s="749">
        <f ca="1">_xlfn.XLOOKUP(Tab_NewTRADER[[#This Row],[ClickTick]],TabCalc[Ticker],TabCalc[M])</f>
        <v>12.26</v>
      </c>
      <c r="X4" s="1315"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-7.2870000000000001E-3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^31K / 61 K$</v>
      </c>
      <c r="AF4" s="1161"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 s="1530" t="str">
        <f ca="1">TEXT(MIN(Tab_NewTRADER[[#This Row],[L_Bn]],Tab_NewTRADER[[#This Row],[N]]),"#,#0")&amp;" x "&amp;TEXT(Tab_NewTRADER[[#This Row],[L_Bp]],"#,#0.#0")</f>
        <v>190 x -14.25</v>
      </c>
      <c r="AH4" s="1530" t="str" cm="1">
        <f t="array" aca="1" ref="AH4" ca="1">_xlfn.IFS(Tab_NewTRADER[[#This Row],[M_State]]=Sale_Back,Tab_NewTRADER[[#This Row],[Sale_Back_$]], TRUE,"M = "&amp;Tab_NewTRADER[[#This Row],[M]])</f>
        <v>M = 12.26</v>
      </c>
      <c r="AI4" s="1433" cm="1">
        <f t="array" aca="1" ref="AI4" ca="1">IF(Tab_NewTRADER[[#This Row],[M_State]]=MUp,_xlfn.IFS(Tab_NewTRADER[[#This Row],[M_State]]=MUp,MIN(Tab_NewTRADER[[#This Row],[N]],Tab_NewTRADER[[#This Row],[L_Bn]])*(Tab_NewTRADER[[#This Row],[M]]-Tab_NewTRADER[[#This Row],[L_Sp]])*Tab_NewTRADER[[#This Row],[Scale]]*ComFactor, TRUE,0),0)</f>
        <v>0</v>
      </c>
      <c r="AJ4" s="1433" cm="1">
        <f t="array" aca="1" ref="AJ4" ca="1">_xlfn.IFS(Tab_NewTRADER[[#This Row],[M_State]]=MUp,                 MIN(Tab_NewTRADER[[#This Row],[L_Sn]],Tab_NewTRADER[[#This Row],[N]])*(Tab_NewTRADER[[#This Row],[M]]-Tab_NewTRADER[[#This Row],[A]])*Tab_NewTRADER[[#This Row],[Scale]]*ComFactor, TRUE,0)</f>
        <v>0</v>
      </c>
      <c r="AK4" s="1433" cm="1">
        <f t="array" aca="1" ref="AK4" ca="1">_xlfn.IFS(Tab_NewTRADER[[#This Row],[M_State]]=MUp,                  Tab_NewTRADER[[#This Row],[N]]*(Tab_NewTRADER[[#This Row],[M]]-Tab_NewTRADER[[#This Row],[A]])*Tab_NewTRADER[[#This Row],[Scale]]*ComFactor, TRUE,0)</f>
        <v>0</v>
      </c>
      <c r="AL4" s="1435" t="str">
        <f ca="1">TEXT(Tab_NewTRADER[[#This Row],[L_Sn]],"#,#0")&amp;" x "&amp;TEXT(Tab_NewTRADER[[#This Row],[L_Sp]],"#,#0.#0")</f>
        <v>1,000 x 16.86</v>
      </c>
      <c r="AM4" s="1465" t="str" cm="1">
        <f t="array" aca="1" ref="AM4" ca="1">_xlfn.IFS(Tab_NewTRADER[[#This Row],[M_State]]=RePurchaseGain,TEXT(-Tab_NewTRADER[[#This Row],[Buy_Back]],"#,#0")&amp;"       / "&amp;TEXT(Tab_NewTRADER[[#This Row],[Rev_Buy]],"#,#00.0)%"),TRUE,"M = "&amp;Tab_NewTRADER[[#This Row],[M]])</f>
        <v>4,588       / 27.3)%</v>
      </c>
      <c r="AN4" s="1435" cm="1">
        <f t="array" aca="1" ref="AN4" ca="1">_xlfn.IFS(Tab_NewTRADER[[#This Row],[M_State]]=MDown,TEXT(Tab_NewTRADER[[#This Row],[L_Sn]]*(Tab_NewTRADER[[#This Row],[M]]-Tab_NewTRADER[[#This Row],[L_Sp]])*ComFactor,"#,#0")&amp;"       / "&amp;TEXT((TabTRADER[[#This Row],[M]]-TabTRADER[[#This Row],[L_Sp]])/TabTRADER[[#This Row],[M]],"#,#00.0)%"),TRUE,0)</f>
        <v>0</v>
      </c>
      <c r="AO4" s="1486" cm="1">
        <f t="array" aca="1" ref="AO4" ca="1">_xlfn.IFS(Tab_NewTRADER[[#This Row],[M_State]]=MDown,TEXT(Tab_NewTRADER[[#This Row],[N]]*(Tab_NewTRADER[[#This Row],[M]]-Tab_NewTRADER[[#This Row],[A]])*Tab_NewTRADER[[#This Row],[Scale]]*ComFactor,"#,#0")&amp;"       / "&amp;TEXT((TabTRADER[[#This Row],[M]]-TabTRADER[[#This Row],[L_Bp]])/TabTRADER[[#This Row],[M]],"#,#00.0%"),TRUE,0)</f>
        <v>0</v>
      </c>
      <c r="AP4" s="1435" t="str" cm="1">
        <f t="array" aca="1" ref="AP4" ca="1">_xlfn.IFS(Tab_NewTRADER[[#This Row],[M_State]]=MDown,TEXT(Tab_NewTRADER[[#This Row],[N]]*Tab_NewTRADER[[#This Row],[M]],"#,#0")&amp;" @ "&amp;TEXT(Tab_NewTRADER[[#This Row],[A]],"#,#0.#0"),TRUE,"M = "&amp; Tab_NewTRADER[[#This Row],[M]])</f>
        <v>M = 12.26</v>
      </c>
      <c r="AQ4" s="1165">
        <f ca="1">Tab_NewTRADER[[#This Row],[N]]*(Tab_NewTRADER[[#This Row],[M]]-Tab_NewTRADER[[#This Row],[A]])*(1-Commission)*Tab_NewTRADER[[#This Row],[Scale]]</f>
        <v>-4063.3078599999944</v>
      </c>
      <c r="AR4" s="1165">
        <f ca="1">Tab_NewTRADER[[#This Row],[M]]*Tab_NewTRADER[[#This Row],[N]]*(1-Commission)*Tab_NewTRADER[[#This Row],[Scale]]</f>
        <v>61140.619999999995</v>
      </c>
      <c r="AS4" s="1174" cm="1">
        <f t="array" aca="1" ref="AS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0.27283511269276395</v>
      </c>
      <c r="AT4" s="1174" t="str" cm="1">
        <f t="array" aca="1" ref="AT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 s="825" t="str" cm="1">
        <f t="array" aca="1" ref="AU4" ca="1">_xlfn.IFS(   Tab_NewTRADER[[#This Row],[M_State]]=SellMorePercentGain,                     MIN(Tab_NewTRADER[[#This Row],[L_Sn]],Tab_NewTRADER[[#This Row],[N]])*(Tab_NewTRADER[[#This Row],[M]]-Tab_NewTRADER[[#This Row],[L_Sp]])*(1-Commission)*Tab_NewTRADER[[#This Row],[Scale]],                    TRUE,"")</f>
        <v/>
      </c>
      <c r="AV4" s="1163">
        <f ca="1">_xlfn.XLOOKUP(Tab_NewTRADER[[#This Row],[ClickTick]],TabCalc[Ticker],TabCalc[Ann%RevLB])</f>
        <v>-0.40218947368421054</v>
      </c>
      <c r="AW4" s="1267">
        <f ca="1">_xlfn.XLOOKUP(Tab_NewTRADER[[#This Row],[ClickTick]],TabCalc[Ticker],TabCalc[Up20])</f>
        <v>0</v>
      </c>
      <c r="AX4" s="1175" t="str" cm="1">
        <f t="array" aca="1" ref="AX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 s="825" t="str" cm="1">
        <f t="array" aca="1" ref="AY4" ca="1">_xlfn.IFS(         Tab_NewTRADER[[#This Row],[M_State]]=MDown,Tab_NewTRADER[[#This Row],[L_Bn]]*Tab_NewTRADER[[#This Row],[M]]*(-(Tab_NewTRADER[[#This Row],[L_Bp]]+Tab_NewTRADER[[#This Row],[M]])/Tab_NewTRADER[[#This Row],[M]])*(1-Commission)*Tab_NewTRADER[[#This Row],[Scale]],                               TRUE,"")</f>
        <v/>
      </c>
      <c r="AZ4" s="1174" t="str" cm="1">
        <f t="array" aca="1" ref="AZ4" ca="1">_xlfn.IFS(   Tab_NewTRADER[[#This Row],[M_State]]=MUp,Tab_NewTRADER[[#This Row],[TakeGain_A]]-Commission,        Tab_NewTRADER[[#This Row],[M_State]]=MDown,(Tab_NewTRADER[[#This Row],[A]]-Tab_NewTRADER[[#This Row],[M]])/Tab_NewTRADER[[#This Row],[M]]-Commission,                              TRUE,"")</f>
        <v/>
      </c>
      <c r="BA4" s="825" cm="1">
        <f t="array" aca="1" ref="BA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-4063.3078599999944</v>
      </c>
      <c r="BB4" s="760" t="str" cm="1">
        <f t="array" aca="1" ref="BB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C4" s="736" t="str" cm="1">
        <f t="array" aca="1" ref="BC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 s="765" cm="1">
        <f t="array" aca="1" ref="BD4" ca="1">_xlfn.IFS(Tab_NewTRADER[[#This Row],[M_State]]=Sale_Back,"",         Tab_NewTRADER[[#This Row],[M_State]]=MDown, (Tab_NewTRADER[[#This Row],[M]]-Tab_NewTRADER[[#This Row],[A]])/Tab_NewTRADER[[#This Row],[A]]*ComFactor,             TRUE, IFERROR((Tab_NewTRADER[[#This Row],[M]]-Tab_NewTRADER[[#This Row],[A]])/Tab_NewTRADER[[#This Row],[A]]*ComFactor,""))</f>
        <v>-6.2154894537422352E-2</v>
      </c>
      <c r="BE4" s="762" cm="1">
        <f t="array" aca="1" ref="BE4" ca="1">_xlfn.IFS(               Tab_NewTRADER[[#This Row],[M_State]]=NoStock,(Tab_NewTRADER[[#This Row],[L_Sp]]-Tab_NewTRADER[[#This Row],[M]])/Tab_NewTRADER[[#This Row],[M]]-Commission,             Tab_NewTRADER[[#This Row],[A]]&lt;&gt;0,(Tab_NewTRADER[[#This Row],[A]]-Tab_NewTRADER[[#This Row],[M]])/Tab_NewTRADER[[#This Row],[M]]-Commission)</f>
        <v>6.3858401305057003E-2</v>
      </c>
      <c r="BF4" s="324">
        <f ca="1">_xlfn.XLOOKUP(Tab_NewTRADER[[#This Row],[ClickTick]],TabCalc[Ticker],TabCalc[L_Sn])</f>
        <v>1000</v>
      </c>
      <c r="BG4" s="728">
        <f ca="1">_xlfn.XLOOKUP(Tab_NewTRADER[[#This Row],[ClickTick]],TabCalc[Ticker],TabCalc[L_Sp])</f>
        <v>16.86</v>
      </c>
      <c r="BH4" s="764">
        <f ca="1">-IFERROR((Tab_NewTRADER[[#This Row],[M]]-Tab_NewTRADER[[#This Row],[L_Sp]])/Tab_NewTRADER[[#This Row],[L_Sp]],0)</f>
        <v>0.27283511269276395</v>
      </c>
      <c r="BI4" s="729">
        <f ca="1">MIN(Tab_NewTRADER[[#This Row],[L_Sn]],Tab_NewTRADER[[#This Row],[N]])*(Tab_NewTRADER[[#This Row],[M]]-Tab_NewTRADER[[#This Row],[L_Sp]])*(1-Commission)*Tab_NewTRADER[[#This Row],[Scale]]</f>
        <v>-4588.04</v>
      </c>
      <c r="BJ4" s="692">
        <f ca="1">Tab_NewTRADER[[#This Row],[L_Sn]]*(Tab_NewTRADER[[#This Row],[Agiotage]]-Tab_NewTRADER[[#This Row],[M]])/(Tab_NewTRADER[[#This Row],[L_Bn]]*Tab_NewTRADER[[#This Row],[M]])</f>
        <v>-5.1480938554336939</v>
      </c>
      <c r="BK4" s="635">
        <f ca="1">IFERROR((Tab_NewTRADER[[#This Row],[M]]-Tab_NewTRADER[[#This Row],[A]])/Tab_NewTRADER[[#This Row],[A]],0)</f>
        <v>-6.2316918525588884E-2</v>
      </c>
      <c r="BL4" s="638" t="str">
        <f ca="1">TEXT(_xlfn.XLOOKUP(Tab_NewTRADER[[#This Row],[ClickTick]],TabCalc[Ticker],TabCalc[NAfter]),"#,#0")&amp;" : "&amp;TEXT(_xlfn.XLOOKUP(Tab_NewTRADER[[#This Row],[ClickTick]],TabCalc[Ticker],TabCalc[NAfter])*(Tab_NewTRADER[[#This Row],[M]]-Tab_NewTRADER[[#This Row],[A]])*(1-Commission)*Tab_NewTRADER[[#This Row],[Scale]],"#,#0$")</f>
        <v>5,000 : -4,063$</v>
      </c>
      <c r="BM4" s="684">
        <f ca="1">_xlfn.XLOOKUP(Tab_NewTRADER[[#This Row],[ClickTick]],TabCalc[[#This Row],[Ticker]],TabCalc[[#This Row],[GL]])*(1-Commission)</f>
        <v>31397.949357197929</v>
      </c>
      <c r="BN4" s="684"/>
      <c r="BO4" s="669" t="str">
        <f ca="1">Tab_NewTRADER[[#This Row],[ClickTick]]&amp;": "&amp;_xlfn.XLOOKUP(Tab_NewTRADER[[#This Row],[ClickTick]],TabCalc[Ticker],TabCalc[Pile?])</f>
        <v xml:space="preserve">ADEA: </v>
      </c>
      <c r="BP4" s="351" t="s">
        <v>2039</v>
      </c>
      <c r="BQ4" s="755" t="str" cm="1">
        <f t="array" aca="1" ref="BQ4" ca="1">_xlfn.TEXTJOIN("",,INDEX({"M","A","Y"}, _xlfn.SORTBY({1,2,3}, -CHOOSE({1,2,3}, Tab_NewTRADER[[#This Row],[M]], Tab_NewTRADER[[#This Row],[A]], Tab_NewTRADER[[#This Row],[Agiotage]]))))</f>
        <v>AMY</v>
      </c>
      <c r="BR4" s="902" t="str" cm="1">
        <f t="array" aca="1" ref="BR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 s="679" t="e">
        <f ca="1">Tab_NewTRADER[[#This Row],[L_Sn]]*Tab_NewTRADER[[#This Row],[L_Sp]]+Tab_NewTRADER[[#This Row],[SellMore]]*Tab_NewTRADER[[#This Row],[M]]</f>
        <v>#N/A</v>
      </c>
      <c r="BT4" s="679" t="e">
        <f ca="1">INDEX(
  INDEX(TabConsolid[], , _xlfn.XMATCH(Tab_NewTRADER[[#This Row],[ClickTick]]&amp;1, TabConsolid[#Headers])),
  MATCH(
    -Tab_NewTRADER[[#This Row],[M]],
    INDEX(TabConsolid[], , _xlfn.XMATCH(Tab_NewTRADER[[#This Row],[ClickTick]]&amp;2, TabConsolid[#Headers])),
    -1
  )
)</f>
        <v>#N/A</v>
      </c>
      <c r="BU4" s="679" cm="1">
        <f t="array" aca="1" ref="BU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V4" s="1144" t="e">
        <f ca="1">Tab_NewTRADER[[#This Row],[ReBuy]]/(Tab_NewTRADER[[#This Row],[L_Sn]]+Tab_NewTRADER[[#This Row],[SellMore]])</f>
        <v>#N/A</v>
      </c>
      <c r="BW4" s="687">
        <f ca="1">((_xlfn.XLOOKUP(Tab_NewTRADER[[#This Row],[ClickTick]],TabCalc[Ticker],TabCalc[NAfter])+Tab_NewTRADER[[#This Row],[L_Sn]])*(Tab_NewTRADER[[#This Row],[Agiotage]]-Tab_NewTRADER[[#This Row],[M]]))/(Tab_NewTRADER[[#This Row],[L_Sn]]*_xlfn.XLOOKUP(Tab_NewTRADER[[#This Row],[ClickTick]],TabCalc[Ticker],TabCalc[NAfter]))</f>
        <v>-1.4390363792216697E-2</v>
      </c>
      <c r="BX4" s="687">
        <f ca="1">(Tab_NewTRADER[[#This Row],[M]]-Tab_NewTRADER[[#This Row],[Agiotage]])/(Tab_NewTRADER[[#This Row],[M]]-Tab_NewTRADER[[#This Row],[A]])-1</f>
        <v>-15.718046376748648</v>
      </c>
      <c r="BY4" s="1262">
        <f ca="1">_xlfn.XMATCH(Tab_NewTRADER[[#This Row],[ClickTick]]&amp;1, TabConsolid[#Headers])</f>
        <v>5</v>
      </c>
      <c r="BZ4" t="str">
        <f ca="1">IF(ABS(Tab_NewTRADER[[#This Row],[L_Bp]])&gt;=Tab_NewTRADER[[#This Row],[M]],"OK")</f>
        <v>OK</v>
      </c>
    </row>
    <row r="5" spans="1:78" ht="27" hidden="1" customHeight="1" thickBot="1" x14ac:dyDescent="0.35">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-60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-80$</v>
      </c>
      <c r="G5" s="225" t="str">
        <f ca="1">IFERROR(TRUNC(_xlfn.XLOOKUP(Tab_NewTRADER[[#This Row],[ClickTick]],TabCalc[Ticker],ListLastSalep),2)&amp;"x"&amp;_xlfn.XLOOKUP(Tab_NewTRADER[[#This Row],[ClickTick]],TabCalc[Ticker],ListLastSalen)&amp;"=   "&amp;TEXT(-_xlfn.XLOOKUP(Tab_NewTRADER[[#This Row],[ClickTick]],TabCalc[Ticker],ListReverseB),"#,#0")&amp;"$","")</f>
        <v>52.01x20000=   -1,402$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15.6% = 713</v>
      </c>
      <c r="I5" s="226" t="str">
        <f ca="1">IFERROR(TRUNC(TabCalc[[#This Row],[L_S1p]],2)&amp;"x"&amp;TabCalc[[#This Row],[L_S1n]]&amp;"=   "&amp;TEXT(TabCalc[[#This Row],[ReverseB1]],"#,#0"),"")</f>
        <v>53.62x90000=   7,758</v>
      </c>
      <c r="J5" s="295">
        <f ca="1">_xlfn.XLOOKUP(Tab_NewTRADER[[#This Row],[ClickTick]],TabCalc[Ticker],ListGravity)</f>
        <v>2.1480000000000001</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189000</v>
      </c>
      <c r="M5" s="323">
        <f ca="1">_xlfn.XLOOKUP(Tab_NewTRADER[[#This Row],[ClickTick]],TabCalc[Ticker],TabCalc[Agiotage])</f>
        <v>1.831612965464017</v>
      </c>
      <c r="N5" s="324" cm="1">
        <f t="array" aca="1" ref="N5" ca="1">_xlfn.XLOOKUP(Tab_NewTRADER[[#This Row],[ClickTick]],ListTickers,Tab2RSIConventional[RSIConv20])</f>
        <v>40</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-1.3157894736842136E-2</v>
      </c>
      <c r="S5" s="683">
        <f ca="1">_xlfn.XLOOKUP(Tab_NewTRADER[[#This Row],[ClickTick]],TabCalc[Ticker],TabCalc[Rev(MinStock)])*(1-Commission)</f>
        <v>-59.844000000000143</v>
      </c>
      <c r="T5" s="782">
        <f ca="1">_xlfn.XLOOKUP(Tab_NewTRADER[[#This Row],[ClickTick]],TabCalc[Ticker],TabCalc[Agiotage])</f>
        <v>1.831612965464017</v>
      </c>
      <c r="U5" s="747"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-13,120/-13,120=&gt;0.0% / 0.0%</v>
      </c>
      <c r="V5" s="739" t="str">
        <f ca="1">_xlfn.XLOOKUP(Tab_NewTRADER[[#This Row],[ClickTick]],[1]!RTData[Ticker_Symbol],[1]!RTData[Currency])</f>
        <v>GBp</v>
      </c>
      <c r="W5" s="749">
        <f ca="1">_xlfn.XLOOKUP(Tab_NewTRADER[[#This Row],[ClickTick]],TabCalc[Ticker],TabCalc[M])</f>
        <v>45</v>
      </c>
      <c r="X5" s="1315"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0</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369 K$</v>
      </c>
      <c r="AF5" s="1182"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 s="1530" t="str">
        <f ca="1">TEXT(MIN(Tab_NewTRADER[[#This Row],[L_Bn]],Tab_NewTRADER[[#This Row],[N]]),"#,#0")&amp;" x "&amp;TEXT(Tab_NewTRADER[[#This Row],[L_Bp]],"#,#0.#0")</f>
        <v>10,000 x -45.60</v>
      </c>
      <c r="AH5" s="1530" t="str" cm="1">
        <f t="array" aca="1" ref="AH5" ca="1">_xlfn.IFS(Tab_NewTRADER[[#This Row],[M_State]]=Sale_Back,Tab_NewTRADER[[#This Row],[Sale_Back_$]], TRUE,"M = "&amp;Tab_NewTRADER[[#This Row],[M]])</f>
        <v>M = 45</v>
      </c>
      <c r="AI5" s="1433" cm="1">
        <f t="array" aca="1" ref="AI5" ca="1">IF(Tab_NewTRADER[[#This Row],[M_State]]=MUp,_xlfn.IFS(Tab_NewTRADER[[#This Row],[M_State]]=MUp,MIN(Tab_NewTRADER[[#This Row],[N]],Tab_NewTRADER[[#This Row],[L_Bn]])*(Tab_NewTRADER[[#This Row],[M]]-Tab_NewTRADER[[#This Row],[L_Sp]])*Tab_NewTRADER[[#This Row],[Scale]]*ComFactor, TRUE,0),0)</f>
        <v>0</v>
      </c>
      <c r="AJ5" s="1433" cm="1">
        <f t="array" aca="1" ref="AJ5" ca="1">_xlfn.IFS(Tab_NewTRADER[[#This Row],[M_State]]=MUp,                 MIN(Tab_NewTRADER[[#This Row],[L_Sn]],Tab_NewTRADER[[#This Row],[N]])*(Tab_NewTRADER[[#This Row],[M]]-Tab_NewTRADER[[#This Row],[A]])*Tab_NewTRADER[[#This Row],[Scale]]*ComFactor, TRUE,0)</f>
        <v>0</v>
      </c>
      <c r="AK5" s="1433" cm="1">
        <f t="array" aca="1" ref="AK5" ca="1">_xlfn.IFS(Tab_NewTRADER[[#This Row],[M_State]]=MUp,                  Tab_NewTRADER[[#This Row],[N]]*(Tab_NewTRADER[[#This Row],[M]]-Tab_NewTRADER[[#This Row],[A]])*Tab_NewTRADER[[#This Row],[Scale]]*ComFactor, TRUE,0)</f>
        <v>0</v>
      </c>
      <c r="AL5" s="1435" t="str">
        <f ca="1">TEXT(Tab_NewTRADER[[#This Row],[L_Sn]],"#,#0")&amp;" x "&amp;TEXT(Tab_NewTRADER[[#This Row],[L_Sp]],"#,#0.#0")</f>
        <v>20,000 x 52.01</v>
      </c>
      <c r="AM5" s="1465" t="str" cm="1">
        <f t="array" aca="1" ref="AM5" ca="1">_xlfn.IFS(Tab_NewTRADER[[#This Row],[M_State]]=RePurchaseGain,TEXT(-Tab_NewTRADER[[#This Row],[Buy_Back]],"#,#0")&amp;"       / "&amp;TEXT(Tab_NewTRADER[[#This Row],[Rev_Buy]],"#,#00.0)%"),TRUE,"M = "&amp;Tab_NewTRADER[[#This Row],[M]])</f>
        <v>M = 45</v>
      </c>
      <c r="AN5" s="1435" t="str" cm="1">
        <f t="array" aca="1" ref="AN5" ca="1">_xlfn.IFS(Tab_NewTRADER[[#This Row],[M_State]]=MDown,TEXT(Tab_NewTRADER[[#This Row],[L_Sn]]*(Tab_NewTRADER[[#This Row],[M]]-Tab_NewTRADER[[#This Row],[L_Sp]])*ComFactor,"#,#0")&amp;"       / "&amp;TEXT((TabTRADER[[#This Row],[M]]-TabTRADER[[#This Row],[L_Sp]])/TabTRADER[[#This Row],[M]],"#,#00.0)%"),TRUE,0)</f>
        <v>-139,835       / -15.6)%</v>
      </c>
      <c r="AO5" s="1486" t="str" cm="1">
        <f t="array" aca="1" ref="AO5" ca="1">_xlfn.IFS(Tab_NewTRADER[[#This Row],[M_State]]=MDown,TEXT(Tab_NewTRADER[[#This Row],[N]]*(Tab_NewTRADER[[#This Row],[M]]-Tab_NewTRADER[[#This Row],[A]])*Tab_NewTRADER[[#This Row],[Scale]]*ComFactor,"#,#0")&amp;"       / "&amp;TEXT((TabTRADER[[#This Row],[M]]-TabTRADER[[#This Row],[L_Bp]])/TabTRADER[[#This Row],[M]],"#,#00.0%"),TRUE,0)</f>
        <v>-34,653       / 201.3%</v>
      </c>
      <c r="AP5" s="1435" t="str" cm="1">
        <f t="array" aca="1" ref="AP5" ca="1">_xlfn.IFS(Tab_NewTRADER[[#This Row],[M_State]]=MDown,TEXT(Tab_NewTRADER[[#This Row],[N]]*Tab_NewTRADER[[#This Row],[M]],"#,#0")&amp;" @ "&amp;TEXT(Tab_NewTRADER[[#This Row],[A]],"#,#0.#0"),TRUE,"M = "&amp; Tab_NewTRADER[[#This Row],[M]])</f>
        <v>36,900,000 @ 49.24</v>
      </c>
      <c r="AQ5" s="760">
        <f ca="1">Tab_NewTRADER[[#This Row],[N]]*(Tab_NewTRADER[[#This Row],[M]]-Tab_NewTRADER[[#This Row],[A]])*(1-Commission)*Tab_NewTRADER[[#This Row],[Scale]]</f>
        <v>-34653.295372101813</v>
      </c>
      <c r="AR5" s="760">
        <f ca="1">Tab_NewTRADER[[#This Row],[M]]*Tab_NewTRADER[[#This Row],[N]]*(1-Commission)*Tab_NewTRADER[[#This Row],[Scale]]</f>
        <v>368040.60000000003</v>
      </c>
      <c r="AS5" s="1174" cm="1">
        <f t="array" aca="1" ref="AS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8.60536893415806E-2</v>
      </c>
      <c r="AT5" s="1174" cm="1">
        <f t="array" aca="1" ref="AT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1.0733333333333366E-2</v>
      </c>
      <c r="AU5" s="825" t="str" cm="1">
        <f t="array" aca="1" ref="AU5" ca="1">_xlfn.IFS(   Tab_NewTRADER[[#This Row],[M_State]]=SellMorePercentGain,                     MIN(Tab_NewTRADER[[#This Row],[L_Sn]],Tab_NewTRADER[[#This Row],[N]])*(Tab_NewTRADER[[#This Row],[M]]-Tab_NewTRADER[[#This Row],[L_Sp]])*(1-Commission)*Tab_NewTRADER[[#This Row],[Scale]],                    TRUE,"")</f>
        <v/>
      </c>
      <c r="AV5" s="1180">
        <f ca="1">_xlfn.XLOOKUP(Tab_NewTRADER[[#This Row],[ClickTick]],TabCalc[Ticker],TabCalc[Ann%RevLB])</f>
        <v>-0.1214574898785428</v>
      </c>
      <c r="AW5" s="1266">
        <f ca="1">_xlfn.XLOOKUP(Tab_NewTRADER[[#This Row],[ClickTick]],TabCalc[Ticker],TabCalc[Up20])</f>
        <v>0</v>
      </c>
      <c r="AX5" s="1175" cm="1">
        <f t="array" aca="1" ref="AX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1.3333333333333365E-2</v>
      </c>
      <c r="AY5" s="825" cm="1">
        <f t="array" aca="1" ref="AY5" ca="1">_xlfn.IFS(         Tab_NewTRADER[[#This Row],[M_State]]=MDown,Tab_NewTRADER[[#This Row],[L_Bn]]*Tab_NewTRADER[[#This Row],[M]]*(-(Tab_NewTRADER[[#This Row],[L_Bp]]+Tab_NewTRADER[[#This Row],[M]])/Tab_NewTRADER[[#This Row],[M]])*(1-Commission)*Tab_NewTRADER[[#This Row],[Scale]],                               TRUE,"")</f>
        <v>59.844000000000143</v>
      </c>
      <c r="AZ5" s="1174" cm="1">
        <f t="array" aca="1" ref="AZ5" ca="1">_xlfn.IFS(   Tab_NewTRADER[[#This Row],[M_State]]=MUp,Tab_NewTRADER[[#This Row],[TakeGain_A]]-Commission,        Tab_NewTRADER[[#This Row],[M_State]]=MDown,(Tab_NewTRADER[[#This Row],[A]]-Tab_NewTRADER[[#This Row],[M]])/Tab_NewTRADER[[#This Row],[M]]-Commission,                              TRUE,"")</f>
        <v>9.1556175628726325E-2</v>
      </c>
      <c r="BA5" s="760" cm="1">
        <f t="array" aca="1" ref="BA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34653.295372101813</v>
      </c>
      <c r="BB5" s="760" t="str" cm="1">
        <f t="array" aca="1" ref="BB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C5" s="736" cm="1">
        <f t="array" aca="1" ref="BC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-6.0000000000000001E-3</v>
      </c>
      <c r="BD5" s="765" cm="1">
        <f t="array" aca="1" ref="BD5" ca="1">_xlfn.IFS(Tab_NewTRADER[[#This Row],[M_State]]=Sale_Back,"",         Tab_NewTRADER[[#This Row],[M_State]]=MDown, (Tab_NewTRADER[[#This Row],[M]]-Tab_NewTRADER[[#This Row],[A]])/Tab_NewTRADER[[#This Row],[A]]*ComFactor,             TRUE, IFERROR((Tab_NewTRADER[[#This Row],[M]]-Tab_NewTRADER[[#This Row],[A]])/Tab_NewTRADER[[#This Row],[A]]*ComFactor,""))</f>
        <v>-8.5829949749292492E-2</v>
      </c>
      <c r="BE5" s="762" cm="1">
        <f t="array" aca="1" ref="BE5" ca="1">_xlfn.IFS(               Tab_NewTRADER[[#This Row],[M_State]]=NoStock,(Tab_NewTRADER[[#This Row],[L_Sp]]-Tab_NewTRADER[[#This Row],[M]])/Tab_NewTRADER[[#This Row],[M]]-Commission,             Tab_NewTRADER[[#This Row],[A]]&lt;&gt;0,(Tab_NewTRADER[[#This Row],[A]]-Tab_NewTRADER[[#This Row],[M]])/Tab_NewTRADER[[#This Row],[M]]-Commission)</f>
        <v>9.1556175628726325E-2</v>
      </c>
      <c r="BF5" s="324">
        <f ca="1">_xlfn.XLOOKUP(Tab_NewTRADER[[#This Row],[ClickTick]],TabCalc[Ticker],TabCalc[L_Sn])</f>
        <v>20000</v>
      </c>
      <c r="BG5" s="728">
        <f ca="1">_xlfn.XLOOKUP(Tab_NewTRADER[[#This Row],[ClickTick]],TabCalc[Ticker],TabCalc[L_Sp])</f>
        <v>52.01</v>
      </c>
      <c r="BH5" s="764">
        <f ca="1">-IFERROR((Tab_NewTRADER[[#This Row],[M]]-Tab_NewTRADER[[#This Row],[L_Sp]])/Tab_NewTRADER[[#This Row],[L_Sp]],0)</f>
        <v>0.13478177273601227</v>
      </c>
      <c r="BI5" s="729">
        <f ca="1">MIN(Tab_NewTRADER[[#This Row],[L_Sn]],Tab_NewTRADER[[#This Row],[N]])*(Tab_NewTRADER[[#This Row],[M]]-Tab_NewTRADER[[#This Row],[L_Sp]])*(1-Commission)*Tab_NewTRADER[[#This Row],[Scale]]</f>
        <v>-1398.3547999999996</v>
      </c>
      <c r="BJ5" s="692">
        <f ca="1">Tab_NewTRADER[[#This Row],[L_Sn]]*(Tab_NewTRADER[[#This Row],[Agiotage]]-Tab_NewTRADER[[#This Row],[M]])/(Tab_NewTRADER[[#This Row],[L_Bn]]*Tab_NewTRADER[[#This Row],[M]])</f>
        <v>-1.9185949793127104</v>
      </c>
      <c r="BK5" s="635">
        <f ca="1">IFERROR((Tab_NewTRADER[[#This Row],[M]]-Tab_NewTRADER[[#This Row],[A]])/Tab_NewTRADER[[#This Row],[A]],0)</f>
        <v>-8.60536893415806E-2</v>
      </c>
      <c r="BL5" s="638" t="str">
        <f ca="1">TEXT(_xlfn.XLOOKUP(Tab_NewTRADER[[#This Row],[ClickTick]],TabCalc[Ticker],TabCalc[NAfter]),"#,#0")&amp;" : "&amp;TEXT(_xlfn.XLOOKUP(Tab_NewTRADER[[#This Row],[ClickTick]],TabCalc[Ticker],TabCalc[NAfter])*(Tab_NewTRADER[[#This Row],[M]]-Tab_NewTRADER[[#This Row],[A]])*(1-Commission)*Tab_NewTRADER[[#This Row],[Scale]],"#,#0$")</f>
        <v>820,000 : -34,653$</v>
      </c>
      <c r="BM5" s="684">
        <f ca="1">_xlfn.XLOOKUP(Tab_NewTRADER[[#This Row],[ClickTick]],TabCalc[[#This Row],[Ticker]],TabCalc[[#This Row],[GL]])*(1-Commission)</f>
        <v>24324.975697602033</v>
      </c>
      <c r="BN5" s="684"/>
      <c r="BO5" s="669" t="str">
        <f ca="1">Tab_NewTRADER[[#This Row],[ClickTick]]&amp;": "&amp;_xlfn.XLOOKUP(Tab_NewTRADER[[#This Row],[ClickTick]],TabCalc[Ticker],TabCalc[Pile?])</f>
        <v xml:space="preserve">AET: </v>
      </c>
      <c r="BP5" s="351" t="s">
        <v>2058</v>
      </c>
      <c r="BQ5" s="755" t="str" cm="1">
        <f t="array" aca="1" ref="BQ5" ca="1">_xlfn.TEXTJOIN("",,INDEX({"M","A","Y"}, _xlfn.SORTBY({1,2,3}, -CHOOSE({1,2,3}, Tab_NewTRADER[[#This Row],[M]], Tab_NewTRADER[[#This Row],[A]], Tab_NewTRADER[[#This Row],[Agiotage]]))))</f>
        <v>AMY</v>
      </c>
      <c r="BR5" s="902" cm="1">
        <f t="array" aca="1" ref="BR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1.3333333333333365E-2</v>
      </c>
      <c r="BS5" s="679" t="e">
        <f ca="1">Tab_NewTRADER[[#This Row],[L_Sn]]*Tab_NewTRADER[[#This Row],[L_Sp]]+Tab_NewTRADER[[#This Row],[SellMore]]*Tab_NewTRADER[[#This Row],[M]]</f>
        <v>#N/A</v>
      </c>
      <c r="BT5" s="679" t="e">
        <f ca="1">INDEX(
  INDEX(TabConsolid[], , _xlfn.XMATCH(Tab_NewTRADER[[#This Row],[ClickTick]]&amp;1, TabConsolid[#Headers])),
  MATCH(
    -Tab_NewTRADER[[#This Row],[M]],
    INDEX(TabConsolid[], , _xlfn.XMATCH(Tab_NewTRADER[[#This Row],[ClickTick]]&amp;2, TabConsolid[#Headers])),
    -1
  )
)</f>
        <v>#N/A</v>
      </c>
      <c r="BU5" s="679" cm="1">
        <f t="array" aca="1" ref="BU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V5" s="1144" t="e">
        <f ca="1">Tab_NewTRADER[[#This Row],[ReBuy]]/(Tab_NewTRADER[[#This Row],[L_Sn]]+Tab_NewTRADER[[#This Row],[SellMore]])</f>
        <v>#N/A</v>
      </c>
      <c r="BW5" s="687">
        <f ca="1">((_xlfn.XLOOKUP(Tab_NewTRADER[[#This Row],[ClickTick]],TabCalc[Ticker],TabCalc[NAfter])+Tab_NewTRADER[[#This Row],[L_Sn]])*(Tab_NewTRADER[[#This Row],[Agiotage]]-Tab_NewTRADER[[#This Row],[M]]))/(Tab_NewTRADER[[#This Row],[L_Sn]]*_xlfn.XLOOKUP(Tab_NewTRADER[[#This Row],[ClickTick]],TabCalc[Ticker],TabCalc[NAfter]))</f>
        <v>-2.2110637261591602E-3</v>
      </c>
      <c r="BX5" s="687">
        <f ca="1">(Tab_NewTRADER[[#This Row],[M]]-Tab_NewTRADER[[#This Row],[Agiotage]])/(Tab_NewTRADER[[#This Row],[M]]-Tab_NewTRADER[[#This Row],[A]])-1</f>
        <v>-11.188365056786365</v>
      </c>
      <c r="BY5" s="1262">
        <f ca="1">_xlfn.XMATCH(Tab_NewTRADER[[#This Row],[ClickTick]]&amp;1, TabConsolid[#Headers])</f>
        <v>8</v>
      </c>
      <c r="BZ5" t="str">
        <f ca="1">IF(ABS(Tab_NewTRADER[[#This Row],[L_Bp]])&gt;=Tab_NewTRADER[[#This Row],[M]],"OK")</f>
        <v>OK</v>
      </c>
    </row>
    <row r="6" spans="1:78" ht="23"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+12,324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811/12,000=179,473</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15,015</v>
      </c>
      <c r="F6" s="226" t="str">
        <f ca="1">TRUNC(TabCalc[[#This Row],[L_B1p]],2)&amp;"x"&amp;TabCalc[[#This Row],[L_B1n]]&amp;"=   "&amp;TEXT(TabCalc[[#This Row],[ReverseS1]],"#,#0")&amp;"$"</f>
        <v>-212.98x500=   4,101$</v>
      </c>
      <c r="G6" s="225" t="str">
        <f ca="1">IFERROR(TRUNC(_xlfn.XLOOKUP(Tab_NewTRADER[[#This Row],[ClickTick]],TabCalc[Ticker],ListLastSalep),2)&amp;"x"&amp;_xlfn.XLOOKUP(Tab_NewTRADER[[#This Row],[ClickTick]],TabCalc[Ticker],ListLastSalen)&amp;"=   "&amp;TEXT(-_xlfn.XLOOKUP(Tab_NewTRADER[[#This Row],[ClickTick]],TabCalc[Ticker],ListReverseB),"#,#0")&amp;"$","")</f>
        <v>221.51x200=   -67$</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15,015</v>
      </c>
      <c r="I6" s="226" t="str">
        <f ca="1">IFERROR(TRUNC(TabCalc[[#This Row],[L_S1p]],2)&amp;"x"&amp;TabCalc[[#This Row],[L_S1n]]&amp;"=   "&amp;TEXT(TabCalc[[#This Row],[ReverseB1]],"#,#0"),"")</f>
        <v>234.24x500=   6,529</v>
      </c>
      <c r="J6" s="295">
        <f ca="1">_xlfn.XLOOKUP(Tab_NewTRADER[[#This Row],[ClickTick]],TabCalc[Ticker],ListGravity)</f>
        <v>1.3040125326654068</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884728</v>
      </c>
      <c r="M6" s="323">
        <f ca="1">_xlfn.XLOOKUP(Tab_NewTRADER[[#This Row],[ClickTick]],TabCalc[Ticker],TabCalc[Agiotage])</f>
        <v>0.55227376593669197</v>
      </c>
      <c r="N6" s="324" cm="1">
        <f t="array" aca="1" ref="N6" ca="1">_xlfn.XLOOKUP(Tab_NewTRADER[[#This Row],[ClickTick]],ListTickers,Tab2RSIConventional[RSIConv20])</f>
        <v>24</v>
      </c>
      <c r="O6" s="703" t="str">
        <f ca="1">TEXT(_xlfn.XLOOKUP(Tab_NewTRADER[[#This Row],[ClickTick]],TabCalc[Ticker],TabCalc[Nbegin]),"#,#0")&amp;": "&amp;_xlfn.XLOOKUP(Tab_NewTRADER[[#This Row],[ClickTick]],TabCalc[Ticker],TabCalc[Pile?])</f>
        <v>8,000: Pile</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2.8657799274485991E-2</v>
      </c>
      <c r="S6" s="683">
        <f ca="1">_xlfn.XLOOKUP(Tab_NewTRADER[[#This Row],[ClickTick]],TabCalc[Ticker],TabCalc[Rev(MinStock)])*(1-Commission)</f>
        <v>12291.957599999956</v>
      </c>
      <c r="T6" s="782">
        <f ca="1">_xlfn.XLOOKUP(Tab_NewTRADER[[#This Row],[ClickTick]],TabCalc[Ticker],TabCalc[Agiotage])</f>
        <v>0.55227376593669197</v>
      </c>
      <c r="U6" s="747"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-28,896/-28,896=&gt;-0.6% / -0.6%</v>
      </c>
      <c r="V6" s="739" t="str">
        <f ca="1">_xlfn.XLOOKUP(Tab_NewTRADER[[#This Row],[ClickTick]],[1]!RTData[Ticker_Symbol],[1]!RTData[Currency])</f>
        <v>USD</v>
      </c>
      <c r="W6" s="708">
        <f ca="1">_xlfn.XLOOKUP(Tab_NewTRADER[[#This Row],[ClickTick]],TabCalc[Ticker],TabCalc[M])</f>
        <v>221.18199999999999</v>
      </c>
      <c r="X6" s="1315"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-6.1470000000000006E-3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^680K / 2,654 K$</v>
      </c>
      <c r="AF6" s="1450"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6" s="1531" t="str">
        <f ca="1">TEXT(MIN(Tab_NewTRADER[[#This Row],[L_Bn]],Tab_NewTRADER[[#This Row],[N]]),"#,#0")&amp;" x "&amp;TEXT(Tab_NewTRADER[[#This Row],[L_Bp]],"#,#0.#0")</f>
        <v>2,000 x -215.02</v>
      </c>
      <c r="AH6" s="1532" t="str" cm="1">
        <f t="array" aca="1" ref="AH6" ca="1">_xlfn.IFS(Tab_NewTRADER[[#This Row],[M_State]]=Sale_Back,Tab_NewTRADER[[#This Row],[Sale_Back_$]], TRUE,"M = "&amp;Tab_NewTRADER[[#This Row],[M]])</f>
        <v>M = 221.182</v>
      </c>
      <c r="AI6" s="1455" cm="1">
        <f t="array" aca="1" ref="AI6" ca="1">IF(Tab_NewTRADER[[#This Row],[M_State]]=MUp,_xlfn.IFS(Tab_NewTRADER[[#This Row],[M_State]]=MUp,MIN(Tab_NewTRADER[[#This Row],[N]],Tab_NewTRADER[[#This Row],[L_Bn]])*(Tab_NewTRADER[[#This Row],[M]]-Tab_NewTRADER[[#This Row],[L_Sp]])*Tab_NewTRADER[[#This Row],[Scale]]*ComFactor, TRUE,0),0)</f>
        <v>0</v>
      </c>
      <c r="AJ6" s="1459" cm="1">
        <f t="array" aca="1" ref="AJ6" ca="1">_xlfn.IFS(Tab_NewTRADER[[#This Row],[M_State]]=MUp,                 MIN(Tab_NewTRADER[[#This Row],[L_Sn]],Tab_NewTRADER[[#This Row],[N]])*(Tab_NewTRADER[[#This Row],[M]]-Tab_NewTRADER[[#This Row],[A]])*Tab_NewTRADER[[#This Row],[Scale]]*ComFactor, TRUE,0)</f>
        <v>0</v>
      </c>
      <c r="AK6" s="1459" cm="1">
        <f t="array" aca="1" ref="AK6" ca="1">_xlfn.IFS(Tab_NewTRADER[[#This Row],[M_State]]=MUp,                  Tab_NewTRADER[[#This Row],[N]]*(Tab_NewTRADER[[#This Row],[M]]-Tab_NewTRADER[[#This Row],[A]])*Tab_NewTRADER[[#This Row],[Scale]]*ComFactor, TRUE,0)</f>
        <v>0</v>
      </c>
      <c r="AL6" s="1452" t="str">
        <f ca="1">TEXT(Tab_NewTRADER[[#This Row],[L_Sn]],"#,#0")&amp;" x "&amp;TEXT(Tab_NewTRADER[[#This Row],[L_Sp]],"#,#0.#0")</f>
        <v>200 x 221.52</v>
      </c>
      <c r="AM6" s="1465" t="str" cm="1">
        <f t="array" aca="1" ref="AM6" ca="1">_xlfn.IFS(Tab_NewTRADER[[#This Row],[M_State]]=RePurchaseGain,TEXT(-Tab_NewTRADER[[#This Row],[Buy_Back]],"#,#0")&amp;"       / "&amp;TEXT(Tab_NewTRADER[[#This Row],[Rev_Buy]],"#,#00.0)%"),TRUE,"M = "&amp;Tab_NewTRADER[[#This Row],[M]])</f>
        <v>66       / 00.2)%</v>
      </c>
      <c r="AN6" s="1435" cm="1">
        <f t="array" aca="1" ref="AN6" ca="1">_xlfn.IFS(Tab_NewTRADER[[#This Row],[M_State]]=MDown,TEXT(Tab_NewTRADER[[#This Row],[L_Sn]]*(Tab_NewTRADER[[#This Row],[M]]-Tab_NewTRADER[[#This Row],[L_Sp]])*ComFactor,"#,#0")&amp;"       / "&amp;TEXT((TabTRADER[[#This Row],[M]]-TabTRADER[[#This Row],[L_Sp]])/TabTRADER[[#This Row],[M]],"#,#00.0)%"),TRUE,0)</f>
        <v>0</v>
      </c>
      <c r="AO6" s="1486" cm="1">
        <f t="array" aca="1" ref="AO6" ca="1">_xlfn.IFS(Tab_NewTRADER[[#This Row],[M_State]]=MDown,TEXT(Tab_NewTRADER[[#This Row],[N]]*(Tab_NewTRADER[[#This Row],[M]]-Tab_NewTRADER[[#This Row],[A]])*Tab_NewTRADER[[#This Row],[Scale]]*ComFactor,"#,#0")&amp;"       / "&amp;TEXT((TabTRADER[[#This Row],[M]]-TabTRADER[[#This Row],[L_Bp]])/TabTRADER[[#This Row],[M]],"#,#00.0%"),TRUE,0)</f>
        <v>0</v>
      </c>
      <c r="AP6" s="1435" t="str" cm="1">
        <f t="array" aca="1" ref="AP6" ca="1">_xlfn.IFS(Tab_NewTRADER[[#This Row],[M_State]]=MDown,TEXT(Tab_NewTRADER[[#This Row],[N]]*Tab_NewTRADER[[#This Row],[M]],"#,#0")&amp;" @ "&amp;TEXT(Tab_NewTRADER[[#This Row],[A]],"#,#0.#0"),TRUE,"M = "&amp; Tab_NewTRADER[[#This Row],[M]])</f>
        <v>M = 221.182</v>
      </c>
      <c r="AQ6" s="1165">
        <f ca="1">Tab_NewTRADER[[#This Row],[N]]*(Tab_NewTRADER[[#This Row],[M]]-Tab_NewTRADER[[#This Row],[A]])*(1-Commission)*Tab_NewTRADER[[#This Row],[Scale]]</f>
        <v>215718.88882799973</v>
      </c>
      <c r="AR6" s="1165">
        <f ca="1">Tab_NewTRADER[[#This Row],[M]]*Tab_NewTRADER[[#This Row],[N]]*(1-Commission)*Tab_NewTRADER[[#This Row],[Scale]]</f>
        <v>2647283.1215999997</v>
      </c>
      <c r="AS6" s="1174" cm="1">
        <f t="array" aca="1" ref="AS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1.5032842019727713E-3</v>
      </c>
      <c r="AT6" s="1174" t="str" cm="1">
        <f t="array" aca="1" ref="AT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 s="825" t="str" cm="1">
        <f t="array" aca="1" ref="AU6" ca="1">_xlfn.IFS(   Tab_NewTRADER[[#This Row],[M_State]]=SellMorePercentGain,                     MIN(Tab_NewTRADER[[#This Row],[L_Sn]],Tab_NewTRADER[[#This Row],[N]])*(Tab_NewTRADER[[#This Row],[M]]-Tab_NewTRADER[[#This Row],[L_Sp]])*(1-Commission)*Tab_NewTRADER[[#This Row],[Scale]],                    TRUE,"")</f>
        <v/>
      </c>
      <c r="AV6" s="1163">
        <f ca="1">_xlfn.XLOOKUP(Tab_NewTRADER[[#This Row],[ClickTick]],TabCalc[Ticker],TabCalc[Ann%RevLB])</f>
        <v>9.3789161261954149E-2</v>
      </c>
      <c r="AW6" s="1267">
        <f ca="1">_xlfn.XLOOKUP(Tab_NewTRADER[[#This Row],[ClickTick]],TabCalc[Ticker],TabCalc[Up20])</f>
        <v>0</v>
      </c>
      <c r="AX6" s="1175" t="str" cm="1">
        <f t="array" aca="1" ref="AX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 s="825" t="str" cm="1">
        <f t="array" aca="1" ref="AY6" ca="1">_xlfn.IFS(         Tab_NewTRADER[[#This Row],[M_State]]=MDown,Tab_NewTRADER[[#This Row],[L_Bn]]*Tab_NewTRADER[[#This Row],[M]]*(-(Tab_NewTRADER[[#This Row],[L_Bp]]+Tab_NewTRADER[[#This Row],[M]])/Tab_NewTRADER[[#This Row],[M]])*(1-Commission)*Tab_NewTRADER[[#This Row],[Scale]],                               TRUE,"")</f>
        <v/>
      </c>
      <c r="AZ6" s="1174" t="str" cm="1">
        <f t="array" aca="1" ref="AZ6" ca="1">_xlfn.IFS(   Tab_NewTRADER[[#This Row],[M_State]]=MUp,Tab_NewTRADER[[#This Row],[TakeGain_A]]-Commission,        Tab_NewTRADER[[#This Row],[M_State]]=MDown,(Tab_NewTRADER[[#This Row],[A]]-Tab_NewTRADER[[#This Row],[M]])/Tab_NewTRADER[[#This Row],[M]]-Commission,                              TRUE,"")</f>
        <v/>
      </c>
      <c r="BA6" s="760" cm="1">
        <f t="array" aca="1" ref="BA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215718.88882799973</v>
      </c>
      <c r="BB6" s="760" t="str" cm="1">
        <f t="array" aca="1" ref="BB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C6" s="736" t="str" cm="1">
        <f t="array" aca="1" ref="BC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6" s="765" cm="1">
        <f t="array" aca="1" ref="BD6" ca="1">_xlfn.IFS(Tab_NewTRADER[[#This Row],[M_State]]=Sale_Back,"",         Tab_NewTRADER[[#This Row],[M_State]]=MDown, (Tab_NewTRADER[[#This Row],[M]]-Tab_NewTRADER[[#This Row],[A]])/Tab_NewTRADER[[#This Row],[A]]*ComFactor,             TRUE, IFERROR((Tab_NewTRADER[[#This Row],[M]]-Tab_NewTRADER[[#This Row],[A]])/Tab_NewTRADER[[#This Row],[A]]*ComFactor,""))</f>
        <v>8.8485435349476782E-2</v>
      </c>
      <c r="BE6" s="762" cm="1">
        <f t="array" aca="1" ref="BE6" ca="1">_xlfn.IFS(               Tab_NewTRADER[[#This Row],[M_State]]=NoStock,(Tab_NewTRADER[[#This Row],[L_Sp]]-Tab_NewTRADER[[#This Row],[M]])/Tab_NewTRADER[[#This Row],[M]]-Commission,             Tab_NewTRADER[[#This Row],[A]]&lt;&gt;0,(Tab_NewTRADER[[#This Row],[A]]-Tab_NewTRADER[[#This Row],[M]])/Tab_NewTRADER[[#This Row],[M]]-Commission)</f>
        <v>-8.4086897667983745E-2</v>
      </c>
      <c r="BF6" s="324">
        <f ca="1">_xlfn.XLOOKUP(Tab_NewTRADER[[#This Row],[ClickTick]],TabCalc[Ticker],TabCalc[L_Sn])</f>
        <v>200</v>
      </c>
      <c r="BG6" s="728">
        <f ca="1">_xlfn.XLOOKUP(Tab_NewTRADER[[#This Row],[ClickTick]],TabCalc[Ticker],TabCalc[L_Sp])</f>
        <v>221.51499999999999</v>
      </c>
      <c r="BH6" s="764">
        <f ca="1">-IFERROR((Tab_NewTRADER[[#This Row],[M]]-Tab_NewTRADER[[#This Row],[L_Sp]])/Tab_NewTRADER[[#This Row],[L_Sp]],0)</f>
        <v>1.5032842019727713E-3</v>
      </c>
      <c r="BI6" s="729">
        <f ca="1">MIN(Tab_NewTRADER[[#This Row],[L_Sn]],Tab_NewTRADER[[#This Row],[N]])*(Tab_NewTRADER[[#This Row],[M]]-Tab_NewTRADER[[#This Row],[L_Sp]])*(1-Commission)*Tab_NewTRADER[[#This Row],[Scale]]</f>
        <v>-66.426839999999686</v>
      </c>
      <c r="BJ6" s="692">
        <f ca="1">Tab_NewTRADER[[#This Row],[L_Sn]]*(Tab_NewTRADER[[#This Row],[Agiotage]]-Tab_NewTRADER[[#This Row],[M]])/(Tab_NewTRADER[[#This Row],[L_Bn]]*Tab_NewTRADER[[#This Row],[M]])</f>
        <v>-9.9750307997062734E-2</v>
      </c>
      <c r="BK6" s="635">
        <f ca="1">IFERROR((Tab_NewTRADER[[#This Row],[M]]-Tab_NewTRADER[[#This Row],[A]])/Tab_NewTRADER[[#This Row],[A]],0)</f>
        <v>8.8716097202202512E-2</v>
      </c>
      <c r="BL6" s="638" t="str">
        <f ca="1">TEXT(_xlfn.XLOOKUP(Tab_NewTRADER[[#This Row],[ClickTick]],TabCalc[Ticker],TabCalc[NAfter]),"#,#0")&amp;" : "&amp;TEXT(_xlfn.XLOOKUP(Tab_NewTRADER[[#This Row],[ClickTick]],TabCalc[Ticker],TabCalc[NAfter])*(Tab_NewTRADER[[#This Row],[M]]-Tab_NewTRADER[[#This Row],[A]])*(1-Commission)*Tab_NewTRADER[[#This Row],[Scale]],"#,#0$")</f>
        <v>12,000 : 215,719$</v>
      </c>
      <c r="BM6" s="684">
        <f ca="1">_xlfn.XLOOKUP(Tab_NewTRADER[[#This Row],[ClickTick]],TabCalc[[#This Row],[Ticker]],TabCalc[[#This Row],[GL]])*(1-Commission)</f>
        <v>678049.231065967</v>
      </c>
      <c r="BN6" s="684"/>
      <c r="BO6" s="669" t="str">
        <f ca="1">Tab_NewTRADER[[#This Row],[ClickTick]]&amp;": "&amp;_xlfn.XLOOKUP(Tab_NewTRADER[[#This Row],[ClickTick]],TabCalc[Ticker],TabCalc[Pile?])</f>
        <v>AMZN: Pile</v>
      </c>
      <c r="BP6" s="351" t="s">
        <v>2001</v>
      </c>
      <c r="BQ6" s="755" t="str" cm="1">
        <f t="array" aca="1" ref="BQ6" ca="1">_xlfn.TEXTJOIN("",,INDEX({"M","A","Y"}, _xlfn.SORTBY({1,2,3}, -CHOOSE({1,2,3}, Tab_NewTRADER[[#This Row],[M]], Tab_NewTRADER[[#This Row],[A]], Tab_NewTRADER[[#This Row],[Agiotage]]))))</f>
        <v>MAY</v>
      </c>
      <c r="BR6" s="902" t="str" cm="1">
        <f t="array" aca="1" ref="BR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 s="679">
        <f ca="1">Tab_NewTRADER[[#This Row],[L_Sn]]*Tab_NewTRADER[[#This Row],[L_Sp]]+Tab_NewTRADER[[#This Row],[SellMore]]*Tab_NewTRADER[[#This Row],[M]]</f>
        <v>154894</v>
      </c>
      <c r="BT6" s="679">
        <f ca="1">INDEX(
  INDEX(TabConsolid[], , _xlfn.XMATCH(Tab_NewTRADER[[#This Row],[ClickTick]]&amp;1, TabConsolid[#Headers])),
  MATCH(
    -Tab_NewTRADER[[#This Row],[M]],
    INDEX(TabConsolid[], , _xlfn.XMATCH(Tab_NewTRADER[[#This Row],[ClickTick]]&amp;2, TabConsolid[#Headers])),
    -1
  )
)</f>
        <v>500</v>
      </c>
      <c r="BU6" s="679" cm="1">
        <f t="array" aca="1" ref="BU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6" s="1144">
        <f ca="1">Tab_NewTRADER[[#This Row],[ReBuy]]/(Tab_NewTRADER[[#This Row],[L_Sn]]+Tab_NewTRADER[[#This Row],[SellMore]])</f>
        <v>221.27714285714285</v>
      </c>
      <c r="BW6" s="687">
        <f ca="1">((_xlfn.XLOOKUP(Tab_NewTRADER[[#This Row],[ClickTick]],TabCalc[Ticker],TabCalc[NAfter])+Tab_NewTRADER[[#This Row],[L_Sn]])*(Tab_NewTRADER[[#This Row],[Agiotage]]-Tab_NewTRADER[[#This Row],[M]]))/(Tab_NewTRADER[[#This Row],[L_Sn]]*_xlfn.XLOOKUP(Tab_NewTRADER[[#This Row],[ClickTick]],TabCalc[Ticker],TabCalc[NAfter]))</f>
        <v>-1.1215344416898216</v>
      </c>
      <c r="BX6" s="687">
        <f ca="1">(Tab_NewTRADER[[#This Row],[M]]-Tab_NewTRADER[[#This Row],[Agiotage]])/(Tab_NewTRADER[[#This Row],[M]]-Tab_NewTRADER[[#This Row],[A]])-1</f>
        <v>11.241269560106804</v>
      </c>
      <c r="BY6" s="1262">
        <f ca="1">_xlfn.XMATCH(Tab_NewTRADER[[#This Row],[ClickTick]]&amp;1, TabConsolid[#Headers])</f>
        <v>11</v>
      </c>
      <c r="BZ6" t="b">
        <f ca="1">IF(ABS(Tab_NewTRADER[[#This Row],[L_Bp]])&gt;=Tab_NewTRADER[[#This Row],[M]],"OK")</f>
        <v>0</v>
      </c>
    </row>
    <row r="7" spans="1:78"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-3,630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-35.2%</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-7,680$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2.2286773255813959</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56381.599999999999</v>
      </c>
      <c r="M7" s="323">
        <f ca="1">_xlfn.XLOOKUP(Tab_NewTRADER[[#This Row],[ClickTick]],TabCalc[Ticker],TabCalc[Agiotage])</f>
        <v>0.55366568914956016</v>
      </c>
      <c r="N7" s="324" cm="1">
        <f t="array" aca="1" ref="N7" ca="1">_xlfn.XLOOKUP(Tab_NewTRADER[[#This Row],[ClickTick]],ListTickers,Tab2RSIConventional[RSIConv20])</f>
        <v>36</v>
      </c>
      <c r="O7" s="703" t="str">
        <f ca="1">TEXT(_xlfn.XLOOKUP(Tab_NewTRADER[[#This Row],[ClickTick]],TabCalc[Ticker],TabCalc[Nbegin]),"#,#0")&amp;": "&amp;_xlfn.XLOOKUP(Tab_NewTRADER[[#This Row],[ClickTick]],TabCalc[Ticker],TabCalc[Pile?])</f>
        <v>2,448,050: Pile</v>
      </c>
      <c r="P7" s="950">
        <f ca="1">_xlfn.XLOOKUP(Tab_NewTRADER[[#This Row],[ClickTick]],TabCalc[Ticker],TabCalc[L_Bn])</f>
        <v>15000</v>
      </c>
      <c r="Q7" s="728">
        <f ca="1">_xlfn.XLOOKUP(Tab_NewTRADER[[#This Row],[ClickTick]],TabCalc[Ticker],TabCalc[L_Bp])</f>
        <v>-0.93</v>
      </c>
      <c r="R7" s="764">
        <f ca="1">(Tab_NewTRADER[[#This Row],[M]]+Tab_NewTRADER[[#This Row],[L_Bp]])/ABS(Tab_NewTRADER[[#This Row],[L_Bp]])</f>
        <v>-0.26021505376344095</v>
      </c>
      <c r="S7" s="683">
        <f ca="1">_xlfn.XLOOKUP(Tab_NewTRADER[[#This Row],[ClickTick]],TabCalc[Ticker],TabCalc[Rev(MinStock)])*(1-Commission)</f>
        <v>-3620.5620000000013</v>
      </c>
      <c r="T7" s="1339">
        <f ca="1">_xlfn.XLOOKUP(Tab_NewTRADER[[#This Row],[ClickTick]],TabCalc[Ticker],TabCalc[Agiotage])</f>
        <v>0.55366568914956016</v>
      </c>
      <c r="U7" s="747"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15,180/15,180=&gt;1.2% / 1.2%</v>
      </c>
      <c r="V7" s="739" t="str">
        <f ca="1">_xlfn.XLOOKUP(Tab_NewTRADER[[#This Row],[ClickTick]],[1]!RTData[Ticker_Symbol],[1]!RTData[Currency])</f>
        <v>EUR</v>
      </c>
      <c r="W7" s="749">
        <f ca="1">_xlfn.XLOOKUP(Tab_NewTRADER[[#This Row],[ClickTick]],TabCalc[Ticker],TabCalc[M])</f>
        <v>0.68799999999999994</v>
      </c>
      <c r="X7" s="1315"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1.1765000000000001E-2</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-1,224K /1,741 K$</v>
      </c>
      <c r="AF7" s="1161"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 s="1530" t="str">
        <f ca="1">TEXT(MIN(Tab_NewTRADER[[#This Row],[L_Bn]],Tab_NewTRADER[[#This Row],[N]]),"#,#0")&amp;" x "&amp;TEXT(Tab_NewTRADER[[#This Row],[L_Bp]],"#,#0.#0")</f>
        <v>15,000 x -0.93</v>
      </c>
      <c r="AH7" s="1530" t="str" cm="1">
        <f t="array" aca="1" ref="AH7" ca="1">_xlfn.IFS(Tab_NewTRADER[[#This Row],[M_State]]=Sale_Back,Tab_NewTRADER[[#This Row],[Sale_Back_$]], TRUE,"M = "&amp;Tab_NewTRADER[[#This Row],[M]])</f>
        <v>M = 0.688</v>
      </c>
      <c r="AI7" s="1433" cm="1">
        <f t="array" aca="1" ref="AI7" ca="1">IF(Tab_NewTRADER[[#This Row],[M_State]]=MUp,_xlfn.IFS(Tab_NewTRADER[[#This Row],[M_State]]=MUp,MIN(Tab_NewTRADER[[#This Row],[N]],Tab_NewTRADER[[#This Row],[L_Bn]])*(Tab_NewTRADER[[#This Row],[M]]-Tab_NewTRADER[[#This Row],[L_Sp]])*Tab_NewTRADER[[#This Row],[Scale]]*ComFactor, TRUE,0),0)</f>
        <v>0</v>
      </c>
      <c r="AJ7" s="1433" cm="1">
        <f t="array" aca="1" ref="AJ7" ca="1">_xlfn.IFS(Tab_NewTRADER[[#This Row],[M_State]]=MUp,                 MIN(Tab_NewTRADER[[#This Row],[L_Sn]],Tab_NewTRADER[[#This Row],[N]])*(Tab_NewTRADER[[#This Row],[M]]-Tab_NewTRADER[[#This Row],[A]])*Tab_NewTRADER[[#This Row],[Scale]]*ComFactor, TRUE,0)</f>
        <v>0</v>
      </c>
      <c r="AK7" s="1433" cm="1">
        <f t="array" aca="1" ref="AK7" ca="1">_xlfn.IFS(Tab_NewTRADER[[#This Row],[M_State]]=MUp,                  Tab_NewTRADER[[#This Row],[N]]*(Tab_NewTRADER[[#This Row],[M]]-Tab_NewTRADER[[#This Row],[A]])*Tab_NewTRADER[[#This Row],[Scale]]*ComFactor, TRUE,0)</f>
        <v>0</v>
      </c>
      <c r="AL7" s="1435" t="str">
        <f ca="1">TEXT(Tab_NewTRADER[[#This Row],[L_Sn]],"#,#0")&amp;" x "&amp;TEXT(Tab_NewTRADER[[#This Row],[L_Sp]],"#,#0.#0")</f>
        <v>0 x 0.0</v>
      </c>
      <c r="AM7" s="1465" t="str" cm="1">
        <f t="array" aca="1" ref="AM7" ca="1">_xlfn.IFS(Tab_NewTRADER[[#This Row],[M_State]]=RePurchaseGain,TEXT(-Tab_NewTRADER[[#This Row],[Buy_Back]],"#,#0")&amp;"       / "&amp;TEXT(Tab_NewTRADER[[#This Row],[Rev_Buy]],"#,#00.0)%"),TRUE,"M = "&amp;Tab_NewTRADER[[#This Row],[M]])</f>
        <v>M = 0.688</v>
      </c>
      <c r="AN7" s="1435" t="str" cm="1">
        <f t="array" aca="1" ref="AN7" ca="1">_xlfn.IFS(Tab_NewTRADER[[#This Row],[M_State]]=MDown,TEXT(Tab_NewTRADER[[#This Row],[L_Sn]]*(Tab_NewTRADER[[#This Row],[M]]-Tab_NewTRADER[[#This Row],[L_Sp]])*ComFactor,"#,#0")&amp;"       / "&amp;TEXT((TabTRADER[[#This Row],[M]]-TabTRADER[[#This Row],[L_Sp]])/TabTRADER[[#This Row],[M]],"#,#00.0)%"),TRUE,0)</f>
        <v>0       / 100.0)%</v>
      </c>
      <c r="AO7" s="1486" t="str" cm="1">
        <f t="array" aca="1" ref="AO7" ca="1">_xlfn.IFS(Tab_NewTRADER[[#This Row],[M_State]]=MDown,TEXT(Tab_NewTRADER[[#This Row],[N]]*(Tab_NewTRADER[[#This Row],[M]]-Tab_NewTRADER[[#This Row],[A]])*Tab_NewTRADER[[#This Row],[Scale]]*ComFactor,"#,#0")&amp;"       / "&amp;TEXT((TabTRADER[[#This Row],[M]]-TabTRADER[[#This Row],[L_Bp]])/TabTRADER[[#This Row],[M]],"#,#00.0%"),TRUE,0)</f>
        <v>-1,208,630       / 235.2%</v>
      </c>
      <c r="AP7" s="1435" t="str" cm="1">
        <f t="array" aca="1" ref="AP7" ca="1">_xlfn.IFS(Tab_NewTRADER[[#This Row],[M_State]]=MDown,TEXT(Tab_NewTRADER[[#This Row],[N]]*Tab_NewTRADER[[#This Row],[M]],"#,#0")&amp;" @ "&amp;TEXT(Tab_NewTRADER[[#This Row],[A]],"#,#0.#0"),TRUE,"M = "&amp; Tab_NewTRADER[[#This Row],[M]])</f>
        <v>1,740,640 @ 1.17</v>
      </c>
      <c r="AQ7" s="760">
        <f ca="1">Tab_NewTRADER[[#This Row],[N]]*(Tab_NewTRADER[[#This Row],[M]]-Tab_NewTRADER[[#This Row],[A]])*(1-Commission)*Tab_NewTRADER[[#This Row],[Scale]]</f>
        <v>-1208630.4105564312</v>
      </c>
      <c r="AR7" s="760">
        <f ca="1">Tab_NewTRADER[[#This Row],[M]]*Tab_NewTRADER[[#This Row],[N]]*(1-Commission)*Tab_NewTRADER[[#This Row],[Scale]]</f>
        <v>1736114.3359999997</v>
      </c>
      <c r="AS7" s="1174" cm="1">
        <f t="array" aca="1" ref="AS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0.41043639248182623</v>
      </c>
      <c r="AT7" s="1174" cm="1">
        <f t="array" aca="1" ref="AT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0.34914418604651182</v>
      </c>
      <c r="AU7" s="825" t="str" cm="1">
        <f t="array" aca="1" ref="AU7" ca="1">_xlfn.IFS(   Tab_NewTRADER[[#This Row],[M_State]]=SellMorePercentGain,                     MIN(Tab_NewTRADER[[#This Row],[L_Sn]],Tab_NewTRADER[[#This Row],[N]])*(Tab_NewTRADER[[#This Row],[M]]-Tab_NewTRADER[[#This Row],[L_Sp]])*(1-Commission)*Tab_NewTRADER[[#This Row],[Scale]],                    TRUE,"")</f>
        <v/>
      </c>
      <c r="AV7" s="1163">
        <f ca="1">_xlfn.XLOOKUP(Tab_NewTRADER[[#This Row],[ClickTick]],TabCalc[Ticker],TabCalc[Ann%RevLB])</f>
        <v>-0.38080251770259654</v>
      </c>
      <c r="AW7" s="1267">
        <f ca="1">_xlfn.XLOOKUP(Tab_NewTRADER[[#This Row],[ClickTick]],TabCalc[Ticker],TabCalc[Up20])</f>
        <v>0</v>
      </c>
      <c r="AX7" s="1340" cm="1">
        <f t="array" aca="1" ref="AX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0.35174418604651181</v>
      </c>
      <c r="AY7" s="825" cm="1">
        <f t="array" aca="1" ref="AY7" ca="1">_xlfn.IFS(         Tab_NewTRADER[[#This Row],[M_State]]=MDown,Tab_NewTRADER[[#This Row],[L_Bn]]*Tab_NewTRADER[[#This Row],[M]]*(-(Tab_NewTRADER[[#This Row],[L_Bp]]+Tab_NewTRADER[[#This Row],[M]])/Tab_NewTRADER[[#This Row],[M]])*(1-Commission)*Tab_NewTRADER[[#This Row],[Scale]],                               TRUE,"")</f>
        <v>3620.5620000000017</v>
      </c>
      <c r="AZ7" s="1174" cm="1">
        <f t="array" aca="1" ref="AZ7" ca="1">_xlfn.IFS(   Tab_NewTRADER[[#This Row],[M_State]]=MUp,Tab_NewTRADER[[#This Row],[TakeGain_A]]-Commission,        Tab_NewTRADER[[#This Row],[M_State]]=MDown,(Tab_NewTRADER[[#This Row],[A]]-Tab_NewTRADER[[#This Row],[M]])/Tab_NewTRADER[[#This Row],[M]]-Commission,                              TRUE,"")</f>
        <v>0.6935698233199955</v>
      </c>
      <c r="BA7" s="825" cm="1">
        <f t="array" aca="1" ref="BA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1208630.4105564312</v>
      </c>
      <c r="BB7" s="760" t="str" cm="1">
        <f t="array" aca="1" ref="BB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C7" s="736" cm="1">
        <f t="array" aca="1" ref="BC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-0.24</v>
      </c>
      <c r="BD7" s="765" cm="1">
        <f t="array" aca="1" ref="BD7" ca="1">_xlfn.IFS(Tab_NewTRADER[[#This Row],[M_State]]=Sale_Back,"",         Tab_NewTRADER[[#This Row],[M_State]]=MDown, (Tab_NewTRADER[[#This Row],[M]]-Tab_NewTRADER[[#This Row],[A]])/Tab_NewTRADER[[#This Row],[A]]*ComFactor,             TRUE, IFERROR((Tab_NewTRADER[[#This Row],[M]]-Tab_NewTRADER[[#This Row],[A]])/Tab_NewTRADER[[#This Row],[A]]*ComFactor,""))</f>
        <v>-0.40936925786137346</v>
      </c>
      <c r="BE7" s="762" cm="1">
        <f t="array" aca="1" ref="BE7" ca="1">_xlfn.IFS(               Tab_NewTRADER[[#This Row],[M_State]]=NoStock,(Tab_NewTRADER[[#This Row],[L_Sp]]-Tab_NewTRADER[[#This Row],[M]])/Tab_NewTRADER[[#This Row],[M]]-Commission,             Tab_NewTRADER[[#This Row],[A]]&lt;&gt;0,(Tab_NewTRADER[[#This Row],[A]]-Tab_NewTRADER[[#This Row],[M]])/Tab_NewTRADER[[#This Row],[M]]-Commission)</f>
        <v>0.6935698233199955</v>
      </c>
      <c r="BF7" s="1341">
        <f ca="1">_xlfn.XLOOKUP(Tab_NewTRADER[[#This Row],[ClickTick]],TabCalc[Ticker],TabCalc[L_Sn])</f>
        <v>0</v>
      </c>
      <c r="BG7" s="728">
        <f ca="1">_xlfn.XLOOKUP(Tab_NewTRADER[[#This Row],[ClickTick]],TabCalc[Ticker],TabCalc[L_Sp])</f>
        <v>0</v>
      </c>
      <c r="BH7" s="764">
        <f ca="1">-IFERROR((Tab_NewTRADER[[#This Row],[M]]-Tab_NewTRADER[[#This Row],[L_Sp]])/Tab_NewTRADER[[#This Row],[L_Sp]],0)</f>
        <v>0</v>
      </c>
      <c r="BI7" s="729">
        <f ca="1">MIN(Tab_NewTRADER[[#This Row],[L_Sn]],Tab_NewTRADER[[#This Row],[N]])*(Tab_NewTRADER[[#This Row],[M]]-Tab_NewTRADER[[#This Row],[L_Sp]])*(1-Commission)*Tab_NewTRADER[[#This Row],[Scale]]</f>
        <v>0</v>
      </c>
      <c r="BJ7" s="692">
        <f ca="1">Tab_NewTRADER[[#This Row],[L_Sn]]*(Tab_NewTRADER[[#This Row],[Agiotage]]-Tab_NewTRADER[[#This Row],[M]])/(Tab_NewTRADER[[#This Row],[L_Bn]]*Tab_NewTRADER[[#This Row],[M]])</f>
        <v>0</v>
      </c>
      <c r="BK7" s="635">
        <f ca="1">IFERROR((Tab_NewTRADER[[#This Row],[M]]-Tab_NewTRADER[[#This Row],[A]])/Tab_NewTRADER[[#This Row],[A]],0)</f>
        <v>-0.41043639248182623</v>
      </c>
      <c r="BL7" s="638" t="str">
        <f ca="1">TEXT(_xlfn.XLOOKUP(Tab_NewTRADER[[#This Row],[ClickTick]],TabCalc[Ticker],TabCalc[NAfter]),"#,#0")&amp;" : "&amp;TEXT(_xlfn.XLOOKUP(Tab_NewTRADER[[#This Row],[ClickTick]],TabCalc[Ticker],TabCalc[NAfter])*(Tab_NewTRADER[[#This Row],[M]]-Tab_NewTRADER[[#This Row],[A]])*(1-Commission)*Tab_NewTRADER[[#This Row],[Scale]],"#,#0$")</f>
        <v>2,530,000 : -1,208,630$</v>
      </c>
      <c r="BM7" s="684">
        <f ca="1">_xlfn.XLOOKUP(Tab_NewTRADER[[#This Row],[ClickTick]],TabCalc[[#This Row],[Ticker]],TabCalc[[#This Row],[GL]])*(1-Commission)</f>
        <v>-1220800.6441710782</v>
      </c>
      <c r="BN7" s="684"/>
      <c r="BO7" s="669" t="str">
        <f ca="1">Tab_NewTRADER[[#This Row],[ClickTick]]&amp;": "&amp;_xlfn.XLOOKUP(Tab_NewTRADER[[#This Row],[ClickTick]],TabCalc[Ticker],TabCalc[Pile?])</f>
        <v>ALDNE: Pile</v>
      </c>
      <c r="BP7" s="351" t="s">
        <v>2076</v>
      </c>
      <c r="BQ7" s="755" t="str" cm="1">
        <f t="array" aca="1" ref="BQ7" ca="1">_xlfn.TEXTJOIN("",,INDEX({"M","A","Y"}, _xlfn.SORTBY({1,2,3}, -CHOOSE({1,2,3}, Tab_NewTRADER[[#This Row],[M]], Tab_NewTRADER[[#This Row],[A]], Tab_NewTRADER[[#This Row],[Agiotage]]))))</f>
        <v>AMY</v>
      </c>
      <c r="BR7" s="902" cm="1">
        <f t="array" aca="1" ref="BR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0.35174418604651181</v>
      </c>
      <c r="BS7" s="679" t="e">
        <f ca="1">Tab_NewTRADER[[#This Row],[L_Sn]]*Tab_NewTRADER[[#This Row],[L_Sp]]+Tab_NewTRADER[[#This Row],[SellMore]]*Tab_NewTRADER[[#This Row],[M]]</f>
        <v>#N/A</v>
      </c>
      <c r="BT7" s="679" t="e">
        <f ca="1">INDEX(
  INDEX(TabConsolid[], , _xlfn.XMATCH(Tab_NewTRADER[[#This Row],[ClickTick]]&amp;1, TabConsolid[#Headers])),
  MATCH(
    -Tab_NewTRADER[[#This Row],[M]],
    INDEX(TabConsolid[], , _xlfn.XMATCH(Tab_NewTRADER[[#This Row],[ClickTick]]&amp;2, TabConsolid[#Headers])),
    -1
  )
)</f>
        <v>#N/A</v>
      </c>
      <c r="BU7" s="679" cm="1">
        <f t="array" aca="1" ref="BU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V7" s="1144" t="e">
        <f ca="1">Tab_NewTRADER[[#This Row],[ReBuy]]/(Tab_NewTRADER[[#This Row],[L_Sn]]+Tab_NewTRADER[[#This Row],[SellMore]])</f>
        <v>#N/A</v>
      </c>
      <c r="BW7" s="687" t="e">
        <f ca="1">((_xlfn.XLOOKUP(Tab_NewTRADER[[#This Row],[ClickTick]],TabCalc[Ticker],TabCalc[NAfter])+Tab_NewTRADER[[#This Row],[L_Sn]])*(Tab_NewTRADER[[#This Row],[Agiotage]]-Tab_NewTRADER[[#This Row],[M]]))/(Tab_NewTRADER[[#This Row],[L_Sn]]*_xlfn.XLOOKUP(Tab_NewTRADER[[#This Row],[ClickTick]],TabCalc[Ticker],TabCalc[NAfter]))</f>
        <v>#DIV/0!</v>
      </c>
      <c r="BX7" s="687">
        <f ca="1">(Tab_NewTRADER[[#This Row],[M]]-Tab_NewTRADER[[#This Row],[Agiotage]])/(Tab_NewTRADER[[#This Row],[M]]-Tab_NewTRADER[[#This Row],[A]])-1</f>
        <v>-1.2804680011309473</v>
      </c>
      <c r="BY7" s="1262">
        <f ca="1">_xlfn.XMATCH(Tab_NewTRADER[[#This Row],[ClickTick]]&amp;1, TabConsolid[#Headers])</f>
        <v>14</v>
      </c>
      <c r="BZ7" t="str">
        <f ca="1">IF(ABS(Tab_NewTRADER[[#This Row],[L_Bp]])&gt;=Tab_NewTRADER[[#This Row],[M]],"OK")</f>
        <v>OK</v>
      </c>
    </row>
    <row r="8" spans="1:78"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-886.7x100=    -10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0.0%</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50,000</v>
      </c>
      <c r="F8" s="226" t="str">
        <f ca="1">TRUNC(TabCalc[[#This Row],[L_B1p]],2)&amp;"x"&amp;TabCalc[[#This Row],[L_B1n]]&amp;"=   "&amp;TEXT(TabCalc[[#This Row],[ReverseS1]],"#,#0")&amp;"$"</f>
        <v>-813.9x200=   14,540$</v>
      </c>
      <c r="G8" s="225" t="str">
        <f ca="1">IFERROR(TRUNC(_xlfn.XLOOKUP(Tab_NewTRADER[[#This Row],[ClickTick]],TabCalc[Ticker],ListLastSalep),2)&amp;"x"&amp;_xlfn.XLOOKUP(Tab_NewTRADER[[#This Row],[ClickTick]],TabCalc[Ticker],ListLastSalen)&amp;"=   "&amp;TEXT(-_xlfn.XLOOKUP(Tab_NewTRADER[[#This Row],[ClickTick]],TabCalc[Ticker],ListReverseB),"#,#0")&amp;"$","")</f>
        <v>886.7x100=   -10$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50,000</v>
      </c>
      <c r="I8" s="226" t="str">
        <f ca="1">IFERROR(TRUNC(TabCalc[[#This Row],[L_S1p]],2)&amp;"x"&amp;TabCalc[[#This Row],[L_S1n]]&amp;"=   "&amp;TEXT(TabCalc[[#This Row],[ReverseB1]],"#,#0"),"")</f>
        <v>910.25x100=   2,365</v>
      </c>
      <c r="J8" s="295">
        <f ca="1">_xlfn.XLOOKUP(Tab_NewTRADER[[#This Row],[ClickTick]],TabCalc[Ticker],ListGravity)</f>
        <v>1.0623767877284007</v>
      </c>
      <c r="K8" s="322" cm="1">
        <f t="array" aca="1" ref="K8" ca="1">IF(_xlfn.XLOOKUP(Tab_NewTRADER[[#This Row],[ClickTick]],Tab_NewTRADER[ClickTick],ListExtra_n)&gt;0,_xlfn.XLOOKUP(Tab_NewTRADER[[#This Row],[ClickTick]],Tab_NewTRADER[ClickTick],ListExtra_n),"")</f>
        <v>3000</v>
      </c>
      <c r="L8" s="320">
        <f ca="1">IF(_xlfn.XLOOKUP(Tab_NewTRADER[[#This Row],[ClickTick]],TabCalc[Ticker],ListExtra_n)&gt;0,_xlfn.XLOOKUP(Tab_NewTRADER[[#This Row],[ClickTick]],TabCalc[Ticker],ListExtra_n)*Tab_NewTRADER[[#This Row],[M]]*_xlfn.XLOOKUP(Tab_NewTRADER[[#This Row],[ClickTick]],TabCalc[Ticker],ListScale),"")</f>
        <v>2659800</v>
      </c>
      <c r="M8" s="323">
        <f ca="1">_xlfn.XLOOKUP(Tab_NewTRADER[[#This Row],[ClickTick]],TabCalc[Ticker],TabCalc[Agiotage])</f>
        <v>1.0213644846396783</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-1.1277771512351724E-4</v>
      </c>
      <c r="S8" s="683">
        <f ca="1">_xlfn.XLOOKUP(Tab_NewTRADER[[#This Row],[ClickTick]],TabCalc[Ticker],TabCalc[Rev(MinStock)])*(1-Commission)</f>
        <v>-9.9740000000022668</v>
      </c>
      <c r="T8" s="782">
        <f ca="1">_xlfn.XLOOKUP(Tab_NewTRADER[[#This Row],[ClickTick]],TabCalc[Ticker],TabCalc[Agiotage])</f>
        <v>1.0213644846396783</v>
      </c>
      <c r="U8" s="747"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89,250/89,250=&gt;2.4% / 2.4%</v>
      </c>
      <c r="V8" s="739" t="str">
        <f ca="1">_xlfn.XLOOKUP(Tab_NewTRADER[[#This Row],[ClickTick]],[1]!RTData[Ticker_Symbol],[1]!RTData[Currency])</f>
        <v>EUR</v>
      </c>
      <c r="W8" s="749">
        <f ca="1">_xlfn.XLOOKUP(Tab_NewTRADER[[#This Row],[ClickTick]],TabCalc[Ticker],TabCalc[M])</f>
        <v>886.6</v>
      </c>
      <c r="X8" s="1315"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655.73235294117649</v>
      </c>
      <c r="AB8" s="817" cm="1">
        <f t="array" aca="1" ref="AB8" ca="1">_xlfn.XLOOKUP(Tab_NewTRADER[[#This Row],[ClickTick]],ListTickers,Tab1ChangePercent[Change%19])</f>
        <v>2.4260999999999998E-2</v>
      </c>
      <c r="AC8" s="768">
        <f ca="1">_xlfn.XLOOKUP(Tab_NewTRADER[[#This Row],[ClickTick]],TabCalc[Ticker],TabCalc[NAfter])</f>
        <v>3500</v>
      </c>
      <c r="AD8" s="768">
        <f ca="1">_xlfn.XLOOKUP(Tab_NewTRADER[[#This Row],[ClickTick]],TabCalc[Ticker],TabCalc[Nbegin])</f>
        <v>500</v>
      </c>
      <c r="AE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^812K / 3,103 K$</v>
      </c>
      <c r="AF8" s="1182"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 s="1530" t="str">
        <f ca="1">TEXT(MIN(Tab_NewTRADER[[#This Row],[L_Bn]],Tab_NewTRADER[[#This Row],[N]]),"#,#0")&amp;" x "&amp;TEXT(Tab_NewTRADER[[#This Row],[L_Bp]],"#,#0.#0")</f>
        <v>100 x -886.70</v>
      </c>
      <c r="AH8" s="1530" t="str" cm="1">
        <f t="array" aca="1" ref="AH8" ca="1">_xlfn.IFS(Tab_NewTRADER[[#This Row],[M_State]]=Sale_Back,Tab_NewTRADER[[#This Row],[Sale_Back_$]], TRUE,"M = "&amp;Tab_NewTRADER[[#This Row],[M]])</f>
        <v>M = 886.6</v>
      </c>
      <c r="AI8" s="1433" cm="1">
        <f t="array" aca="1" ref="AI8" ca="1">IF(Tab_NewTRADER[[#This Row],[M_State]]=MUp,_xlfn.IFS(Tab_NewTRADER[[#This Row],[M_State]]=MUp,MIN(Tab_NewTRADER[[#This Row],[N]],Tab_NewTRADER[[#This Row],[L_Bn]])*(Tab_NewTRADER[[#This Row],[M]]-Tab_NewTRADER[[#This Row],[L_Sp]])*Tab_NewTRADER[[#This Row],[Scale]]*ComFactor, TRUE,0),0)</f>
        <v>0</v>
      </c>
      <c r="AJ8" s="1433" cm="1">
        <f t="array" aca="1" ref="AJ8" ca="1">_xlfn.IFS(Tab_NewTRADER[[#This Row],[M_State]]=MUp,                 MIN(Tab_NewTRADER[[#This Row],[L_Sn]],Tab_NewTRADER[[#This Row],[N]])*(Tab_NewTRADER[[#This Row],[M]]-Tab_NewTRADER[[#This Row],[A]])*Tab_NewTRADER[[#This Row],[Scale]]*ComFactor, TRUE,0)</f>
        <v>0</v>
      </c>
      <c r="AK8" s="1433" cm="1">
        <f t="array" aca="1" ref="AK8" ca="1">_xlfn.IFS(Tab_NewTRADER[[#This Row],[M_State]]=MUp,                  Tab_NewTRADER[[#This Row],[N]]*(Tab_NewTRADER[[#This Row],[M]]-Tab_NewTRADER[[#This Row],[A]])*Tab_NewTRADER[[#This Row],[Scale]]*ComFactor, TRUE,0)</f>
        <v>0</v>
      </c>
      <c r="AL8" s="1435" t="str">
        <f ca="1">TEXT(Tab_NewTRADER[[#This Row],[L_Sn]],"#,#0")&amp;" x "&amp;TEXT(Tab_NewTRADER[[#This Row],[L_Sp]],"#,#0.#0")</f>
        <v>100 x 886.70</v>
      </c>
      <c r="AM8" s="1465" t="str" cm="1">
        <f t="array" aca="1" ref="AM8" ca="1">_xlfn.IFS(Tab_NewTRADER[[#This Row],[M_State]]=RePurchaseGain,TEXT(-Tab_NewTRADER[[#This Row],[Buy_Back]],"#,#0")&amp;"       / "&amp;TEXT(Tab_NewTRADER[[#This Row],[Rev_Buy]],"#,#00.0)%"),TRUE,"M = "&amp;Tab_NewTRADER[[#This Row],[M]])</f>
        <v>M = 886.6</v>
      </c>
      <c r="AN8" s="1435" t="str" cm="1">
        <f t="array" aca="1" ref="AN8" ca="1">_xlfn.IFS(Tab_NewTRADER[[#This Row],[M_State]]=MDown,TEXT(Tab_NewTRADER[[#This Row],[L_Sn]]*(Tab_NewTRADER[[#This Row],[M]]-Tab_NewTRADER[[#This Row],[L_Sp]])*ComFactor,"#,#0")&amp;"       / "&amp;TEXT((TabTRADER[[#This Row],[M]]-TabTRADER[[#This Row],[L_Sp]])/TabTRADER[[#This Row],[M]],"#,#00.0)%"),TRUE,0)</f>
        <v>-10       / 00.0)%</v>
      </c>
      <c r="AO8" s="1486" t="str" cm="1">
        <f t="array" aca="1" ref="AO8" ca="1">_xlfn.IFS(Tab_NewTRADER[[#This Row],[M_State]]=MDown,TEXT(Tab_NewTRADER[[#This Row],[N]]*(Tab_NewTRADER[[#This Row],[M]]-Tab_NewTRADER[[#This Row],[A]])*Tab_NewTRADER[[#This Row],[Scale]]*ComFactor,"#,#0")&amp;"       / "&amp;TEXT((TabTRADER[[#This Row],[M]]-TabTRADER[[#This Row],[L_Bp]])/TabTRADER[[#This Row],[M]],"#,#00.0%"),TRUE,0)</f>
        <v>805,936       / 200.0%</v>
      </c>
      <c r="AP8" s="1435" t="str" cm="1">
        <f t="array" aca="1" ref="AP8" ca="1">_xlfn.IFS(Tab_NewTRADER[[#This Row],[M_State]]=MDown,TEXT(Tab_NewTRADER[[#This Row],[N]]*Tab_NewTRADER[[#This Row],[M]],"#,#0")&amp;" @ "&amp;TEXT(Tab_NewTRADER[[#This Row],[A]],"#,#0.#0"),TRUE,"M = "&amp; Tab_NewTRADER[[#This Row],[M]])</f>
        <v>3,103,100 @ 655.73</v>
      </c>
      <c r="AQ8" s="1165">
        <f ca="1">Tab_NewTRADER[[#This Row],[N]]*(Tab_NewTRADER[[#This Row],[M]]-Tab_NewTRADER[[#This Row],[A]])*(1-Commission)*Tab_NewTRADER[[#This Row],[Scale]]</f>
        <v>805935.86911764706</v>
      </c>
      <c r="AR8" s="1165">
        <f ca="1">Tab_NewTRADER[[#This Row],[M]]*Tab_NewTRADER[[#This Row],[N]]*(1-Commission)*Tab_NewTRADER[[#This Row],[Scale]]</f>
        <v>3095031.94</v>
      </c>
      <c r="AS8" s="1174" cm="1">
        <f t="array" aca="1" ref="AS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-0.35207603532646481</v>
      </c>
      <c r="AT8" s="1174" cm="1">
        <f t="array" aca="1" ref="AT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-2.4872095646288938E-3</v>
      </c>
      <c r="AU8" s="825" t="str" cm="1">
        <f t="array" aca="1" ref="AU8" ca="1">_xlfn.IFS(   Tab_NewTRADER[[#This Row],[M_State]]=SellMorePercentGain,                     MIN(Tab_NewTRADER[[#This Row],[L_Sn]],Tab_NewTRADER[[#This Row],[N]])*(Tab_NewTRADER[[#This Row],[M]]-Tab_NewTRADER[[#This Row],[L_Sp]])*(1-Commission)*Tab_NewTRADER[[#This Row],[Scale]],                    TRUE,"")</f>
        <v/>
      </c>
      <c r="AV8" s="1163">
        <f ca="1">_xlfn.XLOOKUP(Tab_NewTRADER[[#This Row],[ClickTick]],TabCalc[Ticker],TabCalc[Ann%RevLB])</f>
        <v>-8.1199954888932415E-3</v>
      </c>
      <c r="AW8" s="1267">
        <f ca="1">_xlfn.XLOOKUP(Tab_NewTRADER[[#This Row],[ClickTick]],TabCalc[Ticker],TabCalc[Up20])</f>
        <v>0</v>
      </c>
      <c r="AX8" s="1175" cm="1">
        <f t="array" aca="1" ref="AX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1.1279043537110617E-4</v>
      </c>
      <c r="AY8" s="825" cm="1">
        <f t="array" aca="1" ref="AY8" ca="1">_xlfn.IFS(         Tab_NewTRADER[[#This Row],[M_State]]=MDown,Tab_NewTRADER[[#This Row],[L_Bn]]*Tab_NewTRADER[[#This Row],[M]]*(-(Tab_NewTRADER[[#This Row],[L_Bp]]+Tab_NewTRADER[[#This Row],[M]])/Tab_NewTRADER[[#This Row],[M]])*(1-Commission)*Tab_NewTRADER[[#This Row],[Scale]],                               TRUE,"")</f>
        <v>9.9740000000022668</v>
      </c>
      <c r="AZ8" s="1174" cm="1">
        <f t="array" aca="1" ref="AZ8" ca="1">_xlfn.IFS(   Tab_NewTRADER[[#This Row],[M_State]]=MUp,Tab_NewTRADER[[#This Row],[TakeGain_A]]-Commission,        Tab_NewTRADER[[#This Row],[M_State]]=MDown,(Tab_NewTRADER[[#This Row],[A]]-Tab_NewTRADER[[#This Row],[M]])/Tab_NewTRADER[[#This Row],[M]]-Commission,                              TRUE,"")</f>
        <v>-0.26299662424861664</v>
      </c>
      <c r="BA8" s="760" cm="1">
        <f t="array" aca="1" ref="BA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-805935.86911764706</v>
      </c>
      <c r="BB8" s="760" t="str" cm="1">
        <f t="array" aca="1" ref="BB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C8" s="736" cm="1">
        <f t="array" aca="1" ref="BC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v>
      </c>
      <c r="BD8" s="765" cm="1">
        <f t="array" aca="1" ref="BD8" ca="1">_xlfn.IFS(Tab_NewTRADER[[#This Row],[M_State]]=Sale_Back,"",         Tab_NewTRADER[[#This Row],[M_State]]=MDown, (Tab_NewTRADER[[#This Row],[M]]-Tab_NewTRADER[[#This Row],[A]])/Tab_NewTRADER[[#This Row],[A]]*ComFactor,             TRUE, IFERROR((Tab_NewTRADER[[#This Row],[M]]-Tab_NewTRADER[[#This Row],[A]])/Tab_NewTRADER[[#This Row],[A]]*ComFactor,""))</f>
        <v>0.35116063763461597</v>
      </c>
      <c r="BE8" s="762" cm="1">
        <f t="array" aca="1" ref="BE8" ca="1">_xlfn.IFS(               Tab_NewTRADER[[#This Row],[M_State]]=NoStock,(Tab_NewTRADER[[#This Row],[L_Sp]]-Tab_NewTRADER[[#This Row],[M]])/Tab_NewTRADER[[#This Row],[M]]-Commission,             Tab_NewTRADER[[#This Row],[A]]&lt;&gt;0,(Tab_NewTRADER[[#This Row],[A]]-Tab_NewTRADER[[#This Row],[M]])/Tab_NewTRADER[[#This Row],[M]]-Commission)</f>
        <v>-0.26299662424861664</v>
      </c>
      <c r="BF8" s="324">
        <f ca="1">_xlfn.XLOOKUP(Tab_NewTRADER[[#This Row],[ClickTick]],TabCalc[Ticker],TabCalc[L_Sn])</f>
        <v>100</v>
      </c>
      <c r="BG8" s="728">
        <f ca="1">_xlfn.XLOOKUP(Tab_NewTRADER[[#This Row],[ClickTick]],TabCalc[Ticker],TabCalc[L_Sp])</f>
        <v>886.7</v>
      </c>
      <c r="BH8" s="764">
        <f ca="1">-IFERROR((Tab_NewTRADER[[#This Row],[M]]-Tab_NewTRADER[[#This Row],[L_Sp]])/Tab_NewTRADER[[#This Row],[L_Sp]],0)</f>
        <v>1.1277771512351724E-4</v>
      </c>
      <c r="BI8" s="729">
        <f ca="1">MIN(Tab_NewTRADER[[#This Row],[L_Sn]],Tab_NewTRADER[[#This Row],[N]])*(Tab_NewTRADER[[#This Row],[M]]-Tab_NewTRADER[[#This Row],[L_Sp]])*(1-Commission)*Tab_NewTRADER[[#This Row],[Scale]]</f>
        <v>-9.9740000000022668</v>
      </c>
      <c r="BJ8" s="692">
        <f ca="1">Tab_NewTRADER[[#This Row],[L_Sn]]*(Tab_NewTRADER[[#This Row],[Agiotage]]-Tab_NewTRADER[[#This Row],[M]])/(Tab_NewTRADER[[#This Row],[L_Bn]]*Tab_NewTRADER[[#This Row],[M]])</f>
        <v>-0.99884799855104933</v>
      </c>
      <c r="BK8" s="635">
        <f ca="1">IFERROR((Tab_NewTRADER[[#This Row],[M]]-Tab_NewTRADER[[#This Row],[A]])/Tab_NewTRADER[[#This Row],[A]],0)</f>
        <v>0.35207603532646481</v>
      </c>
      <c r="BL8" s="638" t="str">
        <f ca="1">TEXT(_xlfn.XLOOKUP(Tab_NewTRADER[[#This Row],[ClickTick]],TabCalc[Ticker],TabCalc[NAfter]),"#,#0")&amp;" : "&amp;TEXT(_xlfn.XLOOKUP(Tab_NewTRADER[[#This Row],[ClickTick]],TabCalc[Ticker],TabCalc[NAfter])*(Tab_NewTRADER[[#This Row],[M]]-Tab_NewTRADER[[#This Row],[A]])*(1-Commission)*Tab_NewTRADER[[#This Row],[Scale]],"#,#0$")</f>
        <v>3,500 : 805,936$</v>
      </c>
      <c r="BM8" s="684">
        <f ca="1">_xlfn.XLOOKUP(Tab_NewTRADER[[#This Row],[ClickTick]],TabCalc[[#This Row],[Ticker]],TabCalc[[#This Row],[GL]])*(1-Commission)</f>
        <v>810301.05744252459</v>
      </c>
      <c r="BN8" s="684"/>
      <c r="BO8" s="669" t="str">
        <f ca="1">Tab_NewTRADER[[#This Row],[ClickTick]]&amp;": "&amp;_xlfn.XLOOKUP(Tab_NewTRADER[[#This Row],[ClickTick]],TabCalc[Ticker],TabCalc[Pile?])</f>
        <v xml:space="preserve">ASML: </v>
      </c>
      <c r="BP8" s="351" t="s">
        <v>2047</v>
      </c>
      <c r="BQ8" s="755" t="str" cm="1">
        <f t="array" aca="1" ref="BQ8" ca="1">_xlfn.TEXTJOIN("",,INDEX({"M","A","Y"}, _xlfn.SORTBY({1,2,3}, -CHOOSE({1,2,3}, Tab_NewTRADER[[#This Row],[M]], Tab_NewTRADER[[#This Row],[A]], Tab_NewTRADER[[#This Row],[Agiotage]]))))</f>
        <v>MAY</v>
      </c>
      <c r="BR8" s="902" cm="1">
        <f t="array" aca="1" ref="BR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1.1279043537110617E-4</v>
      </c>
      <c r="BS8" s="679">
        <f ca="1">Tab_NewTRADER[[#This Row],[L_Sn]]*Tab_NewTRADER[[#This Row],[L_Sp]]+Tab_NewTRADER[[#This Row],[SellMore]]*Tab_NewTRADER[[#This Row],[M]]</f>
        <v>265990</v>
      </c>
      <c r="BT8" s="679">
        <f ca="1">INDEX(
  INDEX(TabConsolid[], , _xlfn.XMATCH(Tab_NewTRADER[[#This Row],[ClickTick]]&amp;1, TabConsolid[#Headers])),
  MATCH(
    -Tab_NewTRADER[[#This Row],[M]],
    INDEX(TabConsolid[], , _xlfn.XMATCH(Tab_NewTRADER[[#This Row],[ClickTick]]&amp;2, TabConsolid[#Headers])),
    -1
  )
)</f>
        <v>200</v>
      </c>
      <c r="BU8" s="679" cm="1">
        <f t="array" aca="1" ref="BU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8" s="1144">
        <f ca="1">Tab_NewTRADER[[#This Row],[ReBuy]]/(Tab_NewTRADER[[#This Row],[L_Sn]]+Tab_NewTRADER[[#This Row],[SellMore]])</f>
        <v>886.63333333333333</v>
      </c>
      <c r="BW8" s="687">
        <f ca="1">((_xlfn.XLOOKUP(Tab_NewTRADER[[#This Row],[ClickTick]],TabCalc[Ticker],TabCalc[NAfter])+Tab_NewTRADER[[#This Row],[L_Sn]])*(Tab_NewTRADER[[#This Row],[Agiotage]]-Tab_NewTRADER[[#This Row],[M]]))/(Tab_NewTRADER[[#This Row],[L_Sn]]*_xlfn.XLOOKUP(Tab_NewTRADER[[#This Row],[ClickTick]],TabCalc[Ticker],TabCalc[NAfter]))</f>
        <v>-9.1088088224437058</v>
      </c>
      <c r="BX8" s="687">
        <f ca="1">(Tab_NewTRADER[[#This Row],[M]]-Tab_NewTRADER[[#This Row],[Agiotage]])/(Tab_NewTRADER[[#This Row],[M]]-Tab_NewTRADER[[#This Row],[A]])-1</f>
        <v>2.8358715341769858</v>
      </c>
      <c r="BY8" s="1262">
        <f ca="1">_xlfn.XMATCH(Tab_NewTRADER[[#This Row],[ClickTick]]&amp;1, TabConsolid[#Headers])</f>
        <v>17</v>
      </c>
      <c r="BZ8" t="str">
        <f ca="1">IF(ABS(Tab_NewTRADER[[#This Row],[L_Bp]])&gt;=Tab_NewTRADER[[#This Row],[M]],"OK")</f>
        <v>OK</v>
      </c>
    </row>
    <row r="9" spans="1:78"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+3,268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28,909$</v>
      </c>
      <c r="G9" s="225" t="str">
        <f ca="1">IFERROR(TRUNC(_xlfn.XLOOKUP(Tab_NewTRADER[[#This Row],[ClickTick]],TabCalc[Ticker],ListLastSalep),2)&amp;"x"&amp;_xlfn.XLOOKUP(Tab_NewTRADER[[#This Row],[ClickTick]],TabCalc[Ticker],ListLastSalen)&amp;"=   "&amp;TEXT(-_xlfn.XLOOKUP(Tab_NewTRADER[[#This Row],[ClickTick]],TabCalc[Ticker],ListReverseB),"#,#0")&amp;"$","")</f>
        <v>342.32x200=   1,130$</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0</v>
      </c>
      <c r="I9" s="226" t="str">
        <f ca="1">IFERROR(TRUNC(TabCalc[[#This Row],[L_S1p]],2)&amp;"x"&amp;TabCalc[[#This Row],[L_S1n]]&amp;"=   "&amp;TEXT(TabCalc[[#This Row],[ReverseB1]],"#,#0"),"")</f>
        <v>346.09x160=   -301</v>
      </c>
      <c r="J9" s="295">
        <f ca="1">_xlfn.XLOOKUP(Tab_NewTRADER[[#This Row],[ClickTick]],TabCalc[Ticker],ListGravity)</f>
        <v>1.1276306865534385</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3479.7000000000003</v>
      </c>
      <c r="M9" s="323">
        <f ca="1">_xlfn.XLOOKUP(Tab_NewTRADER[[#This Row],[ClickTick]],TabCalc[Ticker],TabCalc[Agiotage])</f>
        <v>0.51410314470649965</v>
      </c>
      <c r="N9" s="324" cm="1">
        <f t="array" aca="1" ref="N9" ca="1">_xlfn.XLOOKUP(Tab_NewTRADER[[#This Row],[ClickTick]],ListTickers,Tab2RSIConventional[RSIConv20])</f>
        <v>64</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4.9271778789615028E-2</v>
      </c>
      <c r="S9" s="683">
        <f ca="1">_xlfn.XLOOKUP(Tab_NewTRADER[[#This Row],[ClickTick]],TabCalc[Ticker],TabCalc[Rev(MinStock)])*(1-Commission)</f>
        <v>3259.503200000006</v>
      </c>
      <c r="T9" s="782">
        <f ca="1">_xlfn.XLOOKUP(Tab_NewTRADER[[#This Row],[ClickTick]],TabCalc[Ticker],TabCalc[Agiotage])</f>
        <v>0.51410314470649965</v>
      </c>
      <c r="U9" s="747"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1,454/1,454=&gt;2.2% / 2.2%</v>
      </c>
      <c r="V9" s="739" t="str">
        <f ca="1">_xlfn.XLOOKUP(Tab_NewTRADER[[#This Row],[ClickTick]],[1]!RTData[Ticker_Symbol],[1]!RTData[Currency])</f>
        <v>USD</v>
      </c>
      <c r="W9" s="749">
        <f ca="1">_xlfn.XLOOKUP(Tab_NewTRADER[[#This Row],[ClickTick]],TabCalc[Ticker],TabCalc[M])</f>
        <v>347.97</v>
      </c>
      <c r="X9" s="1315"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2.1937999999999999E-2</v>
      </c>
      <c r="AC9" s="768">
        <f ca="1">_xlfn.XLOOKUP(Tab_NewTRADER[[#This Row],[ClickTick]],TabCalc[Ticker],TabCalc[NAfter])</f>
        <v>200</v>
      </c>
      <c r="AD9" s="768">
        <f ca="1">_xlfn.XLOOKUP(Tab_NewTRADER[[#This Row],[ClickTick]],TabCalc[Ticker],TabCalc[Nbegin])</f>
        <v>190</v>
      </c>
      <c r="AE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^70K / 70 K$</v>
      </c>
      <c r="AF9" s="1450"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9" s="1533" t="str">
        <f ca="1">TEXT(MIN(Tab_NewTRADER[[#This Row],[L_Bn]],Tab_NewTRADER[[#This Row],[N]]),"#,#0")&amp;" x "&amp;TEXT(Tab_NewTRADER[[#This Row],[L_Bp]],"#,#0.#0")</f>
        <v>200 x -331.63</v>
      </c>
      <c r="AH9" s="1534" t="str" cm="1">
        <f t="array" aca="1" ref="AH9" ca="1">_xlfn.IFS(Tab_NewTRADER[[#This Row],[M_State]]=Sale_Back,Tab_NewTRADER[[#This Row],[Sale_Back_$]], TRUE,"M = "&amp;Tab_NewTRADER[[#This Row],[M]])</f>
        <v>M = 347.97</v>
      </c>
      <c r="AI9" s="1456" cm="1">
        <f t="array" aca="1" ref="AI9" ca="1">IF(Tab_NewTRADER[[#This Row],[M_State]]=MUp,_xlfn.IFS(Tab_NewTRADER[[#This Row],[M_State]]=MUp,MIN(Tab_NewTRADER[[#This Row],[N]],Tab_NewTRADER[[#This Row],[L_Bn]])*(Tab_NewTRADER[[#This Row],[M]]-Tab_NewTRADER[[#This Row],[L_Sp]])*Tab_NewTRADER[[#This Row],[Scale]]*ComFactor, TRUE,0),0)</f>
        <v>1127.0620000000067</v>
      </c>
      <c r="AJ9" s="1460" cm="1">
        <f t="array" aca="1" ref="AJ9" ca="1">_xlfn.IFS(Tab_NewTRADER[[#This Row],[M_State]]=MUp,                 MIN(Tab_NewTRADER[[#This Row],[L_Sn]],Tab_NewTRADER[[#This Row],[N]])*(Tab_NewTRADER[[#This Row],[M]]-Tab_NewTRADER[[#This Row],[A]])*Tab_NewTRADER[[#This Row],[Scale]]*ComFactor, TRUE,0)</f>
        <v>15407.232607325102</v>
      </c>
      <c r="AK9" s="1460" cm="1">
        <f t="array" aca="1" ref="AK9" ca="1">_xlfn.IFS(Tab_NewTRADER[[#This Row],[M_State]]=MUp,                  Tab_NewTRADER[[#This Row],[N]]*(Tab_NewTRADER[[#This Row],[M]]-Tab_NewTRADER[[#This Row],[A]])*Tab_NewTRADER[[#This Row],[Scale]]*ComFactor, TRUE,0)</f>
        <v>15407.232607325102</v>
      </c>
      <c r="AL9" s="1452" t="str">
        <f ca="1">TEXT(Tab_NewTRADER[[#This Row],[L_Sn]],"#,#0")&amp;" x "&amp;TEXT(Tab_NewTRADER[[#This Row],[L_Sp]],"#,#0.#0")</f>
        <v>200 x 342.32</v>
      </c>
      <c r="AM9" s="1465" t="str" cm="1">
        <f t="array" aca="1" ref="AM9" ca="1">_xlfn.IFS(Tab_NewTRADER[[#This Row],[M_State]]=RePurchaseGain,TEXT(-Tab_NewTRADER[[#This Row],[Buy_Back]],"#,#0")&amp;"       / "&amp;TEXT(Tab_NewTRADER[[#This Row],[Rev_Buy]],"#,#00.0)%"),TRUE,"M = "&amp;Tab_NewTRADER[[#This Row],[M]])</f>
        <v>M = 347.97</v>
      </c>
      <c r="AN9" s="1435" cm="1">
        <f t="array" aca="1" ref="AN9" ca="1">_xlfn.IFS(Tab_NewTRADER[[#This Row],[M_State]]=MDown,TEXT(Tab_NewTRADER[[#This Row],[L_Sn]]*(Tab_NewTRADER[[#This Row],[M]]-Tab_NewTRADER[[#This Row],[L_Sp]])*ComFactor,"#,#0")&amp;"       / "&amp;TEXT((TabTRADER[[#This Row],[M]]-TabTRADER[[#This Row],[L_Sp]])/TabTRADER[[#This Row],[M]],"#,#00.0)%"),TRUE,0)</f>
        <v>0</v>
      </c>
      <c r="AO9" s="1486" cm="1">
        <f t="array" aca="1" ref="AO9" ca="1">_xlfn.IFS(Tab_NewTRADER[[#This Row],[M_State]]=MDown,TEXT(Tab_NewTRADER[[#This Row],[N]]*(Tab_NewTRADER[[#This Row],[M]]-Tab_NewTRADER[[#This Row],[A]])*Tab_NewTRADER[[#This Row],[Scale]]*ComFactor,"#,#0")&amp;"       / "&amp;TEXT((TabTRADER[[#This Row],[M]]-TabTRADER[[#This Row],[L_Bp]])/TabTRADER[[#This Row],[M]],"#,#00.0%"),TRUE,0)</f>
        <v>0</v>
      </c>
      <c r="AP9" s="1435" t="str" cm="1">
        <f t="array" aca="1" ref="AP9" ca="1">_xlfn.IFS(Tab_NewTRADER[[#This Row],[M_State]]=MDown,TEXT(Tab_NewTRADER[[#This Row],[N]]*Tab_NewTRADER[[#This Row],[M]],"#,#0")&amp;" @ "&amp;TEXT(Tab_NewTRADER[[#This Row],[A]],"#,#0.#0"),TRUE,"M = "&amp; Tab_NewTRADER[[#This Row],[M]])</f>
        <v>M = 347.97</v>
      </c>
      <c r="AQ9" s="1165">
        <f ca="1">Tab_NewTRADER[[#This Row],[N]]*(Tab_NewTRADER[[#This Row],[M]]-Tab_NewTRADER[[#This Row],[A]])*(1-Commission)*Tab_NewTRADER[[#This Row],[Scale]]</f>
        <v>15407.232607325102</v>
      </c>
      <c r="AR9" s="1165">
        <f ca="1">Tab_NewTRADER[[#This Row],[M]]*Tab_NewTRADER[[#This Row],[N]]*(1-Commission)*Tab_NewTRADER[[#This Row],[Scale]]</f>
        <v>69413.055599999992</v>
      </c>
      <c r="AS9" s="1174" cm="1">
        <f t="array" aca="1" ref="AS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0.28528835880188086</v>
      </c>
      <c r="AT9" s="1174" cm="1">
        <f t="array" aca="1" ref="AT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1.363703192803987E-2</v>
      </c>
      <c r="AU9" s="825" cm="1">
        <f t="array" aca="1" ref="AU9" ca="1">_xlfn.IFS(   Tab_NewTRADER[[#This Row],[M_State]]=SellMorePercentGain,                     MIN(Tab_NewTRADER[[#This Row],[L_Sn]],Tab_NewTRADER[[#This Row],[N]])*(Tab_NewTRADER[[#This Row],[M]]-Tab_NewTRADER[[#This Row],[L_Sp]])*(1-Commission)*Tab_NewTRADER[[#This Row],[Scale]],                    TRUE,"")</f>
        <v>1127.0620000000067</v>
      </c>
      <c r="AV9" s="1163">
        <f ca="1">_xlfn.XLOOKUP(Tab_NewTRADER[[#This Row],[ClickTick]],TabCalc[Ticker],TabCalc[Ann%RevLB])</f>
        <v>0.44344600910653525</v>
      </c>
      <c r="AW9" s="1267">
        <f ca="1">_xlfn.XLOOKUP(Tab_NewTRADER[[#This Row],[ClickTick]],TabCalc[Ticker],TabCalc[Up20])</f>
        <v>0</v>
      </c>
      <c r="AX9" s="310" t="str" cm="1">
        <f t="array" aca="1" ref="AX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 s="825" t="str" cm="1">
        <f t="array" aca="1" ref="AY9" ca="1">_xlfn.IFS(         Tab_NewTRADER[[#This Row],[M_State]]=MDown,Tab_NewTRADER[[#This Row],[L_Bn]]*Tab_NewTRADER[[#This Row],[M]]*(-(Tab_NewTRADER[[#This Row],[L_Bp]]+Tab_NewTRADER[[#This Row],[M]])/Tab_NewTRADER[[#This Row],[M]])*(1-Commission)*Tab_NewTRADER[[#This Row],[Scale]],                               TRUE,"")</f>
        <v/>
      </c>
      <c r="AZ9" s="1174" cm="1">
        <f t="array" aca="1" ref="AZ9" ca="1">_xlfn.IFS(   Tab_NewTRADER[[#This Row],[M_State]]=MUp,Tab_NewTRADER[[#This Row],[TakeGain_A]]-Commission,        Tab_NewTRADER[[#This Row],[M_State]]=MDown,(Tab_NewTRADER[[#This Row],[A]]-Tab_NewTRADER[[#This Row],[M]])/Tab_NewTRADER[[#This Row],[M]]-Commission,                              TRUE,"")</f>
        <v>0.28268835880188087</v>
      </c>
      <c r="BA9" s="825" cm="1">
        <f t="array" aca="1" ref="BA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19802.736711547706</v>
      </c>
      <c r="BB9" s="760" t="str" cm="1">
        <f t="array" aca="1" ref="BB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C9" s="736" t="str" cm="1">
        <f t="array" aca="1" ref="BC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200x77.23</v>
      </c>
      <c r="BD9" s="765" cm="1">
        <f t="array" aca="1" ref="BD9" ca="1">_xlfn.IFS(Tab_NewTRADER[[#This Row],[M_State]]=Sale_Back,"",         Tab_NewTRADER[[#This Row],[M_State]]=MDown, (Tab_NewTRADER[[#This Row],[M]]-Tab_NewTRADER[[#This Row],[A]])/Tab_NewTRADER[[#This Row],[A]]*ComFactor,             TRUE, IFERROR((Tab_NewTRADER[[#This Row],[M]]-Tab_NewTRADER[[#This Row],[A]])/Tab_NewTRADER[[#This Row],[A]]*ComFactor,""))</f>
        <v>0.28454660906899598</v>
      </c>
      <c r="BE9" s="762" cm="1">
        <f t="array" aca="1" ref="BE9" ca="1">_xlfn.IFS(               Tab_NewTRADER[[#This Row],[M_State]]=NoStock,(Tab_NewTRADER[[#This Row],[L_Sp]]-Tab_NewTRADER[[#This Row],[M]])/Tab_NewTRADER[[#This Row],[M]]-Commission,             Tab_NewTRADER[[#This Row],[A]]&lt;&gt;0,(Tab_NewTRADER[[#This Row],[A]]-Tab_NewTRADER[[#This Row],[M]])/Tab_NewTRADER[[#This Row],[M]]-Commission)</f>
        <v>-0.22456447734718513</v>
      </c>
      <c r="BF9" s="324">
        <f ca="1">_xlfn.XLOOKUP(Tab_NewTRADER[[#This Row],[ClickTick]],TabCalc[Ticker],TabCalc[L_Sn])</f>
        <v>200</v>
      </c>
      <c r="BG9" s="728">
        <f ca="1">_xlfn.XLOOKUP(Tab_NewTRADER[[#This Row],[ClickTick]],TabCalc[Ticker],TabCalc[L_Sp])</f>
        <v>342.32</v>
      </c>
      <c r="BH9" s="764">
        <f ca="1">-IFERROR((Tab_NewTRADER[[#This Row],[M]]-Tab_NewTRADER[[#This Row],[L_Sp]])/Tab_NewTRADER[[#This Row],[L_Sp]],0)</f>
        <v>-1.6505024538443661E-2</v>
      </c>
      <c r="BI9" s="729">
        <f ca="1">MIN(Tab_NewTRADER[[#This Row],[L_Sn]],Tab_NewTRADER[[#This Row],[N]])*(Tab_NewTRADER[[#This Row],[M]]-Tab_NewTRADER[[#This Row],[L_Sp]])*(1-Commission)*Tab_NewTRADER[[#This Row],[Scale]]</f>
        <v>1127.0620000000067</v>
      </c>
      <c r="BJ9" s="692">
        <f ca="1">Tab_NewTRADER[[#This Row],[L_Sn]]*(Tab_NewTRADER[[#This Row],[Agiotage]]-Tab_NewTRADER[[#This Row],[M]])/(Tab_NewTRADER[[#This Row],[L_Bn]]*Tab_NewTRADER[[#This Row],[M]])</f>
        <v>-0.95097387118838506</v>
      </c>
      <c r="BK9" s="635">
        <f ca="1">IFERROR((Tab_NewTRADER[[#This Row],[M]]-Tab_NewTRADER[[#This Row],[A]])/Tab_NewTRADER[[#This Row],[A]],0)</f>
        <v>0.28528835880188086</v>
      </c>
      <c r="BL9" s="638" t="str">
        <f ca="1">TEXT(_xlfn.XLOOKUP(Tab_NewTRADER[[#This Row],[ClickTick]],TabCalc[Ticker],TabCalc[NAfter]),"#,#0")&amp;" : "&amp;TEXT(_xlfn.XLOOKUP(Tab_NewTRADER[[#This Row],[ClickTick]],TabCalc[Ticker],TabCalc[NAfter])*(Tab_NewTRADER[[#This Row],[M]]-Tab_NewTRADER[[#This Row],[A]])*(1-Commission)*Tab_NewTRADER[[#This Row],[Scale]],"#,#0$")</f>
        <v>200 : 15,407$</v>
      </c>
      <c r="BM9" s="684">
        <f ca="1">_xlfn.XLOOKUP(Tab_NewTRADER[[#This Row],[ClickTick]],TabCalc[[#This Row],[Ticker]],TabCalc[[#This Row],[GL]])*(1-Commission)</f>
        <v>70255.949945423563</v>
      </c>
      <c r="BN9" s="684"/>
      <c r="BO9" s="669" t="str">
        <f ca="1">Tab_NewTRADER[[#This Row],[ClickTick]]&amp;": "&amp;_xlfn.XLOOKUP(Tab_NewTRADER[[#This Row],[ClickTick]],TabCalc[Ticker],TabCalc[Pile?])</f>
        <v xml:space="preserve">AVGO: </v>
      </c>
      <c r="BP9" s="351" t="s">
        <v>1958</v>
      </c>
      <c r="BQ9" s="755" t="str" cm="1">
        <f t="array" aca="1" ref="BQ9" ca="1">_xlfn.TEXTJOIN("",,INDEX({"M","A","Y"}, _xlfn.SORTBY({1,2,3}, -CHOOSE({1,2,3}, Tab_NewTRADER[[#This Row],[M]], Tab_NewTRADER[[#This Row],[A]], Tab_NewTRADER[[#This Row],[Agiotage]]))))</f>
        <v>MAY</v>
      </c>
      <c r="BR9" s="902" cm="1">
        <f t="array" aca="1" ref="BR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1.623703192803987E-2</v>
      </c>
      <c r="BS9" s="679">
        <f ca="1">Tab_NewTRADER[[#This Row],[L_Sn]]*Tab_NewTRADER[[#This Row],[L_Sp]]+Tab_NewTRADER[[#This Row],[SellMore]]*Tab_NewTRADER[[#This Row],[M]]</f>
        <v>141537.70000000001</v>
      </c>
      <c r="BT9" s="679">
        <f ca="1">INDEX(
  INDEX(TabConsolid[], , _xlfn.XMATCH(Tab_NewTRADER[[#This Row],[ClickTick]]&amp;1, TabConsolid[#Headers])),
  MATCH(
    -Tab_NewTRADER[[#This Row],[M]],
    INDEX(TabConsolid[], , _xlfn.XMATCH(Tab_NewTRADER[[#This Row],[ClickTick]]&amp;2, TabConsolid[#Headers])),
    -1
  )
)</f>
        <v>210</v>
      </c>
      <c r="BU9" s="679" cm="1">
        <f t="array" aca="1" ref="BU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V9" s="1144">
        <f ca="1">Tab_NewTRADER[[#This Row],[ReBuy]]/(Tab_NewTRADER[[#This Row],[L_Sn]]+Tab_NewTRADER[[#This Row],[SellMore]])</f>
        <v>345.21390243902442</v>
      </c>
      <c r="BW9" s="687">
        <f ca="1">((_xlfn.XLOOKUP(Tab_NewTRADER[[#This Row],[ClickTick]],TabCalc[Ticker],TabCalc[NAfter])+Tab_NewTRADER[[#This Row],[L_Sn]])*(Tab_NewTRADER[[#This Row],[Agiotage]]-Tab_NewTRADER[[#This Row],[M]]))/(Tab_NewTRADER[[#This Row],[L_Sn]]*_xlfn.XLOOKUP(Tab_NewTRADER[[#This Row],[ClickTick]],TabCalc[Ticker],TabCalc[NAfter]))</f>
        <v>-3.4745589685529352</v>
      </c>
      <c r="BX9" s="687">
        <f ca="1">(Tab_NewTRADER[[#This Row],[M]]-Tab_NewTRADER[[#This Row],[Agiotage]])/(Tab_NewTRADER[[#This Row],[M]]-Tab_NewTRADER[[#This Row],[A]])-1</f>
        <v>3.4985692155865467</v>
      </c>
      <c r="BY9" s="1262">
        <f ca="1">_xlfn.XMATCH(Tab_NewTRADER[[#This Row],[ClickTick]]&amp;1, TabConsolid[#Headers])</f>
        <v>20</v>
      </c>
      <c r="BZ9" t="b">
        <f ca="1">IF(ABS(Tab_NewTRADER[[#This Row],[L_Bp]])&gt;=Tab_NewTRADER[[#This Row],[M]],"OK")</f>
        <v>0</v>
      </c>
    </row>
    <row r="10" spans="1:78" ht="23" hidden="1"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+9,565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21.5%</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261/500=23,254</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5,650$</v>
      </c>
      <c r="G10" s="225" t="str">
        <f ca="1">IFERROR(TRUNC(_xlfn.XLOOKUP(Tab_NewTRADER[[#This Row],[ClickTick]],TabCalc[Ticker],ListLastSalep),2)&amp;"x"&amp;_xlfn.XLOOKUP(Tab_NewTRADER[[#This Row],[ClickTick]],TabCalc[Ticker],ListLastSalen)&amp;"=   "&amp;TEXT(-_xlfn.XLOOKUP(Tab_NewTRADER[[#This Row],[ClickTick]],TabCalc[Ticker],ListReverseB),"#,#0")&amp;"$","")</f>
        <v>86.22x500=   1,375$</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 = 0</v>
      </c>
      <c r="I10" s="226" t="str">
        <f ca="1">IFERROR(TRUNC(TabCalc[[#This Row],[L_S1p]],2)&amp;"x"&amp;TabCalc[[#This Row],[L_S1n]]&amp;"=   "&amp;TEXT(TabCalc[[#This Row],[ReverseB1]],"#,#0"),"")</f>
        <v>79.51x2000=   -18,920</v>
      </c>
      <c r="J10" s="295">
        <f ca="1">_xlfn.XLOOKUP(Tab_NewTRADER[[#This Row],[ClickTick]],TabCalc[Ticker],ListGravity)</f>
        <v>1.0481356096036758</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0.83565875907624187</v>
      </c>
      <c r="N10" s="324" cm="1">
        <f t="array" aca="1" ref="N10" ca="1">_xlfn.XLOOKUP(Tab_NewTRADER[[#This Row],[ClickTick]],ListTickers,Tab2RSIConventional[RSIConv20])</f>
        <v>37</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0.27391323024054981</v>
      </c>
      <c r="S10" s="683">
        <f ca="1">_xlfn.XLOOKUP(Tab_NewTRADER[[#This Row],[ClickTick]],TabCalc[Ticker],TabCalc[Rev(MinStock)])*(1-Commission)</f>
        <v>9540.1808699999983</v>
      </c>
      <c r="T10" s="782">
        <f ca="1">_xlfn.XLOOKUP(Tab_NewTRADER[[#This Row],[ClickTick]],TabCalc[Ticker],TabCalc[Agiotage])</f>
        <v>0.83565875907624187</v>
      </c>
      <c r="U10" s="747"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-275/-275=&gt;-0.6% / -0.6%</v>
      </c>
      <c r="V10" s="739" t="str">
        <f ca="1">_xlfn.XLOOKUP(Tab_NewTRADER[[#This Row],[ClickTick]],[1]!RTData[Ticker_Symbol],[1]!RTData[Currency])</f>
        <v>USD</v>
      </c>
      <c r="W10" s="749">
        <f ca="1">_xlfn.XLOOKUP(Tab_NewTRADER[[#This Row],[ClickTick]],TabCalc[Ticker],TabCalc[M])</f>
        <v>88.970100000000002</v>
      </c>
      <c r="X10" s="1315"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-6.4759999999999991E-3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^153K / 44 K$</v>
      </c>
      <c r="AF10" s="1450"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0" s="1535" t="str">
        <f ca="1">TEXT(MIN(Tab_NewTRADER[[#This Row],[L_Bn]],Tab_NewTRADER[[#This Row],[N]]),"#,#0")&amp;" x "&amp;TEXT(Tab_NewTRADER[[#This Row],[L_Bp]],"#,#0.#0")</f>
        <v>500 x -69.84</v>
      </c>
      <c r="AH10" s="1536" t="str" cm="1">
        <f t="array" aca="1" ref="AH10" ca="1">_xlfn.IFS(Tab_NewTRADER[[#This Row],[M_State]]=Sale_Back,Tab_NewTRADER[[#This Row],[Sale_Back_$]], TRUE,"M = "&amp;Tab_NewTRADER[[#This Row],[M]])</f>
        <v>M = 88.9701</v>
      </c>
      <c r="AI10" s="1457" cm="1">
        <f t="array" aca="1" ref="AI10" ca="1">IF(Tab_NewTRADER[[#This Row],[M_State]]=MUp,_xlfn.IFS(Tab_NewTRADER[[#This Row],[M_State]]=MUp,MIN(Tab_NewTRADER[[#This Row],[N]],Tab_NewTRADER[[#This Row],[L_Bn]])*(Tab_NewTRADER[[#This Row],[M]]-Tab_NewTRADER[[#This Row],[L_Sp]])*Tab_NewTRADER[[#This Row],[Scale]]*ComFactor, TRUE,0),0)</f>
        <v>1371.4748700000014</v>
      </c>
      <c r="AJ10" s="1461" cm="1">
        <f t="array" aca="1" ref="AJ10" ca="1">_xlfn.IFS(Tab_NewTRADER[[#This Row],[M_State]]=MUp,                 MIN(Tab_NewTRADER[[#This Row],[L_Sn]],Tab_NewTRADER[[#This Row],[N]])*(Tab_NewTRADER[[#This Row],[M]]-Tab_NewTRADER[[#This Row],[A]])*Tab_NewTRADER[[#This Row],[Scale]]*ComFactor, TRUE,0)</f>
        <v>9540.1808699999983</v>
      </c>
      <c r="AK10" s="1461" cm="1">
        <f t="array" aca="1" ref="AK10" ca="1">_xlfn.IFS(Tab_NewTRADER[[#This Row],[M_State]]=MUp,                  Tab_NewTRADER[[#This Row],[N]]*(Tab_NewTRADER[[#This Row],[M]]-Tab_NewTRADER[[#This Row],[A]])*Tab_NewTRADER[[#This Row],[Scale]]*ComFactor, TRUE,0)</f>
        <v>9540.1808699999983</v>
      </c>
      <c r="AL10" s="1452" t="str">
        <f ca="1">TEXT(Tab_NewTRADER[[#This Row],[L_Sn]],"#,#0")&amp;" x "&amp;TEXT(Tab_NewTRADER[[#This Row],[L_Sp]],"#,#0.#0")</f>
        <v>500 x 86.22</v>
      </c>
      <c r="AM10" s="1465" t="str" cm="1">
        <f t="array" aca="1" ref="AM10" ca="1">_xlfn.IFS(Tab_NewTRADER[[#This Row],[M_State]]=RePurchaseGain,TEXT(-Tab_NewTRADER[[#This Row],[Buy_Back]],"#,#0")&amp;"       / "&amp;TEXT(Tab_NewTRADER[[#This Row],[Rev_Buy]],"#,#00.0)%"),TRUE,"M = "&amp;Tab_NewTRADER[[#This Row],[M]])</f>
        <v>M = 88.9701</v>
      </c>
      <c r="AN10" s="1435" cm="1">
        <f t="array" aca="1" ref="AN10" ca="1">_xlfn.IFS(Tab_NewTRADER[[#This Row],[M_State]]=MDown,TEXT(Tab_NewTRADER[[#This Row],[L_Sn]]*(Tab_NewTRADER[[#This Row],[M]]-Tab_NewTRADER[[#This Row],[L_Sp]])*ComFactor,"#,#0")&amp;"       / "&amp;TEXT((TabTRADER[[#This Row],[M]]-TabTRADER[[#This Row],[L_Sp]])/TabTRADER[[#This Row],[M]],"#,#00.0)%"),TRUE,0)</f>
        <v>0</v>
      </c>
      <c r="AO10" s="1486" cm="1">
        <f t="array" aca="1" ref="AO10" ca="1">_xlfn.IFS(Tab_NewTRADER[[#This Row],[M_State]]=MDown,TEXT(Tab_NewTRADER[[#This Row],[N]]*(Tab_NewTRADER[[#This Row],[M]]-Tab_NewTRADER[[#This Row],[A]])*Tab_NewTRADER[[#This Row],[Scale]]*ComFactor,"#,#0")&amp;"       / "&amp;TEXT((TabTRADER[[#This Row],[M]]-TabTRADER[[#This Row],[L_Bp]])/TabTRADER[[#This Row],[M]],"#,#00.0%"),TRUE,0)</f>
        <v>0</v>
      </c>
      <c r="AP10" s="1435" t="str" cm="1">
        <f t="array" aca="1" ref="AP10" ca="1">_xlfn.IFS(Tab_NewTRADER[[#This Row],[M_State]]=MDown,TEXT(Tab_NewTRADER[[#This Row],[N]]*Tab_NewTRADER[[#This Row],[M]],"#,#0")&amp;" @ "&amp;TEXT(Tab_NewTRADER[[#This Row],[A]],"#,#0.#0"),TRUE,"M = "&amp; Tab_NewTRADER[[#This Row],[M]])</f>
        <v>M = 88.9701</v>
      </c>
      <c r="AQ10" s="1165">
        <f ca="1">Tab_NewTRADER[[#This Row],[N]]*(Tab_NewTRADER[[#This Row],[M]]-Tab_NewTRADER[[#This Row],[A]])*(1-Commission)*Tab_NewTRADER[[#This Row],[Scale]]</f>
        <v>9540.1808699999983</v>
      </c>
      <c r="AR10" s="1165">
        <f ca="1">Tab_NewTRADER[[#This Row],[M]]*Tab_NewTRADER[[#This Row],[N]]*(1-Commission)*Tab_NewTRADER[[#This Row],[Scale]]</f>
        <v>44369.388870000002</v>
      </c>
      <c r="AS10" s="1174" cm="1">
        <f t="array" aca="1" ref="AS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0.27391323024054981</v>
      </c>
      <c r="AT10" s="1174" cm="1">
        <f t="array" aca="1" ref="AT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2.8310384499961261E-2</v>
      </c>
      <c r="AU10" s="825" cm="1">
        <f t="array" aca="1" ref="AU10" ca="1">_xlfn.IFS(   Tab_NewTRADER[[#This Row],[M_State]]=SellMorePercentGain,                     MIN(Tab_NewTRADER[[#This Row],[L_Sn]],Tab_NewTRADER[[#This Row],[N]])*(Tab_NewTRADER[[#This Row],[M]]-Tab_NewTRADER[[#This Row],[L_Sp]])*(1-Commission)*Tab_NewTRADER[[#This Row],[Scale]],                    TRUE,"")</f>
        <v>1371.4748700000014</v>
      </c>
      <c r="AV10" s="1163">
        <f ca="1">_xlfn.XLOOKUP(Tab_NewTRADER[[#This Row],[ClickTick]],TabCalc[Ticker],TabCalc[Ann%RevLB])</f>
        <v>0.64874186109603904</v>
      </c>
      <c r="AW10" s="1163">
        <f ca="1">_xlfn.XLOOKUP(Tab_NewTRADER[[#This Row],[ClickTick]],TabCalc[Ticker],TabCalc[Up20])</f>
        <v>0</v>
      </c>
      <c r="AX10" s="1175" t="str" cm="1">
        <f t="array" aca="1" ref="AX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0" s="825" t="str" cm="1">
        <f t="array" aca="1" ref="AY10" ca="1">_xlfn.IFS(         Tab_NewTRADER[[#This Row],[M_State]]=MDown,Tab_NewTRADER[[#This Row],[L_Bn]]*Tab_NewTRADER[[#This Row],[M]]*(-(Tab_NewTRADER[[#This Row],[L_Bp]]+Tab_NewTRADER[[#This Row],[M]])/Tab_NewTRADER[[#This Row],[M]])*(1-Commission)*Tab_NewTRADER[[#This Row],[Scale]],                               TRUE,"")</f>
        <v/>
      </c>
      <c r="AZ10" s="1174" cm="1">
        <f t="array" aca="1" ref="AZ10" ca="1">_xlfn.IFS(   Tab_NewTRADER[[#This Row],[M_State]]=MUp,Tab_NewTRADER[[#This Row],[TakeGain_A]]-Commission,        Tab_NewTRADER[[#This Row],[M_State]]=MDown,(Tab_NewTRADER[[#This Row],[A]]-Tab_NewTRADER[[#This Row],[M]])/Tab_NewTRADER[[#This Row],[M]]-Commission,                              TRUE,"")</f>
        <v>0.27131323024054982</v>
      </c>
      <c r="BA10" s="825" cm="1">
        <f t="array" aca="1" ref="BA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12153.362629180798</v>
      </c>
      <c r="BB10" s="760" t="str" cm="1">
        <f t="array" aca="1" ref="BB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C10" s="736" t="str" cm="1">
        <f t="array" aca="1" ref="BC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500x19.13</v>
      </c>
      <c r="BD10" s="765" cm="1">
        <f t="array" aca="1" ref="BD10" ca="1">_xlfn.IFS(Tab_NewTRADER[[#This Row],[M_State]]=Sale_Back,"",         Tab_NewTRADER[[#This Row],[M_State]]=MDown, (Tab_NewTRADER[[#This Row],[M]]-Tab_NewTRADER[[#This Row],[A]])/Tab_NewTRADER[[#This Row],[A]]*ComFactor,             TRUE, IFERROR((Tab_NewTRADER[[#This Row],[M]]-Tab_NewTRADER[[#This Row],[A]])/Tab_NewTRADER[[#This Row],[A]]*ComFactor,""))</f>
        <v>0.27320105584192439</v>
      </c>
      <c r="BE10" s="762" cm="1">
        <f t="array" aca="1" ref="BE10" ca="1">_xlfn.IFS(               Tab_NewTRADER[[#This Row],[M_State]]=NoStock,(Tab_NewTRADER[[#This Row],[L_Sp]]-Tab_NewTRADER[[#This Row],[M]])/Tab_NewTRADER[[#This Row],[M]]-Commission,             Tab_NewTRADER[[#This Row],[A]]&lt;&gt;0,(Tab_NewTRADER[[#This Row],[A]]-Tab_NewTRADER[[#This Row],[M]])/Tab_NewTRADER[[#This Row],[M]]-Commission)</f>
        <v>-0.21761717992898735</v>
      </c>
      <c r="BF10" s="324">
        <f ca="1">_xlfn.XLOOKUP(Tab_NewTRADER[[#This Row],[ClickTick]],TabCalc[Ticker],TabCalc[L_Sn])</f>
        <v>500</v>
      </c>
      <c r="BG10" s="728">
        <f ca="1">_xlfn.XLOOKUP(Tab_NewTRADER[[#This Row],[ClickTick]],TabCalc[Ticker],TabCalc[L_Sp])</f>
        <v>86.22</v>
      </c>
      <c r="BH10" s="764">
        <f ca="1">-IFERROR((Tab_NewTRADER[[#This Row],[M]]-Tab_NewTRADER[[#This Row],[L_Sp]])/Tab_NewTRADER[[#This Row],[L_Sp]],0)</f>
        <v>-3.1896311760612424E-2</v>
      </c>
      <c r="BI10" s="729">
        <f ca="1">MIN(Tab_NewTRADER[[#This Row],[L_Sn]],Tab_NewTRADER[[#This Row],[N]])*(Tab_NewTRADER[[#This Row],[M]]-Tab_NewTRADER[[#This Row],[L_Sp]])*(1-Commission)*Tab_NewTRADER[[#This Row],[Scale]]</f>
        <v>1371.4748700000014</v>
      </c>
      <c r="BJ10" s="692">
        <f ca="1">Tab_NewTRADER[[#This Row],[L_Sn]]*(Tab_NewTRADER[[#This Row],[Agiotage]]-Tab_NewTRADER[[#This Row],[M]])/(Tab_NewTRADER[[#This Row],[L_Bn]]*Tab_NewTRADER[[#This Row],[M]])</f>
        <v>-0.12382592753200761</v>
      </c>
      <c r="BK10" s="635">
        <f ca="1">IFERROR((Tab_NewTRADER[[#This Row],[M]]-Tab_NewTRADER[[#This Row],[A]])/Tab_NewTRADER[[#This Row],[A]],0)</f>
        <v>0.27391323024054981</v>
      </c>
      <c r="BL10" s="638" t="str">
        <f ca="1">TEXT(_xlfn.XLOOKUP(Tab_NewTRADER[[#This Row],[ClickTick]],TabCalc[Ticker],TabCalc[NAfter]),"#,#0")&amp;" : "&amp;TEXT(_xlfn.XLOOKUP(Tab_NewTRADER[[#This Row],[ClickTick]],TabCalc[Ticker],TabCalc[NAfter])*(Tab_NewTRADER[[#This Row],[M]]-Tab_NewTRADER[[#This Row],[A]])*(1-Commission)*Tab_NewTRADER[[#This Row],[Scale]],"#,#0$")</f>
        <v>500 : 9,540$</v>
      </c>
      <c r="BM10" s="684">
        <f ca="1">_xlfn.XLOOKUP(Tab_NewTRADER[[#This Row],[ClickTick]],TabCalc[[#This Row],[Ticker]],TabCalc[[#This Row],[GL]])*(1-Commission)</f>
        <v>152587.69611839394</v>
      </c>
      <c r="BN10" s="684"/>
      <c r="BO10" s="669" t="str">
        <f ca="1">Tab_NewTRADER[[#This Row],[ClickTick]]&amp;": "&amp;_xlfn.XLOOKUP(Tab_NewTRADER[[#This Row],[ClickTick]],TabCalc[Ticker],TabCalc[Pile?])</f>
        <v>AZN: Pile</v>
      </c>
      <c r="BP10" s="351" t="s">
        <v>1998</v>
      </c>
      <c r="BQ10" s="755" t="str" cm="1">
        <f t="array" aca="1" ref="BQ10" ca="1">_xlfn.TEXTJOIN("",,INDEX({"M","A","Y"}, _xlfn.SORTBY({1,2,3}, -CHOOSE({1,2,3}, Tab_NewTRADER[[#This Row],[M]], Tab_NewTRADER[[#This Row],[A]], Tab_NewTRADER[[#This Row],[Agiotage]]))))</f>
        <v>MAY</v>
      </c>
      <c r="BR10" s="902" cm="1">
        <f t="array" aca="1" ref="BR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3.0910384499961259E-2</v>
      </c>
      <c r="BS10" s="679">
        <f ca="1">Tab_NewTRADER[[#This Row],[L_Sn]]*Tab_NewTRADER[[#This Row],[L_Sp]]+Tab_NewTRADER[[#This Row],[SellMore]]*Tab_NewTRADER[[#This Row],[M]]</f>
        <v>87595.05</v>
      </c>
      <c r="BT10" s="679">
        <f ca="1">INDEX(
  INDEX(TabConsolid[], , _xlfn.XMATCH(Tab_NewTRADER[[#This Row],[ClickTick]]&amp;1, TabConsolid[#Headers])),
  MATCH(
    -Tab_NewTRADER[[#This Row],[M]],
    INDEX(TabConsolid[], , _xlfn.XMATCH(Tab_NewTRADER[[#This Row],[ClickTick]]&amp;2, TabConsolid[#Headers])),
    -1
  )
)</f>
        <v>500</v>
      </c>
      <c r="BU10" s="679" cm="1">
        <f t="array" aca="1" ref="BU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10" s="1144">
        <f ca="1">Tab_NewTRADER[[#This Row],[ReBuy]]/(Tab_NewTRADER[[#This Row],[L_Sn]]+Tab_NewTRADER[[#This Row],[SellMore]])</f>
        <v>87.595050000000001</v>
      </c>
      <c r="BW10" s="687">
        <f ca="1">((_xlfn.XLOOKUP(Tab_NewTRADER[[#This Row],[ClickTick]],TabCalc[Ticker],TabCalc[NAfter])+Tab_NewTRADER[[#This Row],[L_Sn]])*(Tab_NewTRADER[[#This Row],[Agiotage]]-Tab_NewTRADER[[#This Row],[M]]))/(Tab_NewTRADER[[#This Row],[L_Sn]]*_xlfn.XLOOKUP(Tab_NewTRADER[[#This Row],[ClickTick]],TabCalc[Ticker],TabCalc[NAfter]))</f>
        <v>-0.3525377649636951</v>
      </c>
      <c r="BX10" s="687">
        <f ca="1">(Tab_NewTRADER[[#This Row],[M]]-Tab_NewTRADER[[#This Row],[Agiotage]])/(Tab_NewTRADER[[#This Row],[M]]-Tab_NewTRADER[[#This Row],[A]])-1</f>
        <v>3.6071082347151231</v>
      </c>
      <c r="BY10" s="1262">
        <f ca="1">_xlfn.XMATCH(Tab_NewTRADER[[#This Row],[ClickTick]]&amp;1, TabConsolid[#Headers])</f>
        <v>23</v>
      </c>
      <c r="BZ10" t="b">
        <f ca="1">IF(ABS(Tab_NewTRADER[[#This Row],[L_Bp]])&gt;=Tab_NewTRADER[[#This Row],[M]],"OK")</f>
        <v>0</v>
      </c>
    </row>
    <row r="11" spans="1:78"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-48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9,841</v>
      </c>
      <c r="F11" s="226" t="str">
        <f ca="1">TRUNC(TabCalc[[#This Row],[L_B1p]],2)&amp;"x"&amp;TabCalc[[#This Row],[L_B1n]]&amp;"=   "&amp;TEXT(TabCalc[[#This Row],[ReverseS1]],"#,#0")&amp;"$"</f>
        <v>-1.83x10000=   10,120$</v>
      </c>
      <c r="G11" s="225" t="str">
        <f ca="1">IFERROR(TRUNC(_xlfn.XLOOKUP(Tab_NewTRADER[[#This Row],[ClickTick]],TabCalc[Ticker],ListLastSalep),2)&amp;"x"&amp;_xlfn.XLOOKUP(Tab_NewTRADER[[#This Row],[ClickTick]],TabCalc[Ticker],ListLastSalen)&amp;"=   "&amp;TEXT(-_xlfn.XLOOKUP(Tab_NewTRADER[[#This Row],[ClickTick]],TabCalc[Ticker],ListReverseB),"#,#0")&amp;"$","")</f>
        <v>3.35x6000=   -3,049$</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17.9% = 9,841</v>
      </c>
      <c r="I11" s="226" t="str">
        <f ca="1">IFERROR(TRUNC(TabCalc[[#This Row],[L_S1p]],2)&amp;"x"&amp;TabCalc[[#This Row],[L_S1n]]&amp;"=   "&amp;TEXT(TabCalc[[#This Row],[ReverseB1]],"#,#0"),"")</f>
        <v>1.96x10000=   -8,820</v>
      </c>
      <c r="J11" s="295">
        <f ca="1">_xlfn.XLOOKUP(Tab_NewTRADER[[#This Row],[ClickTick]],TabCalc[Ticker],ListGravity)</f>
        <v>0.96762843068261783</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28420</v>
      </c>
      <c r="M11" s="323">
        <f ca="1">_xlfn.XLOOKUP(Tab_NewTRADER[[#This Row],[ClickTick]],TabCalc[Ticker],TabCalc[Agiotage])</f>
        <v>0.20414935791775768</v>
      </c>
      <c r="N11" s="324" cm="1">
        <f t="array" aca="1" ref="N11" ca="1">_xlfn.XLOOKUP(Tab_NewTRADER[[#This Row],[ClickTick]],ListTickers,Tab2RSIConventional[RSIConv20])</f>
        <v>12</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-2.8070175438596515E-3</v>
      </c>
      <c r="S11" s="683">
        <f ca="1">_xlfn.XLOOKUP(Tab_NewTRADER[[#This Row],[ClickTick]],TabCalc[Ticker],TabCalc[Rev(MinStock)])*(1-Commission)</f>
        <v>-47.875200000000042</v>
      </c>
      <c r="T11" s="782">
        <f ca="1">_xlfn.XLOOKUP(Tab_NewTRADER[[#This Row],[ClickTick]],TabCalc[Ticker],TabCalc[Agiotage])</f>
        <v>0.20414935791775768</v>
      </c>
      <c r="U11" s="747"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-360/-360=&gt;-1.7% / -1.7%</v>
      </c>
      <c r="V11" s="739" t="str">
        <f ca="1">_xlfn.XLOOKUP(Tab_NewTRADER[[#This Row],[ClickTick]],[1]!RTData[Ticker_Symbol],[1]!RTData[Currency])</f>
        <v>USD</v>
      </c>
      <c r="W11" s="749">
        <f ca="1">_xlfn.XLOOKUP(Tab_NewTRADER[[#This Row],[ClickTick]],TabCalc[Ticker],TabCalc[M])</f>
        <v>2.8420000000000001</v>
      </c>
      <c r="X11" s="1315"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-1.6608999999999999E-2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 57 K$</v>
      </c>
      <c r="AF11" s="1182"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1" s="1530" t="str">
        <f ca="1">TEXT(MIN(Tab_NewTRADER[[#This Row],[L_Bn]],Tab_NewTRADER[[#This Row],[N]]),"#,#0")&amp;" x "&amp;TEXT(Tab_NewTRADER[[#This Row],[L_Bp]],"#,#0.#0")</f>
        <v>6,000 x -2.85</v>
      </c>
      <c r="AH11" s="1530" t="str" cm="1">
        <f t="array" aca="1" ref="AH11" ca="1">_xlfn.IFS(Tab_NewTRADER[[#This Row],[M_State]]=Sale_Back,Tab_NewTRADER[[#This Row],[Sale_Back_$]], TRUE,"M = "&amp;Tab_NewTRADER[[#This Row],[M]])</f>
        <v>M = 2.842</v>
      </c>
      <c r="AI11" s="1433" cm="1">
        <f t="array" aca="1" ref="AI11" ca="1">IF(Tab_NewTRADER[[#This Row],[M_State]]=MUp,_xlfn.IFS(Tab_NewTRADER[[#This Row],[M_State]]=MUp,MIN(Tab_NewTRADER[[#This Row],[N]],Tab_NewTRADER[[#This Row],[L_Bn]])*(Tab_NewTRADER[[#This Row],[M]]-Tab_NewTRADER[[#This Row],[L_Sp]])*Tab_NewTRADER[[#This Row],[Scale]]*ComFactor, TRUE,0),0)</f>
        <v>0</v>
      </c>
      <c r="AJ11" s="1433" cm="1">
        <f t="array" aca="1" ref="AJ11" ca="1">_xlfn.IFS(Tab_NewTRADER[[#This Row],[M_State]]=MUp,                 MIN(Tab_NewTRADER[[#This Row],[L_Sn]],Tab_NewTRADER[[#This Row],[N]])*(Tab_NewTRADER[[#This Row],[M]]-Tab_NewTRADER[[#This Row],[A]])*Tab_NewTRADER[[#This Row],[Scale]]*ComFactor, TRUE,0)</f>
        <v>0</v>
      </c>
      <c r="AK11" s="1433" cm="1">
        <f t="array" aca="1" ref="AK11" ca="1">_xlfn.IFS(Tab_NewTRADER[[#This Row],[M_State]]=MUp,                  Tab_NewTRADER[[#This Row],[N]]*(Tab_NewTRADER[[#This Row],[M]]-Tab_NewTRADER[[#This Row],[A]])*Tab_NewTRADER[[#This Row],[Scale]]*ComFactor, TRUE,0)</f>
        <v>0</v>
      </c>
      <c r="AL11" s="1435" t="str">
        <f ca="1">TEXT(Tab_NewTRADER[[#This Row],[L_Sn]],"#,#0")&amp;" x "&amp;TEXT(Tab_NewTRADER[[#This Row],[L_Sp]],"#,#0.#0")</f>
        <v>6,000 x 3.35</v>
      </c>
      <c r="AM11" s="1465" t="str" cm="1">
        <f t="array" aca="1" ref="AM11" ca="1">_xlfn.IFS(Tab_NewTRADER[[#This Row],[M_State]]=RePurchaseGain,TEXT(-Tab_NewTRADER[[#This Row],[Buy_Back]],"#,#0")&amp;"       / "&amp;TEXT(Tab_NewTRADER[[#This Row],[Rev_Buy]],"#,#00.0)%"),TRUE,"M = "&amp;Tab_NewTRADER[[#This Row],[M]])</f>
        <v>3,041       / 15.2)%</v>
      </c>
      <c r="AN11" s="1435" cm="1">
        <f t="array" aca="1" ref="AN11" ca="1">_xlfn.IFS(Tab_NewTRADER[[#This Row],[M_State]]=MDown,TEXT(Tab_NewTRADER[[#This Row],[L_Sn]]*(Tab_NewTRADER[[#This Row],[M]]-Tab_NewTRADER[[#This Row],[L_Sp]])*ComFactor,"#,#0")&amp;"       / "&amp;TEXT((TabTRADER[[#This Row],[M]]-TabTRADER[[#This Row],[L_Sp]])/TabTRADER[[#This Row],[M]],"#,#00.0)%"),TRUE,0)</f>
        <v>0</v>
      </c>
      <c r="AO11" s="1486" cm="1">
        <f t="array" aca="1" ref="AO11" ca="1">_xlfn.IFS(Tab_NewTRADER[[#This Row],[M_State]]=MDown,TEXT(Tab_NewTRADER[[#This Row],[N]]*(Tab_NewTRADER[[#This Row],[M]]-Tab_NewTRADER[[#This Row],[A]])*Tab_NewTRADER[[#This Row],[Scale]]*ComFactor,"#,#0")&amp;"       / "&amp;TEXT((TabTRADER[[#This Row],[M]]-TabTRADER[[#This Row],[L_Bp]])/TabTRADER[[#This Row],[M]],"#,#00.0%"),TRUE,0)</f>
        <v>0</v>
      </c>
      <c r="AP11" s="1435" t="str" cm="1">
        <f t="array" aca="1" ref="AP11" ca="1">_xlfn.IFS(Tab_NewTRADER[[#This Row],[M_State]]=MDown,TEXT(Tab_NewTRADER[[#This Row],[N]]*Tab_NewTRADER[[#This Row],[M]],"#,#0")&amp;" @ "&amp;TEXT(Tab_NewTRADER[[#This Row],[A]],"#,#0.#0"),TRUE,"M = "&amp; Tab_NewTRADER[[#This Row],[M]])</f>
        <v>M = 2.842</v>
      </c>
      <c r="AQ11" s="760">
        <f ca="1">Tab_NewTRADER[[#This Row],[N]]*(Tab_NewTRADER[[#This Row],[M]]-Tab_NewTRADER[[#This Row],[A]])*(1-Commission)*Tab_NewTRADER[[#This Row],[Scale]]</f>
        <v>13923.703999999998</v>
      </c>
      <c r="AR11" s="760">
        <f ca="1">Tab_NewTRADER[[#This Row],[M]]*Tab_NewTRADER[[#This Row],[N]]*(1-Commission)*Tab_NewTRADER[[#This Row],[Scale]]</f>
        <v>56692.216</v>
      </c>
      <c r="AS11" s="1174" cm="1">
        <f t="array" aca="1" ref="AS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0.15166711441449504</v>
      </c>
      <c r="AT11" s="1174" t="str" cm="1">
        <f t="array" aca="1" ref="AT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U11" s="825" t="str" cm="1">
        <f t="array" aca="1" ref="AU11" ca="1">_xlfn.IFS(   Tab_NewTRADER[[#This Row],[M_State]]=SellMorePercentGain,                     MIN(Tab_NewTRADER[[#This Row],[L_Sn]],Tab_NewTRADER[[#This Row],[N]])*(Tab_NewTRADER[[#This Row],[M]]-Tab_NewTRADER[[#This Row],[L_Sp]])*(1-Commission)*Tab_NewTRADER[[#This Row],[Scale]],                    TRUE,"")</f>
        <v/>
      </c>
      <c r="AV11" s="1163">
        <f ca="1">_xlfn.XLOOKUP(Tab_NewTRADER[[#This Row],[ClickTick]],TabCalc[Ticker],TabCalc[Ann%RevLB])</f>
        <v>-3.1978680879413751E-3</v>
      </c>
      <c r="AW11" s="1267">
        <f ca="1">_xlfn.XLOOKUP(Tab_NewTRADER[[#This Row],[ClickTick]],TabCalc[Ticker],TabCalc[Up20])</f>
        <v>0</v>
      </c>
      <c r="AX11" s="1175" t="str" cm="1">
        <f t="array" aca="1" ref="AX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11" s="825" t="str" cm="1">
        <f t="array" aca="1" ref="AY11" ca="1">_xlfn.IFS(         Tab_NewTRADER[[#This Row],[M_State]]=MDown,Tab_NewTRADER[[#This Row],[L_Bn]]*Tab_NewTRADER[[#This Row],[M]]*(-(Tab_NewTRADER[[#This Row],[L_Bp]]+Tab_NewTRADER[[#This Row],[M]])/Tab_NewTRADER[[#This Row],[M]])*(1-Commission)*Tab_NewTRADER[[#This Row],[Scale]],                               TRUE,"")</f>
        <v/>
      </c>
      <c r="AZ11" s="1174" t="str" cm="1">
        <f t="array" aca="1" ref="AZ11" ca="1">_xlfn.IFS(   Tab_NewTRADER[[#This Row],[M_State]]=MUp,Tab_NewTRADER[[#This Row],[TakeGain_A]]-Commission,        Tab_NewTRADER[[#This Row],[M_State]]=MDown,(Tab_NewTRADER[[#This Row],[A]]-Tab_NewTRADER[[#This Row],[M]])/Tab_NewTRADER[[#This Row],[M]]-Commission,                              TRUE,"")</f>
        <v/>
      </c>
      <c r="BA11" s="760" cm="1">
        <f t="array" aca="1" ref="BA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13923.703999999998</v>
      </c>
      <c r="BB11" s="760" t="str" cm="1">
        <f t="array" aca="1" ref="BB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-1.1%</v>
      </c>
      <c r="BC11" s="736" t="str" cm="1">
        <f t="array" aca="1" ref="BC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11" s="765" cm="1">
        <f t="array" aca="1" ref="BD11" ca="1">_xlfn.IFS(Tab_NewTRADER[[#This Row],[M_State]]=Sale_Back,"",         Tab_NewTRADER[[#This Row],[M_State]]=MDown, (Tab_NewTRADER[[#This Row],[M]]-Tab_NewTRADER[[#This Row],[A]])/Tab_NewTRADER[[#This Row],[A]]*ComFactor,             TRUE, IFERROR((Tab_NewTRADER[[#This Row],[M]]-Tab_NewTRADER[[#This Row],[A]])/Tab_NewTRADER[[#This Row],[A]]*ComFactor,""))</f>
        <v>0.32471324626865666</v>
      </c>
      <c r="BE11" s="762" cm="1">
        <f t="array" aca="1" ref="BE11" ca="1">_xlfn.IFS(               Tab_NewTRADER[[#This Row],[M_State]]=NoStock,(Tab_NewTRADER[[#This Row],[L_Sp]]-Tab_NewTRADER[[#This Row],[M]])/Tab_NewTRADER[[#This Row],[M]]-Commission,             Tab_NewTRADER[[#This Row],[A]]&lt;&gt;0,(Tab_NewTRADER[[#This Row],[A]]-Tab_NewTRADER[[#This Row],[M]])/Tab_NewTRADER[[#This Row],[M]]-Commission)</f>
        <v>-0.24820168895144262</v>
      </c>
      <c r="BF11" s="324">
        <f ca="1">_xlfn.XLOOKUP(Tab_NewTRADER[[#This Row],[ClickTick]],TabCalc[Ticker],TabCalc[L_Sn])</f>
        <v>6000</v>
      </c>
      <c r="BG11" s="728">
        <f ca="1">_xlfn.XLOOKUP(Tab_NewTRADER[[#This Row],[ClickTick]],TabCalc[Ticker],TabCalc[L_Sp])</f>
        <v>3.3500999999999999</v>
      </c>
      <c r="BH11" s="764">
        <f ca="1">-IFERROR((Tab_NewTRADER[[#This Row],[M]]-Tab_NewTRADER[[#This Row],[L_Sp]])/Tab_NewTRADER[[#This Row],[L_Sp]],0)</f>
        <v>0.15166711441449504</v>
      </c>
      <c r="BI11" s="729">
        <f ca="1">MIN(Tab_NewTRADER[[#This Row],[L_Sn]],Tab_NewTRADER[[#This Row],[N]])*(Tab_NewTRADER[[#This Row],[M]]-Tab_NewTRADER[[#This Row],[L_Sp]])*(1-Commission)*Tab_NewTRADER[[#This Row],[Scale]]</f>
        <v>-3040.6736399999986</v>
      </c>
      <c r="BJ11" s="692">
        <f ca="1">Tab_NewTRADER[[#This Row],[L_Sn]]*(Tab_NewTRADER[[#This Row],[Agiotage]]-Tab_NewTRADER[[#This Row],[M]])/(Tab_NewTRADER[[#This Row],[L_Bn]]*Tab_NewTRADER[[#This Row],[M]])</f>
        <v>-0.92816700988115497</v>
      </c>
      <c r="BK11" s="635">
        <f ca="1">IFERROR((Tab_NewTRADER[[#This Row],[M]]-Tab_NewTRADER[[#This Row],[A]])/Tab_NewTRADER[[#This Row],[A]],0)</f>
        <v>0.32555970149253727</v>
      </c>
      <c r="BL11" s="638" t="str">
        <f ca="1">TEXT(_xlfn.XLOOKUP(Tab_NewTRADER[[#This Row],[ClickTick]],TabCalc[Ticker],TabCalc[NAfter]),"#,#0")&amp;" : "&amp;TEXT(_xlfn.XLOOKUP(Tab_NewTRADER[[#This Row],[ClickTick]],TabCalc[Ticker],TabCalc[NAfter])*(Tab_NewTRADER[[#This Row],[M]]-Tab_NewTRADER[[#This Row],[A]])*(1-Commission)*Tab_NewTRADER[[#This Row],[Scale]],"#,#0$")</f>
        <v>20,000 : 13,924$</v>
      </c>
      <c r="BM11" s="684">
        <f ca="1">_xlfn.XLOOKUP(Tab_NewTRADER[[#This Row],[ClickTick]],TabCalc[[#This Row],[Ticker]],TabCalc[[#This Row],[GL]])*(1-Commission)</f>
        <v>24861.215420989392</v>
      </c>
      <c r="BN11" s="684"/>
      <c r="BO11" s="669" t="str">
        <f ca="1">Tab_NewTRADER[[#This Row],[ClickTick]]&amp;": "&amp;_xlfn.XLOOKUP(Tab_NewTRADER[[#This Row],[ClickTick]],TabCalc[Ticker],TabCalc[Pile?])</f>
        <v xml:space="preserve">BLDP: </v>
      </c>
      <c r="BP11" s="351" t="s">
        <v>2064</v>
      </c>
      <c r="BQ11" s="755" t="str" cm="1">
        <f t="array" aca="1" ref="BQ11" ca="1">_xlfn.TEXTJOIN("",,INDEX({"M","A","Y"}, _xlfn.SORTBY({1,2,3}, -CHOOSE({1,2,3}, Tab_NewTRADER[[#This Row],[M]], Tab_NewTRADER[[#This Row],[A]], Tab_NewTRADER[[#This Row],[Agiotage]]))))</f>
        <v>MAY</v>
      </c>
      <c r="BR11" s="902" t="str" cm="1">
        <f t="array" aca="1" ref="BR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S11" s="679">
        <f ca="1">Tab_NewTRADER[[#This Row],[L_Sn]]*Tab_NewTRADER[[#This Row],[L_Sp]]+Tab_NewTRADER[[#This Row],[SellMore]]*Tab_NewTRADER[[#This Row],[M]]</f>
        <v>31468.6</v>
      </c>
      <c r="BT11" s="679">
        <f ca="1">INDEX(
  INDEX(TabConsolid[], , _xlfn.XMATCH(Tab_NewTRADER[[#This Row],[ClickTick]]&amp;1, TabConsolid[#Headers])),
  MATCH(
    -Tab_NewTRADER[[#This Row],[M]],
    INDEX(TabConsolid[], , _xlfn.XMATCH(Tab_NewTRADER[[#This Row],[ClickTick]]&amp;2, TabConsolid[#Headers])),
    -1
  )
)</f>
        <v>4000</v>
      </c>
      <c r="BU11" s="679" cm="1">
        <f t="array" aca="1" ref="BU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V11" s="1144">
        <f ca="1">Tab_NewTRADER[[#This Row],[ReBuy]]/(Tab_NewTRADER[[#This Row],[L_Sn]]+Tab_NewTRADER[[#This Row],[SellMore]])</f>
        <v>3.1468599999999998</v>
      </c>
      <c r="BW11" s="687">
        <f ca="1">((_xlfn.XLOOKUP(Tab_NewTRADER[[#This Row],[ClickTick]],TabCalc[Ticker],TabCalc[NAfter])+Tab_NewTRADER[[#This Row],[L_Sn]])*(Tab_NewTRADER[[#This Row],[Agiotage]]-Tab_NewTRADER[[#This Row],[M]]))/(Tab_NewTRADER[[#This Row],[L_Sn]]*_xlfn.XLOOKUP(Tab_NewTRADER[[#This Row],[ClickTick]],TabCalc[Ticker],TabCalc[NAfter]))</f>
        <v>-5.7153430578448579E-4</v>
      </c>
      <c r="BX11" s="687">
        <f ca="1">(Tab_NewTRADER[[#This Row],[M]]-Tab_NewTRADER[[#This Row],[Agiotage]])/(Tab_NewTRADER[[#This Row],[M]]-Tab_NewTRADER[[#This Row],[A]])-1</f>
        <v>2.7791556476822956</v>
      </c>
      <c r="BY11" s="1262">
        <f ca="1">_xlfn.XMATCH(Tab_NewTRADER[[#This Row],[ClickTick]]&amp;1, TabConsolid[#Headers])</f>
        <v>26</v>
      </c>
      <c r="BZ11" t="str">
        <f ca="1">IF(ABS(Tab_NewTRADER[[#This Row],[L_Bp]])&gt;=Tab_NewTRADER[[#This Row],[M]],"OK")</f>
        <v>OK</v>
      </c>
    </row>
    <row r="12" spans="1:78"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-131,308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-474.2%</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1.6497235143042414E-2</v>
      </c>
      <c r="N12" s="324" cm="1">
        <f t="array" aca="1" ref="N12" ca="1">_xlfn.XLOOKUP(Tab_NewTRADER[[#This Row],[ClickTick]],ListTickers,Tab2RSIConventional[RSIConv20])</f>
        <v>58</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-0.82585930375169037</v>
      </c>
      <c r="S12" s="683">
        <f ca="1">_xlfn.XLOOKUP(Tab_NewTRADER[[#This Row],[ClickTick]],TabCalc[Ticker],TabCalc[Rev(MinStock)])*(1-Commission)</f>
        <v>-130966.1005</v>
      </c>
      <c r="T12" s="782">
        <f ca="1">_xlfn.XLOOKUP(Tab_NewTRADER[[#This Row],[ClickTick]],TabCalc[Ticker],TabCalc[Agiotage])</f>
        <v>1.6497235143042414E-2</v>
      </c>
      <c r="U12" s="747"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-562/-562=&gt;-1.6% / -1.6%</v>
      </c>
      <c r="V12" s="739" t="str">
        <f ca="1">_xlfn.XLOOKUP(Tab_NewTRADER[[#This Row],[ClickTick]],[1]!RTData[Ticker_Symbol],[1]!RTData[Currency])</f>
        <v>USD</v>
      </c>
      <c r="W12" s="749">
        <f ca="1">_xlfn.XLOOKUP(Tab_NewTRADER[[#This Row],[ClickTick]],TabCalc[Ticker],TabCalc[M])</f>
        <v>2.2149999999999999</v>
      </c>
      <c r="X12" s="1315"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-1.5556E-2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-132K /28 K$</v>
      </c>
      <c r="AF12" s="1182"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2" s="1530" t="str">
        <f ca="1">TEXT(MIN(Tab_NewTRADER[[#This Row],[L_Bn]],Tab_NewTRADER[[#This Row],[N]]),"#,#0")&amp;" x "&amp;TEXT(Tab_NewTRADER[[#This Row],[L_Bp]],"#,#0.#0")</f>
        <v>12,500 x -12.72</v>
      </c>
      <c r="AH12" s="1530" t="str" cm="1">
        <f t="array" aca="1" ref="AH12" ca="1">_xlfn.IFS(Tab_NewTRADER[[#This Row],[M_State]]=Sale_Back,Tab_NewTRADER[[#This Row],[Sale_Back_$]], TRUE,"M = "&amp;Tab_NewTRADER[[#This Row],[M]])</f>
        <v>M = 2.215</v>
      </c>
      <c r="AI12" s="1433" cm="1">
        <f t="array" aca="1" ref="AI12" ca="1">IF(Tab_NewTRADER[[#This Row],[M_State]]=MUp,_xlfn.IFS(Tab_NewTRADER[[#This Row],[M_State]]=MUp,MIN(Tab_NewTRADER[[#This Row],[N]],Tab_NewTRADER[[#This Row],[L_Bn]])*(Tab_NewTRADER[[#This Row],[M]]-Tab_NewTRADER[[#This Row],[L_Sp]])*Tab_NewTRADER[[#This Row],[Scale]]*ComFactor, TRUE,0),0)</f>
        <v>0</v>
      </c>
      <c r="AJ12" s="1433" cm="1">
        <f t="array" aca="1" ref="AJ12" ca="1">_xlfn.IFS(Tab_NewTRADER[[#This Row],[M_State]]=MUp,                 MIN(Tab_NewTRADER[[#This Row],[L_Sn]],Tab_NewTRADER[[#This Row],[N]])*(Tab_NewTRADER[[#This Row],[M]]-Tab_NewTRADER[[#This Row],[A]])*Tab_NewTRADER[[#This Row],[Scale]]*ComFactor, TRUE,0)</f>
        <v>0</v>
      </c>
      <c r="AK12" s="1433" cm="1">
        <f t="array" aca="1" ref="AK12" ca="1">_xlfn.IFS(Tab_NewTRADER[[#This Row],[M_State]]=MUp,                  Tab_NewTRADER[[#This Row],[N]]*(Tab_NewTRADER[[#This Row],[M]]-Tab_NewTRADER[[#This Row],[A]])*Tab_NewTRADER[[#This Row],[Scale]]*ComFactor, TRUE,0)</f>
        <v>0</v>
      </c>
      <c r="AL12" s="1435" t="str">
        <f ca="1">TEXT(Tab_NewTRADER[[#This Row],[L_Sn]],"#,#0")&amp;" x "&amp;TEXT(Tab_NewTRADER[[#This Row],[L_Sp]],"#,#0.#0")</f>
        <v>0 x 0.0</v>
      </c>
      <c r="AM12" s="1465" t="str" cm="1">
        <f t="array" aca="1" ref="AM12" ca="1">_xlfn.IFS(Tab_NewTRADER[[#This Row],[M_State]]=RePurchaseGain,TEXT(-Tab_NewTRADER[[#This Row],[Buy_Back]],"#,#0")&amp;"       / "&amp;TEXT(Tab_NewTRADER[[#This Row],[Rev_Buy]],"#,#00.0)%"),TRUE,"M = "&amp;Tab_NewTRADER[[#This Row],[M]])</f>
        <v>M = 2.215</v>
      </c>
      <c r="AN12" s="1435" t="str" cm="1">
        <f t="array" aca="1" ref="AN12" ca="1">_xlfn.IFS(Tab_NewTRADER[[#This Row],[M_State]]=MDown,TEXT(Tab_NewTRADER[[#This Row],[L_Sn]]*(Tab_NewTRADER[[#This Row],[M]]-Tab_NewTRADER[[#This Row],[L_Sp]])*ComFactor,"#,#0")&amp;"       / "&amp;TEXT((TabTRADER[[#This Row],[M]]-TabTRADER[[#This Row],[L_Sp]])/TabTRADER[[#This Row],[M]],"#,#00.0)%"),TRUE,0)</f>
        <v>0       / 100.0)%</v>
      </c>
      <c r="AO12" s="1486" t="str" cm="1">
        <f t="array" aca="1" ref="AO12" ca="1">_xlfn.IFS(Tab_NewTRADER[[#This Row],[M_State]]=MDown,TEXT(Tab_NewTRADER[[#This Row],[N]]*(Tab_NewTRADER[[#This Row],[M]]-Tab_NewTRADER[[#This Row],[A]])*Tab_NewTRADER[[#This Row],[Scale]]*ComFactor,"#,#0")&amp;"       / "&amp;TEXT((TabTRADER[[#This Row],[M]]-TabTRADER[[#This Row],[L_Bp]])/TabTRADER[[#This Row],[M]],"#,#00.0%"),TRUE,0)</f>
        <v>-130,966       / 674.2%</v>
      </c>
      <c r="AP12" s="1435" t="str" cm="1">
        <f t="array" aca="1" ref="AP12" ca="1">_xlfn.IFS(Tab_NewTRADER[[#This Row],[M_State]]=MDown,TEXT(Tab_NewTRADER[[#This Row],[N]]*Tab_NewTRADER[[#This Row],[M]],"#,#0")&amp;" @ "&amp;TEXT(Tab_NewTRADER[[#This Row],[A]],"#,#0.#0"),TRUE,"M = "&amp; Tab_NewTRADER[[#This Row],[M]])</f>
        <v>27,688 @ 12.72</v>
      </c>
      <c r="AQ12" s="1165">
        <f ca="1">Tab_NewTRADER[[#This Row],[N]]*(Tab_NewTRADER[[#This Row],[M]]-Tab_NewTRADER[[#This Row],[A]])*(1-Commission)*Tab_NewTRADER[[#This Row],[Scale]]</f>
        <v>-130966.1005</v>
      </c>
      <c r="AR12" s="1165">
        <f ca="1">Tab_NewTRADER[[#This Row],[M]]*Tab_NewTRADER[[#This Row],[N]]*(1-Commission)*Tab_NewTRADER[[#This Row],[Scale]]</f>
        <v>27615.512499999997</v>
      </c>
      <c r="AS12" s="1174" cm="1">
        <f t="array" aca="1" ref="AS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0.82585930375169037</v>
      </c>
      <c r="AT12" s="1174" cm="1">
        <f t="array" aca="1" ref="AT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4.7398830699774264</v>
      </c>
      <c r="AU12" s="825" t="str" cm="1">
        <f t="array" aca="1" ref="AU12" ca="1">_xlfn.IFS(   Tab_NewTRADER[[#This Row],[M_State]]=SellMorePercentGain,                     MIN(Tab_NewTRADER[[#This Row],[L_Sn]],Tab_NewTRADER[[#This Row],[N]])*(Tab_NewTRADER[[#This Row],[M]]-Tab_NewTRADER[[#This Row],[L_Sp]])*(1-Commission)*Tab_NewTRADER[[#This Row],[Scale]],                    TRUE,"")</f>
        <v/>
      </c>
      <c r="AV12" s="1163">
        <f ca="1">_xlfn.XLOOKUP(Tab_NewTRADER[[#This Row],[ClickTick]],TabCalc[Ticker],TabCalc[Ann%RevLB])</f>
        <v>-5.4692669122628497E-2</v>
      </c>
      <c r="AW12" s="1267">
        <f ca="1">_xlfn.XLOOKUP(Tab_NewTRADER[[#This Row],[ClickTick]],TabCalc[Ticker],TabCalc[Up20])</f>
        <v>0.66666666666666663</v>
      </c>
      <c r="AX12" s="1175" cm="1">
        <f t="array" aca="1" ref="AX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4.7424830699774265</v>
      </c>
      <c r="AY12" s="825" cm="1">
        <f t="array" aca="1" ref="AY12" ca="1">_xlfn.IFS(         Tab_NewTRADER[[#This Row],[M_State]]=MDown,Tab_NewTRADER[[#This Row],[L_Bn]]*Tab_NewTRADER[[#This Row],[M]]*(-(Tab_NewTRADER[[#This Row],[L_Bp]]+Tab_NewTRADER[[#This Row],[M]])/Tab_NewTRADER[[#This Row],[M]])*(1-Commission)*Tab_NewTRADER[[#This Row],[Scale]],                               TRUE,"")</f>
        <v>130966.1005</v>
      </c>
      <c r="AZ12" s="1174" cm="1">
        <f t="array" aca="1" ref="AZ12" ca="1">_xlfn.IFS(   Tab_NewTRADER[[#This Row],[M_State]]=MUp,Tab_NewTRADER[[#This Row],[TakeGain_A]]-Commission,        Tab_NewTRADER[[#This Row],[M_State]]=MDown,(Tab_NewTRADER[[#This Row],[A]]-Tab_NewTRADER[[#This Row],[M]])/Tab_NewTRADER[[#This Row],[M]]-Commission,                              TRUE,"")</f>
        <v>4.7398830699774264</v>
      </c>
      <c r="BA12" s="825" cm="1">
        <f t="array" aca="1" ref="BA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130966.1005</v>
      </c>
      <c r="BB12" s="760" t="str" cm="1">
        <f t="array" aca="1" ref="BB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C12" s="736" cm="1">
        <f t="array" aca="1" ref="BC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v>
      </c>
      <c r="BD12" s="765" cm="1">
        <f t="array" aca="1" ref="BD12" ca="1">_xlfn.IFS(Tab_NewTRADER[[#This Row],[M_State]]=Sale_Back,"",         Tab_NewTRADER[[#This Row],[M_State]]=MDown, (Tab_NewTRADER[[#This Row],[M]]-Tab_NewTRADER[[#This Row],[A]])/Tab_NewTRADER[[#This Row],[A]]*ComFactor,             TRUE, IFERROR((Tab_NewTRADER[[#This Row],[M]]-Tab_NewTRADER[[#This Row],[A]])/Tab_NewTRADER[[#This Row],[A]]*ComFactor,""))</f>
        <v>-0.82371206956193588</v>
      </c>
      <c r="BE12" s="762" cm="1">
        <f t="array" aca="1" ref="BE12" ca="1">_xlfn.IFS(               Tab_NewTRADER[[#This Row],[M_State]]=NoStock,(Tab_NewTRADER[[#This Row],[L_Sp]]-Tab_NewTRADER[[#This Row],[M]])/Tab_NewTRADER[[#This Row],[M]]-Commission,             Tab_NewTRADER[[#This Row],[A]]&lt;&gt;0,(Tab_NewTRADER[[#This Row],[A]]-Tab_NewTRADER[[#This Row],[M]])/Tab_NewTRADER[[#This Row],[M]]-Commission)</f>
        <v>4.7398830699774264</v>
      </c>
      <c r="BF12" s="324">
        <f ca="1">_xlfn.XLOOKUP(Tab_NewTRADER[[#This Row],[ClickTick]],TabCalc[Ticker],TabCalc[L_Sn])</f>
        <v>0</v>
      </c>
      <c r="BG12" s="728">
        <f ca="1">_xlfn.XLOOKUP(Tab_NewTRADER[[#This Row],[ClickTick]],TabCalc[Ticker],TabCalc[L_Sp])</f>
        <v>0</v>
      </c>
      <c r="BH12" s="764">
        <f ca="1">-IFERROR((Tab_NewTRADER[[#This Row],[M]]-Tab_NewTRADER[[#This Row],[L_Sp]])/Tab_NewTRADER[[#This Row],[L_Sp]],0)</f>
        <v>0</v>
      </c>
      <c r="BI12" s="729">
        <f ca="1">MIN(Tab_NewTRADER[[#This Row],[L_Sn]],Tab_NewTRADER[[#This Row],[N]])*(Tab_NewTRADER[[#This Row],[M]]-Tab_NewTRADER[[#This Row],[L_Sp]])*(1-Commission)*Tab_NewTRADER[[#This Row],[Scale]]</f>
        <v>0</v>
      </c>
      <c r="BJ12" s="692">
        <f ca="1">Tab_NewTRADER[[#This Row],[L_Sn]]*(Tab_NewTRADER[[#This Row],[Agiotage]]-Tab_NewTRADER[[#This Row],[M]])/(Tab_NewTRADER[[#This Row],[L_Bn]]*Tab_NewTRADER[[#This Row],[M]])</f>
        <v>0</v>
      </c>
      <c r="BK12" s="635">
        <f ca="1">IFERROR((Tab_NewTRADER[[#This Row],[M]]-Tab_NewTRADER[[#This Row],[A]])/Tab_NewTRADER[[#This Row],[A]],0)</f>
        <v>-0.82585930375169037</v>
      </c>
      <c r="BL12" s="638" t="str">
        <f ca="1">TEXT(_xlfn.XLOOKUP(Tab_NewTRADER[[#This Row],[ClickTick]],TabCalc[Ticker],TabCalc[NAfter]),"#,#0")&amp;" : "&amp;TEXT(_xlfn.XLOOKUP(Tab_NewTRADER[[#This Row],[ClickTick]],TabCalc[Ticker],TabCalc[NAfter])*(Tab_NewTRADER[[#This Row],[M]]-Tab_NewTRADER[[#This Row],[A]])*(1-Commission)*Tab_NewTRADER[[#This Row],[Scale]],"#,#0$")</f>
        <v>12,500 : -130,966$</v>
      </c>
      <c r="BM12" s="684">
        <f ca="1">_xlfn.XLOOKUP(Tab_NewTRADER[[#This Row],[ClickTick]],TabCalc[[#This Row],[Ticker]],TabCalc[[#This Row],[GL]])*(1-Commission)</f>
        <v>-131450.21302629996</v>
      </c>
      <c r="BN12" s="684"/>
      <c r="BO12" s="669" t="str">
        <f ca="1">Tab_NewTRADER[[#This Row],[ClickTick]]&amp;": "&amp;_xlfn.XLOOKUP(Tab_NewTRADER[[#This Row],[ClickTick]],TabCalc[Ticker],TabCalc[Pile?])</f>
        <v>BMRA: Pile</v>
      </c>
      <c r="BP12" s="351" t="s">
        <v>2049</v>
      </c>
      <c r="BQ12" s="755" t="str" cm="1">
        <f t="array" aca="1" ref="BQ12" ca="1">_xlfn.TEXTJOIN("",,INDEX({"M","A","Y"}, _xlfn.SORTBY({1,2,3}, -CHOOSE({1,2,3}, Tab_NewTRADER[[#This Row],[M]], Tab_NewTRADER[[#This Row],[A]], Tab_NewTRADER[[#This Row],[Agiotage]]))))</f>
        <v>AMY</v>
      </c>
      <c r="BR12" s="902" cm="1">
        <f t="array" aca="1" ref="BR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4.7424830699774265</v>
      </c>
      <c r="BS12" s="679" t="e">
        <f ca="1">Tab_NewTRADER[[#This Row],[L_Sn]]*Tab_NewTRADER[[#This Row],[L_Sp]]+Tab_NewTRADER[[#This Row],[SellMore]]*Tab_NewTRADER[[#This Row],[M]]</f>
        <v>#N/A</v>
      </c>
      <c r="BT12" s="679" t="e">
        <f ca="1">INDEX(
  INDEX(TabConsolid[], , _xlfn.XMATCH(Tab_NewTRADER[[#This Row],[ClickTick]]&amp;1, TabConsolid[#Headers])),
  MATCH(
    -Tab_NewTRADER[[#This Row],[M]],
    INDEX(TabConsolid[], , _xlfn.XMATCH(Tab_NewTRADER[[#This Row],[ClickTick]]&amp;2, TabConsolid[#Headers])),
    -1
  )
)</f>
        <v>#N/A</v>
      </c>
      <c r="BU12" s="679" cm="1">
        <f t="array" aca="1" ref="BU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12" s="1144" t="e">
        <f ca="1">Tab_NewTRADER[[#This Row],[ReBuy]]/(Tab_NewTRADER[[#This Row],[L_Sn]]+Tab_NewTRADER[[#This Row],[SellMore]])</f>
        <v>#N/A</v>
      </c>
      <c r="BW12" s="687" t="e">
        <f ca="1">((_xlfn.XLOOKUP(Tab_NewTRADER[[#This Row],[ClickTick]],TabCalc[Ticker],TabCalc[NAfter])+Tab_NewTRADER[[#This Row],[L_Sn]])*(Tab_NewTRADER[[#This Row],[Agiotage]]-Tab_NewTRADER[[#This Row],[M]]))/(Tab_NewTRADER[[#This Row],[L_Sn]]*_xlfn.XLOOKUP(Tab_NewTRADER[[#This Row],[ClickTick]],TabCalc[Ticker],TabCalc[NAfter]))</f>
        <v>#DIV/0!</v>
      </c>
      <c r="BX12" s="687">
        <f ca="1">(Tab_NewTRADER[[#This Row],[M]]-Tab_NewTRADER[[#This Row],[Agiotage]])/(Tab_NewTRADER[[#This Row],[M]]-Tab_NewTRADER[[#This Row],[A]])-1</f>
        <v>-1.2092895269555202</v>
      </c>
      <c r="BY12" s="1262">
        <f ca="1">_xlfn.XMATCH(Tab_NewTRADER[[#This Row],[ClickTick]]&amp;1, TabConsolid[#Headers])</f>
        <v>29</v>
      </c>
      <c r="BZ12" t="str">
        <f ca="1">IF(ABS(Tab_NewTRADER[[#This Row],[L_Bp]])&gt;=Tab_NewTRADER[[#This Row],[M]],"OK")</f>
        <v>OK</v>
      </c>
    </row>
    <row r="13" spans="1:78"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-133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3,869$</v>
      </c>
      <c r="G13" s="225" t="str">
        <f ca="1">IFERROR(TRUNC(_xlfn.XLOOKUP(Tab_NewTRADER[[#This Row],[ClickTick]],TabCalc[Ticker],ListLastSalep),2)&amp;"x"&amp;_xlfn.XLOOKUP(Tab_NewTRADER[[#This Row],[ClickTick]],TabCalc[Ticker],ListLastSalen)&amp;"=   "&amp;TEXT(-_xlfn.XLOOKUP(Tab_NewTRADER[[#This Row],[ClickTick]],TabCalc[Ticker],ListReverseB),"#,#0")&amp;"$","")</f>
        <v>97.37x95=   211$</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2.2% = 0</v>
      </c>
      <c r="I13" s="226" t="str">
        <f ca="1">IFERROR(TRUNC(TabCalc[[#This Row],[L_S1p]],2)&amp;"x"&amp;TabCalc[[#This Row],[L_S1n]]&amp;"=   "&amp;TEXT(TabCalc[[#This Row],[ReverseB1]],"#,#0"),"")</f>
        <v>82.67x500=   -8,465</v>
      </c>
      <c r="J13" s="295">
        <f ca="1">_xlfn.XLOOKUP(Tab_NewTRADER[[#This Row],[ClickTick]],TabCalc[Ticker],ListGravity)</f>
        <v>1.1421877510040161</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498</v>
      </c>
      <c r="M13" s="323">
        <f ca="1">_xlfn.XLOOKUP(Tab_NewTRADER[[#This Row],[ClickTick]],TabCalc[Ticker],TabCalc[Agiotage])</f>
        <v>0.30231117846724859</v>
      </c>
      <c r="N13" s="324" cm="1">
        <f t="array" aca="1" ref="N13" ca="1">_xlfn.XLOOKUP(Tab_NewTRADER[[#This Row],[ClickTick]],ListTickers,Tab2RSIConventional[RSIConv20])</f>
        <v>56</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-1.3177449717626201E-2</v>
      </c>
      <c r="S13" s="683">
        <f ca="1">_xlfn.XLOOKUP(Tab_NewTRADER[[#This Row],[ClickTick]],TabCalc[Ticker],TabCalc[Rev(MinStock)])*(1-Commission)</f>
        <v>-132.65420000000125</v>
      </c>
      <c r="T13" s="782">
        <f ca="1">_xlfn.XLOOKUP(Tab_NewTRADER[[#This Row],[ClickTick]],TabCalc[Ticker],TabCalc[Agiotage])</f>
        <v>0.30231117846724859</v>
      </c>
      <c r="U13" s="747"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141/141=&gt;1.3% / 1.3%</v>
      </c>
      <c r="V13" s="739" t="str">
        <f ca="1">_xlfn.XLOOKUP(Tab_NewTRADER[[#This Row],[ClickTick]],[1]!RTData[Ticker_Symbol],[1]!RTData[Currency])</f>
        <v>USD</v>
      </c>
      <c r="W13" s="749">
        <f ca="1">_xlfn.XLOOKUP(Tab_NewTRADER[[#This Row],[ClickTick]],TabCalc[Ticker],TabCalc[M])</f>
        <v>99.6</v>
      </c>
      <c r="X13" s="1315"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1.3019000000000001E-2</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^40K / 10 K$</v>
      </c>
      <c r="AF13" s="1182"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3" s="1530" t="str">
        <f ca="1">TEXT(MIN(Tab_NewTRADER[[#This Row],[L_Bn]],Tab_NewTRADER[[#This Row],[N]]),"#,#0")&amp;" x "&amp;TEXT(Tab_NewTRADER[[#This Row],[L_Bp]],"#,#0.#0")</f>
        <v>100 x -100.93</v>
      </c>
      <c r="AH13" s="1530" t="str" cm="1">
        <f t="array" aca="1" ref="AH13" ca="1">_xlfn.IFS(Tab_NewTRADER[[#This Row],[M_State]]=Sale_Back,Tab_NewTRADER[[#This Row],[Sale_Back_$]], TRUE,"M = "&amp;Tab_NewTRADER[[#This Row],[M]])</f>
        <v>M = 99.6</v>
      </c>
      <c r="AI13" s="1433" cm="1">
        <f t="array" aca="1" ref="AI13" ca="1">IF(Tab_NewTRADER[[#This Row],[M_State]]=MUp,_xlfn.IFS(Tab_NewTRADER[[#This Row],[M_State]]=MUp,MIN(Tab_NewTRADER[[#This Row],[N]],Tab_NewTRADER[[#This Row],[L_Bn]])*(Tab_NewTRADER[[#This Row],[M]]-Tab_NewTRADER[[#This Row],[L_Sp]])*Tab_NewTRADER[[#This Row],[Scale]]*ComFactor, TRUE,0),0)</f>
        <v>0</v>
      </c>
      <c r="AJ13" s="1433" cm="1">
        <f t="array" aca="1" ref="AJ13" ca="1">_xlfn.IFS(Tab_NewTRADER[[#This Row],[M_State]]=MUp,                 MIN(Tab_NewTRADER[[#This Row],[L_Sn]],Tab_NewTRADER[[#This Row],[N]])*(Tab_NewTRADER[[#This Row],[M]]-Tab_NewTRADER[[#This Row],[A]])*Tab_NewTRADER[[#This Row],[Scale]]*ComFactor, TRUE,0)</f>
        <v>0</v>
      </c>
      <c r="AK13" s="1433" cm="1">
        <f t="array" aca="1" ref="AK13" ca="1">_xlfn.IFS(Tab_NewTRADER[[#This Row],[M_State]]=MUp,                  Tab_NewTRADER[[#This Row],[N]]*(Tab_NewTRADER[[#This Row],[M]]-Tab_NewTRADER[[#This Row],[A]])*Tab_NewTRADER[[#This Row],[Scale]]*ComFactor, TRUE,0)</f>
        <v>0</v>
      </c>
      <c r="AL13" s="1435" t="str">
        <f ca="1">TEXT(Tab_NewTRADER[[#This Row],[L_Sn]],"#,#0")&amp;" x "&amp;TEXT(Tab_NewTRADER[[#This Row],[L_Sp]],"#,#0.#0")</f>
        <v>95 x 97.38</v>
      </c>
      <c r="AM13" s="1465" t="str" cm="1">
        <f t="array" aca="1" ref="AM13" ca="1">_xlfn.IFS(Tab_NewTRADER[[#This Row],[M_State]]=RePurchaseGain,TEXT(-Tab_NewTRADER[[#This Row],[Buy_Back]],"#,#0")&amp;"       / "&amp;TEXT(Tab_NewTRADER[[#This Row],[Rev_Buy]],"#,#00.0)%"),TRUE,"M = "&amp;Tab_NewTRADER[[#This Row],[M]])</f>
        <v>M = 99.6</v>
      </c>
      <c r="AN13" s="1435" t="str" cm="1">
        <f t="array" aca="1" ref="AN13" ca="1">_xlfn.IFS(Tab_NewTRADER[[#This Row],[M_State]]=MDown,TEXT(Tab_NewTRADER[[#This Row],[L_Sn]]*(Tab_NewTRADER[[#This Row],[M]]-Tab_NewTRADER[[#This Row],[L_Sp]])*ComFactor,"#,#0")&amp;"       / "&amp;TEXT((TabTRADER[[#This Row],[M]]-TabTRADER[[#This Row],[L_Sp]])/TabTRADER[[#This Row],[M]],"#,#00.0)%"),TRUE,0)</f>
        <v>211       / 02.2)%</v>
      </c>
      <c r="AO13" s="1486" t="str" cm="1">
        <f t="array" aca="1" ref="AO13" ca="1">_xlfn.IFS(Tab_NewTRADER[[#This Row],[M_State]]=MDown,TEXT(Tab_NewTRADER[[#This Row],[N]]*(Tab_NewTRADER[[#This Row],[M]]-Tab_NewTRADER[[#This Row],[A]])*Tab_NewTRADER[[#This Row],[Scale]]*ComFactor,"#,#0")&amp;"       / "&amp;TEXT((TabTRADER[[#This Row],[M]]-TabTRADER[[#This Row],[L_Bp]])/TabTRADER[[#This Row],[M]],"#,#00.0%"),TRUE,0)</f>
        <v>51       / 201.3%</v>
      </c>
      <c r="AP13" s="1435" t="str" cm="1">
        <f t="array" aca="1" ref="AP13" ca="1">_xlfn.IFS(Tab_NewTRADER[[#This Row],[M_State]]=MDown,TEXT(Tab_NewTRADER[[#This Row],[N]]*Tab_NewTRADER[[#This Row],[M]],"#,#0")&amp;" @ "&amp;TEXT(Tab_NewTRADER[[#This Row],[A]],"#,#0.#0"),TRUE,"M = "&amp; Tab_NewTRADER[[#This Row],[M]])</f>
        <v>10,458 @ 99.11</v>
      </c>
      <c r="AQ13" s="1165">
        <f ca="1">Tab_NewTRADER[[#This Row],[N]]*(Tab_NewTRADER[[#This Row],[M]]-Tab_NewTRADER[[#This Row],[A]])*(1-Commission)*Tab_NewTRADER[[#This Row],[Scale]]</f>
        <v>51.116749999998795</v>
      </c>
      <c r="AR13" s="1165">
        <f ca="1">Tab_NewTRADER[[#This Row],[M]]*Tab_NewTRADER[[#This Row],[N]]*(1-Commission)*Tab_NewTRADER[[#This Row],[Scale]]</f>
        <v>10430.8092</v>
      </c>
      <c r="AS13" s="1174" cm="1">
        <f t="array" aca="1" ref="AS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-4.9246883032645914E-3</v>
      </c>
      <c r="AT13" s="1174" cm="1">
        <f t="array" aca="1" ref="AT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1.0753413654618601E-2</v>
      </c>
      <c r="AU13" s="825" t="str" cm="1">
        <f t="array" aca="1" ref="AU13" ca="1">_xlfn.IFS(   Tab_NewTRADER[[#This Row],[M_State]]=SellMorePercentGain,                     MIN(Tab_NewTRADER[[#This Row],[L_Sn]],Tab_NewTRADER[[#This Row],[N]])*(Tab_NewTRADER[[#This Row],[M]]-Tab_NewTRADER[[#This Row],[L_Sp]])*(1-Commission)*Tab_NewTRADER[[#This Row],[Scale]],                    TRUE,"")</f>
        <v/>
      </c>
      <c r="AV13" s="1163">
        <f ca="1">_xlfn.XLOOKUP(Tab_NewTRADER[[#This Row],[ClickTick]],TabCalc[Ticker],TabCalc[Ann%RevLB])</f>
        <v>-0.3162587932230288</v>
      </c>
      <c r="AW13" s="1267">
        <f ca="1">_xlfn.XLOOKUP(Tab_NewTRADER[[#This Row],[ClickTick]],TabCalc[Ticker],TabCalc[Up20])</f>
        <v>0</v>
      </c>
      <c r="AX13" s="1175" cm="1">
        <f t="array" aca="1" ref="AX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1.33534136546186E-2</v>
      </c>
      <c r="AY13" s="825" cm="1">
        <f t="array" aca="1" ref="AY13" ca="1">_xlfn.IFS(         Tab_NewTRADER[[#This Row],[M_State]]=MDown,Tab_NewTRADER[[#This Row],[L_Bn]]*Tab_NewTRADER[[#This Row],[M]]*(-(Tab_NewTRADER[[#This Row],[L_Bp]]+Tab_NewTRADER[[#This Row],[M]])/Tab_NewTRADER[[#This Row],[M]])*(1-Commission)*Tab_NewTRADER[[#This Row],[Scale]],                               TRUE,"")</f>
        <v>132.65420000000125</v>
      </c>
      <c r="AZ13" s="1174" cm="1">
        <f t="array" aca="1" ref="AZ13" ca="1">_xlfn.IFS(   Tab_NewTRADER[[#This Row],[M_State]]=MUp,Tab_NewTRADER[[#This Row],[TakeGain_A]]-Commission,        Tab_NewTRADER[[#This Row],[M_State]]=MDown,(Tab_NewTRADER[[#This Row],[A]]-Tab_NewTRADER[[#This Row],[M]])/Tab_NewTRADER[[#This Row],[M]]-Commission,                              TRUE,"")</f>
        <v>-7.5005545993496649E-3</v>
      </c>
      <c r="BA13" s="825" cm="1">
        <f t="array" aca="1" ref="BA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-51.116749999998795</v>
      </c>
      <c r="BB13" s="760" t="str" cm="1">
        <f t="array" aca="1" ref="BB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C13" s="736" cm="1">
        <f t="array" aca="1" ref="BC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-1.33</v>
      </c>
      <c r="BD13" s="765" cm="1">
        <f t="array" aca="1" ref="BD13" ca="1">_xlfn.IFS(Tab_NewTRADER[[#This Row],[M_State]]=Sale_Back,"",         Tab_NewTRADER[[#This Row],[M_State]]=MDown, (Tab_NewTRADER[[#This Row],[M]]-Tab_NewTRADER[[#This Row],[A]])/Tab_NewTRADER[[#This Row],[A]]*ComFactor,             TRUE, IFERROR((Tab_NewTRADER[[#This Row],[M]]-Tab_NewTRADER[[#This Row],[A]])/Tab_NewTRADER[[#This Row],[A]]*ComFactor,""))</f>
        <v>4.9118841136761033E-3</v>
      </c>
      <c r="BE13" s="762" cm="1">
        <f t="array" aca="1" ref="BE13" ca="1">_xlfn.IFS(               Tab_NewTRADER[[#This Row],[M_State]]=NoStock,(Tab_NewTRADER[[#This Row],[L_Sp]]-Tab_NewTRADER[[#This Row],[M]])/Tab_NewTRADER[[#This Row],[M]]-Commission,             Tab_NewTRADER[[#This Row],[A]]&lt;&gt;0,(Tab_NewTRADER[[#This Row],[A]]-Tab_NewTRADER[[#This Row],[M]])/Tab_NewTRADER[[#This Row],[M]]-Commission)</f>
        <v>-7.5005545993496649E-3</v>
      </c>
      <c r="BF13" s="324">
        <f ca="1">_xlfn.XLOOKUP(Tab_NewTRADER[[#This Row],[ClickTick]],TabCalc[Ticker],TabCalc[L_Sn])</f>
        <v>95</v>
      </c>
      <c r="BG13" s="728">
        <f ca="1">_xlfn.XLOOKUP(Tab_NewTRADER[[#This Row],[ClickTick]],TabCalc[Ticker],TabCalc[L_Sp])</f>
        <v>97.375</v>
      </c>
      <c r="BH13" s="764">
        <f ca="1">-IFERROR((Tab_NewTRADER[[#This Row],[M]]-Tab_NewTRADER[[#This Row],[L_Sp]])/Tab_NewTRADER[[#This Row],[L_Sp]],0)</f>
        <v>-2.2849807445442818E-2</v>
      </c>
      <c r="BI13" s="729">
        <f ca="1">MIN(Tab_NewTRADER[[#This Row],[L_Sn]],Tab_NewTRADER[[#This Row],[N]])*(Tab_NewTRADER[[#This Row],[M]]-Tab_NewTRADER[[#This Row],[L_Sp]])*(1-Commission)*Tab_NewTRADER[[#This Row],[Scale]]</f>
        <v>210.82542499999946</v>
      </c>
      <c r="BJ13" s="692">
        <f ca="1">Tab_NewTRADER[[#This Row],[L_Sn]]*(Tab_NewTRADER[[#This Row],[Agiotage]]-Tab_NewTRADER[[#This Row],[M]])/(Tab_NewTRADER[[#This Row],[L_Bn]]*Tab_NewTRADER[[#This Row],[M]])</f>
        <v>-0.9471165098439368</v>
      </c>
      <c r="BK13" s="635">
        <f ca="1">IFERROR((Tab_NewTRADER[[#This Row],[M]]-Tab_NewTRADER[[#This Row],[A]])/Tab_NewTRADER[[#This Row],[A]],0)</f>
        <v>4.9246883032645914E-3</v>
      </c>
      <c r="BL13" s="638" t="str">
        <f ca="1">TEXT(_xlfn.XLOOKUP(Tab_NewTRADER[[#This Row],[ClickTick]],TabCalc[Ticker],TabCalc[NAfter]),"#,#0")&amp;" : "&amp;TEXT(_xlfn.XLOOKUP(Tab_NewTRADER[[#This Row],[ClickTick]],TabCalc[Ticker],TabCalc[NAfter])*(Tab_NewTRADER[[#This Row],[M]]-Tab_NewTRADER[[#This Row],[A]])*(1-Commission)*Tab_NewTRADER[[#This Row],[Scale]],"#,#0$")</f>
        <v>105 : 51$</v>
      </c>
      <c r="BM13" s="684">
        <f ca="1">_xlfn.XLOOKUP(Tab_NewTRADER[[#This Row],[ClickTick]],TabCalc[[#This Row],[Ticker]],TabCalc[[#This Row],[GL]])*(1-Commission)</f>
        <v>40309.851929052602</v>
      </c>
      <c r="BN13" s="684"/>
      <c r="BO13" s="669" t="str">
        <f ca="1">Tab_NewTRADER[[#This Row],[ClickTick]]&amp;": "&amp;_xlfn.XLOOKUP(Tab_NewTRADER[[#This Row],[ClickTick]],TabCalc[Ticker],TabCalc[Pile?])</f>
        <v xml:space="preserve">C: </v>
      </c>
      <c r="BP13" s="351" t="s">
        <v>1971</v>
      </c>
      <c r="BQ13" s="755" t="str" cm="1">
        <f t="array" aca="1" ref="BQ13" ca="1">_xlfn.TEXTJOIN("",,INDEX({"M","A","Y"}, _xlfn.SORTBY({1,2,3}, -CHOOSE({1,2,3}, Tab_NewTRADER[[#This Row],[M]], Tab_NewTRADER[[#This Row],[A]], Tab_NewTRADER[[#This Row],[Agiotage]]))))</f>
        <v>MAY</v>
      </c>
      <c r="BR13" s="902" cm="1">
        <f t="array" aca="1" ref="BR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1.33534136546186E-2</v>
      </c>
      <c r="BS13" s="679">
        <f ca="1">Tab_NewTRADER[[#This Row],[L_Sn]]*Tab_NewTRADER[[#This Row],[L_Sp]]+Tab_NewTRADER[[#This Row],[SellMore]]*Tab_NewTRADER[[#This Row],[M]]</f>
        <v>9748.625</v>
      </c>
      <c r="BT13" s="679">
        <f ca="1">INDEX(
  INDEX(TabConsolid[], , _xlfn.XMATCH(Tab_NewTRADER[[#This Row],[ClickTick]]&amp;1, TabConsolid[#Headers])),
  MATCH(
    -Tab_NewTRADER[[#This Row],[M]],
    INDEX(TabConsolid[], , _xlfn.XMATCH(Tab_NewTRADER[[#This Row],[ClickTick]]&amp;2, TabConsolid[#Headers])),
    -1
  )
)</f>
        <v>5</v>
      </c>
      <c r="BU13" s="679" cm="1">
        <f t="array" aca="1" ref="BU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13" s="1144">
        <f ca="1">Tab_NewTRADER[[#This Row],[ReBuy]]/(Tab_NewTRADER[[#This Row],[L_Sn]]+Tab_NewTRADER[[#This Row],[SellMore]])</f>
        <v>97.486249999999998</v>
      </c>
      <c r="BW13" s="687">
        <f ca="1">((_xlfn.XLOOKUP(Tab_NewTRADER[[#This Row],[ClickTick]],TabCalc[Ticker],TabCalc[NAfter])+Tab_NewTRADER[[#This Row],[L_Sn]])*(Tab_NewTRADER[[#This Row],[Agiotage]]-Tab_NewTRADER[[#This Row],[M]]))/(Tab_NewTRADER[[#This Row],[L_Sn]]*_xlfn.XLOOKUP(Tab_NewTRADER[[#This Row],[ClickTick]],TabCalc[Ticker],TabCalc[NAfter]))</f>
        <v>-1.9909311041911326</v>
      </c>
      <c r="BX13" s="687">
        <f ca="1">(Tab_NewTRADER[[#This Row],[M]]-Tab_NewTRADER[[#This Row],[Agiotage]])/(Tab_NewTRADER[[#This Row],[M]]-Tab_NewTRADER[[#This Row],[A]])-1</f>
        <v>202.43916734168164</v>
      </c>
      <c r="BY13" s="1262">
        <f ca="1">_xlfn.XMATCH(Tab_NewTRADER[[#This Row],[ClickTick]]&amp;1, TabConsolid[#Headers])</f>
        <v>32</v>
      </c>
      <c r="BZ13" t="str">
        <f ca="1">IF(ABS(Tab_NewTRADER[[#This Row],[L_Bp]])&gt;=Tab_NewTRADER[[#This Row],[M]],"OK")</f>
        <v>OK</v>
      </c>
    </row>
    <row r="14" spans="1:78"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+11,074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14.1%</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452/1,000=35,342</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19,339$</v>
      </c>
      <c r="G14" s="225" t="str">
        <f ca="1">IFERROR(TRUNC(_xlfn.XLOOKUP(Tab_NewTRADER[[#This Row],[ClickTick]],TabCalc[Ticker],ListLastSalep),2)&amp;"x"&amp;_xlfn.XLOOKUP(Tab_NewTRADER[[#This Row],[ClickTick]],TabCalc[Ticker],ListLastSalen)&amp;"=   "&amp;TEXT(-_xlfn.XLOOKUP(Tab_NewTRADER[[#This Row],[ClickTick]],TabCalc[Ticker],ListReverseB),"#,#0")&amp;"$","")</f>
        <v>69.34x1000=   8,934$</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-11.4% = 0</v>
      </c>
      <c r="I14" s="226" t="str">
        <f ca="1">IFERROR(TRUNC(TabCalc[[#This Row],[L_S1p]],2)&amp;"x"&amp;TabCalc[[#This Row],[L_S1n]]&amp;"=   "&amp;TEXT(TabCalc[[#This Row],[ReverseB1]],"#,#0"),"")</f>
        <v>68.32x1000=   -9,954</v>
      </c>
      <c r="J14" s="295">
        <f ca="1">_xlfn.XLOOKUP(Tab_NewTRADER[[#This Row],[ClickTick]],TabCalc[Ticker],ListGravity)</f>
        <v>0.97467025919339334</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0.40983121293491032</v>
      </c>
      <c r="N14" s="324" cm="1">
        <f t="array" aca="1" ref="N14" ca="1">_xlfn.XLOOKUP(Tab_NewTRADER[[#This Row],[ClickTick]],ListTickers,Tab2RSIConventional[RSIConv20])</f>
        <v>17</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0.16478571428571426</v>
      </c>
      <c r="S14" s="683">
        <f ca="1">_xlfn.XLOOKUP(Tab_NewTRADER[[#This Row],[ClickTick]],TabCalc[Ticker],TabCalc[Rev(MinStock)])*(1-Commission)</f>
        <v>11044.808639999997</v>
      </c>
      <c r="T14" s="782">
        <f ca="1">_xlfn.XLOOKUP(Tab_NewTRADER[[#This Row],[ClickTick]],TabCalc[Ticker],TabCalc[Agiotage])</f>
        <v>0.40983121293491032</v>
      </c>
      <c r="U14" s="747"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1,024/1,024=&gt;1.2% / 1.2%</v>
      </c>
      <c r="V14" s="739" t="str">
        <f ca="1">_xlfn.XLOOKUP(Tab_NewTRADER[[#This Row],[ClickTick]],[1]!RTData[Ticker_Symbol],[1]!RTData[Currency])</f>
        <v>USD</v>
      </c>
      <c r="W14" s="708">
        <f ca="1">_xlfn.XLOOKUP(Tab_NewTRADER[[#This Row],[ClickTick]],TabCalc[Ticker],TabCalc[M])</f>
        <v>78.273600000000002</v>
      </c>
      <c r="X14" s="1315"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1.1679E-2</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^139K / 78 K$</v>
      </c>
      <c r="AF14" s="1451"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4" s="1533" t="str">
        <f ca="1">TEXT(MIN(Tab_NewTRADER[[#This Row],[L_Bn]],Tab_NewTRADER[[#This Row],[N]]),"#,#0")&amp;" x "&amp;TEXT(Tab_NewTRADER[[#This Row],[L_Bp]],"#,#0.#0")</f>
        <v>1,000 x -67.20</v>
      </c>
      <c r="AH14" s="1534" t="str" cm="1">
        <f t="array" aca="1" ref="AH14" ca="1">_xlfn.IFS(Tab_NewTRADER[[#This Row],[M_State]]=Sale_Back,Tab_NewTRADER[[#This Row],[Sale_Back_$]], TRUE,"M = "&amp;Tab_NewTRADER[[#This Row],[M]])</f>
        <v>M = 78.2736</v>
      </c>
      <c r="AI14" s="1456" cm="1">
        <f t="array" aca="1" ref="AI14" ca="1">IF(Tab_NewTRADER[[#This Row],[M_State]]=MUp,_xlfn.IFS(Tab_NewTRADER[[#This Row],[M_State]]=MUp,MIN(Tab_NewTRADER[[#This Row],[N]],Tab_NewTRADER[[#This Row],[L_Bn]])*(Tab_NewTRADER[[#This Row],[M]]-Tab_NewTRADER[[#This Row],[L_Sp]])*Tab_NewTRADER[[#This Row],[Scale]]*ComFactor, TRUE,0),0)</f>
        <v>8910.3726399999978</v>
      </c>
      <c r="AJ14" s="1460" cm="1">
        <f t="array" aca="1" ref="AJ14" ca="1">_xlfn.IFS(Tab_NewTRADER[[#This Row],[M_State]]=MUp,                 MIN(Tab_NewTRADER[[#This Row],[L_Sn]],Tab_NewTRADER[[#This Row],[N]])*(Tab_NewTRADER[[#This Row],[M]]-Tab_NewTRADER[[#This Row],[A]])*Tab_NewTRADER[[#This Row],[Scale]]*ComFactor, TRUE,0)</f>
        <v>11044.808639999997</v>
      </c>
      <c r="AK14" s="1460" cm="1">
        <f t="array" aca="1" ref="AK14" ca="1">_xlfn.IFS(Tab_NewTRADER[[#This Row],[M_State]]=MUp,                  Tab_NewTRADER[[#This Row],[N]]*(Tab_NewTRADER[[#This Row],[M]]-Tab_NewTRADER[[#This Row],[A]])*Tab_NewTRADER[[#This Row],[Scale]]*ComFactor, TRUE,0)</f>
        <v>11044.808639999997</v>
      </c>
      <c r="AL14" s="1452" t="str">
        <f ca="1">TEXT(Tab_NewTRADER[[#This Row],[L_Sn]],"#,#0")&amp;" x "&amp;TEXT(Tab_NewTRADER[[#This Row],[L_Sp]],"#,#0.#0")</f>
        <v>1,000 x 69.34</v>
      </c>
      <c r="AM14" s="1465" t="str" cm="1">
        <f t="array" aca="1" ref="AM14" ca="1">_xlfn.IFS(Tab_NewTRADER[[#This Row],[M_State]]=RePurchaseGain,TEXT(-Tab_NewTRADER[[#This Row],[Buy_Back]],"#,#0")&amp;"       / "&amp;TEXT(Tab_NewTRADER[[#This Row],[Rev_Buy]],"#,#00.0)%"),TRUE,"M = "&amp;Tab_NewTRADER[[#This Row],[M]])</f>
        <v>M = 78.2736</v>
      </c>
      <c r="AN14" s="1435" cm="1">
        <f t="array" aca="1" ref="AN14" ca="1">_xlfn.IFS(Tab_NewTRADER[[#This Row],[M_State]]=MDown,TEXT(Tab_NewTRADER[[#This Row],[L_Sn]]*(Tab_NewTRADER[[#This Row],[M]]-Tab_NewTRADER[[#This Row],[L_Sp]])*ComFactor,"#,#0")&amp;"       / "&amp;TEXT((TabTRADER[[#This Row],[M]]-TabTRADER[[#This Row],[L_Sp]])/TabTRADER[[#This Row],[M]],"#,#00.0)%"),TRUE,0)</f>
        <v>0</v>
      </c>
      <c r="AO14" s="1486" cm="1">
        <f t="array" aca="1" ref="AO14" ca="1">_xlfn.IFS(Tab_NewTRADER[[#This Row],[M_State]]=MDown,TEXT(Tab_NewTRADER[[#This Row],[N]]*(Tab_NewTRADER[[#This Row],[M]]-Tab_NewTRADER[[#This Row],[A]])*Tab_NewTRADER[[#This Row],[Scale]]*ComFactor,"#,#0")&amp;"       / "&amp;TEXT((TabTRADER[[#This Row],[M]]-TabTRADER[[#This Row],[L_Bp]])/TabTRADER[[#This Row],[M]],"#,#00.0%"),TRUE,0)</f>
        <v>0</v>
      </c>
      <c r="AP14" s="1435" t="str" cm="1">
        <f t="array" aca="1" ref="AP14" ca="1">_xlfn.IFS(Tab_NewTRADER[[#This Row],[M_State]]=MDown,TEXT(Tab_NewTRADER[[#This Row],[N]]*Tab_NewTRADER[[#This Row],[M]],"#,#0")&amp;" @ "&amp;TEXT(Tab_NewTRADER[[#This Row],[A]],"#,#0.#0"),TRUE,"M = "&amp; Tab_NewTRADER[[#This Row],[M]])</f>
        <v>M = 78.2736</v>
      </c>
      <c r="AQ14" s="1165">
        <f ca="1">Tab_NewTRADER[[#This Row],[N]]*(Tab_NewTRADER[[#This Row],[M]]-Tab_NewTRADER[[#This Row],[A]])*(1-Commission)*Tab_NewTRADER[[#This Row],[Scale]]</f>
        <v>11044.808639999997</v>
      </c>
      <c r="AR14" s="1165">
        <f ca="1">Tab_NewTRADER[[#This Row],[M]]*Tab_NewTRADER[[#This Row],[N]]*(1-Commission)*Tab_NewTRADER[[#This Row],[Scale]]</f>
        <v>78070.088640000002</v>
      </c>
      <c r="AS14" s="1174" cm="1">
        <f t="array" aca="1" ref="AS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0.16478571428571426</v>
      </c>
      <c r="AT14" s="1174" cm="1">
        <f t="array" aca="1" ref="AT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0.11153298992252814</v>
      </c>
      <c r="AU14" s="825" cm="1">
        <f t="array" aca="1" ref="AU14" ca="1">_xlfn.IFS(   Tab_NewTRADER[[#This Row],[M_State]]=SellMorePercentGain,                     MIN(Tab_NewTRADER[[#This Row],[L_Sn]],Tab_NewTRADER[[#This Row],[N]])*(Tab_NewTRADER[[#This Row],[M]]-Tab_NewTRADER[[#This Row],[L_Sp]])*(1-Commission)*Tab_NewTRADER[[#This Row],[Scale]],                    TRUE,"")</f>
        <v>8910.3726399999978</v>
      </c>
      <c r="AV14" s="1180">
        <f ca="1">_xlfn.XLOOKUP(Tab_NewTRADER[[#This Row],[ClickTick]],TabCalc[Ticker],TabCalc[Ann%RevLB])</f>
        <v>1.0985714285714285</v>
      </c>
      <c r="AW14" s="1266">
        <f ca="1">_xlfn.XLOOKUP(Tab_NewTRADER[[#This Row],[ClickTick]],TabCalc[Ticker],TabCalc[Up20])</f>
        <v>0</v>
      </c>
      <c r="AX14" s="310" t="str" cm="1">
        <f t="array" aca="1" ref="AX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14" s="825" t="str" cm="1">
        <f t="array" aca="1" ref="AY14" ca="1">_xlfn.IFS(         Tab_NewTRADER[[#This Row],[M_State]]=MDown,Tab_NewTRADER[[#This Row],[L_Bn]]*Tab_NewTRADER[[#This Row],[M]]*(-(Tab_NewTRADER[[#This Row],[L_Bp]]+Tab_NewTRADER[[#This Row],[M]])/Tab_NewTRADER[[#This Row],[M]])*(1-Commission)*Tab_NewTRADER[[#This Row],[Scale]],                               TRUE,"")</f>
        <v/>
      </c>
      <c r="AZ14" s="1174" cm="1">
        <f t="array" aca="1" ref="AZ14" ca="1">_xlfn.IFS(   Tab_NewTRADER[[#This Row],[M_State]]=MUp,Tab_NewTRADER[[#This Row],[TakeGain_A]]-Commission,        Tab_NewTRADER[[#This Row],[M_State]]=MDown,(Tab_NewTRADER[[#This Row],[A]]-Tab_NewTRADER[[#This Row],[M]])/Tab_NewTRADER[[#This Row],[M]]-Commission,                              TRUE,"")</f>
        <v>0.16218571428571427</v>
      </c>
      <c r="BA14" s="825" cm="1">
        <f t="array" aca="1" ref="BA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12864.835320891427</v>
      </c>
      <c r="BB14" s="760" t="str" cm="1">
        <f t="array" aca="1" ref="BB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14" s="736" t="str" cm="1">
        <f t="array" aca="1" ref="BC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1,000x11.07</v>
      </c>
      <c r="BD14" s="765" cm="1">
        <f t="array" aca="1" ref="BD14" ca="1">_xlfn.IFS(Tab_NewTRADER[[#This Row],[M_State]]=Sale_Back,"",         Tab_NewTRADER[[#This Row],[M_State]]=MDown, (Tab_NewTRADER[[#This Row],[M]]-Tab_NewTRADER[[#This Row],[A]])/Tab_NewTRADER[[#This Row],[A]]*ComFactor,             TRUE, IFERROR((Tab_NewTRADER[[#This Row],[M]]-Tab_NewTRADER[[#This Row],[A]])/Tab_NewTRADER[[#This Row],[A]]*ComFactor,""))</f>
        <v>0.1643572714285714</v>
      </c>
      <c r="BE14" s="762" cm="1">
        <f t="array" aca="1" ref="BE14" ca="1">_xlfn.IFS(               Tab_NewTRADER[[#This Row],[M_State]]=NoStock,(Tab_NewTRADER[[#This Row],[L_Sp]]-Tab_NewTRADER[[#This Row],[M]])/Tab_NewTRADER[[#This Row],[M]]-Commission,             Tab_NewTRADER[[#This Row],[A]]&lt;&gt;0,(Tab_NewTRADER[[#This Row],[A]]-Tab_NewTRADER[[#This Row],[M]])/Tab_NewTRADER[[#This Row],[M]]-Commission)</f>
        <v>-0.14407298706077143</v>
      </c>
      <c r="BF14" s="324">
        <f ca="1">_xlfn.XLOOKUP(Tab_NewTRADER[[#This Row],[ClickTick]],TabCalc[Ticker],TabCalc[L_Sn])</f>
        <v>1000</v>
      </c>
      <c r="BG14" s="728">
        <f ca="1">_xlfn.XLOOKUP(Tab_NewTRADER[[#This Row],[ClickTick]],TabCalc[Ticker],TabCalc[L_Sp])</f>
        <v>69.34</v>
      </c>
      <c r="BH14" s="764">
        <f ca="1">-IFERROR((Tab_NewTRADER[[#This Row],[M]]-Tab_NewTRADER[[#This Row],[L_Sp]])/Tab_NewTRADER[[#This Row],[L_Sp]],0)</f>
        <v>-0.12883761176809919</v>
      </c>
      <c r="BI14" s="729">
        <f ca="1">MIN(Tab_NewTRADER[[#This Row],[L_Sn]],Tab_NewTRADER[[#This Row],[N]])*(Tab_NewTRADER[[#This Row],[M]]-Tab_NewTRADER[[#This Row],[L_Sp]])*(1-Commission)*Tab_NewTRADER[[#This Row],[Scale]]</f>
        <v>8910.3726399999978</v>
      </c>
      <c r="BJ14" s="692">
        <f ca="1">Tab_NewTRADER[[#This Row],[L_Sn]]*(Tab_NewTRADER[[#This Row],[Agiotage]]-Tab_NewTRADER[[#This Row],[M]])/(Tab_NewTRADER[[#This Row],[L_Bn]]*Tab_NewTRADER[[#This Row],[M]])</f>
        <v>-0.99476411953794242</v>
      </c>
      <c r="BK14" s="635">
        <f ca="1">IFERROR((Tab_NewTRADER[[#This Row],[M]]-Tab_NewTRADER[[#This Row],[A]])/Tab_NewTRADER[[#This Row],[A]],0)</f>
        <v>0.16478571428571426</v>
      </c>
      <c r="BL14" s="638" t="str">
        <f ca="1">TEXT(_xlfn.XLOOKUP(Tab_NewTRADER[[#This Row],[ClickTick]],TabCalc[Ticker],TabCalc[NAfter]),"#,#0")&amp;" : "&amp;TEXT(_xlfn.XLOOKUP(Tab_NewTRADER[[#This Row],[ClickTick]],TabCalc[Ticker],TabCalc[NAfter])*(Tab_NewTRADER[[#This Row],[M]]-Tab_NewTRADER[[#This Row],[A]])*(1-Commission)*Tab_NewTRADER[[#This Row],[Scale]],"#,#0$")</f>
        <v>1,000 : 11,045$</v>
      </c>
      <c r="BM14" s="684">
        <f ca="1">_xlfn.XLOOKUP(Tab_NewTRADER[[#This Row],[ClickTick]],TabCalc[[#This Row],[Ticker]],TabCalc[[#This Row],[GL]])*(1-Commission)</f>
        <v>138505.54649090994</v>
      </c>
      <c r="BN14" s="684"/>
      <c r="BO14" s="669" t="str">
        <f ca="1">Tab_NewTRADER[[#This Row],[ClickTick]]&amp;": "&amp;_xlfn.XLOOKUP(Tab_NewTRADER[[#This Row],[ClickTick]],TabCalc[Ticker],TabCalc[Pile?])</f>
        <v>CSCO: Pile</v>
      </c>
      <c r="BP14" s="351" t="s">
        <v>1970</v>
      </c>
      <c r="BQ14" s="755" t="str" cm="1">
        <f t="array" aca="1" ref="BQ14" ca="1">_xlfn.TEXTJOIN("",,INDEX({"M","A","Y"}, _xlfn.SORTBY({1,2,3}, -CHOOSE({1,2,3}, Tab_NewTRADER[[#This Row],[M]], Tab_NewTRADER[[#This Row],[A]], Tab_NewTRADER[[#This Row],[Agiotage]]))))</f>
        <v>MAY</v>
      </c>
      <c r="BR14" s="902" cm="1">
        <f t="array" aca="1" ref="BR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0.11413298992252814</v>
      </c>
      <c r="BS14" s="679">
        <f ca="1">Tab_NewTRADER[[#This Row],[L_Sn]]*Tab_NewTRADER[[#This Row],[L_Sp]]+Tab_NewTRADER[[#This Row],[SellMore]]*Tab_NewTRADER[[#This Row],[M]]</f>
        <v>147613.6</v>
      </c>
      <c r="BT14" s="679">
        <f ca="1">INDEX(
  INDEX(TabConsolid[], , _xlfn.XMATCH(Tab_NewTRADER[[#This Row],[ClickTick]]&amp;1, TabConsolid[#Headers])),
  MATCH(
    -Tab_NewTRADER[[#This Row],[M]],
    INDEX(TabConsolid[], , _xlfn.XMATCH(Tab_NewTRADER[[#This Row],[ClickTick]]&amp;2, TabConsolid[#Headers])),
    -1
  )
)</f>
        <v>1000</v>
      </c>
      <c r="BU14" s="679" cm="1">
        <f t="array" aca="1" ref="BU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14" s="1144">
        <f ca="1">Tab_NewTRADER[[#This Row],[ReBuy]]/(Tab_NewTRADER[[#This Row],[L_Sn]]+Tab_NewTRADER[[#This Row],[SellMore]])</f>
        <v>73.80680000000001</v>
      </c>
      <c r="BW14" s="687">
        <f ca="1">((_xlfn.XLOOKUP(Tab_NewTRADER[[#This Row],[ClickTick]],TabCalc[Ticker],TabCalc[NAfter])+Tab_NewTRADER[[#This Row],[L_Sn]])*(Tab_NewTRADER[[#This Row],[Agiotage]]-Tab_NewTRADER[[#This Row],[M]]))/(Tab_NewTRADER[[#This Row],[L_Sn]]*_xlfn.XLOOKUP(Tab_NewTRADER[[#This Row],[ClickTick]],TabCalc[Ticker],TabCalc[NAfter]))</f>
        <v>-0.15572753757413019</v>
      </c>
      <c r="BX14" s="687">
        <f ca="1">(Tab_NewTRADER[[#This Row],[M]]-Tab_NewTRADER[[#This Row],[Agiotage]])/(Tab_NewTRADER[[#This Row],[M]]-Tab_NewTRADER[[#This Row],[A]])-1</f>
        <v>6.0314774587365543</v>
      </c>
      <c r="BY14" s="1262">
        <f ca="1">_xlfn.XMATCH(Tab_NewTRADER[[#This Row],[ClickTick]]&amp;1, TabConsolid[#Headers])</f>
        <v>35</v>
      </c>
      <c r="BZ14" t="b">
        <f ca="1">IF(ABS(Tab_NewTRADER[[#This Row],[L_Bp]])&gt;=Tab_NewTRADER[[#This Row],[M]],"OK")</f>
        <v>0</v>
      </c>
    </row>
    <row r="15" spans="1:78" ht="23" hidden="1"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+20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26.6%</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30$</v>
      </c>
      <c r="G15" s="225" t="str">
        <f ca="1">IFERROR(TRUNC(_xlfn.XLOOKUP(Tab_NewTRADER[[#This Row],[ClickTick]],TabCalc[Ticker],ListLastSalep),2)&amp;"x"&amp;_xlfn.XLOOKUP(Tab_NewTRADER[[#This Row],[ClickTick]],TabCalc[Ticker],ListLastSalen)&amp;"=   "&amp;TEXT(-_xlfn.XLOOKUP(Tab_NewTRADER[[#This Row],[ClickTick]],TabCalc[Ticker],ListReverseB),"#,#0")&amp;"$","")</f>
        <v>74.68x249=   432$</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15" s="226" t="str">
        <f ca="1">IFERROR(TRUNC(TabCalc[[#This Row],[L_S1p]],2)&amp;"x"&amp;TabCalc[[#This Row],[L_S1n]]&amp;"=   "&amp;TEXT(TabCalc[[#This Row],[ReverseB1]],"#,#0"),"")</f>
        <v>62.73x750=   -10,264</v>
      </c>
      <c r="J15" s="295">
        <f ca="1">_xlfn.XLOOKUP(Tab_NewTRADER[[#This Row],[ClickTick]],TabCalc[Ticker],ListGravity)</f>
        <v>1.1839832504579952</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0.28707137293814855</v>
      </c>
      <c r="N15" s="324" cm="1">
        <f t="array" aca="1" ref="N15" ca="1">_xlfn.XLOOKUP(Tab_NewTRADER[[#This Row],[ClickTick]],ListTickers,Tab2RSIConventional[RSIConv20])</f>
        <v>12</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0.36327495678889343</v>
      </c>
      <c r="S15" s="683">
        <f ca="1">_xlfn.XLOOKUP(Tab_NewTRADER[[#This Row],[ClickTick]],TabCalc[Ticker],TabCalc[Rev(MinStock)])*(1-Commission)</f>
        <v>20.310864093999999</v>
      </c>
      <c r="T15" s="782">
        <f ca="1">_xlfn.XLOOKUP(Tab_NewTRADER[[#This Row],[ClickTick]],TabCalc[Ticker],TabCalc[Agiotage])</f>
        <v>0.28707137293814855</v>
      </c>
      <c r="U15" s="747"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-1/-1=&gt;-2.0% / -2.0%</v>
      </c>
      <c r="V15" s="739" t="str">
        <f ca="1">_xlfn.XLOOKUP(Tab_NewTRADER[[#This Row],[ClickTick]],[1]!RTData[Ticker_Symbol],[1]!RTData[Currency])</f>
        <v>USD</v>
      </c>
      <c r="W15" s="749">
        <f ca="1">_xlfn.XLOOKUP(Tab_NewTRADER[[#This Row],[ClickTick]],TabCalc[Ticker],TabCalc[M])</f>
        <v>76.42</v>
      </c>
      <c r="X15" s="1315"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-1.9501999999999999E-2</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F15" s="1450"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5" s="1535" t="str">
        <f ca="1">TEXT(MIN(Tab_NewTRADER[[#This Row],[L_Bn]],Tab_NewTRADER[[#This Row],[N]]),"#,#0")&amp;" x "&amp;TEXT(Tab_NewTRADER[[#This Row],[L_Bp]],"#,#0.#0")</f>
        <v>1 x -56.06</v>
      </c>
      <c r="AH15" s="1536" t="str" cm="1">
        <f t="array" aca="1" ref="AH15" ca="1">_xlfn.IFS(Tab_NewTRADER[[#This Row],[M_State]]=Sale_Back,Tab_NewTRADER[[#This Row],[Sale_Back_$]], TRUE,"M = "&amp;Tab_NewTRADER[[#This Row],[M]])</f>
        <v>M = 76.42</v>
      </c>
      <c r="AI15" s="1457" cm="1">
        <f t="array" aca="1" ref="AI15" ca="1">IF(Tab_NewTRADER[[#This Row],[M_State]]=MUp,_xlfn.IFS(Tab_NewTRADER[[#This Row],[M_State]]=MUp,MIN(Tab_NewTRADER[[#This Row],[N]],Tab_NewTRADER[[#This Row],[L_Bn]])*(Tab_NewTRADER[[#This Row],[M]]-Tab_NewTRADER[[#This Row],[L_Sp]])*Tab_NewTRADER[[#This Row],[Scale]]*ComFactor, TRUE,0),0)</f>
        <v>1.7304889999999993</v>
      </c>
      <c r="AJ15" s="1461" cm="1">
        <f t="array" aca="1" ref="AJ15" ca="1">_xlfn.IFS(Tab_NewTRADER[[#This Row],[M_State]]=MUp,                 MIN(Tab_NewTRADER[[#This Row],[L_Sn]],Tab_NewTRADER[[#This Row],[N]])*(Tab_NewTRADER[[#This Row],[M]]-Tab_NewTRADER[[#This Row],[A]])*Tab_NewTRADER[[#This Row],[Scale]]*ComFactor, TRUE,0)</f>
        <v>20.310864093999999</v>
      </c>
      <c r="AK15" s="1461" cm="1">
        <f t="array" aca="1" ref="AK15" ca="1">_xlfn.IFS(Tab_NewTRADER[[#This Row],[M_State]]=MUp,                  Tab_NewTRADER[[#This Row],[N]]*(Tab_NewTRADER[[#This Row],[M]]-Tab_NewTRADER[[#This Row],[A]])*Tab_NewTRADER[[#This Row],[Scale]]*ComFactor, TRUE,0)</f>
        <v>20.310864093999999</v>
      </c>
      <c r="AL15" s="1452" t="str">
        <f ca="1">TEXT(Tab_NewTRADER[[#This Row],[L_Sn]],"#,#0")&amp;" x "&amp;TEXT(Tab_NewTRADER[[#This Row],[L_Sp]],"#,#0.#0")</f>
        <v>249 x 74.69</v>
      </c>
      <c r="AM15" s="1465" t="str" cm="1">
        <f t="array" aca="1" ref="AM15" ca="1">_xlfn.IFS(Tab_NewTRADER[[#This Row],[M_State]]=RePurchaseGain,TEXT(-Tab_NewTRADER[[#This Row],[Buy_Back]],"#,#0")&amp;"       / "&amp;TEXT(Tab_NewTRADER[[#This Row],[Rev_Buy]],"#,#00.0)%"),TRUE,"M = "&amp;Tab_NewTRADER[[#This Row],[M]])</f>
        <v>M = 76.42</v>
      </c>
      <c r="AN15" s="1435" cm="1">
        <f t="array" aca="1" ref="AN15" ca="1">_xlfn.IFS(Tab_NewTRADER[[#This Row],[M_State]]=MDown,TEXT(Tab_NewTRADER[[#This Row],[L_Sn]]*(Tab_NewTRADER[[#This Row],[M]]-Tab_NewTRADER[[#This Row],[L_Sp]])*ComFactor,"#,#0")&amp;"       / "&amp;TEXT((TabTRADER[[#This Row],[M]]-TabTRADER[[#This Row],[L_Sp]])/TabTRADER[[#This Row],[M]],"#,#00.0)%"),TRUE,0)</f>
        <v>0</v>
      </c>
      <c r="AO15" s="1486" cm="1">
        <f t="array" aca="1" ref="AO15" ca="1">_xlfn.IFS(Tab_NewTRADER[[#This Row],[M_State]]=MDown,TEXT(Tab_NewTRADER[[#This Row],[N]]*(Tab_NewTRADER[[#This Row],[M]]-Tab_NewTRADER[[#This Row],[A]])*Tab_NewTRADER[[#This Row],[Scale]]*ComFactor,"#,#0")&amp;"       / "&amp;TEXT((TabTRADER[[#This Row],[M]]-TabTRADER[[#This Row],[L_Bp]])/TabTRADER[[#This Row],[M]],"#,#00.0%"),TRUE,0)</f>
        <v>0</v>
      </c>
      <c r="AP15" s="1435" t="str" cm="1">
        <f t="array" aca="1" ref="AP15" ca="1">_xlfn.IFS(Tab_NewTRADER[[#This Row],[M_State]]=MDown,TEXT(Tab_NewTRADER[[#This Row],[N]]*Tab_NewTRADER[[#This Row],[M]],"#,#0")&amp;" @ "&amp;TEXT(Tab_NewTRADER[[#This Row],[A]],"#,#0.#0"),TRUE,"M = "&amp; Tab_NewTRADER[[#This Row],[M]])</f>
        <v>M = 76.42</v>
      </c>
      <c r="AQ15" s="1165">
        <f ca="1">Tab_NewTRADER[[#This Row],[N]]*(Tab_NewTRADER[[#This Row],[M]]-Tab_NewTRADER[[#This Row],[A]])*(1-Commission)*Tab_NewTRADER[[#This Row],[Scale]]</f>
        <v>20.310864093999999</v>
      </c>
      <c r="AR15" s="1165">
        <f ca="1">Tab_NewTRADER[[#This Row],[M]]*Tab_NewTRADER[[#This Row],[N]]*(1-Commission)*Tab_NewTRADER[[#This Row],[Scale]]</f>
        <v>76.221307999999993</v>
      </c>
      <c r="AS15" s="1174" cm="1">
        <f t="array" aca="1" ref="AS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0.36327495678889343</v>
      </c>
      <c r="AT15" s="1174" cm="1">
        <f t="array" aca="1" ref="AT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2.0103480764197844E-2</v>
      </c>
      <c r="AU15" s="825" cm="1">
        <f t="array" aca="1" ref="AU15" ca="1">_xlfn.IFS(   Tab_NewTRADER[[#This Row],[M_State]]=SellMorePercentGain,                     MIN(Tab_NewTRADER[[#This Row],[L_Sn]],Tab_NewTRADER[[#This Row],[N]])*(Tab_NewTRADER[[#This Row],[M]]-Tab_NewTRADER[[#This Row],[L_Sp]])*(1-Commission)*Tab_NewTRADER[[#This Row],[Scale]],                    TRUE,"")</f>
        <v>1.7304889999999993</v>
      </c>
      <c r="AV15" s="1180">
        <f ca="1">_xlfn.XLOOKUP(Tab_NewTRADER[[#This Row],[ClickTick]],TabCalc[Ticker],TabCalc[Ann%RevLB])</f>
        <v>0.44182089339189745</v>
      </c>
      <c r="AW15" s="1266">
        <f ca="1">_xlfn.XLOOKUP(Tab_NewTRADER[[#This Row],[ClickTick]],TabCalc[Ticker],TabCalc[Up20])</f>
        <v>0</v>
      </c>
      <c r="AX15" s="1175" t="str" cm="1">
        <f t="array" aca="1" ref="AX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5" s="825" t="str" cm="1">
        <f t="array" aca="1" ref="AY15" ca="1">_xlfn.IFS(         Tab_NewTRADER[[#This Row],[M_State]]=MDown,Tab_NewTRADER[[#This Row],[L_Bn]]*Tab_NewTRADER[[#This Row],[M]]*(-(Tab_NewTRADER[[#This Row],[L_Bp]]+Tab_NewTRADER[[#This Row],[M]])/Tab_NewTRADER[[#This Row],[M]])*(1-Commission)*Tab_NewTRADER[[#This Row],[Scale]],                               TRUE,"")</f>
        <v/>
      </c>
      <c r="AZ15" s="1174" cm="1">
        <f t="array" aca="1" ref="AZ15" ca="1">_xlfn.IFS(   Tab_NewTRADER[[#This Row],[M_State]]=MUp,Tab_NewTRADER[[#This Row],[TakeGain_A]]-Commission,        Tab_NewTRADER[[#This Row],[M_State]]=MDown,(Tab_NewTRADER[[#This Row],[A]]-Tab_NewTRADER[[#This Row],[M]])/Tab_NewTRADER[[#This Row],[M]]-Commission,                              TRUE,"")</f>
        <v>0.36067495678889344</v>
      </c>
      <c r="BA15" s="760" cm="1">
        <f t="array" aca="1" ref="BA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27.689292370092936</v>
      </c>
      <c r="BB15" s="760" t="str" cm="1">
        <f t="array" aca="1" ref="BB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-1.3%</v>
      </c>
      <c r="BC15" s="736" t="str" cm="1">
        <f t="array" aca="1" ref="BC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1x20.36</v>
      </c>
      <c r="BD15" s="765" cm="1">
        <f t="array" aca="1" ref="BD15" ca="1">_xlfn.IFS(Tab_NewTRADER[[#This Row],[M_State]]=Sale_Back,"",         Tab_NewTRADER[[#This Row],[M_State]]=MDown, (Tab_NewTRADER[[#This Row],[M]]-Tab_NewTRADER[[#This Row],[A]])/Tab_NewTRADER[[#This Row],[A]]*ComFactor,             TRUE, IFERROR((Tab_NewTRADER[[#This Row],[M]]-Tab_NewTRADER[[#This Row],[A]])/Tab_NewTRADER[[#This Row],[A]]*ComFactor,""))</f>
        <v>0.36233044190124231</v>
      </c>
      <c r="BE15" s="762" cm="1">
        <f t="array" aca="1" ref="BE15" ca="1">_xlfn.IFS(               Tab_NewTRADER[[#This Row],[M_State]]=NoStock,(Tab_NewTRADER[[#This Row],[L_Sp]]-Tab_NewTRADER[[#This Row],[M]])/Tab_NewTRADER[[#This Row],[M]]-Commission,             Tab_NewTRADER[[#This Row],[A]]&lt;&gt;0,(Tab_NewTRADER[[#This Row],[A]]-Tab_NewTRADER[[#This Row],[M]])/Tab_NewTRADER[[#This Row],[M]]-Commission)</f>
        <v>-0.26907225857105471</v>
      </c>
      <c r="BF15" s="324">
        <f ca="1">_xlfn.XLOOKUP(Tab_NewTRADER[[#This Row],[ClickTick]],TabCalc[Ticker],TabCalc[L_Sn])</f>
        <v>249</v>
      </c>
      <c r="BG15" s="728">
        <f ca="1">_xlfn.XLOOKUP(Tab_NewTRADER[[#This Row],[ClickTick]],TabCalc[Ticker],TabCalc[L_Sp])</f>
        <v>74.685000000000002</v>
      </c>
      <c r="BH15" s="764">
        <f ca="1">-IFERROR((Tab_NewTRADER[[#This Row],[M]]-Tab_NewTRADER[[#This Row],[L_Sp]])/Tab_NewTRADER[[#This Row],[L_Sp]],0)</f>
        <v>-2.3230903126464475E-2</v>
      </c>
      <c r="BI15" s="729">
        <f ca="1">MIN(Tab_NewTRADER[[#This Row],[L_Sn]],Tab_NewTRADER[[#This Row],[N]])*(Tab_NewTRADER[[#This Row],[M]]-Tab_NewTRADER[[#This Row],[L_Sp]])*(1-Commission)*Tab_NewTRADER[[#This Row],[Scale]]</f>
        <v>1.7304889999999993</v>
      </c>
      <c r="BJ15" s="692">
        <f ca="1">Tab_NewTRADER[[#This Row],[L_Sn]]*(Tab_NewTRADER[[#This Row],[Agiotage]]-Tab_NewTRADER[[#This Row],[M]])/(Tab_NewTRADER[[#This Row],[L_Bn]]*Tab_NewTRADER[[#This Row],[M]])</f>
        <v>-0.124032316331709</v>
      </c>
      <c r="BK15" s="635">
        <f ca="1">IFERROR((Tab_NewTRADER[[#This Row],[M]]-Tab_NewTRADER[[#This Row],[A]])/Tab_NewTRADER[[#This Row],[A]],0)</f>
        <v>0.36327495678889343</v>
      </c>
      <c r="BL15" s="638" t="str">
        <f ca="1">TEXT(_xlfn.XLOOKUP(Tab_NewTRADER[[#This Row],[ClickTick]],TabCalc[Ticker],TabCalc[NAfter]),"#,#0")&amp;" : "&amp;TEXT(_xlfn.XLOOKUP(Tab_NewTRADER[[#This Row],[ClickTick]],TabCalc[Ticker],TabCalc[NAfter])*(Tab_NewTRADER[[#This Row],[M]]-Tab_NewTRADER[[#This Row],[A]])*(1-Commission)*Tab_NewTRADER[[#This Row],[Scale]],"#,#0$")</f>
        <v>1 : 20$</v>
      </c>
      <c r="BM15" s="684">
        <f ca="1">_xlfn.XLOOKUP(Tab_NewTRADER[[#This Row],[ClickTick]],TabCalc[[#This Row],[Ticker]],TabCalc[[#This Row],[GL]])*(1-Commission)</f>
        <v>-44448.240881341393</v>
      </c>
      <c r="BN15" s="684"/>
      <c r="BO15" s="669" t="str">
        <f ca="1">Tab_NewTRADER[[#This Row],[ClickTick]]&amp;": "&amp;_xlfn.XLOOKUP(Tab_NewTRADER[[#This Row],[ClickTick]],TabCalc[Ticker],TabCalc[Pile?])</f>
        <v xml:space="preserve">CVS: </v>
      </c>
      <c r="BP15" s="351" t="s">
        <v>2046</v>
      </c>
      <c r="BQ15" s="755" t="str" cm="1">
        <f t="array" aca="1" ref="BQ15" ca="1">_xlfn.TEXTJOIN("",,INDEX({"M","A","Y"}, _xlfn.SORTBY({1,2,3}, -CHOOSE({1,2,3}, Tab_NewTRADER[[#This Row],[M]], Tab_NewTRADER[[#This Row],[A]], Tab_NewTRADER[[#This Row],[Agiotage]]))))</f>
        <v>MAY</v>
      </c>
      <c r="BR15" s="902" cm="1">
        <f t="array" aca="1" ref="BR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2.2703480764197845E-2</v>
      </c>
      <c r="BS15" s="679">
        <f ca="1">Tab_NewTRADER[[#This Row],[L_Sn]]*Tab_NewTRADER[[#This Row],[L_Sp]]+Tab_NewTRADER[[#This Row],[SellMore]]*Tab_NewTRADER[[#This Row],[M]]</f>
        <v>18672.985000000001</v>
      </c>
      <c r="BT15" s="679">
        <f ca="1">INDEX(
  INDEX(TabConsolid[], , _xlfn.XMATCH(Tab_NewTRADER[[#This Row],[ClickTick]]&amp;1, TabConsolid[#Headers])),
  MATCH(
    -Tab_NewTRADER[[#This Row],[M]],
    INDEX(TabConsolid[], , _xlfn.XMATCH(Tab_NewTRADER[[#This Row],[ClickTick]]&amp;2, TabConsolid[#Headers])),
    -1
  )
)</f>
        <v>1</v>
      </c>
      <c r="BU15" s="679" cm="1">
        <f t="array" aca="1" ref="BU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15" s="1144">
        <f ca="1">Tab_NewTRADER[[#This Row],[ReBuy]]/(Tab_NewTRADER[[#This Row],[L_Sn]]+Tab_NewTRADER[[#This Row],[SellMore]])</f>
        <v>74.691940000000002</v>
      </c>
      <c r="BW15" s="687">
        <f ca="1">((_xlfn.XLOOKUP(Tab_NewTRADER[[#This Row],[ClickTick]],TabCalc[Ticker],TabCalc[NAfter])+Tab_NewTRADER[[#This Row],[L_Sn]])*(Tab_NewTRADER[[#This Row],[Agiotage]]-Tab_NewTRADER[[#This Row],[M]]))/(Tab_NewTRADER[[#This Row],[L_Sn]]*_xlfn.XLOOKUP(Tab_NewTRADER[[#This Row],[ClickTick]],TabCalc[Ticker],TabCalc[NAfter]))</f>
        <v>-76.438683360503873</v>
      </c>
      <c r="BX15" s="687">
        <f ca="1">(Tab_NewTRADER[[#This Row],[M]]-Tab_NewTRADER[[#This Row],[Agiotage]])/(Tab_NewTRADER[[#This Row],[M]]-Tab_NewTRADER[[#This Row],[A]])-1</f>
        <v>2.7386387236505279</v>
      </c>
      <c r="BY15" s="1262">
        <f ca="1">_xlfn.XMATCH(Tab_NewTRADER[[#This Row],[ClickTick]]&amp;1, TabConsolid[#Headers])</f>
        <v>38</v>
      </c>
      <c r="BZ15" t="b">
        <f ca="1">IF(ABS(Tab_NewTRADER[[#This Row],[L_Bp]])&gt;=Tab_NewTRADER[[#This Row],[M]],"OK")</f>
        <v>0</v>
      </c>
    </row>
    <row r="16" spans="1:78" ht="23"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+2,700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6.6%</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-24,225$</v>
      </c>
      <c r="G16" s="225" t="str">
        <f ca="1">IFERROR(TRUNC(_xlfn.XLOOKUP(Tab_NewTRADER[[#This Row],[ClickTick]],TabCalc[Ticker],ListLastSalep),2)&amp;"x"&amp;_xlfn.XLOOKUP(Tab_NewTRADER[[#This Row],[ClickTick]],TabCalc[Ticker],ListLastSalen)&amp;"=   "&amp;TEXT(-_xlfn.XLOOKUP(Tab_NewTRADER[[#This Row],[ClickTick]],TabCalc[Ticker],ListReverseB),"#,#0")&amp;"$","")</f>
        <v>3.15x10000=   -11,050$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54.0% = 4,525</v>
      </c>
      <c r="I16" s="226" t="str">
        <f ca="1">IFERROR(TRUNC(TabCalc[[#This Row],[L_S1p]],2)&amp;"x"&amp;TabCalc[[#This Row],[L_S1n]]&amp;"=   "&amp;TEXT(TabCalc[[#This Row],[ReverseB1]],"#,#0"),"")</f>
        <v>3.08x5000=   5,175</v>
      </c>
      <c r="J16" s="295">
        <f ca="1">_xlfn.XLOOKUP(Tab_NewTRADER[[#This Row],[ClickTick]],TabCalc[Ticker],ListGravity)</f>
        <v>1.5892420537897312</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92025</v>
      </c>
      <c r="M16" s="323">
        <f ca="1">_xlfn.XLOOKUP(Tab_NewTRADER[[#This Row],[ClickTick]],TabCalc[Ticker],TabCalc[Agiotage])</f>
        <v>0.20013259900261549</v>
      </c>
      <c r="N16" s="324" cm="1">
        <f t="array" aca="1" ref="N16" ca="1">_xlfn.XLOOKUP(Tab_NewTRADER[[#This Row],[ClickTick]],ListTickers,Tab2RSIConventional[RSIConv20])</f>
        <v>24</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7.0680628272251314E-2</v>
      </c>
      <c r="S16" s="683">
        <f ca="1">_xlfn.XLOOKUP(Tab_NewTRADER[[#This Row],[ClickTick]],TabCalc[Ticker],TabCalc[Rev(MinStock)])*(1-Commission)</f>
        <v>2692.98</v>
      </c>
      <c r="T16" s="782">
        <f ca="1">_xlfn.XLOOKUP(Tab_NewTRADER[[#This Row],[ClickTick]],TabCalc[Ticker],TabCalc[Agiotage])</f>
        <v>0.20013259900261549</v>
      </c>
      <c r="U16" s="747"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-4,675/-4,675=&gt;-1.7% / -1.7%</v>
      </c>
      <c r="V16" s="739" t="str">
        <f ca="1">_xlfn.XLOOKUP(Tab_NewTRADER[[#This Row],[ClickTick]],[1]!RTData[Ticker_Symbol],[1]!RTData[Currency])</f>
        <v>USD</v>
      </c>
      <c r="W16" s="749">
        <f ca="1">_xlfn.XLOOKUP(Tab_NewTRADER[[#This Row],[ClickTick]],TabCalc[Ticker],TabCalc[M])</f>
        <v>2.0449999999999999</v>
      </c>
      <c r="X16" s="1315"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-1.6827000000000002E-2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-341K /174 K$</v>
      </c>
      <c r="AF16" s="1161"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6" s="1530" t="str">
        <f ca="1">TEXT(MIN(Tab_NewTRADER[[#This Row],[L_Bn]],Tab_NewTRADER[[#This Row],[N]]),"#,#0")&amp;" x "&amp;TEXT(Tab_NewTRADER[[#This Row],[L_Bp]],"#,#0.#0")</f>
        <v>20,000 x -1.91</v>
      </c>
      <c r="AH16" s="1530" t="str" cm="1">
        <f t="array" aca="1" ref="AH16" ca="1">_xlfn.IFS(Tab_NewTRADER[[#This Row],[M_State]]=Sale_Back,Tab_NewTRADER[[#This Row],[Sale_Back_$]], TRUE,"M = "&amp;Tab_NewTRADER[[#This Row],[M]])</f>
        <v>M = 2.045</v>
      </c>
      <c r="AI16" s="1433" cm="1">
        <f t="array" aca="1" ref="AI16" ca="1">IF(Tab_NewTRADER[[#This Row],[M_State]]=MUp,_xlfn.IFS(Tab_NewTRADER[[#This Row],[M_State]]=MUp,MIN(Tab_NewTRADER[[#This Row],[N]],Tab_NewTRADER[[#This Row],[L_Bn]])*(Tab_NewTRADER[[#This Row],[M]]-Tab_NewTRADER[[#This Row],[L_Sp]])*Tab_NewTRADER[[#This Row],[Scale]]*ComFactor, TRUE,0),0)</f>
        <v>0</v>
      </c>
      <c r="AJ16" s="1433" cm="1">
        <f t="array" aca="1" ref="AJ16" ca="1">_xlfn.IFS(Tab_NewTRADER[[#This Row],[M_State]]=MUp,                 MIN(Tab_NewTRADER[[#This Row],[L_Sn]],Tab_NewTRADER[[#This Row],[N]])*(Tab_NewTRADER[[#This Row],[M]]-Tab_NewTRADER[[#This Row],[A]])*Tab_NewTRADER[[#This Row],[Scale]]*ComFactor, TRUE,0)</f>
        <v>0</v>
      </c>
      <c r="AK16" s="1433" cm="1">
        <f t="array" aca="1" ref="AK16" ca="1">_xlfn.IFS(Tab_NewTRADER[[#This Row],[M_State]]=MUp,                  Tab_NewTRADER[[#This Row],[N]]*(Tab_NewTRADER[[#This Row],[M]]-Tab_NewTRADER[[#This Row],[A]])*Tab_NewTRADER[[#This Row],[Scale]]*ComFactor, TRUE,0)</f>
        <v>0</v>
      </c>
      <c r="AL16" s="1435" t="str">
        <f ca="1">TEXT(Tab_NewTRADER[[#This Row],[L_Sn]],"#,#0")&amp;" x "&amp;TEXT(Tab_NewTRADER[[#This Row],[L_Sp]],"#,#0.#0")</f>
        <v>10,000 x 3.15</v>
      </c>
      <c r="AM16" s="1465" t="str" cm="1">
        <f t="array" aca="1" ref="AM16" ca="1">_xlfn.IFS(Tab_NewTRADER[[#This Row],[M_State]]=RePurchaseGain,TEXT(-Tab_NewTRADER[[#This Row],[Buy_Back]],"#,#0")&amp;"       / "&amp;TEXT(Tab_NewTRADER[[#This Row],[Rev_Buy]],"#,#00.0)%"),TRUE,"M = "&amp;Tab_NewTRADER[[#This Row],[M]])</f>
        <v>11,021       / 35.1)%</v>
      </c>
      <c r="AN16" s="1435" cm="1">
        <f t="array" aca="1" ref="AN16" ca="1">_xlfn.IFS(Tab_NewTRADER[[#This Row],[M_State]]=MDown,TEXT(Tab_NewTRADER[[#This Row],[L_Sn]]*(Tab_NewTRADER[[#This Row],[M]]-Tab_NewTRADER[[#This Row],[L_Sp]])*ComFactor,"#,#0")&amp;"       / "&amp;TEXT((TabTRADER[[#This Row],[M]]-TabTRADER[[#This Row],[L_Sp]])/TabTRADER[[#This Row],[M]],"#,#00.0)%"),TRUE,0)</f>
        <v>0</v>
      </c>
      <c r="AO16" s="1486" cm="1">
        <f t="array" aca="1" ref="AO16" ca="1">_xlfn.IFS(Tab_NewTRADER[[#This Row],[M_State]]=MDown,TEXT(Tab_NewTRADER[[#This Row],[N]]*(Tab_NewTRADER[[#This Row],[M]]-Tab_NewTRADER[[#This Row],[A]])*Tab_NewTRADER[[#This Row],[Scale]]*ComFactor,"#,#0")&amp;"       / "&amp;TEXT((TabTRADER[[#This Row],[M]]-TabTRADER[[#This Row],[L_Bp]])/TabTRADER[[#This Row],[M]],"#,#00.0%"),TRUE,0)</f>
        <v>0</v>
      </c>
      <c r="AP16" s="1435" t="str" cm="1">
        <f t="array" aca="1" ref="AP16" ca="1">_xlfn.IFS(Tab_NewTRADER[[#This Row],[M_State]]=MDown,TEXT(Tab_NewTRADER[[#This Row],[N]]*Tab_NewTRADER[[#This Row],[M]],"#,#0")&amp;" @ "&amp;TEXT(Tab_NewTRADER[[#This Row],[A]],"#,#0.#0"),TRUE,"M = "&amp; Tab_NewTRADER[[#This Row],[M]])</f>
        <v>M = 2.045</v>
      </c>
      <c r="AQ16" s="760">
        <f ca="1">Tab_NewTRADER[[#This Row],[N]]*(Tab_NewTRADER[[#This Row],[M]]-Tab_NewTRADER[[#This Row],[A]])*(1-Commission)*Tab_NewTRADER[[#This Row],[Scale]]</f>
        <v>-79866.804999999978</v>
      </c>
      <c r="AR16" s="760">
        <f ca="1">Tab_NewTRADER[[#This Row],[M]]*Tab_NewTRADER[[#This Row],[N]]*(1-Commission)*Tab_NewTRADER[[#This Row],[Scale]]</f>
        <v>173373.05499999999</v>
      </c>
      <c r="AS16" s="1174" cm="1">
        <f t="array" aca="1" ref="AS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0.35079365079365082</v>
      </c>
      <c r="AT16" s="1174" t="str" cm="1">
        <f t="array" aca="1" ref="AT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16" s="825" t="str" cm="1">
        <f t="array" aca="1" ref="AU16" ca="1">_xlfn.IFS(   Tab_NewTRADER[[#This Row],[M_State]]=SellMorePercentGain,                     MIN(Tab_NewTRADER[[#This Row],[L_Sn]],Tab_NewTRADER[[#This Row],[N]])*(Tab_NewTRADER[[#This Row],[M]]-Tab_NewTRADER[[#This Row],[L_Sp]])*(1-Commission)*Tab_NewTRADER[[#This Row],[Scale]],                    TRUE,"")</f>
        <v/>
      </c>
      <c r="AV16" s="1163">
        <f ca="1">_xlfn.XLOOKUP(Tab_NewTRADER[[#This Row],[ClickTick]],TabCalc[Ticker],TabCalc[Ann%RevLB])</f>
        <v>0.13392119041058143</v>
      </c>
      <c r="AW16" s="1267">
        <f ca="1">_xlfn.XLOOKUP(Tab_NewTRADER[[#This Row],[ClickTick]],TabCalc[Ticker],TabCalc[Up20])</f>
        <v>0</v>
      </c>
      <c r="AX16" s="1175" t="str" cm="1">
        <f t="array" aca="1" ref="AX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6" s="825" t="str" cm="1">
        <f t="array" aca="1" ref="AY16" ca="1">_xlfn.IFS(         Tab_NewTRADER[[#This Row],[M_State]]=MDown,Tab_NewTRADER[[#This Row],[L_Bn]]*Tab_NewTRADER[[#This Row],[M]]*(-(Tab_NewTRADER[[#This Row],[L_Bp]]+Tab_NewTRADER[[#This Row],[M]])/Tab_NewTRADER[[#This Row],[M]])*(1-Commission)*Tab_NewTRADER[[#This Row],[Scale]],                               TRUE,"")</f>
        <v/>
      </c>
      <c r="AZ16" s="1174" t="str" cm="1">
        <f t="array" aca="1" ref="AZ16" ca="1">_xlfn.IFS(   Tab_NewTRADER[[#This Row],[M_State]]=MUp,Tab_NewTRADER[[#This Row],[TakeGain_A]]-Commission,        Tab_NewTRADER[[#This Row],[M_State]]=MDown,(Tab_NewTRADER[[#This Row],[A]]-Tab_NewTRADER[[#This Row],[M]])/Tab_NewTRADER[[#This Row],[M]]-Commission,                              TRUE,"")</f>
        <v/>
      </c>
      <c r="BA16" s="825" cm="1">
        <f t="array" aca="1" ref="BA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-79866.804999999978</v>
      </c>
      <c r="BB16" s="760" t="str" cm="1">
        <f t="array" aca="1" ref="BB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C16" s="736" t="str" cm="1">
        <f t="array" aca="1" ref="BC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16" s="765" cm="1">
        <f t="array" aca="1" ref="BD16" ca="1">_xlfn.IFS(Tab_NewTRADER[[#This Row],[M_State]]=Sale_Back,"",         Tab_NewTRADER[[#This Row],[M_State]]=MDown, (Tab_NewTRADER[[#This Row],[M]]-Tab_NewTRADER[[#This Row],[A]])/Tab_NewTRADER[[#This Row],[A]]*ComFactor,             TRUE, IFERROR((Tab_NewTRADER[[#This Row],[M]]-Tab_NewTRADER[[#This Row],[A]])/Tab_NewTRADER[[#This Row],[A]]*ComFactor,""))</f>
        <v>-0.31456008270972818</v>
      </c>
      <c r="BE16" s="762" cm="1">
        <f t="array" aca="1" ref="BE16" ca="1">_xlfn.IFS(               Tab_NewTRADER[[#This Row],[M_State]]=NoStock,(Tab_NewTRADER[[#This Row],[L_Sp]]-Tab_NewTRADER[[#This Row],[M]])/Tab_NewTRADER[[#This Row],[M]]-Commission,             Tab_NewTRADER[[#This Row],[A]]&lt;&gt;0,(Tab_NewTRADER[[#This Row],[A]]-Tab_NewTRADER[[#This Row],[M]])/Tab_NewTRADER[[#This Row],[M]]-Commission)</f>
        <v>0.45806446138357537</v>
      </c>
      <c r="BF16" s="324">
        <f ca="1">_xlfn.XLOOKUP(Tab_NewTRADER[[#This Row],[ClickTick]],TabCalc[Ticker],TabCalc[L_Sn])</f>
        <v>10000</v>
      </c>
      <c r="BG16" s="728">
        <f ca="1">_xlfn.XLOOKUP(Tab_NewTRADER[[#This Row],[ClickTick]],TabCalc[Ticker],TabCalc[L_Sp])</f>
        <v>3.15</v>
      </c>
      <c r="BH16" s="764">
        <f ca="1">-IFERROR((Tab_NewTRADER[[#This Row],[M]]-Tab_NewTRADER[[#This Row],[L_Sp]])/Tab_NewTRADER[[#This Row],[L_Sp]],0)</f>
        <v>0.35079365079365082</v>
      </c>
      <c r="BI16" s="729">
        <f ca="1">MIN(Tab_NewTRADER[[#This Row],[L_Sn]],Tab_NewTRADER[[#This Row],[N]])*(Tab_NewTRADER[[#This Row],[M]]-Tab_NewTRADER[[#This Row],[L_Sp]])*(1-Commission)*Tab_NewTRADER[[#This Row],[Scale]]</f>
        <v>-11021.269999999999</v>
      </c>
      <c r="BJ16" s="692">
        <f ca="1">Tab_NewTRADER[[#This Row],[L_Sn]]*(Tab_NewTRADER[[#This Row],[Agiotage]]-Tab_NewTRADER[[#This Row],[M]])/(Tab_NewTRADER[[#This Row],[L_Bn]]*Tab_NewTRADER[[#This Row],[M]])</f>
        <v>-0.45106782420473951</v>
      </c>
      <c r="BK16" s="635">
        <f ca="1">IFERROR((Tab_NewTRADER[[#This Row],[M]]-Tab_NewTRADER[[#This Row],[A]])/Tab_NewTRADER[[#This Row],[A]],0)</f>
        <v>-0.31538007089405273</v>
      </c>
      <c r="BL16" s="638" t="str">
        <f ca="1">TEXT(_xlfn.XLOOKUP(Tab_NewTRADER[[#This Row],[ClickTick]],TabCalc[Ticker],TabCalc[NAfter]),"#,#0")&amp;" : "&amp;TEXT(_xlfn.XLOOKUP(Tab_NewTRADER[[#This Row],[ClickTick]],TabCalc[Ticker],TabCalc[NAfter])*(Tab_NewTRADER[[#This Row],[M]]-Tab_NewTRADER[[#This Row],[A]])*(1-Commission)*Tab_NewTRADER[[#This Row],[Scale]],"#,#0$")</f>
        <v>85,000 : -79,867$</v>
      </c>
      <c r="BM16" s="684">
        <f ca="1">_xlfn.XLOOKUP(Tab_NewTRADER[[#This Row],[ClickTick]],TabCalc[[#This Row],[Ticker]],TabCalc[[#This Row],[GL]])*(1-Commission)</f>
        <v>-339688.74966897996</v>
      </c>
      <c r="BN16" s="684"/>
      <c r="BO16" s="669" t="str">
        <f ca="1">Tab_NewTRADER[[#This Row],[ClickTick]]&amp;": "&amp;_xlfn.XLOOKUP(Tab_NewTRADER[[#This Row],[ClickTick]],TabCalc[Ticker],TabCalc[Pile?])</f>
        <v>DDD: Pile</v>
      </c>
      <c r="BP16" s="351" t="s">
        <v>2061</v>
      </c>
      <c r="BQ16" s="755" t="str" cm="1">
        <f t="array" aca="1" ref="BQ16" ca="1">_xlfn.TEXTJOIN("",,INDEX({"M","A","Y"}, _xlfn.SORTBY({1,2,3}, -CHOOSE({1,2,3}, Tab_NewTRADER[[#This Row],[M]], Tab_NewTRADER[[#This Row],[A]], Tab_NewTRADER[[#This Row],[Agiotage]]))))</f>
        <v>AMY</v>
      </c>
      <c r="BR16" s="902" t="str" cm="1">
        <f t="array" aca="1" ref="BR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16" s="679" t="e">
        <f ca="1">Tab_NewTRADER[[#This Row],[L_Sn]]*Tab_NewTRADER[[#This Row],[L_Sp]]+Tab_NewTRADER[[#This Row],[SellMore]]*Tab_NewTRADER[[#This Row],[M]]</f>
        <v>#N/A</v>
      </c>
      <c r="BT16" s="679" t="e">
        <f ca="1">INDEX(
  INDEX(TabConsolid[], , _xlfn.XMATCH(Tab_NewTRADER[[#This Row],[ClickTick]]&amp;1, TabConsolid[#Headers])),
  MATCH(
    -Tab_NewTRADER[[#This Row],[M]],
    INDEX(TabConsolid[], , _xlfn.XMATCH(Tab_NewTRADER[[#This Row],[ClickTick]]&amp;2, TabConsolid[#Headers])),
    -1
  )
)</f>
        <v>#N/A</v>
      </c>
      <c r="BU16" s="679" cm="1">
        <f t="array" aca="1" ref="BU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V16" s="1144" t="e">
        <f ca="1">Tab_NewTRADER[[#This Row],[ReBuy]]/(Tab_NewTRADER[[#This Row],[L_Sn]]+Tab_NewTRADER[[#This Row],[SellMore]])</f>
        <v>#N/A</v>
      </c>
      <c r="BW16" s="687">
        <f ca="1">((_xlfn.XLOOKUP(Tab_NewTRADER[[#This Row],[ClickTick]],TabCalc[Ticker],TabCalc[NAfter])+Tab_NewTRADER[[#This Row],[L_Sn]])*(Tab_NewTRADER[[#This Row],[Agiotage]]-Tab_NewTRADER[[#This Row],[M]]))/(Tab_NewTRADER[[#This Row],[L_Sn]]*_xlfn.XLOOKUP(Tab_NewTRADER[[#This Row],[ClickTick]],TabCalc[Ticker],TabCalc[NAfter]))</f>
        <v>-2.0619106246441357E-4</v>
      </c>
      <c r="BX16" s="687">
        <f ca="1">(Tab_NewTRADER[[#This Row],[M]]-Tab_NewTRADER[[#This Row],[Agiotage]])/(Tab_NewTRADER[[#This Row],[M]]-Tab_NewTRADER[[#This Row],[A]])-1</f>
        <v>-2.9583356738654727</v>
      </c>
      <c r="BY16" s="1262">
        <f ca="1">_xlfn.XMATCH(Tab_NewTRADER[[#This Row],[ClickTick]]&amp;1, TabConsolid[#Headers])</f>
        <v>41</v>
      </c>
      <c r="BZ16" t="b">
        <f ca="1">IF(ABS(Tab_NewTRADER[[#This Row],[L_Bp]])&gt;=Tab_NewTRADER[[#This Row],[M]],"OK")</f>
        <v>0</v>
      </c>
    </row>
    <row r="17" spans="1:78"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-8,478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-10.1%</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-3,184$</v>
      </c>
      <c r="G17" s="225" t="str">
        <f ca="1">IFERROR(TRUNC(_xlfn.XLOOKUP(Tab_NewTRADER[[#This Row],[ClickTick]],TabCalc[Ticker],ListLastSalep),2)&amp;"x"&amp;_xlfn.XLOOKUP(Tab_NewTRADER[[#This Row],[ClickTick]],TabCalc[Ticker],ListLastSalen)&amp;"=   "&amp;TEXT(-_xlfn.XLOOKUP(Tab_NewTRADER[[#This Row],[ClickTick]],TabCalc[Ticker],ListReverseB),"#,#0")&amp;"$","")</f>
        <v>119.38x800=   -11,264$</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13.4% = 355</v>
      </c>
      <c r="I17" s="226" t="str">
        <f ca="1">IFERROR(TRUNC(TabCalc[[#This Row],[L_S1p]],2)&amp;"x"&amp;TabCalc[[#This Row],[L_S1n]]&amp;"=   "&amp;TEXT(TabCalc[[#This Row],[ReverseB1]],"#,#0"),"")</f>
        <v>117.4x400=   4,840</v>
      </c>
      <c r="J17" s="295">
        <f ca="1">_xlfn.XLOOKUP(Tab_NewTRADER[[#This Row],[ClickTick]],TabCalc[Ticker],ListGravity)</f>
        <v>1.2732421652421653</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68445</v>
      </c>
      <c r="M17" s="323">
        <f ca="1">_xlfn.XLOOKUP(Tab_NewTRADER[[#This Row],[ClickTick]],TabCalc[Ticker],TabCalc[Agiotage])</f>
        <v>0.43204780109496366</v>
      </c>
      <c r="N17" s="324" cm="1">
        <f t="array" aca="1" ref="N17" ca="1">_xlfn.XLOOKUP(Tab_NewTRADER[[#This Row],[ClickTick]],ListTickers,Tab2RSIConventional[RSIConv20])</f>
        <v>4</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-9.1438555620267883E-2</v>
      </c>
      <c r="S17" s="683">
        <f ca="1">_xlfn.XLOOKUP(Tab_NewTRADER[[#This Row],[ClickTick]],TabCalc[Ticker],TabCalc[Rev(MinStock)])*(1-Commission)</f>
        <v>-8455.9571999999953</v>
      </c>
      <c r="T17" s="782">
        <f ca="1">_xlfn.XLOOKUP(Tab_NewTRADER[[#This Row],[ClickTick]],TabCalc[Ticker],TabCalc[Agiotage])</f>
        <v>0.43204780109496366</v>
      </c>
      <c r="U17" s="747"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-765/-765=&gt;-0.9% / -0.9%</v>
      </c>
      <c r="V17" s="739" t="str">
        <f ca="1">_xlfn.XLOOKUP(Tab_NewTRADER[[#This Row],[ClickTick]],[1]!RTData[Ticker_Symbol],[1]!RTData[Currency])</f>
        <v>USD</v>
      </c>
      <c r="W17" s="749">
        <f ca="1">_xlfn.XLOOKUP(Tab_NewTRADER[[#This Row],[ClickTick]],TabCalc[Ticker],TabCalc[M])</f>
        <v>105.3</v>
      </c>
      <c r="X17" s="1315"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-9.221E-3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 105 K$</v>
      </c>
      <c r="AF17" s="1182"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7" s="1530" t="str">
        <f ca="1">TEXT(MIN(Tab_NewTRADER[[#This Row],[L_Bn]],Tab_NewTRADER[[#This Row],[N]]),"#,#0")&amp;" x "&amp;TEXT(Tab_NewTRADER[[#This Row],[L_Bp]],"#,#0.#0")</f>
        <v>800 x -115.90</v>
      </c>
      <c r="AH17" s="1530" t="str" cm="1">
        <f t="array" aca="1" ref="AH17" ca="1">_xlfn.IFS(Tab_NewTRADER[[#This Row],[M_State]]=Sale_Back,Tab_NewTRADER[[#This Row],[Sale_Back_$]], TRUE,"M = "&amp;Tab_NewTRADER[[#This Row],[M]])</f>
        <v>M = 105.3</v>
      </c>
      <c r="AI17" s="1433" cm="1">
        <f t="array" aca="1" ref="AI17" ca="1">IF(Tab_NewTRADER[[#This Row],[M_State]]=MUp,_xlfn.IFS(Tab_NewTRADER[[#This Row],[M_State]]=MUp,MIN(Tab_NewTRADER[[#This Row],[N]],Tab_NewTRADER[[#This Row],[L_Bn]])*(Tab_NewTRADER[[#This Row],[M]]-Tab_NewTRADER[[#This Row],[L_Sp]])*Tab_NewTRADER[[#This Row],[Scale]]*ComFactor, TRUE,0),0)</f>
        <v>0</v>
      </c>
      <c r="AJ17" s="1433" cm="1">
        <f t="array" aca="1" ref="AJ17" ca="1">_xlfn.IFS(Tab_NewTRADER[[#This Row],[M_State]]=MUp,                 MIN(Tab_NewTRADER[[#This Row],[L_Sn]],Tab_NewTRADER[[#This Row],[N]])*(Tab_NewTRADER[[#This Row],[M]]-Tab_NewTRADER[[#This Row],[A]])*Tab_NewTRADER[[#This Row],[Scale]]*ComFactor, TRUE,0)</f>
        <v>0</v>
      </c>
      <c r="AK17" s="1433" cm="1">
        <f t="array" aca="1" ref="AK17" ca="1">_xlfn.IFS(Tab_NewTRADER[[#This Row],[M_State]]=MUp,                  Tab_NewTRADER[[#This Row],[N]]*(Tab_NewTRADER[[#This Row],[M]]-Tab_NewTRADER[[#This Row],[A]])*Tab_NewTRADER[[#This Row],[Scale]]*ComFactor, TRUE,0)</f>
        <v>0</v>
      </c>
      <c r="AL17" s="1435" t="str">
        <f ca="1">TEXT(Tab_NewTRADER[[#This Row],[L_Sn]],"#,#0")&amp;" x "&amp;TEXT(Tab_NewTRADER[[#This Row],[L_Sp]],"#,#0.#0")</f>
        <v>800 x 119.38</v>
      </c>
      <c r="AM17" s="1465" t="str" cm="1">
        <f t="array" aca="1" ref="AM17" ca="1">_xlfn.IFS(Tab_NewTRADER[[#This Row],[M_State]]=RePurchaseGain,TEXT(-Tab_NewTRADER[[#This Row],[Buy_Back]],"#,#0")&amp;"       / "&amp;TEXT(Tab_NewTRADER[[#This Row],[Rev_Buy]],"#,#00.0)%"),TRUE,"M = "&amp;Tab_NewTRADER[[#This Row],[M]])</f>
        <v>M = 105.3</v>
      </c>
      <c r="AN17" s="1435" t="str" cm="1">
        <f t="array" aca="1" ref="AN17" ca="1">_xlfn.IFS(Tab_NewTRADER[[#This Row],[M_State]]=MDown,TEXT(Tab_NewTRADER[[#This Row],[L_Sn]]*(Tab_NewTRADER[[#This Row],[M]]-Tab_NewTRADER[[#This Row],[L_Sp]])*ComFactor,"#,#0")&amp;"       / "&amp;TEXT((TabTRADER[[#This Row],[M]]-TabTRADER[[#This Row],[L_Sp]])/TabTRADER[[#This Row],[M]],"#,#00.0)%"),TRUE,0)</f>
        <v>-11,235       / -13.4)%</v>
      </c>
      <c r="AO17" s="1486" t="str" cm="1">
        <f t="array" aca="1" ref="AO17" ca="1">_xlfn.IFS(Tab_NewTRADER[[#This Row],[M_State]]=MDown,TEXT(Tab_NewTRADER[[#This Row],[N]]*(Tab_NewTRADER[[#This Row],[M]]-Tab_NewTRADER[[#This Row],[A]])*Tab_NewTRADER[[#This Row],[Scale]]*ComFactor,"#,#0")&amp;"       / "&amp;TEXT((TabTRADER[[#This Row],[M]]-TabTRADER[[#This Row],[L_Bp]])/TabTRADER[[#This Row],[M]],"#,#00.0%"),TRUE,0)</f>
        <v>-9,250       / 210.1%</v>
      </c>
      <c r="AP17" s="1435" t="str" cm="1">
        <f t="array" aca="1" ref="AP17" ca="1">_xlfn.IFS(Tab_NewTRADER[[#This Row],[M_State]]=MDown,TEXT(Tab_NewTRADER[[#This Row],[N]]*Tab_NewTRADER[[#This Row],[M]],"#,#0")&amp;" @ "&amp;TEXT(Tab_NewTRADER[[#This Row],[A]],"#,#0.#0"),TRUE,"M = "&amp; Tab_NewTRADER[[#This Row],[M]])</f>
        <v>105,300 @ 114.57</v>
      </c>
      <c r="AQ17" s="1165">
        <f ca="1">Tab_NewTRADER[[#This Row],[N]]*(Tab_NewTRADER[[#This Row],[M]]-Tab_NewTRADER[[#This Row],[A]])*(1-Commission)*Tab_NewTRADER[[#This Row],[Scale]]</f>
        <v>-9249.8876</v>
      </c>
      <c r="AR17" s="1165">
        <f ca="1">Tab_NewTRADER[[#This Row],[M]]*Tab_NewTRADER[[#This Row],[N]]*(1-Commission)*Tab_NewTRADER[[#This Row],[Scale]]</f>
        <v>105026.22</v>
      </c>
      <c r="AS17" s="1174" cm="1">
        <f t="array" aca="1" ref="AS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8.0943320474104088E-2</v>
      </c>
      <c r="AT17" s="1174" cm="1">
        <f t="array" aca="1" ref="AT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9.8041025641025611E-2</v>
      </c>
      <c r="AU17" s="825" t="str" cm="1">
        <f t="array" aca="1" ref="AU17" ca="1">_xlfn.IFS(   Tab_NewTRADER[[#This Row],[M_State]]=SellMorePercentGain,                     MIN(Tab_NewTRADER[[#This Row],[L_Sn]],Tab_NewTRADER[[#This Row],[N]])*(Tab_NewTRADER[[#This Row],[M]]-Tab_NewTRADER[[#This Row],[L_Sp]])*(1-Commission)*Tab_NewTRADER[[#This Row],[Scale]],                    TRUE,"")</f>
        <v/>
      </c>
      <c r="AV17" s="1180">
        <f ca="1">_xlfn.XLOOKUP(Tab_NewTRADER[[#This Row],[ClickTick]],TabCalc[Ticker],TabCalc[Ann%RevLB])</f>
        <v>-0.47025542890423477</v>
      </c>
      <c r="AW17" s="1266">
        <f ca="1">_xlfn.XLOOKUP(Tab_NewTRADER[[#This Row],[ClickTick]],TabCalc[Ticker],TabCalc[Up20])</f>
        <v>0</v>
      </c>
      <c r="AX17" s="1175" cm="1">
        <f t="array" aca="1" ref="AX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0.10064102564102562</v>
      </c>
      <c r="AY17" s="825" cm="1">
        <f t="array" aca="1" ref="AY17" ca="1">_xlfn.IFS(         Tab_NewTRADER[[#This Row],[M_State]]=MDown,Tab_NewTRADER[[#This Row],[L_Bn]]*Tab_NewTRADER[[#This Row],[M]]*(-(Tab_NewTRADER[[#This Row],[L_Bp]]+Tab_NewTRADER[[#This Row],[M]])/Tab_NewTRADER[[#This Row],[M]])*(1-Commission)*Tab_NewTRADER[[#This Row],[Scale]],                               TRUE,"")</f>
        <v>8455.9571999999971</v>
      </c>
      <c r="AZ17" s="1174" cm="1">
        <f t="array" aca="1" ref="AZ17" ca="1">_xlfn.IFS(   Tab_NewTRADER[[#This Row],[M_State]]=MUp,Tab_NewTRADER[[#This Row],[TakeGain_A]]-Commission,        Tab_NewTRADER[[#This Row],[M_State]]=MDown,(Tab_NewTRADER[[#This Row],[A]]-Tab_NewTRADER[[#This Row],[M]])/Tab_NewTRADER[[#This Row],[M]]-Commission,                              TRUE,"")</f>
        <v>8.5472174738841417E-2</v>
      </c>
      <c r="BA17" s="760" cm="1">
        <f t="array" aca="1" ref="BA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9249.8876</v>
      </c>
      <c r="BB17" s="760" t="str" cm="1">
        <f t="array" aca="1" ref="BB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C17" s="736" cm="1">
        <f t="array" aca="1" ref="BC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-10.59</v>
      </c>
      <c r="BD17" s="765" cm="1">
        <f t="array" aca="1" ref="BD17" ca="1">_xlfn.IFS(Tab_NewTRADER[[#This Row],[M_State]]=Sale_Back,"",         Tab_NewTRADER[[#This Row],[M_State]]=MDown, (Tab_NewTRADER[[#This Row],[M]]-Tab_NewTRADER[[#This Row],[A]])/Tab_NewTRADER[[#This Row],[A]]*ComFactor,             TRUE, IFERROR((Tab_NewTRADER[[#This Row],[M]]-Tab_NewTRADER[[#This Row],[A]])/Tab_NewTRADER[[#This Row],[A]]*ComFactor,""))</f>
        <v>-8.0732867840871414E-2</v>
      </c>
      <c r="BE17" s="762" cm="1">
        <f t="array" aca="1" ref="BE17" ca="1">_xlfn.IFS(               Tab_NewTRADER[[#This Row],[M_State]]=NoStock,(Tab_NewTRADER[[#This Row],[L_Sp]]-Tab_NewTRADER[[#This Row],[M]])/Tab_NewTRADER[[#This Row],[M]]-Commission,             Tab_NewTRADER[[#This Row],[A]]&lt;&gt;0,(Tab_NewTRADER[[#This Row],[A]]-Tab_NewTRADER[[#This Row],[M]])/Tab_NewTRADER[[#This Row],[M]]-Commission)</f>
        <v>8.5472174738841417E-2</v>
      </c>
      <c r="BF17" s="324">
        <f ca="1">_xlfn.XLOOKUP(Tab_NewTRADER[[#This Row],[ClickTick]],TabCalc[Ticker],TabCalc[L_Sn])</f>
        <v>800</v>
      </c>
      <c r="BG17" s="728">
        <f ca="1">_xlfn.XLOOKUP(Tab_NewTRADER[[#This Row],[ClickTick]],TabCalc[Ticker],TabCalc[L_Sp])</f>
        <v>119.38</v>
      </c>
      <c r="BH17" s="764">
        <f ca="1">-IFERROR((Tab_NewTRADER[[#This Row],[M]]-Tab_NewTRADER[[#This Row],[L_Sp]])/Tab_NewTRADER[[#This Row],[L_Sp]],0)</f>
        <v>0.11794270397051432</v>
      </c>
      <c r="BI17" s="729">
        <f ca="1">MIN(Tab_NewTRADER[[#This Row],[L_Sn]],Tab_NewTRADER[[#This Row],[N]])*(Tab_NewTRADER[[#This Row],[M]]-Tab_NewTRADER[[#This Row],[L_Sp]])*(1-Commission)*Tab_NewTRADER[[#This Row],[Scale]]</f>
        <v>-11234.713599999997</v>
      </c>
      <c r="BJ17" s="692">
        <f ca="1">Tab_NewTRADER[[#This Row],[L_Sn]]*(Tab_NewTRADER[[#This Row],[Agiotage]]-Tab_NewTRADER[[#This Row],[M]])/(Tab_NewTRADER[[#This Row],[L_Bn]]*Tab_NewTRADER[[#This Row],[M]])</f>
        <v>-0.99589698194591669</v>
      </c>
      <c r="BK17" s="635">
        <f ca="1">IFERROR((Tab_NewTRADER[[#This Row],[M]]-Tab_NewTRADER[[#This Row],[A]])/Tab_NewTRADER[[#This Row],[A]],0)</f>
        <v>-8.0943320474104088E-2</v>
      </c>
      <c r="BL17" s="638" t="str">
        <f ca="1">TEXT(_xlfn.XLOOKUP(Tab_NewTRADER[[#This Row],[ClickTick]],TabCalc[Ticker],TabCalc[NAfter]),"#,#0")&amp;" : "&amp;TEXT(_xlfn.XLOOKUP(Tab_NewTRADER[[#This Row],[ClickTick]],TabCalc[Ticker],TabCalc[NAfter])*(Tab_NewTRADER[[#This Row],[M]]-Tab_NewTRADER[[#This Row],[A]])*(1-Commission)*Tab_NewTRADER[[#This Row],[Scale]],"#,#0$")</f>
        <v>1,000 : -9,250$</v>
      </c>
      <c r="BM17" s="684">
        <f ca="1">_xlfn.XLOOKUP(Tab_NewTRADER[[#This Row],[ClickTick]],TabCalc[[#This Row],[Ticker]],TabCalc[[#This Row],[GL]])*(1-Commission)</f>
        <v>13056.259703181075</v>
      </c>
      <c r="BN17" s="684"/>
      <c r="BO17" s="669" t="str">
        <f ca="1">Tab_NewTRADER[[#This Row],[ClickTick]]&amp;": "&amp;_xlfn.XLOOKUP(Tab_NewTRADER[[#This Row],[ClickTick]],TabCalc[Ticker],TabCalc[Pile?])</f>
        <v xml:space="preserve">DIS: </v>
      </c>
      <c r="BP17" s="351" t="s">
        <v>2007</v>
      </c>
      <c r="BQ17" s="755" t="str" cm="1">
        <f t="array" aca="1" ref="BQ17" ca="1">_xlfn.TEXTJOIN("",,INDEX({"M","A","Y"}, _xlfn.SORTBY({1,2,3}, -CHOOSE({1,2,3}, Tab_NewTRADER[[#This Row],[M]], Tab_NewTRADER[[#This Row],[A]], Tab_NewTRADER[[#This Row],[Agiotage]]))))</f>
        <v>AMY</v>
      </c>
      <c r="BR17" s="902" cm="1">
        <f t="array" aca="1" ref="BR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0.10064102564102562</v>
      </c>
      <c r="BS17" s="679" t="e">
        <f ca="1">Tab_NewTRADER[[#This Row],[L_Sn]]*Tab_NewTRADER[[#This Row],[L_Sp]]+Tab_NewTRADER[[#This Row],[SellMore]]*Tab_NewTRADER[[#This Row],[M]]</f>
        <v>#N/A</v>
      </c>
      <c r="BT17" s="679" t="e">
        <f ca="1">INDEX(
  INDEX(TabConsolid[], , _xlfn.XMATCH(Tab_NewTRADER[[#This Row],[ClickTick]]&amp;1, TabConsolid[#Headers])),
  MATCH(
    -Tab_NewTRADER[[#This Row],[M]],
    INDEX(TabConsolid[], , _xlfn.XMATCH(Tab_NewTRADER[[#This Row],[ClickTick]]&amp;2, TabConsolid[#Headers])),
    -1
  )
)</f>
        <v>#N/A</v>
      </c>
      <c r="BU17" s="679" cm="1">
        <f t="array" aca="1" ref="BU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17" s="1144" t="e">
        <f ca="1">Tab_NewTRADER[[#This Row],[ReBuy]]/(Tab_NewTRADER[[#This Row],[L_Sn]]+Tab_NewTRADER[[#This Row],[SellMore]])</f>
        <v>#N/A</v>
      </c>
      <c r="BW17" s="687">
        <f ca="1">((_xlfn.XLOOKUP(Tab_NewTRADER[[#This Row],[ClickTick]],TabCalc[Ticker],TabCalc[NAfter])+Tab_NewTRADER[[#This Row],[L_Sn]])*(Tab_NewTRADER[[#This Row],[Agiotage]]-Tab_NewTRADER[[#This Row],[M]]))/(Tab_NewTRADER[[#This Row],[L_Sn]]*_xlfn.XLOOKUP(Tab_NewTRADER[[#This Row],[ClickTick]],TabCalc[Ticker],TabCalc[NAfter]))</f>
        <v>-0.23595289244753631</v>
      </c>
      <c r="BX17" s="687">
        <f ca="1">(Tab_NewTRADER[[#This Row],[M]]-Tab_NewTRADER[[#This Row],[Agiotage]])/(Tab_NewTRADER[[#This Row],[M]]-Tab_NewTRADER[[#This Row],[A]])-1</f>
        <v>-12.307736920304617</v>
      </c>
      <c r="BY17" s="1262">
        <f ca="1">_xlfn.XMATCH(Tab_NewTRADER[[#This Row],[ClickTick]]&amp;1, TabConsolid[#Headers])</f>
        <v>44</v>
      </c>
      <c r="BZ17" t="str">
        <f ca="1">IF(ABS(Tab_NewTRADER[[#This Row],[L_Bp]])&gt;=Tab_NewTRADER[[#This Row],[M]],"OK")</f>
        <v>OK</v>
      </c>
    </row>
    <row r="18" spans="1:78"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-6,520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-13.9%</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-3,785$</v>
      </c>
      <c r="G18" s="225" t="str">
        <f ca="1">IFERROR(TRUNC(_xlfn.XLOOKUP(Tab_NewTRADER[[#This Row],[ClickTick]],TabCalc[Ticker],ListLastSalep),2)&amp;"x"&amp;_xlfn.XLOOKUP(Tab_NewTRADER[[#This Row],[ClickTick]],TabCalc[Ticker],ListLastSalen)&amp;"=   "&amp;TEXT(-_xlfn.XLOOKUP(Tab_NewTRADER[[#This Row],[ClickTick]],TabCalc[Ticker],ListReverseB),"#,#0")&amp;"$","")</f>
        <v>29.14x2000=   -11,520$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24.6% = 868</v>
      </c>
      <c r="I18" s="226" t="str">
        <f ca="1">IFERROR(TRUNC(TabCalc[[#This Row],[L_S1p]],2)&amp;"x"&amp;TabCalc[[#This Row],[L_S1n]]&amp;"=   "&amp;TEXT(TabCalc[[#This Row],[ReverseB1]],"#,#0"),"")</f>
        <v>38.69x500=   7,655</v>
      </c>
      <c r="J18" s="295">
        <f ca="1">_xlfn.XLOOKUP(Tab_NewTRADER[[#This Row],[ClickTick]],TabCalc[Ticker],ListGravity)</f>
        <v>1.363463644140291</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87675</v>
      </c>
      <c r="M18" s="323">
        <f ca="1">_xlfn.XLOOKUP(Tab_NewTRADER[[#This Row],[ClickTick]],TabCalc[Ticker],TabCalc[Agiotage])</f>
        <v>1.4375302511891848</v>
      </c>
      <c r="N18" s="324" cm="1">
        <f t="array" aca="1" ref="N18" ca="1">_xlfn.XLOOKUP(Tab_NewTRADER[[#This Row],[ClickTick]],ListTickers,Tab2RSIConventional[RSIConv20])</f>
        <v>37</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-0.12237237237237243</v>
      </c>
      <c r="S18" s="683">
        <f ca="1">_xlfn.XLOOKUP(Tab_NewTRADER[[#This Row],[ClickTick]],TabCalc[Ticker],TabCalc[Rev(MinStock)])*(1-Commission)</f>
        <v>-6503.0480000000025</v>
      </c>
      <c r="T18" s="782">
        <f ca="1">_xlfn.XLOOKUP(Tab_NewTRADER[[#This Row],[ClickTick]],TabCalc[Ticker],TabCalc[Agiotage])</f>
        <v>1.4375302511891848</v>
      </c>
      <c r="U18" s="747"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720/720=&gt;0.9% / 0.9%</v>
      </c>
      <c r="V18" s="739" t="str">
        <f ca="1">_xlfn.XLOOKUP(Tab_NewTRADER[[#This Row],[ClickTick]],[1]!RTData[Ticker_Symbol],[1]!RTData[Currency])</f>
        <v>EUR</v>
      </c>
      <c r="W18" s="749">
        <f ca="1">_xlfn.XLOOKUP(Tab_NewTRADER[[#This Row],[ClickTick]],TabCalc[Ticker],TabCalc[M])</f>
        <v>23.38</v>
      </c>
      <c r="X18" s="1315"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8.6280000000000003E-3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/94 K$</v>
      </c>
      <c r="AF18" s="1182"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8" s="1530" t="str">
        <f ca="1">TEXT(MIN(Tab_NewTRADER[[#This Row],[L_Bn]],Tab_NewTRADER[[#This Row],[N]]),"#,#0")&amp;" x "&amp;TEXT(Tab_NewTRADER[[#This Row],[L_Bp]],"#,#0.#0")</f>
        <v>2,000 x -26.64</v>
      </c>
      <c r="AH18" s="1530" t="str" cm="1">
        <f t="array" aca="1" ref="AH18" ca="1">_xlfn.IFS(Tab_NewTRADER[[#This Row],[M_State]]=Sale_Back,Tab_NewTRADER[[#This Row],[Sale_Back_$]], TRUE,"M = "&amp;Tab_NewTRADER[[#This Row],[M]])</f>
        <v>M = 23.38</v>
      </c>
      <c r="AI18" s="1433" cm="1">
        <f t="array" aca="1" ref="AI18" ca="1">IF(Tab_NewTRADER[[#This Row],[M_State]]=MUp,_xlfn.IFS(Tab_NewTRADER[[#This Row],[M_State]]=MUp,MIN(Tab_NewTRADER[[#This Row],[N]],Tab_NewTRADER[[#This Row],[L_Bn]])*(Tab_NewTRADER[[#This Row],[M]]-Tab_NewTRADER[[#This Row],[L_Sp]])*Tab_NewTRADER[[#This Row],[Scale]]*ComFactor, TRUE,0),0)</f>
        <v>0</v>
      </c>
      <c r="AJ18" s="1433" cm="1">
        <f t="array" aca="1" ref="AJ18" ca="1">_xlfn.IFS(Tab_NewTRADER[[#This Row],[M_State]]=MUp,                 MIN(Tab_NewTRADER[[#This Row],[L_Sn]],Tab_NewTRADER[[#This Row],[N]])*(Tab_NewTRADER[[#This Row],[M]]-Tab_NewTRADER[[#This Row],[A]])*Tab_NewTRADER[[#This Row],[Scale]]*ComFactor, TRUE,0)</f>
        <v>0</v>
      </c>
      <c r="AK18" s="1433" cm="1">
        <f t="array" aca="1" ref="AK18" ca="1">_xlfn.IFS(Tab_NewTRADER[[#This Row],[M_State]]=MUp,                  Tab_NewTRADER[[#This Row],[N]]*(Tab_NewTRADER[[#This Row],[M]]-Tab_NewTRADER[[#This Row],[A]])*Tab_NewTRADER[[#This Row],[Scale]]*ComFactor, TRUE,0)</f>
        <v>0</v>
      </c>
      <c r="AL18" s="1435" t="str">
        <f ca="1">TEXT(Tab_NewTRADER[[#This Row],[L_Sn]],"#,#0")&amp;" x "&amp;TEXT(Tab_NewTRADER[[#This Row],[L_Sp]],"#,#0.#0")</f>
        <v>2,000 x 29.14</v>
      </c>
      <c r="AM18" s="1465" t="str" cm="1">
        <f t="array" aca="1" ref="AM18" ca="1">_xlfn.IFS(Tab_NewTRADER[[#This Row],[M_State]]=RePurchaseGain,TEXT(-Tab_NewTRADER[[#This Row],[Buy_Back]],"#,#0")&amp;"       / "&amp;TEXT(Tab_NewTRADER[[#This Row],[Rev_Buy]],"#,#00.0)%"),TRUE,"M = "&amp;Tab_NewTRADER[[#This Row],[M]])</f>
        <v>11,490       / 19.8)%</v>
      </c>
      <c r="AN18" s="1435" cm="1">
        <f t="array" aca="1" ref="AN18" ca="1">_xlfn.IFS(Tab_NewTRADER[[#This Row],[M_State]]=MDown,TEXT(Tab_NewTRADER[[#This Row],[L_Sn]]*(Tab_NewTRADER[[#This Row],[M]]-Tab_NewTRADER[[#This Row],[L_Sp]])*ComFactor,"#,#0")&amp;"       / "&amp;TEXT((TabTRADER[[#This Row],[M]]-TabTRADER[[#This Row],[L_Sp]])/TabTRADER[[#This Row],[M]],"#,#00.0)%"),TRUE,0)</f>
        <v>0</v>
      </c>
      <c r="AO18" s="1486" cm="1">
        <f t="array" aca="1" ref="AO18" ca="1">_xlfn.IFS(Tab_NewTRADER[[#This Row],[M_State]]=MDown,TEXT(Tab_NewTRADER[[#This Row],[N]]*(Tab_NewTRADER[[#This Row],[M]]-Tab_NewTRADER[[#This Row],[A]])*Tab_NewTRADER[[#This Row],[Scale]]*ComFactor,"#,#0")&amp;"       / "&amp;TEXT((TabTRADER[[#This Row],[M]]-TabTRADER[[#This Row],[L_Bp]])/TabTRADER[[#This Row],[M]],"#,#00.0%"),TRUE,0)</f>
        <v>0</v>
      </c>
      <c r="AP18" s="1435" t="str" cm="1">
        <f t="array" aca="1" ref="AP18" ca="1">_xlfn.IFS(Tab_NewTRADER[[#This Row],[M_State]]=MDown,TEXT(Tab_NewTRADER[[#This Row],[N]]*Tab_NewTRADER[[#This Row],[M]],"#,#0")&amp;" @ "&amp;TEXT(Tab_NewTRADER[[#This Row],[A]],"#,#0.#0"),TRUE,"M = "&amp; Tab_NewTRADER[[#This Row],[M]])</f>
        <v>M = 23.38</v>
      </c>
      <c r="AQ18" s="1165">
        <f ca="1">Tab_NewTRADER[[#This Row],[N]]*(Tab_NewTRADER[[#This Row],[M]]-Tab_NewTRADER[[#This Row],[A]])*(1-Commission)*Tab_NewTRADER[[#This Row],[Scale]]</f>
        <v>-26700.398000000008</v>
      </c>
      <c r="AR18" s="1165">
        <f ca="1">Tab_NewTRADER[[#This Row],[M]]*Tab_NewTRADER[[#This Row],[N]]*(1-Commission)*Tab_NewTRADER[[#This Row],[Scale]]</f>
        <v>93276.847999999998</v>
      </c>
      <c r="AS18" s="1174" cm="1">
        <f t="array" aca="1" ref="AS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0.1976664378860673</v>
      </c>
      <c r="AT18" s="1174" t="str" cm="1">
        <f t="array" aca="1" ref="AT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18" s="825" t="str" cm="1">
        <f t="array" aca="1" ref="AU18" ca="1">_xlfn.IFS(   Tab_NewTRADER[[#This Row],[M_State]]=SellMorePercentGain,                     MIN(Tab_NewTRADER[[#This Row],[L_Sn]],Tab_NewTRADER[[#This Row],[N]])*(Tab_NewTRADER[[#This Row],[M]]-Tab_NewTRADER[[#This Row],[L_Sp]])*(1-Commission)*Tab_NewTRADER[[#This Row],[Scale]],                    TRUE,"")</f>
        <v/>
      </c>
      <c r="AV18" s="1163">
        <f ca="1">_xlfn.XLOOKUP(Tab_NewTRADER[[#This Row],[ClickTick]],TabCalc[Ticker],TabCalc[Ann%RevLB])</f>
        <v>-0.45416550571189768</v>
      </c>
      <c r="AW18" s="1267">
        <f ca="1">_xlfn.XLOOKUP(Tab_NewTRADER[[#This Row],[ClickTick]],TabCalc[Ticker],TabCalc[Up20])</f>
        <v>0</v>
      </c>
      <c r="AX18" s="1175" t="str" cm="1">
        <f t="array" aca="1" ref="AX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8" s="825" t="str" cm="1">
        <f t="array" aca="1" ref="AY18" ca="1">_xlfn.IFS(         Tab_NewTRADER[[#This Row],[M_State]]=MDown,Tab_NewTRADER[[#This Row],[L_Bn]]*Tab_NewTRADER[[#This Row],[M]]*(-(Tab_NewTRADER[[#This Row],[L_Bp]]+Tab_NewTRADER[[#This Row],[M]])/Tab_NewTRADER[[#This Row],[M]])*(1-Commission)*Tab_NewTRADER[[#This Row],[Scale]],                               TRUE,"")</f>
        <v/>
      </c>
      <c r="AZ18" s="1174" t="str" cm="1">
        <f t="array" aca="1" ref="AZ18" ca="1">_xlfn.IFS(   Tab_NewTRADER[[#This Row],[M_State]]=MUp,Tab_NewTRADER[[#This Row],[TakeGain_A]]-Commission,        Tab_NewTRADER[[#This Row],[M_State]]=MDown,(Tab_NewTRADER[[#This Row],[A]]-Tab_NewTRADER[[#This Row],[M]])/Tab_NewTRADER[[#This Row],[M]]-Commission,                              TRUE,"")</f>
        <v/>
      </c>
      <c r="BA18" s="760" cm="1">
        <f t="array" aca="1" ref="BA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-26700.398000000008</v>
      </c>
      <c r="BB18" s="760" t="str" cm="1">
        <f t="array" aca="1" ref="BB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18" s="736" t="str" cm="1">
        <f t="array" aca="1" ref="BC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18" s="765" cm="1">
        <f t="array" aca="1" ref="BD18" ca="1">_xlfn.IFS(Tab_NewTRADER[[#This Row],[M_State]]=Sale_Back,"",         Tab_NewTRADER[[#This Row],[M_State]]=MDown, (Tab_NewTRADER[[#This Row],[M]]-Tab_NewTRADER[[#This Row],[A]])/Tab_NewTRADER[[#This Row],[A]]*ComFactor,             TRUE, IFERROR((Tab_NewTRADER[[#This Row],[M]]-Tab_NewTRADER[[#This Row],[A]])/Tab_NewTRADER[[#This Row],[A]]*ComFactor,""))</f>
        <v>-0.22196689666638961</v>
      </c>
      <c r="BE18" s="762" cm="1">
        <f t="array" aca="1" ref="BE18" ca="1">_xlfn.IFS(               Tab_NewTRADER[[#This Row],[M_State]]=NoStock,(Tab_NewTRADER[[#This Row],[L_Sp]]-Tab_NewTRADER[[#This Row],[M]])/Tab_NewTRADER[[#This Row],[M]]-Commission,             Tab_NewTRADER[[#This Row],[A]]&lt;&gt;0,(Tab_NewTRADER[[#This Row],[A]]-Tab_NewTRADER[[#This Row],[M]])/Tab_NewTRADER[[#This Row],[M]]-Commission)</f>
        <v>0.28364893071000868</v>
      </c>
      <c r="BF18" s="324">
        <f ca="1">_xlfn.XLOOKUP(Tab_NewTRADER[[#This Row],[ClickTick]],TabCalc[Ticker],TabCalc[L_Sn])</f>
        <v>2000</v>
      </c>
      <c r="BG18" s="728">
        <f ca="1">_xlfn.XLOOKUP(Tab_NewTRADER[[#This Row],[ClickTick]],TabCalc[Ticker],TabCalc[L_Sp])</f>
        <v>29.14</v>
      </c>
      <c r="BH18" s="764">
        <f ca="1">-IFERROR((Tab_NewTRADER[[#This Row],[M]]-Tab_NewTRADER[[#This Row],[L_Sp]])/Tab_NewTRADER[[#This Row],[L_Sp]],0)</f>
        <v>0.1976664378860673</v>
      </c>
      <c r="BI18" s="729">
        <f ca="1">MIN(Tab_NewTRADER[[#This Row],[L_Sn]],Tab_NewTRADER[[#This Row],[N]])*(Tab_NewTRADER[[#This Row],[M]]-Tab_NewTRADER[[#This Row],[L_Sp]])*(1-Commission)*Tab_NewTRADER[[#This Row],[Scale]]</f>
        <v>-11490.048000000003</v>
      </c>
      <c r="BJ18" s="692">
        <f ca="1">Tab_NewTRADER[[#This Row],[L_Sn]]*(Tab_NewTRADER[[#This Row],[Agiotage]]-Tab_NewTRADER[[#This Row],[M]])/(Tab_NewTRADER[[#This Row],[L_Bn]]*Tab_NewTRADER[[#This Row],[M]])</f>
        <v>-0.93851453160012033</v>
      </c>
      <c r="BK18" s="635">
        <f ca="1">IFERROR((Tab_NewTRADER[[#This Row],[M]]-Tab_NewTRADER[[#This Row],[A]])/Tab_NewTRADER[[#This Row],[A]],0)</f>
        <v>-0.22254551500540368</v>
      </c>
      <c r="BL18" s="638" t="str">
        <f ca="1">TEXT(_xlfn.XLOOKUP(Tab_NewTRADER[[#This Row],[ClickTick]],TabCalc[Ticker],TabCalc[NAfter]),"#,#0")&amp;" : "&amp;TEXT(_xlfn.XLOOKUP(Tab_NewTRADER[[#This Row],[ClickTick]],TabCalc[Ticker],TabCalc[NAfter])*(Tab_NewTRADER[[#This Row],[M]]-Tab_NewTRADER[[#This Row],[A]])*(1-Commission)*Tab_NewTRADER[[#This Row],[Scale]],"#,#0$")</f>
        <v>4,000 : -26,700$</v>
      </c>
      <c r="BM18" s="684">
        <f ca="1">_xlfn.XLOOKUP(Tab_NewTRADER[[#This Row],[ClickTick]],TabCalc[[#This Row],[Ticker]],TabCalc[[#This Row],[GL]])*(1-Commission)</f>
        <v>-12812.548275078134</v>
      </c>
      <c r="BN18" s="684"/>
      <c r="BO18" s="669" t="str">
        <f ca="1">Tab_NewTRADER[[#This Row],[ClickTick]]&amp;": "&amp;_xlfn.XLOOKUP(Tab_NewTRADER[[#This Row],[ClickTick]],TabCalc[Ticker],TabCalc[Pile?])</f>
        <v>DSY: Pile</v>
      </c>
      <c r="BP18" s="351" t="s">
        <v>2048</v>
      </c>
      <c r="BQ18" s="755" t="str" cm="1">
        <f t="array" aca="1" ref="BQ18" ca="1">_xlfn.TEXTJOIN("",,INDEX({"M","A","Y"}, _xlfn.SORTBY({1,2,3}, -CHOOSE({1,2,3}, Tab_NewTRADER[[#This Row],[M]], Tab_NewTRADER[[#This Row],[A]], Tab_NewTRADER[[#This Row],[Agiotage]]))))</f>
        <v>AMY</v>
      </c>
      <c r="BR18" s="902" t="str" cm="1">
        <f t="array" aca="1" ref="BR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18" s="679" t="e">
        <f ca="1">Tab_NewTRADER[[#This Row],[L_Sn]]*Tab_NewTRADER[[#This Row],[L_Sp]]+Tab_NewTRADER[[#This Row],[SellMore]]*Tab_NewTRADER[[#This Row],[M]]</f>
        <v>#N/A</v>
      </c>
      <c r="BT18" s="679" t="e">
        <f ca="1">INDEX(
  INDEX(TabConsolid[], , _xlfn.XMATCH(Tab_NewTRADER[[#This Row],[ClickTick]]&amp;1, TabConsolid[#Headers])),
  MATCH(
    -Tab_NewTRADER[[#This Row],[M]],
    INDEX(TabConsolid[], , _xlfn.XMATCH(Tab_NewTRADER[[#This Row],[ClickTick]]&amp;2, TabConsolid[#Headers])),
    -1
  )
)</f>
        <v>#N/A</v>
      </c>
      <c r="BU18" s="679" cm="1">
        <f t="array" aca="1" ref="BU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V18" s="1144" t="e">
        <f ca="1">Tab_NewTRADER[[#This Row],[ReBuy]]/(Tab_NewTRADER[[#This Row],[L_Sn]]+Tab_NewTRADER[[#This Row],[SellMore]])</f>
        <v>#N/A</v>
      </c>
      <c r="BW18" s="687">
        <f ca="1">((_xlfn.XLOOKUP(Tab_NewTRADER[[#This Row],[ClickTick]],TabCalc[Ticker],TabCalc[NAfter])+Tab_NewTRADER[[#This Row],[L_Sn]])*(Tab_NewTRADER[[#This Row],[Agiotage]]-Tab_NewTRADER[[#This Row],[M]]))/(Tab_NewTRADER[[#This Row],[L_Sn]]*_xlfn.XLOOKUP(Tab_NewTRADER[[#This Row],[ClickTick]],TabCalc[Ticker],TabCalc[NAfter]))</f>
        <v>-1.6456852311608112E-2</v>
      </c>
      <c r="BX18" s="687">
        <f ca="1">(Tab_NewTRADER[[#This Row],[M]]-Tab_NewTRADER[[#This Row],[Agiotage]])/(Tab_NewTRADER[[#This Row],[M]]-Tab_NewTRADER[[#This Row],[A]])-1</f>
        <v>-4.2786656329937696</v>
      </c>
      <c r="BY18" s="1262">
        <f ca="1">_xlfn.XMATCH(Tab_NewTRADER[[#This Row],[ClickTick]]&amp;1, TabConsolid[#Headers])</f>
        <v>47</v>
      </c>
      <c r="BZ18" t="str">
        <f ca="1">IF(ABS(Tab_NewTRADER[[#This Row],[L_Bp]])&gt;=Tab_NewTRADER[[#This Row],[M]],"OK")</f>
        <v>OK</v>
      </c>
    </row>
    <row r="19" spans="1:78" ht="22"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-6,979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-118.68x1600=   -4,935$</v>
      </c>
      <c r="G19" s="225" t="str">
        <f ca="1">IFERROR(TRUNC(_xlfn.XLOOKUP(Tab_NewTRADER[[#This Row],[ClickTick]],TabCalc[Ticker],ListLastSalep),2)&amp;"x"&amp;_xlfn.XLOOKUP(Tab_NewTRADER[[#This Row],[ClickTick]],TabCalc[Ticker],ListLastSalen)&amp;"=   "&amp;TEXT(-_xlfn.XLOOKUP(Tab_NewTRADER[[#This Row],[ClickTick]],TabCalc[Ticker],ListReverseB),"#,#0")&amp;"$","")</f>
        <v>124.33x1600=   -14,680$</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8.0% = 545</v>
      </c>
      <c r="I19" s="226" t="str">
        <f ca="1">IFERROR(TRUNC(TabCalc[[#This Row],[L_S1p]],2)&amp;"x"&amp;TabCalc[[#This Row],[L_S1n]]&amp;"=   "&amp;TEXT(TabCalc[[#This Row],[ReverseB1]],"#,#0"),"")</f>
        <v>123.44x1600=   13,256</v>
      </c>
      <c r="J19" s="295">
        <f ca="1">_xlfn.XLOOKUP(Tab_NewTRADER[[#This Row],[ClickTick]],TabCalc[Ticker],ListGravity)</f>
        <v>1.2776258086926318</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46062</v>
      </c>
      <c r="M19" s="323">
        <f ca="1">_xlfn.XLOOKUP(Tab_NewTRADER[[#This Row],[ClickTick]],TabCalc[Ticker],TabCalc[Agiotage])</f>
        <v>0.25765225257265678</v>
      </c>
      <c r="N19" s="324" cm="1">
        <f t="array" aca="1" ref="N19" ca="1">_xlfn.XLOOKUP(Tab_NewTRADER[[#This Row],[ClickTick]],ListTickers,Tab2RSIConventional[RSIConv20])</f>
        <v>32</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-4.1493257865823203E-2</v>
      </c>
      <c r="S19" s="683">
        <f ca="1">_xlfn.XLOOKUP(Tab_NewTRADER[[#This Row],[ClickTick]],TabCalc[Ticker],TabCalc[Rev(MinStock)])*(1-Commission)</f>
        <v>-6960.8545999999988</v>
      </c>
      <c r="T19" s="782">
        <f ca="1">_xlfn.XLOOKUP(Tab_NewTRADER[[#This Row],[ClickTick]],TabCalc[Ticker],TabCalc[Agiotage])</f>
        <v>0.25765225257265678</v>
      </c>
      <c r="U19" s="747"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-2,205/-2,205=&gt;-1.2% / -1.2%</v>
      </c>
      <c r="V19" s="739" t="str">
        <f ca="1">_xlfn.XLOOKUP(Tab_NewTRADER[[#This Row],[ClickTick]],[1]!RTData[Ticker_Symbol],[1]!RTData[Currency])</f>
        <v>USD</v>
      </c>
      <c r="W19" s="749">
        <f ca="1">_xlfn.XLOOKUP(Tab_NewTRADER[[#This Row],[ClickTick]],TabCalc[Ticker],TabCalc[M])</f>
        <v>115.155</v>
      </c>
      <c r="X19" s="1315"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-1.2054E-2</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^31K / 161 K$</v>
      </c>
      <c r="AF19" s="1182"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9" s="1530" t="str">
        <f ca="1">TEXT(MIN(Tab_NewTRADER[[#This Row],[L_Bn]],Tab_NewTRADER[[#This Row],[N]]),"#,#0")&amp;" x "&amp;TEXT(Tab_NewTRADER[[#This Row],[L_Bp]],"#,#0.#0")</f>
        <v>1,400 x -120.14</v>
      </c>
      <c r="AH19" s="1530" t="str" cm="1">
        <f t="array" aca="1" ref="AH19" ca="1">_xlfn.IFS(Tab_NewTRADER[[#This Row],[M_State]]=Sale_Back,Tab_NewTRADER[[#This Row],[Sale_Back_$]], TRUE,"M = "&amp;Tab_NewTRADER[[#This Row],[M]])</f>
        <v>M = 115.155</v>
      </c>
      <c r="AI19" s="1433" cm="1">
        <f t="array" aca="1" ref="AI19" ca="1">IF(Tab_NewTRADER[[#This Row],[M_State]]=MUp,_xlfn.IFS(Tab_NewTRADER[[#This Row],[M_State]]=MUp,MIN(Tab_NewTRADER[[#This Row],[N]],Tab_NewTRADER[[#This Row],[L_Bn]])*(Tab_NewTRADER[[#This Row],[M]]-Tab_NewTRADER[[#This Row],[L_Sp]])*Tab_NewTRADER[[#This Row],[Scale]]*ComFactor, TRUE,0),0)</f>
        <v>0</v>
      </c>
      <c r="AJ19" s="1433" cm="1">
        <f t="array" aca="1" ref="AJ19" ca="1">_xlfn.IFS(Tab_NewTRADER[[#This Row],[M_State]]=MUp,                 MIN(Tab_NewTRADER[[#This Row],[L_Sn]],Tab_NewTRADER[[#This Row],[N]])*(Tab_NewTRADER[[#This Row],[M]]-Tab_NewTRADER[[#This Row],[A]])*Tab_NewTRADER[[#This Row],[Scale]]*ComFactor, TRUE,0)</f>
        <v>0</v>
      </c>
      <c r="AK19" s="1433" cm="1">
        <f t="array" aca="1" ref="AK19" ca="1">_xlfn.IFS(Tab_NewTRADER[[#This Row],[M_State]]=MUp,                  Tab_NewTRADER[[#This Row],[N]]*(Tab_NewTRADER[[#This Row],[M]]-Tab_NewTRADER[[#This Row],[A]])*Tab_NewTRADER[[#This Row],[Scale]]*ComFactor, TRUE,0)</f>
        <v>0</v>
      </c>
      <c r="AL19" s="1435" t="str">
        <f ca="1">TEXT(Tab_NewTRADER[[#This Row],[L_Sn]],"#,#0")&amp;" x "&amp;TEXT(Tab_NewTRADER[[#This Row],[L_Sp]],"#,#0.#0")</f>
        <v>1,600 x 124.33</v>
      </c>
      <c r="AM19" s="1465" t="str" cm="1">
        <f t="array" aca="1" ref="AM19" ca="1">_xlfn.IFS(Tab_NewTRADER[[#This Row],[M_State]]=RePurchaseGain,TEXT(-Tab_NewTRADER[[#This Row],[Buy_Back]],"#,#0")&amp;"       / "&amp;TEXT(Tab_NewTRADER[[#This Row],[Rev_Buy]],"#,#00.0)%"),TRUE,"M = "&amp;Tab_NewTRADER[[#This Row],[M]])</f>
        <v>12,812       / 07.4)%</v>
      </c>
      <c r="AN19" s="1435" cm="1">
        <f t="array" aca="1" ref="AN19" ca="1">_xlfn.IFS(Tab_NewTRADER[[#This Row],[M_State]]=MDown,TEXT(Tab_NewTRADER[[#This Row],[L_Sn]]*(Tab_NewTRADER[[#This Row],[M]]-Tab_NewTRADER[[#This Row],[L_Sp]])*ComFactor,"#,#0")&amp;"       / "&amp;TEXT((TabTRADER[[#This Row],[M]]-TabTRADER[[#This Row],[L_Sp]])/TabTRADER[[#This Row],[M]],"#,#00.0)%"),TRUE,0)</f>
        <v>0</v>
      </c>
      <c r="AO19" s="1486" cm="1">
        <f t="array" aca="1" ref="AO19" ca="1">_xlfn.IFS(Tab_NewTRADER[[#This Row],[M_State]]=MDown,TEXT(Tab_NewTRADER[[#This Row],[N]]*(Tab_NewTRADER[[#This Row],[M]]-Tab_NewTRADER[[#This Row],[A]])*Tab_NewTRADER[[#This Row],[Scale]]*ComFactor,"#,#0")&amp;"       / "&amp;TEXT((TabTRADER[[#This Row],[M]]-TabTRADER[[#This Row],[L_Bp]])/TabTRADER[[#This Row],[M]],"#,#00.0%"),TRUE,0)</f>
        <v>0</v>
      </c>
      <c r="AP19" s="1435" t="str" cm="1">
        <f t="array" aca="1" ref="AP19" ca="1">_xlfn.IFS(Tab_NewTRADER[[#This Row],[M_State]]=MDown,TEXT(Tab_NewTRADER[[#This Row],[N]]*Tab_NewTRADER[[#This Row],[M]],"#,#0")&amp;" @ "&amp;TEXT(Tab_NewTRADER[[#This Row],[A]],"#,#0.#0"),TRUE,"M = "&amp; Tab_NewTRADER[[#This Row],[M]])</f>
        <v>M = 115.155</v>
      </c>
      <c r="AQ19" s="760">
        <f ca="1">Tab_NewTRADER[[#This Row],[N]]*(Tab_NewTRADER[[#This Row],[M]]-Tab_NewTRADER[[#This Row],[A]])*(1-Commission)*Tab_NewTRADER[[#This Row],[Scale]]</f>
        <v>-6009.4679866666738</v>
      </c>
      <c r="AR19" s="760">
        <f ca="1">Tab_NewTRADER[[#This Row],[M]]*Tab_NewTRADER[[#This Row],[N]]*(1-Commission)*Tab_NewTRADER[[#This Row],[Scale]]</f>
        <v>160797.8358</v>
      </c>
      <c r="AS19" s="1174" cm="1">
        <f t="array" aca="1" ref="AS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7.3795544116464232E-2</v>
      </c>
      <c r="AT19" s="1174" t="str" cm="1">
        <f t="array" aca="1" ref="AT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19" s="825" t="str" cm="1">
        <f t="array" aca="1" ref="AU19" ca="1">_xlfn.IFS(   Tab_NewTRADER[[#This Row],[M_State]]=SellMorePercentGain,                     MIN(Tab_NewTRADER[[#This Row],[L_Sn]],Tab_NewTRADER[[#This Row],[N]])*(Tab_NewTRADER[[#This Row],[M]]-Tab_NewTRADER[[#This Row],[L_Sp]])*(1-Commission)*Tab_NewTRADER[[#This Row],[Scale]],                    TRUE,"")</f>
        <v/>
      </c>
      <c r="AV19" s="1163">
        <f ca="1">_xlfn.XLOOKUP(Tab_NewTRADER[[#This Row],[ClickTick]],TabCalc[Ticker],TabCalc[Ann%RevLB])</f>
        <v>-1.6597303146329281</v>
      </c>
      <c r="AW19" s="1267">
        <f ca="1">_xlfn.XLOOKUP(Tab_NewTRADER[[#This Row],[ClickTick]],TabCalc[Ticker],TabCalc[Up20])</f>
        <v>0</v>
      </c>
      <c r="AX19" s="1175" t="str" cm="1">
        <f t="array" aca="1" ref="AX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9" s="825" t="str" cm="1">
        <f t="array" aca="1" ref="AY19" ca="1">_xlfn.IFS(         Tab_NewTRADER[[#This Row],[M_State]]=MDown,Tab_NewTRADER[[#This Row],[L_Bn]]*Tab_NewTRADER[[#This Row],[M]]*(-(Tab_NewTRADER[[#This Row],[L_Bp]]+Tab_NewTRADER[[#This Row],[M]])/Tab_NewTRADER[[#This Row],[M]])*(1-Commission)*Tab_NewTRADER[[#This Row],[Scale]],                               TRUE,"")</f>
        <v/>
      </c>
      <c r="AZ19" s="1174" t="str" cm="1">
        <f t="array" aca="1" ref="AZ19" ca="1">_xlfn.IFS(   Tab_NewTRADER[[#This Row],[M_State]]=MUp,Tab_NewTRADER[[#This Row],[TakeGain_A]]-Commission,        Tab_NewTRADER[[#This Row],[M_State]]=MDown,(Tab_NewTRADER[[#This Row],[A]]-Tab_NewTRADER[[#This Row],[M]])/Tab_NewTRADER[[#This Row],[M]]-Commission,                              TRUE,"")</f>
        <v/>
      </c>
      <c r="BA19" s="825" cm="1">
        <f t="array" aca="1" ref="BA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-6009.4679866666738</v>
      </c>
      <c r="BB19" s="760" t="str" cm="1">
        <f t="array" aca="1" ref="BB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C19" s="736" t="str" cm="1">
        <f t="array" aca="1" ref="BC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19" s="765" cm="1">
        <f t="array" aca="1" ref="BD19" ca="1">_xlfn.IFS(Tab_NewTRADER[[#This Row],[M_State]]=Sale_Back,"",         Tab_NewTRADER[[#This Row],[M_State]]=MDown, (Tab_NewTRADER[[#This Row],[M]]-Tab_NewTRADER[[#This Row],[A]])/Tab_NewTRADER[[#This Row],[A]]*ComFactor,             TRUE, IFERROR((Tab_NewTRADER[[#This Row],[M]]-Tab_NewTRADER[[#This Row],[A]])/Tab_NewTRADER[[#This Row],[A]]*ComFactor,""))</f>
        <v>-3.5932739357546303E-2</v>
      </c>
      <c r="BE19" s="762" cm="1">
        <f t="array" aca="1" ref="BE19" ca="1">_xlfn.IFS(               Tab_NewTRADER[[#This Row],[M_State]]=NoStock,(Tab_NewTRADER[[#This Row],[L_Sp]]-Tab_NewTRADER[[#This Row],[M]])/Tab_NewTRADER[[#This Row],[M]]-Commission,             Tab_NewTRADER[[#This Row],[A]]&lt;&gt;0,(Tab_NewTRADER[[#This Row],[A]]-Tab_NewTRADER[[#This Row],[M]])/Tab_NewTRADER[[#This Row],[M]]-Commission)</f>
        <v>3.4772816348978962E-2</v>
      </c>
      <c r="BF19" s="324">
        <f ca="1">_xlfn.XLOOKUP(Tab_NewTRADER[[#This Row],[ClickTick]],TabCalc[Ticker],TabCalc[L_Sn])</f>
        <v>1600</v>
      </c>
      <c r="BG19" s="728">
        <f ca="1">_xlfn.XLOOKUP(Tab_NewTRADER[[#This Row],[ClickTick]],TabCalc[Ticker],TabCalc[L_Sp])</f>
        <v>124.33</v>
      </c>
      <c r="BH19" s="764">
        <f ca="1">-IFERROR((Tab_NewTRADER[[#This Row],[M]]-Tab_NewTRADER[[#This Row],[L_Sp]])/Tab_NewTRADER[[#This Row],[L_Sp]],0)</f>
        <v>7.3795544116464232E-2</v>
      </c>
      <c r="BI19" s="729">
        <f ca="1">MIN(Tab_NewTRADER[[#This Row],[L_Sn]],Tab_NewTRADER[[#This Row],[N]])*(Tab_NewTRADER[[#This Row],[M]]-Tab_NewTRADER[[#This Row],[L_Sp]])*(1-Commission)*Tab_NewTRADER[[#This Row],[Scale]]</f>
        <v>-12811.602999999996</v>
      </c>
      <c r="BJ19" s="692">
        <f ca="1">Tab_NewTRADER[[#This Row],[L_Sn]]*(Tab_NewTRADER[[#This Row],[Agiotage]]-Tab_NewTRADER[[#This Row],[M]])/(Tab_NewTRADER[[#This Row],[L_Bn]]*Tab_NewTRADER[[#This Row],[M]])</f>
        <v>-0.99776256130803997</v>
      </c>
      <c r="BK19" s="635">
        <f ca="1">IFERROR((Tab_NewTRADER[[#This Row],[M]]-Tab_NewTRADER[[#This Row],[A]])/Tab_NewTRADER[[#This Row],[A]],0)</f>
        <v>-3.6026408018394129E-2</v>
      </c>
      <c r="BL19" s="638" t="str">
        <f ca="1">TEXT(_xlfn.XLOOKUP(Tab_NewTRADER[[#This Row],[ClickTick]],TabCalc[Ticker],TabCalc[NAfter]),"#,#0")&amp;" : "&amp;TEXT(_xlfn.XLOOKUP(Tab_NewTRADER[[#This Row],[ClickTick]],TabCalc[Ticker],TabCalc[NAfter])*(Tab_NewTRADER[[#This Row],[M]]-Tab_NewTRADER[[#This Row],[A]])*(1-Commission)*Tab_NewTRADER[[#This Row],[Scale]],"#,#0$")</f>
        <v>1,400 : -6,009$</v>
      </c>
      <c r="BM19" s="684">
        <f ca="1">_xlfn.XLOOKUP(Tab_NewTRADER[[#This Row],[ClickTick]],TabCalc[[#This Row],[Ticker]],TabCalc[[#This Row],[GL]])*(1-Commission)</f>
        <v>30985.826135835556</v>
      </c>
      <c r="BN19" s="684"/>
      <c r="BO19" s="669" t="str">
        <f ca="1">Tab_NewTRADER[[#This Row],[ClickTick]]&amp;": "&amp;_xlfn.XLOOKUP(Tab_NewTRADER[[#This Row],[ClickTick]],TabCalc[Ticker],TabCalc[Pile?])</f>
        <v>DVA: Pile</v>
      </c>
      <c r="BP19" s="351" t="s">
        <v>2057</v>
      </c>
      <c r="BQ19" s="755" t="str" cm="1">
        <f t="array" aca="1" ref="BQ19" ca="1">_xlfn.TEXTJOIN("",,INDEX({"M","A","Y"}, _xlfn.SORTBY({1,2,3}, -CHOOSE({1,2,3}, Tab_NewTRADER[[#This Row],[M]], Tab_NewTRADER[[#This Row],[A]], Tab_NewTRADER[[#This Row],[Agiotage]]))))</f>
        <v>AMY</v>
      </c>
      <c r="BR19" s="902" t="str" cm="1">
        <f t="array" aca="1" ref="BR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19" s="679" t="e">
        <f ca="1">Tab_NewTRADER[[#This Row],[L_Sn]]*Tab_NewTRADER[[#This Row],[L_Sp]]+Tab_NewTRADER[[#This Row],[SellMore]]*Tab_NewTRADER[[#This Row],[M]]</f>
        <v>#N/A</v>
      </c>
      <c r="BT19" s="679" t="e">
        <f ca="1">INDEX(
  INDEX(TabConsolid[], , _xlfn.XMATCH(Tab_NewTRADER[[#This Row],[ClickTick]]&amp;1, TabConsolid[#Headers])),
  MATCH(
    -Tab_NewTRADER[[#This Row],[M]],
    INDEX(TabConsolid[], , _xlfn.XMATCH(Tab_NewTRADER[[#This Row],[ClickTick]]&amp;2, TabConsolid[#Headers])),
    -1
  )
)</f>
        <v>#N/A</v>
      </c>
      <c r="BU19" s="679" cm="1">
        <f t="array" aca="1" ref="BU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1400</v>
      </c>
      <c r="BV19" s="1144" t="e">
        <f ca="1">Tab_NewTRADER[[#This Row],[ReBuy]]/(Tab_NewTRADER[[#This Row],[L_Sn]]+Tab_NewTRADER[[#This Row],[SellMore]])</f>
        <v>#N/A</v>
      </c>
      <c r="BW19" s="687">
        <f ca="1">((_xlfn.XLOOKUP(Tab_NewTRADER[[#This Row],[ClickTick]],TabCalc[Ticker],TabCalc[NAfter])+Tab_NewTRADER[[#This Row],[L_Sn]])*(Tab_NewTRADER[[#This Row],[Agiotage]]-Tab_NewTRADER[[#This Row],[M]]))/(Tab_NewTRADER[[#This Row],[L_Sn]]*_xlfn.XLOOKUP(Tab_NewTRADER[[#This Row],[ClickTick]],TabCalc[Ticker],TabCalc[NAfter]))</f>
        <v>-0.15388037644744734</v>
      </c>
      <c r="BX19" s="687">
        <f ca="1">(Tab_NewTRADER[[#This Row],[M]]-Tab_NewTRADER[[#This Row],[Agiotage]])/(Tab_NewTRADER[[#This Row],[M]]-Tab_NewTRADER[[#This Row],[A]])-1</f>
        <v>-27.697548078559493</v>
      </c>
      <c r="BY19" s="1262">
        <f ca="1">_xlfn.XMATCH(Tab_NewTRADER[[#This Row],[ClickTick]]&amp;1, TabConsolid[#Headers])</f>
        <v>50</v>
      </c>
      <c r="BZ19" t="str">
        <f ca="1">IF(ABS(Tab_NewTRADER[[#This Row],[L_Bp]])&gt;=Tab_NewTRADER[[#This Row],[M]],"OK")</f>
        <v>OK</v>
      </c>
    </row>
    <row r="20" spans="1:78"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-9,480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-19.6%</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-25,830$</v>
      </c>
      <c r="G20" s="225" t="str">
        <f ca="1">IFERROR(TRUNC(_xlfn.XLOOKUP(Tab_NewTRADER[[#This Row],[ClickTick]],TabCalc[Ticker],ListLastSalep),2)&amp;"x"&amp;_xlfn.XLOOKUP(Tab_NewTRADER[[#This Row],[ClickTick]],TabCalc[Ticker],ListLastSalen)&amp;"=   "&amp;TEXT(-_xlfn.XLOOKUP(Tab_NewTRADER[[#This Row],[ClickTick]],TabCalc[Ticker],ListReverseB),"#,#0")&amp;"$","")</f>
        <v>20.32x4000=   -32,840$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67.8% = 609</v>
      </c>
      <c r="I20" s="226" t="str">
        <f ca="1">IFERROR(TRUNC(TabCalc[[#This Row],[L_S1p]],2)&amp;"x"&amp;TabCalc[[#This Row],[L_S1n]]&amp;"=   "&amp;TEXT(TabCalc[[#This Row],[ReverseB1]],"#,#0"),"")</f>
        <v>19.33x4000=   28,884</v>
      </c>
      <c r="J20" s="295">
        <f ca="1">_xlfn.XLOOKUP(Tab_NewTRADER[[#This Row],[ClickTick]],TabCalc[Ticker],ListGravity)</f>
        <v>1.1973575557390588</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49784.21</v>
      </c>
      <c r="M20" s="323">
        <f ca="1">_xlfn.XLOOKUP(Tab_NewTRADER[[#This Row],[ClickTick]],TabCalc[Ticker],TabCalc[Agiotage])</f>
        <v>0.2292985220081705</v>
      </c>
      <c r="N20" s="324" cm="1">
        <f t="array" aca="1" ref="N20" ca="1">_xlfn.XLOOKUP(Tab_NewTRADER[[#This Row],[ClickTick]],ListTickers,Tab2RSIConventional[RSIConv20])</f>
        <v>38</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-0.16367403314917134</v>
      </c>
      <c r="S20" s="683">
        <f ca="1">_xlfn.XLOOKUP(Tab_NewTRADER[[#This Row],[ClickTick]],TabCalc[Ticker],TabCalc[Rev(MinStock)])*(1-Commission)</f>
        <v>-9455.3520000000026</v>
      </c>
      <c r="T20" s="782">
        <f ca="1">_xlfn.XLOOKUP(Tab_NewTRADER[[#This Row],[ClickTick]],TabCalc[Ticker],TabCalc[Agiotage])</f>
        <v>0.2292985220081705</v>
      </c>
      <c r="U20" s="747"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-660/-660=&gt;-0.9% / -0.9%</v>
      </c>
      <c r="V20" s="739" t="str">
        <f ca="1">_xlfn.XLOOKUP(Tab_NewTRADER[[#This Row],[ClickTick]],[1]!RTData[Ticker_Symbol],[1]!RTData[Currency])</f>
        <v>USD</v>
      </c>
      <c r="W20" s="749">
        <f ca="1">_xlfn.XLOOKUP(Tab_NewTRADER[[#This Row],[ClickTick]],TabCalc[Ticker],TabCalc[M])</f>
        <v>12.11</v>
      </c>
      <c r="X20" s="1315"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-9.0019999999999996E-3</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-55K /73 K$</v>
      </c>
      <c r="AF20" s="1161"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0" s="1530" t="str">
        <f ca="1">TEXT(MIN(Tab_NewTRADER[[#This Row],[L_Bn]],Tab_NewTRADER[[#This Row],[N]]),"#,#0")&amp;" x "&amp;TEXT(Tab_NewTRADER[[#This Row],[L_Bp]],"#,#0.#0")</f>
        <v>4,000 x -14.48</v>
      </c>
      <c r="AH20" s="1530" t="str" cm="1">
        <f t="array" aca="1" ref="AH20" ca="1">_xlfn.IFS(Tab_NewTRADER[[#This Row],[M_State]]=Sale_Back,Tab_NewTRADER[[#This Row],[Sale_Back_$]], TRUE,"M = "&amp;Tab_NewTRADER[[#This Row],[M]])</f>
        <v>M = 12.11</v>
      </c>
      <c r="AI20" s="1433" cm="1">
        <f t="array" aca="1" ref="AI20" ca="1">IF(Tab_NewTRADER[[#This Row],[M_State]]=MUp,_xlfn.IFS(Tab_NewTRADER[[#This Row],[M_State]]=MUp,MIN(Tab_NewTRADER[[#This Row],[N]],Tab_NewTRADER[[#This Row],[L_Bn]])*(Tab_NewTRADER[[#This Row],[M]]-Tab_NewTRADER[[#This Row],[L_Sp]])*Tab_NewTRADER[[#This Row],[Scale]]*ComFactor, TRUE,0),0)</f>
        <v>0</v>
      </c>
      <c r="AJ20" s="1433" cm="1">
        <f t="array" aca="1" ref="AJ20" ca="1">_xlfn.IFS(Tab_NewTRADER[[#This Row],[M_State]]=MUp,                 MIN(Tab_NewTRADER[[#This Row],[L_Sn]],Tab_NewTRADER[[#This Row],[N]])*(Tab_NewTRADER[[#This Row],[M]]-Tab_NewTRADER[[#This Row],[A]])*Tab_NewTRADER[[#This Row],[Scale]]*ComFactor, TRUE,0)</f>
        <v>0</v>
      </c>
      <c r="AK20" s="1433" cm="1">
        <f t="array" aca="1" ref="AK20" ca="1">_xlfn.IFS(Tab_NewTRADER[[#This Row],[M_State]]=MUp,                  Tab_NewTRADER[[#This Row],[N]]*(Tab_NewTRADER[[#This Row],[M]]-Tab_NewTRADER[[#This Row],[A]])*Tab_NewTRADER[[#This Row],[Scale]]*ComFactor, TRUE,0)</f>
        <v>0</v>
      </c>
      <c r="AL20" s="1435" t="str">
        <f ca="1">TEXT(Tab_NewTRADER[[#This Row],[L_Sn]],"#,#0")&amp;" x "&amp;TEXT(Tab_NewTRADER[[#This Row],[L_Sp]],"#,#0.#0")</f>
        <v>4,000 x 20.32</v>
      </c>
      <c r="AM20" s="1465" t="str" cm="1">
        <f t="array" aca="1" ref="AM20" ca="1">_xlfn.IFS(Tab_NewTRADER[[#This Row],[M_State]]=RePurchaseGain,TEXT(-Tab_NewTRADER[[#This Row],[Buy_Back]],"#,#0")&amp;"       / "&amp;TEXT(Tab_NewTRADER[[#This Row],[Rev_Buy]],"#,#00.0)%"),TRUE,"M = "&amp;Tab_NewTRADER[[#This Row],[M]])</f>
        <v>M = 12.11</v>
      </c>
      <c r="AN20" s="1435" t="str" cm="1">
        <f t="array" aca="1" ref="AN20" ca="1">_xlfn.IFS(Tab_NewTRADER[[#This Row],[M_State]]=MDown,TEXT(Tab_NewTRADER[[#This Row],[L_Sn]]*(Tab_NewTRADER[[#This Row],[M]]-Tab_NewTRADER[[#This Row],[L_Sp]])*ComFactor,"#,#0")&amp;"       / "&amp;TEXT((TabTRADER[[#This Row],[M]]-TabTRADER[[#This Row],[L_Sp]])/TabTRADER[[#This Row],[M]],"#,#00.0)%"),TRUE,0)</f>
        <v>-32,755       / -67.8)%</v>
      </c>
      <c r="AO20" s="1486" t="str" cm="1">
        <f t="array" aca="1" ref="AO20" ca="1">_xlfn.IFS(Tab_NewTRADER[[#This Row],[M_State]]=MDown,TEXT(Tab_NewTRADER[[#This Row],[N]]*(Tab_NewTRADER[[#This Row],[M]]-Tab_NewTRADER[[#This Row],[A]])*Tab_NewTRADER[[#This Row],[Scale]]*ComFactor,"#,#0")&amp;"       / "&amp;TEXT((TabTRADER[[#This Row],[M]]-TabTRADER[[#This Row],[L_Bp]])/TabTRADER[[#This Row],[M]],"#,#00.0%"),TRUE,0)</f>
        <v>-22,337       / 219.6%</v>
      </c>
      <c r="AP20" s="1435" t="str" cm="1">
        <f t="array" aca="1" ref="AP20" ca="1">_xlfn.IFS(Tab_NewTRADER[[#This Row],[M_State]]=MDown,TEXT(Tab_NewTRADER[[#This Row],[N]]*Tab_NewTRADER[[#This Row],[M]],"#,#0")&amp;" @ "&amp;TEXT(Tab_NewTRADER[[#This Row],[A]],"#,#0.#0"),TRUE,"M = "&amp; Tab_NewTRADER[[#This Row],[M]])</f>
        <v>72,660 @ 15.84</v>
      </c>
      <c r="AQ20" s="1165">
        <f ca="1">Tab_NewTRADER[[#This Row],[N]]*(Tab_NewTRADER[[#This Row],[M]]-Tab_NewTRADER[[#This Row],[A]])*(1-Commission)*Tab_NewTRADER[[#This Row],[Scale]]</f>
        <v>-22336.772999999997</v>
      </c>
      <c r="AR20" s="1165">
        <f ca="1">Tab_NewTRADER[[#This Row],[M]]*Tab_NewTRADER[[#This Row],[N]]*(1-Commission)*Tab_NewTRADER[[#This Row],[Scale]]</f>
        <v>72471.084000000003</v>
      </c>
      <c r="AS20" s="1174" cm="1">
        <f t="array" aca="1" ref="AS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0.23560044184945558</v>
      </c>
      <c r="AT20" s="1174" cm="1">
        <f t="array" aca="1" ref="AT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0.19310602807597038</v>
      </c>
      <c r="AU20" s="825" t="str" cm="1">
        <f t="array" aca="1" ref="AU20" ca="1">_xlfn.IFS(   Tab_NewTRADER[[#This Row],[M_State]]=SellMorePercentGain,                     MIN(Tab_NewTRADER[[#This Row],[L_Sn]],Tab_NewTRADER[[#This Row],[N]])*(Tab_NewTRADER[[#This Row],[M]]-Tab_NewTRADER[[#This Row],[L_Sp]])*(1-Commission)*Tab_NewTRADER[[#This Row],[Scale]],                    TRUE,"")</f>
        <v/>
      </c>
      <c r="AV20" s="1180">
        <f ca="1">_xlfn.XLOOKUP(Tab_NewTRADER[[#This Row],[ClickTick]],TabCalc[Ticker],TabCalc[Ann%RevLB])</f>
        <v>-0.48696406556778254</v>
      </c>
      <c r="AW20" s="1180">
        <f ca="1">_xlfn.XLOOKUP(Tab_NewTRADER[[#This Row],[ClickTick]],TabCalc[Ticker],TabCalc[Up20])</f>
        <v>0</v>
      </c>
      <c r="AX20" s="310" cm="1">
        <f t="array" aca="1" ref="AX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0.19570602807597037</v>
      </c>
      <c r="AY20" s="825" cm="1">
        <f t="array" aca="1" ref="AY20" ca="1">_xlfn.IFS(         Tab_NewTRADER[[#This Row],[M_State]]=MDown,Tab_NewTRADER[[#This Row],[L_Bn]]*Tab_NewTRADER[[#This Row],[M]]*(-(Tab_NewTRADER[[#This Row],[L_Bp]]+Tab_NewTRADER[[#This Row],[M]])/Tab_NewTRADER[[#This Row],[M]])*(1-Commission)*Tab_NewTRADER[[#This Row],[Scale]],                               TRUE,"")</f>
        <v>9455.3520000000044</v>
      </c>
      <c r="AZ20" s="1174" cm="1">
        <f t="array" aca="1" ref="AZ20" ca="1">_xlfn.IFS(   Tab_NewTRADER[[#This Row],[M_State]]=MUp,Tab_NewTRADER[[#This Row],[TakeGain_A]]-Commission,        Tab_NewTRADER[[#This Row],[M_State]]=MDown,(Tab_NewTRADER[[#This Row],[A]]-Tab_NewTRADER[[#This Row],[M]])/Tab_NewTRADER[[#This Row],[M]]-Commission,                              TRUE,"")</f>
        <v>0.30561635012386457</v>
      </c>
      <c r="BA20" s="825" cm="1">
        <f t="array" aca="1" ref="BA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22336.772999999997</v>
      </c>
      <c r="BB20" s="760" t="str" cm="1">
        <f t="array" aca="1" ref="BB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C20" s="736" cm="1">
        <f t="array" aca="1" ref="BC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-2.37</v>
      </c>
      <c r="BD20" s="765" cm="1">
        <f t="array" aca="1" ref="BD20" ca="1">_xlfn.IFS(Tab_NewTRADER[[#This Row],[M_State]]=Sale_Back,"",         Tab_NewTRADER[[#This Row],[M_State]]=MDown, (Tab_NewTRADER[[#This Row],[M]]-Tab_NewTRADER[[#This Row],[A]])/Tab_NewTRADER[[#This Row],[A]]*ComFactor,             TRUE, IFERROR((Tab_NewTRADER[[#This Row],[M]]-Tab_NewTRADER[[#This Row],[A]])/Tab_NewTRADER[[#This Row],[A]]*ComFactor,""))</f>
        <v>-0.23498788070064699</v>
      </c>
      <c r="BE20" s="762" cm="1">
        <f t="array" aca="1" ref="BE20" ca="1">_xlfn.IFS(               Tab_NewTRADER[[#This Row],[M_State]]=NoStock,(Tab_NewTRADER[[#This Row],[L_Sp]]-Tab_NewTRADER[[#This Row],[M]])/Tab_NewTRADER[[#This Row],[M]]-Commission,             Tab_NewTRADER[[#This Row],[A]]&lt;&gt;0,(Tab_NewTRADER[[#This Row],[A]]-Tab_NewTRADER[[#This Row],[M]])/Tab_NewTRADER[[#This Row],[M]]-Commission)</f>
        <v>0.30561635012386457</v>
      </c>
      <c r="BF20" s="324">
        <f ca="1">_xlfn.XLOOKUP(Tab_NewTRADER[[#This Row],[ClickTick]],TabCalc[Ticker],TabCalc[L_Sn])</f>
        <v>4000</v>
      </c>
      <c r="BG20" s="728">
        <f ca="1">_xlfn.XLOOKUP(Tab_NewTRADER[[#This Row],[ClickTick]],TabCalc[Ticker],TabCalc[L_Sp])</f>
        <v>20.32</v>
      </c>
      <c r="BH20" s="764">
        <f ca="1">-IFERROR((Tab_NewTRADER[[#This Row],[M]]-Tab_NewTRADER[[#This Row],[L_Sp]])/Tab_NewTRADER[[#This Row],[L_Sp]],0)</f>
        <v>0.4040354330708662</v>
      </c>
      <c r="BI20" s="729">
        <f ca="1">MIN(Tab_NewTRADER[[#This Row],[L_Sn]],Tab_NewTRADER[[#This Row],[N]])*(Tab_NewTRADER[[#This Row],[M]]-Tab_NewTRADER[[#This Row],[L_Sp]])*(1-Commission)*Tab_NewTRADER[[#This Row],[Scale]]</f>
        <v>-32754.615999999998</v>
      </c>
      <c r="BJ20" s="692">
        <f ca="1">Tab_NewTRADER[[#This Row],[L_Sn]]*(Tab_NewTRADER[[#This Row],[Agiotage]]-Tab_NewTRADER[[#This Row],[M]])/(Tab_NewTRADER[[#This Row],[L_Bn]]*Tab_NewTRADER[[#This Row],[M]])</f>
        <v>-0.98106535738991163</v>
      </c>
      <c r="BK20" s="635">
        <f ca="1">IFERROR((Tab_NewTRADER[[#This Row],[M]]-Tab_NewTRADER[[#This Row],[A]])/Tab_NewTRADER[[#This Row],[A]],0)</f>
        <v>-0.23560044184945558</v>
      </c>
      <c r="BL20" s="638" t="str">
        <f ca="1">TEXT(_xlfn.XLOOKUP(Tab_NewTRADER[[#This Row],[ClickTick]],TabCalc[Ticker],TabCalc[NAfter]),"#,#0")&amp;" : "&amp;TEXT(_xlfn.XLOOKUP(Tab_NewTRADER[[#This Row],[ClickTick]],TabCalc[Ticker],TabCalc[NAfter])*(Tab_NewTRADER[[#This Row],[M]]-Tab_NewTRADER[[#This Row],[A]])*(1-Commission)*Tab_NewTRADER[[#This Row],[Scale]],"#,#0$")</f>
        <v>6,000 : -22,337$</v>
      </c>
      <c r="BM20" s="684">
        <f ca="1">_xlfn.XLOOKUP(Tab_NewTRADER[[#This Row],[ClickTick]],TabCalc[[#This Row],[Ticker]],TabCalc[[#This Row],[GL]])*(1-Commission)</f>
        <v>-55301.125346186229</v>
      </c>
      <c r="BN20" s="684"/>
      <c r="BO20" s="669" t="str">
        <f ca="1">Tab_NewTRADER[[#This Row],[ClickTick]]&amp;": "&amp;_xlfn.XLOOKUP(Tab_NewTRADER[[#This Row],[ClickTick]],TabCalc[Ticker],TabCalc[Pile?])</f>
        <v xml:space="preserve">DXC: </v>
      </c>
      <c r="BP20" s="351" t="s">
        <v>1963</v>
      </c>
      <c r="BQ20" s="755" t="str" cm="1">
        <f t="array" aca="1" ref="BQ20" ca="1">_xlfn.TEXTJOIN("",,INDEX({"M","A","Y"}, _xlfn.SORTBY({1,2,3}, -CHOOSE({1,2,3}, Tab_NewTRADER[[#This Row],[M]], Tab_NewTRADER[[#This Row],[A]], Tab_NewTRADER[[#This Row],[Agiotage]]))))</f>
        <v>AMY</v>
      </c>
      <c r="BR20" s="902" cm="1">
        <f t="array" aca="1" ref="BR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0.19570602807597037</v>
      </c>
      <c r="BS20" s="679" t="e">
        <f ca="1">Tab_NewTRADER[[#This Row],[L_Sn]]*Tab_NewTRADER[[#This Row],[L_Sp]]+Tab_NewTRADER[[#This Row],[SellMore]]*Tab_NewTRADER[[#This Row],[M]]</f>
        <v>#N/A</v>
      </c>
      <c r="BT20" s="679" t="e">
        <f ca="1">INDEX(
  INDEX(TabConsolid[], , _xlfn.XMATCH(Tab_NewTRADER[[#This Row],[ClickTick]]&amp;1, TabConsolid[#Headers])),
  MATCH(
    -Tab_NewTRADER[[#This Row],[M]],
    INDEX(TabConsolid[], , _xlfn.XMATCH(Tab_NewTRADER[[#This Row],[ClickTick]]&amp;2, TabConsolid[#Headers])),
    -1
  )
)</f>
        <v>#N/A</v>
      </c>
      <c r="BU20" s="679" cm="1">
        <f t="array" aca="1" ref="BU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20" s="1144" t="e">
        <f ca="1">Tab_NewTRADER[[#This Row],[ReBuy]]/(Tab_NewTRADER[[#This Row],[L_Sn]]+Tab_NewTRADER[[#This Row],[SellMore]])</f>
        <v>#N/A</v>
      </c>
      <c r="BW20" s="687">
        <f ca="1">((_xlfn.XLOOKUP(Tab_NewTRADER[[#This Row],[ClickTick]],TabCalc[Ticker],TabCalc[NAfter])+Tab_NewTRADER[[#This Row],[L_Sn]])*(Tab_NewTRADER[[#This Row],[Agiotage]]-Tab_NewTRADER[[#This Row],[M]]))/(Tab_NewTRADER[[#This Row],[L_Sn]]*_xlfn.XLOOKUP(Tab_NewTRADER[[#This Row],[ClickTick]],TabCalc[Ticker],TabCalc[NAfter]))</f>
        <v>-4.9502922824965958E-3</v>
      </c>
      <c r="BX20" s="687">
        <f ca="1">(Tab_NewTRADER[[#This Row],[M]]-Tab_NewTRADER[[#This Row],[Agiotage]])/(Tab_NewTRADER[[#This Row],[M]]-Tab_NewTRADER[[#This Row],[A]])-1</f>
        <v>-4.1830412533132826</v>
      </c>
      <c r="BY20" s="1262">
        <f ca="1">_xlfn.XMATCH(Tab_NewTRADER[[#This Row],[ClickTick]]&amp;1, TabConsolid[#Headers])</f>
        <v>53</v>
      </c>
      <c r="BZ20" t="str">
        <f ca="1">IF(ABS(Tab_NewTRADER[[#This Row],[L_Bp]])&gt;=Tab_NewTRADER[[#This Row],[M]],"OK")</f>
        <v>OK</v>
      </c>
    </row>
    <row r="21" spans="1:78"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-10,693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2,600$</v>
      </c>
      <c r="G21" s="225" t="str">
        <f ca="1">IFERROR(TRUNC(_xlfn.XLOOKUP(Tab_NewTRADER[[#This Row],[ClickTick]],TabCalc[Ticker],ListLastSalep),2)&amp;"x"&amp;_xlfn.XLOOKUP(Tab_NewTRADER[[#This Row],[ClickTick]],TabCalc[Ticker],ListLastSalen)&amp;"=   "&amp;TEXT(-_xlfn.XLOOKUP(Tab_NewTRADER[[#This Row],[ClickTick]],TabCalc[Ticker],ListReverseB),"#,#0")&amp;"$","")</f>
        <v>16.12x3200=   -2,624$</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 = 6,098</v>
      </c>
      <c r="I21" s="226" t="str">
        <f ca="1">IFERROR(TRUNC(TabCalc[[#This Row],[L_S1p]],2)&amp;"x"&amp;TabCalc[[#This Row],[L_S1n]]&amp;"=   "&amp;TEXT(TabCalc[[#This Row],[ReverseB1]],"#,#0"),"")</f>
        <v>15.8x2500=   1,250</v>
      </c>
      <c r="J21" s="295">
        <f ca="1">_xlfn.XLOOKUP(Tab_NewTRADER[[#This Row],[ClickTick]],TabCalc[Ticker],ListGravity)</f>
        <v>1.1058555555555554</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3.4286087467618696E-4</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-4.6134663341645787E-2</v>
      </c>
      <c r="S21" s="683">
        <f ca="1">_xlfn.XLOOKUP(Tab_NewTRADER[[#This Row],[ClickTick]],TabCalc[Ticker],TabCalc[Rev(MinStock)])*(1-Commission)</f>
        <v>-10665.198199999977</v>
      </c>
      <c r="T21" s="782">
        <f ca="1">_xlfn.XLOOKUP(Tab_NewTRADER[[#This Row],[ClickTick]],TabCalc[Ticker],TabCalc[Agiotage])</f>
        <v>3.4286087467618696E-4</v>
      </c>
      <c r="U21" s="747"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-225/-225=&gt;-0.3% / -0.3%</v>
      </c>
      <c r="V21" s="739" t="str">
        <f ca="1">_xlfn.XLOOKUP(Tab_NewTRADER[[#This Row],[ClickTick]],[1]!RTData[Ticker_Symbol],[1]!RTData[Currency])</f>
        <v>EUR</v>
      </c>
      <c r="W21" s="749">
        <f ca="1">_xlfn.XLOOKUP(Tab_NewTRADER[[#This Row],[ClickTick]],TabCalc[Ticker],TabCalc[M])</f>
        <v>15.3</v>
      </c>
      <c r="X21" s="1315"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-2.6079999999999996E-3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^1,157K / 230 K$</v>
      </c>
      <c r="AF21" s="1161"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1" s="1530" t="str">
        <f ca="1">TEXT(MIN(Tab_NewTRADER[[#This Row],[L_Bn]],Tab_NewTRADER[[#This Row],[N]]),"#,#0")&amp;" x "&amp;TEXT(Tab_NewTRADER[[#This Row],[L_Bp]],"#,#0.#0")</f>
        <v>14,450 x -16.04</v>
      </c>
      <c r="AH21" s="1530" t="str" cm="1">
        <f t="array" aca="1" ref="AH21" ca="1">_xlfn.IFS(Tab_NewTRADER[[#This Row],[M_State]]=Sale_Back,Tab_NewTRADER[[#This Row],[Sale_Back_$]], TRUE,"M = "&amp;Tab_NewTRADER[[#This Row],[M]])</f>
        <v>M = 15.3</v>
      </c>
      <c r="AI21" s="1433" cm="1">
        <f t="array" aca="1" ref="AI21" ca="1">IF(Tab_NewTRADER[[#This Row],[M_State]]=MUp,_xlfn.IFS(Tab_NewTRADER[[#This Row],[M_State]]=MUp,MIN(Tab_NewTRADER[[#This Row],[N]],Tab_NewTRADER[[#This Row],[L_Bn]])*(Tab_NewTRADER[[#This Row],[M]]-Tab_NewTRADER[[#This Row],[L_Sp]])*Tab_NewTRADER[[#This Row],[Scale]]*ComFactor, TRUE,0),0)</f>
        <v>0</v>
      </c>
      <c r="AJ21" s="1433" cm="1">
        <f t="array" aca="1" ref="AJ21" ca="1">_xlfn.IFS(Tab_NewTRADER[[#This Row],[M_State]]=MUp,                 MIN(Tab_NewTRADER[[#This Row],[L_Sn]],Tab_NewTRADER[[#This Row],[N]])*(Tab_NewTRADER[[#This Row],[M]]-Tab_NewTRADER[[#This Row],[A]])*Tab_NewTRADER[[#This Row],[Scale]]*ComFactor, TRUE,0)</f>
        <v>0</v>
      </c>
      <c r="AK21" s="1433" cm="1">
        <f t="array" aca="1" ref="AK21" ca="1">_xlfn.IFS(Tab_NewTRADER[[#This Row],[M_State]]=MUp,                  Tab_NewTRADER[[#This Row],[N]]*(Tab_NewTRADER[[#This Row],[M]]-Tab_NewTRADER[[#This Row],[A]])*Tab_NewTRADER[[#This Row],[Scale]]*ComFactor, TRUE,0)</f>
        <v>0</v>
      </c>
      <c r="AL21" s="1435" t="str">
        <f ca="1">TEXT(Tab_NewTRADER[[#This Row],[L_Sn]],"#,#0")&amp;" x "&amp;TEXT(Tab_NewTRADER[[#This Row],[L_Sp]],"#,#0.#0")</f>
        <v>3,200 x 16.12</v>
      </c>
      <c r="AM21" s="1465" t="str" cm="1">
        <f t="array" aca="1" ref="AM21" ca="1">_xlfn.IFS(Tab_NewTRADER[[#This Row],[M_State]]=RePurchaseGain,TEXT(-Tab_NewTRADER[[#This Row],[Buy_Back]],"#,#0")&amp;"       / "&amp;TEXT(Tab_NewTRADER[[#This Row],[Rev_Buy]],"#,#00.0)%"),TRUE,"M = "&amp;Tab_NewTRADER[[#This Row],[M]])</f>
        <v>M = 15.3</v>
      </c>
      <c r="AN21" s="1435" t="str" cm="1">
        <f t="array" aca="1" ref="AN21" ca="1">_xlfn.IFS(Tab_NewTRADER[[#This Row],[M_State]]=MDown,TEXT(Tab_NewTRADER[[#This Row],[L_Sn]]*(Tab_NewTRADER[[#This Row],[M]]-Tab_NewTRADER[[#This Row],[L_Sp]])*ComFactor,"#,#0")&amp;"       / "&amp;TEXT((TabTRADER[[#This Row],[M]]-TabTRADER[[#This Row],[L_Sp]])/TabTRADER[[#This Row],[M]],"#,#00.0)%"),TRUE,0)</f>
        <v>-2,617       / -05.4)%</v>
      </c>
      <c r="AO21" s="1486" t="str" cm="1">
        <f t="array" aca="1" ref="AO21" ca="1">_xlfn.IFS(Tab_NewTRADER[[#This Row],[M_State]]=MDown,TEXT(Tab_NewTRADER[[#This Row],[N]]*(Tab_NewTRADER[[#This Row],[M]]-Tab_NewTRADER[[#This Row],[A]])*Tab_NewTRADER[[#This Row],[Scale]]*ComFactor,"#,#0")&amp;"       / "&amp;TEXT((TabTRADER[[#This Row],[M]]-TabTRADER[[#This Row],[L_Bp]])/TabTRADER[[#This Row],[M]],"#,#00.0%"),TRUE,0)</f>
        <v>-10,380       / 204.8%</v>
      </c>
      <c r="AP21" s="1435" t="str" cm="1">
        <f t="array" aca="1" ref="AP21" ca="1">_xlfn.IFS(Tab_NewTRADER[[#This Row],[M_State]]=MDown,TEXT(Tab_NewTRADER[[#This Row],[N]]*Tab_NewTRADER[[#This Row],[M]],"#,#0")&amp;" @ "&amp;TEXT(Tab_NewTRADER[[#This Row],[A]],"#,#0.#0"),TRUE,"M = "&amp; Tab_NewTRADER[[#This Row],[M]])</f>
        <v>229,500 @ 15.99</v>
      </c>
      <c r="AQ21" s="1165">
        <f ca="1">Tab_NewTRADER[[#This Row],[N]]*(Tab_NewTRADER[[#This Row],[M]]-Tab_NewTRADER[[#This Row],[A]])*(1-Commission)*Tab_NewTRADER[[#This Row],[Scale]]</f>
        <v>-10379.941799999991</v>
      </c>
      <c r="AR21" s="1165">
        <f ca="1">Tab_NewTRADER[[#This Row],[M]]*Tab_NewTRADER[[#This Row],[N]]*(1-Commission)*Tab_NewTRADER[[#This Row],[Scale]]</f>
        <v>228903.3</v>
      </c>
      <c r="AS21" s="1174" cm="1">
        <f t="array" aca="1" ref="AS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4.3379309482424411E-2</v>
      </c>
      <c r="AT21" s="1174" cm="1">
        <f t="array" aca="1" ref="AT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4.5766013071895324E-2</v>
      </c>
      <c r="AU21" s="825" t="str" cm="1">
        <f t="array" aca="1" ref="AU21" ca="1">_xlfn.IFS(   Tab_NewTRADER[[#This Row],[M_State]]=SellMorePercentGain,                     MIN(Tab_NewTRADER[[#This Row],[L_Sn]],Tab_NewTRADER[[#This Row],[N]])*(Tab_NewTRADER[[#This Row],[M]]-Tab_NewTRADER[[#This Row],[L_Sp]])*(1-Commission)*Tab_NewTRADER[[#This Row],[Scale]],                    TRUE,"")</f>
        <v/>
      </c>
      <c r="AV21" s="1180">
        <f ca="1">_xlfn.XLOOKUP(Tab_NewTRADER[[#This Row],[ClickTick]],TabCalc[Ticker],TabCalc[Ann%RevLB])</f>
        <v>-1.1863199144994632</v>
      </c>
      <c r="AW21" s="1266">
        <f ca="1">_xlfn.XLOOKUP(Tab_NewTRADER[[#This Row],[ClickTick]],TabCalc[Ticker],TabCalc[Up20])</f>
        <v>0</v>
      </c>
      <c r="AX21" s="1175" cm="1">
        <f t="array" aca="1" ref="AX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4.8366013071895322E-2</v>
      </c>
      <c r="AY21" s="825" cm="1">
        <f t="array" aca="1" ref="AY21" ca="1">_xlfn.IFS(         Tab_NewTRADER[[#This Row],[M_State]]=MDown,Tab_NewTRADER[[#This Row],[L_Bn]]*Tab_NewTRADER[[#This Row],[M]]*(-(Tab_NewTRADER[[#This Row],[L_Bp]]+Tab_NewTRADER[[#This Row],[M]])/Tab_NewTRADER[[#This Row],[M]])*(1-Commission)*Tab_NewTRADER[[#This Row],[Scale]],                               TRUE,"")</f>
        <v>10665.198199999977</v>
      </c>
      <c r="AZ21" s="1174" cm="1">
        <f t="array" aca="1" ref="AZ21" ca="1">_xlfn.IFS(   Tab_NewTRADER[[#This Row],[M_State]]=MUp,Tab_NewTRADER[[#This Row],[TakeGain_A]]-Commission,        Tab_NewTRADER[[#This Row],[M_State]]=MDown,(Tab_NewTRADER[[#This Row],[A]]-Tab_NewTRADER[[#This Row],[M]])/Tab_NewTRADER[[#This Row],[M]]-Commission,                              TRUE,"")</f>
        <v>4.2746405228758139E-2</v>
      </c>
      <c r="BA21" s="825" cm="1">
        <f t="array" aca="1" ref="BA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10379.941799999991</v>
      </c>
      <c r="BB21" s="760" t="str" cm="1">
        <f t="array" aca="1" ref="BB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21" s="736" cm="1">
        <f t="array" aca="1" ref="BC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-0.73</v>
      </c>
      <c r="BD21" s="765" cm="1">
        <f t="array" aca="1" ref="BD21" ca="1">_xlfn.IFS(Tab_NewTRADER[[#This Row],[M_State]]=Sale_Back,"",         Tab_NewTRADER[[#This Row],[M_State]]=MDown, (Tab_NewTRADER[[#This Row],[M]]-Tab_NewTRADER[[#This Row],[A]])/Tab_NewTRADER[[#This Row],[A]]*ComFactor,             TRUE, IFERROR((Tab_NewTRADER[[#This Row],[M]]-Tab_NewTRADER[[#This Row],[A]])/Tab_NewTRADER[[#This Row],[A]]*ComFactor,""))</f>
        <v>-4.3266523277770107E-2</v>
      </c>
      <c r="BE21" s="762" cm="1">
        <f t="array" aca="1" ref="BE21" ca="1">_xlfn.IFS(               Tab_NewTRADER[[#This Row],[M_State]]=NoStock,(Tab_NewTRADER[[#This Row],[L_Sp]]-Tab_NewTRADER[[#This Row],[M]])/Tab_NewTRADER[[#This Row],[M]]-Commission,             Tab_NewTRADER[[#This Row],[A]]&lt;&gt;0,(Tab_NewTRADER[[#This Row],[A]]-Tab_NewTRADER[[#This Row],[M]])/Tab_NewTRADER[[#This Row],[M]]-Commission)</f>
        <v>4.2746405228758139E-2</v>
      </c>
      <c r="BF21" s="324">
        <f ca="1">_xlfn.XLOOKUP(Tab_NewTRADER[[#This Row],[ClickTick]],TabCalc[Ticker],TabCalc[L_Sn])</f>
        <v>3200</v>
      </c>
      <c r="BG21" s="728">
        <f ca="1">_xlfn.XLOOKUP(Tab_NewTRADER[[#This Row],[ClickTick]],TabCalc[Ticker],TabCalc[L_Sp])</f>
        <v>16.12</v>
      </c>
      <c r="BH21" s="764">
        <f ca="1">-IFERROR((Tab_NewTRADER[[#This Row],[M]]-Tab_NewTRADER[[#This Row],[L_Sp]])/Tab_NewTRADER[[#This Row],[L_Sp]],0)</f>
        <v>5.0868486352357335E-2</v>
      </c>
      <c r="BI21" s="729">
        <f ca="1">MIN(Tab_NewTRADER[[#This Row],[L_Sn]],Tab_NewTRADER[[#This Row],[N]])*(Tab_NewTRADER[[#This Row],[M]]-Tab_NewTRADER[[#This Row],[L_Sp]])*(1-Commission)*Tab_NewTRADER[[#This Row],[Scale]]</f>
        <v>-2617.1776000000009</v>
      </c>
      <c r="BJ21" s="692">
        <f ca="1">Tab_NewTRADER[[#This Row],[L_Sn]]*(Tab_NewTRADER[[#This Row],[Agiotage]]-Tab_NewTRADER[[#This Row],[M]])/(Tab_NewTRADER[[#This Row],[L_Bn]]*Tab_NewTRADER[[#This Row],[M]])</f>
        <v>-0.22144832460456856</v>
      </c>
      <c r="BK21" s="635">
        <f ca="1">IFERROR((Tab_NewTRADER[[#This Row],[M]]-Tab_NewTRADER[[#This Row],[A]])/Tab_NewTRADER[[#This Row],[A]],0)</f>
        <v>-4.3379309482424411E-2</v>
      </c>
      <c r="BL21" s="638" t="str">
        <f ca="1">TEXT(_xlfn.XLOOKUP(Tab_NewTRADER[[#This Row],[ClickTick]],TabCalc[Ticker],TabCalc[NAfter]),"#,#0")&amp;" : "&amp;TEXT(_xlfn.XLOOKUP(Tab_NewTRADER[[#This Row],[ClickTick]],TabCalc[Ticker],TabCalc[NAfter])*(Tab_NewTRADER[[#This Row],[M]]-Tab_NewTRADER[[#This Row],[A]])*(1-Commission)*Tab_NewTRADER[[#This Row],[Scale]],"#,#0$")</f>
        <v>15,000 : -10,380$</v>
      </c>
      <c r="BM21" s="684">
        <f ca="1">_xlfn.XLOOKUP(Tab_NewTRADER[[#This Row],[ClickTick]],TabCalc[[#This Row],[Ticker]],TabCalc[[#This Row],[GL]])*(1-Commission)</f>
        <v>1154310.3916025397</v>
      </c>
      <c r="BN21" s="684"/>
      <c r="BO21" s="669" t="str">
        <f ca="1">Tab_NewTRADER[[#This Row],[ClickTick]]&amp;": "&amp;_xlfn.XLOOKUP(Tab_NewTRADER[[#This Row],[ClickTick]],TabCalc[Ticker],TabCalc[Pile?])</f>
        <v>EOAN: Pile</v>
      </c>
      <c r="BP21" s="351" t="s">
        <v>1999</v>
      </c>
      <c r="BQ21" s="755" t="str" cm="1">
        <f t="array" aca="1" ref="BQ21" ca="1">_xlfn.TEXTJOIN("",,INDEX({"M","A","Y"}, _xlfn.SORTBY({1,2,3}, -CHOOSE({1,2,3}, Tab_NewTRADER[[#This Row],[M]], Tab_NewTRADER[[#This Row],[A]], Tab_NewTRADER[[#This Row],[Agiotage]]))))</f>
        <v>AMY</v>
      </c>
      <c r="BR21" s="902" cm="1">
        <f t="array" aca="1" ref="BR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4.8366013071895322E-2</v>
      </c>
      <c r="BS21" s="679" t="e">
        <f ca="1">Tab_NewTRADER[[#This Row],[L_Sn]]*Tab_NewTRADER[[#This Row],[L_Sp]]+Tab_NewTRADER[[#This Row],[SellMore]]*Tab_NewTRADER[[#This Row],[M]]</f>
        <v>#N/A</v>
      </c>
      <c r="BT21" s="679" t="e">
        <f ca="1">INDEX(
  INDEX(TabConsolid[], , _xlfn.XMATCH(Tab_NewTRADER[[#This Row],[ClickTick]]&amp;1, TabConsolid[#Headers])),
  MATCH(
    -Tab_NewTRADER[[#This Row],[M]],
    INDEX(TabConsolid[], , _xlfn.XMATCH(Tab_NewTRADER[[#This Row],[ClickTick]]&amp;2, TabConsolid[#Headers])),
    -1
  )
)</f>
        <v>#N/A</v>
      </c>
      <c r="BU21" s="679" cm="1">
        <f t="array" aca="1" ref="BU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V21" s="1144" t="e">
        <f ca="1">Tab_NewTRADER[[#This Row],[ReBuy]]/(Tab_NewTRADER[[#This Row],[L_Sn]]+Tab_NewTRADER[[#This Row],[SellMore]])</f>
        <v>#N/A</v>
      </c>
      <c r="BW21" s="687">
        <f ca="1">((_xlfn.XLOOKUP(Tab_NewTRADER[[#This Row],[ClickTick]],TabCalc[Ticker],TabCalc[NAfter])+Tab_NewTRADER[[#This Row],[L_Sn]])*(Tab_NewTRADER[[#This Row],[Agiotage]]-Tab_NewTRADER[[#This Row],[M]]))/(Tab_NewTRADER[[#This Row],[L_Sn]]*_xlfn.XLOOKUP(Tab_NewTRADER[[#This Row],[ClickTick]],TabCalc[Ticker],TabCalc[NAfter]))</f>
        <v>-5.8011199985850189E-3</v>
      </c>
      <c r="BX21" s="687">
        <f ca="1">(Tab_NewTRADER[[#This Row],[M]]-Tab_NewTRADER[[#This Row],[Agiotage]])/(Tab_NewTRADER[[#This Row],[M]]-Tab_NewTRADER[[#This Row],[A]])-1</f>
        <v>-23.051970508972808</v>
      </c>
      <c r="BY21" s="1262">
        <f ca="1">_xlfn.XMATCH(Tab_NewTRADER[[#This Row],[ClickTick]]&amp;1, TabConsolid[#Headers])</f>
        <v>56</v>
      </c>
      <c r="BZ21" t="str">
        <f ca="1">IF(ABS(Tab_NewTRADER[[#This Row],[L_Bp]])&gt;=Tab_NewTRADER[[#This Row],[M]],"OK")</f>
        <v>OK</v>
      </c>
    </row>
    <row r="22" spans="1:78"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71</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15"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F22" s="1182"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2" s="1530" t="str">
        <f ca="1">TEXT(MIN(Tab_NewTRADER[[#This Row],[L_Bn]],Tab_NewTRADER[[#This Row],[N]]),"#,#0")&amp;" x "&amp;TEXT(Tab_NewTRADER[[#This Row],[L_Bp]],"#,#0.#0")</f>
        <v>12,000 x -1.72</v>
      </c>
      <c r="AH22" s="1530" t="str" cm="1">
        <f t="array" aca="1" ref="AH22" ca="1">_xlfn.IFS(Tab_NewTRADER[[#This Row],[M_State]]=Sale_Back,Tab_NewTRADER[[#This Row],[Sale_Back_$]], TRUE,"M = "&amp;Tab_NewTRADER[[#This Row],[M]])</f>
        <v>M = 0.2012</v>
      </c>
      <c r="AI22" s="1433" cm="1">
        <f t="array" aca="1" ref="AI22" ca="1">IF(Tab_NewTRADER[[#This Row],[M_State]]=MUp,_xlfn.IFS(Tab_NewTRADER[[#This Row],[M_State]]=MUp,MIN(Tab_NewTRADER[[#This Row],[N]],Tab_NewTRADER[[#This Row],[L_Bn]])*(Tab_NewTRADER[[#This Row],[M]]-Tab_NewTRADER[[#This Row],[L_Sp]])*Tab_NewTRADER[[#This Row],[Scale]]*ComFactor, TRUE,0),0)</f>
        <v>0</v>
      </c>
      <c r="AJ22" s="1433" cm="1">
        <f t="array" aca="1" ref="AJ22" ca="1">_xlfn.IFS(Tab_NewTRADER[[#This Row],[M_State]]=MUp,                 MIN(Tab_NewTRADER[[#This Row],[L_Sn]],Tab_NewTRADER[[#This Row],[N]])*(Tab_NewTRADER[[#This Row],[M]]-Tab_NewTRADER[[#This Row],[A]])*Tab_NewTRADER[[#This Row],[Scale]]*ComFactor, TRUE,0)</f>
        <v>0</v>
      </c>
      <c r="AK22" s="1433" cm="1">
        <f t="array" aca="1" ref="AK22" ca="1">_xlfn.IFS(Tab_NewTRADER[[#This Row],[M_State]]=MUp,                  Tab_NewTRADER[[#This Row],[N]]*(Tab_NewTRADER[[#This Row],[M]]-Tab_NewTRADER[[#This Row],[A]])*Tab_NewTRADER[[#This Row],[Scale]]*ComFactor, TRUE,0)</f>
        <v>0</v>
      </c>
      <c r="AL22" s="1435" t="str">
        <f ca="1">TEXT(Tab_NewTRADER[[#This Row],[L_Sn]],"#,#0")&amp;" x "&amp;TEXT(Tab_NewTRADER[[#This Row],[L_Sp]],"#,#0.#0")</f>
        <v>10,000 x 5.77</v>
      </c>
      <c r="AM22" s="1465" t="str" cm="1">
        <f t="array" aca="1" ref="AM22" ca="1">_xlfn.IFS(Tab_NewTRADER[[#This Row],[M_State]]=RePurchaseGain,TEXT(-Tab_NewTRADER[[#This Row],[Buy_Back]],"#,#0")&amp;"       / "&amp;TEXT(Tab_NewTRADER[[#This Row],[Rev_Buy]],"#,#00.0)%"),TRUE,"M = "&amp;Tab_NewTRADER[[#This Row],[M]])</f>
        <v>M = 0.2012</v>
      </c>
      <c r="AN22" s="1435" t="str" cm="1">
        <f t="array" aca="1" ref="AN22" ca="1">_xlfn.IFS(Tab_NewTRADER[[#This Row],[M_State]]=MDown,TEXT(Tab_NewTRADER[[#This Row],[L_Sn]]*(Tab_NewTRADER[[#This Row],[M]]-Tab_NewTRADER[[#This Row],[L_Sp]])*ComFactor,"#,#0")&amp;"       / "&amp;TEXT((TabTRADER[[#This Row],[M]]-TabTRADER[[#This Row],[L_Sp]])/TabTRADER[[#This Row],[M]],"#,#00.0)%"),TRUE,0)</f>
        <v>-55,543       / -2,767.8)%</v>
      </c>
      <c r="AO22" s="1486" t="str" cm="1">
        <f t="array" aca="1" ref="AO22" ca="1">_xlfn.IFS(Tab_NewTRADER[[#This Row],[M_State]]=MDown,TEXT(Tab_NewTRADER[[#This Row],[N]]*(Tab_NewTRADER[[#This Row],[M]]-Tab_NewTRADER[[#This Row],[A]])*Tab_NewTRADER[[#This Row],[Scale]]*ComFactor,"#,#0")&amp;"       / "&amp;TEXT((TabTRADER[[#This Row],[M]]-TabTRADER[[#This Row],[L_Bp]])/TabTRADER[[#This Row],[M]],"#,#00.0%"),TRUE,0)</f>
        <v>-57,620       / 954.9%</v>
      </c>
      <c r="AP22" s="1435" t="str" cm="1">
        <f t="array" aca="1" ref="AP22" ca="1">_xlfn.IFS(Tab_NewTRADER[[#This Row],[M_State]]=MDown,TEXT(Tab_NewTRADER[[#This Row],[N]]*Tab_NewTRADER[[#This Row],[M]],"#,#0")&amp;" @ "&amp;TEXT(Tab_NewTRADER[[#This Row],[A]],"#,#0.#0"),TRUE,"M = "&amp; Tab_NewTRADER[[#This Row],[M]])</f>
        <v>6,036 @ 2.13</v>
      </c>
      <c r="AQ22" s="1165">
        <f ca="1">Tab_NewTRADER[[#This Row],[N]]*(Tab_NewTRADER[[#This Row],[M]]-Tab_NewTRADER[[#This Row],[A]])*(1-Commission)*Tab_NewTRADER[[#This Row],[Scale]]</f>
        <v>-57620.196959999994</v>
      </c>
      <c r="AR22" s="1165">
        <f ca="1">Tab_NewTRADER[[#This Row],[M]]*Tab_NewTRADER[[#This Row],[N]]*(1-Commission)*Tab_NewTRADER[[#This Row],[Scale]]</f>
        <v>6020.3063999999995</v>
      </c>
      <c r="AS22" s="1174" cm="1">
        <f t="array" aca="1" ref="AS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0.90540133905062814</v>
      </c>
      <c r="AT22" s="1174" cm="1">
        <f t="array" aca="1" ref="AT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7.5461077534791254</v>
      </c>
      <c r="AU22" s="825" t="str" cm="1">
        <f t="array" aca="1" ref="AU22" ca="1">_xlfn.IFS(   Tab_NewTRADER[[#This Row],[M_State]]=SellMorePercentGain,                     MIN(Tab_NewTRADER[[#This Row],[L_Sn]],Tab_NewTRADER[[#This Row],[N]])*(Tab_NewTRADER[[#This Row],[M]]-Tab_NewTRADER[[#This Row],[L_Sp]])*(1-Commission)*Tab_NewTRADER[[#This Row],[Scale]],                    TRUE,"")</f>
        <v/>
      </c>
      <c r="AV22" s="1180">
        <f ca="1">_xlfn.XLOOKUP(Tab_NewTRADER[[#This Row],[ClickTick]],TabCalc[Ticker],TabCalc[Ann%RevLB])</f>
        <v>-1.0812529663028001</v>
      </c>
      <c r="AW22" s="1163">
        <f ca="1">_xlfn.XLOOKUP(Tab_NewTRADER[[#This Row],[ClickTick]],TabCalc[Ticker],TabCalc[Up20])</f>
        <v>0</v>
      </c>
      <c r="AX22" s="1175" cm="1">
        <f t="array" aca="1" ref="AX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7.5487077534791256</v>
      </c>
      <c r="AY22" s="825" cm="1">
        <f t="array" aca="1" ref="AY22" ca="1">_xlfn.IFS(         Tab_NewTRADER[[#This Row],[M_State]]=MDown,Tab_NewTRADER[[#This Row],[L_Bn]]*Tab_NewTRADER[[#This Row],[M]]*(-(Tab_NewTRADER[[#This Row],[L_Bp]]+Tab_NewTRADER[[#This Row],[M]])/Tab_NewTRADER[[#This Row],[M]])*(1-Commission)*Tab_NewTRADER[[#This Row],[Scale]],                               TRUE,"")</f>
        <v>18178.21344</v>
      </c>
      <c r="AZ22" s="1174" cm="1">
        <f t="array" aca="1" ref="AZ22" ca="1">_xlfn.IFS(   Tab_NewTRADER[[#This Row],[M_State]]=MUp,Tab_NewTRADER[[#This Row],[TakeGain_A]]-Commission,        Tab_NewTRADER[[#This Row],[M_State]]=MDown,(Tab_NewTRADER[[#This Row],[A]]-Tab_NewTRADER[[#This Row],[M]])/Tab_NewTRADER[[#This Row],[M]]-Commission,                              TRUE,"")</f>
        <v>9.5683741550695824</v>
      </c>
      <c r="BA22" s="825" cm="1">
        <f t="array" aca="1" ref="BA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57620.196959999994</v>
      </c>
      <c r="BB22" s="760" t="str" cm="1">
        <f t="array" aca="1" ref="BB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C22" s="736" cm="1">
        <f t="array" aca="1" ref="BC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D22" s="765" cm="1">
        <f t="array" aca="1" ref="BD22" ca="1">_xlfn.IFS(Tab_NewTRADER[[#This Row],[M_State]]=Sale_Back,"",         Tab_NewTRADER[[#This Row],[M_State]]=MDown, (Tab_NewTRADER[[#This Row],[M]]-Tab_NewTRADER[[#This Row],[A]])/Tab_NewTRADER[[#This Row],[A]]*ComFactor,             TRUE, IFERROR((Tab_NewTRADER[[#This Row],[M]]-Tab_NewTRADER[[#This Row],[A]])/Tab_NewTRADER[[#This Row],[A]]*ComFactor,""))</f>
        <v>-0.90304729556909646</v>
      </c>
      <c r="BE22" s="762" cm="1">
        <f t="array" aca="1" ref="BE22" ca="1">_xlfn.IFS(               Tab_NewTRADER[[#This Row],[M_State]]=NoStock,(Tab_NewTRADER[[#This Row],[L_Sp]]-Tab_NewTRADER[[#This Row],[M]])/Tab_NewTRADER[[#This Row],[M]]-Commission,             Tab_NewTRADER[[#This Row],[A]]&lt;&gt;0,(Tab_NewTRADER[[#This Row],[A]]-Tab_NewTRADER[[#This Row],[M]])/Tab_NewTRADER[[#This Row],[M]]-Commission)</f>
        <v>9.5683741550695824</v>
      </c>
      <c r="BF22" s="324">
        <f ca="1">_xlfn.XLOOKUP(Tab_NewTRADER[[#This Row],[ClickTick]],TabCalc[Ticker],TabCalc[L_Sn])</f>
        <v>10000</v>
      </c>
      <c r="BG22" s="728">
        <f ca="1">_xlfn.XLOOKUP(Tab_NewTRADER[[#This Row],[ClickTick]],TabCalc[Ticker],TabCalc[L_Sp])</f>
        <v>5.77</v>
      </c>
      <c r="BH22" s="764">
        <f ca="1">-IFERROR((Tab_NewTRADER[[#This Row],[M]]-Tab_NewTRADER[[#This Row],[L_Sp]])/Tab_NewTRADER[[#This Row],[L_Sp]],0)</f>
        <v>0.96512998266897743</v>
      </c>
      <c r="BI22" s="729">
        <f ca="1">MIN(Tab_NewTRADER[[#This Row],[L_Sn]],Tab_NewTRADER[[#This Row],[N]])*(Tab_NewTRADER[[#This Row],[M]]-Tab_NewTRADER[[#This Row],[L_Sp]])*(1-Commission)*Tab_NewTRADER[[#This Row],[Scale]]</f>
        <v>-55543.211199999991</v>
      </c>
      <c r="BJ22" s="692">
        <f ca="1">Tab_NewTRADER[[#This Row],[L_Sn]]*(Tab_NewTRADER[[#This Row],[Agiotage]]-Tab_NewTRADER[[#This Row],[M]])/(Tab_NewTRADER[[#This Row],[L_Bn]]*Tab_NewTRADER[[#This Row],[M]])</f>
        <v>6.8384526267689694</v>
      </c>
      <c r="BK22" s="635">
        <f ca="1">IFERROR((Tab_NewTRADER[[#This Row],[M]]-Tab_NewTRADER[[#This Row],[A]])/Tab_NewTRADER[[#This Row],[A]],0)</f>
        <v>-0.90540133905062814</v>
      </c>
      <c r="BL22" s="638" t="str">
        <f ca="1">TEXT(_xlfn.XLOOKUP(Tab_NewTRADER[[#This Row],[ClickTick]],TabCalc[Ticker],TabCalc[NAfter]),"#,#0")&amp;" : "&amp;TEXT(_xlfn.XLOOKUP(Tab_NewTRADER[[#This Row],[ClickTick]],TabCalc[Ticker],TabCalc[NAfter])*(Tab_NewTRADER[[#This Row],[M]]-Tab_NewTRADER[[#This Row],[A]])*(1-Commission)*Tab_NewTRADER[[#This Row],[Scale]],"#,#0$")</f>
        <v>30,000 : -57,620$</v>
      </c>
      <c r="BM22" s="684">
        <f ca="1">_xlfn.XLOOKUP(Tab_NewTRADER[[#This Row],[ClickTick]],TabCalc[[#This Row],[Ticker]],TabCalc[[#This Row],[GL]])*(1-Commission)</f>
        <v>-363.53894736733685</v>
      </c>
      <c r="BN22" s="684"/>
      <c r="BO22" s="669" t="str">
        <f ca="1">Tab_NewTRADER[[#This Row],[ClickTick]]&amp;": "&amp;_xlfn.XLOOKUP(Tab_NewTRADER[[#This Row],[ClickTick]],TabCalc[Ticker],TabCalc[Pile?])</f>
        <v xml:space="preserve">EPIX: </v>
      </c>
      <c r="BP22" s="351" t="s">
        <v>2038</v>
      </c>
      <c r="BQ22" s="755" t="str" cm="1">
        <f t="array" aca="1" ref="BQ22" ca="1">_xlfn.TEXTJOIN("",,INDEX({"M","A","Y"}, _xlfn.SORTBY({1,2,3}, -CHOOSE({1,2,3}, Tab_NewTRADER[[#This Row],[M]], Tab_NewTRADER[[#This Row],[A]], Tab_NewTRADER[[#This Row],[Agiotage]]))))</f>
        <v>AYM</v>
      </c>
      <c r="BR22" s="902" cm="1">
        <f t="array" aca="1" ref="BR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7.5487077534791256</v>
      </c>
      <c r="BS22" s="679" t="e">
        <f ca="1">Tab_NewTRADER[[#This Row],[L_Sn]]*Tab_NewTRADER[[#This Row],[L_Sp]]+Tab_NewTRADER[[#This Row],[SellMore]]*Tab_NewTRADER[[#This Row],[M]]</f>
        <v>#N/A</v>
      </c>
      <c r="BT22" s="679" t="e">
        <f ca="1">INDEX(
  INDEX(TabConsolid[], , _xlfn.XMATCH(Tab_NewTRADER[[#This Row],[ClickTick]]&amp;1, TabConsolid[#Headers])),
  MATCH(
    -Tab_NewTRADER[[#This Row],[M]],
    INDEX(TabConsolid[], , _xlfn.XMATCH(Tab_NewTRADER[[#This Row],[ClickTick]]&amp;2, TabConsolid[#Headers])),
    -1
  )
)</f>
        <v>#N/A</v>
      </c>
      <c r="BU22" s="679" cm="1">
        <f t="array" aca="1" ref="BU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22" s="1144" t="e">
        <f ca="1">Tab_NewTRADER[[#This Row],[ReBuy]]/(Tab_NewTRADER[[#This Row],[L_Sn]]+Tab_NewTRADER[[#This Row],[SellMore]])</f>
        <v>#N/A</v>
      </c>
      <c r="BW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X22" s="687">
        <f ca="1">(Tab_NewTRADER[[#This Row],[M]]-Tab_NewTRADER[[#This Row],[Agiotage]])/(Tab_NewTRADER[[#This Row],[M]]-Tab_NewTRADER[[#This Row],[A]])-1</f>
        <v>-0.1426010540655247</v>
      </c>
      <c r="BY22" s="1262">
        <f ca="1">_xlfn.XMATCH(Tab_NewTRADER[[#This Row],[ClickTick]]&amp;1, TabConsolid[#Headers])</f>
        <v>59</v>
      </c>
      <c r="BZ22" t="str">
        <f ca="1">IF(ABS(Tab_NewTRADER[[#This Row],[L_Bp]])&gt;=Tab_NewTRADER[[#This Row],[M]],"OK")</f>
        <v>OK</v>
      </c>
    </row>
    <row r="23" spans="1:78" ht="22" hidden="1" customHeight="1"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+224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32.5%</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256$</v>
      </c>
      <c r="G23" s="225" t="str">
        <f ca="1">IFERROR(TRUNC(_xlfn.XLOOKUP(Tab_NewTRADER[[#This Row],[ClickTick]],TabCalc[Ticker],ListLastSalep),2)&amp;"x"&amp;_xlfn.XLOOKUP(Tab_NewTRADER[[#This Row],[ClickTick]],TabCalc[Ticker],ListLastSalen)&amp;"=   "&amp;TEXT(-_xlfn.XLOOKUP(Tab_NewTRADER[[#This Row],[ClickTick]],TabCalc[Ticker],ListReverseB),"#,#0")&amp;"$","")</f>
        <v>47.63x990=   21,267$</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-31.1% = 0</v>
      </c>
      <c r="I23" s="226" t="str">
        <f ca="1">IFERROR(TRUNC(TabCalc[[#This Row],[L_S1p]],2)&amp;"x"&amp;TabCalc[[#This Row],[L_S1n]]&amp;"=   "&amp;TEXT(TabCalc[[#This Row],[ReverseB1]],"#,#0"),"")</f>
        <v>46.95x990=   -21,943</v>
      </c>
      <c r="J23" s="295">
        <f ca="1">_xlfn.XLOOKUP(Tab_NewTRADER[[#This Row],[ClickTick]],TabCalc[Ticker],ListGravity)</f>
        <v>1.058436663531795</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0.29901271886794123</v>
      </c>
      <c r="N23" s="324" cm="1">
        <f t="array" aca="1" ref="N23" ca="1">_xlfn.XLOOKUP(Tab_NewTRADER[[#This Row],[ClickTick]],ListTickers,Tab2RSIConventional[RSIConv20])</f>
        <v>40</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0.48073956637243964</v>
      </c>
      <c r="S23" s="683">
        <f ca="1">_xlfn.XLOOKUP(Tab_NewTRADER[[#This Row],[ClickTick]],TabCalc[Ticker],TabCalc[Rev(MinStock)])*(1-Commission)</f>
        <v>223.80658599999992</v>
      </c>
      <c r="T23" s="1339">
        <f ca="1">_xlfn.XLOOKUP(Tab_NewTRADER[[#This Row],[ClickTick]],TabCalc[Ticker],TabCalc[Agiotage])</f>
        <v>0.29901271886794123</v>
      </c>
      <c r="U23" s="747"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11/11=&gt;1.7% / 1.7%</v>
      </c>
      <c r="V23" s="739" t="str">
        <f ca="1">_xlfn.XLOOKUP(Tab_NewTRADER[[#This Row],[ClickTick]],[1]!RTData[Ticker_Symbol],[1]!RTData[Currency])</f>
        <v>USD</v>
      </c>
      <c r="W23" s="749">
        <f ca="1">_xlfn.XLOOKUP(Tab_NewTRADER[[#This Row],[ClickTick]],TabCalc[Ticker],TabCalc[M])</f>
        <v>69.114999999999995</v>
      </c>
      <c r="X23" s="1315"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1.7444000000000001E-2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F23" s="1450"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3" s="1531" t="str">
        <f ca="1">TEXT(MIN(Tab_NewTRADER[[#This Row],[L_Bn]],Tab_NewTRADER[[#This Row],[N]]),"#,#0")&amp;" x "&amp;TEXT(Tab_NewTRADER[[#This Row],[L_Bp]],"#,#0.#0")</f>
        <v>10 x -46.68</v>
      </c>
      <c r="AH23" s="1532" t="str" cm="1">
        <f t="array" aca="1" ref="AH23" ca="1">_xlfn.IFS(Tab_NewTRADER[[#This Row],[M_State]]=Sale_Back,Tab_NewTRADER[[#This Row],[Sale_Back_$]], TRUE,"M = "&amp;Tab_NewTRADER[[#This Row],[M]])</f>
        <v>M = 69.115</v>
      </c>
      <c r="AI23" s="1455" cm="1">
        <f t="array" aca="1" ref="AI23" ca="1">IF(Tab_NewTRADER[[#This Row],[M_State]]=MUp,_xlfn.IFS(Tab_NewTRADER[[#This Row],[M_State]]=MUp,MIN(Tab_NewTRADER[[#This Row],[N]],Tab_NewTRADER[[#This Row],[L_Bn]])*(Tab_NewTRADER[[#This Row],[M]]-Tab_NewTRADER[[#This Row],[L_Sp]])*Tab_NewTRADER[[#This Row],[Scale]]*ComFactor, TRUE,0),0)</f>
        <v>214.26146799999992</v>
      </c>
      <c r="AJ23" s="1459" cm="1">
        <f t="array" aca="1" ref="AJ23" ca="1">_xlfn.IFS(Tab_NewTRADER[[#This Row],[M_State]]=MUp,                 MIN(Tab_NewTRADER[[#This Row],[L_Sn]],Tab_NewTRADER[[#This Row],[N]])*(Tab_NewTRADER[[#This Row],[M]]-Tab_NewTRADER[[#This Row],[A]])*Tab_NewTRADER[[#This Row],[Scale]]*ComFactor, TRUE,0)</f>
        <v>223.80658599999992</v>
      </c>
      <c r="AK23" s="1459" cm="1">
        <f t="array" aca="1" ref="AK23" ca="1">_xlfn.IFS(Tab_NewTRADER[[#This Row],[M_State]]=MUp,                  Tab_NewTRADER[[#This Row],[N]]*(Tab_NewTRADER[[#This Row],[M]]-Tab_NewTRADER[[#This Row],[A]])*Tab_NewTRADER[[#This Row],[Scale]]*ComFactor, TRUE,0)</f>
        <v>223.80658599999992</v>
      </c>
      <c r="AL23" s="1452" t="str">
        <f ca="1">TEXT(Tab_NewTRADER[[#This Row],[L_Sn]],"#,#0")&amp;" x "&amp;TEXT(Tab_NewTRADER[[#This Row],[L_Sp]],"#,#0.#0")</f>
        <v>990 x 47.63</v>
      </c>
      <c r="AM23" s="1465" t="str" cm="1">
        <f t="array" aca="1" ref="AM23" ca="1">_xlfn.IFS(Tab_NewTRADER[[#This Row],[M_State]]=RePurchaseGain,TEXT(-Tab_NewTRADER[[#This Row],[Buy_Back]],"#,#0")&amp;"       / "&amp;TEXT(Tab_NewTRADER[[#This Row],[Rev_Buy]],"#,#00.0)%"),TRUE,"M = "&amp;Tab_NewTRADER[[#This Row],[M]])</f>
        <v>M = 69.115</v>
      </c>
      <c r="AN23" s="1435" cm="1">
        <f t="array" aca="1" ref="AN23" ca="1">_xlfn.IFS(Tab_NewTRADER[[#This Row],[M_State]]=MDown,TEXT(Tab_NewTRADER[[#This Row],[L_Sn]]*(Tab_NewTRADER[[#This Row],[M]]-Tab_NewTRADER[[#This Row],[L_Sp]])*ComFactor,"#,#0")&amp;"       / "&amp;TEXT((TabTRADER[[#This Row],[M]]-TabTRADER[[#This Row],[L_Sp]])/TabTRADER[[#This Row],[M]],"#,#00.0)%"),TRUE,0)</f>
        <v>0</v>
      </c>
      <c r="AO23" s="1486" cm="1">
        <f t="array" aca="1" ref="AO23" ca="1">_xlfn.IFS(Tab_NewTRADER[[#This Row],[M_State]]=MDown,TEXT(Tab_NewTRADER[[#This Row],[N]]*(Tab_NewTRADER[[#This Row],[M]]-Tab_NewTRADER[[#This Row],[A]])*Tab_NewTRADER[[#This Row],[Scale]]*ComFactor,"#,#0")&amp;"       / "&amp;TEXT((TabTRADER[[#This Row],[M]]-TabTRADER[[#This Row],[L_Bp]])/TabTRADER[[#This Row],[M]],"#,#00.0%"),TRUE,0)</f>
        <v>0</v>
      </c>
      <c r="AP23" s="1435" t="str" cm="1">
        <f t="array" aca="1" ref="AP23" ca="1">_xlfn.IFS(Tab_NewTRADER[[#This Row],[M_State]]=MDown,TEXT(Tab_NewTRADER[[#This Row],[N]]*Tab_NewTRADER[[#This Row],[M]],"#,#0")&amp;" @ "&amp;TEXT(Tab_NewTRADER[[#This Row],[A]],"#,#0.#0"),TRUE,"M = "&amp; Tab_NewTRADER[[#This Row],[M]])</f>
        <v>M = 69.115</v>
      </c>
      <c r="AQ23" s="760">
        <f ca="1">Tab_NewTRADER[[#This Row],[N]]*(Tab_NewTRADER[[#This Row],[M]]-Tab_NewTRADER[[#This Row],[A]])*(1-Commission)*Tab_NewTRADER[[#This Row],[Scale]]</f>
        <v>223.80658599999992</v>
      </c>
      <c r="AR23" s="760">
        <f ca="1">Tab_NewTRADER[[#This Row],[M]]*Tab_NewTRADER[[#This Row],[N]]*(1-Commission)*Tab_NewTRADER[[#This Row],[Scale]]</f>
        <v>689.35300999999993</v>
      </c>
      <c r="AS23" s="1174" cm="1">
        <f t="array" aca="1" ref="AS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0.48073956637243964</v>
      </c>
      <c r="AT23" s="1174" cm="1">
        <f t="array" aca="1" ref="AT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0.30821530782029943</v>
      </c>
      <c r="AU23" s="825" cm="1">
        <f t="array" aca="1" ref="AU23" ca="1">_xlfn.IFS(   Tab_NewTRADER[[#This Row],[M_State]]=SellMorePercentGain,                     MIN(Tab_NewTRADER[[#This Row],[L_Sn]],Tab_NewTRADER[[#This Row],[N]])*(Tab_NewTRADER[[#This Row],[M]]-Tab_NewTRADER[[#This Row],[L_Sp]])*(1-Commission)*Tab_NewTRADER[[#This Row],[Scale]],                    TRUE,"")</f>
        <v>214.26146799999992</v>
      </c>
      <c r="AV23" s="1313">
        <f ca="1">_xlfn.XLOOKUP(Tab_NewTRADER[[#This Row],[ClickTick]],TabCalc[Ticker],TabCalc[Ann%RevLB])</f>
        <v>0.36901118101082786</v>
      </c>
      <c r="AW23" s="1267">
        <f ca="1">_xlfn.XLOOKUP(Tab_NewTRADER[[#This Row],[ClickTick]],TabCalc[Ticker],TabCalc[Up20])</f>
        <v>0</v>
      </c>
      <c r="AX23" s="1340" t="str" cm="1">
        <f t="array" aca="1" ref="AX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3" s="825" t="str" cm="1">
        <f t="array" aca="1" ref="AY23" ca="1">_xlfn.IFS(         Tab_NewTRADER[[#This Row],[M_State]]=MDown,Tab_NewTRADER[[#This Row],[L_Bn]]*Tab_NewTRADER[[#This Row],[M]]*(-(Tab_NewTRADER[[#This Row],[L_Bp]]+Tab_NewTRADER[[#This Row],[M]])/Tab_NewTRADER[[#This Row],[M]])*(1-Commission)*Tab_NewTRADER[[#This Row],[Scale]],                               TRUE,"")</f>
        <v/>
      </c>
      <c r="AZ23" s="1174" cm="1">
        <f t="array" aca="1" ref="AZ23" ca="1">_xlfn.IFS(   Tab_NewTRADER[[#This Row],[M_State]]=MUp,Tab_NewTRADER[[#This Row],[TakeGain_A]]-Commission,        Tab_NewTRADER[[#This Row],[M_State]]=MDown,(Tab_NewTRADER[[#This Row],[A]]-Tab_NewTRADER[[#This Row],[M]])/Tab_NewTRADER[[#This Row],[M]]-Commission,                              TRUE,"")</f>
        <v>0.47813956637243965</v>
      </c>
      <c r="BA23" s="760" cm="1">
        <f t="array" aca="1" ref="BA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331.39926710493603</v>
      </c>
      <c r="BB23" s="760" t="str" cm="1">
        <f t="array" aca="1" ref="BB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-0.6%</v>
      </c>
      <c r="BC23" s="736" t="str" cm="1">
        <f t="array" aca="1" ref="BC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10x22.43</v>
      </c>
      <c r="BD23" s="765" cm="1">
        <f t="array" aca="1" ref="BD23" ca="1">_xlfn.IFS(Tab_NewTRADER[[#This Row],[M_State]]=Sale_Back,"",         Tab_NewTRADER[[#This Row],[M_State]]=MDown, (Tab_NewTRADER[[#This Row],[M]]-Tab_NewTRADER[[#This Row],[A]])/Tab_NewTRADER[[#This Row],[A]]*ComFactor,             TRUE, IFERROR((Tab_NewTRADER[[#This Row],[M]]-Tab_NewTRADER[[#This Row],[A]])/Tab_NewTRADER[[#This Row],[A]]*ComFactor,""))</f>
        <v>0.47948964349987128</v>
      </c>
      <c r="BE23" s="762" cm="1">
        <f t="array" aca="1" ref="BE23" ca="1">_xlfn.IFS(               Tab_NewTRADER[[#This Row],[M_State]]=NoStock,(Tab_NewTRADER[[#This Row],[L_Sp]]-Tab_NewTRADER[[#This Row],[M]])/Tab_NewTRADER[[#This Row],[M]]-Commission,             Tab_NewTRADER[[#This Row],[A]]&lt;&gt;0,(Tab_NewTRADER[[#This Row],[A]]-Tab_NewTRADER[[#This Row],[M]])/Tab_NewTRADER[[#This Row],[M]]-Commission)</f>
        <v>-0.32726179555812768</v>
      </c>
      <c r="BF23" s="1341">
        <f ca="1">_xlfn.XLOOKUP(Tab_NewTRADER[[#This Row],[ClickTick]],TabCalc[Ticker],TabCalc[L_Sn])</f>
        <v>990</v>
      </c>
      <c r="BG23" s="728">
        <f ca="1">_xlfn.XLOOKUP(Tab_NewTRADER[[#This Row],[ClickTick]],TabCalc[Ticker],TabCalc[L_Sp])</f>
        <v>47.633000000000003</v>
      </c>
      <c r="BH23" s="764">
        <f ca="1">-IFERROR((Tab_NewTRADER[[#This Row],[M]]-Tab_NewTRADER[[#This Row],[L_Sp]])/Tab_NewTRADER[[#This Row],[L_Sp]],0)</f>
        <v>-0.45098985997102831</v>
      </c>
      <c r="BI23" s="729">
        <f ca="1">MIN(Tab_NewTRADER[[#This Row],[L_Sn]],Tab_NewTRADER[[#This Row],[N]])*(Tab_NewTRADER[[#This Row],[M]]-Tab_NewTRADER[[#This Row],[L_Sp]])*(1-Commission)*Tab_NewTRADER[[#This Row],[Scale]]</f>
        <v>214.26146799999992</v>
      </c>
      <c r="BJ23" s="692">
        <f ca="1">Tab_NewTRADER[[#This Row],[L_Sn]]*(Tab_NewTRADER[[#This Row],[Agiotage]]-Tab_NewTRADER[[#This Row],[M]])/(Tab_NewTRADER[[#This Row],[L_Bn]]*Tab_NewTRADER[[#This Row],[M]])</f>
        <v>-0.99567369284716867</v>
      </c>
      <c r="BK23" s="635">
        <f ca="1">IFERROR((Tab_NewTRADER[[#This Row],[M]]-Tab_NewTRADER[[#This Row],[A]])/Tab_NewTRADER[[#This Row],[A]],0)</f>
        <v>0.48073956637243964</v>
      </c>
      <c r="BL23" s="638" t="str">
        <f ca="1">TEXT(_xlfn.XLOOKUP(Tab_NewTRADER[[#This Row],[ClickTick]],TabCalc[Ticker],TabCalc[NAfter]),"#,#0")&amp;" : "&amp;TEXT(_xlfn.XLOOKUP(Tab_NewTRADER[[#This Row],[ClickTick]],TabCalc[Ticker],TabCalc[NAfter])*(Tab_NewTRADER[[#This Row],[M]]-Tab_NewTRADER[[#This Row],[A]])*(1-Commission)*Tab_NewTRADER[[#This Row],[Scale]],"#,#0$")</f>
        <v>10 : 224$</v>
      </c>
      <c r="BM23" s="684">
        <f ca="1">_xlfn.XLOOKUP(Tab_NewTRADER[[#This Row],[ClickTick]],TabCalc[[#This Row],[Ticker]],TabCalc[[#This Row],[GL]])*(1-Commission)</f>
        <v>14395.3980265672</v>
      </c>
      <c r="BN23" s="684"/>
      <c r="BO23" s="669" t="str">
        <f ca="1">Tab_NewTRADER[[#This Row],[ClickTick]]&amp;": "&amp;_xlfn.XLOOKUP(Tab_NewTRADER[[#This Row],[ClickTick]],TabCalc[Ticker],TabCalc[Pile?])</f>
        <v>GM: Pile</v>
      </c>
      <c r="BP23" s="351" t="s">
        <v>2072</v>
      </c>
      <c r="BQ23" s="755" t="str" cm="1">
        <f t="array" aca="1" ref="BQ23" ca="1">_xlfn.TEXTJOIN("",,INDEX({"M","A","Y"}, _xlfn.SORTBY({1,2,3}, -CHOOSE({1,2,3}, Tab_NewTRADER[[#This Row],[M]], Tab_NewTRADER[[#This Row],[A]], Tab_NewTRADER[[#This Row],[Agiotage]]))))</f>
        <v>MAY</v>
      </c>
      <c r="BR23" s="902" cm="1">
        <f t="array" aca="1" ref="BR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0.31081530782029942</v>
      </c>
      <c r="BS23" s="679">
        <f ca="1">Tab_NewTRADER[[#This Row],[L_Sn]]*Tab_NewTRADER[[#This Row],[L_Sp]]+Tab_NewTRADER[[#This Row],[SellMore]]*Tab_NewTRADER[[#This Row],[M]]</f>
        <v>47847.820000000007</v>
      </c>
      <c r="BT23" s="679">
        <f ca="1">INDEX(
  INDEX(TabConsolid[], , _xlfn.XMATCH(Tab_NewTRADER[[#This Row],[ClickTick]]&amp;1, TabConsolid[#Headers])),
  MATCH(
    -Tab_NewTRADER[[#This Row],[M]],
    INDEX(TabConsolid[], , _xlfn.XMATCH(Tab_NewTRADER[[#This Row],[ClickTick]]&amp;2, TabConsolid[#Headers])),
    -1
  )
)</f>
        <v>10</v>
      </c>
      <c r="BU23" s="679" cm="1">
        <f t="array" aca="1" ref="BU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3" s="1144">
        <f ca="1">Tab_NewTRADER[[#This Row],[ReBuy]]/(Tab_NewTRADER[[#This Row],[L_Sn]]+Tab_NewTRADER[[#This Row],[SellMore]])</f>
        <v>47.847820000000006</v>
      </c>
      <c r="BW23" s="687">
        <f ca="1">((_xlfn.XLOOKUP(Tab_NewTRADER[[#This Row],[ClickTick]],TabCalc[Ticker],TabCalc[NAfter])+Tab_NewTRADER[[#This Row],[L_Sn]])*(Tab_NewTRADER[[#This Row],[Agiotage]]-Tab_NewTRADER[[#This Row],[M]]))/(Tab_NewTRADER[[#This Row],[L_Sn]]*_xlfn.XLOOKUP(Tab_NewTRADER[[#This Row],[ClickTick]],TabCalc[Ticker],TabCalc[NAfter]))</f>
        <v>-6.9511098263769746</v>
      </c>
      <c r="BX23" s="687">
        <f ca="1">(Tab_NewTRADER[[#This Row],[M]]-Tab_NewTRADER[[#This Row],[Agiotage]])/(Tab_NewTRADER[[#This Row],[M]]-Tab_NewTRADER[[#This Row],[A]])-1</f>
        <v>2.0668027666621542</v>
      </c>
      <c r="BY23" s="1262">
        <f ca="1">_xlfn.XMATCH(Tab_NewTRADER[[#This Row],[ClickTick]]&amp;1, TabConsolid[#Headers])</f>
        <v>62</v>
      </c>
      <c r="BZ23" t="b">
        <f ca="1">IF(ABS(Tab_NewTRADER[[#This Row],[L_Bp]])&gt;=Tab_NewTRADER[[#This Row],[M]],"OK")</f>
        <v>0</v>
      </c>
    </row>
    <row r="24" spans="1:78" ht="22"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-3,411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-9.1%</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1,477</v>
      </c>
      <c r="F24" s="226" t="str">
        <f ca="1">TRUNC(TabCalc[[#This Row],[L_B1p]],2)&amp;"x"&amp;TabCalc[[#This Row],[L_B1n]]&amp;"=   "&amp;TEXT(TabCalc[[#This Row],[ReverseS1]],"#,#0")&amp;"$"</f>
        <v>-24.92x1200=   -5,022$</v>
      </c>
      <c r="G24" s="225" t="str">
        <f ca="1">IFERROR(TRUNC(_xlfn.XLOOKUP(Tab_NewTRADER[[#This Row],[ClickTick]],TabCalc[Ticker],ListLastSalep),2)&amp;"x"&amp;_xlfn.XLOOKUP(Tab_NewTRADER[[#This Row],[ClickTick]],TabCalc[Ticker],ListLastSalen)&amp;"=   "&amp;TEXT(-_xlfn.XLOOKUP(Tab_NewTRADER[[#This Row],[ClickTick]],TabCalc[Ticker],ListReverseB),"#,#0")&amp;"$","")</f>
        <v>24.12x1800=   -6,093$</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16.3% = 1,477</v>
      </c>
      <c r="I24" s="226" t="str">
        <f ca="1">IFERROR(TRUNC(TabCalc[[#This Row],[L_S1p]],2)&amp;"x"&amp;TabCalc[[#This Row],[L_S1n]]&amp;"=   "&amp;TEXT(TabCalc[[#This Row],[ReverseB1]],"#,#0"),"")</f>
        <v>26.07x1200=   6,402</v>
      </c>
      <c r="J24" s="295">
        <f ca="1">_xlfn.XLOOKUP(Tab_NewTRADER[[#This Row],[ClickTick]],TabCalc[Ticker],ListGravity)</f>
        <v>1.2786163491680733</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0.19064964394428682</v>
      </c>
      <c r="N24" s="324" cm="1">
        <f t="array" aca="1" ref="N24" ca="1">_xlfn.XLOOKUP(Tab_NewTRADER[[#This Row],[ClickTick]],ListTickers,Tab2RSIConventional[RSIConv20])</f>
        <v>26</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-8.3738400353513015E-2</v>
      </c>
      <c r="S24" s="683">
        <f ca="1">_xlfn.XLOOKUP(Tab_NewTRADER[[#This Row],[ClickTick]],TabCalc[Ticker],TabCalc[Rev(MinStock)])*(1-Commission)</f>
        <v>-3402.1313999999988</v>
      </c>
      <c r="T24" s="782">
        <f ca="1">_xlfn.XLOOKUP(Tab_NewTRADER[[#This Row],[ClickTick]],TabCalc[Ticker],TabCalc[Agiotage])</f>
        <v>0.19064964394428682</v>
      </c>
      <c r="U24" s="747"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-782/-782=&gt;-0.8% / -0.8%</v>
      </c>
      <c r="V24" s="739" t="str">
        <f ca="1">_xlfn.XLOOKUP(Tab_NewTRADER[[#This Row],[ClickTick]],[1]!RTData[Ticker_Symbol],[1]!RTData[Currency])</f>
        <v>USD</v>
      </c>
      <c r="W24" s="749">
        <f ca="1">_xlfn.XLOOKUP(Tab_NewTRADER[[#This Row],[ClickTick]],TabCalc[Ticker],TabCalc[M])</f>
        <v>20.734999999999999</v>
      </c>
      <c r="X24" s="1315"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-7.8949999999999992E-3</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^154K / 191 K$</v>
      </c>
      <c r="AF24" s="1161"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24" s="1530" t="str">
        <f ca="1">TEXT(MIN(Tab_NewTRADER[[#This Row],[L_Bn]],Tab_NewTRADER[[#This Row],[N]]),"#,#0")&amp;" x "&amp;TEXT(Tab_NewTRADER[[#This Row],[L_Bp]],"#,#0.#0")</f>
        <v>1,800 x -22.63</v>
      </c>
      <c r="AH24" s="1530" t="str" cm="1">
        <f t="array" aca="1" ref="AH24" ca="1">_xlfn.IFS(Tab_NewTRADER[[#This Row],[M_State]]=Sale_Back,Tab_NewTRADER[[#This Row],[Sale_Back_$]], TRUE,"M = "&amp;Tab_NewTRADER[[#This Row],[M]])</f>
        <v>M = 20.735</v>
      </c>
      <c r="AI24" s="1433" cm="1">
        <f t="array" aca="1" ref="AI24" ca="1">IF(Tab_NewTRADER[[#This Row],[M_State]]=MUp,_xlfn.IFS(Tab_NewTRADER[[#This Row],[M_State]]=MUp,MIN(Tab_NewTRADER[[#This Row],[N]],Tab_NewTRADER[[#This Row],[L_Bn]])*(Tab_NewTRADER[[#This Row],[M]]-Tab_NewTRADER[[#This Row],[L_Sp]])*Tab_NewTRADER[[#This Row],[Scale]]*ComFactor, TRUE,0),0)</f>
        <v>0</v>
      </c>
      <c r="AJ24" s="1433" cm="1">
        <f t="array" aca="1" ref="AJ24" ca="1">_xlfn.IFS(Tab_NewTRADER[[#This Row],[M_State]]=MUp,                 MIN(Tab_NewTRADER[[#This Row],[L_Sn]],Tab_NewTRADER[[#This Row],[N]])*(Tab_NewTRADER[[#This Row],[M]]-Tab_NewTRADER[[#This Row],[A]])*Tab_NewTRADER[[#This Row],[Scale]]*ComFactor, TRUE,0)</f>
        <v>0</v>
      </c>
      <c r="AK24" s="1433" cm="1">
        <f t="array" aca="1" ref="AK24" ca="1">_xlfn.IFS(Tab_NewTRADER[[#This Row],[M_State]]=MUp,                  Tab_NewTRADER[[#This Row],[N]]*(Tab_NewTRADER[[#This Row],[M]]-Tab_NewTRADER[[#This Row],[A]])*Tab_NewTRADER[[#This Row],[Scale]]*ComFactor, TRUE,0)</f>
        <v>0</v>
      </c>
      <c r="AL24" s="1435" t="str">
        <f ca="1">TEXT(Tab_NewTRADER[[#This Row],[L_Sn]],"#,#0")&amp;" x "&amp;TEXT(Tab_NewTRADER[[#This Row],[L_Sp]],"#,#0.#0")</f>
        <v>1,800 x 24.12</v>
      </c>
      <c r="AM24" s="1465" t="str" cm="1">
        <f t="array" aca="1" ref="AM24" ca="1">_xlfn.IFS(Tab_NewTRADER[[#This Row],[M_State]]=RePurchaseGain,TEXT(-Tab_NewTRADER[[#This Row],[Buy_Back]],"#,#0")&amp;"       / "&amp;TEXT(Tab_NewTRADER[[#This Row],[Rev_Buy]],"#,#00.0)%"),TRUE,"M = "&amp;Tab_NewTRADER[[#This Row],[M]])</f>
        <v>6,077       / 14.0)%</v>
      </c>
      <c r="AN24" s="1435" cm="1">
        <f t="array" aca="1" ref="AN24" ca="1">_xlfn.IFS(Tab_NewTRADER[[#This Row],[M_State]]=MDown,TEXT(Tab_NewTRADER[[#This Row],[L_Sn]]*(Tab_NewTRADER[[#This Row],[M]]-Tab_NewTRADER[[#This Row],[L_Sp]])*ComFactor,"#,#0")&amp;"       / "&amp;TEXT((TabTRADER[[#This Row],[M]]-TabTRADER[[#This Row],[L_Sp]])/TabTRADER[[#This Row],[M]],"#,#00.0)%"),TRUE,0)</f>
        <v>0</v>
      </c>
      <c r="AO24" s="1486" cm="1">
        <f t="array" aca="1" ref="AO24" ca="1">_xlfn.IFS(Tab_NewTRADER[[#This Row],[M_State]]=MDown,TEXT(Tab_NewTRADER[[#This Row],[N]]*(Tab_NewTRADER[[#This Row],[M]]-Tab_NewTRADER[[#This Row],[A]])*Tab_NewTRADER[[#This Row],[Scale]]*ComFactor,"#,#0")&amp;"       / "&amp;TEXT((TabTRADER[[#This Row],[M]]-TabTRADER[[#This Row],[L_Bp]])/TabTRADER[[#This Row],[M]],"#,#00.0%"),TRUE,0)</f>
        <v>0</v>
      </c>
      <c r="AP24" s="1435" t="str" cm="1">
        <f t="array" aca="1" ref="AP24" ca="1">_xlfn.IFS(Tab_NewTRADER[[#This Row],[M_State]]=MDown,TEXT(Tab_NewTRADER[[#This Row],[N]]*Tab_NewTRADER[[#This Row],[M]],"#,#0")&amp;" @ "&amp;TEXT(Tab_NewTRADER[[#This Row],[A]],"#,#0.#0"),TRUE,"M = "&amp; Tab_NewTRADER[[#This Row],[M]])</f>
        <v>M = 20.735</v>
      </c>
      <c r="AQ24" s="760">
        <f ca="1">Tab_NewTRADER[[#This Row],[N]]*(Tab_NewTRADER[[#This Row],[M]]-Tab_NewTRADER[[#This Row],[A]])*(1-Commission)*Tab_NewTRADER[[#This Row],[Scale]]</f>
        <v>3201.8215631999947</v>
      </c>
      <c r="AR24" s="760">
        <f ca="1">Tab_NewTRADER[[#This Row],[M]]*Tab_NewTRADER[[#This Row],[N]]*(1-Commission)*Tab_NewTRADER[[#This Row],[Scale]]</f>
        <v>190266.01879999999</v>
      </c>
      <c r="AS24" s="1174" cm="1">
        <f t="array" aca="1" ref="AS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0.14033996683250421</v>
      </c>
      <c r="AT24" s="1174" t="str" cm="1">
        <f t="array" aca="1" ref="AT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24" s="825" t="str" cm="1">
        <f t="array" aca="1" ref="AU24" ca="1">_xlfn.IFS(   Tab_NewTRADER[[#This Row],[M_State]]=SellMorePercentGain,                     MIN(Tab_NewTRADER[[#This Row],[L_Sn]],Tab_NewTRADER[[#This Row],[N]])*(Tab_NewTRADER[[#This Row],[M]]-Tab_NewTRADER[[#This Row],[L_Sp]])*(1-Commission)*Tab_NewTRADER[[#This Row],[Scale]],                    TRUE,"")</f>
        <v/>
      </c>
      <c r="AV24" s="1163">
        <f ca="1">_xlfn.XLOOKUP(Tab_NewTRADER[[#This Row],[ClickTick]],TabCalc[Ticker],TabCalc[Ann%RevLB])</f>
        <v>-1.0048608042421563</v>
      </c>
      <c r="AW24" s="1267">
        <f ca="1">_xlfn.XLOOKUP(Tab_NewTRADER[[#This Row],[ClickTick]],TabCalc[Ticker],TabCalc[Up20])</f>
        <v>0</v>
      </c>
      <c r="AX24" s="1175" t="str" cm="1">
        <f t="array" aca="1" ref="AX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4" s="825" t="str" cm="1">
        <f t="array" aca="1" ref="AY24" ca="1">_xlfn.IFS(         Tab_NewTRADER[[#This Row],[M_State]]=MDown,Tab_NewTRADER[[#This Row],[L_Bn]]*Tab_NewTRADER[[#This Row],[M]]*(-(Tab_NewTRADER[[#This Row],[L_Bp]]+Tab_NewTRADER[[#This Row],[M]])/Tab_NewTRADER[[#This Row],[M]])*(1-Commission)*Tab_NewTRADER[[#This Row],[Scale]],                               TRUE,"")</f>
        <v/>
      </c>
      <c r="AZ24" s="1174" t="str" cm="1">
        <f t="array" aca="1" ref="AZ24" ca="1">_xlfn.IFS(   Tab_NewTRADER[[#This Row],[M_State]]=MUp,Tab_NewTRADER[[#This Row],[TakeGain_A]]-Commission,        Tab_NewTRADER[[#This Row],[M_State]]=MDown,(Tab_NewTRADER[[#This Row],[A]]-Tab_NewTRADER[[#This Row],[M]])/Tab_NewTRADER[[#This Row],[M]]-Commission,                              TRUE,"")</f>
        <v/>
      </c>
      <c r="BA24" s="825" cm="1">
        <f t="array" aca="1" ref="BA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3201.8215631999947</v>
      </c>
      <c r="BB24" s="760" t="str" cm="1">
        <f t="array" aca="1" ref="BB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C24" s="736" t="str" cm="1">
        <f t="array" aca="1" ref="BC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24" s="765" cm="1">
        <f t="array" aca="1" ref="BD24" ca="1">_xlfn.IFS(Tab_NewTRADER[[#This Row],[M_State]]=Sale_Back,"",         Tab_NewTRADER[[#This Row],[M_State]]=MDown, (Tab_NewTRADER[[#This Row],[M]]-Tab_NewTRADER[[#This Row],[A]])/Tab_NewTRADER[[#This Row],[A]]*ComFactor,             TRUE, IFERROR((Tab_NewTRADER[[#This Row],[M]]-Tab_NewTRADER[[#This Row],[A]])/Tab_NewTRADER[[#This Row],[A]]*ComFactor,""))</f>
        <v>1.7071662425563478E-2</v>
      </c>
      <c r="BE24" s="762" cm="1">
        <f t="array" aca="1" ref="BE24" ca="1">_xlfn.IFS(               Tab_NewTRADER[[#This Row],[M_State]]=NoStock,(Tab_NewTRADER[[#This Row],[L_Sp]]-Tab_NewTRADER[[#This Row],[M]])/Tab_NewTRADER[[#This Row],[M]]-Commission,             Tab_NewTRADER[[#This Row],[A]]&lt;&gt;0,(Tab_NewTRADER[[#This Row],[A]]-Tab_NewTRADER[[#This Row],[M]])/Tab_NewTRADER[[#This Row],[M]]-Commission)</f>
        <v>-1.9428131388851001E-2</v>
      </c>
      <c r="BF24" s="324">
        <f ca="1">_xlfn.XLOOKUP(Tab_NewTRADER[[#This Row],[ClickTick]],TabCalc[Ticker],TabCalc[L_Sn])</f>
        <v>1800</v>
      </c>
      <c r="BG24" s="728">
        <f ca="1">_xlfn.XLOOKUP(Tab_NewTRADER[[#This Row],[ClickTick]],TabCalc[Ticker],TabCalc[L_Sp])</f>
        <v>24.12</v>
      </c>
      <c r="BH24" s="764">
        <f ca="1">-IFERROR((Tab_NewTRADER[[#This Row],[M]]-Tab_NewTRADER[[#This Row],[L_Sp]])/Tab_NewTRADER[[#This Row],[L_Sp]],0)</f>
        <v>0.14033996683250421</v>
      </c>
      <c r="BI24" s="729">
        <f ca="1">MIN(Tab_NewTRADER[[#This Row],[L_Sn]],Tab_NewTRADER[[#This Row],[N]])*(Tab_NewTRADER[[#This Row],[M]]-Tab_NewTRADER[[#This Row],[L_Sp]])*(1-Commission)*Tab_NewTRADER[[#This Row],[Scale]]</f>
        <v>-6077.1582000000026</v>
      </c>
      <c r="BJ24" s="692">
        <f ca="1">Tab_NewTRADER[[#This Row],[L_Sn]]*(Tab_NewTRADER[[#This Row],[Agiotage]]-Tab_NewTRADER[[#This Row],[M]])/(Tab_NewTRADER[[#This Row],[L_Bn]]*Tab_NewTRADER[[#This Row],[M]])</f>
        <v>-0.9908054186667814</v>
      </c>
      <c r="BK24" s="635">
        <f ca="1">IFERROR((Tab_NewTRADER[[#This Row],[M]]-Tab_NewTRADER[[#This Row],[A]])/Tab_NewTRADER[[#This Row],[A]],0)</f>
        <v>1.7116164453141649E-2</v>
      </c>
      <c r="BL24" s="638" t="str">
        <f ca="1">TEXT(_xlfn.XLOOKUP(Tab_NewTRADER[[#This Row],[ClickTick]],TabCalc[Ticker],TabCalc[NAfter]),"#,#0")&amp;" : "&amp;TEXT(_xlfn.XLOOKUP(Tab_NewTRADER[[#This Row],[ClickTick]],TabCalc[Ticker],TabCalc[NAfter])*(Tab_NewTRADER[[#This Row],[M]]-Tab_NewTRADER[[#This Row],[A]])*(1-Commission)*Tab_NewTRADER[[#This Row],[Scale]],"#,#0$")</f>
        <v>9,200 : 3,202$</v>
      </c>
      <c r="BM24" s="684">
        <f ca="1">_xlfn.XLOOKUP(Tab_NewTRADER[[#This Row],[ClickTick]],TabCalc[[#This Row],[Ticker]],TabCalc[[#This Row],[GL]])*(1-Commission)</f>
        <v>153481.57247151999</v>
      </c>
      <c r="BN24" s="684"/>
      <c r="BO24" s="669" t="str">
        <f ca="1">Tab_NewTRADER[[#This Row],[ClickTick]]&amp;": "&amp;_xlfn.XLOOKUP(Tab_NewTRADER[[#This Row],[ClickTick]],TabCalc[Ticker],TabCalc[Pile?])</f>
        <v xml:space="preserve">HPE: </v>
      </c>
      <c r="BP24" s="351" t="s">
        <v>2068</v>
      </c>
      <c r="BQ24" s="755" t="str" cm="1">
        <f t="array" aca="1" ref="BQ24" ca="1">_xlfn.TEXTJOIN("",,INDEX({"M","A","Y"}, _xlfn.SORTBY({1,2,3}, -CHOOSE({1,2,3}, Tab_NewTRADER[[#This Row],[M]], Tab_NewTRADER[[#This Row],[A]], Tab_NewTRADER[[#This Row],[Agiotage]]))))</f>
        <v>MAY</v>
      </c>
      <c r="BR24" s="902" t="str" cm="1">
        <f t="array" aca="1" ref="BR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24" s="679">
        <f ca="1">Tab_NewTRADER[[#This Row],[L_Sn]]*Tab_NewTRADER[[#This Row],[L_Sp]]+Tab_NewTRADER[[#This Row],[SellMore]]*Tab_NewTRADER[[#This Row],[M]]</f>
        <v>126356</v>
      </c>
      <c r="BT24" s="679">
        <f ca="1">INDEX(
  INDEX(TabConsolid[], , _xlfn.XMATCH(Tab_NewTRADER[[#This Row],[ClickTick]]&amp;1, TabConsolid[#Headers])),
  MATCH(
    -Tab_NewTRADER[[#This Row],[M]],
    INDEX(TabConsolid[], , _xlfn.XMATCH(Tab_NewTRADER[[#This Row],[ClickTick]]&amp;2, TabConsolid[#Headers])),
    -1
  )
)</f>
        <v>4000</v>
      </c>
      <c r="BU24" s="679" cm="1">
        <f t="array" aca="1" ref="BU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4" s="1144">
        <f ca="1">Tab_NewTRADER[[#This Row],[ReBuy]]/(Tab_NewTRADER[[#This Row],[L_Sn]]+Tab_NewTRADER[[#This Row],[SellMore]])</f>
        <v>21.78551724137931</v>
      </c>
      <c r="BW24" s="687">
        <f ca="1">((_xlfn.XLOOKUP(Tab_NewTRADER[[#This Row],[ClickTick]],TabCalc[Ticker],TabCalc[NAfter])+Tab_NewTRADER[[#This Row],[L_Sn]])*(Tab_NewTRADER[[#This Row],[Agiotage]]-Tab_NewTRADER[[#This Row],[M]]))/(Tab_NewTRADER[[#This Row],[L_Sn]]*_xlfn.XLOOKUP(Tab_NewTRADER[[#This Row],[ClickTick]],TabCalc[Ticker],TabCalc[NAfter]))</f>
        <v>-1.3646609536027345E-2</v>
      </c>
      <c r="BX24" s="687">
        <f ca="1">(Tab_NewTRADER[[#This Row],[M]]-Tab_NewTRADER[[#This Row],[Agiotage]])/(Tab_NewTRADER[[#This Row],[M]]-Tab_NewTRADER[[#This Row],[A]])-1</f>
        <v>57.877922674362487</v>
      </c>
      <c r="BY24" s="1262">
        <f ca="1">_xlfn.XMATCH(Tab_NewTRADER[[#This Row],[ClickTick]]&amp;1, TabConsolid[#Headers])</f>
        <v>65</v>
      </c>
      <c r="BZ24" t="str">
        <f ca="1">IF(ABS(Tab_NewTRADER[[#This Row],[L_Bp]])&gt;=Tab_NewTRADER[[#This Row],[M]],"OK")</f>
        <v>OK</v>
      </c>
    </row>
    <row r="25" spans="1:78"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-4,990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-22.1%</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-12,800$</v>
      </c>
      <c r="G25" s="225" t="str">
        <f ca="1">IFERROR(TRUNC(_xlfn.XLOOKUP(Tab_NewTRADER[[#This Row],[ClickTick]],TabCalc[Ticker],ListLastSalep),2)&amp;"x"&amp;_xlfn.XLOOKUP(Tab_NewTRADER[[#This Row],[ClickTick]],TabCalc[Ticker],ListLastSalen)&amp;"=   "&amp;TEXT(-_xlfn.XLOOKUP(Tab_NewTRADER[[#This Row],[ClickTick]],TabCalc[Ticker],ListReverseB),"#,#0")&amp;"$","")</f>
        <v>28.94x1000=   -6,400$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28.4% = 781</v>
      </c>
      <c r="I25" s="226" t="str">
        <f ca="1">IFERROR(TRUNC(TabCalc[[#This Row],[L_S1p]],2)&amp;"x"&amp;TabCalc[[#This Row],[L_S1n]]&amp;"=   "&amp;TEXT(TabCalc[[#This Row],[ReverseB1]],"#,#0"),"")</f>
        <v>27.08x4000=   18,160</v>
      </c>
      <c r="J25" s="295">
        <f ca="1">_xlfn.XLOOKUP(Tab_NewTRADER[[#This Row],[ClickTick]],TabCalc[Ticker],ListGravity)</f>
        <v>1.2547692990239574</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90160</v>
      </c>
      <c r="M25" s="323">
        <f ca="1">_xlfn.XLOOKUP(Tab_NewTRADER[[#This Row],[ClickTick]],TabCalc[Ticker],TabCalc[Agiotage])</f>
        <v>0.26374238355573848</v>
      </c>
      <c r="N25" s="324" cm="1">
        <f t="array" aca="1" ref="N25" ca="1">_xlfn.XLOOKUP(Tab_NewTRADER[[#This Row],[ClickTick]],ListTickers,Tab2RSIConventional[RSIConv20])</f>
        <v>37</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-0.18125681075190708</v>
      </c>
      <c r="S25" s="683">
        <f ca="1">_xlfn.XLOOKUP(Tab_NewTRADER[[#This Row],[ClickTick]],TabCalc[Ticker],TabCalc[Rev(MinStock)])*(1-Commission)</f>
        <v>-4977.0260000000017</v>
      </c>
      <c r="T25" s="782">
        <f ca="1">_xlfn.XLOOKUP(Tab_NewTRADER[[#This Row],[ClickTick]],TabCalc[Ticker],TabCalc[Agiotage])</f>
        <v>0.26374238355573848</v>
      </c>
      <c r="U25" s="747"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-700/-700=&gt;-0.7% / -0.7%</v>
      </c>
      <c r="V25" s="739" t="str">
        <f ca="1">_xlfn.XLOOKUP(Tab_NewTRADER[[#This Row],[ClickTick]],[1]!RTData[Ticker_Symbol],[1]!RTData[Currency])</f>
        <v>USD</v>
      </c>
      <c r="W25" s="749">
        <f ca="1">_xlfn.XLOOKUP(Tab_NewTRADER[[#This Row],[ClickTick]],TabCalc[Ticker],TabCalc[M])</f>
        <v>22.54</v>
      </c>
      <c r="X25" s="1315"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-7.4860000000000005E-3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^28K / 113 K$</v>
      </c>
      <c r="AF25" s="1161"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5" s="1530" t="str">
        <f ca="1">TEXT(MIN(Tab_NewTRADER[[#This Row],[L_Bn]],Tab_NewTRADER[[#This Row],[N]]),"#,#0")&amp;" x "&amp;TEXT(Tab_NewTRADER[[#This Row],[L_Bp]],"#,#0.#0")</f>
        <v>1,000 x -27.53</v>
      </c>
      <c r="AH25" s="1530" t="str" cm="1">
        <f t="array" aca="1" ref="AH25" ca="1">_xlfn.IFS(Tab_NewTRADER[[#This Row],[M_State]]=Sale_Back,Tab_NewTRADER[[#This Row],[Sale_Back_$]], TRUE,"M = "&amp;Tab_NewTRADER[[#This Row],[M]])</f>
        <v>M = 22.54</v>
      </c>
      <c r="AI25" s="1433" cm="1">
        <f t="array" aca="1" ref="AI25" ca="1">IF(Tab_NewTRADER[[#This Row],[M_State]]=MUp,_xlfn.IFS(Tab_NewTRADER[[#This Row],[M_State]]=MUp,MIN(Tab_NewTRADER[[#This Row],[N]],Tab_NewTRADER[[#This Row],[L_Bn]])*(Tab_NewTRADER[[#This Row],[M]]-Tab_NewTRADER[[#This Row],[L_Sp]])*Tab_NewTRADER[[#This Row],[Scale]]*ComFactor, TRUE,0),0)</f>
        <v>0</v>
      </c>
      <c r="AJ25" s="1433" cm="1">
        <f t="array" aca="1" ref="AJ25" ca="1">_xlfn.IFS(Tab_NewTRADER[[#This Row],[M_State]]=MUp,                 MIN(Tab_NewTRADER[[#This Row],[L_Sn]],Tab_NewTRADER[[#This Row],[N]])*(Tab_NewTRADER[[#This Row],[M]]-Tab_NewTRADER[[#This Row],[A]])*Tab_NewTRADER[[#This Row],[Scale]]*ComFactor, TRUE,0)</f>
        <v>0</v>
      </c>
      <c r="AK25" s="1433" cm="1">
        <f t="array" aca="1" ref="AK25" ca="1">_xlfn.IFS(Tab_NewTRADER[[#This Row],[M_State]]=MUp,                  Tab_NewTRADER[[#This Row],[N]]*(Tab_NewTRADER[[#This Row],[M]]-Tab_NewTRADER[[#This Row],[A]])*Tab_NewTRADER[[#This Row],[Scale]]*ComFactor, TRUE,0)</f>
        <v>0</v>
      </c>
      <c r="AL25" s="1435" t="str">
        <f ca="1">TEXT(Tab_NewTRADER[[#This Row],[L_Sn]],"#,#0")&amp;" x "&amp;TEXT(Tab_NewTRADER[[#This Row],[L_Sp]],"#,#0.#0")</f>
        <v>1,000 x 28.94</v>
      </c>
      <c r="AM25" s="1465" t="str" cm="1">
        <f t="array" aca="1" ref="AM25" ca="1">_xlfn.IFS(Tab_NewTRADER[[#This Row],[M_State]]=RePurchaseGain,TEXT(-Tab_NewTRADER[[#This Row],[Buy_Back]],"#,#0")&amp;"       / "&amp;TEXT(Tab_NewTRADER[[#This Row],[Rev_Buy]],"#,#00.0)%"),TRUE,"M = "&amp;Tab_NewTRADER[[#This Row],[M]])</f>
        <v>M = 22.54</v>
      </c>
      <c r="AN25" s="1435" t="str" cm="1">
        <f t="array" aca="1" ref="AN25" ca="1">_xlfn.IFS(Tab_NewTRADER[[#This Row],[M_State]]=MDown,TEXT(Tab_NewTRADER[[#This Row],[L_Sn]]*(Tab_NewTRADER[[#This Row],[M]]-Tab_NewTRADER[[#This Row],[L_Sp]])*ComFactor,"#,#0")&amp;"       / "&amp;TEXT((TabTRADER[[#This Row],[M]]-TabTRADER[[#This Row],[L_Sp]])/TabTRADER[[#This Row],[M]],"#,#00.0)%"),TRUE,0)</f>
        <v>-6,383       / -28.4)%</v>
      </c>
      <c r="AO25" s="1486" t="str" cm="1">
        <f t="array" aca="1" ref="AO25" ca="1">_xlfn.IFS(Tab_NewTRADER[[#This Row],[M_State]]=MDown,TEXT(Tab_NewTRADER[[#This Row],[N]]*(Tab_NewTRADER[[#This Row],[M]]-Tab_NewTRADER[[#This Row],[A]])*Tab_NewTRADER[[#This Row],[Scale]]*ComFactor,"#,#0")&amp;"       / "&amp;TEXT((TabTRADER[[#This Row],[M]]-TabTRADER[[#This Row],[L_Bp]])/TabTRADER[[#This Row],[M]],"#,#00.0%"),TRUE,0)</f>
        <v>-17,744       / 222.1%</v>
      </c>
      <c r="AP25" s="1435" t="str" cm="1">
        <f t="array" aca="1" ref="AP25" ca="1">_xlfn.IFS(Tab_NewTRADER[[#This Row],[M_State]]=MDown,TEXT(Tab_NewTRADER[[#This Row],[N]]*Tab_NewTRADER[[#This Row],[M]],"#,#0")&amp;" @ "&amp;TEXT(Tab_NewTRADER[[#This Row],[A]],"#,#0.#0"),TRUE,"M = "&amp; Tab_NewTRADER[[#This Row],[M]])</f>
        <v>112,700 @ 26.10</v>
      </c>
      <c r="AQ25" s="760">
        <f ca="1">Tab_NewTRADER[[#This Row],[N]]*(Tab_NewTRADER[[#This Row],[M]]-Tab_NewTRADER[[#This Row],[A]])*(1-Commission)*Tab_NewTRADER[[#This Row],[Scale]]</f>
        <v>-17743.745999999999</v>
      </c>
      <c r="AR25" s="760">
        <f ca="1">Tab_NewTRADER[[#This Row],[M]]*Tab_NewTRADER[[#This Row],[N]]*(1-Commission)*Tab_NewTRADER[[#This Row],[Scale]]</f>
        <v>112406.98</v>
      </c>
      <c r="AS25" s="1174" cm="1">
        <f t="array" aca="1" ref="AS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0.13633228599892713</v>
      </c>
      <c r="AT25" s="1174" cm="1">
        <f t="array" aca="1" ref="AT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0.21878420585625566</v>
      </c>
      <c r="AU25" s="825" t="str" cm="1">
        <f t="array" aca="1" ref="AU25" ca="1">_xlfn.IFS(   Tab_NewTRADER[[#This Row],[M_State]]=SellMorePercentGain,                     MIN(Tab_NewTRADER[[#This Row],[L_Sn]],Tab_NewTRADER[[#This Row],[N]])*(Tab_NewTRADER[[#This Row],[M]]-Tab_NewTRADER[[#This Row],[L_Sp]])*(1-Commission)*Tab_NewTRADER[[#This Row],[Scale]],                    TRUE,"")</f>
        <v/>
      </c>
      <c r="AV25" s="1313">
        <f ca="1">_xlfn.XLOOKUP(Tab_NewTRADER[[#This Row],[ClickTick]],TabCalc[Ticker],TabCalc[Ann%RevLB])</f>
        <v>-1.9191897609025457</v>
      </c>
      <c r="AW25" s="1267">
        <f ca="1">_xlfn.XLOOKUP(Tab_NewTRADER[[#This Row],[ClickTick]],TabCalc[Ticker],TabCalc[Up20])</f>
        <v>0</v>
      </c>
      <c r="AX25" s="1175" cm="1">
        <f t="array" aca="1" ref="AX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0.22138420585625565</v>
      </c>
      <c r="AY25" s="825" cm="1">
        <f t="array" aca="1" ref="AY25" ca="1">_xlfn.IFS(         Tab_NewTRADER[[#This Row],[M_State]]=MDown,Tab_NewTRADER[[#This Row],[L_Bn]]*Tab_NewTRADER[[#This Row],[M]]*(-(Tab_NewTRADER[[#This Row],[L_Bp]]+Tab_NewTRADER[[#This Row],[M]])/Tab_NewTRADER[[#This Row],[M]])*(1-Commission)*Tab_NewTRADER[[#This Row],[Scale]],                               TRUE,"")</f>
        <v>4977.0260000000026</v>
      </c>
      <c r="AZ25" s="1174" cm="1">
        <f t="array" aca="1" ref="AZ25" ca="1">_xlfn.IFS(   Tab_NewTRADER[[#This Row],[M_State]]=MUp,Tab_NewTRADER[[#This Row],[TakeGain_A]]-Commission,        Tab_NewTRADER[[#This Row],[M_State]]=MDown,(Tab_NewTRADER[[#This Row],[A]]-Tab_NewTRADER[[#This Row],[M]])/Tab_NewTRADER[[#This Row],[M]]-Commission,                              TRUE,"")</f>
        <v>0.15525270629991128</v>
      </c>
      <c r="BA25" s="825" cm="1">
        <f t="array" aca="1" ref="BA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17743.745999999999</v>
      </c>
      <c r="BB25" s="760" t="str" cm="1">
        <f t="array" aca="1" ref="BB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C25" s="736" cm="1">
        <f t="array" aca="1" ref="BC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-4.99</v>
      </c>
      <c r="BD25" s="765" cm="1">
        <f t="array" aca="1" ref="BD25" ca="1">_xlfn.IFS(Tab_NewTRADER[[#This Row],[M_State]]=Sale_Back,"",         Tab_NewTRADER[[#This Row],[M_State]]=MDown, (Tab_NewTRADER[[#This Row],[M]]-Tab_NewTRADER[[#This Row],[A]])/Tab_NewTRADER[[#This Row],[A]]*ComFactor,             TRUE, IFERROR((Tab_NewTRADER[[#This Row],[M]]-Tab_NewTRADER[[#This Row],[A]])/Tab_NewTRADER[[#This Row],[A]]*ComFactor,""))</f>
        <v>-0.13597782205532991</v>
      </c>
      <c r="BE25" s="762" cm="1">
        <f t="array" aca="1" ref="BE25" ca="1">_xlfn.IFS(               Tab_NewTRADER[[#This Row],[M_State]]=NoStock,(Tab_NewTRADER[[#This Row],[L_Sp]]-Tab_NewTRADER[[#This Row],[M]])/Tab_NewTRADER[[#This Row],[M]]-Commission,             Tab_NewTRADER[[#This Row],[A]]&lt;&gt;0,(Tab_NewTRADER[[#This Row],[A]]-Tab_NewTRADER[[#This Row],[M]])/Tab_NewTRADER[[#This Row],[M]]-Commission)</f>
        <v>0.15525270629991128</v>
      </c>
      <c r="BF25" s="324">
        <f ca="1">_xlfn.XLOOKUP(Tab_NewTRADER[[#This Row],[ClickTick]],TabCalc[Ticker],TabCalc[L_Sn])</f>
        <v>1000</v>
      </c>
      <c r="BG25" s="728">
        <f ca="1">_xlfn.XLOOKUP(Tab_NewTRADER[[#This Row],[ClickTick]],TabCalc[Ticker],TabCalc[L_Sp])</f>
        <v>28.94</v>
      </c>
      <c r="BH25" s="764">
        <f ca="1">-IFERROR((Tab_NewTRADER[[#This Row],[M]]-Tab_NewTRADER[[#This Row],[L_Sp]])/Tab_NewTRADER[[#This Row],[L_Sp]],0)</f>
        <v>0.22114720110573607</v>
      </c>
      <c r="BI25" s="729">
        <f ca="1">MIN(Tab_NewTRADER[[#This Row],[L_Sn]],Tab_NewTRADER[[#This Row],[N]])*(Tab_NewTRADER[[#This Row],[M]]-Tab_NewTRADER[[#This Row],[L_Sp]])*(1-Commission)*Tab_NewTRADER[[#This Row],[Scale]]</f>
        <v>-6383.3600000000015</v>
      </c>
      <c r="BJ25" s="692">
        <f ca="1">Tab_NewTRADER[[#This Row],[L_Sn]]*(Tab_NewTRADER[[#This Row],[Agiotage]]-Tab_NewTRADER[[#This Row],[M]])/(Tab_NewTRADER[[#This Row],[L_Bn]]*Tab_NewTRADER[[#This Row],[M]])</f>
        <v>-0.98829891820959459</v>
      </c>
      <c r="BK25" s="635">
        <f ca="1">IFERROR((Tab_NewTRADER[[#This Row],[M]]-Tab_NewTRADER[[#This Row],[A]])/Tab_NewTRADER[[#This Row],[A]],0)</f>
        <v>-0.13633228599892713</v>
      </c>
      <c r="BL25" s="638" t="str">
        <f ca="1">TEXT(_xlfn.XLOOKUP(Tab_NewTRADER[[#This Row],[ClickTick]],TabCalc[Ticker],TabCalc[NAfter]),"#,#0")&amp;" : "&amp;TEXT(_xlfn.XLOOKUP(Tab_NewTRADER[[#This Row],[ClickTick]],TabCalc[Ticker],TabCalc[NAfter])*(Tab_NewTRADER[[#This Row],[M]]-Tab_NewTRADER[[#This Row],[A]])*(1-Commission)*Tab_NewTRADER[[#This Row],[Scale]],"#,#0$")</f>
        <v>5,000 : -17,744$</v>
      </c>
      <c r="BM25" s="684">
        <f ca="1">_xlfn.XLOOKUP(Tab_NewTRADER[[#This Row],[ClickTick]],TabCalc[[#This Row],[Ticker]],TabCalc[[#This Row],[GL]])*(1-Commission)</f>
        <v>28159.497393153968</v>
      </c>
      <c r="BN25" s="684"/>
      <c r="BO25" s="669" t="str">
        <f ca="1">Tab_NewTRADER[[#This Row],[ClickTick]]&amp;": "&amp;_xlfn.XLOOKUP(Tab_NewTRADER[[#This Row],[ClickTick]],TabCalc[Ticker],TabCalc[Pile?])</f>
        <v xml:space="preserve">HPQ: </v>
      </c>
      <c r="BP25" s="351" t="s">
        <v>2067</v>
      </c>
      <c r="BQ25" s="755" t="str" cm="1">
        <f t="array" aca="1" ref="BQ25" ca="1">_xlfn.TEXTJOIN("",,INDEX({"M","A","Y"}, _xlfn.SORTBY({1,2,3}, -CHOOSE({1,2,3}, Tab_NewTRADER[[#This Row],[M]], Tab_NewTRADER[[#This Row],[A]], Tab_NewTRADER[[#This Row],[Agiotage]]))))</f>
        <v>AMY</v>
      </c>
      <c r="BR25" s="902" cm="1">
        <f t="array" aca="1" ref="BR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0.22138420585625565</v>
      </c>
      <c r="BS25" s="679" t="e">
        <f ca="1">Tab_NewTRADER[[#This Row],[L_Sn]]*Tab_NewTRADER[[#This Row],[L_Sp]]+Tab_NewTRADER[[#This Row],[SellMore]]*Tab_NewTRADER[[#This Row],[M]]</f>
        <v>#N/A</v>
      </c>
      <c r="BT25" s="679" t="e">
        <f ca="1">INDEX(
  INDEX(TabConsolid[], , _xlfn.XMATCH(Tab_NewTRADER[[#This Row],[ClickTick]]&amp;1, TabConsolid[#Headers])),
  MATCH(
    -Tab_NewTRADER[[#This Row],[M]],
    INDEX(TabConsolid[], , _xlfn.XMATCH(Tab_NewTRADER[[#This Row],[ClickTick]]&amp;2, TabConsolid[#Headers])),
    -1
  )
)</f>
        <v>#N/A</v>
      </c>
      <c r="BU25" s="679" cm="1">
        <f t="array" aca="1" ref="BU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25" s="1144" t="e">
        <f ca="1">Tab_NewTRADER[[#This Row],[ReBuy]]/(Tab_NewTRADER[[#This Row],[L_Sn]]+Tab_NewTRADER[[#This Row],[SellMore]])</f>
        <v>#N/A</v>
      </c>
      <c r="BW25" s="687">
        <f ca="1">((_xlfn.XLOOKUP(Tab_NewTRADER[[#This Row],[ClickTick]],TabCalc[Ticker],TabCalc[NAfter])+Tab_NewTRADER[[#This Row],[L_Sn]])*(Tab_NewTRADER[[#This Row],[Agiotage]]-Tab_NewTRADER[[#This Row],[M]]))/(Tab_NewTRADER[[#This Row],[L_Sn]]*_xlfn.XLOOKUP(Tab_NewTRADER[[#This Row],[ClickTick]],TabCalc[Ticker],TabCalc[NAfter]))</f>
        <v>-2.6731509139733114E-2</v>
      </c>
      <c r="BX25" s="687">
        <f ca="1">(Tab_NewTRADER[[#This Row],[M]]-Tab_NewTRADER[[#This Row],[Agiotage]])/(Tab_NewTRADER[[#This Row],[M]]-Tab_NewTRADER[[#This Row],[A]])-1</f>
        <v>-7.2608930906251441</v>
      </c>
      <c r="BY25" s="1262">
        <f ca="1">_xlfn.XMATCH(Tab_NewTRADER[[#This Row],[ClickTick]]&amp;1, TabConsolid[#Headers])</f>
        <v>68</v>
      </c>
      <c r="BZ25" t="str">
        <f ca="1">IF(ABS(Tab_NewTRADER[[#This Row],[L_Bp]])&gt;=Tab_NewTRADER[[#This Row],[M]],"OK")</f>
        <v>OK</v>
      </c>
    </row>
    <row r="26" spans="1:78" ht="22" hidden="1" customHeight="1" thickBo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+25,718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34.1%</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3,888/100,000=14,683</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23,148</v>
      </c>
      <c r="F26" s="226" t="str">
        <f ca="1">TRUNC(TabCalc[[#This Row],[L_B1p]],2)&amp;"x"&amp;TabCalc[[#This Row],[L_B1n]]&amp;"=   "&amp;TEXT(TabCalc[[#This Row],[ReverseS1]],"#,#0")&amp;"$"</f>
        <v>-284.47x20000=   18,624$</v>
      </c>
      <c r="G26" s="225" t="str">
        <f ca="1">IFERROR(TRUNC(_xlfn.XLOOKUP(Tab_NewTRADER[[#This Row],[ClickTick]],TabCalc[Ticker],ListLastSalep),2)&amp;"x"&amp;_xlfn.XLOOKUP(Tab_NewTRADER[[#This Row],[ClickTick]],TabCalc[Ticker],ListLastSalen)&amp;"=   "&amp;TEXT(-_xlfn.XLOOKUP(Tab_NewTRADER[[#This Row],[ClickTick]],TabCalc[Ticker],ListReverseB),"#,#0")&amp;"$","")</f>
        <v>399.2x10000=   -2,160$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231</v>
      </c>
      <c r="I26" s="226" t="str">
        <f ca="1">IFERROR(TRUNC(TabCalc[[#This Row],[L_S1p]],2)&amp;"x"&amp;TabCalc[[#This Row],[L_S1n]]&amp;"=   "&amp;TEXT(TabCalc[[#This Row],[ReverseB1]],"#,#0"),"")</f>
        <v>380.01x20000=   482</v>
      </c>
      <c r="J26" s="295">
        <f ca="1">_xlfn.XLOOKUP(Tab_NewTRADER[[#This Row],[ClickTick]],TabCalc[Ticker],ListGravity)</f>
        <v>1.2290630296610168</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0.83798052886889074</v>
      </c>
      <c r="N26" s="324" cm="1">
        <f t="array" aca="1" ref="N26" ca="1">_xlfn.XLOOKUP(Tab_NewTRADER[[#This Row],[ClickTick]],ListTickers,Tab2RSIConventional[RSIConv20])</f>
        <v>70</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0.51639278428348845</v>
      </c>
      <c r="S26" s="683">
        <f ca="1">_xlfn.XLOOKUP(Tab_NewTRADER[[#This Row],[ClickTick]],TabCalc[Ticker],TabCalc[Rev(MinStock)])*(1-Commission)</f>
        <v>25650.734240000005</v>
      </c>
      <c r="T26" s="782">
        <f ca="1">_xlfn.XLOOKUP(Tab_NewTRADER[[#This Row],[ClickTick]],TabCalc[Ticker],TabCalc[Agiotage])</f>
        <v>0.83798052886889074</v>
      </c>
      <c r="U26" s="747"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6,600/6,600=&gt;1.7% / 1.7%</v>
      </c>
      <c r="V26" s="739" t="str">
        <f ca="1">_xlfn.XLOOKUP(Tab_NewTRADER[[#This Row],[ClickTick]],[1]!RTData[Ticker_Symbol],[1]!RTData[Currency])</f>
        <v>GBp</v>
      </c>
      <c r="W26" s="749">
        <f ca="1">_xlfn.XLOOKUP(Tab_NewTRADER[[#This Row],[ClickTick]],TabCalc[Ticker],TabCalc[M])</f>
        <v>377.6</v>
      </c>
      <c r="X26" s="1315"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273.72197999999997</v>
      </c>
      <c r="AB26" s="817" cm="1">
        <f t="array" aca="1" ref="AB26" ca="1">_xlfn.XLOOKUP(Tab_NewTRADER[[#This Row],[ClickTick]],ListTickers,Tab1ChangePercent[Change%19])</f>
        <v>1.6966999999999999E-2</v>
      </c>
      <c r="AC26" s="768">
        <f ca="1">_xlfn.XLOOKUP(Tab_NewTRADER[[#This Row],[ClickTick]],TabCalc[Ticker],TabCalc[NAfter])</f>
        <v>100000</v>
      </c>
      <c r="AD26" s="768">
        <f ca="1">_xlfn.XLOOKUP(Tab_NewTRADER[[#This Row],[ClickTick]],TabCalc[Ticker],TabCalc[Nbegin])</f>
        <v>500000</v>
      </c>
      <c r="AE2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^1,148K / 378 K$</v>
      </c>
      <c r="AF26" s="1182"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26" s="1530" t="str">
        <f ca="1">TEXT(MIN(Tab_NewTRADER[[#This Row],[L_Bn]],Tab_NewTRADER[[#This Row],[N]]),"#,#0")&amp;" x "&amp;TEXT(Tab_NewTRADER[[#This Row],[L_Bp]],"#,#0.#0")</f>
        <v>20,000 x -249.01</v>
      </c>
      <c r="AH26" s="1530" t="str" cm="1">
        <f t="array" aca="1" ref="AH26" ca="1">_xlfn.IFS(Tab_NewTRADER[[#This Row],[M_State]]=Sale_Back,Tab_NewTRADER[[#This Row],[Sale_Back_$]], TRUE,"M = "&amp;Tab_NewTRADER[[#This Row],[M]])</f>
        <v>M = 377.6</v>
      </c>
      <c r="AI26" s="1433" cm="1">
        <f t="array" aca="1" ref="AI26" ca="1">IF(Tab_NewTRADER[[#This Row],[M_State]]=MUp,_xlfn.IFS(Tab_NewTRADER[[#This Row],[M_State]]=MUp,MIN(Tab_NewTRADER[[#This Row],[N]],Tab_NewTRADER[[#This Row],[L_Bn]])*(Tab_NewTRADER[[#This Row],[M]]-Tab_NewTRADER[[#This Row],[L_Sp]])*Tab_NewTRADER[[#This Row],[Scale]]*ComFactor, TRUE,0),0)</f>
        <v>0</v>
      </c>
      <c r="AJ26" s="1433" cm="1">
        <f t="array" aca="1" ref="AJ26" ca="1">_xlfn.IFS(Tab_NewTRADER[[#This Row],[M_State]]=MUp,                 MIN(Tab_NewTRADER[[#This Row],[L_Sn]],Tab_NewTRADER[[#This Row],[N]])*(Tab_NewTRADER[[#This Row],[M]]-Tab_NewTRADER[[#This Row],[A]])*Tab_NewTRADER[[#This Row],[Scale]]*ComFactor, TRUE,0)</f>
        <v>0</v>
      </c>
      <c r="AK26" s="1433" cm="1">
        <f t="array" aca="1" ref="AK26" ca="1">_xlfn.IFS(Tab_NewTRADER[[#This Row],[M_State]]=MUp,                  Tab_NewTRADER[[#This Row],[N]]*(Tab_NewTRADER[[#This Row],[M]]-Tab_NewTRADER[[#This Row],[A]])*Tab_NewTRADER[[#This Row],[Scale]]*ComFactor, TRUE,0)</f>
        <v>0</v>
      </c>
      <c r="AL26" s="1435" t="str">
        <f ca="1">TEXT(Tab_NewTRADER[[#This Row],[L_Sn]],"#,#0")&amp;" x "&amp;TEXT(Tab_NewTRADER[[#This Row],[L_Sp]],"#,#0.#0")</f>
        <v>10,000 x 399.20</v>
      </c>
      <c r="AM26" s="1465" t="str" cm="1">
        <f t="array" aca="1" ref="AM26" ca="1">_xlfn.IFS(Tab_NewTRADER[[#This Row],[M_State]]=RePurchaseGain,TEXT(-Tab_NewTRADER[[#This Row],[Buy_Back]],"#,#0")&amp;"       / "&amp;TEXT(Tab_NewTRADER[[#This Row],[Rev_Buy]],"#,#00.0)%"),TRUE,"M = "&amp;Tab_NewTRADER[[#This Row],[M]])</f>
        <v>2,154       / 05.4)%</v>
      </c>
      <c r="AN26" s="1435" cm="1">
        <f t="array" aca="1" ref="AN26" ca="1">_xlfn.IFS(Tab_NewTRADER[[#This Row],[M_State]]=MDown,TEXT(Tab_NewTRADER[[#This Row],[L_Sn]]*(Tab_NewTRADER[[#This Row],[M]]-Tab_NewTRADER[[#This Row],[L_Sp]])*ComFactor,"#,#0")&amp;"       / "&amp;TEXT((TabTRADER[[#This Row],[M]]-TabTRADER[[#This Row],[L_Sp]])/TabTRADER[[#This Row],[M]],"#,#00.0)%"),TRUE,0)</f>
        <v>0</v>
      </c>
      <c r="AO26" s="1486" cm="1">
        <f t="array" aca="1" ref="AO26" ca="1">_xlfn.IFS(Tab_NewTRADER[[#This Row],[M_State]]=MDown,TEXT(Tab_NewTRADER[[#This Row],[N]]*(Tab_NewTRADER[[#This Row],[M]]-Tab_NewTRADER[[#This Row],[A]])*Tab_NewTRADER[[#This Row],[Scale]]*ComFactor,"#,#0")&amp;"       / "&amp;TEXT((TabTRADER[[#This Row],[M]]-TabTRADER[[#This Row],[L_Bp]])/TabTRADER[[#This Row],[M]],"#,#00.0%"),TRUE,0)</f>
        <v>0</v>
      </c>
      <c r="AP26" s="1435" t="str" cm="1">
        <f t="array" aca="1" ref="AP26" ca="1">_xlfn.IFS(Tab_NewTRADER[[#This Row],[M_State]]=MDown,TEXT(Tab_NewTRADER[[#This Row],[N]]*Tab_NewTRADER[[#This Row],[M]],"#,#0")&amp;" @ "&amp;TEXT(Tab_NewTRADER[[#This Row],[A]],"#,#0.#0"),TRUE,"M = "&amp; Tab_NewTRADER[[#This Row],[M]])</f>
        <v>M = 377.6</v>
      </c>
      <c r="AQ26" s="760">
        <f ca="1">Tab_NewTRADER[[#This Row],[N]]*(Tab_NewTRADER[[#This Row],[M]]-Tab_NewTRADER[[#This Row],[A]])*(1-Commission)*Tab_NewTRADER[[#This Row],[Scale]]</f>
        <v>103607.93714800006</v>
      </c>
      <c r="AR26" s="760">
        <f ca="1">Tab_NewTRADER[[#This Row],[M]]*Tab_NewTRADER[[#This Row],[N]]*(1-Commission)*Tab_NewTRADER[[#This Row],[Scale]]</f>
        <v>376618.23999999999</v>
      </c>
      <c r="AS26" s="1174" cm="1">
        <f t="array" aca="1" ref="AS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5.4108216432865647E-2</v>
      </c>
      <c r="AT26" s="1174" t="str" cm="1">
        <f t="array" aca="1" ref="AT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26" s="825" t="str" cm="1">
        <f t="array" aca="1" ref="AU26" ca="1">_xlfn.IFS(   Tab_NewTRADER[[#This Row],[M_State]]=SellMorePercentGain,                     MIN(Tab_NewTRADER[[#This Row],[L_Sn]],Tab_NewTRADER[[#This Row],[N]])*(Tab_NewTRADER[[#This Row],[M]]-Tab_NewTRADER[[#This Row],[L_Sp]])*(1-Commission)*Tab_NewTRADER[[#This Row],[Scale]],                    TRUE,"")</f>
        <v/>
      </c>
      <c r="AV26" s="1163">
        <f ca="1">_xlfn.XLOOKUP(Tab_NewTRADER[[#This Row],[ClickTick]],TabCalc[Ticker],TabCalc[Ann%RevLB])</f>
        <v>0.80129914802610269</v>
      </c>
      <c r="AW26" s="1267">
        <f ca="1">_xlfn.XLOOKUP(Tab_NewTRADER[[#This Row],[ClickTick]],TabCalc[Ticker],TabCalc[Up20])</f>
        <v>0</v>
      </c>
      <c r="AX26" s="1175" t="str" cm="1">
        <f t="array" aca="1" ref="AX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6" s="825" t="str" cm="1">
        <f t="array" aca="1" ref="AY26" ca="1">_xlfn.IFS(         Tab_NewTRADER[[#This Row],[M_State]]=MDown,Tab_NewTRADER[[#This Row],[L_Bn]]*Tab_NewTRADER[[#This Row],[M]]*(-(Tab_NewTRADER[[#This Row],[L_Bp]]+Tab_NewTRADER[[#This Row],[M]])/Tab_NewTRADER[[#This Row],[M]])*(1-Commission)*Tab_NewTRADER[[#This Row],[Scale]],                               TRUE,"")</f>
        <v/>
      </c>
      <c r="AZ26" s="1174" t="str" cm="1">
        <f t="array" aca="1" ref="AZ26" ca="1">_xlfn.IFS(   Tab_NewTRADER[[#This Row],[M_State]]=MUp,Tab_NewTRADER[[#This Row],[TakeGain_A]]-Commission,        Tab_NewTRADER[[#This Row],[M_State]]=MDown,(Tab_NewTRADER[[#This Row],[A]]-Tab_NewTRADER[[#This Row],[M]])/Tab_NewTRADER[[#This Row],[M]]-Commission,                              TRUE,"")</f>
        <v/>
      </c>
      <c r="BA26" s="760" cm="1">
        <f t="array" aca="1" ref="BA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103607.93714800006</v>
      </c>
      <c r="BB26" s="760" t="str" cm="1">
        <f t="array" aca="1" ref="BB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C26" s="736" t="str" cm="1">
        <f t="array" aca="1" ref="BC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26" s="765" cm="1">
        <f t="array" aca="1" ref="BD26" ca="1">_xlfn.IFS(Tab_NewTRADER[[#This Row],[M_State]]=Sale_Back,"",         Tab_NewTRADER[[#This Row],[M_State]]=MDown, (Tab_NewTRADER[[#This Row],[M]]-Tab_NewTRADER[[#This Row],[A]])/Tab_NewTRADER[[#This Row],[A]]*ComFactor,             TRUE, IFERROR((Tab_NewTRADER[[#This Row],[M]]-Tab_NewTRADER[[#This Row],[A]])/Tab_NewTRADER[[#This Row],[A]]*ComFactor,""))</f>
        <v>0.37851522609912452</v>
      </c>
      <c r="BE26" s="762" cm="1">
        <f t="array" aca="1" ref="BE26" ca="1">_xlfn.IFS(               Tab_NewTRADER[[#This Row],[M_State]]=NoStock,(Tab_NewTRADER[[#This Row],[L_Sp]]-Tab_NewTRADER[[#This Row],[M]])/Tab_NewTRADER[[#This Row],[M]]-Commission,             Tab_NewTRADER[[#This Row],[A]]&lt;&gt;0,(Tab_NewTRADER[[#This Row],[A]]-Tab_NewTRADER[[#This Row],[M]])/Tab_NewTRADER[[#This Row],[M]]-Commission)</f>
        <v>-0.27770068855932212</v>
      </c>
      <c r="BF26" s="324">
        <f ca="1">_xlfn.XLOOKUP(Tab_NewTRADER[[#This Row],[ClickTick]],TabCalc[Ticker],TabCalc[L_Sn])</f>
        <v>10000</v>
      </c>
      <c r="BG26" s="728">
        <f ca="1">_xlfn.XLOOKUP(Tab_NewTRADER[[#This Row],[ClickTick]],TabCalc[Ticker],TabCalc[L_Sp])</f>
        <v>399.2</v>
      </c>
      <c r="BH26" s="764">
        <f ca="1">-IFERROR((Tab_NewTRADER[[#This Row],[M]]-Tab_NewTRADER[[#This Row],[L_Sp]])/Tab_NewTRADER[[#This Row],[L_Sp]],0)</f>
        <v>5.4108216432865647E-2</v>
      </c>
      <c r="BI26" s="729">
        <f ca="1">MIN(Tab_NewTRADER[[#This Row],[L_Sn]],Tab_NewTRADER[[#This Row],[N]])*(Tab_NewTRADER[[#This Row],[M]]-Tab_NewTRADER[[#This Row],[L_Sp]])*(1-Commission)*Tab_NewTRADER[[#This Row],[Scale]]</f>
        <v>-2154.3839999999964</v>
      </c>
      <c r="BJ26" s="692">
        <f ca="1">Tab_NewTRADER[[#This Row],[L_Sn]]*(Tab_NewTRADER[[#This Row],[Agiotage]]-Tab_NewTRADER[[#This Row],[M]])/(Tab_NewTRADER[[#This Row],[L_Bn]]*Tab_NewTRADER[[#This Row],[M]])</f>
        <v>-0.49889038595223933</v>
      </c>
      <c r="BK26" s="635">
        <f ca="1">IFERROR((Tab_NewTRADER[[#This Row],[M]]-Tab_NewTRADER[[#This Row],[A]])/Tab_NewTRADER[[#This Row],[A]],0)</f>
        <v>0.37950193112003666</v>
      </c>
      <c r="BL26" s="638" t="str">
        <f ca="1">TEXT(_xlfn.XLOOKUP(Tab_NewTRADER[[#This Row],[ClickTick]],TabCalc[Ticker],TabCalc[NAfter]),"#,#0")&amp;" : "&amp;TEXT(_xlfn.XLOOKUP(Tab_NewTRADER[[#This Row],[ClickTick]],TabCalc[Ticker],TabCalc[NAfter])*(Tab_NewTRADER[[#This Row],[M]]-Tab_NewTRADER[[#This Row],[A]])*(1-Commission)*Tab_NewTRADER[[#This Row],[Scale]],"#,#0$")</f>
        <v>100,000 : 103,608$</v>
      </c>
      <c r="BM26" s="684">
        <f ca="1">_xlfn.XLOOKUP(Tab_NewTRADER[[#This Row],[ClickTick]],TabCalc[[#This Row],[Ticker]],TabCalc[[#This Row],[GL]])*(1-Commission)</f>
        <v>1145034.4985274905</v>
      </c>
      <c r="BN26" s="684"/>
      <c r="BO26" s="669" t="str">
        <f ca="1">Tab_NewTRADER[[#This Row],[ClickTick]]&amp;": "&amp;_xlfn.XLOOKUP(Tab_NewTRADER[[#This Row],[ClickTick]],TabCalc[Ticker],TabCalc[Pile?])</f>
        <v xml:space="preserve">IAG: </v>
      </c>
      <c r="BP26" s="351" t="s">
        <v>2065</v>
      </c>
      <c r="BQ26" s="755" t="str" cm="1">
        <f t="array" aca="1" ref="BQ26" ca="1">_xlfn.TEXTJOIN("",,INDEX({"M","A","Y"}, _xlfn.SORTBY({1,2,3}, -CHOOSE({1,2,3}, Tab_NewTRADER[[#This Row],[M]], Tab_NewTRADER[[#This Row],[A]], Tab_NewTRADER[[#This Row],[Agiotage]]))))</f>
        <v>MAY</v>
      </c>
      <c r="BR26" s="902" t="str" cm="1">
        <f t="array" aca="1" ref="BR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26" s="679">
        <f ca="1">Tab_NewTRADER[[#This Row],[L_Sn]]*Tab_NewTRADER[[#This Row],[L_Sp]]+Tab_NewTRADER[[#This Row],[SellMore]]*Tab_NewTRADER[[#This Row],[M]]</f>
        <v>7768000</v>
      </c>
      <c r="BT26" s="679">
        <f ca="1">INDEX(
  INDEX(TabConsolid[], , _xlfn.XMATCH(Tab_NewTRADER[[#This Row],[ClickTick]]&amp;1, TabConsolid[#Headers])),
  MATCH(
    -Tab_NewTRADER[[#This Row],[M]],
    INDEX(TabConsolid[], , _xlfn.XMATCH(Tab_NewTRADER[[#This Row],[ClickTick]]&amp;2, TabConsolid[#Headers])),
    -1
  )
)</f>
        <v>10000</v>
      </c>
      <c r="BU26" s="679" cm="1">
        <f t="array" aca="1" ref="BU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V26" s="1144">
        <f ca="1">Tab_NewTRADER[[#This Row],[ReBuy]]/(Tab_NewTRADER[[#This Row],[L_Sn]]+Tab_NewTRADER[[#This Row],[SellMore]])</f>
        <v>388.4</v>
      </c>
      <c r="BW26" s="687">
        <f ca="1">((_xlfn.XLOOKUP(Tab_NewTRADER[[#This Row],[ClickTick]],TabCalc[Ticker],TabCalc[NAfter])+Tab_NewTRADER[[#This Row],[L_Sn]])*(Tab_NewTRADER[[#This Row],[Agiotage]]-Tab_NewTRADER[[#This Row],[M]]))/(Tab_NewTRADER[[#This Row],[L_Sn]]*_xlfn.XLOOKUP(Tab_NewTRADER[[#This Row],[ClickTick]],TabCalc[Ticker],TabCalc[NAfter]))</f>
        <v>-4.1443822141824425E-2</v>
      </c>
      <c r="BX26" s="687">
        <f ca="1">(Tab_NewTRADER[[#This Row],[M]]-Tab_NewTRADER[[#This Row],[Agiotage]])/(Tab_NewTRADER[[#This Row],[M]]-Tab_NewTRADER[[#This Row],[A]])-1</f>
        <v>2.6269657379985771</v>
      </c>
      <c r="BY26" s="1262">
        <f ca="1">_xlfn.XMATCH(Tab_NewTRADER[[#This Row],[ClickTick]]&amp;1, TabConsolid[#Headers])</f>
        <v>71</v>
      </c>
      <c r="BZ26" t="b">
        <f ca="1">IF(ABS(Tab_NewTRADER[[#This Row],[L_Bp]])&gt;=Tab_NewTRADER[[#This Row],[M]],"OK")</f>
        <v>0</v>
      </c>
    </row>
    <row r="27" spans="1:78" ht="22" hidden="1" customHeight="1"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+7,720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5.7%</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1,295/6,000=87,500</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555$</v>
      </c>
      <c r="G27" s="225" t="str">
        <f ca="1">IFERROR(TRUNC(_xlfn.XLOOKUP(Tab_NewTRADER[[#This Row],[ClickTick]],TabCalc[Ticker],ListLastSalep),2)&amp;"x"&amp;_xlfn.XLOOKUP(Tab_NewTRADER[[#This Row],[ClickTick]],TabCalc[Ticker],ListLastSalen)&amp;"=   "&amp;TEXT(-_xlfn.XLOOKUP(Tab_NewTRADER[[#This Row],[ClickTick]],TabCalc[Ticker],ListReverseB),"#,#0")&amp;"$","")</f>
        <v>64.9x1000=   2,650$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3.9% = 0</v>
      </c>
      <c r="I27" s="226" t="str">
        <f ca="1">IFERROR(TRUNC(TabCalc[[#This Row],[L_S1p]],2)&amp;"x"&amp;TabCalc[[#This Row],[L_S1n]]&amp;"=   "&amp;TEXT(TabCalc[[#This Row],[ReverseB1]],"#,#0"),"")</f>
        <v>71.82x1000=   4,270</v>
      </c>
      <c r="J27" s="295">
        <f ca="1">_xlfn.XLOOKUP(Tab_NewTRADER[[#This Row],[ClickTick]],TabCalc[Ticker],ListGravity)</f>
        <v>1.1257653589933383</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67550</v>
      </c>
      <c r="M27" s="323">
        <f ca="1">_xlfn.XLOOKUP(Tab_NewTRADER[[#This Row],[ClickTick]],TabCalc[Ticker],TabCalc[Agiotage])</f>
        <v>0.37935129172396009</v>
      </c>
      <c r="N27" s="324" cm="1">
        <f t="array" aca="1" ref="N27" ca="1">_xlfn.XLOOKUP(Tab_NewTRADER[[#This Row],[ClickTick]],ListTickers,Tab2RSIConventional[RSIConv20])</f>
        <v>22</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6.0606060606060601E-2</v>
      </c>
      <c r="S27" s="683">
        <f ca="1">_xlfn.XLOOKUP(Tab_NewTRADER[[#This Row],[ClickTick]],TabCalc[Ticker],TabCalc[Rev(MinStock)])*(1-Commission)</f>
        <v>7699.927999999999</v>
      </c>
      <c r="T27" s="782">
        <f ca="1">_xlfn.XLOOKUP(Tab_NewTRADER[[#This Row],[ClickTick]],TabCalc[Ticker],TabCalc[Agiotage])</f>
        <v>0.37935129172396009</v>
      </c>
      <c r="U27" s="747"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-60/-60=&gt;0.3% / 0.3%</v>
      </c>
      <c r="V27" s="739" t="str">
        <f ca="1">_xlfn.XLOOKUP(Tab_NewTRADER[[#This Row],[ClickTick]],[1]!RTData[Ticker_Symbol],[1]!RTData[Currency])</f>
        <v>USD</v>
      </c>
      <c r="W27" s="749">
        <f ca="1">_xlfn.XLOOKUP(Tab_NewTRADER[[#This Row],[ClickTick]],TabCalc[Ticker],TabCalc[M])</f>
        <v>67.55</v>
      </c>
      <c r="X27" s="1315"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2.5230000000000001E-3</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^115K / 405 K$</v>
      </c>
      <c r="AF27" s="1450"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7" s="1531" t="str">
        <f ca="1">TEXT(MIN(Tab_NewTRADER[[#This Row],[L_Bn]],Tab_NewTRADER[[#This Row],[N]]),"#,#0")&amp;" x "&amp;TEXT(Tab_NewTRADER[[#This Row],[L_Bp]],"#,#0.#0")</f>
        <v>2,000 x -63.69</v>
      </c>
      <c r="AH27" s="1532" t="str" cm="1">
        <f t="array" aca="1" ref="AH27" ca="1">_xlfn.IFS(Tab_NewTRADER[[#This Row],[M_State]]=Sale_Back,Tab_NewTRADER[[#This Row],[Sale_Back_$]], TRUE,"M = "&amp;Tab_NewTRADER[[#This Row],[M]])</f>
        <v>M = 67.55</v>
      </c>
      <c r="AI27" s="1455" cm="1">
        <f t="array" aca="1" ref="AI27" ca="1">IF(Tab_NewTRADER[[#This Row],[M_State]]=MUp,_xlfn.IFS(Tab_NewTRADER[[#This Row],[M_State]]=MUp,MIN(Tab_NewTRADER[[#This Row],[N]],Tab_NewTRADER[[#This Row],[L_Bn]])*(Tab_NewTRADER[[#This Row],[M]]-Tab_NewTRADER[[#This Row],[L_Sp]])*Tab_NewTRADER[[#This Row],[Scale]]*ComFactor, TRUE,0),0)</f>
        <v>5286.2199999999821</v>
      </c>
      <c r="AJ27" s="1459" cm="1">
        <f t="array" aca="1" ref="AJ27" ca="1">_xlfn.IFS(Tab_NewTRADER[[#This Row],[M_State]]=MUp,                 MIN(Tab_NewTRADER[[#This Row],[L_Sn]],Tab_NewTRADER[[#This Row],[N]])*(Tab_NewTRADER[[#This Row],[M]]-Tab_NewTRADER[[#This Row],[A]])*Tab_NewTRADER[[#This Row],[Scale]]*ComFactor, TRUE,0)</f>
        <v>698.74994285713626</v>
      </c>
      <c r="AK27" s="1459" cm="1">
        <f t="array" aca="1" ref="AK27" ca="1">_xlfn.IFS(Tab_NewTRADER[[#This Row],[M_State]]=MUp,                  Tab_NewTRADER[[#This Row],[N]]*(Tab_NewTRADER[[#This Row],[M]]-Tab_NewTRADER[[#This Row],[A]])*Tab_NewTRADER[[#This Row],[Scale]]*ComFactor, TRUE,0)</f>
        <v>4192.4996571428173</v>
      </c>
      <c r="AL27" s="1452" t="str">
        <f ca="1">TEXT(Tab_NewTRADER[[#This Row],[L_Sn]],"#,#0")&amp;" x "&amp;TEXT(Tab_NewTRADER[[#This Row],[L_Sp]],"#,#0.#0")</f>
        <v>1,000 x 64.90</v>
      </c>
      <c r="AM27" s="1465" t="str" cm="1">
        <f t="array" aca="1" ref="AM27" ca="1">_xlfn.IFS(Tab_NewTRADER[[#This Row],[M_State]]=RePurchaseGain,TEXT(-Tab_NewTRADER[[#This Row],[Buy_Back]],"#,#0")&amp;"       / "&amp;TEXT(Tab_NewTRADER[[#This Row],[Rev_Buy]],"#,#00.0)%"),TRUE,"M = "&amp;Tab_NewTRADER[[#This Row],[M]])</f>
        <v>M = 67.55</v>
      </c>
      <c r="AN27" s="1435" cm="1">
        <f t="array" aca="1" ref="AN27" ca="1">_xlfn.IFS(Tab_NewTRADER[[#This Row],[M_State]]=MDown,TEXT(Tab_NewTRADER[[#This Row],[L_Sn]]*(Tab_NewTRADER[[#This Row],[M]]-Tab_NewTRADER[[#This Row],[L_Sp]])*ComFactor,"#,#0")&amp;"       / "&amp;TEXT((TabTRADER[[#This Row],[M]]-TabTRADER[[#This Row],[L_Sp]])/TabTRADER[[#This Row],[M]],"#,#00.0)%"),TRUE,0)</f>
        <v>0</v>
      </c>
      <c r="AO27" s="1486" cm="1">
        <f t="array" aca="1" ref="AO27" ca="1">_xlfn.IFS(Tab_NewTRADER[[#This Row],[M_State]]=MDown,TEXT(Tab_NewTRADER[[#This Row],[N]]*(Tab_NewTRADER[[#This Row],[M]]-Tab_NewTRADER[[#This Row],[A]])*Tab_NewTRADER[[#This Row],[Scale]]*ComFactor,"#,#0")&amp;"       / "&amp;TEXT((TabTRADER[[#This Row],[M]]-TabTRADER[[#This Row],[L_Bp]])/TabTRADER[[#This Row],[M]],"#,#00.0%"),TRUE,0)</f>
        <v>0</v>
      </c>
      <c r="AP27" s="1435" t="str" cm="1">
        <f t="array" aca="1" ref="AP27" ca="1">_xlfn.IFS(Tab_NewTRADER[[#This Row],[M_State]]=MDown,TEXT(Tab_NewTRADER[[#This Row],[N]]*Tab_NewTRADER[[#This Row],[M]],"#,#0")&amp;" @ "&amp;TEXT(Tab_NewTRADER[[#This Row],[A]],"#,#0.#0"),TRUE,"M = "&amp; Tab_NewTRADER[[#This Row],[M]])</f>
        <v>M = 67.55</v>
      </c>
      <c r="AQ27" s="1165">
        <f ca="1">Tab_NewTRADER[[#This Row],[N]]*(Tab_NewTRADER[[#This Row],[M]]-Tab_NewTRADER[[#This Row],[A]])*(1-Commission)*Tab_NewTRADER[[#This Row],[Scale]]</f>
        <v>4192.4996571428173</v>
      </c>
      <c r="AR27" s="1165">
        <f ca="1">Tab_NewTRADER[[#This Row],[M]]*Tab_NewTRADER[[#This Row],[N]]*(1-Commission)*Tab_NewTRADER[[#This Row],[Scale]]</f>
        <v>404246.22</v>
      </c>
      <c r="AS27" s="1174" cm="1">
        <f t="array" aca="1" ref="AS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1.0479841691135203E-2</v>
      </c>
      <c r="AT27" s="1174" cm="1">
        <f t="array" aca="1" ref="AT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3.6630199851961386E-2</v>
      </c>
      <c r="AU27" s="825" cm="1">
        <f t="array" aca="1" ref="AU27" ca="1">_xlfn.IFS(   Tab_NewTRADER[[#This Row],[M_State]]=SellMorePercentGain,                     MIN(Tab_NewTRADER[[#This Row],[L_Sn]],Tab_NewTRADER[[#This Row],[N]])*(Tab_NewTRADER[[#This Row],[M]]-Tab_NewTRADER[[#This Row],[L_Sp]])*(1-Commission)*Tab_NewTRADER[[#This Row],[Scale]],                    TRUE,"")</f>
        <v>2643.109999999991</v>
      </c>
      <c r="AV27" s="1163">
        <f ca="1">_xlfn.XLOOKUP(Tab_NewTRADER[[#This Row],[ClickTick]],TabCalc[Ticker],TabCalc[Ann%RevLB])</f>
        <v>1.4545454545454546</v>
      </c>
      <c r="AW27" s="1267">
        <f ca="1">_xlfn.XLOOKUP(Tab_NewTRADER[[#This Row],[ClickTick]],TabCalc[Ticker],TabCalc[Up20])</f>
        <v>0</v>
      </c>
      <c r="AX27" s="1175" t="str" cm="1">
        <f t="array" aca="1" ref="AX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7" s="825" t="str" cm="1">
        <f t="array" aca="1" ref="AY27" ca="1">_xlfn.IFS(         Tab_NewTRADER[[#This Row],[M_State]]=MDown,Tab_NewTRADER[[#This Row],[L_Bn]]*Tab_NewTRADER[[#This Row],[M]]*(-(Tab_NewTRADER[[#This Row],[L_Bp]]+Tab_NewTRADER[[#This Row],[M]])/Tab_NewTRADER[[#This Row],[M]])*(1-Commission)*Tab_NewTRADER[[#This Row],[Scale]],                               TRUE,"")</f>
        <v/>
      </c>
      <c r="AZ27" s="1174" cm="1">
        <f t="array" aca="1" ref="AZ27" ca="1">_xlfn.IFS(   Tab_NewTRADER[[#This Row],[M_State]]=MUp,Tab_NewTRADER[[#This Row],[TakeGain_A]]-Commission,        Tab_NewTRADER[[#This Row],[M_State]]=MDown,(Tab_NewTRADER[[#This Row],[A]]-Tab_NewTRADER[[#This Row],[M]])/Tab_NewTRADER[[#This Row],[M]]-Commission,                              TRUE,"")</f>
        <v>7.8798416911352032E-3</v>
      </c>
      <c r="BA27" s="825" cm="1">
        <f t="array" aca="1" ref="BA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4236.4363898398133</v>
      </c>
      <c r="BB27" s="760" t="str" cm="1">
        <f t="array" aca="1" ref="BB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-1.0%</v>
      </c>
      <c r="BC27" s="736" t="str" cm="1">
        <f t="array" aca="1" ref="BC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2,000x0.7</v>
      </c>
      <c r="BD27" s="765" cm="1">
        <f t="array" aca="1" ref="BD27" ca="1">_xlfn.IFS(Tab_NewTRADER[[#This Row],[M_State]]=Sale_Back,"",         Tab_NewTRADER[[#This Row],[M_State]]=MDown, (Tab_NewTRADER[[#This Row],[M]]-Tab_NewTRADER[[#This Row],[A]])/Tab_NewTRADER[[#This Row],[A]]*ComFactor,             TRUE, IFERROR((Tab_NewTRADER[[#This Row],[M]]-Tab_NewTRADER[[#This Row],[A]])/Tab_NewTRADER[[#This Row],[A]]*ComFactor,""))</f>
        <v>1.0452594102738251E-2</v>
      </c>
      <c r="BE27" s="762" cm="1">
        <f t="array" aca="1" ref="BE27" ca="1">_xlfn.IFS(               Tab_NewTRADER[[#This Row],[M_State]]=NoStock,(Tab_NewTRADER[[#This Row],[L_Sp]]-Tab_NewTRADER[[#This Row],[M]])/Tab_NewTRADER[[#This Row],[M]]-Commission,             Tab_NewTRADER[[#This Row],[A]]&lt;&gt;0,(Tab_NewTRADER[[#This Row],[A]]-Tab_NewTRADER[[#This Row],[M]])/Tab_NewTRADER[[#This Row],[M]]-Commission)</f>
        <v>-1.2971153642804174E-2</v>
      </c>
      <c r="BF27" s="324">
        <f ca="1">_xlfn.XLOOKUP(Tab_NewTRADER[[#This Row],[ClickTick]],TabCalc[Ticker],TabCalc[L_Sn])</f>
        <v>1000</v>
      </c>
      <c r="BG27" s="728">
        <f ca="1">_xlfn.XLOOKUP(Tab_NewTRADER[[#This Row],[ClickTick]],TabCalc[Ticker],TabCalc[L_Sp])</f>
        <v>64.900000000000006</v>
      </c>
      <c r="BH27" s="764">
        <f ca="1">-IFERROR((Tab_NewTRADER[[#This Row],[M]]-Tab_NewTRADER[[#This Row],[L_Sp]])/Tab_NewTRADER[[#This Row],[L_Sp]],0)</f>
        <v>-4.0832049306625443E-2</v>
      </c>
      <c r="BI27" s="729">
        <f ca="1">MIN(Tab_NewTRADER[[#This Row],[L_Sn]],Tab_NewTRADER[[#This Row],[N]])*(Tab_NewTRADER[[#This Row],[M]]-Tab_NewTRADER[[#This Row],[L_Sp]])*(1-Commission)*Tab_NewTRADER[[#This Row],[Scale]]</f>
        <v>2643.109999999991</v>
      </c>
      <c r="BJ27" s="692">
        <f ca="1">Tab_NewTRADER[[#This Row],[L_Sn]]*(Tab_NewTRADER[[#This Row],[Agiotage]]-Tab_NewTRADER[[#This Row],[M]])/(Tab_NewTRADER[[#This Row],[L_Bn]]*Tab_NewTRADER[[#This Row],[M]])</f>
        <v>-0.49719207037954127</v>
      </c>
      <c r="BK27" s="635">
        <f ca="1">IFERROR((Tab_NewTRADER[[#This Row],[M]]-Tab_NewTRADER[[#This Row],[A]])/Tab_NewTRADER[[#This Row],[A]],0)</f>
        <v>1.0479841691135203E-2</v>
      </c>
      <c r="BL27" s="638" t="str">
        <f ca="1">TEXT(_xlfn.XLOOKUP(Tab_NewTRADER[[#This Row],[ClickTick]],TabCalc[Ticker],TabCalc[NAfter]),"#,#0")&amp;" : "&amp;TEXT(_xlfn.XLOOKUP(Tab_NewTRADER[[#This Row],[ClickTick]],TabCalc[Ticker],TabCalc[NAfter])*(Tab_NewTRADER[[#This Row],[M]]-Tab_NewTRADER[[#This Row],[A]])*(1-Commission)*Tab_NewTRADER[[#This Row],[Scale]],"#,#0$")</f>
        <v>6,000 : 4,192$</v>
      </c>
      <c r="BM27" s="684">
        <f ca="1">_xlfn.XLOOKUP(Tab_NewTRADER[[#This Row],[ClickTick]],TabCalc[[#This Row],[Ticker]],TabCalc[[#This Row],[GL]])*(1-Commission)</f>
        <v>114485.12152118757</v>
      </c>
      <c r="BN27" s="684"/>
      <c r="BO27" s="669" t="str">
        <f ca="1">Tab_NewTRADER[[#This Row],[ClickTick]]&amp;": "&amp;_xlfn.XLOOKUP(Tab_NewTRADER[[#This Row],[ClickTick]],TabCalc[Ticker],TabCalc[Pile?])</f>
        <v>KR: Pile</v>
      </c>
      <c r="BP27" s="351" t="s">
        <v>2044</v>
      </c>
      <c r="BQ27" s="755" t="str" cm="1">
        <f t="array" aca="1" ref="BQ27" ca="1">_xlfn.TEXTJOIN("",,INDEX({"M","A","Y"}, _xlfn.SORTBY({1,2,3}, -CHOOSE({1,2,3}, Tab_NewTRADER[[#This Row],[M]], Tab_NewTRADER[[#This Row],[A]], Tab_NewTRADER[[#This Row],[Agiotage]]))))</f>
        <v>MAY</v>
      </c>
      <c r="BR27" s="902" cm="1">
        <f t="array" aca="1" ref="BR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3.9230199851961384E-2</v>
      </c>
      <c r="BS27" s="679">
        <f ca="1">Tab_NewTRADER[[#This Row],[L_Sn]]*Tab_NewTRADER[[#This Row],[L_Sp]]+Tab_NewTRADER[[#This Row],[SellMore]]*Tab_NewTRADER[[#This Row],[M]]</f>
        <v>109483</v>
      </c>
      <c r="BT27" s="679">
        <f ca="1">INDEX(
  INDEX(TabConsolid[], , _xlfn.XMATCH(Tab_NewTRADER[[#This Row],[ClickTick]]&amp;1, TabConsolid[#Headers])),
  MATCH(
    -Tab_NewTRADER[[#This Row],[M]],
    INDEX(TabConsolid[], , _xlfn.XMATCH(Tab_NewTRADER[[#This Row],[ClickTick]]&amp;2, TabConsolid[#Headers])),
    -1
  )
)</f>
        <v>660</v>
      </c>
      <c r="BU27" s="679" cm="1">
        <f t="array" aca="1" ref="BU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660</v>
      </c>
      <c r="BV27" s="1144">
        <f ca="1">Tab_NewTRADER[[#This Row],[ReBuy]]/(Tab_NewTRADER[[#This Row],[L_Sn]]+Tab_NewTRADER[[#This Row],[SellMore]])</f>
        <v>65.953614457831321</v>
      </c>
      <c r="BW27" s="687">
        <f ca="1">((_xlfn.XLOOKUP(Tab_NewTRADER[[#This Row],[ClickTick]],TabCalc[Ticker],TabCalc[NAfter])+Tab_NewTRADER[[#This Row],[L_Sn]])*(Tab_NewTRADER[[#This Row],[Agiotage]]-Tab_NewTRADER[[#This Row],[M]]))/(Tab_NewTRADER[[#This Row],[L_Sn]]*_xlfn.XLOOKUP(Tab_NewTRADER[[#This Row],[ClickTick]],TabCalc[Ticker],TabCalc[NAfter]))</f>
        <v>-7.8365756826322047E-2</v>
      </c>
      <c r="BX27" s="687">
        <f ca="1">(Tab_NewTRADER[[#This Row],[M]]-Tab_NewTRADER[[#This Row],[Agiotage]])/(Tab_NewTRADER[[#This Row],[M]]-Tab_NewTRADER[[#This Row],[A]])-1</f>
        <v>94.87980035846995</v>
      </c>
      <c r="BY27" s="1262">
        <f ca="1">_xlfn.XMATCH(Tab_NewTRADER[[#This Row],[ClickTick]]&amp;1, TabConsolid[#Headers])</f>
        <v>74</v>
      </c>
      <c r="BZ27" t="b">
        <f ca="1">IF(ABS(Tab_NewTRADER[[#This Row],[L_Bp]])&gt;=Tab_NewTRADER[[#This Row],[M]],"OK")</f>
        <v>0</v>
      </c>
    </row>
    <row r="28" spans="1:78" ht="22" hidden="1" customHeight="1" thickBo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26.5%</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4,890$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16.2% = 0</v>
      </c>
      <c r="I28" s="226" t="str">
        <f ca="1">IFERROR(TRUNC(TabCalc[[#This Row],[L_S1p]],2)&amp;"x"&amp;TabCalc[[#This Row],[L_S1n]]&amp;"=   "&amp;TEXT(TabCalc[[#This Row],[ReverseB1]],"#,#0"),"")</f>
        <v>4.96x2276=   -11,669</v>
      </c>
      <c r="J28" s="295">
        <f ca="1">_xlfn.XLOOKUP(Tab_NewTRADER[[#This Row],[ClickTick]],TabCalc[Ticker],ListGravity)</f>
        <v>1.4866204162537167</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0.23353369276031477</v>
      </c>
      <c r="N28" s="324" cm="1">
        <f t="array" aca="1" ref="N28" ca="1">_xlfn.XLOOKUP(Tab_NewTRADER[[#This Row],[ClickTick]],ListTickers,Tab2RSIConventional[RSIConv20])</f>
        <v>50</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0.35983827493261455</v>
      </c>
      <c r="S28" s="683">
        <f ca="1">_xlfn.XLOOKUP(Tab_NewTRADER[[#This Row],[ClickTick]],TabCalc[Ticker],TabCalc[Rev(MinStock)])*(1-Commission)</f>
        <v>0</v>
      </c>
      <c r="T28" s="782">
        <f ca="1">_xlfn.XLOOKUP(Tab_NewTRADER[[#This Row],[ClickTick]],TabCalc[Ticker],TabCalc[Agiotage])</f>
        <v>0.23353369276031477</v>
      </c>
      <c r="U28" s="747"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1.2%</v>
      </c>
      <c r="V28" s="739" t="str">
        <f ca="1">_xlfn.XLOOKUP(Tab_NewTRADER[[#This Row],[ClickTick]],[1]!RTData[Ticker_Symbol],[1]!RTData[Currency])</f>
        <v>USD</v>
      </c>
      <c r="W28" s="749">
        <f ca="1">_xlfn.XLOOKUP(Tab_NewTRADER[[#This Row],[ClickTick]],TabCalc[Ticker],TabCalc[M])</f>
        <v>10.09</v>
      </c>
      <c r="X28" s="1315"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1.2036E-2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F28" s="1182"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28" s="1530" t="str">
        <f ca="1">TEXT(MIN(Tab_NewTRADER[[#This Row],[L_Bn]],Tab_NewTRADER[[#This Row],[N]]),"#,#0")&amp;" x "&amp;TEXT(Tab_NewTRADER[[#This Row],[L_Bp]],"#,#0.#0")</f>
        <v>0 x -7.42</v>
      </c>
      <c r="AH28" s="1530" t="str" cm="1">
        <f t="array" aca="1" ref="AH28" ca="1">_xlfn.IFS(Tab_NewTRADER[[#This Row],[M_State]]=Sale_Back,Tab_NewTRADER[[#This Row],[Sale_Back_$]], TRUE,"M = "&amp;Tab_NewTRADER[[#This Row],[M]])</f>
        <v>M = 10.09</v>
      </c>
      <c r="AI28" s="1433" cm="1">
        <f t="array" aca="1" ref="AI28" ca="1">IF(Tab_NewTRADER[[#This Row],[M_State]]=MUp,_xlfn.IFS(Tab_NewTRADER[[#This Row],[M_State]]=MUp,MIN(Tab_NewTRADER[[#This Row],[N]],Tab_NewTRADER[[#This Row],[L_Bn]])*(Tab_NewTRADER[[#This Row],[M]]-Tab_NewTRADER[[#This Row],[L_Sp]])*Tab_NewTRADER[[#This Row],[Scale]]*ComFactor, TRUE,0),0)</f>
        <v>0</v>
      </c>
      <c r="AJ28" s="1433" cm="1">
        <f t="array" aca="1" ref="AJ28" ca="1">_xlfn.IFS(Tab_NewTRADER[[#This Row],[M_State]]=MUp,                 MIN(Tab_NewTRADER[[#This Row],[L_Sn]],Tab_NewTRADER[[#This Row],[N]])*(Tab_NewTRADER[[#This Row],[M]]-Tab_NewTRADER[[#This Row],[A]])*Tab_NewTRADER[[#This Row],[Scale]]*ComFactor, TRUE,0)</f>
        <v>0</v>
      </c>
      <c r="AK28" s="1433" cm="1">
        <f t="array" aca="1" ref="AK28" ca="1">_xlfn.IFS(Tab_NewTRADER[[#This Row],[M_State]]=MUp,                  Tab_NewTRADER[[#This Row],[N]]*(Tab_NewTRADER[[#This Row],[M]]-Tab_NewTRADER[[#This Row],[A]])*Tab_NewTRADER[[#This Row],[Scale]]*ComFactor, TRUE,0)</f>
        <v>0</v>
      </c>
      <c r="AL28" s="1435" t="str">
        <f ca="1">TEXT(Tab_NewTRADER[[#This Row],[L_Sn]],"#,#0")&amp;" x "&amp;TEXT(Tab_NewTRADER[[#This Row],[L_Sp]],"#,#0.#0")</f>
        <v>3,000 x 8.46</v>
      </c>
      <c r="AM28" s="1465" t="str" cm="1">
        <f t="array" aca="1" ref="AM28" ca="1">_xlfn.IFS(Tab_NewTRADER[[#This Row],[M_State]]=RePurchaseGain,TEXT(-Tab_NewTRADER[[#This Row],[Buy_Back]],"#,#0")&amp;"       / "&amp;TEXT(Tab_NewTRADER[[#This Row],[Rev_Buy]],"#,#00.0)%"),TRUE,"M = "&amp;Tab_NewTRADER[[#This Row],[M]])</f>
        <v>M = 10.09</v>
      </c>
      <c r="AN28" s="1435" cm="1">
        <f t="array" aca="1" ref="AN28" ca="1">_xlfn.IFS(Tab_NewTRADER[[#This Row],[M_State]]=MDown,TEXT(Tab_NewTRADER[[#This Row],[L_Sn]]*(Tab_NewTRADER[[#This Row],[M]]-Tab_NewTRADER[[#This Row],[L_Sp]])*ComFactor,"#,#0")&amp;"       / "&amp;TEXT((TabTRADER[[#This Row],[M]]-TabTRADER[[#This Row],[L_Sp]])/TabTRADER[[#This Row],[M]],"#,#00.0)%"),TRUE,0)</f>
        <v>0</v>
      </c>
      <c r="AO28" s="1486" cm="1">
        <f t="array" aca="1" ref="AO28" ca="1">_xlfn.IFS(Tab_NewTRADER[[#This Row],[M_State]]=MDown,TEXT(Tab_NewTRADER[[#This Row],[N]]*(Tab_NewTRADER[[#This Row],[M]]-Tab_NewTRADER[[#This Row],[A]])*Tab_NewTRADER[[#This Row],[Scale]]*ComFactor,"#,#0")&amp;"       / "&amp;TEXT((TabTRADER[[#This Row],[M]]-TabTRADER[[#This Row],[L_Bp]])/TabTRADER[[#This Row],[M]],"#,#00.0%"),TRUE,0)</f>
        <v>0</v>
      </c>
      <c r="AP28" s="1435" t="str" cm="1">
        <f t="array" aca="1" ref="AP28" ca="1">_xlfn.IFS(Tab_NewTRADER[[#This Row],[M_State]]=MDown,TEXT(Tab_NewTRADER[[#This Row],[N]]*Tab_NewTRADER[[#This Row],[M]],"#,#0")&amp;" @ "&amp;TEXT(Tab_NewTRADER[[#This Row],[A]],"#,#0.#0"),TRUE,"M = "&amp; Tab_NewTRADER[[#This Row],[M]])</f>
        <v>M = 10.09</v>
      </c>
      <c r="AQ28" s="1165">
        <f ca="1">Tab_NewTRADER[[#This Row],[N]]*(Tab_NewTRADER[[#This Row],[M]]-Tab_NewTRADER[[#This Row],[A]])*(1-Commission)*Tab_NewTRADER[[#This Row],[Scale]]</f>
        <v>0</v>
      </c>
      <c r="AR28" s="1165">
        <f ca="1">Tab_NewTRADER[[#This Row],[M]]*Tab_NewTRADER[[#This Row],[N]]*(1-Commission)*Tab_NewTRADER[[#This Row],[Scale]]</f>
        <v>0</v>
      </c>
      <c r="AS28" s="1174" t="str" cm="1">
        <f t="array" aca="1" ref="AS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28" s="1174" t="str" cm="1">
        <f t="array" aca="1" ref="AT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28" s="825" t="str" cm="1">
        <f t="array" aca="1" ref="AU28" ca="1">_xlfn.IFS(   Tab_NewTRADER[[#This Row],[M_State]]=SellMorePercentGain,                     MIN(Tab_NewTRADER[[#This Row],[L_Sn]],Tab_NewTRADER[[#This Row],[N]])*(Tab_NewTRADER[[#This Row],[M]]-Tab_NewTRADER[[#This Row],[L_Sp]])*(1-Commission)*Tab_NewTRADER[[#This Row],[Scale]],                    TRUE,"")</f>
        <v/>
      </c>
      <c r="AV28" s="1180">
        <f ca="1">_xlfn.XLOOKUP(Tab_NewTRADER[[#This Row],[ClickTick]],TabCalc[Ticker],TabCalc[Ann%RevLB])</f>
        <v>0.38439697025442504</v>
      </c>
      <c r="AW28" s="1266">
        <f ca="1">_xlfn.XLOOKUP(Tab_NewTRADER[[#This Row],[ClickTick]],TabCalc[Ticker],TabCalc[Up20])</f>
        <v>0</v>
      </c>
      <c r="AX28" s="1175" t="str" cm="1">
        <f t="array" aca="1" ref="AX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8" s="825" t="str" cm="1">
        <f t="array" aca="1" ref="AY28" ca="1">_xlfn.IFS(         Tab_NewTRADER[[#This Row],[M_State]]=MDown,Tab_NewTRADER[[#This Row],[L_Bn]]*Tab_NewTRADER[[#This Row],[M]]*(-(Tab_NewTRADER[[#This Row],[L_Bp]]+Tab_NewTRADER[[#This Row],[M]])/Tab_NewTRADER[[#This Row],[M]])*(1-Commission)*Tab_NewTRADER[[#This Row],[Scale]],                               TRUE,"")</f>
        <v/>
      </c>
      <c r="AZ28" s="1174" t="str" cm="1">
        <f t="array" aca="1" ref="AZ28" ca="1">_xlfn.IFS(   Tab_NewTRADER[[#This Row],[M_State]]=MUp,Tab_NewTRADER[[#This Row],[TakeGain_A]]-Commission,        Tab_NewTRADER[[#This Row],[M_State]]=MDown,(Tab_NewTRADER[[#This Row],[A]]-Tab_NewTRADER[[#This Row],[M]])/Tab_NewTRADER[[#This Row],[M]]-Commission,                              TRUE,"")</f>
        <v/>
      </c>
      <c r="BA28" s="825" cm="1">
        <f t="array" aca="1" ref="BA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28" s="760" t="str" cm="1">
        <f t="array" aca="1" ref="BB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-3.2%</v>
      </c>
      <c r="BC28" s="736" t="str" cm="1">
        <f t="array" aca="1" ref="BC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0x10.09</v>
      </c>
      <c r="BD28" s="765" t="str" cm="1">
        <f t="array" aca="1" ref="BD28" ca="1">_xlfn.IFS(Tab_NewTRADER[[#This Row],[M_State]]=Sale_Back,"",         Tab_NewTRADER[[#This Row],[M_State]]=MDown, (Tab_NewTRADER[[#This Row],[M]]-Tab_NewTRADER[[#This Row],[A]])/Tab_NewTRADER[[#This Row],[A]]*ComFactor,             TRUE, IFERROR((Tab_NewTRADER[[#This Row],[M]]-Tab_NewTRADER[[#This Row],[A]])/Tab_NewTRADER[[#This Row],[A]]*ComFactor,""))</f>
        <v/>
      </c>
      <c r="BE28" s="762" cm="1">
        <f t="array" aca="1" ref="BE28" ca="1">_xlfn.IFS(               Tab_NewTRADER[[#This Row],[M_State]]=NoStock,(Tab_NewTRADER[[#This Row],[L_Sp]]-Tab_NewTRADER[[#This Row],[M]])/Tab_NewTRADER[[#This Row],[M]]-Commission,             Tab_NewTRADER[[#This Row],[A]]&lt;&gt;0,(Tab_NewTRADER[[#This Row],[A]]-Tab_NewTRADER[[#This Row],[M]])/Tab_NewTRADER[[#This Row],[M]]-Commission)</f>
        <v>-0.16414608523290375</v>
      </c>
      <c r="BF28" s="324">
        <f ca="1">_xlfn.XLOOKUP(Tab_NewTRADER[[#This Row],[ClickTick]],TabCalc[Ticker],TabCalc[L_Sn])</f>
        <v>3000</v>
      </c>
      <c r="BG28" s="728">
        <f ca="1">_xlfn.XLOOKUP(Tab_NewTRADER[[#This Row],[ClickTick]],TabCalc[Ticker],TabCalc[L_Sp])</f>
        <v>8.4600000000000009</v>
      </c>
      <c r="BH28" s="764">
        <f ca="1">-IFERROR((Tab_NewTRADER[[#This Row],[M]]-Tab_NewTRADER[[#This Row],[L_Sp]])/Tab_NewTRADER[[#This Row],[L_Sp]],0)</f>
        <v>-0.19267139479905424</v>
      </c>
      <c r="BI28" s="729">
        <f ca="1">MIN(Tab_NewTRADER[[#This Row],[L_Sn]],Tab_NewTRADER[[#This Row],[N]])*(Tab_NewTRADER[[#This Row],[M]]-Tab_NewTRADER[[#This Row],[L_Sp]])*(1-Commission)*Tab_NewTRADER[[#This Row],[Scale]]</f>
        <v>0</v>
      </c>
      <c r="BJ28" s="692">
        <f ca="1">Tab_NewTRADER[[#This Row],[L_Sn]]*(Tab_NewTRADER[[#This Row],[Agiotage]]-Tab_NewTRADER[[#This Row],[M]])/(Tab_NewTRADER[[#This Row],[L_Bn]]*Tab_NewTRADER[[#This Row],[M]])</f>
        <v>-0.97685493629729292</v>
      </c>
      <c r="BK28" s="635">
        <f ca="1">IFERROR((Tab_NewTRADER[[#This Row],[M]]-Tab_NewTRADER[[#This Row],[A]])/Tab_NewTRADER[[#This Row],[A]],0)</f>
        <v>0</v>
      </c>
      <c r="BL28" s="638" t="str">
        <f ca="1">TEXT(_xlfn.XLOOKUP(Tab_NewTRADER[[#This Row],[ClickTick]],TabCalc[Ticker],TabCalc[NAfter]),"#,#0")&amp;" : "&amp;TEXT(_xlfn.XLOOKUP(Tab_NewTRADER[[#This Row],[ClickTick]],TabCalc[Ticker],TabCalc[NAfter])*(Tab_NewTRADER[[#This Row],[M]]-Tab_NewTRADER[[#This Row],[A]])*(1-Commission)*Tab_NewTRADER[[#This Row],[Scale]],"#,#0$")</f>
        <v>0 : 0$</v>
      </c>
      <c r="BM28" s="684">
        <f ca="1">_xlfn.XLOOKUP(Tab_NewTRADER[[#This Row],[ClickTick]],TabCalc[[#This Row],[Ticker]],TabCalc[[#This Row],[GL]])*(1-Commission)</f>
        <v>-16028.876444062746</v>
      </c>
      <c r="BN28" s="684"/>
      <c r="BO28" s="669" t="str">
        <f ca="1">Tab_NewTRADER[[#This Row],[ClickTick]]&amp;": "&amp;_xlfn.XLOOKUP(Tab_NewTRADER[[#This Row],[ClickTick]],TabCalc[Ticker],TabCalc[Pile?])</f>
        <v xml:space="preserve">LNSR: </v>
      </c>
      <c r="BP28" s="351" t="s">
        <v>2050</v>
      </c>
      <c r="BQ28" s="755" t="str" cm="1">
        <f t="array" aca="1" ref="BQ28" ca="1">_xlfn.TEXTJOIN("",,INDEX({"M","A","Y"}, _xlfn.SORTBY({1,2,3}, -CHOOSE({1,2,3}, Tab_NewTRADER[[#This Row],[M]], Tab_NewTRADER[[#This Row],[A]], Tab_NewTRADER[[#This Row],[Agiotage]]))))</f>
        <v>MYA</v>
      </c>
      <c r="BR28" s="902" t="str" cm="1">
        <f t="array" aca="1" ref="BR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28" s="679" t="e">
        <f ca="1">Tab_NewTRADER[[#This Row],[L_Sn]]*Tab_NewTRADER[[#This Row],[L_Sp]]+Tab_NewTRADER[[#This Row],[SellMore]]*Tab_NewTRADER[[#This Row],[M]]</f>
        <v>#N/A</v>
      </c>
      <c r="BT28" s="679" t="e">
        <f ca="1">INDEX(
  INDEX(TabConsolid[], , _xlfn.XMATCH(Tab_NewTRADER[[#This Row],[ClickTick]]&amp;1, TabConsolid[#Headers])),
  MATCH(
    -Tab_NewTRADER[[#This Row],[M]],
    INDEX(TabConsolid[], , _xlfn.XMATCH(Tab_NewTRADER[[#This Row],[ClickTick]]&amp;2, TabConsolid[#Headers])),
    -1
  )
)</f>
        <v>#N/A</v>
      </c>
      <c r="BU28" s="679" cm="1">
        <f t="array" aca="1" ref="BU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8" s="1144" t="e">
        <f ca="1">Tab_NewTRADER[[#This Row],[ReBuy]]/(Tab_NewTRADER[[#This Row],[L_Sn]]+Tab_NewTRADER[[#This Row],[SellMore]])</f>
        <v>#N/A</v>
      </c>
      <c r="BW28" s="687" t="e">
        <f ca="1">((_xlfn.XLOOKUP(Tab_NewTRADER[[#This Row],[ClickTick]],TabCalc[Ticker],TabCalc[NAfter])+Tab_NewTRADER[[#This Row],[L_Sn]])*(Tab_NewTRADER[[#This Row],[Agiotage]]-Tab_NewTRADER[[#This Row],[M]]))/(Tab_NewTRADER[[#This Row],[L_Sn]]*_xlfn.XLOOKUP(Tab_NewTRADER[[#This Row],[ClickTick]],TabCalc[Ticker],TabCalc[NAfter]))</f>
        <v>#DIV/0!</v>
      </c>
      <c r="BX28" s="687">
        <f ca="1">(Tab_NewTRADER[[#This Row],[M]]-Tab_NewTRADER[[#This Row],[Agiotage]])/(Tab_NewTRADER[[#This Row],[M]]-Tab_NewTRADER[[#This Row],[A]])-1</f>
        <v>-2.314506370270708E-2</v>
      </c>
      <c r="BY28" s="1262">
        <f ca="1">_xlfn.XMATCH(Tab_NewTRADER[[#This Row],[ClickTick]]&amp;1, TabConsolid[#Headers])</f>
        <v>77</v>
      </c>
      <c r="BZ28" t="b">
        <f ca="1">IF(ABS(Tab_NewTRADER[[#This Row],[L_Bp]])&gt;=Tab_NewTRADER[[#This Row],[M]],"OK")</f>
        <v>0</v>
      </c>
    </row>
    <row r="29" spans="1:78" ht="22" hidden="1" customHeight="1"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+24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32.6%</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45$</v>
      </c>
      <c r="G29" s="225" t="str">
        <f ca="1">IFERROR(TRUNC(_xlfn.XLOOKUP(Tab_NewTRADER[[#This Row],[ClickTick]],TabCalc[Ticker],ListLastSalep),2)&amp;"x"&amp;_xlfn.XLOOKUP(Tab_NewTRADER[[#This Row],[ClickTick]],TabCalc[Ticker],ListLastSalen)&amp;"=   "&amp;TEXT(-_xlfn.XLOOKUP(Tab_NewTRADER[[#This Row],[ClickTick]],TabCalc[Ticker],ListReverseB),"#,#0")&amp;"$","")</f>
        <v>6.8x990=   708$</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-9.5% = 0</v>
      </c>
      <c r="I29" s="226" t="str">
        <f ca="1">IFERROR(TRUNC(TabCalc[[#This Row],[L_S1p]],2)&amp;"x"&amp;TabCalc[[#This Row],[L_S1n]]&amp;"=   "&amp;TEXT(TabCalc[[#This Row],[ReverseB1]],"#,#0"),"")</f>
        <v>5.56x1000=   -1,955</v>
      </c>
      <c r="J29" s="295">
        <f ca="1">_xlfn.XLOOKUP(Tab_NewTRADER[[#This Row],[ClickTick]],TabCalc[Ticker],ListGravity)</f>
        <v>0.79281437125748511</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0.20229302989454986</v>
      </c>
      <c r="N29" s="324" cm="1">
        <f t="array" aca="1" ref="N29" ca="1">_xlfn.XLOOKUP(Tab_NewTRADER[[#This Row],[ClickTick]],ListTickers,Tab2RSIConventional[RSIConv20])</f>
        <v>46</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0.48274569382238619</v>
      </c>
      <c r="S29" s="683">
        <f ca="1">_xlfn.XLOOKUP(Tab_NewTRADER[[#This Row],[ClickTick]],TabCalc[Ticker],TabCalc[Rev(MinStock)])*(1-Commission)</f>
        <v>24.403385799999999</v>
      </c>
      <c r="T29" s="782">
        <f ca="1">_xlfn.XLOOKUP(Tab_NewTRADER[[#This Row],[ClickTick]],TabCalc[Ticker],TabCalc[Agiotage])</f>
        <v>0.20229302989454986</v>
      </c>
      <c r="U29" s="747"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-2/-2=&gt;-1.4% / -1.4%</v>
      </c>
      <c r="V29" s="739" t="str">
        <f ca="1">_xlfn.XLOOKUP(Tab_NewTRADER[[#This Row],[ClickTick]],[1]!RTData[Ticker_Symbol],[1]!RTData[Currency])</f>
        <v>USD</v>
      </c>
      <c r="W29" s="749">
        <f ca="1">_xlfn.XLOOKUP(Tab_NewTRADER[[#This Row],[ClickTick]],TabCalc[Ticker],TabCalc[M])</f>
        <v>7.5149999999999997</v>
      </c>
      <c r="X29" s="1315"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-1.3779999999999999E-2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F29" s="1450"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9" s="1531" t="str">
        <f ca="1">TEXT(MIN(Tab_NewTRADER[[#This Row],[L_Bn]],Tab_NewTRADER[[#This Row],[N]]),"#,#0")&amp;" x "&amp;TEXT(Tab_NewTRADER[[#This Row],[L_Bp]],"#,#0.#0")</f>
        <v>10 x -5.07</v>
      </c>
      <c r="AH29" s="1532" t="str" cm="1">
        <f t="array" aca="1" ref="AH29" ca="1">_xlfn.IFS(Tab_NewTRADER[[#This Row],[M_State]]=Sale_Back,Tab_NewTRADER[[#This Row],[Sale_Back_$]], TRUE,"M = "&amp;Tab_NewTRADER[[#This Row],[M]])</f>
        <v>M = 7.515</v>
      </c>
      <c r="AI29" s="1455" cm="1">
        <f t="array" aca="1" ref="AI29" ca="1">IF(Tab_NewTRADER[[#This Row],[M_State]]=MUp,_xlfn.IFS(Tab_NewTRADER[[#This Row],[M_State]]=MUp,MIN(Tab_NewTRADER[[#This Row],[N]],Tab_NewTRADER[[#This Row],[L_Bn]])*(Tab_NewTRADER[[#This Row],[M]]-Tab_NewTRADER[[#This Row],[L_Sp]])*Tab_NewTRADER[[#This Row],[Scale]]*ComFactor, TRUE,0),0)</f>
        <v>7.131409999999998</v>
      </c>
      <c r="AJ29" s="1459" cm="1">
        <f t="array" aca="1" ref="AJ29" ca="1">_xlfn.IFS(Tab_NewTRADER[[#This Row],[M_State]]=MUp,                 MIN(Tab_NewTRADER[[#This Row],[L_Sn]],Tab_NewTRADER[[#This Row],[N]])*(Tab_NewTRADER[[#This Row],[M]]-Tab_NewTRADER[[#This Row],[A]])*Tab_NewTRADER[[#This Row],[Scale]]*ComFactor, TRUE,0)</f>
        <v>24.403385799999999</v>
      </c>
      <c r="AK29" s="1459" cm="1">
        <f t="array" aca="1" ref="AK29" ca="1">_xlfn.IFS(Tab_NewTRADER[[#This Row],[M_State]]=MUp,                  Tab_NewTRADER[[#This Row],[N]]*(Tab_NewTRADER[[#This Row],[M]]-Tab_NewTRADER[[#This Row],[A]])*Tab_NewTRADER[[#This Row],[Scale]]*ComFactor, TRUE,0)</f>
        <v>24.403385799999999</v>
      </c>
      <c r="AL29" s="1452" t="str">
        <f ca="1">TEXT(Tab_NewTRADER[[#This Row],[L_Sn]],"#,#0")&amp;" x "&amp;TEXT(Tab_NewTRADER[[#This Row],[L_Sp]],"#,#0.#0")</f>
        <v>990 x 6.80</v>
      </c>
      <c r="AM29" s="1465" t="str" cm="1">
        <f t="array" aca="1" ref="AM29" ca="1">_xlfn.IFS(Tab_NewTRADER[[#This Row],[M_State]]=RePurchaseGain,TEXT(-Tab_NewTRADER[[#This Row],[Buy_Back]],"#,#0")&amp;"       / "&amp;TEXT(Tab_NewTRADER[[#This Row],[Rev_Buy]],"#,#00.0)%"),TRUE,"M = "&amp;Tab_NewTRADER[[#This Row],[M]])</f>
        <v>M = 7.515</v>
      </c>
      <c r="AN29" s="1435" cm="1">
        <f t="array" aca="1" ref="AN29" ca="1">_xlfn.IFS(Tab_NewTRADER[[#This Row],[M_State]]=MDown,TEXT(Tab_NewTRADER[[#This Row],[L_Sn]]*(Tab_NewTRADER[[#This Row],[M]]-Tab_NewTRADER[[#This Row],[L_Sp]])*ComFactor,"#,#0")&amp;"       / "&amp;TEXT((TabTRADER[[#This Row],[M]]-TabTRADER[[#This Row],[L_Sp]])/TabTRADER[[#This Row],[M]],"#,#00.0)%"),TRUE,0)</f>
        <v>0</v>
      </c>
      <c r="AO29" s="1486" cm="1">
        <f t="array" aca="1" ref="AO29" ca="1">_xlfn.IFS(Tab_NewTRADER[[#This Row],[M_State]]=MDown,TEXT(Tab_NewTRADER[[#This Row],[N]]*(Tab_NewTRADER[[#This Row],[M]]-Tab_NewTRADER[[#This Row],[A]])*Tab_NewTRADER[[#This Row],[Scale]]*ComFactor,"#,#0")&amp;"       / "&amp;TEXT((TabTRADER[[#This Row],[M]]-TabTRADER[[#This Row],[L_Bp]])/TabTRADER[[#This Row],[M]],"#,#00.0%"),TRUE,0)</f>
        <v>0</v>
      </c>
      <c r="AP29" s="1435" t="str" cm="1">
        <f t="array" aca="1" ref="AP29" ca="1">_xlfn.IFS(Tab_NewTRADER[[#This Row],[M_State]]=MDown,TEXT(Tab_NewTRADER[[#This Row],[N]]*Tab_NewTRADER[[#This Row],[M]],"#,#0")&amp;" @ "&amp;TEXT(Tab_NewTRADER[[#This Row],[A]],"#,#0.#0"),TRUE,"M = "&amp; Tab_NewTRADER[[#This Row],[M]])</f>
        <v>M = 7.515</v>
      </c>
      <c r="AQ29" s="760">
        <f ca="1">Tab_NewTRADER[[#This Row],[N]]*(Tab_NewTRADER[[#This Row],[M]]-Tab_NewTRADER[[#This Row],[A]])*(1-Commission)*Tab_NewTRADER[[#This Row],[Scale]]</f>
        <v>24.403385799999999</v>
      </c>
      <c r="AR29" s="760">
        <f ca="1">Tab_NewTRADER[[#This Row],[M]]*Tab_NewTRADER[[#This Row],[N]]*(1-Commission)*Tab_NewTRADER[[#This Row],[Scale]]</f>
        <v>74.954609999999988</v>
      </c>
      <c r="AS29" s="1174" cm="1">
        <f t="array" aca="1" ref="AS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0.48274569382238619</v>
      </c>
      <c r="AT29" s="1174" cm="1">
        <f t="array" aca="1" ref="AT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9.2543047238855605E-2</v>
      </c>
      <c r="AU29" s="825" cm="1">
        <f t="array" aca="1" ref="AU29" ca="1">_xlfn.IFS(   Tab_NewTRADER[[#This Row],[M_State]]=SellMorePercentGain,                     MIN(Tab_NewTRADER[[#This Row],[L_Sn]],Tab_NewTRADER[[#This Row],[N]])*(Tab_NewTRADER[[#This Row],[M]]-Tab_NewTRADER[[#This Row],[L_Sp]])*(1-Commission)*Tab_NewTRADER[[#This Row],[Scale]],                    TRUE,"")</f>
        <v>7.131409999999998</v>
      </c>
      <c r="AV29" s="1163">
        <f ca="1">_xlfn.XLOOKUP(Tab_NewTRADER[[#This Row],[ClickTick]],TabCalc[Ticker],TabCalc[Ann%RevLB])</f>
        <v>0.58712314113533448</v>
      </c>
      <c r="AW29" s="1267">
        <f ca="1">_xlfn.XLOOKUP(Tab_NewTRADER[[#This Row],[ClickTick]],TabCalc[Ticker],TabCalc[Up20])</f>
        <v>0</v>
      </c>
      <c r="AX29" s="1175" t="str" cm="1">
        <f t="array" aca="1" ref="AX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29" s="825" t="str" cm="1">
        <f t="array" aca="1" ref="AY29" ca="1">_xlfn.IFS(         Tab_NewTRADER[[#This Row],[M_State]]=MDown,Tab_NewTRADER[[#This Row],[L_Bn]]*Tab_NewTRADER[[#This Row],[M]]*(-(Tab_NewTRADER[[#This Row],[L_Bp]]+Tab_NewTRADER[[#This Row],[M]])/Tab_NewTRADER[[#This Row],[M]])*(1-Commission)*Tab_NewTRADER[[#This Row],[Scale]],                               TRUE,"")</f>
        <v/>
      </c>
      <c r="AZ29" s="1174" cm="1">
        <f t="array" aca="1" ref="AZ29" ca="1">_xlfn.IFS(   Tab_NewTRADER[[#This Row],[M_State]]=MUp,Tab_NewTRADER[[#This Row],[TakeGain_A]]-Commission,        Tab_NewTRADER[[#This Row],[M_State]]=MDown,(Tab_NewTRADER[[#This Row],[A]]-Tab_NewTRADER[[#This Row],[M]])/Tab_NewTRADER[[#This Row],[M]]-Commission,                              TRUE,"")</f>
        <v>0.4801456938223862</v>
      </c>
      <c r="BA29" s="825" cm="1">
        <f t="array" aca="1" ref="BA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36.184015209636357</v>
      </c>
      <c r="BB29" s="760" t="str" cm="1">
        <f t="array" aca="1" ref="BB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-0.9%</v>
      </c>
      <c r="BC29" s="736" t="str" cm="1">
        <f t="array" aca="1" ref="BC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10x2.44</v>
      </c>
      <c r="BD29" s="765" cm="1">
        <f t="array" aca="1" ref="BD29" ca="1">_xlfn.IFS(Tab_NewTRADER[[#This Row],[M_State]]=Sale_Back,"",         Tab_NewTRADER[[#This Row],[M_State]]=MDown, (Tab_NewTRADER[[#This Row],[M]]-Tab_NewTRADER[[#This Row],[A]])/Tab_NewTRADER[[#This Row],[A]]*ComFactor,             TRUE, IFERROR((Tab_NewTRADER[[#This Row],[M]]-Tab_NewTRADER[[#This Row],[A]])/Tab_NewTRADER[[#This Row],[A]]*ComFactor,""))</f>
        <v>0.48149055501844795</v>
      </c>
      <c r="BE29" s="762" cm="1">
        <f t="array" aca="1" ref="BE29" ca="1">_xlfn.IFS(               Tab_NewTRADER[[#This Row],[M_State]]=NoStock,(Tab_NewTRADER[[#This Row],[L_Sp]]-Tab_NewTRADER[[#This Row],[M]])/Tab_NewTRADER[[#This Row],[M]]-Commission,             Tab_NewTRADER[[#This Row],[A]]&lt;&gt;0,(Tab_NewTRADER[[#This Row],[A]]-Tab_NewTRADER[[#This Row],[M]])/Tab_NewTRADER[[#This Row],[M]]-Commission)</f>
        <v>-0.32817551563539588</v>
      </c>
      <c r="BF29" s="324">
        <f ca="1">_xlfn.XLOOKUP(Tab_NewTRADER[[#This Row],[ClickTick]],TabCalc[Ticker],TabCalc[L_Sn])</f>
        <v>990</v>
      </c>
      <c r="BG29" s="728">
        <f ca="1">_xlfn.XLOOKUP(Tab_NewTRADER[[#This Row],[ClickTick]],TabCalc[Ticker],TabCalc[L_Sp])</f>
        <v>6.8</v>
      </c>
      <c r="BH29" s="764">
        <f ca="1">-IFERROR((Tab_NewTRADER[[#This Row],[M]]-Tab_NewTRADER[[#This Row],[L_Sp]])/Tab_NewTRADER[[#This Row],[L_Sp]],0)</f>
        <v>-0.1051470588235294</v>
      </c>
      <c r="BI29" s="729">
        <f ca="1">MIN(Tab_NewTRADER[[#This Row],[L_Sn]],Tab_NewTRADER[[#This Row],[N]])*(Tab_NewTRADER[[#This Row],[M]]-Tab_NewTRADER[[#This Row],[L_Sp]])*(1-Commission)*Tab_NewTRADER[[#This Row],[Scale]]</f>
        <v>7.131409999999998</v>
      </c>
      <c r="BJ29" s="692">
        <f ca="1">Tab_NewTRADER[[#This Row],[L_Sn]]*(Tab_NewTRADER[[#This Row],[Agiotage]]-Tab_NewTRADER[[#This Row],[M]])/(Tab_NewTRADER[[#This Row],[L_Bn]]*Tab_NewTRADER[[#This Row],[M]])</f>
        <v>-0.4816753094081434</v>
      </c>
      <c r="BK29" s="635">
        <f ca="1">IFERROR((Tab_NewTRADER[[#This Row],[M]]-Tab_NewTRADER[[#This Row],[A]])/Tab_NewTRADER[[#This Row],[A]],0)</f>
        <v>0.48274569382238619</v>
      </c>
      <c r="BL29" s="638" t="str">
        <f ca="1">TEXT(_xlfn.XLOOKUP(Tab_NewTRADER[[#This Row],[ClickTick]],TabCalc[Ticker],TabCalc[NAfter]),"#,#0")&amp;" : "&amp;TEXT(_xlfn.XLOOKUP(Tab_NewTRADER[[#This Row],[ClickTick]],TabCalc[Ticker],TabCalc[NAfter])*(Tab_NewTRADER[[#This Row],[M]]-Tab_NewTRADER[[#This Row],[A]])*(1-Commission)*Tab_NewTRADER[[#This Row],[Scale]],"#,#0$")</f>
        <v>10 : 24$</v>
      </c>
      <c r="BM29" s="684">
        <f ca="1">_xlfn.XLOOKUP(Tab_NewTRADER[[#This Row],[ClickTick]],TabCalc[[#This Row],[Ticker]],TabCalc[[#This Row],[GL]])*(1-Commission)</f>
        <v>14765.560417529998</v>
      </c>
      <c r="BN29" s="684"/>
      <c r="BO29" s="669" t="str">
        <f ca="1">Tab_NewTRADER[[#This Row],[ClickTick]]&amp;": "&amp;_xlfn.XLOOKUP(Tab_NewTRADER[[#This Row],[ClickTick]],TabCalc[Ticker],TabCalc[Pile?])</f>
        <v xml:space="preserve">LUMN: </v>
      </c>
      <c r="BP29" s="351" t="s">
        <v>2062</v>
      </c>
      <c r="BQ29" s="755" t="str" cm="1">
        <f t="array" aca="1" ref="BQ29" ca="1">_xlfn.TEXTJOIN("",,INDEX({"M","A","Y"}, _xlfn.SORTBY({1,2,3}, -CHOOSE({1,2,3}, Tab_NewTRADER[[#This Row],[M]], Tab_NewTRADER[[#This Row],[A]], Tab_NewTRADER[[#This Row],[Agiotage]]))))</f>
        <v>MAY</v>
      </c>
      <c r="BR29" s="902" cm="1">
        <f t="array" aca="1" ref="BR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9.514304723885561E-2</v>
      </c>
      <c r="BS29" s="679">
        <f ca="1">Tab_NewTRADER[[#This Row],[L_Sn]]*Tab_NewTRADER[[#This Row],[L_Sp]]+Tab_NewTRADER[[#This Row],[SellMore]]*Tab_NewTRADER[[#This Row],[M]]</f>
        <v>6807.15</v>
      </c>
      <c r="BT29" s="679">
        <f ca="1">INDEX(
  INDEX(TabConsolid[], , _xlfn.XMATCH(Tab_NewTRADER[[#This Row],[ClickTick]]&amp;1, TabConsolid[#Headers])),
  MATCH(
    -Tab_NewTRADER[[#This Row],[M]],
    INDEX(TabConsolid[], , _xlfn.XMATCH(Tab_NewTRADER[[#This Row],[ClickTick]]&amp;2, TabConsolid[#Headers])),
    -1
  )
)</f>
        <v>10</v>
      </c>
      <c r="BU29" s="679" cm="1">
        <f t="array" aca="1" ref="BU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9" s="1144">
        <f ca="1">Tab_NewTRADER[[#This Row],[ReBuy]]/(Tab_NewTRADER[[#This Row],[L_Sn]]+Tab_NewTRADER[[#This Row],[SellMore]])</f>
        <v>6.80715</v>
      </c>
      <c r="BW29" s="687">
        <f ca="1">((_xlfn.XLOOKUP(Tab_NewTRADER[[#This Row],[ClickTick]],TabCalc[Ticker],TabCalc[NAfter])+Tab_NewTRADER[[#This Row],[L_Sn]])*(Tab_NewTRADER[[#This Row],[Agiotage]]-Tab_NewTRADER[[#This Row],[M]]))/(Tab_NewTRADER[[#This Row],[L_Sn]]*_xlfn.XLOOKUP(Tab_NewTRADER[[#This Row],[ClickTick]],TabCalc[Ticker],TabCalc[NAfter]))</f>
        <v>-0.73865726970762113</v>
      </c>
      <c r="BX29" s="687">
        <f ca="1">(Tab_NewTRADER[[#This Row],[M]]-Tab_NewTRADER[[#This Row],[Agiotage]])/(Tab_NewTRADER[[#This Row],[M]]-Tab_NewTRADER[[#This Row],[A]])-1</f>
        <v>1.9888040912680141</v>
      </c>
      <c r="BY29" s="1262">
        <f ca="1">_xlfn.XMATCH(Tab_NewTRADER[[#This Row],[ClickTick]]&amp;1, TabConsolid[#Headers])</f>
        <v>80</v>
      </c>
      <c r="BZ29" t="b">
        <f ca="1">IF(ABS(Tab_NewTRADER[[#This Row],[L_Bp]])&gt;=Tab_NewTRADER[[#This Row],[M]],"OK")</f>
        <v>0</v>
      </c>
    </row>
    <row r="30" spans="1:78"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-51,210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-70.3%</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-22,850$</v>
      </c>
      <c r="G30" s="225" t="str">
        <f ca="1">IFERROR(TRUNC(_xlfn.XLOOKUP(Tab_NewTRADER[[#This Row],[ClickTick]],TabCalc[Ticker],ListLastSalep),2)&amp;"x"&amp;_xlfn.XLOOKUP(Tab_NewTRADER[[#This Row],[ClickTick]],TabCalc[Ticker],ListLastSalen)&amp;"=   "&amp;TEXT(-_xlfn.XLOOKUP(Tab_NewTRADER[[#This Row],[ClickTick]],TabCalc[Ticker],ListReverseB),"#,#0")&amp;"$","")</f>
        <v>88.24x1500=   -95,940$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263.4% = 78</v>
      </c>
      <c r="I30" s="226" t="str">
        <f ca="1">IFERROR(TRUNC(TabCalc[[#This Row],[L_S1p]],2)&amp;"x"&amp;TabCalc[[#This Row],[L_S1n]]&amp;"=   "&amp;TEXT(TabCalc[[#This Row],[ReverseB1]],"#,#0"),"")</f>
        <v>125.31x2800=   282,884</v>
      </c>
      <c r="J30" s="295">
        <f ca="1">_xlfn.XLOOKUP(Tab_NewTRADER[[#This Row],[ClickTick]],TabCalc[Ticker],ListGravity)</f>
        <v>1.6598023064250409</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286504</v>
      </c>
      <c r="M30" s="323">
        <f ca="1">_xlfn.XLOOKUP(Tab_NewTRADER[[#This Row],[ClickTick]],TabCalc[Ticker],TabCalc[Agiotage])</f>
        <v>0.28173453881169197</v>
      </c>
      <c r="N30" s="324" cm="1">
        <f t="array" aca="1" ref="N30" ca="1">_xlfn.XLOOKUP(Tab_NewTRADER[[#This Row],[ClickTick]],ListTickers,Tab2RSIConventional[RSIConv20])</f>
        <v>37</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-0.41281741233373637</v>
      </c>
      <c r="S30" s="683">
        <f ca="1">_xlfn.XLOOKUP(Tab_NewTRADER[[#This Row],[ClickTick]],TabCalc[Ticker],TabCalc[Rev(MinStock)])*(1-Commission)</f>
        <v>-51076.853999999999</v>
      </c>
      <c r="T30" s="782">
        <f ca="1">_xlfn.XLOOKUP(Tab_NewTRADER[[#This Row],[ClickTick]],TabCalc[Ticker],TabCalc[Agiotage])</f>
        <v>0.28173453881169197</v>
      </c>
      <c r="U30" s="747"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-8,040/-8,040=&gt;-2.6% / -2.6%</v>
      </c>
      <c r="V30" s="739" t="str">
        <f ca="1">_xlfn.XLOOKUP(Tab_NewTRADER[[#This Row],[ClickTick]],[1]!RTData[Ticker_Symbol],[1]!RTData[Currency])</f>
        <v>USD</v>
      </c>
      <c r="W30" s="749">
        <f ca="1">_xlfn.XLOOKUP(Tab_NewTRADER[[#This Row],[ClickTick]],TabCalc[Ticker],TabCalc[M])</f>
        <v>24.28</v>
      </c>
      <c r="X30" s="1315"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-2.5682E-2</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-525K /291 K$</v>
      </c>
      <c r="AF30" s="1161"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0" s="1530" t="str">
        <f ca="1">TEXT(MIN(Tab_NewTRADER[[#This Row],[L_Bn]],Tab_NewTRADER[[#This Row],[N]]),"#,#0")&amp;" x "&amp;TEXT(Tab_NewTRADER[[#This Row],[L_Bp]],"#,#0.#0")</f>
        <v>3,000 x -41.35</v>
      </c>
      <c r="AH30" s="1530" t="str" cm="1">
        <f t="array" aca="1" ref="AH30" ca="1">_xlfn.IFS(Tab_NewTRADER[[#This Row],[M_State]]=Sale_Back,Tab_NewTRADER[[#This Row],[Sale_Back_$]], TRUE,"M = "&amp;Tab_NewTRADER[[#This Row],[M]])</f>
        <v>M = 24.28</v>
      </c>
      <c r="AI30" s="1433" cm="1">
        <f t="array" aca="1" ref="AI30" ca="1">IF(Tab_NewTRADER[[#This Row],[M_State]]=MUp,_xlfn.IFS(Tab_NewTRADER[[#This Row],[M_State]]=MUp,MIN(Tab_NewTRADER[[#This Row],[N]],Tab_NewTRADER[[#This Row],[L_Bn]])*(Tab_NewTRADER[[#This Row],[M]]-Tab_NewTRADER[[#This Row],[L_Sp]])*Tab_NewTRADER[[#This Row],[Scale]]*ComFactor, TRUE,0),0)</f>
        <v>0</v>
      </c>
      <c r="AJ30" s="1433" cm="1">
        <f t="array" aca="1" ref="AJ30" ca="1">_xlfn.IFS(Tab_NewTRADER[[#This Row],[M_State]]=MUp,                 MIN(Tab_NewTRADER[[#This Row],[L_Sn]],Tab_NewTRADER[[#This Row],[N]])*(Tab_NewTRADER[[#This Row],[M]]-Tab_NewTRADER[[#This Row],[A]])*Tab_NewTRADER[[#This Row],[Scale]]*ComFactor, TRUE,0)</f>
        <v>0</v>
      </c>
      <c r="AK30" s="1433" cm="1">
        <f t="array" aca="1" ref="AK30" ca="1">_xlfn.IFS(Tab_NewTRADER[[#This Row],[M_State]]=MUp,                  Tab_NewTRADER[[#This Row],[N]]*(Tab_NewTRADER[[#This Row],[M]]-Tab_NewTRADER[[#This Row],[A]])*Tab_NewTRADER[[#This Row],[Scale]]*ComFactor, TRUE,0)</f>
        <v>0</v>
      </c>
      <c r="AL30" s="1435" t="str">
        <f ca="1">TEXT(Tab_NewTRADER[[#This Row],[L_Sn]],"#,#0")&amp;" x "&amp;TEXT(Tab_NewTRADER[[#This Row],[L_Sp]],"#,#0.#0")</f>
        <v>1,500 x 88.24</v>
      </c>
      <c r="AM30" s="1465" t="str" cm="1">
        <f t="array" aca="1" ref="AM30" ca="1">_xlfn.IFS(Tab_NewTRADER[[#This Row],[M_State]]=RePurchaseGain,TEXT(-Tab_NewTRADER[[#This Row],[Buy_Back]],"#,#0")&amp;"       / "&amp;TEXT(Tab_NewTRADER[[#This Row],[Rev_Buy]],"#,#00.0)%"),TRUE,"M = "&amp;Tab_NewTRADER[[#This Row],[M]])</f>
        <v>M = 24.28</v>
      </c>
      <c r="AN30" s="1435" t="str" cm="1">
        <f t="array" aca="1" ref="AN30" ca="1">_xlfn.IFS(Tab_NewTRADER[[#This Row],[M_State]]=MDown,TEXT(Tab_NewTRADER[[#This Row],[L_Sn]]*(Tab_NewTRADER[[#This Row],[M]]-Tab_NewTRADER[[#This Row],[L_Sp]])*ComFactor,"#,#0")&amp;"       / "&amp;TEXT((TabTRADER[[#This Row],[M]]-TabTRADER[[#This Row],[L_Sp]])/TabTRADER[[#This Row],[M]],"#,#00.0)%"),TRUE,0)</f>
        <v>-95,691       / -263.4)%</v>
      </c>
      <c r="AO30" s="1486" t="str" cm="1">
        <f t="array" aca="1" ref="AO30" ca="1">_xlfn.IFS(Tab_NewTRADER[[#This Row],[M_State]]=MDown,TEXT(Tab_NewTRADER[[#This Row],[N]]*(Tab_NewTRADER[[#This Row],[M]]-Tab_NewTRADER[[#This Row],[A]])*Tab_NewTRADER[[#This Row],[Scale]]*ComFactor,"#,#0")&amp;"       / "&amp;TEXT((TabTRADER[[#This Row],[M]]-TabTRADER[[#This Row],[L_Bp]])/TabTRADER[[#This Row],[M]],"#,#00.0%"),TRUE,0)</f>
        <v>-566,906       / 270.3%</v>
      </c>
      <c r="AP30" s="1435" t="str" cm="1">
        <f t="array" aca="1" ref="AP30" ca="1">_xlfn.IFS(Tab_NewTRADER[[#This Row],[M_State]]=MDown,TEXT(Tab_NewTRADER[[#This Row],[N]]*Tab_NewTRADER[[#This Row],[M]],"#,#0")&amp;" @ "&amp;TEXT(Tab_NewTRADER[[#This Row],[A]],"#,#0.#0"),TRUE,"M = "&amp; Tab_NewTRADER[[#This Row],[M]])</f>
        <v>291,360 @ 71.65</v>
      </c>
      <c r="AQ30" s="1165">
        <f ca="1">Tab_NewTRADER[[#This Row],[N]]*(Tab_NewTRADER[[#This Row],[M]]-Tab_NewTRADER[[#This Row],[A]])*(1-Commission)*Tab_NewTRADER[[#This Row],[Scale]]</f>
        <v>-566906.24149599986</v>
      </c>
      <c r="AR30" s="1165">
        <f ca="1">Tab_NewTRADER[[#This Row],[M]]*Tab_NewTRADER[[#This Row],[N]]*(1-Commission)*Tab_NewTRADER[[#This Row],[Scale]]</f>
        <v>290602.46399999998</v>
      </c>
      <c r="AS30" s="1174" cm="1">
        <f t="array" aca="1" ref="AS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0.66110843873951131</v>
      </c>
      <c r="AT30" s="1174" cm="1">
        <f t="array" aca="1" ref="AT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0.70044777594728169</v>
      </c>
      <c r="AU30" s="825" t="str" cm="1">
        <f t="array" aca="1" ref="AU30" ca="1">_xlfn.IFS(   Tab_NewTRADER[[#This Row],[M_State]]=SellMorePercentGain,                     MIN(Tab_NewTRADER[[#This Row],[L_Sn]],Tab_NewTRADER[[#This Row],[N]])*(Tab_NewTRADER[[#This Row],[M]]-Tab_NewTRADER[[#This Row],[L_Sp]])*(1-Commission)*Tab_NewTRADER[[#This Row],[Scale]],                    TRUE,"")</f>
        <v/>
      </c>
      <c r="AV30" s="1180">
        <f ca="1">_xlfn.XLOOKUP(Tab_NewTRADER[[#This Row],[ClickTick]],TabCalc[Ticker],TabCalc[Ann%RevLB])</f>
        <v>-0.5054907089800853</v>
      </c>
      <c r="AW30" s="1266">
        <f ca="1">_xlfn.XLOOKUP(Tab_NewTRADER[[#This Row],[ClickTick]],TabCalc[Ticker],TabCalc[Up20])</f>
        <v>0</v>
      </c>
      <c r="AX30" s="310" cm="1">
        <f t="array" aca="1" ref="AX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0.70304777594728174</v>
      </c>
      <c r="AY30" s="825" cm="1">
        <f t="array" aca="1" ref="AY30" ca="1">_xlfn.IFS(         Tab_NewTRADER[[#This Row],[M_State]]=MDown,Tab_NewTRADER[[#This Row],[L_Bn]]*Tab_NewTRADER[[#This Row],[M]]*(-(Tab_NewTRADER[[#This Row],[L_Bp]]+Tab_NewTRADER[[#This Row],[M]])/Tab_NewTRADER[[#This Row],[M]])*(1-Commission)*Tab_NewTRADER[[#This Row],[Scale]],                               TRUE,"")</f>
        <v>51076.853999999999</v>
      </c>
      <c r="AZ30" s="1174" cm="1">
        <f t="array" aca="1" ref="AZ30" ca="1">_xlfn.IFS(   Tab_NewTRADER[[#This Row],[M_State]]=MUp,Tab_NewTRADER[[#This Row],[TakeGain_A]]-Commission,        Tab_NewTRADER[[#This Row],[M_State]]=MDown,(Tab_NewTRADER[[#This Row],[A]]-Tab_NewTRADER[[#This Row],[M]])/Tab_NewTRADER[[#This Row],[M]]-Commission,                              TRUE,"")</f>
        <v>1.9481964030752332</v>
      </c>
      <c r="BA30" s="825" cm="1">
        <f t="array" aca="1" ref="BA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566906.24149599986</v>
      </c>
      <c r="BB30" s="760" t="str" cm="1">
        <f t="array" aca="1" ref="BB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C30" s="736" cm="1">
        <f t="array" aca="1" ref="BC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-17.07</v>
      </c>
      <c r="BD30" s="765" cm="1">
        <f t="array" aca="1" ref="BD30" ca="1">_xlfn.IFS(Tab_NewTRADER[[#This Row],[M_State]]=Sale_Back,"",         Tab_NewTRADER[[#This Row],[M_State]]=MDown, (Tab_NewTRADER[[#This Row],[M]]-Tab_NewTRADER[[#This Row],[A]])/Tab_NewTRADER[[#This Row],[A]]*ComFactor,             TRUE, IFERROR((Tab_NewTRADER[[#This Row],[M]]-Tab_NewTRADER[[#This Row],[A]])/Tab_NewTRADER[[#This Row],[A]]*ComFactor,""))</f>
        <v>-0.65938955679878852</v>
      </c>
      <c r="BE30" s="762" cm="1">
        <f t="array" aca="1" ref="BE30" ca="1">_xlfn.IFS(               Tab_NewTRADER[[#This Row],[M_State]]=NoStock,(Tab_NewTRADER[[#This Row],[L_Sp]]-Tab_NewTRADER[[#This Row],[M]])/Tab_NewTRADER[[#This Row],[M]]-Commission,             Tab_NewTRADER[[#This Row],[A]]&lt;&gt;0,(Tab_NewTRADER[[#This Row],[A]]-Tab_NewTRADER[[#This Row],[M]])/Tab_NewTRADER[[#This Row],[M]]-Commission)</f>
        <v>1.9481964030752332</v>
      </c>
      <c r="BF30" s="324">
        <f ca="1">_xlfn.XLOOKUP(Tab_NewTRADER[[#This Row],[ClickTick]],TabCalc[Ticker],TabCalc[L_Sn])</f>
        <v>1500</v>
      </c>
      <c r="BG30" s="728">
        <f ca="1">_xlfn.XLOOKUP(Tab_NewTRADER[[#This Row],[ClickTick]],TabCalc[Ticker],TabCalc[L_Sp])</f>
        <v>88.24</v>
      </c>
      <c r="BH30" s="764">
        <f ca="1">-IFERROR((Tab_NewTRADER[[#This Row],[M]]-Tab_NewTRADER[[#This Row],[L_Sp]])/Tab_NewTRADER[[#This Row],[L_Sp]],0)</f>
        <v>0.72484134179510418</v>
      </c>
      <c r="BI30" s="729">
        <f ca="1">MIN(Tab_NewTRADER[[#This Row],[L_Sn]],Tab_NewTRADER[[#This Row],[N]])*(Tab_NewTRADER[[#This Row],[M]]-Tab_NewTRADER[[#This Row],[L_Sp]])*(1-Commission)*Tab_NewTRADER[[#This Row],[Scale]]</f>
        <v>-95690.555999999982</v>
      </c>
      <c r="BJ30" s="692">
        <f ca="1">Tab_NewTRADER[[#This Row],[L_Sn]]*(Tab_NewTRADER[[#This Row],[Agiotage]]-Tab_NewTRADER[[#This Row],[M]])/(Tab_NewTRADER[[#This Row],[L_Bn]]*Tab_NewTRADER[[#This Row],[M]])</f>
        <v>-0.49419821789926505</v>
      </c>
      <c r="BK30" s="635">
        <f ca="1">IFERROR((Tab_NewTRADER[[#This Row],[M]]-Tab_NewTRADER[[#This Row],[A]])/Tab_NewTRADER[[#This Row],[A]],0)</f>
        <v>-0.66110843873951131</v>
      </c>
      <c r="BL30" s="638" t="str">
        <f ca="1">TEXT(_xlfn.XLOOKUP(Tab_NewTRADER[[#This Row],[ClickTick]],TabCalc[Ticker],TabCalc[NAfter]),"#,#0")&amp;" : "&amp;TEXT(_xlfn.XLOOKUP(Tab_NewTRADER[[#This Row],[ClickTick]],TabCalc[Ticker],TabCalc[NAfter])*(Tab_NewTRADER[[#This Row],[M]]-Tab_NewTRADER[[#This Row],[A]])*(1-Commission)*Tab_NewTRADER[[#This Row],[Scale]],"#,#0$")</f>
        <v>12,000 : -566,906$</v>
      </c>
      <c r="BM30" s="684">
        <f ca="1">_xlfn.XLOOKUP(Tab_NewTRADER[[#This Row],[ClickTick]],TabCalc[[#This Row],[Ticker]],TabCalc[[#This Row],[GL]])*(1-Commission)</f>
        <v>-523349.57516108279</v>
      </c>
      <c r="BN30" s="684"/>
      <c r="BO30" s="669" t="str">
        <f ca="1">Tab_NewTRADER[[#This Row],[ClickTick]]&amp;": "&amp;_xlfn.XLOOKUP(Tab_NewTRADER[[#This Row],[ClickTick]],TabCalc[Ticker],TabCalc[Pile?])</f>
        <v>MRNA: Pile</v>
      </c>
      <c r="BP30" s="351" t="s">
        <v>1968</v>
      </c>
      <c r="BQ30" s="755" t="str" cm="1">
        <f t="array" aca="1" ref="BQ30" ca="1">_xlfn.TEXTJOIN("",,INDEX({"M","A","Y"}, _xlfn.SORTBY({1,2,3}, -CHOOSE({1,2,3}, Tab_NewTRADER[[#This Row],[M]], Tab_NewTRADER[[#This Row],[A]], Tab_NewTRADER[[#This Row],[Agiotage]]))))</f>
        <v>AMY</v>
      </c>
      <c r="BR30" s="902" cm="1">
        <f t="array" aca="1" ref="BR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0.70304777594728174</v>
      </c>
      <c r="BS30" s="679" t="e">
        <f ca="1">Tab_NewTRADER[[#This Row],[L_Sn]]*Tab_NewTRADER[[#This Row],[L_Sp]]+Tab_NewTRADER[[#This Row],[SellMore]]*Tab_NewTRADER[[#This Row],[M]]</f>
        <v>#N/A</v>
      </c>
      <c r="BT30" s="679" t="e">
        <f ca="1">INDEX(
  INDEX(TabConsolid[], , _xlfn.XMATCH(Tab_NewTRADER[[#This Row],[ClickTick]]&amp;1, TabConsolid[#Headers])),
  MATCH(
    -Tab_NewTRADER[[#This Row],[M]],
    INDEX(TabConsolid[], , _xlfn.XMATCH(Tab_NewTRADER[[#This Row],[ClickTick]]&amp;2, TabConsolid[#Headers])),
    -1
  )
)</f>
        <v>#N/A</v>
      </c>
      <c r="BU30" s="679" cm="1">
        <f t="array" aca="1" ref="BU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V30" s="1144" t="e">
        <f ca="1">Tab_NewTRADER[[#This Row],[ReBuy]]/(Tab_NewTRADER[[#This Row],[L_Sn]]+Tab_NewTRADER[[#This Row],[SellMore]])</f>
        <v>#N/A</v>
      </c>
      <c r="BW30" s="687">
        <f ca="1">((_xlfn.XLOOKUP(Tab_NewTRADER[[#This Row],[ClickTick]],TabCalc[Ticker],TabCalc[NAfter])+Tab_NewTRADER[[#This Row],[L_Sn]])*(Tab_NewTRADER[[#This Row],[Agiotage]]-Tab_NewTRADER[[#This Row],[M]]))/(Tab_NewTRADER[[#This Row],[L_Sn]]*_xlfn.XLOOKUP(Tab_NewTRADER[[#This Row],[ClickTick]],TabCalc[Ticker],TabCalc[NAfter]))</f>
        <v>-1.7998699095891232E-2</v>
      </c>
      <c r="BX30" s="687">
        <f ca="1">(Tab_NewTRADER[[#This Row],[M]]-Tab_NewTRADER[[#This Row],[Agiotage]])/(Tab_NewTRADER[[#This Row],[M]]-Tab_NewTRADER[[#This Row],[A]])-1</f>
        <v>-1.5066630398951029</v>
      </c>
      <c r="BY30" s="1262">
        <f ca="1">_xlfn.XMATCH(Tab_NewTRADER[[#This Row],[ClickTick]]&amp;1, TabConsolid[#Headers])</f>
        <v>83</v>
      </c>
      <c r="BZ30" t="str">
        <f ca="1">IF(ABS(Tab_NewTRADER[[#This Row],[L_Bp]])&gt;=Tab_NewTRADER[[#This Row],[M]],"OK")</f>
        <v>OK</v>
      </c>
    </row>
    <row r="31" spans="1:78"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-4,086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-5.6%</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134</v>
      </c>
      <c r="F31" s="226" t="str">
        <f ca="1">TRUNC(TabCalc[[#This Row],[L_B1p]],2)&amp;"x"&amp;TabCalc[[#This Row],[L_B1n]]&amp;"=   "&amp;TEXT(TabCalc[[#This Row],[ReverseS1]],"#,#0")&amp;"$"</f>
        <v>-378.43x150=   16,224$</v>
      </c>
      <c r="G31" s="225" t="str">
        <f ca="1">IFERROR(TRUNC(_xlfn.XLOOKUP(Tab_NewTRADER[[#This Row],[ClickTick]],TabCalc[Ticker],ListLastSalep),2)&amp;"x"&amp;_xlfn.XLOOKUP(Tab_NewTRADER[[#This Row],[ClickTick]],TabCalc[Ticker],ListLastSalen)&amp;"=   "&amp;TEXT(-_xlfn.XLOOKUP(Tab_NewTRADER[[#This Row],[ClickTick]],TabCalc[Ticker],ListReverseB),"#,#0")&amp;"$","")</f>
        <v>523.92x150=   -5,600$</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7.7% = 134</v>
      </c>
      <c r="I31" s="226" t="str">
        <f ca="1">IFERROR(TRUNC(TabCalc[[#This Row],[L_S1p]],2)&amp;"x"&amp;TabCalc[[#This Row],[L_S1n]]&amp;"=   "&amp;TEXT(TabCalc[[#This Row],[ReverseB1]],"#,#0"),"")</f>
        <v>515.24x200=   5,731</v>
      </c>
      <c r="J31" s="295">
        <f ca="1">_xlfn.XLOOKUP(Tab_NewTRADER[[#This Row],[ClickTick]],TabCalc[Ticker],ListGravity)</f>
        <v>1.2869696459031217</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0.3615117522740065</v>
      </c>
      <c r="N31" s="324" cm="1">
        <f t="array" aca="1" ref="N31" ca="1">_xlfn.XLOOKUP(Tab_NewTRADER[[#This Row],[ClickTick]],ListTickers,Tab2RSIConventional[RSIConv20])</f>
        <v>46</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-5.3013642644454517E-2</v>
      </c>
      <c r="S31" s="683">
        <f ca="1">_xlfn.XLOOKUP(Tab_NewTRADER[[#This Row],[ClickTick]],TabCalc[Ticker],TabCalc[Rev(MinStock)])*(1-Commission)</f>
        <v>-4075.3764000000097</v>
      </c>
      <c r="T31" s="782">
        <f ca="1">_xlfn.XLOOKUP(Tab_NewTRADER[[#This Row],[ClickTick]],TabCalc[Ticker],TabCalc[Agiotage])</f>
        <v>0.3615117522740065</v>
      </c>
      <c r="U31" s="747"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-28,126/-28,126=&gt;-1.5% / -1.5%</v>
      </c>
      <c r="V31" s="739" t="str">
        <f ca="1">_xlfn.XLOOKUP(Tab_NewTRADER[[#This Row],[ClickTick]],[1]!RTData[Ticker_Symbol],[1]!RTData[Currency])</f>
        <v>USD</v>
      </c>
      <c r="W31" s="749">
        <f ca="1">_xlfn.XLOOKUP(Tab_NewTRADER[[#This Row],[ClickTick]],TabCalc[Ticker],TabCalc[M])</f>
        <v>486.59</v>
      </c>
      <c r="X31" s="1315"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-1.4581E-2</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^3,839K / 4,769 K$</v>
      </c>
      <c r="AF31" s="1182"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1" s="1530" t="str">
        <f ca="1">TEXT(MIN(Tab_NewTRADER[[#This Row],[L_Bn]],Tab_NewTRADER[[#This Row],[N]]),"#,#0")&amp;" x "&amp;TEXT(Tab_NewTRADER[[#This Row],[L_Bp]],"#,#0.#0")</f>
        <v>150 x -513.83</v>
      </c>
      <c r="AH31" s="1530" t="str" cm="1">
        <f t="array" aca="1" ref="AH31" ca="1">_xlfn.IFS(Tab_NewTRADER[[#This Row],[M_State]]=Sale_Back,Tab_NewTRADER[[#This Row],[Sale_Back_$]], TRUE,"M = "&amp;Tab_NewTRADER[[#This Row],[M]])</f>
        <v>M = 486.59</v>
      </c>
      <c r="AI31" s="1433" cm="1">
        <f t="array" aca="1" ref="AI31" ca="1">IF(Tab_NewTRADER[[#This Row],[M_State]]=MUp,_xlfn.IFS(Tab_NewTRADER[[#This Row],[M_State]]=MUp,MIN(Tab_NewTRADER[[#This Row],[N]],Tab_NewTRADER[[#This Row],[L_Bn]])*(Tab_NewTRADER[[#This Row],[M]]-Tab_NewTRADER[[#This Row],[L_Sp]])*Tab_NewTRADER[[#This Row],[Scale]]*ComFactor, TRUE,0),0)</f>
        <v>0</v>
      </c>
      <c r="AJ31" s="1433" cm="1">
        <f t="array" aca="1" ref="AJ31" ca="1">_xlfn.IFS(Tab_NewTRADER[[#This Row],[M_State]]=MUp,                 MIN(Tab_NewTRADER[[#This Row],[L_Sn]],Tab_NewTRADER[[#This Row],[N]])*(Tab_NewTRADER[[#This Row],[M]]-Tab_NewTRADER[[#This Row],[A]])*Tab_NewTRADER[[#This Row],[Scale]]*ComFactor, TRUE,0)</f>
        <v>0</v>
      </c>
      <c r="AK31" s="1433" cm="1">
        <f t="array" aca="1" ref="AK31" ca="1">_xlfn.IFS(Tab_NewTRADER[[#This Row],[M_State]]=MUp,                  Tab_NewTRADER[[#This Row],[N]]*(Tab_NewTRADER[[#This Row],[M]]-Tab_NewTRADER[[#This Row],[A]])*Tab_NewTRADER[[#This Row],[Scale]]*ComFactor, TRUE,0)</f>
        <v>0</v>
      </c>
      <c r="AL31" s="1435" t="str">
        <f ca="1">TEXT(Tab_NewTRADER[[#This Row],[L_Sn]],"#,#0")&amp;" x "&amp;TEXT(Tab_NewTRADER[[#This Row],[L_Sp]],"#,#0.#0")</f>
        <v>150 x 523.92</v>
      </c>
      <c r="AM31" s="1465" t="str" cm="1">
        <f t="array" aca="1" ref="AM31" ca="1">_xlfn.IFS(Tab_NewTRADER[[#This Row],[M_State]]=RePurchaseGain,TEXT(-Tab_NewTRADER[[#This Row],[Buy_Back]],"#,#0")&amp;"       / "&amp;TEXT(Tab_NewTRADER[[#This Row],[Rev_Buy]],"#,#00.0)%"),TRUE,"M = "&amp;Tab_NewTRADER[[#This Row],[M]])</f>
        <v>M = 486.59</v>
      </c>
      <c r="AN31" s="1435" t="str" cm="1">
        <f t="array" aca="1" ref="AN31" ca="1">_xlfn.IFS(Tab_NewTRADER[[#This Row],[M_State]]=MDown,TEXT(Tab_NewTRADER[[#This Row],[L_Sn]]*(Tab_NewTRADER[[#This Row],[M]]-Tab_NewTRADER[[#This Row],[L_Sp]])*ComFactor,"#,#0")&amp;"       / "&amp;TEXT((TabTRADER[[#This Row],[M]]-TabTRADER[[#This Row],[L_Sp]])/TabTRADER[[#This Row],[M]],"#,#00.0)%"),TRUE,0)</f>
        <v>-5,585       / -07.7)%</v>
      </c>
      <c r="AO31" s="1486" t="str" cm="1">
        <f t="array" aca="1" ref="AO31" ca="1">_xlfn.IFS(Tab_NewTRADER[[#This Row],[M_State]]=MDown,TEXT(Tab_NewTRADER[[#This Row],[N]]*(Tab_NewTRADER[[#This Row],[M]]-Tab_NewTRADER[[#This Row],[A]])*Tab_NewTRADER[[#This Row],[Scale]]*ComFactor,"#,#0")&amp;"       / "&amp;TEXT((TabTRADER[[#This Row],[M]]-TabTRADER[[#This Row],[L_Bp]])/TabTRADER[[#This Row],[M]],"#,#00.0%"),TRUE,0)</f>
        <v>1,491,680       / 205.6%</v>
      </c>
      <c r="AP31" s="1435" t="str" cm="1">
        <f t="array" aca="1" ref="AP31" ca="1">_xlfn.IFS(Tab_NewTRADER[[#This Row],[M_State]]=MDown,TEXT(Tab_NewTRADER[[#This Row],[N]]*Tab_NewTRADER[[#This Row],[M]],"#,#0")&amp;" @ "&amp;TEXT(Tab_NewTRADER[[#This Row],[A]],"#,#0.#0"),TRUE,"M = "&amp; Tab_NewTRADER[[#This Row],[M]])</f>
        <v>4,768,582 @ 333.98</v>
      </c>
      <c r="AQ31" s="1165">
        <f ca="1">Tab_NewTRADER[[#This Row],[N]]*(Tab_NewTRADER[[#This Row],[M]]-Tab_NewTRADER[[#This Row],[A]])*(1-Commission)*Tab_NewTRADER[[#This Row],[Scale]]</f>
        <v>1491679.9221599998</v>
      </c>
      <c r="AR31" s="1165">
        <f ca="1">Tab_NewTRADER[[#This Row],[M]]*Tab_NewTRADER[[#This Row],[N]]*(1-Commission)*Tab_NewTRADER[[#This Row],[Scale]]</f>
        <v>4756183.6867999993</v>
      </c>
      <c r="AS31" s="1174" cm="1">
        <f t="array" aca="1" ref="AS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-0.4569392562255164</v>
      </c>
      <c r="AT31" s="1174" cm="1">
        <f t="array" aca="1" ref="AT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5.3381421730820749E-2</v>
      </c>
      <c r="AU31" s="825" t="str" cm="1">
        <f t="array" aca="1" ref="AU31" ca="1">_xlfn.IFS(   Tab_NewTRADER[[#This Row],[M_State]]=SellMorePercentGain,                     MIN(Tab_NewTRADER[[#This Row],[L_Sn]],Tab_NewTRADER[[#This Row],[N]])*(Tab_NewTRADER[[#This Row],[M]]-Tab_NewTRADER[[#This Row],[L_Sp]])*(1-Commission)*Tab_NewTRADER[[#This Row],[Scale]],                    TRUE,"")</f>
        <v/>
      </c>
      <c r="AV31" s="1180">
        <f ca="1">_xlfn.XLOOKUP(Tab_NewTRADER[[#This Row],[ClickTick]],TabCalc[Ticker],TabCalc[Ann%RevLB])</f>
        <v>-0.51580841491901697</v>
      </c>
      <c r="AW31" s="1266">
        <f ca="1">_xlfn.XLOOKUP(Tab_NewTRADER[[#This Row],[ClickTick]],TabCalc[Ticker],TabCalc[Up20])</f>
        <v>0</v>
      </c>
      <c r="AX31" s="1175" cm="1">
        <f t="array" aca="1" ref="AX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5.5981421730820748E-2</v>
      </c>
      <c r="AY31" s="825" cm="1">
        <f t="array" aca="1" ref="AY31" ca="1">_xlfn.IFS(         Tab_NewTRADER[[#This Row],[M_State]]=MDown,Tab_NewTRADER[[#This Row],[L_Bn]]*Tab_NewTRADER[[#This Row],[M]]*(-(Tab_NewTRADER[[#This Row],[L_Bp]]+Tab_NewTRADER[[#This Row],[M]])/Tab_NewTRADER[[#This Row],[M]])*(1-Commission)*Tab_NewTRADER[[#This Row],[Scale]],                               TRUE,"")</f>
        <v>4075.3764000000097</v>
      </c>
      <c r="AZ31" s="1174" cm="1">
        <f t="array" aca="1" ref="AZ31" ca="1">_xlfn.IFS(   Tab_NewTRADER[[#This Row],[M_State]]=MUp,Tab_NewTRADER[[#This Row],[TakeGain_A]]-Commission,        Tab_NewTRADER[[#This Row],[M_State]]=MDown,(Tab_NewTRADER[[#This Row],[A]]-Tab_NewTRADER[[#This Row],[M]])/Tab_NewTRADER[[#This Row],[M]]-Commission,                              TRUE,"")</f>
        <v>-0.3162295863214683</v>
      </c>
      <c r="BA31" s="760" cm="1">
        <f t="array" aca="1" ref="BA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-1491679.9221599998</v>
      </c>
      <c r="BB31" s="760" t="str" cm="1">
        <f t="array" aca="1" ref="BB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C31" s="736" cm="1">
        <f t="array" aca="1" ref="BC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-27.24</v>
      </c>
      <c r="BD31" s="765" cm="1">
        <f t="array" aca="1" ref="BD31" ca="1">_xlfn.IFS(Tab_NewTRADER[[#This Row],[M_State]]=Sale_Back,"",         Tab_NewTRADER[[#This Row],[M_State]]=MDown, (Tab_NewTRADER[[#This Row],[M]]-Tab_NewTRADER[[#This Row],[A]])/Tab_NewTRADER[[#This Row],[A]]*ComFactor,             TRUE, IFERROR((Tab_NewTRADER[[#This Row],[M]]-Tab_NewTRADER[[#This Row],[A]])/Tab_NewTRADER[[#This Row],[A]]*ComFactor,""))</f>
        <v>0.45575121415933001</v>
      </c>
      <c r="BE31" s="762" cm="1">
        <f t="array" aca="1" ref="BE31" ca="1">_xlfn.IFS(               Tab_NewTRADER[[#This Row],[M_State]]=NoStock,(Tab_NewTRADER[[#This Row],[L_Sp]]-Tab_NewTRADER[[#This Row],[M]])/Tab_NewTRADER[[#This Row],[M]]-Commission,             Tab_NewTRADER[[#This Row],[A]]&lt;&gt;0,(Tab_NewTRADER[[#This Row],[A]]-Tab_NewTRADER[[#This Row],[M]])/Tab_NewTRADER[[#This Row],[M]]-Commission)</f>
        <v>-0.3162295863214683</v>
      </c>
      <c r="BF31" s="324">
        <f ca="1">_xlfn.XLOOKUP(Tab_NewTRADER[[#This Row],[ClickTick]],TabCalc[Ticker],TabCalc[L_Sn])</f>
        <v>150</v>
      </c>
      <c r="BG31" s="728">
        <f ca="1">_xlfn.XLOOKUP(Tab_NewTRADER[[#This Row],[ClickTick]],TabCalc[Ticker],TabCalc[L_Sp])</f>
        <v>523.91999999999996</v>
      </c>
      <c r="BH31" s="764">
        <f ca="1">-IFERROR((Tab_NewTRADER[[#This Row],[M]]-Tab_NewTRADER[[#This Row],[L_Sp]])/Tab_NewTRADER[[#This Row],[L_Sp]],0)</f>
        <v>7.125133608184453E-2</v>
      </c>
      <c r="BI31" s="729">
        <f ca="1">MIN(Tab_NewTRADER[[#This Row],[L_Sn]],Tab_NewTRADER[[#This Row],[N]])*(Tab_NewTRADER[[#This Row],[M]]-Tab_NewTRADER[[#This Row],[L_Sp]])*(1-Commission)*Tab_NewTRADER[[#This Row],[Scale]]</f>
        <v>-5584.9412999999968</v>
      </c>
      <c r="BJ31" s="692">
        <f ca="1">Tab_NewTRADER[[#This Row],[L_Sn]]*(Tab_NewTRADER[[#This Row],[Agiotage]]-Tab_NewTRADER[[#This Row],[M]])/(Tab_NewTRADER[[#This Row],[L_Bn]]*Tab_NewTRADER[[#This Row],[M]])</f>
        <v>-0.99925705059233838</v>
      </c>
      <c r="BK31" s="635">
        <f ca="1">IFERROR((Tab_NewTRADER[[#This Row],[M]]-Tab_NewTRADER[[#This Row],[A]])/Tab_NewTRADER[[#This Row],[A]],0)</f>
        <v>0.4569392562255164</v>
      </c>
      <c r="BL31" s="638" t="str">
        <f ca="1">TEXT(_xlfn.XLOOKUP(Tab_NewTRADER[[#This Row],[ClickTick]],TabCalc[Ticker],TabCalc[NAfter]),"#,#0")&amp;" : "&amp;TEXT(_xlfn.XLOOKUP(Tab_NewTRADER[[#This Row],[ClickTick]],TabCalc[Ticker],TabCalc[NAfter])*(Tab_NewTRADER[[#This Row],[M]]-Tab_NewTRADER[[#This Row],[A]])*(1-Commission)*Tab_NewTRADER[[#This Row],[Scale]],"#,#0$")</f>
        <v>9,800 : 1,491,680$</v>
      </c>
      <c r="BM31" s="684">
        <f ca="1">_xlfn.XLOOKUP(Tab_NewTRADER[[#This Row],[ClickTick]],TabCalc[[#This Row],[Ticker]],TabCalc[[#This Row],[GL]])*(1-Commission)</f>
        <v>3829373.3508992936</v>
      </c>
      <c r="BN31" s="684"/>
      <c r="BO31" s="669" t="str">
        <f ca="1">Tab_NewTRADER[[#This Row],[ClickTick]]&amp;": "&amp;_xlfn.XLOOKUP(Tab_NewTRADER[[#This Row],[ClickTick]],TabCalc[Ticker],TabCalc[Pile?])</f>
        <v xml:space="preserve">MSFT: </v>
      </c>
      <c r="BP31" s="351" t="s">
        <v>2000</v>
      </c>
      <c r="BQ31" s="755" t="str" cm="1">
        <f t="array" aca="1" ref="BQ31" ca="1">_xlfn.TEXTJOIN("",,INDEX({"M","A","Y"}, _xlfn.SORTBY({1,2,3}, -CHOOSE({1,2,3}, Tab_NewTRADER[[#This Row],[M]], Tab_NewTRADER[[#This Row],[A]], Tab_NewTRADER[[#This Row],[Agiotage]]))))</f>
        <v>MAY</v>
      </c>
      <c r="BR31" s="902" cm="1">
        <f t="array" aca="1" ref="BR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5.5981421730820748E-2</v>
      </c>
      <c r="BS31" s="679">
        <f ca="1">Tab_NewTRADER[[#This Row],[L_Sn]]*Tab_NewTRADER[[#This Row],[L_Sp]]+Tab_NewTRADER[[#This Row],[SellMore]]*Tab_NewTRADER[[#This Row],[M]]</f>
        <v>1051768</v>
      </c>
      <c r="BT31" s="679">
        <f ca="1">INDEX(
  INDEX(TabConsolid[], , _xlfn.XMATCH(Tab_NewTRADER[[#This Row],[ClickTick]]&amp;1, TabConsolid[#Headers])),
  MATCH(
    -Tab_NewTRADER[[#This Row],[M]],
    INDEX(TabConsolid[], , _xlfn.XMATCH(Tab_NewTRADER[[#This Row],[ClickTick]]&amp;2, TabConsolid[#Headers])),
    -1
  )
)</f>
        <v>2000</v>
      </c>
      <c r="BU31" s="679" cm="1">
        <f t="array" aca="1" ref="BU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V31" s="1144">
        <f ca="1">Tab_NewTRADER[[#This Row],[ReBuy]]/(Tab_NewTRADER[[#This Row],[L_Sn]]+Tab_NewTRADER[[#This Row],[SellMore]])</f>
        <v>489.19441860465116</v>
      </c>
      <c r="BW31" s="687">
        <f ca="1">((_xlfn.XLOOKUP(Tab_NewTRADER[[#This Row],[ClickTick]],TabCalc[Ticker],TabCalc[NAfter])+Tab_NewTRADER[[#This Row],[L_Sn]])*(Tab_NewTRADER[[#This Row],[Agiotage]]-Tab_NewTRADER[[#This Row],[M]]))/(Tab_NewTRADER[[#This Row],[L_Sn]]*_xlfn.XLOOKUP(Tab_NewTRADER[[#This Row],[ClickTick]],TabCalc[Ticker],TabCalc[NAfter]))</f>
        <v>-3.2911384068468528</v>
      </c>
      <c r="BX31" s="687">
        <f ca="1">(Tab_NewTRADER[[#This Row],[M]]-Tab_NewTRADER[[#This Row],[Agiotage]])/(Tab_NewTRADER[[#This Row],[M]]-Tab_NewTRADER[[#This Row],[A]])-1</f>
        <v>2.1861058209224766</v>
      </c>
      <c r="BY31" s="1262">
        <f ca="1">_xlfn.XMATCH(Tab_NewTRADER[[#This Row],[ClickTick]]&amp;1, TabConsolid[#Headers])</f>
        <v>86</v>
      </c>
      <c r="BZ31" t="str">
        <f ca="1">IF(ABS(Tab_NewTRADER[[#This Row],[L_Bp]])&gt;=Tab_NewTRADER[[#This Row],[M]],"OK")</f>
        <v>OK</v>
      </c>
    </row>
    <row r="32" spans="1:78"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+14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16.2%</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12$</v>
      </c>
      <c r="G32" s="225" t="str">
        <f ca="1">IFERROR(TRUNC(_xlfn.XLOOKUP(Tab_NewTRADER[[#This Row],[ClickTick]],TabCalc[Ticker],ListLastSalep),2)&amp;"x"&amp;_xlfn.XLOOKUP(Tab_NewTRADER[[#This Row],[ClickTick]],TabCalc[Ticker],ListLastSalen)&amp;"=   "&amp;TEXT(-_xlfn.XLOOKUP(Tab_NewTRADER[[#This Row],[ClickTick]],TabCalc[Ticker],ListReverseB),"#,#0")&amp;"$","")</f>
        <v>81.87x399=   1,133$</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0</v>
      </c>
      <c r="I32" s="226" t="str">
        <f ca="1">IFERROR(TRUNC(TabCalc[[#This Row],[L_S1p]],2)&amp;"x"&amp;TabCalc[[#This Row],[L_S1n]]&amp;"=   "&amp;TEXT(TabCalc[[#This Row],[ReverseB1]],"#,#0"),"")</f>
        <v>84.7x300=   -1</v>
      </c>
      <c r="J32" s="295">
        <f ca="1">_xlfn.XLOOKUP(Tab_NewTRADER[[#This Row],[ClickTick]],TabCalc[Ticker],ListGravity)</f>
        <v>1.0742533349073309</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0.3830959332564437</v>
      </c>
      <c r="N32" s="324" cm="1">
        <f t="array" aca="1" ref="N32" ca="1">_xlfn.XLOOKUP(Tab_NewTRADER[[#This Row],[ClickTick]],ListTickers,Tab2RSIConventional[RSIConv20])</f>
        <v>44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0.19309114733270027</v>
      </c>
      <c r="S32" s="683">
        <f ca="1">_xlfn.XLOOKUP(Tab_NewTRADER[[#This Row],[ClickTick]],TabCalc[Ticker],TabCalc[Rev(MinStock)])*(1-Commission)</f>
        <v>13.673912151799989</v>
      </c>
      <c r="T32" s="782">
        <f ca="1">_xlfn.XLOOKUP(Tab_NewTRADER[[#This Row],[ClickTick]],TabCalc[Ticker],TabCalc[Agiotage])</f>
        <v>0.3830959332564437</v>
      </c>
      <c r="U32" s="747"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0.1%</v>
      </c>
      <c r="V32" s="739" t="str">
        <f ca="1">_xlfn.XLOOKUP(Tab_NewTRADER[[#This Row],[ClickTick]],[1]!RTData[Ticker_Symbol],[1]!RTData[Currency])</f>
        <v>USD</v>
      </c>
      <c r="W32" s="749">
        <f ca="1">_xlfn.XLOOKUP(Tab_NewTRADER[[#This Row],[ClickTick]],TabCalc[Ticker],TabCalc[M])</f>
        <v>84.71</v>
      </c>
      <c r="X32" s="1315"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8.2699999999999994E-4</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F32" s="1450"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2" s="1533" t="str">
        <f ca="1">TEXT(MIN(Tab_NewTRADER[[#This Row],[L_Bn]],Tab_NewTRADER[[#This Row],[N]]),"#,#0")&amp;" x "&amp;TEXT(Tab_NewTRADER[[#This Row],[L_Bp]],"#,#0.#0")</f>
        <v>1 x -71.0</v>
      </c>
      <c r="AH32" s="1534" t="str" cm="1">
        <f t="array" aca="1" ref="AH32" ca="1">_xlfn.IFS(Tab_NewTRADER[[#This Row],[M_State]]=Sale_Back,Tab_NewTRADER[[#This Row],[Sale_Back_$]], TRUE,"M = "&amp;Tab_NewTRADER[[#This Row],[M]])</f>
        <v>M = 84.71</v>
      </c>
      <c r="AI32" s="1456" cm="1">
        <f t="array" aca="1" ref="AI32" ca="1">IF(Tab_NewTRADER[[#This Row],[M_State]]=MUp,_xlfn.IFS(Tab_NewTRADER[[#This Row],[M_State]]=MUp,MIN(Tab_NewTRADER[[#This Row],[N]],Tab_NewTRADER[[#This Row],[L_Bn]])*(Tab_NewTRADER[[#This Row],[M]]-Tab_NewTRADER[[#This Row],[L_Sp]])*Tab_NewTRADER[[#This Row],[Scale]]*ComFactor, TRUE,0),0)</f>
        <v>2.8326159999999891</v>
      </c>
      <c r="AJ32" s="1460" cm="1">
        <f t="array" aca="1" ref="AJ32" ca="1">_xlfn.IFS(Tab_NewTRADER[[#This Row],[M_State]]=MUp,                 MIN(Tab_NewTRADER[[#This Row],[L_Sn]],Tab_NewTRADER[[#This Row],[N]])*(Tab_NewTRADER[[#This Row],[M]]-Tab_NewTRADER[[#This Row],[A]])*Tab_NewTRADER[[#This Row],[Scale]]*ComFactor, TRUE,0)</f>
        <v>13.673912151799989</v>
      </c>
      <c r="AK32" s="1460" cm="1">
        <f t="array" aca="1" ref="AK32" ca="1">_xlfn.IFS(Tab_NewTRADER[[#This Row],[M_State]]=MUp,                  Tab_NewTRADER[[#This Row],[N]]*(Tab_NewTRADER[[#This Row],[M]]-Tab_NewTRADER[[#This Row],[A]])*Tab_NewTRADER[[#This Row],[Scale]]*ComFactor, TRUE,0)</f>
        <v>13.673912151799989</v>
      </c>
      <c r="AL32" s="1452" t="str">
        <f ca="1">TEXT(Tab_NewTRADER[[#This Row],[L_Sn]],"#,#0")&amp;" x "&amp;TEXT(Tab_NewTRADER[[#This Row],[L_Sp]],"#,#0.#0")</f>
        <v>399 x 81.87</v>
      </c>
      <c r="AM32" s="1465" t="str" cm="1">
        <f t="array" aca="1" ref="AM32" ca="1">_xlfn.IFS(Tab_NewTRADER[[#This Row],[M_State]]=RePurchaseGain,TEXT(-Tab_NewTRADER[[#This Row],[Buy_Back]],"#,#0")&amp;"       / "&amp;TEXT(Tab_NewTRADER[[#This Row],[Rev_Buy]],"#,#00.0)%"),TRUE,"M = "&amp;Tab_NewTRADER[[#This Row],[M]])</f>
        <v>M = 84.71</v>
      </c>
      <c r="AN32" s="1435" cm="1">
        <f t="array" aca="1" ref="AN32" ca="1">_xlfn.IFS(Tab_NewTRADER[[#This Row],[M_State]]=MDown,TEXT(Tab_NewTRADER[[#This Row],[L_Sn]]*(Tab_NewTRADER[[#This Row],[M]]-Tab_NewTRADER[[#This Row],[L_Sp]])*ComFactor,"#,#0")&amp;"       / "&amp;TEXT((TabTRADER[[#This Row],[M]]-TabTRADER[[#This Row],[L_Sp]])/TabTRADER[[#This Row],[M]],"#,#00.0)%"),TRUE,0)</f>
        <v>0</v>
      </c>
      <c r="AO32" s="1486" cm="1">
        <f t="array" aca="1" ref="AO32" ca="1">_xlfn.IFS(Tab_NewTRADER[[#This Row],[M_State]]=MDown,TEXT(Tab_NewTRADER[[#This Row],[N]]*(Tab_NewTRADER[[#This Row],[M]]-Tab_NewTRADER[[#This Row],[A]])*Tab_NewTRADER[[#This Row],[Scale]]*ComFactor,"#,#0")&amp;"       / "&amp;TEXT((TabTRADER[[#This Row],[M]]-TabTRADER[[#This Row],[L_Bp]])/TabTRADER[[#This Row],[M]],"#,#00.0%"),TRUE,0)</f>
        <v>0</v>
      </c>
      <c r="AP32" s="1435" t="str" cm="1">
        <f t="array" aca="1" ref="AP32" ca="1">_xlfn.IFS(Tab_NewTRADER[[#This Row],[M_State]]=MDown,TEXT(Tab_NewTRADER[[#This Row],[N]]*Tab_NewTRADER[[#This Row],[M]],"#,#0")&amp;" @ "&amp;TEXT(Tab_NewTRADER[[#This Row],[A]],"#,#0.#0"),TRUE,"M = "&amp; Tab_NewTRADER[[#This Row],[M]])</f>
        <v>M = 84.71</v>
      </c>
      <c r="AQ32" s="1165">
        <f ca="1">Tab_NewTRADER[[#This Row],[N]]*(Tab_NewTRADER[[#This Row],[M]]-Tab_NewTRADER[[#This Row],[A]])*(1-Commission)*Tab_NewTRADER[[#This Row],[Scale]]</f>
        <v>13.673912151799989</v>
      </c>
      <c r="AR32" s="1165">
        <f ca="1">Tab_NewTRADER[[#This Row],[M]]*Tab_NewTRADER[[#This Row],[N]]*(1-Commission)*Tab_NewTRADER[[#This Row],[Scale]]</f>
        <v>84.489753999999991</v>
      </c>
      <c r="AS32" s="1174" cm="1">
        <f t="array" aca="1" ref="AS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0.19309114733270027</v>
      </c>
      <c r="AT32" s="1174" cm="1">
        <f t="array" aca="1" ref="AT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3.092614803447042E-2</v>
      </c>
      <c r="AU32" s="825" cm="1">
        <f t="array" aca="1" ref="AU32" ca="1">_xlfn.IFS(   Tab_NewTRADER[[#This Row],[M_State]]=SellMorePercentGain,                     MIN(Tab_NewTRADER[[#This Row],[L_Sn]],Tab_NewTRADER[[#This Row],[N]])*(Tab_NewTRADER[[#This Row],[M]]-Tab_NewTRADER[[#This Row],[L_Sp]])*(1-Commission)*Tab_NewTRADER[[#This Row],[Scale]],                    TRUE,"")</f>
        <v>2.8326159999999891</v>
      </c>
      <c r="AV32" s="1180">
        <f ca="1">_xlfn.XLOOKUP(Tab_NewTRADER[[#This Row],[ClickTick]],TabCalc[Ticker],TabCalc[Ann%RevLB])</f>
        <v>0.99304018628245849</v>
      </c>
      <c r="AW32" s="1266">
        <f ca="1">_xlfn.XLOOKUP(Tab_NewTRADER[[#This Row],[ClickTick]],TabCalc[Ticker],TabCalc[Up20])</f>
        <v>0</v>
      </c>
      <c r="AX32" s="1175" t="str" cm="1">
        <f t="array" aca="1" ref="AX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2" s="825" t="str" cm="1">
        <f t="array" aca="1" ref="AY32" ca="1">_xlfn.IFS(         Tab_NewTRADER[[#This Row],[M_State]]=MDown,Tab_NewTRADER[[#This Row],[L_Bn]]*Tab_NewTRADER[[#This Row],[M]]*(-(Tab_NewTRADER[[#This Row],[L_Bp]]+Tab_NewTRADER[[#This Row],[M]])/Tab_NewTRADER[[#This Row],[M]])*(1-Commission)*Tab_NewTRADER[[#This Row],[Scale]],                               TRUE,"")</f>
        <v/>
      </c>
      <c r="AZ32" s="1174" cm="1">
        <f t="array" aca="1" ref="AZ32" ca="1">_xlfn.IFS(   Tab_NewTRADER[[#This Row],[M_State]]=MUp,Tab_NewTRADER[[#This Row],[TakeGain_A]]-Commission,        Tab_NewTRADER[[#This Row],[M_State]]=MDown,(Tab_NewTRADER[[#This Row],[A]]-Tab_NewTRADER[[#This Row],[M]])/Tab_NewTRADER[[#This Row],[M]]-Commission,                              TRUE,"")</f>
        <v>0.19049114733270028</v>
      </c>
      <c r="BA32" s="760" cm="1">
        <f t="array" aca="1" ref="BA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16.314223537717602</v>
      </c>
      <c r="BB32" s="760" t="str" cm="1">
        <f t="array" aca="1" ref="BB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C32" s="736" t="str" cm="1">
        <f t="array" aca="1" ref="BC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1x13.7</v>
      </c>
      <c r="BD32" s="765" cm="1">
        <f t="array" aca="1" ref="BD32" ca="1">_xlfn.IFS(Tab_NewTRADER[[#This Row],[M_State]]=Sale_Back,"",         Tab_NewTRADER[[#This Row],[M_State]]=MDown, (Tab_NewTRADER[[#This Row],[M]]-Tab_NewTRADER[[#This Row],[A]])/Tab_NewTRADER[[#This Row],[A]]*ComFactor,             TRUE, IFERROR((Tab_NewTRADER[[#This Row],[M]]-Tab_NewTRADER[[#This Row],[A]])/Tab_NewTRADER[[#This Row],[A]]*ComFactor,""))</f>
        <v>0.19258911034963525</v>
      </c>
      <c r="BE32" s="762" cm="1">
        <f t="array" aca="1" ref="BE32" ca="1">_xlfn.IFS(               Tab_NewTRADER[[#This Row],[M_State]]=NoStock,(Tab_NewTRADER[[#This Row],[L_Sp]]-Tab_NewTRADER[[#This Row],[M]])/Tab_NewTRADER[[#This Row],[M]]-Commission,             Tab_NewTRADER[[#This Row],[A]]&lt;&gt;0,(Tab_NewTRADER[[#This Row],[A]]-Tab_NewTRADER[[#This Row],[M]])/Tab_NewTRADER[[#This Row],[M]]-Commission)</f>
        <v>-0.1644410695313421</v>
      </c>
      <c r="BF32" s="324">
        <f ca="1">_xlfn.XLOOKUP(Tab_NewTRADER[[#This Row],[ClickTick]],TabCalc[Ticker],TabCalc[L_Sn])</f>
        <v>399</v>
      </c>
      <c r="BG32" s="728">
        <f ca="1">_xlfn.XLOOKUP(Tab_NewTRADER[[#This Row],[ClickTick]],TabCalc[Ticker],TabCalc[L_Sp])</f>
        <v>81.87</v>
      </c>
      <c r="BH32" s="764">
        <f ca="1">-IFERROR((Tab_NewTRADER[[#This Row],[M]]-Tab_NewTRADER[[#This Row],[L_Sp]])/Tab_NewTRADER[[#This Row],[L_Sp]],0)</f>
        <v>-3.4689141321607289E-2</v>
      </c>
      <c r="BI32" s="729">
        <f ca="1">MIN(Tab_NewTRADER[[#This Row],[L_Sn]],Tab_NewTRADER[[#This Row],[N]])*(Tab_NewTRADER[[#This Row],[M]]-Tab_NewTRADER[[#This Row],[L_Sp]])*(1-Commission)*Tab_NewTRADER[[#This Row],[Scale]]</f>
        <v>2.8326159999999891</v>
      </c>
      <c r="BJ32" s="692">
        <f ca="1">Tab_NewTRADER[[#This Row],[L_Sn]]*(Tab_NewTRADER[[#This Row],[Agiotage]]-Tab_NewTRADER[[#This Row],[M]])/(Tab_NewTRADER[[#This Row],[L_Bn]]*Tab_NewTRADER[[#This Row],[M]])</f>
        <v>-9.9298886561889621E-2</v>
      </c>
      <c r="BK32" s="635">
        <f ca="1">IFERROR((Tab_NewTRADER[[#This Row],[M]]-Tab_NewTRADER[[#This Row],[A]])/Tab_NewTRADER[[#This Row],[A]],0)</f>
        <v>0.19309114733270027</v>
      </c>
      <c r="BL32" s="638" t="str">
        <f ca="1">TEXT(_xlfn.XLOOKUP(Tab_NewTRADER[[#This Row],[ClickTick]],TabCalc[Ticker],TabCalc[NAfter]),"#,#0")&amp;" : "&amp;TEXT(_xlfn.XLOOKUP(Tab_NewTRADER[[#This Row],[ClickTick]],TabCalc[Ticker],TabCalc[NAfter])*(Tab_NewTRADER[[#This Row],[M]]-Tab_NewTRADER[[#This Row],[A]])*(1-Commission)*Tab_NewTRADER[[#This Row],[Scale]],"#,#0$")</f>
        <v>1 : 14$</v>
      </c>
      <c r="BM32" s="684">
        <f ca="1">_xlfn.XLOOKUP(Tab_NewTRADER[[#This Row],[ClickTick]],TabCalc[[#This Row],[Ticker]],TabCalc[[#This Row],[GL]])*(1-Commission)</f>
        <v>66717.971633772031</v>
      </c>
      <c r="BN32" s="684"/>
      <c r="BO32" s="669" t="str">
        <f ca="1">Tab_NewTRADER[[#This Row],[ClickTick]]&amp;": "&amp;_xlfn.XLOOKUP(Tab_NewTRADER[[#This Row],[ClickTick]],TabCalc[Ticker],TabCalc[Pile?])</f>
        <v xml:space="preserve">NEE: </v>
      </c>
      <c r="BP32" s="351" t="s">
        <v>2056</v>
      </c>
      <c r="BQ32" s="755" t="str" cm="1">
        <f t="array" aca="1" ref="BQ32" ca="1">_xlfn.TEXTJOIN("",,INDEX({"M","A","Y"}, _xlfn.SORTBY({1,2,3}, -CHOOSE({1,2,3}, Tab_NewTRADER[[#This Row],[M]], Tab_NewTRADER[[#This Row],[A]], Tab_NewTRADER[[#This Row],[Agiotage]]))))</f>
        <v>MAY</v>
      </c>
      <c r="BR32" s="902" cm="1">
        <f t="array" aca="1" ref="BR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3.3526148034470418E-2</v>
      </c>
      <c r="BS32" s="679">
        <f ca="1">Tab_NewTRADER[[#This Row],[L_Sn]]*Tab_NewTRADER[[#This Row],[L_Sp]]+Tab_NewTRADER[[#This Row],[SellMore]]*Tab_NewTRADER[[#This Row],[M]]</f>
        <v>66550.13</v>
      </c>
      <c r="BT32" s="679">
        <f ca="1">INDEX(
  INDEX(TabConsolid[], , _xlfn.XMATCH(Tab_NewTRADER[[#This Row],[ClickTick]]&amp;1, TabConsolid[#Headers])),
  MATCH(
    -Tab_NewTRADER[[#This Row],[M]],
    INDEX(TabConsolid[], , _xlfn.XMATCH(Tab_NewTRADER[[#This Row],[ClickTick]]&amp;2, TabConsolid[#Headers])),
    -1
  )
)</f>
        <v>400</v>
      </c>
      <c r="BU32" s="679" cm="1">
        <f t="array" aca="1" ref="BU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32" s="1144">
        <f ca="1">Tab_NewTRADER[[#This Row],[ReBuy]]/(Tab_NewTRADER[[#This Row],[L_Sn]]+Tab_NewTRADER[[#This Row],[SellMore]])</f>
        <v>83.291777221526914</v>
      </c>
      <c r="BW32" s="687">
        <f ca="1">((_xlfn.XLOOKUP(Tab_NewTRADER[[#This Row],[ClickTick]],TabCalc[Ticker],TabCalc[NAfter])+Tab_NewTRADER[[#This Row],[L_Sn]])*(Tab_NewTRADER[[#This Row],[Agiotage]]-Tab_NewTRADER[[#This Row],[M]]))/(Tab_NewTRADER[[#This Row],[L_Sn]]*_xlfn.XLOOKUP(Tab_NewTRADER[[#This Row],[ClickTick]],TabCalc[Ticker],TabCalc[NAfter]))</f>
        <v>-84.538249690970986</v>
      </c>
      <c r="BX32" s="687">
        <f ca="1">(Tab_NewTRADER[[#This Row],[M]]-Tab_NewTRADER[[#This Row],[Agiotage]])/(Tab_NewTRADER[[#This Row],[M]]-Tab_NewTRADER[[#This Row],[A]])-1</f>
        <v>5.1509576178678582</v>
      </c>
      <c r="BY32" s="1262">
        <f ca="1">_xlfn.XMATCH(Tab_NewTRADER[[#This Row],[ClickTick]]&amp;1, TabConsolid[#Headers])</f>
        <v>89</v>
      </c>
      <c r="BZ32" t="b">
        <f ca="1">IF(ABS(Tab_NewTRADER[[#This Row],[L_Bp]])&gt;=Tab_NewTRADER[[#This Row],[M]],"OK")</f>
        <v>0</v>
      </c>
    </row>
    <row r="33" spans="1:78" ht="22" hidden="1" customHeight="1"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+17,430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9.9%</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574/20,000=50,255</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7,715$</v>
      </c>
      <c r="G33" s="225" t="str">
        <f ca="1">IFERROR(TRUNC(_xlfn.XLOOKUP(Tab_NewTRADER[[#This Row],[ClickTick]],TabCalc[Ticker],ListLastSalep),2)&amp;"x"&amp;_xlfn.XLOOKUP(Tab_NewTRADER[[#This Row],[ClickTick]],TabCalc[Ticker],ListLastSalen)&amp;"=   "&amp;TEXT(-_xlfn.XLOOKUP(Tab_NewTRADER[[#This Row],[ClickTick]],TabCalc[Ticker],ListReverseB),"#,#0")&amp;"$","")</f>
        <v>81.47x2000=   12,250$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-7.0% = 0</v>
      </c>
      <c r="I33" s="226" t="str">
        <f ca="1">IFERROR(TRUNC(TabCalc[[#This Row],[L_S1p]],2)&amp;"x"&amp;TabCalc[[#This Row],[L_S1n]]&amp;"=   "&amp;TEXT(TabCalc[[#This Row],[ReverseB1]],"#,#0"),"")</f>
        <v>94.22x1000=   6,625</v>
      </c>
      <c r="J33" s="295">
        <f ca="1">_xlfn.XLOOKUP(Tab_NewTRADER[[#This Row],[ClickTick]],TabCalc[Ticker],ListGravity)</f>
        <v>1.1728409155773731</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437975</v>
      </c>
      <c r="M33" s="323">
        <f ca="1">_xlfn.XLOOKUP(Tab_NewTRADER[[#This Row],[ClickTick]],TabCalc[Ticker],TabCalc[Agiotage])</f>
        <v>0.25524794759567165</v>
      </c>
      <c r="N33" s="324" cm="1">
        <f t="array" aca="1" ref="N33" ca="1">_xlfn.XLOOKUP(Tab_NewTRADER[[#This Row],[ClickTick]],ListTickers,Tab2RSIConventional[RSIConv20])</f>
        <v>5</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0.11048427991886414</v>
      </c>
      <c r="S33" s="683">
        <f ca="1">_xlfn.XLOOKUP(Tab_NewTRADER[[#This Row],[ClickTick]],TabCalc[Ticker],TabCalc[Rev(MinStock)])*(1-Commission)</f>
        <v>17384.682000000008</v>
      </c>
      <c r="T33" s="782">
        <f ca="1">_xlfn.XLOOKUP(Tab_NewTRADER[[#This Row],[ClickTick]],TabCalc[Ticker],TabCalc[Agiotage])</f>
        <v>0.25524794759567165</v>
      </c>
      <c r="U33" s="747"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-10,900/-10,900=&gt;1.1% / 1.1%</v>
      </c>
      <c r="V33" s="739" t="str">
        <f ca="1">_xlfn.XLOOKUP(Tab_NewTRADER[[#This Row],[ClickTick]],[1]!RTData[Ticker_Symbol],[1]!RTData[Currency])</f>
        <v>USD</v>
      </c>
      <c r="W33" s="749">
        <f ca="1">_xlfn.XLOOKUP(Tab_NewTRADER[[#This Row],[ClickTick]],TabCalc[Ticker],TabCalc[M])</f>
        <v>87.594999999999999</v>
      </c>
      <c r="X33" s="1315"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1.149E-2</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^1,265K / 1,752 K$</v>
      </c>
      <c r="AF33" s="1450"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3" s="1535" t="str">
        <f ca="1">TEXT(MIN(Tab_NewTRADER[[#This Row],[L_Bn]],Tab_NewTRADER[[#This Row],[N]]),"#,#0")&amp;" x "&amp;TEXT(Tab_NewTRADER[[#This Row],[L_Bp]],"#,#0.#0")</f>
        <v>2,000 x -78.88</v>
      </c>
      <c r="AH33" s="1536" t="str" cm="1">
        <f t="array" aca="1" ref="AH33" ca="1">_xlfn.IFS(Tab_NewTRADER[[#This Row],[M_State]]=Sale_Back,Tab_NewTRADER[[#This Row],[Sale_Back_$]], TRUE,"M = "&amp;Tab_NewTRADER[[#This Row],[M]])</f>
        <v>M = 87.595</v>
      </c>
      <c r="AI33" s="1457" cm="1">
        <f t="array" aca="1" ref="AI33" ca="1">IF(Tab_NewTRADER[[#This Row],[M_State]]=MUp,_xlfn.IFS(Tab_NewTRADER[[#This Row],[M_State]]=MUp,MIN(Tab_NewTRADER[[#This Row],[N]],Tab_NewTRADER[[#This Row],[L_Bn]])*(Tab_NewTRADER[[#This Row],[M]]-Tab_NewTRADER[[#This Row],[L_Sp]])*Tab_NewTRADER[[#This Row],[Scale]]*ComFactor, TRUE,0),0)</f>
        <v>12218.15</v>
      </c>
      <c r="AJ33" s="1461" cm="1">
        <f t="array" aca="1" ref="AJ33" ca="1">_xlfn.IFS(Tab_NewTRADER[[#This Row],[M_State]]=MUp,                 MIN(Tab_NewTRADER[[#This Row],[L_Sn]],Tab_NewTRADER[[#This Row],[N]])*(Tab_NewTRADER[[#This Row],[M]]-Tab_NewTRADER[[#This Row],[A]])*Tab_NewTRADER[[#This Row],[Scale]]*ComFactor, TRUE,0)</f>
        <v>50283.712543400005</v>
      </c>
      <c r="AK33" s="1461" cm="1">
        <f t="array" aca="1" ref="AK33" ca="1">_xlfn.IFS(Tab_NewTRADER[[#This Row],[M_State]]=MUp,                  Tab_NewTRADER[[#This Row],[N]]*(Tab_NewTRADER[[#This Row],[M]]-Tab_NewTRADER[[#This Row],[A]])*Tab_NewTRADER[[#This Row],[Scale]]*ComFactor, TRUE,0)</f>
        <v>502837.12543400005</v>
      </c>
      <c r="AL33" s="1452" t="str">
        <f ca="1">TEXT(Tab_NewTRADER[[#This Row],[L_Sn]],"#,#0")&amp;" x "&amp;TEXT(Tab_NewTRADER[[#This Row],[L_Sp]],"#,#0.#0")</f>
        <v>2,000 x 81.47</v>
      </c>
      <c r="AM33" s="1465" t="str" cm="1">
        <f t="array" aca="1" ref="AM33" ca="1">_xlfn.IFS(Tab_NewTRADER[[#This Row],[M_State]]=RePurchaseGain,TEXT(-Tab_NewTRADER[[#This Row],[Buy_Back]],"#,#0")&amp;"       / "&amp;TEXT(Tab_NewTRADER[[#This Row],[Rev_Buy]],"#,#00.0)%"),TRUE,"M = "&amp;Tab_NewTRADER[[#This Row],[M]])</f>
        <v>M = 87.595</v>
      </c>
      <c r="AN33" s="1435" cm="1">
        <f t="array" aca="1" ref="AN33" ca="1">_xlfn.IFS(Tab_NewTRADER[[#This Row],[M_State]]=MDown,TEXT(Tab_NewTRADER[[#This Row],[L_Sn]]*(Tab_NewTRADER[[#This Row],[M]]-Tab_NewTRADER[[#This Row],[L_Sp]])*ComFactor,"#,#0")&amp;"       / "&amp;TEXT((TabTRADER[[#This Row],[M]]-TabTRADER[[#This Row],[L_Sp]])/TabTRADER[[#This Row],[M]],"#,#00.0)%"),TRUE,0)</f>
        <v>0</v>
      </c>
      <c r="AO33" s="1486" cm="1">
        <f t="array" aca="1" ref="AO33" ca="1">_xlfn.IFS(Tab_NewTRADER[[#This Row],[M_State]]=MDown,TEXT(Tab_NewTRADER[[#This Row],[N]]*(Tab_NewTRADER[[#This Row],[M]]-Tab_NewTRADER[[#This Row],[A]])*Tab_NewTRADER[[#This Row],[Scale]]*ComFactor,"#,#0")&amp;"       / "&amp;TEXT((TabTRADER[[#This Row],[M]]-TabTRADER[[#This Row],[L_Bp]])/TabTRADER[[#This Row],[M]],"#,#00.0%"),TRUE,0)</f>
        <v>0</v>
      </c>
      <c r="AP33" s="1435" t="str" cm="1">
        <f t="array" aca="1" ref="AP33" ca="1">_xlfn.IFS(Tab_NewTRADER[[#This Row],[M_State]]=MDown,TEXT(Tab_NewTRADER[[#This Row],[N]]*Tab_NewTRADER[[#This Row],[M]],"#,#0")&amp;" @ "&amp;TEXT(Tab_NewTRADER[[#This Row],[A]],"#,#0.#0"),TRUE,"M = "&amp; Tab_NewTRADER[[#This Row],[M]])</f>
        <v>M = 87.595</v>
      </c>
      <c r="AQ33" s="760">
        <f ca="1">Tab_NewTRADER[[#This Row],[N]]*(Tab_NewTRADER[[#This Row],[M]]-Tab_NewTRADER[[#This Row],[A]])*(1-Commission)*Tab_NewTRADER[[#This Row],[Scale]]</f>
        <v>502837.12543400005</v>
      </c>
      <c r="AR33" s="760">
        <f ca="1">Tab_NewTRADER[[#This Row],[M]]*Tab_NewTRADER[[#This Row],[N]]*(1-Commission)*Tab_NewTRADER[[#This Row],[Scale]]</f>
        <v>1747345.0599999998</v>
      </c>
      <c r="AS33" s="1174" cm="1">
        <f t="array" aca="1" ref="AS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0.40404493331684188</v>
      </c>
      <c r="AT33" s="1174" cm="1">
        <f t="array" aca="1" ref="AT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6.7324082424795928E-2</v>
      </c>
      <c r="AU33" s="825" cm="1">
        <f t="array" aca="1" ref="AU33" ca="1">_xlfn.IFS(   Tab_NewTRADER[[#This Row],[M_State]]=SellMorePercentGain,                     MIN(Tab_NewTRADER[[#This Row],[L_Sn]],Tab_NewTRADER[[#This Row],[N]])*(Tab_NewTRADER[[#This Row],[M]]-Tab_NewTRADER[[#This Row],[L_Sp]])*(1-Commission)*Tab_NewTRADER[[#This Row],[Scale]],                    TRUE,"")</f>
        <v>12218.15</v>
      </c>
      <c r="AV33" s="1163">
        <f ca="1">_xlfn.XLOOKUP(Tab_NewTRADER[[#This Row],[ClickTick]],TabCalc[Ticker],TabCalc[Ann%RevLB])</f>
        <v>2.6516227180527392</v>
      </c>
      <c r="AW33" s="1267">
        <f ca="1">_xlfn.XLOOKUP(Tab_NewTRADER[[#This Row],[ClickTick]],TabCalc[Ticker],TabCalc[Up20])</f>
        <v>0</v>
      </c>
      <c r="AX33" s="1175" t="str" cm="1">
        <f t="array" aca="1" ref="AX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3" s="825" t="str" cm="1">
        <f t="array" aca="1" ref="AY33" ca="1">_xlfn.IFS(         Tab_NewTRADER[[#This Row],[M_State]]=MDown,Tab_NewTRADER[[#This Row],[L_Bn]]*Tab_NewTRADER[[#This Row],[M]]*(-(Tab_NewTRADER[[#This Row],[L_Bp]]+Tab_NewTRADER[[#This Row],[M]])/Tab_NewTRADER[[#This Row],[M]])*(1-Commission)*Tab_NewTRADER[[#This Row],[Scale]],                               TRUE,"")</f>
        <v/>
      </c>
      <c r="AZ33" s="1174" cm="1">
        <f t="array" aca="1" ref="AZ33" ca="1">_xlfn.IFS(   Tab_NewTRADER[[#This Row],[M_State]]=MUp,Tab_NewTRADER[[#This Row],[TakeGain_A]]-Commission,        Tab_NewTRADER[[#This Row],[M_State]]=MDown,(Tab_NewTRADER[[#This Row],[A]]-Tab_NewTRADER[[#This Row],[M]])/Tab_NewTRADER[[#This Row],[M]]-Commission,                              TRUE,"")</f>
        <v>0.40144493331684189</v>
      </c>
      <c r="BA33" s="760" cm="1">
        <f t="array" aca="1" ref="BA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706005.91824921314</v>
      </c>
      <c r="BB33" s="760" t="str" cm="1">
        <f t="array" aca="1" ref="BB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C33" s="736" t="str" cm="1">
        <f t="array" aca="1" ref="BC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2,000x25.2</v>
      </c>
      <c r="BD33" s="765" cm="1">
        <f t="array" aca="1" ref="BD33" ca="1">_xlfn.IFS(Tab_NewTRADER[[#This Row],[M_State]]=Sale_Back,"",         Tab_NewTRADER[[#This Row],[M_State]]=MDown, (Tab_NewTRADER[[#This Row],[M]]-Tab_NewTRADER[[#This Row],[A]])/Tab_NewTRADER[[#This Row],[A]]*ComFactor,             TRUE, IFERROR((Tab_NewTRADER[[#This Row],[M]]-Tab_NewTRADER[[#This Row],[A]])/Tab_NewTRADER[[#This Row],[A]]*ComFactor,""))</f>
        <v>0.40299441649021805</v>
      </c>
      <c r="BE33" s="762" cm="1">
        <f t="array" aca="1" ref="BE33" ca="1">_xlfn.IFS(               Tab_NewTRADER[[#This Row],[M_State]]=NoStock,(Tab_NewTRADER[[#This Row],[L_Sp]]-Tab_NewTRADER[[#This Row],[M]])/Tab_NewTRADER[[#This Row],[M]]-Commission,             Tab_NewTRADER[[#This Row],[A]]&lt;&gt;0,(Tab_NewTRADER[[#This Row],[A]]-Tab_NewTRADER[[#This Row],[M]])/Tab_NewTRADER[[#This Row],[M]]-Commission)</f>
        <v>-0.29037208173982537</v>
      </c>
      <c r="BF33" s="324">
        <f ca="1">_xlfn.XLOOKUP(Tab_NewTRADER[[#This Row],[ClickTick]],TabCalc[Ticker],TabCalc[L_Sn])</f>
        <v>2000</v>
      </c>
      <c r="BG33" s="728">
        <f ca="1">_xlfn.XLOOKUP(Tab_NewTRADER[[#This Row],[ClickTick]],TabCalc[Ticker],TabCalc[L_Sp])</f>
        <v>81.47</v>
      </c>
      <c r="BH33" s="764">
        <f ca="1">-IFERROR((Tab_NewTRADER[[#This Row],[M]]-Tab_NewTRADER[[#This Row],[L_Sp]])/Tab_NewTRADER[[#This Row],[L_Sp]],0)</f>
        <v>-7.5181048238615447E-2</v>
      </c>
      <c r="BI33" s="729">
        <f ca="1">MIN(Tab_NewTRADER[[#This Row],[L_Sn]],Tab_NewTRADER[[#This Row],[N]])*(Tab_NewTRADER[[#This Row],[M]]-Tab_NewTRADER[[#This Row],[L_Sp]])*(1-Commission)*Tab_NewTRADER[[#This Row],[Scale]]</f>
        <v>12218.15</v>
      </c>
      <c r="BJ33" s="692">
        <f ca="1">Tab_NewTRADER[[#This Row],[L_Sn]]*(Tab_NewTRADER[[#This Row],[Agiotage]]-Tab_NewTRADER[[#This Row],[M]])/(Tab_NewTRADER[[#This Row],[L_Bn]]*Tab_NewTRADER[[#This Row],[M]])</f>
        <v>-0.99708604432221382</v>
      </c>
      <c r="BK33" s="635">
        <f ca="1">IFERROR((Tab_NewTRADER[[#This Row],[M]]-Tab_NewTRADER[[#This Row],[A]])/Tab_NewTRADER[[#This Row],[A]],0)</f>
        <v>0.40404493331684188</v>
      </c>
      <c r="BL33" s="638" t="str">
        <f ca="1">TEXT(_xlfn.XLOOKUP(Tab_NewTRADER[[#This Row],[ClickTick]],TabCalc[Ticker],TabCalc[NAfter]),"#,#0")&amp;" : "&amp;TEXT(_xlfn.XLOOKUP(Tab_NewTRADER[[#This Row],[ClickTick]],TabCalc[Ticker],TabCalc[NAfter])*(Tab_NewTRADER[[#This Row],[M]]-Tab_NewTRADER[[#This Row],[A]])*(1-Commission)*Tab_NewTRADER[[#This Row],[Scale]],"#,#0$")</f>
        <v>20,000 : 502,837$</v>
      </c>
      <c r="BM33" s="684">
        <f ca="1">_xlfn.XLOOKUP(Tab_NewTRADER[[#This Row],[ClickTick]],TabCalc[[#This Row],[Ticker]],TabCalc[[#This Row],[GL]])*(1-Commission)</f>
        <v>1261220.1483590731</v>
      </c>
      <c r="BN33" s="684"/>
      <c r="BO33" s="669" t="str">
        <f ca="1">Tab_NewTRADER[[#This Row],[ClickTick]]&amp;": "&amp;_xlfn.XLOOKUP(Tab_NewTRADER[[#This Row],[ClickTick]],TabCalc[Ticker],TabCalc[Pile?])</f>
        <v xml:space="preserve">NEM: </v>
      </c>
      <c r="BP33" s="351" t="s">
        <v>2059</v>
      </c>
      <c r="BQ33" s="755" t="str" cm="1">
        <f t="array" aca="1" ref="BQ33" ca="1">_xlfn.TEXTJOIN("",,INDEX({"M","A","Y"}, _xlfn.SORTBY({1,2,3}, -CHOOSE({1,2,3}, Tab_NewTRADER[[#This Row],[M]], Tab_NewTRADER[[#This Row],[A]], Tab_NewTRADER[[#This Row],[Agiotage]]))))</f>
        <v>MAY</v>
      </c>
      <c r="BR33" s="902" cm="1">
        <f t="array" aca="1" ref="BR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6.9924082424795933E-2</v>
      </c>
      <c r="BS33" s="679">
        <f ca="1">Tab_NewTRADER[[#This Row],[L_Sn]]*Tab_NewTRADER[[#This Row],[L_Sp]]+Tab_NewTRADER[[#This Row],[SellMore]]*Tab_NewTRADER[[#This Row],[M]]</f>
        <v>338130</v>
      </c>
      <c r="BT33" s="679">
        <f ca="1">INDEX(
  INDEX(TabConsolid[], , _xlfn.XMATCH(Tab_NewTRADER[[#This Row],[ClickTick]]&amp;1, TabConsolid[#Headers])),
  MATCH(
    -Tab_NewTRADER[[#This Row],[M]],
    INDEX(TabConsolid[], , _xlfn.XMATCH(Tab_NewTRADER[[#This Row],[ClickTick]]&amp;2, TabConsolid[#Headers])),
    -1
  )
)</f>
        <v>2000</v>
      </c>
      <c r="BU33" s="679" cm="1">
        <f t="array" aca="1" ref="BU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V33" s="1144">
        <f ca="1">Tab_NewTRADER[[#This Row],[ReBuy]]/(Tab_NewTRADER[[#This Row],[L_Sn]]+Tab_NewTRADER[[#This Row],[SellMore]])</f>
        <v>84.532499999999999</v>
      </c>
      <c r="BW33" s="687">
        <f ca="1">((_xlfn.XLOOKUP(Tab_NewTRADER[[#This Row],[ClickTick]],TabCalc[Ticker],TabCalc[NAfter])+Tab_NewTRADER[[#This Row],[L_Sn]])*(Tab_NewTRADER[[#This Row],[Agiotage]]-Tab_NewTRADER[[#This Row],[M]]))/(Tab_NewTRADER[[#This Row],[L_Sn]]*_xlfn.XLOOKUP(Tab_NewTRADER[[#This Row],[ClickTick]],TabCalc[Ticker],TabCalc[NAfter]))</f>
        <v>-4.8036863628822382E-2</v>
      </c>
      <c r="BX33" s="687">
        <f ca="1">(Tab_NewTRADER[[#This Row],[M]]-Tab_NewTRADER[[#This Row],[Agiotage]])/(Tab_NewTRADER[[#This Row],[M]]-Tab_NewTRADER[[#This Row],[A]])-1</f>
        <v>2.4648463405274974</v>
      </c>
      <c r="BY33" s="1262">
        <f ca="1">_xlfn.XMATCH(Tab_NewTRADER[[#This Row],[ClickTick]]&amp;1, TabConsolid[#Headers])</f>
        <v>92</v>
      </c>
      <c r="BZ33" t="b">
        <f ca="1">IF(ABS(Tab_NewTRADER[[#This Row],[L_Bp]])&gt;=Tab_NewTRADER[[#This Row],[M]],"OK")</f>
        <v>0</v>
      </c>
    </row>
    <row r="34" spans="1:78"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-109.68x5000=    +460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0.1%</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-110.35x5000=   -2,880$</v>
      </c>
      <c r="G34" s="225" t="str">
        <f ca="1">IFERROR(TRUNC(_xlfn.XLOOKUP(Tab_NewTRADER[[#This Row],[ClickTick]],TabCalc[Ticker],ListLastSalep),2)&amp;"x"&amp;_xlfn.XLOOKUP(Tab_NewTRADER[[#This Row],[ClickTick]],TabCalc[Ticker],ListLastSalen)&amp;"=   "&amp;TEXT(-_xlfn.XLOOKUP(Tab_NewTRADER[[#This Row],[ClickTick]],TabCalc[Ticker],ListReverseB),"#,#0")&amp;"$","")</f>
        <v>123.35x1000=   -13,576$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12.4% = 368</v>
      </c>
      <c r="I34" s="226" t="str">
        <f ca="1">IFERROR(TRUNC(TabCalc[[#This Row],[L_S1p]],2)&amp;"x"&amp;TabCalc[[#This Row],[L_S1n]]&amp;"=   "&amp;TEXT(TabCalc[[#This Row],[ReverseB1]],"#,#0"),"")</f>
        <v>123.53x1000=   13,753</v>
      </c>
      <c r="J34" s="295">
        <f ca="1">_xlfn.XLOOKUP(Tab_NewTRADER[[#This Row],[ClickTick]],TabCalc[Ticker],ListGravity)</f>
        <v>12.272937693568956</v>
      </c>
      <c r="K34" s="322" cm="1">
        <f t="array" aca="1" ref="K34" ca="1">IF(_xlfn.XLOOKUP(Tab_NewTRADER[[#This Row],[ClickTick]],Tab_NewTRADER[ClickTick],ListExtra_n)&gt;0,_xlfn.XLOOKUP(Tab_NewTRADER[[#This Row],[ClickTick]],Tab_NewTRADER[ClickTick],ListExtra_n),"")</f>
        <v>26000</v>
      </c>
      <c r="L34" s="320">
        <f ca="1">IF(_xlfn.XLOOKUP(Tab_NewTRADER[[#This Row],[ClickTick]],TabCalc[Ticker],ListExtra_n)&gt;0,_xlfn.XLOOKUP(Tab_NewTRADER[[#This Row],[ClickTick]],TabCalc[Ticker],ListExtra_n)*Tab_NewTRADER[[#This Row],[M]]*_xlfn.XLOOKUP(Tab_NewTRADER[[#This Row],[ClickTick]],TabCalc[Ticker],ListScale),"")</f>
        <v>2854280</v>
      </c>
      <c r="M34" s="323">
        <f ca="1">_xlfn.XLOOKUP(Tab_NewTRADER[[#This Row],[ClickTick]],TabCalc[Ticker],TabCalc[Agiotage])</f>
        <v>0.31860468043048967</v>
      </c>
      <c r="N34" s="324" cm="1">
        <f t="array" aca="1" ref="N34" ca="1">_xlfn.XLOOKUP(Tab_NewTRADER[[#This Row],[ClickTick]],ListTickers,Tab2RSIConventional[RSIConv20])</f>
        <v>11</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5000</v>
      </c>
      <c r="Q34" s="681">
        <f ca="1">_xlfn.XLOOKUP(Tab_NewTRADER[[#This Row],[ClickTick]],TabCalc[Ticker],TabCalc[L_Bp])</f>
        <v>-109.68800000000002</v>
      </c>
      <c r="R34" s="764">
        <f ca="1">(Tab_NewTRADER[[#This Row],[M]]+Tab_NewTRADER[[#This Row],[L_Bp]])/ABS(Tab_NewTRADER[[#This Row],[L_Bp]])</f>
        <v>8.3874261541813622E-4</v>
      </c>
      <c r="S34" s="683">
        <f ca="1">_xlfn.XLOOKUP(Tab_NewTRADER[[#This Row],[ClickTick]],TabCalc[Ticker],TabCalc[Rev(MinStock)])*(1-Commission)</f>
        <v>458.80399999992289</v>
      </c>
      <c r="T34" s="782">
        <f ca="1">_xlfn.XLOOKUP(Tab_NewTRADER[[#This Row],[ClickTick]],TabCalc[Ticker],TabCalc[Agiotage])</f>
        <v>0.31860468043048967</v>
      </c>
      <c r="U34" s="747"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-91,200/-91,200=&gt;-3.8% / -3.8%</v>
      </c>
      <c r="V34" s="739" t="str">
        <f ca="1">_xlfn.XLOOKUP(Tab_NewTRADER[[#This Row],[ClickTick]],[1]!RTData[Ticker_Symbol],[1]!RTData[Currency])</f>
        <v>USD</v>
      </c>
      <c r="W34" s="749">
        <f ca="1">_xlfn.XLOOKUP(Tab_NewTRADER[[#This Row],[ClickTick]],TabCalc[Ticker],TabCalc[M])</f>
        <v>109.78</v>
      </c>
      <c r="X34" s="1315"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112.8935</v>
      </c>
      <c r="AB34" s="817" cm="1">
        <f t="array" aca="1" ref="AB34" ca="1">_xlfn.XLOOKUP(Tab_NewTRADER[[#This Row],[ClickTick]],ListTickers,Tab1ChangePercent[Change%19])</f>
        <v>-3.7776999999999998E-2</v>
      </c>
      <c r="AC34" s="768">
        <f ca="1">_xlfn.XLOOKUP(Tab_NewTRADER[[#This Row],[ClickTick]],TabCalc[Ticker],TabCalc[NAfter])</f>
        <v>30000</v>
      </c>
      <c r="AD34" s="768">
        <f ca="1">_xlfn.XLOOKUP(Tab_NewTRADER[[#This Row],[ClickTick]],TabCalc[Ticker],TabCalc[Nbegin])</f>
        <v>4000</v>
      </c>
      <c r="AE3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^1,445K / 3,293 K$</v>
      </c>
      <c r="AF34" s="1182"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34" s="1530" t="str">
        <f ca="1">TEXT(MIN(Tab_NewTRADER[[#This Row],[L_Bn]],Tab_NewTRADER[[#This Row],[N]]),"#,#0")&amp;" x "&amp;TEXT(Tab_NewTRADER[[#This Row],[L_Bp]],"#,#0.#0")</f>
        <v>5,000 x -109.69</v>
      </c>
      <c r="AH34" s="1530" cm="1">
        <f t="array" aca="1" ref="AH34" ca="1">_xlfn.IFS(Tab_NewTRADER[[#This Row],[M_State]]=Sale_Back,Tab_NewTRADER[[#This Row],[Sale_Back_$]], TRUE,"M = "&amp;Tab_NewTRADER[[#This Row],[M]])</f>
        <v>458.80399999992289</v>
      </c>
      <c r="AI34" s="1433" cm="1">
        <f t="array" aca="1" ref="AI34" ca="1">IF(Tab_NewTRADER[[#This Row],[M_State]]=MUp,_xlfn.IFS(Tab_NewTRADER[[#This Row],[M_State]]=MUp,MIN(Tab_NewTRADER[[#This Row],[N]],Tab_NewTRADER[[#This Row],[L_Bn]])*(Tab_NewTRADER[[#This Row],[M]]-Tab_NewTRADER[[#This Row],[L_Sp]])*Tab_NewTRADER[[#This Row],[Scale]]*ComFactor, TRUE,0),0)</f>
        <v>0</v>
      </c>
      <c r="AJ34" s="1433" cm="1">
        <f t="array" aca="1" ref="AJ34" ca="1">_xlfn.IFS(Tab_NewTRADER[[#This Row],[M_State]]=MUp,                 MIN(Tab_NewTRADER[[#This Row],[L_Sn]],Tab_NewTRADER[[#This Row],[N]])*(Tab_NewTRADER[[#This Row],[M]]-Tab_NewTRADER[[#This Row],[A]])*Tab_NewTRADER[[#This Row],[Scale]]*ComFactor, TRUE,0)</f>
        <v>0</v>
      </c>
      <c r="AK34" s="1433" cm="1">
        <f t="array" aca="1" ref="AK34" ca="1">_xlfn.IFS(Tab_NewTRADER[[#This Row],[M_State]]=MUp,                  Tab_NewTRADER[[#This Row],[N]]*(Tab_NewTRADER[[#This Row],[M]]-Tab_NewTRADER[[#This Row],[A]])*Tab_NewTRADER[[#This Row],[Scale]]*ComFactor, TRUE,0)</f>
        <v>0</v>
      </c>
      <c r="AL34" s="1435" t="str">
        <f ca="1">TEXT(Tab_NewTRADER[[#This Row],[L_Sn]],"#,#0")&amp;" x "&amp;TEXT(Tab_NewTRADER[[#This Row],[L_Sp]],"#,#0.#0")</f>
        <v>1,000 x 123.36</v>
      </c>
      <c r="AM34" s="1465" t="str" cm="1">
        <f t="array" aca="1" ref="AM34" ca="1">_xlfn.IFS(Tab_NewTRADER[[#This Row],[M_State]]=RePurchaseGain,TEXT(-Tab_NewTRADER[[#This Row],[Buy_Back]],"#,#0")&amp;"       / "&amp;TEXT(Tab_NewTRADER[[#This Row],[Rev_Buy]],"#,#00.0)%"),TRUE,"M = "&amp;Tab_NewTRADER[[#This Row],[M]])</f>
        <v>M = 109.78</v>
      </c>
      <c r="AN34" s="1435" cm="1">
        <f t="array" aca="1" ref="AN34" ca="1">_xlfn.IFS(Tab_NewTRADER[[#This Row],[M_State]]=MDown,TEXT(Tab_NewTRADER[[#This Row],[L_Sn]]*(Tab_NewTRADER[[#This Row],[M]]-Tab_NewTRADER[[#This Row],[L_Sp]])*ComFactor,"#,#0")&amp;"       / "&amp;TEXT((TabTRADER[[#This Row],[M]]-TabTRADER[[#This Row],[L_Sp]])/TabTRADER[[#This Row],[M]],"#,#00.0)%"),TRUE,0)</f>
        <v>0</v>
      </c>
      <c r="AO34" s="1486" cm="1">
        <f t="array" aca="1" ref="AO34" ca="1">_xlfn.IFS(Tab_NewTRADER[[#This Row],[M_State]]=MDown,TEXT(Tab_NewTRADER[[#This Row],[N]]*(Tab_NewTRADER[[#This Row],[M]]-Tab_NewTRADER[[#This Row],[A]])*Tab_NewTRADER[[#This Row],[Scale]]*ComFactor,"#,#0")&amp;"       / "&amp;TEXT((TabTRADER[[#This Row],[M]]-TabTRADER[[#This Row],[L_Bp]])/TabTRADER[[#This Row],[M]],"#,#00.0%"),TRUE,0)</f>
        <v>0</v>
      </c>
      <c r="AP34" s="1435" t="str" cm="1">
        <f t="array" aca="1" ref="AP34" ca="1">_xlfn.IFS(Tab_NewTRADER[[#This Row],[M_State]]=MDown,TEXT(Tab_NewTRADER[[#This Row],[N]]*Tab_NewTRADER[[#This Row],[M]],"#,#0")&amp;" @ "&amp;TEXT(Tab_NewTRADER[[#This Row],[A]],"#,#0.#0"),TRUE,"M = "&amp; Tab_NewTRADER[[#This Row],[M]])</f>
        <v>M = 109.78</v>
      </c>
      <c r="AQ34" s="1165">
        <f ca="1">Tab_NewTRADER[[#This Row],[N]]*(Tab_NewTRADER[[#This Row],[M]]-Tab_NewTRADER[[#This Row],[A]])*(1-Commission)*Tab_NewTRADER[[#This Row],[Scale]]</f>
        <v>-93162.147000000055</v>
      </c>
      <c r="AR34" s="1165">
        <f ca="1">Tab_NewTRADER[[#This Row],[M]]*Tab_NewTRADER[[#This Row],[N]]*(1-Commission)*Tab_NewTRADER[[#This Row],[Scale]]</f>
        <v>3284837.1599999997</v>
      </c>
      <c r="AS34" s="1174" cm="1">
        <f t="array" aca="1" ref="AS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8.3874261541813622E-4</v>
      </c>
      <c r="AT34" s="1174" t="str" cm="1">
        <f t="array" aca="1" ref="AT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34" s="825" t="str" cm="1">
        <f t="array" aca="1" ref="AU34" ca="1">_xlfn.IFS(   Tab_NewTRADER[[#This Row],[M_State]]=SellMorePercentGain,                     MIN(Tab_NewTRADER[[#This Row],[L_Sn]],Tab_NewTRADER[[#This Row],[N]])*(Tab_NewTRADER[[#This Row],[M]]-Tab_NewTRADER[[#This Row],[L_Sp]])*(1-Commission)*Tab_NewTRADER[[#This Row],[Scale]],                    TRUE,"")</f>
        <v/>
      </c>
      <c r="AV34" s="1313">
        <f ca="1">_xlfn.XLOOKUP(Tab_NewTRADER[[#This Row],[ClickTick]],TabCalc[Ticker],TabCalc[Ann%RevLB])</f>
        <v>1.1613359290404962E-2</v>
      </c>
      <c r="AW34" s="1267">
        <f ca="1">_xlfn.XLOOKUP(Tab_NewTRADER[[#This Row],[ClickTick]],TabCalc[Ticker],TabCalc[Up20])</f>
        <v>0</v>
      </c>
      <c r="AX34" s="1175" t="str" cm="1">
        <f t="array" aca="1" ref="AX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4" s="825" t="str" cm="1">
        <f t="array" aca="1" ref="AY34" ca="1">_xlfn.IFS(         Tab_NewTRADER[[#This Row],[M_State]]=MDown,Tab_NewTRADER[[#This Row],[L_Bn]]*Tab_NewTRADER[[#This Row],[M]]*(-(Tab_NewTRADER[[#This Row],[L_Bp]]+Tab_NewTRADER[[#This Row],[M]])/Tab_NewTRADER[[#This Row],[M]])*(1-Commission)*Tab_NewTRADER[[#This Row],[Scale]],                               TRUE,"")</f>
        <v/>
      </c>
      <c r="AZ34" s="1174" t="str" cm="1">
        <f t="array" aca="1" ref="AZ34" ca="1">_xlfn.IFS(   Tab_NewTRADER[[#This Row],[M_State]]=MUp,Tab_NewTRADER[[#This Row],[TakeGain_A]]-Commission,        Tab_NewTRADER[[#This Row],[M_State]]=MDown,(Tab_NewTRADER[[#This Row],[A]]-Tab_NewTRADER[[#This Row],[M]])/Tab_NewTRADER[[#This Row],[M]]-Commission,                              TRUE,"")</f>
        <v/>
      </c>
      <c r="BA34" s="825" cm="1">
        <f t="array" aca="1" ref="BA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-90592.819760748011</v>
      </c>
      <c r="BB34" s="760" t="str" cm="1">
        <f t="array" aca="1" ref="BB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-2.5%</v>
      </c>
      <c r="BC34" s="736" t="str" cm="1">
        <f t="array" aca="1" ref="BC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34" s="765" t="str" cm="1">
        <f t="array" aca="1" ref="BD34" ca="1">_xlfn.IFS(Tab_NewTRADER[[#This Row],[M_State]]=Sale_Back,"",         Tab_NewTRADER[[#This Row],[M_State]]=MDown, (Tab_NewTRADER[[#This Row],[M]]-Tab_NewTRADER[[#This Row],[A]])/Tab_NewTRADER[[#This Row],[A]]*ComFactor,             TRUE, IFERROR((Tab_NewTRADER[[#This Row],[M]]-Tab_NewTRADER[[#This Row],[A]])/Tab_NewTRADER[[#This Row],[A]]*ComFactor,""))</f>
        <v/>
      </c>
      <c r="BE34" s="762" cm="1">
        <f t="array" aca="1" ref="BE34" ca="1">_xlfn.IFS(               Tab_NewTRADER[[#This Row],[M_State]]=NoStock,(Tab_NewTRADER[[#This Row],[L_Sp]]-Tab_NewTRADER[[#This Row],[M]])/Tab_NewTRADER[[#This Row],[M]]-Commission,             Tab_NewTRADER[[#This Row],[A]]&lt;&gt;0,(Tab_NewTRADER[[#This Row],[A]]-Tab_NewTRADER[[#This Row],[M]])/Tab_NewTRADER[[#This Row],[M]]-Commission)</f>
        <v>2.5761267990526526E-2</v>
      </c>
      <c r="BF34" s="324">
        <f ca="1">_xlfn.XLOOKUP(Tab_NewTRADER[[#This Row],[ClickTick]],TabCalc[Ticker],TabCalc[L_Sn])</f>
        <v>1000</v>
      </c>
      <c r="BG34" s="728">
        <f ca="1">_xlfn.XLOOKUP(Tab_NewTRADER[[#This Row],[ClickTick]],TabCalc[Ticker],TabCalc[L_Sp])</f>
        <v>123.35599999999999</v>
      </c>
      <c r="BH34" s="764">
        <f ca="1">-IFERROR((Tab_NewTRADER[[#This Row],[M]]-Tab_NewTRADER[[#This Row],[L_Sp]])/Tab_NewTRADER[[#This Row],[L_Sp]],0)</f>
        <v>0.11005544926878298</v>
      </c>
      <c r="BI34" s="729">
        <f ca="1">MIN(Tab_NewTRADER[[#This Row],[L_Sn]],Tab_NewTRADER[[#This Row],[N]])*(Tab_NewTRADER[[#This Row],[M]]-Tab_NewTRADER[[#This Row],[L_Sp]])*(1-Commission)*Tab_NewTRADER[[#This Row],[Scale]]</f>
        <v>-13540.702399999993</v>
      </c>
      <c r="BJ34" s="692">
        <f ca="1">Tab_NewTRADER[[#This Row],[L_Sn]]*(Tab_NewTRADER[[#This Row],[Agiotage]]-Tab_NewTRADER[[#This Row],[M]])/(Tab_NewTRADER[[#This Row],[L_Bn]]*Tab_NewTRADER[[#This Row],[M]])</f>
        <v>-0.19941955787861088</v>
      </c>
      <c r="BK34" s="635">
        <f ca="1">IFERROR((Tab_NewTRADER[[#This Row],[M]]-Tab_NewTRADER[[#This Row],[A]])/Tab_NewTRADER[[#This Row],[A]],0)</f>
        <v>-2.7579090027326655E-2</v>
      </c>
      <c r="BL34" s="638" t="str">
        <f ca="1">TEXT(_xlfn.XLOOKUP(Tab_NewTRADER[[#This Row],[ClickTick]],TabCalc[Ticker],TabCalc[NAfter]),"#,#0")&amp;" : "&amp;TEXT(_xlfn.XLOOKUP(Tab_NewTRADER[[#This Row],[ClickTick]],TabCalc[Ticker],TabCalc[NAfter])*(Tab_NewTRADER[[#This Row],[M]]-Tab_NewTRADER[[#This Row],[A]])*(1-Commission)*Tab_NewTRADER[[#This Row],[Scale]],"#,#0$")</f>
        <v>30,000 : -93,162$</v>
      </c>
      <c r="BM34" s="684">
        <f ca="1">_xlfn.XLOOKUP(Tab_NewTRADER[[#This Row],[ClickTick]],TabCalc[[#This Row],[Ticker]],TabCalc[[#This Row],[GL]])*(1-Commission)</f>
        <v>1441237.9784640276</v>
      </c>
      <c r="BN34" s="684"/>
      <c r="BO34" s="669" t="str">
        <f ca="1">Tab_NewTRADER[[#This Row],[ClickTick]]&amp;": "&amp;_xlfn.XLOOKUP(Tab_NewTRADER[[#This Row],[ClickTick]],TabCalc[Ticker],TabCalc[Pile?])</f>
        <v xml:space="preserve">NFLX: </v>
      </c>
      <c r="BP34" s="351" t="s">
        <v>1981</v>
      </c>
      <c r="BQ34" s="755" t="str" cm="1">
        <f t="array" aca="1" ref="BQ34" ca="1">_xlfn.TEXTJOIN("",,INDEX({"M","A","Y"}, _xlfn.SORTBY({1,2,3}, -CHOOSE({1,2,3}, Tab_NewTRADER[[#This Row],[M]], Tab_NewTRADER[[#This Row],[A]], Tab_NewTRADER[[#This Row],[Agiotage]]))))</f>
        <v>AMY</v>
      </c>
      <c r="BR34" s="902" t="str" cm="1">
        <f t="array" aca="1" ref="BR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34" s="679" t="e">
        <f ca="1">Tab_NewTRADER[[#This Row],[L_Sn]]*Tab_NewTRADER[[#This Row],[L_Sp]]+Tab_NewTRADER[[#This Row],[SellMore]]*Tab_NewTRADER[[#This Row],[M]]</f>
        <v>#N/A</v>
      </c>
      <c r="BT34" s="679" t="e">
        <f ca="1">INDEX(
  INDEX(TabConsolid[], , _xlfn.XMATCH(Tab_NewTRADER[[#This Row],[ClickTick]]&amp;1, TabConsolid[#Headers])),
  MATCH(
    -Tab_NewTRADER[[#This Row],[M]],
    INDEX(TabConsolid[], , _xlfn.XMATCH(Tab_NewTRADER[[#This Row],[ClickTick]]&amp;2, TabConsolid[#Headers])),
    -1
  )
)</f>
        <v>#N/A</v>
      </c>
      <c r="BU34" s="679" cm="1">
        <f t="array" aca="1" ref="BU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V34" s="1144" t="e">
        <f ca="1">Tab_NewTRADER[[#This Row],[ReBuy]]/(Tab_NewTRADER[[#This Row],[L_Sn]]+Tab_NewTRADER[[#This Row],[SellMore]])</f>
        <v>#N/A</v>
      </c>
      <c r="BW34" s="687">
        <f ca="1">((_xlfn.XLOOKUP(Tab_NewTRADER[[#This Row],[ClickTick]],TabCalc[Ticker],TabCalc[NAfter])+Tab_NewTRADER[[#This Row],[L_Sn]])*(Tab_NewTRADER[[#This Row],[Agiotage]]-Tab_NewTRADER[[#This Row],[M]]))/(Tab_NewTRADER[[#This Row],[L_Sn]]*_xlfn.XLOOKUP(Tab_NewTRADER[[#This Row],[ClickTick]],TabCalc[Ticker],TabCalc[NAfter]))</f>
        <v>-0.11311010849688849</v>
      </c>
      <c r="BX34" s="687">
        <f ca="1">(Tab_NewTRADER[[#This Row],[M]]-Tab_NewTRADER[[#This Row],[Agiotage]])/(Tab_NewTRADER[[#This Row],[M]]-Tab_NewTRADER[[#This Row],[A]])-1</f>
        <v>-36.157024351877126</v>
      </c>
      <c r="BY34" s="1262">
        <f ca="1">_xlfn.XMATCH(Tab_NewTRADER[[#This Row],[ClickTick]]&amp;1, TabConsolid[#Headers])</f>
        <v>95</v>
      </c>
      <c r="BZ34" t="b">
        <f ca="1">IF(ABS(Tab_NewTRADER[[#This Row],[L_Bp]])&gt;=Tab_NewTRADER[[#This Row],[M]],"OK")</f>
        <v>0</v>
      </c>
    </row>
    <row r="35" spans="1:78"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-2,100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-29.6%</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-8,175$</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14.78923943661972</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0.41464384557603706</v>
      </c>
      <c r="N35" s="324" cm="1">
        <f t="array" aca="1" ref="N35" ca="1">_xlfn.XLOOKUP(Tab_NewTRADER[[#This Row],[ClickTick]],ListTickers,Tab2RSIConventional[RSIConv20])</f>
        <v>57</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-0.22826086956521738</v>
      </c>
      <c r="S35" s="683">
        <f ca="1">_xlfn.XLOOKUP(Tab_NewTRADER[[#This Row],[ClickTick]],TabCalc[Ticker],TabCalc[Rev(MinStock)])*(1-Commission)</f>
        <v>-2094.3305459999992</v>
      </c>
      <c r="T35" s="782">
        <f ca="1">_xlfn.XLOOKUP(Tab_NewTRADER[[#This Row],[ClickTick]],TabCalc[Ticker],TabCalc[Agiotage])</f>
        <v>0.41464384557603706</v>
      </c>
      <c r="U35" s="747"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-3,000/-3,000=&gt;-4.9% / -4.9%</v>
      </c>
      <c r="V35" s="739" t="str">
        <f ca="1">_xlfn.XLOOKUP(Tab_NewTRADER[[#This Row],[ClickTick]],[1]!RTData[Ticker_Symbol],[1]!RTData[Currency])</f>
        <v>USD</v>
      </c>
      <c r="W35" s="749">
        <f ca="1">_xlfn.XLOOKUP(Tab_NewTRADER[[#This Row],[ClickTick]],TabCalc[Ticker],TabCalc[M])</f>
        <v>2.13</v>
      </c>
      <c r="X35" s="1315"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-4.9107000000000005E-2</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-198K /64 K$</v>
      </c>
      <c r="AF35" s="1161"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5" s="1530" t="str">
        <f ca="1">TEXT(MIN(Tab_NewTRADER[[#This Row],[L_Bn]],Tab_NewTRADER[[#This Row],[N]]),"#,#0")&amp;" x "&amp;TEXT(Tab_NewTRADER[[#This Row],[L_Bp]],"#,#0.#0")</f>
        <v>3,333 x -2.76</v>
      </c>
      <c r="AH35" s="1530" t="str" cm="1">
        <f t="array" aca="1" ref="AH35" ca="1">_xlfn.IFS(Tab_NewTRADER[[#This Row],[M_State]]=Sale_Back,Tab_NewTRADER[[#This Row],[Sale_Back_$]], TRUE,"M = "&amp;Tab_NewTRADER[[#This Row],[M]])</f>
        <v>M = 2.13</v>
      </c>
      <c r="AI35" s="1433" cm="1">
        <f t="array" aca="1" ref="AI35" ca="1">IF(Tab_NewTRADER[[#This Row],[M_State]]=MUp,_xlfn.IFS(Tab_NewTRADER[[#This Row],[M_State]]=MUp,MIN(Tab_NewTRADER[[#This Row],[N]],Tab_NewTRADER[[#This Row],[L_Bn]])*(Tab_NewTRADER[[#This Row],[M]]-Tab_NewTRADER[[#This Row],[L_Sp]])*Tab_NewTRADER[[#This Row],[Scale]]*ComFactor, TRUE,0),0)</f>
        <v>0</v>
      </c>
      <c r="AJ35" s="1433" cm="1">
        <f t="array" aca="1" ref="AJ35" ca="1">_xlfn.IFS(Tab_NewTRADER[[#This Row],[M_State]]=MUp,                 MIN(Tab_NewTRADER[[#This Row],[L_Sn]],Tab_NewTRADER[[#This Row],[N]])*(Tab_NewTRADER[[#This Row],[M]]-Tab_NewTRADER[[#This Row],[A]])*Tab_NewTRADER[[#This Row],[Scale]]*ComFactor, TRUE,0)</f>
        <v>0</v>
      </c>
      <c r="AK35" s="1433" cm="1">
        <f t="array" aca="1" ref="AK35" ca="1">_xlfn.IFS(Tab_NewTRADER[[#This Row],[M_State]]=MUp,                  Tab_NewTRADER[[#This Row],[N]]*(Tab_NewTRADER[[#This Row],[M]]-Tab_NewTRADER[[#This Row],[A]])*Tab_NewTRADER[[#This Row],[Scale]]*ComFactor, TRUE,0)</f>
        <v>0</v>
      </c>
      <c r="AL35" s="1435" t="str">
        <f ca="1">TEXT(Tab_NewTRADER[[#This Row],[L_Sn]],"#,#0")&amp;" x "&amp;TEXT(Tab_NewTRADER[[#This Row],[L_Sp]],"#,#0.#0")</f>
        <v>0 x 0.0</v>
      </c>
      <c r="AM35" s="1465" t="str" cm="1">
        <f t="array" aca="1" ref="AM35" ca="1">_xlfn.IFS(Tab_NewTRADER[[#This Row],[M_State]]=RePurchaseGain,TEXT(-Tab_NewTRADER[[#This Row],[Buy_Back]],"#,#0")&amp;"       / "&amp;TEXT(Tab_NewTRADER[[#This Row],[Rev_Buy]],"#,#00.0)%"),TRUE,"M = "&amp;Tab_NewTRADER[[#This Row],[M]])</f>
        <v>M = 2.13</v>
      </c>
      <c r="AN35" s="1435" t="str" cm="1">
        <f t="array" aca="1" ref="AN35" ca="1">_xlfn.IFS(Tab_NewTRADER[[#This Row],[M_State]]=MDown,TEXT(Tab_NewTRADER[[#This Row],[L_Sn]]*(Tab_NewTRADER[[#This Row],[M]]-Tab_NewTRADER[[#This Row],[L_Sp]])*ComFactor,"#,#0")&amp;"       / "&amp;TEXT((TabTRADER[[#This Row],[M]]-TabTRADER[[#This Row],[L_Sp]])/TabTRADER[[#This Row],[M]],"#,#00.0)%"),TRUE,0)</f>
        <v>0       / 100.0)%</v>
      </c>
      <c r="AO35" s="1486" t="str" cm="1">
        <f t="array" aca="1" ref="AO35" ca="1">_xlfn.IFS(Tab_NewTRADER[[#This Row],[M_State]]=MDown,TEXT(Tab_NewTRADER[[#This Row],[N]]*(Tab_NewTRADER[[#This Row],[M]]-Tab_NewTRADER[[#This Row],[A]])*Tab_NewTRADER[[#This Row],[Scale]]*ComFactor,"#,#0")&amp;"       / "&amp;TEXT((TabTRADER[[#This Row],[M]]-TabTRADER[[#This Row],[L_Bp]])/TabTRADER[[#This Row],[M]],"#,#00.0%"),TRUE,0)</f>
        <v>-218,583       / 229.6%</v>
      </c>
      <c r="AP35" s="1435" t="str" cm="1">
        <f t="array" aca="1" ref="AP35" ca="1">_xlfn.IFS(Tab_NewTRADER[[#This Row],[M_State]]=MDown,TEXT(Tab_NewTRADER[[#This Row],[N]]*Tab_NewTRADER[[#This Row],[M]],"#,#0")&amp;" @ "&amp;TEXT(Tab_NewTRADER[[#This Row],[A]],"#,#0.#0"),TRUE,"M = "&amp; Tab_NewTRADER[[#This Row],[M]])</f>
        <v>63,900 @ 9.44</v>
      </c>
      <c r="AQ35" s="1165">
        <f ca="1">Tab_NewTRADER[[#This Row],[N]]*(Tab_NewTRADER[[#This Row],[M]]-Tab_NewTRADER[[#This Row],[A]])*(1-Commission)*Tab_NewTRADER[[#This Row],[Scale]]</f>
        <v>-218582.70378051524</v>
      </c>
      <c r="AR35" s="1165">
        <f ca="1">Tab_NewTRADER[[#This Row],[M]]*Tab_NewTRADER[[#This Row],[N]]*(1-Commission)*Tab_NewTRADER[[#This Row],[Scale]]</f>
        <v>63733.86</v>
      </c>
      <c r="AS35" s="1174" cm="1">
        <f t="array" aca="1" ref="AS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0.77424682722637073</v>
      </c>
      <c r="AT35" s="1174" cm="1">
        <f t="array" aca="1" ref="AT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0.29317464788732389</v>
      </c>
      <c r="AU35" s="825" t="str" cm="1">
        <f t="array" aca="1" ref="AU35" ca="1">_xlfn.IFS(   Tab_NewTRADER[[#This Row],[M_State]]=SellMorePercentGain,                     MIN(Tab_NewTRADER[[#This Row],[L_Sn]],Tab_NewTRADER[[#This Row],[N]])*(Tab_NewTRADER[[#This Row],[M]]-Tab_NewTRADER[[#This Row],[L_Sp]])*(1-Commission)*Tab_NewTRADER[[#This Row],[Scale]],                    TRUE,"")</f>
        <v/>
      </c>
      <c r="AV35" s="1163">
        <f ca="1">_xlfn.XLOOKUP(Tab_NewTRADER[[#This Row],[ClickTick]],TabCalc[Ticker],TabCalc[Ann%RevLB])</f>
        <v>-10.271739130434781</v>
      </c>
      <c r="AW35" s="1267">
        <f ca="1">_xlfn.XLOOKUP(Tab_NewTRADER[[#This Row],[ClickTick]],TabCalc[Ticker],TabCalc[Up20])</f>
        <v>0</v>
      </c>
      <c r="AX35" s="1175" cm="1">
        <f t="array" aca="1" ref="AX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0.29577464788732388</v>
      </c>
      <c r="AY35" s="825" cm="1">
        <f t="array" aca="1" ref="AY35" ca="1">_xlfn.IFS(         Tab_NewTRADER[[#This Row],[M_State]]=MDown,Tab_NewTRADER[[#This Row],[L_Bn]]*Tab_NewTRADER[[#This Row],[M]]*(-(Tab_NewTRADER[[#This Row],[L_Bp]]+Tab_NewTRADER[[#This Row],[M]])/Tab_NewTRADER[[#This Row],[M]])*(1-Commission)*Tab_NewTRADER[[#This Row],[Scale]],                               TRUE,"")</f>
        <v>2094.3305459999992</v>
      </c>
      <c r="AZ35" s="1174" cm="1">
        <f t="array" aca="1" ref="AZ35" ca="1">_xlfn.IFS(   Tab_NewTRADER[[#This Row],[M_State]]=MUp,Tab_NewTRADER[[#This Row],[TakeGain_A]]-Commission,        Tab_NewTRADER[[#This Row],[M_State]]=MDown,(Tab_NewTRADER[[#This Row],[A]]-Tab_NewTRADER[[#This Row],[M]])/Tab_NewTRADER[[#This Row],[M]]-Commission,                              TRUE,"")</f>
        <v>3.4270165928207588</v>
      </c>
      <c r="BA35" s="760" cm="1">
        <f t="array" aca="1" ref="BA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218582.70378051524</v>
      </c>
      <c r="BB35" s="760" t="str" cm="1">
        <f t="array" aca="1" ref="BB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C35" s="736" cm="1">
        <f t="array" aca="1" ref="BC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-0.63</v>
      </c>
      <c r="BD35" s="765" cm="1">
        <f t="array" aca="1" ref="BD35" ca="1">_xlfn.IFS(Tab_NewTRADER[[#This Row],[M_State]]=Sale_Back,"",         Tab_NewTRADER[[#This Row],[M_State]]=MDown, (Tab_NewTRADER[[#This Row],[M]]-Tab_NewTRADER[[#This Row],[A]])/Tab_NewTRADER[[#This Row],[A]]*ComFactor,             TRUE, IFERROR((Tab_NewTRADER[[#This Row],[M]]-Tab_NewTRADER[[#This Row],[A]])/Tab_NewTRADER[[#This Row],[A]]*ComFactor,""))</f>
        <v>-0.77223378547558208</v>
      </c>
      <c r="BE35" s="762" cm="1">
        <f t="array" aca="1" ref="BE35" ca="1">_xlfn.IFS(               Tab_NewTRADER[[#This Row],[M_State]]=NoStock,(Tab_NewTRADER[[#This Row],[L_Sp]]-Tab_NewTRADER[[#This Row],[M]])/Tab_NewTRADER[[#This Row],[M]]-Commission,             Tab_NewTRADER[[#This Row],[A]]&lt;&gt;0,(Tab_NewTRADER[[#This Row],[A]]-Tab_NewTRADER[[#This Row],[M]])/Tab_NewTRADER[[#This Row],[M]]-Commission)</f>
        <v>3.4270165928207588</v>
      </c>
      <c r="BF35" s="324">
        <f ca="1">_xlfn.XLOOKUP(Tab_NewTRADER[[#This Row],[ClickTick]],TabCalc[Ticker],TabCalc[L_Sn])</f>
        <v>0</v>
      </c>
      <c r="BG35" s="728">
        <f ca="1">_xlfn.XLOOKUP(Tab_NewTRADER[[#This Row],[ClickTick]],TabCalc[Ticker],TabCalc[L_Sp])</f>
        <v>0</v>
      </c>
      <c r="BH35" s="764">
        <f ca="1">-IFERROR((Tab_NewTRADER[[#This Row],[M]]-Tab_NewTRADER[[#This Row],[L_Sp]])/Tab_NewTRADER[[#This Row],[L_Sp]],0)</f>
        <v>0</v>
      </c>
      <c r="BI35" s="729">
        <f ca="1">MIN(Tab_NewTRADER[[#This Row],[L_Sn]],Tab_NewTRADER[[#This Row],[N]])*(Tab_NewTRADER[[#This Row],[M]]-Tab_NewTRADER[[#This Row],[L_Sp]])*(1-Commission)*Tab_NewTRADER[[#This Row],[Scale]]</f>
        <v>0</v>
      </c>
      <c r="BJ35" s="692">
        <f ca="1">Tab_NewTRADER[[#This Row],[L_Sn]]*(Tab_NewTRADER[[#This Row],[Agiotage]]-Tab_NewTRADER[[#This Row],[M]])/(Tab_NewTRADER[[#This Row],[L_Bn]]*Tab_NewTRADER[[#This Row],[M]])</f>
        <v>0</v>
      </c>
      <c r="BK35" s="635">
        <f ca="1">IFERROR((Tab_NewTRADER[[#This Row],[M]]-Tab_NewTRADER[[#This Row],[A]])/Tab_NewTRADER[[#This Row],[A]],0)</f>
        <v>-0.77424682722637073</v>
      </c>
      <c r="BL35" s="638" t="str">
        <f ca="1">TEXT(_xlfn.XLOOKUP(Tab_NewTRADER[[#This Row],[ClickTick]],TabCalc[Ticker],TabCalc[NAfter]),"#,#0")&amp;" : "&amp;TEXT(_xlfn.XLOOKUP(Tab_NewTRADER[[#This Row],[ClickTick]],TabCalc[Ticker],TabCalc[NAfter])*(Tab_NewTRADER[[#This Row],[M]]-Tab_NewTRADER[[#This Row],[A]])*(1-Commission)*Tab_NewTRADER[[#This Row],[Scale]],"#,#0$")</f>
        <v>30,000 : -218,583$</v>
      </c>
      <c r="BM35" s="684">
        <f ca="1">_xlfn.XLOOKUP(Tab_NewTRADER[[#This Row],[ClickTick]],TabCalc[[#This Row],[Ticker]],TabCalc[[#This Row],[GL]])*(1-Commission)</f>
        <v>-197234.53249793485</v>
      </c>
      <c r="BN35" s="684"/>
      <c r="BO35" s="669" t="str">
        <f ca="1">Tab_NewTRADER[[#This Row],[ClickTick]]&amp;": "&amp;_xlfn.XLOOKUP(Tab_NewTRADER[[#This Row],[ClickTick]],TabCalc[Ticker],TabCalc[Pile?])</f>
        <v>NOTE: Pile</v>
      </c>
      <c r="BP35" s="351" t="s">
        <v>2002</v>
      </c>
      <c r="BQ35" s="755" t="str" cm="1">
        <f t="array" aca="1" ref="BQ35" ca="1">_xlfn.TEXTJOIN("",,INDEX({"M","A","Y"}, _xlfn.SORTBY({1,2,3}, -CHOOSE({1,2,3}, Tab_NewTRADER[[#This Row],[M]], Tab_NewTRADER[[#This Row],[A]], Tab_NewTRADER[[#This Row],[Agiotage]]))))</f>
        <v>AMY</v>
      </c>
      <c r="BR35" s="902" cm="1">
        <f t="array" aca="1" ref="BR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0.29577464788732388</v>
      </c>
      <c r="BS35" s="679" t="e">
        <f ca="1">Tab_NewTRADER[[#This Row],[L_Sn]]*Tab_NewTRADER[[#This Row],[L_Sp]]+Tab_NewTRADER[[#This Row],[SellMore]]*Tab_NewTRADER[[#This Row],[M]]</f>
        <v>#N/A</v>
      </c>
      <c r="BT35" s="679" t="e">
        <f ca="1">INDEX(
  INDEX(TabConsolid[], , _xlfn.XMATCH(Tab_NewTRADER[[#This Row],[ClickTick]]&amp;1, TabConsolid[#Headers])),
  MATCH(
    -Tab_NewTRADER[[#This Row],[M]],
    INDEX(TabConsolid[], , _xlfn.XMATCH(Tab_NewTRADER[[#This Row],[ClickTick]]&amp;2, TabConsolid[#Headers])),
    -1
  )
)</f>
        <v>#N/A</v>
      </c>
      <c r="BU35" s="679" cm="1">
        <f t="array" aca="1" ref="BU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35" s="1144" t="e">
        <f ca="1">Tab_NewTRADER[[#This Row],[ReBuy]]/(Tab_NewTRADER[[#This Row],[L_Sn]]+Tab_NewTRADER[[#This Row],[SellMore]])</f>
        <v>#N/A</v>
      </c>
      <c r="BW35" s="687" t="e">
        <f ca="1">((_xlfn.XLOOKUP(Tab_NewTRADER[[#This Row],[ClickTick]],TabCalc[Ticker],TabCalc[NAfter])+Tab_NewTRADER[[#This Row],[L_Sn]])*(Tab_NewTRADER[[#This Row],[Agiotage]]-Tab_NewTRADER[[#This Row],[M]]))/(Tab_NewTRADER[[#This Row],[L_Sn]]*_xlfn.XLOOKUP(Tab_NewTRADER[[#This Row],[ClickTick]],TabCalc[Ticker],TabCalc[NAfter]))</f>
        <v>#DIV/0!</v>
      </c>
      <c r="BX35" s="687">
        <f ca="1">(Tab_NewTRADER[[#This Row],[M]]-Tab_NewTRADER[[#This Row],[Agiotage]])/(Tab_NewTRADER[[#This Row],[M]]-Tab_NewTRADER[[#This Row],[A]])-1</f>
        <v>-1.2348167808566066</v>
      </c>
      <c r="BY35" s="1262">
        <f ca="1">_xlfn.XMATCH(Tab_NewTRADER[[#This Row],[ClickTick]]&amp;1, TabConsolid[#Headers])</f>
        <v>98</v>
      </c>
      <c r="BZ35" t="str">
        <f ca="1">IF(ABS(Tab_NewTRADER[[#This Row],[L_Bp]])&gt;=Tab_NewTRADER[[#This Row],[M]],"OK")</f>
        <v>OK</v>
      </c>
    </row>
    <row r="36" spans="1:78" ht="22"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+4,155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13,774</v>
      </c>
      <c r="F36" s="226" t="str">
        <f ca="1">TRUNC(TabCalc[[#This Row],[L_B1p]],2)&amp;"x"&amp;TabCalc[[#This Row],[L_B1n]]&amp;"=   "&amp;TEXT(TabCalc[[#This Row],[ReverseS1]],"#,#0")&amp;"$"</f>
        <v>-27.53x1000=   10,960$</v>
      </c>
      <c r="G36" s="225" t="str">
        <f ca="1">IFERROR(TRUNC(_xlfn.XLOOKUP(Tab_NewTRADER[[#This Row],[ClickTick]],TabCalc[Ticker],ListLastSalep),2)&amp;"x"&amp;_xlfn.XLOOKUP(Tab_NewTRADER[[#This Row],[ClickTick]],TabCalc[Ticker],ListLastSalen)&amp;"=   "&amp;TEXT(-_xlfn.XLOOKUP(Tab_NewTRADER[[#This Row],[ClickTick]],TabCalc[Ticker],ListReverseB),"#,#0")&amp;"$","")</f>
        <v>38.85x2000=   -726$</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13,774</v>
      </c>
      <c r="I36" s="226" t="str">
        <f ca="1">IFERROR(TRUNC(TabCalc[[#This Row],[L_S1p]],2)&amp;"x"&amp;TabCalc[[#This Row],[L_S1n]]&amp;"=   "&amp;TEXT(TabCalc[[#This Row],[ReverseB1]],"#,#0"),"")</f>
        <v>39.3x500=   405</v>
      </c>
      <c r="J36" s="295">
        <f ca="1">_xlfn.XLOOKUP(Tab_NewTRADER[[#This Row],[ClickTick]],TabCalc[Ticker],ListGravity)</f>
        <v>1.2178487918939984</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0.41100608779237424</v>
      </c>
      <c r="N36" s="324" cm="1">
        <f t="array" aca="1" ref="N36" ca="1">_xlfn.XLOOKUP(Tab_NewTRADER[[#This Row],[ClickTick]],ListTickers,Tab2RSIConventional[RSIConv20])</f>
        <v>47</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7.7547592385218453E-2</v>
      </c>
      <c r="S36" s="683">
        <f ca="1">_xlfn.XLOOKUP(Tab_NewTRADER[[#This Row],[ClickTick]],TabCalc[Ticker],TabCalc[Rev(MinStock)])*(1-Commission)</f>
        <v>4144.1970000000047</v>
      </c>
      <c r="T36" s="782">
        <f ca="1">_xlfn.XLOOKUP(Tab_NewTRADER[[#This Row],[ClickTick]],TabCalc[Ticker],TabCalc[Agiotage])</f>
        <v>0.41100608779237424</v>
      </c>
      <c r="U36" s="747"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-740/-740=&gt;1.1% / 1.1%</v>
      </c>
      <c r="V36" s="739" t="str">
        <f ca="1">_xlfn.XLOOKUP(Tab_NewTRADER[[#This Row],[ClickTick]],[1]!RTData[Ticker_Symbol],[1]!RTData[Currency])</f>
        <v>USD</v>
      </c>
      <c r="W36" s="749">
        <f ca="1">_xlfn.XLOOKUP(Tab_NewTRADER[[#This Row],[ClickTick]],TabCalc[Ticker],TabCalc[M])</f>
        <v>38.49</v>
      </c>
      <c r="X36" s="1315"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1.1032E-2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^87K / 77 K$</v>
      </c>
      <c r="AF36" s="1182"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36" s="1530" t="str">
        <f ca="1">TEXT(MIN(Tab_NewTRADER[[#This Row],[L_Bn]],Tab_NewTRADER[[#This Row],[N]]),"#,#0")&amp;" x "&amp;TEXT(Tab_NewTRADER[[#This Row],[L_Bp]],"#,#0.#0")</f>
        <v>1,500 x -35.72</v>
      </c>
      <c r="AH36" s="1530" t="str" cm="1">
        <f t="array" aca="1" ref="AH36" ca="1">_xlfn.IFS(Tab_NewTRADER[[#This Row],[M_State]]=Sale_Back,Tab_NewTRADER[[#This Row],[Sale_Back_$]], TRUE,"M = "&amp;Tab_NewTRADER[[#This Row],[M]])</f>
        <v>M = 38.49</v>
      </c>
      <c r="AI36" s="1433" cm="1">
        <f t="array" aca="1" ref="AI36" ca="1">IF(Tab_NewTRADER[[#This Row],[M_State]]=MUp,_xlfn.IFS(Tab_NewTRADER[[#This Row],[M_State]]=MUp,MIN(Tab_NewTRADER[[#This Row],[N]],Tab_NewTRADER[[#This Row],[L_Bn]])*(Tab_NewTRADER[[#This Row],[M]]-Tab_NewTRADER[[#This Row],[L_Sp]])*Tab_NewTRADER[[#This Row],[Scale]]*ComFactor, TRUE,0),0)</f>
        <v>0</v>
      </c>
      <c r="AJ36" s="1433" cm="1">
        <f t="array" aca="1" ref="AJ36" ca="1">_xlfn.IFS(Tab_NewTRADER[[#This Row],[M_State]]=MUp,                 MIN(Tab_NewTRADER[[#This Row],[L_Sn]],Tab_NewTRADER[[#This Row],[N]])*(Tab_NewTRADER[[#This Row],[M]]-Tab_NewTRADER[[#This Row],[A]])*Tab_NewTRADER[[#This Row],[Scale]]*ComFactor, TRUE,0)</f>
        <v>0</v>
      </c>
      <c r="AK36" s="1433" cm="1">
        <f t="array" aca="1" ref="AK36" ca="1">_xlfn.IFS(Tab_NewTRADER[[#This Row],[M_State]]=MUp,                  Tab_NewTRADER[[#This Row],[N]]*(Tab_NewTRADER[[#This Row],[M]]-Tab_NewTRADER[[#This Row],[A]])*Tab_NewTRADER[[#This Row],[Scale]]*ComFactor, TRUE,0)</f>
        <v>0</v>
      </c>
      <c r="AL36" s="1435" t="str">
        <f ca="1">TEXT(Tab_NewTRADER[[#This Row],[L_Sn]],"#,#0")&amp;" x "&amp;TEXT(Tab_NewTRADER[[#This Row],[L_Sp]],"#,#0.#0")</f>
        <v>2,000 x 38.85</v>
      </c>
      <c r="AM36" s="1465" t="str" cm="1">
        <f t="array" aca="1" ref="AM36" ca="1">_xlfn.IFS(Tab_NewTRADER[[#This Row],[M_State]]=RePurchaseGain,TEXT(-Tab_NewTRADER[[#This Row],[Buy_Back]],"#,#0")&amp;"       / "&amp;TEXT(Tab_NewTRADER[[#This Row],[Rev_Buy]],"#,#00.0)%"),TRUE,"M = "&amp;Tab_NewTRADER[[#This Row],[M]])</f>
        <v>724       / 00.9)%</v>
      </c>
      <c r="AN36" s="1435" cm="1">
        <f t="array" aca="1" ref="AN36" ca="1">_xlfn.IFS(Tab_NewTRADER[[#This Row],[M_State]]=MDown,TEXT(Tab_NewTRADER[[#This Row],[L_Sn]]*(Tab_NewTRADER[[#This Row],[M]]-Tab_NewTRADER[[#This Row],[L_Sp]])*ComFactor,"#,#0")&amp;"       / "&amp;TEXT((TabTRADER[[#This Row],[M]]-TabTRADER[[#This Row],[L_Sp]])/TabTRADER[[#This Row],[M]],"#,#00.0)%"),TRUE,0)</f>
        <v>0</v>
      </c>
      <c r="AO36" s="1486" cm="1">
        <f t="array" aca="1" ref="AO36" ca="1">_xlfn.IFS(Tab_NewTRADER[[#This Row],[M_State]]=MDown,TEXT(Tab_NewTRADER[[#This Row],[N]]*(Tab_NewTRADER[[#This Row],[M]]-Tab_NewTRADER[[#This Row],[A]])*Tab_NewTRADER[[#This Row],[Scale]]*ComFactor,"#,#0")&amp;"       / "&amp;TEXT((TabTRADER[[#This Row],[M]]-TabTRADER[[#This Row],[L_Bp]])/TabTRADER[[#This Row],[M]],"#,#00.0%"),TRUE,0)</f>
        <v>0</v>
      </c>
      <c r="AP36" s="1435" t="str" cm="1">
        <f t="array" aca="1" ref="AP36" ca="1">_xlfn.IFS(Tab_NewTRADER[[#This Row],[M_State]]=MDown,TEXT(Tab_NewTRADER[[#This Row],[N]]*Tab_NewTRADER[[#This Row],[M]],"#,#0")&amp;" @ "&amp;TEXT(Tab_NewTRADER[[#This Row],[A]],"#,#0.#0"),TRUE,"M = "&amp; Tab_NewTRADER[[#This Row],[M]])</f>
        <v>M = 38.49</v>
      </c>
      <c r="AQ36" s="760">
        <f ca="1">Tab_NewTRADER[[#This Row],[N]]*(Tab_NewTRADER[[#This Row],[M]]-Tab_NewTRADER[[#This Row],[A]])*(1-Commission)*Tab_NewTRADER[[#This Row],[Scale]]</f>
        <v>18426.965</v>
      </c>
      <c r="AR36" s="760">
        <f ca="1">Tab_NewTRADER[[#This Row],[M]]*Tab_NewTRADER[[#This Row],[N]]*(1-Commission)*Tab_NewTRADER[[#This Row],[Scale]]</f>
        <v>76779.851999999999</v>
      </c>
      <c r="AS36" s="1174" cm="1">
        <f t="array" aca="1" ref="AS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9.3429078835611037E-3</v>
      </c>
      <c r="AT36" s="1174" t="str" cm="1">
        <f t="array" aca="1" ref="AT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36" s="825" t="str" cm="1">
        <f t="array" aca="1" ref="AU36" ca="1">_xlfn.IFS(   Tab_NewTRADER[[#This Row],[M_State]]=SellMorePercentGain,                     MIN(Tab_NewTRADER[[#This Row],[L_Sn]],Tab_NewTRADER[[#This Row],[N]])*(Tab_NewTRADER[[#This Row],[M]]-Tab_NewTRADER[[#This Row],[L_Sp]])*(1-Commission)*Tab_NewTRADER[[#This Row],[Scale]],                    TRUE,"")</f>
        <v/>
      </c>
      <c r="AV36" s="1313">
        <f ca="1">_xlfn.XLOOKUP(Tab_NewTRADER[[#This Row],[ClickTick]],TabCalc[Ticker],TabCalc[Ann%RevLB])</f>
        <v>0.96265976754064286</v>
      </c>
      <c r="AW36" s="1267">
        <f ca="1">_xlfn.XLOOKUP(Tab_NewTRADER[[#This Row],[ClickTick]],TabCalc[Ticker],TabCalc[Up20])</f>
        <v>0</v>
      </c>
      <c r="AX36" s="1175" t="str" cm="1">
        <f t="array" aca="1" ref="AX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6" s="825" t="str" cm="1">
        <f t="array" aca="1" ref="AY36" ca="1">_xlfn.IFS(         Tab_NewTRADER[[#This Row],[M_State]]=MDown,Tab_NewTRADER[[#This Row],[L_Bn]]*Tab_NewTRADER[[#This Row],[M]]*(-(Tab_NewTRADER[[#This Row],[L_Bp]]+Tab_NewTRADER[[#This Row],[M]])/Tab_NewTRADER[[#This Row],[M]])*(1-Commission)*Tab_NewTRADER[[#This Row],[Scale]],                               TRUE,"")</f>
        <v/>
      </c>
      <c r="AZ36" s="1174" t="str" cm="1">
        <f t="array" aca="1" ref="AZ36" ca="1">_xlfn.IFS(   Tab_NewTRADER[[#This Row],[M_State]]=MUp,Tab_NewTRADER[[#This Row],[TakeGain_A]]-Commission,        Tab_NewTRADER[[#This Row],[M_State]]=MDown,(Tab_NewTRADER[[#This Row],[A]]-Tab_NewTRADER[[#This Row],[M]])/Tab_NewTRADER[[#This Row],[M]]-Commission,                              TRUE,"")</f>
        <v/>
      </c>
      <c r="BA36" s="760" cm="1">
        <f t="array" aca="1" ref="BA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18426.965</v>
      </c>
      <c r="BB36" s="760" t="str" cm="1">
        <f t="array" aca="1" ref="BB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C36" s="736" t="str" cm="1">
        <f t="array" aca="1" ref="BC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36" s="765" cm="1">
        <f t="array" aca="1" ref="BD36" ca="1">_xlfn.IFS(Tab_NewTRADER[[#This Row],[M_State]]=Sale_Back,"",         Tab_NewTRADER[[#This Row],[M_State]]=MDown, (Tab_NewTRADER[[#This Row],[M]]-Tab_NewTRADER[[#This Row],[A]])/Tab_NewTRADER[[#This Row],[A]]*ComFactor,             TRUE, IFERROR((Tab_NewTRADER[[#This Row],[M]]-Tab_NewTRADER[[#This Row],[A]])/Tab_NewTRADER[[#This Row],[A]]*ComFactor,""))</f>
        <v>0.31496393470643536</v>
      </c>
      <c r="BE36" s="762" cm="1">
        <f t="array" aca="1" ref="BE36" ca="1">_xlfn.IFS(               Tab_NewTRADER[[#This Row],[M_State]]=NoStock,(Tab_NewTRADER[[#This Row],[L_Sp]]-Tab_NewTRADER[[#This Row],[M]])/Tab_NewTRADER[[#This Row],[M]]-Commission,             Tab_NewTRADER[[#This Row],[A]]&lt;&gt;0,(Tab_NewTRADER[[#This Row],[A]]-Tab_NewTRADER[[#This Row],[M]])/Tab_NewTRADER[[#This Row],[M]]-Commission)</f>
        <v>-0.24259740192257728</v>
      </c>
      <c r="BF36" s="324">
        <f ca="1">_xlfn.XLOOKUP(Tab_NewTRADER[[#This Row],[ClickTick]],TabCalc[Ticker],TabCalc[L_Sn])</f>
        <v>2000</v>
      </c>
      <c r="BG36" s="728">
        <f ca="1">_xlfn.XLOOKUP(Tab_NewTRADER[[#This Row],[ClickTick]],TabCalc[Ticker],TabCalc[L_Sp])</f>
        <v>38.853000000000002</v>
      </c>
      <c r="BH36" s="764">
        <f ca="1">-IFERROR((Tab_NewTRADER[[#This Row],[M]]-Tab_NewTRADER[[#This Row],[L_Sp]])/Tab_NewTRADER[[#This Row],[L_Sp]],0)</f>
        <v>9.3429078835611037E-3</v>
      </c>
      <c r="BI36" s="729">
        <f ca="1">MIN(Tab_NewTRADER[[#This Row],[L_Sn]],Tab_NewTRADER[[#This Row],[N]])*(Tab_NewTRADER[[#This Row],[M]]-Tab_NewTRADER[[#This Row],[L_Sp]])*(1-Commission)*Tab_NewTRADER[[#This Row],[Scale]]</f>
        <v>-724.11239999999907</v>
      </c>
      <c r="BJ36" s="692">
        <f ca="1">Tab_NewTRADER[[#This Row],[L_Sn]]*(Tab_NewTRADER[[#This Row],[Agiotage]]-Tab_NewTRADER[[#This Row],[M]])/(Tab_NewTRADER[[#This Row],[L_Bn]]*Tab_NewTRADER[[#This Row],[M]])</f>
        <v>-1.3190956581694859</v>
      </c>
      <c r="BK36" s="635">
        <f ca="1">IFERROR((Tab_NewTRADER[[#This Row],[M]]-Tab_NewTRADER[[#This Row],[A]])/Tab_NewTRADER[[#This Row],[A]],0)</f>
        <v>0.31578497564310742</v>
      </c>
      <c r="BL36" s="638" t="str">
        <f ca="1">TEXT(_xlfn.XLOOKUP(Tab_NewTRADER[[#This Row],[ClickTick]],TabCalc[Ticker],TabCalc[NAfter]),"#,#0")&amp;" : "&amp;TEXT(_xlfn.XLOOKUP(Tab_NewTRADER[[#This Row],[ClickTick]],TabCalc[Ticker],TabCalc[NAfter])*(Tab_NewTRADER[[#This Row],[M]]-Tab_NewTRADER[[#This Row],[A]])*(1-Commission)*Tab_NewTRADER[[#This Row],[Scale]],"#,#0$")</f>
        <v>2,000 : 18,427$</v>
      </c>
      <c r="BM36" s="684">
        <f ca="1">_xlfn.XLOOKUP(Tab_NewTRADER[[#This Row],[ClickTick]],TabCalc[[#This Row],[Ticker]],TabCalc[[#This Row],[GL]])*(1-Commission)</f>
        <v>87043.703651201984</v>
      </c>
      <c r="BN36" s="684"/>
      <c r="BO36" s="669" t="str">
        <f ca="1">Tab_NewTRADER[[#This Row],[ClickTick]]&amp;": "&amp;_xlfn.XLOOKUP(Tab_NewTRADER[[#This Row],[ClickTick]],TabCalc[Ticker],TabCalc[Pile?])</f>
        <v xml:space="preserve">PAAS: </v>
      </c>
      <c r="BP36" s="351" t="s">
        <v>2070</v>
      </c>
      <c r="BQ36" s="755" t="str" cm="1">
        <f t="array" aca="1" ref="BQ36" ca="1">_xlfn.TEXTJOIN("",,INDEX({"M","A","Y"}, _xlfn.SORTBY({1,2,3}, -CHOOSE({1,2,3}, Tab_NewTRADER[[#This Row],[M]], Tab_NewTRADER[[#This Row],[A]], Tab_NewTRADER[[#This Row],[Agiotage]]))))</f>
        <v>MAY</v>
      </c>
      <c r="BR36" s="902" t="str" cm="1">
        <f t="array" aca="1" ref="BR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36" s="679">
        <f ca="1">Tab_NewTRADER[[#This Row],[L_Sn]]*Tab_NewTRADER[[#This Row],[L_Sp]]+Tab_NewTRADER[[#This Row],[SellMore]]*Tab_NewTRADER[[#This Row],[M]]</f>
        <v>135441</v>
      </c>
      <c r="BT36" s="679">
        <f ca="1">INDEX(
  INDEX(TabConsolid[], , _xlfn.XMATCH(Tab_NewTRADER[[#This Row],[ClickTick]]&amp;1, TabConsolid[#Headers])),
  MATCH(
    -Tab_NewTRADER[[#This Row],[M]],
    INDEX(TabConsolid[], , _xlfn.XMATCH(Tab_NewTRADER[[#This Row],[ClickTick]]&amp;2, TabConsolid[#Headers])),
    -1
  )
)</f>
        <v>1500</v>
      </c>
      <c r="BU36" s="679" cm="1">
        <f t="array" aca="1" ref="BU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V36" s="1144">
        <f ca="1">Tab_NewTRADER[[#This Row],[ReBuy]]/(Tab_NewTRADER[[#This Row],[L_Sn]]+Tab_NewTRADER[[#This Row],[SellMore]])</f>
        <v>38.697428571428574</v>
      </c>
      <c r="BW36" s="687">
        <f ca="1">((_xlfn.XLOOKUP(Tab_NewTRADER[[#This Row],[ClickTick]],TabCalc[Ticker],TabCalc[NAfter])+Tab_NewTRADER[[#This Row],[L_Sn]])*(Tab_NewTRADER[[#This Row],[Agiotage]]-Tab_NewTRADER[[#This Row],[M]]))/(Tab_NewTRADER[[#This Row],[L_Sn]]*_xlfn.XLOOKUP(Tab_NewTRADER[[#This Row],[ClickTick]],TabCalc[Ticker],TabCalc[NAfter]))</f>
        <v>-3.8078993912207634E-2</v>
      </c>
      <c r="BX36" s="687">
        <f ca="1">(Tab_NewTRADER[[#This Row],[M]]-Tab_NewTRADER[[#This Row],[Agiotage]])/(Tab_NewTRADER[[#This Row],[M]]-Tab_NewTRADER[[#This Row],[A]])-1</f>
        <v>3.1222185561253184</v>
      </c>
      <c r="BY36" s="1262">
        <f ca="1">_xlfn.XMATCH(Tab_NewTRADER[[#This Row],[ClickTick]]&amp;1, TabConsolid[#Headers])</f>
        <v>101</v>
      </c>
      <c r="BZ36" t="b">
        <f ca="1">IF(ABS(Tab_NewTRADER[[#This Row],[L_Bp]])&gt;=Tab_NewTRADER[[#This Row],[M]],"OK")</f>
        <v>0</v>
      </c>
    </row>
    <row r="37" spans="1:78" ht="23" hidden="1"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+3,200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13.4%</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-470$</v>
      </c>
      <c r="G37" s="225" t="str">
        <f ca="1">IFERROR(TRUNC(_xlfn.XLOOKUP(Tab_NewTRADER[[#This Row],[ClickTick]],TabCalc[Ticker],ListLastSalep),2)&amp;"x"&amp;_xlfn.XLOOKUP(Tab_NewTRADER[[#This Row],[ClickTick]],TabCalc[Ticker],ListLastSalen)&amp;"=   "&amp;TEXT(-_xlfn.XLOOKUP(Tab_NewTRADER[[#This Row],[ClickTick]],TabCalc[Ticker],ListReverseB),"#,#0")&amp;"$","")</f>
        <v>5.61x2000=   760$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0</v>
      </c>
      <c r="I37" s="226" t="str">
        <f ca="1">IFERROR(TRUNC(TabCalc[[#This Row],[L_S1p]],2)&amp;"x"&amp;TabCalc[[#This Row],[L_S1n]]&amp;"=   "&amp;TEXT(TabCalc[[#This Row],[ReverseB1]],"#,#0"),"")</f>
        <v>6.93x2000=   1,880</v>
      </c>
      <c r="J37" s="295">
        <f ca="1">_xlfn.XLOOKUP(Tab_NewTRADER[[#This Row],[ClickTick]],TabCalc[Ticker],ListGravity)</f>
        <v>2.020033388981636</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0.23560663703229079</v>
      </c>
      <c r="N37" s="324" cm="1">
        <f t="array" aca="1" ref="N37" ca="1">_xlfn.XLOOKUP(Tab_NewTRADER[[#This Row],[ClickTick]],ListTickers,Tab2RSIConventional[RSIConv20])</f>
        <v>25</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0.15414258188824659</v>
      </c>
      <c r="S37" s="683">
        <f ca="1">_xlfn.XLOOKUP(Tab_NewTRADER[[#This Row],[ClickTick]],TabCalc[Ticker],TabCalc[Rev(MinStock)])*(1-Commission)</f>
        <v>3191.6799999999989</v>
      </c>
      <c r="T37" s="782">
        <f ca="1">_xlfn.XLOOKUP(Tab_NewTRADER[[#This Row],[ClickTick]],TabCalc[Ticker],TabCalc[Agiotage])</f>
        <v>0.23560663703229079</v>
      </c>
      <c r="U37" s="747"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-1,040/-1,040=&gt;-3.9% / -3.9%</v>
      </c>
      <c r="V37" s="739" t="str">
        <f ca="1">_xlfn.XLOOKUP(Tab_NewTRADER[[#This Row],[ClickTick]],[1]!RTData[Ticker_Symbol],[1]!RTData[Currency])</f>
        <v>USD</v>
      </c>
      <c r="W37" s="749">
        <f ca="1">_xlfn.XLOOKUP(Tab_NewTRADER[[#This Row],[ClickTick]],TabCalc[Ticker],TabCalc[M])</f>
        <v>5.99</v>
      </c>
      <c r="X37" s="1315"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-3.8523000000000002E-2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^4K / 24 K$</v>
      </c>
      <c r="AF37" s="1450"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7" s="1531" t="str">
        <f ca="1">TEXT(MIN(Tab_NewTRADER[[#This Row],[L_Bn]],Tab_NewTRADER[[#This Row],[N]]),"#,#0")&amp;" x "&amp;TEXT(Tab_NewTRADER[[#This Row],[L_Bp]],"#,#0.#0")</f>
        <v>4,000 x -5.19</v>
      </c>
      <c r="AH37" s="1532" t="str" cm="1">
        <f t="array" aca="1" ref="AH37" ca="1">_xlfn.IFS(Tab_NewTRADER[[#This Row],[M_State]]=Sale_Back,Tab_NewTRADER[[#This Row],[Sale_Back_$]], TRUE,"M = "&amp;Tab_NewTRADER[[#This Row],[M]])</f>
        <v>M = 5.99</v>
      </c>
      <c r="AI37" s="1455" cm="1">
        <f t="array" aca="1" ref="AI37" ca="1">IF(Tab_NewTRADER[[#This Row],[M_State]]=MUp,_xlfn.IFS(Tab_NewTRADER[[#This Row],[M_State]]=MUp,MIN(Tab_NewTRADER[[#This Row],[N]],Tab_NewTRADER[[#This Row],[L_Bn]])*(Tab_NewTRADER[[#This Row],[M]]-Tab_NewTRADER[[#This Row],[L_Sp]])*Tab_NewTRADER[[#This Row],[Scale]]*ComFactor, TRUE,0),0)</f>
        <v>1516.0479999999995</v>
      </c>
      <c r="AJ37" s="1459" cm="1">
        <f t="array" aca="1" ref="AJ37" ca="1">_xlfn.IFS(Tab_NewTRADER[[#This Row],[M_State]]=MUp,                 MIN(Tab_NewTRADER[[#This Row],[L_Sn]],Tab_NewTRADER[[#This Row],[N]])*(Tab_NewTRADER[[#This Row],[M]]-Tab_NewTRADER[[#This Row],[A]])*Tab_NewTRADER[[#This Row],[Scale]]*ComFactor, TRUE,0)</f>
        <v>1595.8399999999995</v>
      </c>
      <c r="AK37" s="1459" cm="1">
        <f t="array" aca="1" ref="AK37" ca="1">_xlfn.IFS(Tab_NewTRADER[[#This Row],[M_State]]=MUp,                  Tab_NewTRADER[[#This Row],[N]]*(Tab_NewTRADER[[#This Row],[M]]-Tab_NewTRADER[[#This Row],[A]])*Tab_NewTRADER[[#This Row],[Scale]]*ComFactor, TRUE,0)</f>
        <v>3191.6799999999989</v>
      </c>
      <c r="AL37" s="1452" t="str">
        <f ca="1">TEXT(Tab_NewTRADER[[#This Row],[L_Sn]],"#,#0")&amp;" x "&amp;TEXT(Tab_NewTRADER[[#This Row],[L_Sp]],"#,#0.#0")</f>
        <v>2,000 x 5.61</v>
      </c>
      <c r="AM37" s="1465" t="str" cm="1">
        <f t="array" aca="1" ref="AM37" ca="1">_xlfn.IFS(Tab_NewTRADER[[#This Row],[M_State]]=RePurchaseGain,TEXT(-Tab_NewTRADER[[#This Row],[Buy_Back]],"#,#0")&amp;"       / "&amp;TEXT(Tab_NewTRADER[[#This Row],[Rev_Buy]],"#,#00.0)%"),TRUE,"M = "&amp;Tab_NewTRADER[[#This Row],[M]])</f>
        <v>M = 5.99</v>
      </c>
      <c r="AN37" s="1435" cm="1">
        <f t="array" aca="1" ref="AN37" ca="1">_xlfn.IFS(Tab_NewTRADER[[#This Row],[M_State]]=MDown,TEXT(Tab_NewTRADER[[#This Row],[L_Sn]]*(Tab_NewTRADER[[#This Row],[M]]-Tab_NewTRADER[[#This Row],[L_Sp]])*ComFactor,"#,#0")&amp;"       / "&amp;TEXT((TabTRADER[[#This Row],[M]]-TabTRADER[[#This Row],[L_Sp]])/TabTRADER[[#This Row],[M]],"#,#00.0)%"),TRUE,0)</f>
        <v>0</v>
      </c>
      <c r="AO37" s="1486" cm="1">
        <f t="array" aca="1" ref="AO37" ca="1">_xlfn.IFS(Tab_NewTRADER[[#This Row],[M_State]]=MDown,TEXT(Tab_NewTRADER[[#This Row],[N]]*(Tab_NewTRADER[[#This Row],[M]]-Tab_NewTRADER[[#This Row],[A]])*Tab_NewTRADER[[#This Row],[Scale]]*ComFactor,"#,#0")&amp;"       / "&amp;TEXT((TabTRADER[[#This Row],[M]]-TabTRADER[[#This Row],[L_Bp]])/TabTRADER[[#This Row],[M]],"#,#00.0%"),TRUE,0)</f>
        <v>0</v>
      </c>
      <c r="AP37" s="1435" t="str" cm="1">
        <f t="array" aca="1" ref="AP37" ca="1">_xlfn.IFS(Tab_NewTRADER[[#This Row],[M_State]]=MDown,TEXT(Tab_NewTRADER[[#This Row],[N]]*Tab_NewTRADER[[#This Row],[M]],"#,#0")&amp;" @ "&amp;TEXT(Tab_NewTRADER[[#This Row],[A]],"#,#0.#0"),TRUE,"M = "&amp; Tab_NewTRADER[[#This Row],[M]])</f>
        <v>M = 5.99</v>
      </c>
      <c r="AQ37" s="1165">
        <f ca="1">Tab_NewTRADER[[#This Row],[N]]*(Tab_NewTRADER[[#This Row],[M]]-Tab_NewTRADER[[#This Row],[A]])*(1-Commission)*Tab_NewTRADER[[#This Row],[Scale]]</f>
        <v>3191.6799999999989</v>
      </c>
      <c r="AR37" s="1165">
        <f ca="1">Tab_NewTRADER[[#This Row],[M]]*Tab_NewTRADER[[#This Row],[N]]*(1-Commission)*Tab_NewTRADER[[#This Row],[Scale]]</f>
        <v>23897.703999999998</v>
      </c>
      <c r="AS37" s="1174" cm="1">
        <f t="array" aca="1" ref="AS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0.15414258188824659</v>
      </c>
      <c r="AT37" s="1174" cm="1">
        <f t="array" aca="1" ref="AT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6.0839065108514175E-2</v>
      </c>
      <c r="AU37" s="825" cm="1">
        <f t="array" aca="1" ref="AU37" ca="1">_xlfn.IFS(   Tab_NewTRADER[[#This Row],[M_State]]=SellMorePercentGain,                     MIN(Tab_NewTRADER[[#This Row],[L_Sn]],Tab_NewTRADER[[#This Row],[N]])*(Tab_NewTRADER[[#This Row],[M]]-Tab_NewTRADER[[#This Row],[L_Sp]])*(1-Commission)*Tab_NewTRADER[[#This Row],[Scale]],                    TRUE,"")</f>
        <v>758.02399999999977</v>
      </c>
      <c r="AV37" s="1163">
        <f ca="1">_xlfn.XLOOKUP(Tab_NewTRADER[[#This Row],[ClickTick]],TabCalc[Ticker],TabCalc[Ann%RevLB])</f>
        <v>0.99091659785301378</v>
      </c>
      <c r="AW37" s="1267">
        <f ca="1">_xlfn.XLOOKUP(Tab_NewTRADER[[#This Row],[ClickTick]],TabCalc[Ticker],TabCalc[Up20])</f>
        <v>0</v>
      </c>
      <c r="AX37" s="310" t="str" cm="1">
        <f t="array" aca="1" ref="AX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7" s="825" t="str" cm="1">
        <f t="array" aca="1" ref="AY37" ca="1">_xlfn.IFS(         Tab_NewTRADER[[#This Row],[M_State]]=MDown,Tab_NewTRADER[[#This Row],[L_Bn]]*Tab_NewTRADER[[#This Row],[M]]*(-(Tab_NewTRADER[[#This Row],[L_Bp]]+Tab_NewTRADER[[#This Row],[M]])/Tab_NewTRADER[[#This Row],[M]])*(1-Commission)*Tab_NewTRADER[[#This Row],[Scale]],                               TRUE,"")</f>
        <v/>
      </c>
      <c r="AZ37" s="1174" cm="1">
        <f t="array" aca="1" ref="AZ37" ca="1">_xlfn.IFS(   Tab_NewTRADER[[#This Row],[M_State]]=MUp,Tab_NewTRADER[[#This Row],[TakeGain_A]]-Commission,        Tab_NewTRADER[[#This Row],[M_State]]=MDown,(Tab_NewTRADER[[#This Row],[A]]-Tab_NewTRADER[[#This Row],[M]])/Tab_NewTRADER[[#This Row],[M]]-Commission,                              TRUE,"")</f>
        <v>0.1515425818882466</v>
      </c>
      <c r="BA37" s="760" cm="1">
        <f t="array" aca="1" ref="BA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3683.6537957610781</v>
      </c>
      <c r="BB37" s="760" t="str" cm="1">
        <f t="array" aca="1" ref="BB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-1.2%</v>
      </c>
      <c r="BC37" s="736" t="str" cm="1">
        <f t="array" aca="1" ref="BC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4,000x0.8</v>
      </c>
      <c r="BD37" s="765" cm="1">
        <f t="array" aca="1" ref="BD37" ca="1">_xlfn.IFS(Tab_NewTRADER[[#This Row],[M_State]]=Sale_Back,"",         Tab_NewTRADER[[#This Row],[M_State]]=MDown, (Tab_NewTRADER[[#This Row],[M]]-Tab_NewTRADER[[#This Row],[A]])/Tab_NewTRADER[[#This Row],[A]]*ComFactor,             TRUE, IFERROR((Tab_NewTRADER[[#This Row],[M]]-Tab_NewTRADER[[#This Row],[A]])/Tab_NewTRADER[[#This Row],[A]]*ComFactor,""))</f>
        <v>0.15374181117533714</v>
      </c>
      <c r="BE37" s="762" cm="1">
        <f t="array" aca="1" ref="BE37" ca="1">_xlfn.IFS(               Tab_NewTRADER[[#This Row],[M_State]]=NoStock,(Tab_NewTRADER[[#This Row],[L_Sp]]-Tab_NewTRADER[[#This Row],[M]])/Tab_NewTRADER[[#This Row],[M]]-Commission,             Tab_NewTRADER[[#This Row],[A]]&lt;&gt;0,(Tab_NewTRADER[[#This Row],[A]]-Tab_NewTRADER[[#This Row],[M]])/Tab_NewTRADER[[#This Row],[M]]-Commission)</f>
        <v>-0.13615592654424036</v>
      </c>
      <c r="BF37" s="324">
        <f ca="1">_xlfn.XLOOKUP(Tab_NewTRADER[[#This Row],[ClickTick]],TabCalc[Ticker],TabCalc[L_Sn])</f>
        <v>2000</v>
      </c>
      <c r="BG37" s="728">
        <f ca="1">_xlfn.XLOOKUP(Tab_NewTRADER[[#This Row],[ClickTick]],TabCalc[Ticker],TabCalc[L_Sp])</f>
        <v>5.61</v>
      </c>
      <c r="BH37" s="764">
        <f ca="1">-IFERROR((Tab_NewTRADER[[#This Row],[M]]-Tab_NewTRADER[[#This Row],[L_Sp]])/Tab_NewTRADER[[#This Row],[L_Sp]],0)</f>
        <v>-6.7736185383244191E-2</v>
      </c>
      <c r="BI37" s="729">
        <f ca="1">MIN(Tab_NewTRADER[[#This Row],[L_Sn]],Tab_NewTRADER[[#This Row],[N]])*(Tab_NewTRADER[[#This Row],[M]]-Tab_NewTRADER[[#This Row],[L_Sp]])*(1-Commission)*Tab_NewTRADER[[#This Row],[Scale]]</f>
        <v>758.02399999999977</v>
      </c>
      <c r="BJ37" s="692">
        <f ca="1">Tab_NewTRADER[[#This Row],[L_Sn]]*(Tab_NewTRADER[[#This Row],[Agiotage]]-Tab_NewTRADER[[#This Row],[M]])/(Tab_NewTRADER[[#This Row],[L_Bn]]*Tab_NewTRADER[[#This Row],[M]])</f>
        <v>-0.48033333580698745</v>
      </c>
      <c r="BK37" s="635">
        <f ca="1">IFERROR((Tab_NewTRADER[[#This Row],[M]]-Tab_NewTRADER[[#This Row],[A]])/Tab_NewTRADER[[#This Row],[A]],0)</f>
        <v>0.15414258188824659</v>
      </c>
      <c r="BL37" s="638" t="str">
        <f ca="1">TEXT(_xlfn.XLOOKUP(Tab_NewTRADER[[#This Row],[ClickTick]],TabCalc[Ticker],TabCalc[NAfter]),"#,#0")&amp;" : "&amp;TEXT(_xlfn.XLOOKUP(Tab_NewTRADER[[#This Row],[ClickTick]],TabCalc[Ticker],TabCalc[NAfter])*(Tab_NewTRADER[[#This Row],[M]]-Tab_NewTRADER[[#This Row],[A]])*(1-Commission)*Tab_NewTRADER[[#This Row],[Scale]],"#,#0$")</f>
        <v>4,000 : 3,192$</v>
      </c>
      <c r="BM37" s="684">
        <f ca="1">_xlfn.XLOOKUP(Tab_NewTRADER[[#This Row],[ClickTick]],TabCalc[[#This Row],[Ticker]],TabCalc[[#This Row],[GL]])*(1-Commission)</f>
        <v>4363.0816045112251</v>
      </c>
      <c r="BN37" s="684"/>
      <c r="BO37" s="669" t="str">
        <f ca="1">Tab_NewTRADER[[#This Row],[ClickTick]]&amp;": "&amp;_xlfn.XLOOKUP(Tab_NewTRADER[[#This Row],[ClickTick]],TabCalc[Ticker],TabCalc[Pile?])</f>
        <v xml:space="preserve">PROF: </v>
      </c>
      <c r="BP37" s="351" t="s">
        <v>1969</v>
      </c>
      <c r="BQ37" s="755" t="str" cm="1">
        <f t="array" aca="1" ref="BQ37" ca="1">_xlfn.TEXTJOIN("",,INDEX({"M","A","Y"}, _xlfn.SORTBY({1,2,3}, -CHOOSE({1,2,3}, Tab_NewTRADER[[#This Row],[M]], Tab_NewTRADER[[#This Row],[A]], Tab_NewTRADER[[#This Row],[Agiotage]]))))</f>
        <v>MAY</v>
      </c>
      <c r="BR37" s="902" cm="1">
        <f t="array" aca="1" ref="BR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6.3439065108514173E-2</v>
      </c>
      <c r="BS37" s="679">
        <f ca="1">Tab_NewTRADER[[#This Row],[L_Sn]]*Tab_NewTRADER[[#This Row],[L_Sp]]+Tab_NewTRADER[[#This Row],[SellMore]]*Tab_NewTRADER[[#This Row],[M]]</f>
        <v>35180</v>
      </c>
      <c r="BT37" s="679">
        <f ca="1">INDEX(
  INDEX(TabConsolid[], , _xlfn.XMATCH(Tab_NewTRADER[[#This Row],[ClickTick]]&amp;1, TabConsolid[#Headers])),
  MATCH(
    -Tab_NewTRADER[[#This Row],[M]],
    INDEX(TabConsolid[], , _xlfn.XMATCH(Tab_NewTRADER[[#This Row],[ClickTick]]&amp;2, TabConsolid[#Headers])),
    -1
  )
)</f>
        <v>4000</v>
      </c>
      <c r="BU37" s="679" cm="1">
        <f t="array" aca="1" ref="BU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37" s="1144">
        <f ca="1">Tab_NewTRADER[[#This Row],[ReBuy]]/(Tab_NewTRADER[[#This Row],[L_Sn]]+Tab_NewTRADER[[#This Row],[SellMore]])</f>
        <v>5.8633333333333333</v>
      </c>
      <c r="BW37" s="687">
        <f ca="1">((_xlfn.XLOOKUP(Tab_NewTRADER[[#This Row],[ClickTick]],TabCalc[Ticker],TabCalc[NAfter])+Tab_NewTRADER[[#This Row],[L_Sn]])*(Tab_NewTRADER[[#This Row],[Agiotage]]-Tab_NewTRADER[[#This Row],[M]]))/(Tab_NewTRADER[[#This Row],[L_Sn]]*_xlfn.XLOOKUP(Tab_NewTRADER[[#This Row],[ClickTick]],TabCalc[Ticker],TabCalc[NAfter]))</f>
        <v>-4.3157950222257827E-3</v>
      </c>
      <c r="BX37" s="687">
        <f ca="1">(Tab_NewTRADER[[#This Row],[M]]-Tab_NewTRADER[[#This Row],[Agiotage]])/(Tab_NewTRADER[[#This Row],[M]]-Tab_NewTRADER[[#This Row],[A]])-1</f>
        <v>6.1929917037096383</v>
      </c>
      <c r="BY37" s="1262">
        <f ca="1">_xlfn.XMATCH(Tab_NewTRADER[[#This Row],[ClickTick]]&amp;1, TabConsolid[#Headers])</f>
        <v>104</v>
      </c>
      <c r="BZ37" t="b">
        <f ca="1">IF(ABS(Tab_NewTRADER[[#This Row],[L_Bp]])&gt;=Tab_NewTRADER[[#This Row],[M]],"OK")</f>
        <v>0</v>
      </c>
    </row>
    <row r="38" spans="1:78"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-1,986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-19.0%</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-2,339$</v>
      </c>
      <c r="G38" s="225" t="str">
        <f ca="1">IFERROR(TRUNC(_xlfn.XLOOKUP(Tab_NewTRADER[[#This Row],[ClickTick]],TabCalc[Ticker],ListLastSalep),2)&amp;"x"&amp;_xlfn.XLOOKUP(Tab_NewTRADER[[#This Row],[ClickTick]],TabCalc[Ticker],ListLastSalen)&amp;"=   "&amp;TEXT(-_xlfn.XLOOKUP(Tab_NewTRADER[[#This Row],[ClickTick]],TabCalc[Ticker],ListReverseB),"#,#0")&amp;"$","")</f>
        <v>9.07x2500=   -12,214$</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116.8% = 1,023</v>
      </c>
      <c r="I38" s="226" t="str">
        <f ca="1">IFERROR(TRUNC(TabCalc[[#This Row],[L_S1p]],2)&amp;"x"&amp;TabCalc[[#This Row],[L_S1n]]&amp;"=   "&amp;TEXT(TabCalc[[#This Row],[ReverseB1]],"#,#0"),"")</f>
        <v>7.4x2500=   8,039</v>
      </c>
      <c r="J38" s="295">
        <f ca="1">_xlfn.XLOOKUP(Tab_NewTRADER[[#This Row],[ClickTick]],TabCalc[Ticker],ListGravity)</f>
        <v>1.5852523659305993</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10461</v>
      </c>
      <c r="M38" s="323">
        <f ca="1">_xlfn.XLOOKUP(Tab_NewTRADER[[#This Row],[ClickTick]],TabCalc[Ticker],TabCalc[Agiotage])</f>
        <v>0.27700442895846106</v>
      </c>
      <c r="N38" s="324" cm="1">
        <f t="array" aca="1" ref="N38" ca="1">_xlfn.XLOOKUP(Tab_NewTRADER[[#This Row],[ClickTick]],ListTickers,Tab2RSIConventional[RSIConv20])</f>
        <v>44</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-0.15957339974693208</v>
      </c>
      <c r="S38" s="683">
        <f ca="1">_xlfn.XLOOKUP(Tab_NewTRADER[[#This Row],[ClickTick]],TabCalc[Ticker],TabCalc[Rev(MinStock)])*(1-Commission)</f>
        <v>-1981.0857500000004</v>
      </c>
      <c r="T38" s="782">
        <f ca="1">_xlfn.XLOOKUP(Tab_NewTRADER[[#This Row],[ClickTick]],TabCalc[Ticker],TabCalc[Agiotage])</f>
        <v>0.27700442895846106</v>
      </c>
      <c r="U38" s="747"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-5,016/-5,016=&gt;-2.5% / -2.5%</v>
      </c>
      <c r="V38" s="739" t="str">
        <f ca="1">_xlfn.XLOOKUP(Tab_NewTRADER[[#This Row],[ClickTick]],[1]!RTData[Ticker_Symbol],[1]!RTData[Currency])</f>
        <v>USD</v>
      </c>
      <c r="W38" s="749">
        <f ca="1">_xlfn.XLOOKUP(Tab_NewTRADER[[#This Row],[ClickTick]],TabCalc[Ticker],TabCalc[M])</f>
        <v>4.1844000000000001</v>
      </c>
      <c r="X38" s="1315"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-2.4615000000000001E-2</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-70K /199 K$</v>
      </c>
      <c r="AF38" s="1182"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8" s="1530" t="str">
        <f ca="1">TEXT(MIN(Tab_NewTRADER[[#This Row],[L_Bn]],Tab_NewTRADER[[#This Row],[N]]),"#,#0")&amp;" x "&amp;TEXT(Tab_NewTRADER[[#This Row],[L_Bp]],"#,#0.#0")</f>
        <v>2,500 x -4.98</v>
      </c>
      <c r="AH38" s="1530" t="str" cm="1">
        <f t="array" aca="1" ref="AH38" ca="1">_xlfn.IFS(Tab_NewTRADER[[#This Row],[M_State]]=Sale_Back,Tab_NewTRADER[[#This Row],[Sale_Back_$]], TRUE,"M = "&amp;Tab_NewTRADER[[#This Row],[M]])</f>
        <v>M = 4.1844</v>
      </c>
      <c r="AI38" s="1433" cm="1">
        <f t="array" aca="1" ref="AI38" ca="1">IF(Tab_NewTRADER[[#This Row],[M_State]]=MUp,_xlfn.IFS(Tab_NewTRADER[[#This Row],[M_State]]=MUp,MIN(Tab_NewTRADER[[#This Row],[N]],Tab_NewTRADER[[#This Row],[L_Bn]])*(Tab_NewTRADER[[#This Row],[M]]-Tab_NewTRADER[[#This Row],[L_Sp]])*Tab_NewTRADER[[#This Row],[Scale]]*ComFactor, TRUE,0),0)</f>
        <v>0</v>
      </c>
      <c r="AJ38" s="1433" cm="1">
        <f t="array" aca="1" ref="AJ38" ca="1">_xlfn.IFS(Tab_NewTRADER[[#This Row],[M_State]]=MUp,                 MIN(Tab_NewTRADER[[#This Row],[L_Sn]],Tab_NewTRADER[[#This Row],[N]])*(Tab_NewTRADER[[#This Row],[M]]-Tab_NewTRADER[[#This Row],[A]])*Tab_NewTRADER[[#This Row],[Scale]]*ComFactor, TRUE,0)</f>
        <v>0</v>
      </c>
      <c r="AK38" s="1433" cm="1">
        <f t="array" aca="1" ref="AK38" ca="1">_xlfn.IFS(Tab_NewTRADER[[#This Row],[M_State]]=MUp,                  Tab_NewTRADER[[#This Row],[N]]*(Tab_NewTRADER[[#This Row],[M]]-Tab_NewTRADER[[#This Row],[A]])*Tab_NewTRADER[[#This Row],[Scale]]*ComFactor, TRUE,0)</f>
        <v>0</v>
      </c>
      <c r="AL38" s="1435" t="str">
        <f ca="1">TEXT(Tab_NewTRADER[[#This Row],[L_Sn]],"#,#0")&amp;" x "&amp;TEXT(Tab_NewTRADER[[#This Row],[L_Sp]],"#,#0.#0")</f>
        <v>2,500 x 9.07</v>
      </c>
      <c r="AM38" s="1465" t="str" cm="1">
        <f t="array" aca="1" ref="AM38" ca="1">_xlfn.IFS(Tab_NewTRADER[[#This Row],[M_State]]=RePurchaseGain,TEXT(-Tab_NewTRADER[[#This Row],[Buy_Back]],"#,#0")&amp;"       / "&amp;TEXT(Tab_NewTRADER[[#This Row],[Rev_Buy]],"#,#00.0)%"),TRUE,"M = "&amp;Tab_NewTRADER[[#This Row],[M]])</f>
        <v>M = 4.1844</v>
      </c>
      <c r="AN38" s="1435" t="str" cm="1">
        <f t="array" aca="1" ref="AN38" ca="1">_xlfn.IFS(Tab_NewTRADER[[#This Row],[M_State]]=MDown,TEXT(Tab_NewTRADER[[#This Row],[L_Sn]]*(Tab_NewTRADER[[#This Row],[M]]-Tab_NewTRADER[[#This Row],[L_Sp]])*ComFactor,"#,#0")&amp;"       / "&amp;TEXT((TabTRADER[[#This Row],[M]]-TabTRADER[[#This Row],[L_Sp]])/TabTRADER[[#This Row],[M]],"#,#00.0)%"),TRUE,0)</f>
        <v>-12,182       / -116.8)%</v>
      </c>
      <c r="AO38" s="1486" t="str" cm="1">
        <f t="array" aca="1" ref="AO38" ca="1">_xlfn.IFS(Tab_NewTRADER[[#This Row],[M_State]]=MDown,TEXT(Tab_NewTRADER[[#This Row],[N]]*(Tab_NewTRADER[[#This Row],[M]]-Tab_NewTRADER[[#This Row],[A]])*Tab_NewTRADER[[#This Row],[Scale]]*ComFactor,"#,#0")&amp;"       / "&amp;TEXT((TabTRADER[[#This Row],[M]]-TabTRADER[[#This Row],[L_Bp]])/TabTRADER[[#This Row],[M]],"#,#00.0%"),TRUE,0)</f>
        <v>-72,998       / 219.0%</v>
      </c>
      <c r="AP38" s="1435" t="str" cm="1">
        <f t="array" aca="1" ref="AP38" ca="1">_xlfn.IFS(Tab_NewTRADER[[#This Row],[M_State]]=MDown,TEXT(Tab_NewTRADER[[#This Row],[N]]*Tab_NewTRADER[[#This Row],[M]],"#,#0")&amp;" @ "&amp;TEXT(Tab_NewTRADER[[#This Row],[A]],"#,#0.#0"),TRUE,"M = "&amp; Tab_NewTRADER[[#This Row],[M]])</f>
        <v>198,759 @ 5.73</v>
      </c>
      <c r="AQ38" s="1165">
        <f ca="1">Tab_NewTRADER[[#This Row],[N]]*(Tab_NewTRADER[[#This Row],[M]]-Tab_NewTRADER[[#This Row],[A]])*(1-Commission)*Tab_NewTRADER[[#This Row],[Scale]]</f>
        <v>-72997.718218740731</v>
      </c>
      <c r="AR38" s="1165">
        <f ca="1">Tab_NewTRADER[[#This Row],[M]]*Tab_NewTRADER[[#This Row],[N]]*(1-Commission)*Tab_NewTRADER[[#This Row],[Scale]]</f>
        <v>198242.22659999999</v>
      </c>
      <c r="AS38" s="1174" cm="1">
        <f t="array" aca="1" ref="AS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0.26912598831091161</v>
      </c>
      <c r="AT38" s="1174" cm="1">
        <f t="array" aca="1" ref="AT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0.18727190517158976</v>
      </c>
      <c r="AU38" s="825" t="str" cm="1">
        <f t="array" aca="1" ref="AU38" ca="1">_xlfn.IFS(   Tab_NewTRADER[[#This Row],[M_State]]=SellMorePercentGain,                     MIN(Tab_NewTRADER[[#This Row],[L_Sn]],Tab_NewTRADER[[#This Row],[N]])*(Tab_NewTRADER[[#This Row],[M]]-Tab_NewTRADER[[#This Row],[L_Sp]])*(1-Commission)*Tab_NewTRADER[[#This Row],[Scale]],                    TRUE,"")</f>
        <v/>
      </c>
      <c r="AV38" s="1163">
        <f ca="1">_xlfn.XLOOKUP(Tab_NewTRADER[[#This Row],[ClickTick]],TabCalc[Ticker],TabCalc[Ann%RevLB])</f>
        <v>-8.2066319869850783</v>
      </c>
      <c r="AW38" s="1267">
        <f ca="1">_xlfn.XLOOKUP(Tab_NewTRADER[[#This Row],[ClickTick]],TabCalc[Ticker],TabCalc[Up20])</f>
        <v>0</v>
      </c>
      <c r="AX38" s="1175" cm="1">
        <f t="array" aca="1" ref="AX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0.18987190517158975</v>
      </c>
      <c r="AY38" s="825" cm="1">
        <f t="array" aca="1" ref="AY38" ca="1">_xlfn.IFS(         Tab_NewTRADER[[#This Row],[M_State]]=MDown,Tab_NewTRADER[[#This Row],[L_Bn]]*Tab_NewTRADER[[#This Row],[M]]*(-(Tab_NewTRADER[[#This Row],[L_Bp]]+Tab_NewTRADER[[#This Row],[M]])/Tab_NewTRADER[[#This Row],[M]])*(1-Commission)*Tab_NewTRADER[[#This Row],[Scale]],                               TRUE,"")</f>
        <v>1981.0857500000004</v>
      </c>
      <c r="AZ38" s="1174" cm="1">
        <f t="array" aca="1" ref="AZ38" ca="1">_xlfn.IFS(   Tab_NewTRADER[[#This Row],[M_State]]=MUp,Tab_NewTRADER[[#This Row],[TakeGain_A]]-Commission,        Tab_NewTRADER[[#This Row],[M_State]]=MDown,(Tab_NewTRADER[[#This Row],[A]]-Tab_NewTRADER[[#This Row],[M]])/Tab_NewTRADER[[#This Row],[M]]-Commission,                              TRUE,"")</f>
        <v>0.36562487050667908</v>
      </c>
      <c r="BA38" s="825" cm="1">
        <f t="array" aca="1" ref="BA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72997.718218740731</v>
      </c>
      <c r="BB38" s="760" t="str" cm="1">
        <f t="array" aca="1" ref="BB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C38" s="736" cm="1">
        <f t="array" aca="1" ref="BC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-0.79</v>
      </c>
      <c r="BD38" s="765" cm="1">
        <f t="array" aca="1" ref="BD38" ca="1">_xlfn.IFS(Tab_NewTRADER[[#This Row],[M_State]]=Sale_Back,"",         Tab_NewTRADER[[#This Row],[M_State]]=MDown, (Tab_NewTRADER[[#This Row],[M]]-Tab_NewTRADER[[#This Row],[A]])/Tab_NewTRADER[[#This Row],[A]]*ComFactor,             TRUE, IFERROR((Tab_NewTRADER[[#This Row],[M]]-Tab_NewTRADER[[#This Row],[A]])/Tab_NewTRADER[[#This Row],[A]]*ComFactor,""))</f>
        <v>-0.26842626074130321</v>
      </c>
      <c r="BE38" s="762" cm="1">
        <f t="array" aca="1" ref="BE38" ca="1">_xlfn.IFS(               Tab_NewTRADER[[#This Row],[M_State]]=NoStock,(Tab_NewTRADER[[#This Row],[L_Sp]]-Tab_NewTRADER[[#This Row],[M]])/Tab_NewTRADER[[#This Row],[M]]-Commission,             Tab_NewTRADER[[#This Row],[A]]&lt;&gt;0,(Tab_NewTRADER[[#This Row],[A]]-Tab_NewTRADER[[#This Row],[M]])/Tab_NewTRADER[[#This Row],[M]]-Commission)</f>
        <v>0.36562487050667908</v>
      </c>
      <c r="BF38" s="324">
        <f ca="1">_xlfn.XLOOKUP(Tab_NewTRADER[[#This Row],[ClickTick]],TabCalc[Ticker],TabCalc[L_Sn])</f>
        <v>2500</v>
      </c>
      <c r="BG38" s="728">
        <f ca="1">_xlfn.XLOOKUP(Tab_NewTRADER[[#This Row],[ClickTick]],TabCalc[Ticker],TabCalc[L_Sp])</f>
        <v>9.07</v>
      </c>
      <c r="BH38" s="764">
        <f ca="1">-IFERROR((Tab_NewTRADER[[#This Row],[M]]-Tab_NewTRADER[[#This Row],[L_Sp]])/Tab_NewTRADER[[#This Row],[L_Sp]],0)</f>
        <v>0.53865490628445423</v>
      </c>
      <c r="BI38" s="729">
        <f ca="1">MIN(Tab_NewTRADER[[#This Row],[L_Sn]],Tab_NewTRADER[[#This Row],[N]])*(Tab_NewTRADER[[#This Row],[M]]-Tab_NewTRADER[[#This Row],[L_Sp]])*(1-Commission)*Tab_NewTRADER[[#This Row],[Scale]]</f>
        <v>-12182.2436</v>
      </c>
      <c r="BJ38" s="692">
        <f ca="1">Tab_NewTRADER[[#This Row],[L_Sn]]*(Tab_NewTRADER[[#This Row],[Agiotage]]-Tab_NewTRADER[[#This Row],[M]])/(Tab_NewTRADER[[#This Row],[L_Bn]]*Tab_NewTRADER[[#This Row],[M]])</f>
        <v>-0.93380068135014327</v>
      </c>
      <c r="BK38" s="635">
        <f ca="1">IFERROR((Tab_NewTRADER[[#This Row],[M]]-Tab_NewTRADER[[#This Row],[A]])/Tab_NewTRADER[[#This Row],[A]],0)</f>
        <v>-0.26912598831091161</v>
      </c>
      <c r="BL38" s="638" t="str">
        <f ca="1">TEXT(_xlfn.XLOOKUP(Tab_NewTRADER[[#This Row],[ClickTick]],TabCalc[Ticker],TabCalc[NAfter]),"#,#0")&amp;" : "&amp;TEXT(_xlfn.XLOOKUP(Tab_NewTRADER[[#This Row],[ClickTick]],TabCalc[Ticker],TabCalc[NAfter])*(Tab_NewTRADER[[#This Row],[M]]-Tab_NewTRADER[[#This Row],[A]])*(1-Commission)*Tab_NewTRADER[[#This Row],[Scale]],"#,#0$")</f>
        <v>47,500 : -72,998$</v>
      </c>
      <c r="BM38" s="684">
        <f ca="1">_xlfn.XLOOKUP(Tab_NewTRADER[[#This Row],[ClickTick]],TabCalc[[#This Row],[Ticker]],TabCalc[[#This Row],[GL]])*(1-Commission)</f>
        <v>-70001.153335982366</v>
      </c>
      <c r="BN38" s="684"/>
      <c r="BO38" s="669" t="str">
        <f ca="1">Tab_NewTRADER[[#This Row],[ClickTick]]&amp;": "&amp;_xlfn.XLOOKUP(Tab_NewTRADER[[#This Row],[ClickTick]],TabCalc[Ticker],TabCalc[Pile?])</f>
        <v xml:space="preserve">POET: </v>
      </c>
      <c r="BP38" s="351" t="s">
        <v>1976</v>
      </c>
      <c r="BQ38" s="755" t="str" cm="1">
        <f t="array" aca="1" ref="BQ38" ca="1">_xlfn.TEXTJOIN("",,INDEX({"M","A","Y"}, _xlfn.SORTBY({1,2,3}, -CHOOSE({1,2,3}, Tab_NewTRADER[[#This Row],[M]], Tab_NewTRADER[[#This Row],[A]], Tab_NewTRADER[[#This Row],[Agiotage]]))))</f>
        <v>AMY</v>
      </c>
      <c r="BR38" s="902" cm="1">
        <f t="array" aca="1" ref="BR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0.18987190517158975</v>
      </c>
      <c r="BS38" s="679" t="e">
        <f ca="1">Tab_NewTRADER[[#This Row],[L_Sn]]*Tab_NewTRADER[[#This Row],[L_Sp]]+Tab_NewTRADER[[#This Row],[SellMore]]*Tab_NewTRADER[[#This Row],[M]]</f>
        <v>#N/A</v>
      </c>
      <c r="BT38" s="679" t="e">
        <f ca="1">INDEX(
  INDEX(TabConsolid[], , _xlfn.XMATCH(Tab_NewTRADER[[#This Row],[ClickTick]]&amp;1, TabConsolid[#Headers])),
  MATCH(
    -Tab_NewTRADER[[#This Row],[M]],
    INDEX(TabConsolid[], , _xlfn.XMATCH(Tab_NewTRADER[[#This Row],[ClickTick]]&amp;2, TabConsolid[#Headers])),
    -1
  )
)</f>
        <v>#N/A</v>
      </c>
      <c r="BU38" s="679" cm="1">
        <f t="array" aca="1" ref="BU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V38" s="1144" t="e">
        <f ca="1">Tab_NewTRADER[[#This Row],[ReBuy]]/(Tab_NewTRADER[[#This Row],[L_Sn]]+Tab_NewTRADER[[#This Row],[SellMore]])</f>
        <v>#N/A</v>
      </c>
      <c r="BW38" s="687">
        <f ca="1">((_xlfn.XLOOKUP(Tab_NewTRADER[[#This Row],[ClickTick]],TabCalc[Ticker],TabCalc[NAfter])+Tab_NewTRADER[[#This Row],[L_Sn]])*(Tab_NewTRADER[[#This Row],[Agiotage]]-Tab_NewTRADER[[#This Row],[M]]))/(Tab_NewTRADER[[#This Row],[L_Sn]]*_xlfn.XLOOKUP(Tab_NewTRADER[[#This Row],[ClickTick]],TabCalc[Ticker],TabCalc[NAfter]))</f>
        <v>-1.6452191878069638E-3</v>
      </c>
      <c r="BX38" s="687">
        <f ca="1">(Tab_NewTRADER[[#This Row],[M]]-Tab_NewTRADER[[#This Row],[Agiotage]])/(Tab_NewTRADER[[#This Row],[M]]-Tab_NewTRADER[[#This Row],[A]])-1</f>
        <v>-3.5359522295852241</v>
      </c>
      <c r="BY38" s="1262">
        <f ca="1">_xlfn.XMATCH(Tab_NewTRADER[[#This Row],[ClickTick]]&amp;1, TabConsolid[#Headers])</f>
        <v>107</v>
      </c>
      <c r="BZ38" t="str">
        <f ca="1">IF(ABS(Tab_NewTRADER[[#This Row],[L_Bp]])&gt;=Tab_NewTRADER[[#This Row],[M]],"OK")</f>
        <v>OK</v>
      </c>
    </row>
    <row r="39" spans="1:78"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-3,319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-86.0%</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-623$</v>
      </c>
      <c r="G39" s="225" t="str">
        <f ca="1">IFERROR(TRUNC(_xlfn.XLOOKUP(Tab_NewTRADER[[#This Row],[ClickTick]],TabCalc[Ticker],ListLastSalep),2)&amp;"x"&amp;_xlfn.XLOOKUP(Tab_NewTRADER[[#This Row],[ClickTick]],TabCalc[Ticker],ListLastSalen)&amp;"=   "&amp;TEXT(-_xlfn.XLOOKUP(Tab_NewTRADER[[#This Row],[ClickTick]],TabCalc[Ticker],ListReverseB),"#,#0")&amp;"$","")</f>
        <v>1.54x3006=   -2,697$</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139.5% = 5,574</v>
      </c>
      <c r="I39" s="226" t="str">
        <f ca="1">IFERROR(TRUNC(TabCalc[[#This Row],[L_S1p]],2)&amp;"x"&amp;TabCalc[[#This Row],[L_S1n]]&amp;"=   "&amp;TEXT(TabCalc[[#This Row],[ReverseB1]],"#,#0"),"")</f>
        <v>1.39x3006=   2,246</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4500.3</v>
      </c>
      <c r="M39" s="323">
        <f ca="1">_xlfn.XLOOKUP(Tab_NewTRADER[[#This Row],[ClickTick]],TabCalc[Ticker],TabCalc[Agiotage])</f>
        <v>0.11316280361962217</v>
      </c>
      <c r="N39" s="324" cm="1">
        <f t="array" aca="1" ref="N39" ca="1">_xlfn.XLOOKUP(Tab_NewTRADER[[#This Row],[ClickTick]],ListTickers,Tab2RSIConventional[RSIConv20])</f>
        <v>64</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-0.4622333751568381</v>
      </c>
      <c r="S39" s="683">
        <f ca="1">_xlfn.XLOOKUP(Tab_NewTRADER[[#This Row],[ClickTick]],TabCalc[Ticker],TabCalc[Rev(MinStock)])*(1-Commission)</f>
        <v>-3310.2864194399995</v>
      </c>
      <c r="T39" s="782">
        <f ca="1">_xlfn.XLOOKUP(Tab_NewTRADER[[#This Row],[ClickTick]],TabCalc[Ticker],TabCalc[Agiotage])</f>
        <v>0.11316280361962217</v>
      </c>
      <c r="U39" s="747"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-239/-239=&gt;-3.2% / -3.2%</v>
      </c>
      <c r="V39" s="739" t="str">
        <f ca="1">_xlfn.XLOOKUP(Tab_NewTRADER[[#This Row],[ClickTick]],[1]!RTData[Ticker_Symbol],[1]!RTData[Currency])</f>
        <v>USD</v>
      </c>
      <c r="W39" s="749">
        <f ca="1">_xlfn.XLOOKUP(Tab_NewTRADER[[#This Row],[ClickTick]],TabCalc[Ticker],TabCalc[M])</f>
        <v>0.64290000000000003</v>
      </c>
      <c r="X39" s="1315"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-3.2069E-2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-8K /6 K$</v>
      </c>
      <c r="AF39" s="1182"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9" s="1530" t="str">
        <f ca="1">TEXT(MIN(Tab_NewTRADER[[#This Row],[L_Bn]],Tab_NewTRADER[[#This Row],[N]]),"#,#0")&amp;" x "&amp;TEXT(Tab_NewTRADER[[#This Row],[L_Bp]],"#,#0.#0")</f>
        <v>6,006 x -1.20</v>
      </c>
      <c r="AH39" s="1530" t="str" cm="1">
        <f t="array" aca="1" ref="AH39" ca="1">_xlfn.IFS(Tab_NewTRADER[[#This Row],[M_State]]=Sale_Back,Tab_NewTRADER[[#This Row],[Sale_Back_$]], TRUE,"M = "&amp;Tab_NewTRADER[[#This Row],[M]])</f>
        <v>M = 0.6429</v>
      </c>
      <c r="AI39" s="1433" cm="1">
        <f t="array" aca="1" ref="AI39" ca="1">IF(Tab_NewTRADER[[#This Row],[M_State]]=MUp,_xlfn.IFS(Tab_NewTRADER[[#This Row],[M_State]]=MUp,MIN(Tab_NewTRADER[[#This Row],[N]],Tab_NewTRADER[[#This Row],[L_Bn]])*(Tab_NewTRADER[[#This Row],[M]]-Tab_NewTRADER[[#This Row],[L_Sp]])*Tab_NewTRADER[[#This Row],[Scale]]*ComFactor, TRUE,0),0)</f>
        <v>0</v>
      </c>
      <c r="AJ39" s="1433" cm="1">
        <f t="array" aca="1" ref="AJ39" ca="1">_xlfn.IFS(Tab_NewTRADER[[#This Row],[M_State]]=MUp,                 MIN(Tab_NewTRADER[[#This Row],[L_Sn]],Tab_NewTRADER[[#This Row],[N]])*(Tab_NewTRADER[[#This Row],[M]]-Tab_NewTRADER[[#This Row],[A]])*Tab_NewTRADER[[#This Row],[Scale]]*ComFactor, TRUE,0)</f>
        <v>0</v>
      </c>
      <c r="AK39" s="1433" cm="1">
        <f t="array" aca="1" ref="AK39" ca="1">_xlfn.IFS(Tab_NewTRADER[[#This Row],[M_State]]=MUp,                  Tab_NewTRADER[[#This Row],[N]]*(Tab_NewTRADER[[#This Row],[M]]-Tab_NewTRADER[[#This Row],[A]])*Tab_NewTRADER[[#This Row],[Scale]]*ComFactor, TRUE,0)</f>
        <v>0</v>
      </c>
      <c r="AL39" s="1435" t="str">
        <f ca="1">TEXT(Tab_NewTRADER[[#This Row],[L_Sn]],"#,#0")&amp;" x "&amp;TEXT(Tab_NewTRADER[[#This Row],[L_Sp]],"#,#0.#0")</f>
        <v>3,006 x 1.54</v>
      </c>
      <c r="AM39" s="1465" t="str" cm="1">
        <f t="array" aca="1" ref="AM39" ca="1">_xlfn.IFS(Tab_NewTRADER[[#This Row],[M_State]]=RePurchaseGain,TEXT(-Tab_NewTRADER[[#This Row],[Buy_Back]],"#,#0")&amp;"       / "&amp;TEXT(Tab_NewTRADER[[#This Row],[Rev_Buy]],"#,#00.0)%"),TRUE,"M = "&amp;Tab_NewTRADER[[#This Row],[M]])</f>
        <v>M = 0.6429</v>
      </c>
      <c r="AN39" s="1435" t="str" cm="1">
        <f t="array" aca="1" ref="AN39" ca="1">_xlfn.IFS(Tab_NewTRADER[[#This Row],[M_State]]=MDown,TEXT(Tab_NewTRADER[[#This Row],[L_Sn]]*(Tab_NewTRADER[[#This Row],[M]]-Tab_NewTRADER[[#This Row],[L_Sp]])*ComFactor,"#,#0")&amp;"       / "&amp;TEXT((TabTRADER[[#This Row],[M]]-TabTRADER[[#This Row],[L_Sp]])/TabTRADER[[#This Row],[M]],"#,#00.0)%"),TRUE,0)</f>
        <v>-2,690       / -139.5)%</v>
      </c>
      <c r="AO39" s="1486" t="str" cm="1">
        <f t="array" aca="1" ref="AO39" ca="1">_xlfn.IFS(Tab_NewTRADER[[#This Row],[M_State]]=MDown,TEXT(Tab_NewTRADER[[#This Row],[N]]*(Tab_NewTRADER[[#This Row],[M]]-Tab_NewTRADER[[#This Row],[A]])*Tab_NewTRADER[[#This Row],[Scale]]*ComFactor,"#,#0")&amp;"       / "&amp;TEXT((TabTRADER[[#This Row],[M]]-TabTRADER[[#This Row],[L_Bp]])/TabTRADER[[#This Row],[M]],"#,#00.0%"),TRUE,0)</f>
        <v>-4,223       / 286.0%</v>
      </c>
      <c r="AP39" s="1435" t="str" cm="1">
        <f t="array" aca="1" ref="AP39" ca="1">_xlfn.IFS(Tab_NewTRADER[[#This Row],[M_State]]=MDown,TEXT(Tab_NewTRADER[[#This Row],[N]]*Tab_NewTRADER[[#This Row],[M]],"#,#0")&amp;" @ "&amp;TEXT(Tab_NewTRADER[[#This Row],[A]],"#,#0.#0"),TRUE,"M = "&amp; Tab_NewTRADER[[#This Row],[M]])</f>
        <v>6,429 @ 1.07</v>
      </c>
      <c r="AQ39" s="1165">
        <f ca="1">Tab_NewTRADER[[#This Row],[N]]*(Tab_NewTRADER[[#This Row],[M]]-Tab_NewTRADER[[#This Row],[A]])*(1-Commission)*Tab_NewTRADER[[#This Row],[Scale]]</f>
        <v>-4223.3907594799994</v>
      </c>
      <c r="AR39" s="1165">
        <f ca="1">Tab_NewTRADER[[#This Row],[M]]*Tab_NewTRADER[[#This Row],[N]]*(1-Commission)*Tab_NewTRADER[[#This Row],[Scale]]</f>
        <v>6412.2846</v>
      </c>
      <c r="AS39" s="1174" cm="1">
        <f t="array" aca="1" ref="AS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0.39709662214497016</v>
      </c>
      <c r="AT39" s="1174" cm="1">
        <f t="array" aca="1" ref="AT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0.856942697153523</v>
      </c>
      <c r="AU39" s="825" t="str" cm="1">
        <f t="array" aca="1" ref="AU39" ca="1">_xlfn.IFS(   Tab_NewTRADER[[#This Row],[M_State]]=SellMorePercentGain,                     MIN(Tab_NewTRADER[[#This Row],[L_Sn]],Tab_NewTRADER[[#This Row],[N]])*(Tab_NewTRADER[[#This Row],[M]]-Tab_NewTRADER[[#This Row],[L_Sp]])*(1-Commission)*Tab_NewTRADER[[#This Row],[Scale]],                    TRUE,"")</f>
        <v/>
      </c>
      <c r="AV39" s="1163">
        <f ca="1">_xlfn.XLOOKUP(Tab_NewTRADER[[#This Row],[ClickTick]],TabCalc[Ticker],TabCalc[Ann%RevLB])</f>
        <v>-0.55283725932379313</v>
      </c>
      <c r="AW39" s="1267">
        <f ca="1">_xlfn.XLOOKUP(Tab_NewTRADER[[#This Row],[ClickTick]],TabCalc[Ticker],TabCalc[Up20])</f>
        <v>0</v>
      </c>
      <c r="AX39" s="1175" cm="1">
        <f t="array" aca="1" ref="AX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0.85954269715352305</v>
      </c>
      <c r="AY39" s="825" cm="1">
        <f t="array" aca="1" ref="AY39" ca="1">_xlfn.IFS(         Tab_NewTRADER[[#This Row],[M_State]]=MDown,Tab_NewTRADER[[#This Row],[L_Bn]]*Tab_NewTRADER[[#This Row],[M]]*(-(Tab_NewTRADER[[#This Row],[L_Bp]]+Tab_NewTRADER[[#This Row],[M]])/Tab_NewTRADER[[#This Row],[M]])*(1-Commission)*Tab_NewTRADER[[#This Row],[Scale]],                               TRUE,"")</f>
        <v>3310.2864194399995</v>
      </c>
      <c r="AZ39" s="1174" cm="1">
        <f t="array" aca="1" ref="AZ39" ca="1">_xlfn.IFS(   Tab_NewTRADER[[#This Row],[M_State]]=MUp,Tab_NewTRADER[[#This Row],[TakeGain_A]]-Commission,        Tab_NewTRADER[[#This Row],[M_State]]=MDown,(Tab_NewTRADER[[#This Row],[A]]-Tab_NewTRADER[[#This Row],[M]])/Tab_NewTRADER[[#This Row],[M]]-Commission,                              TRUE,"")</f>
        <v>0.65604056618447637</v>
      </c>
      <c r="BA39" s="760" cm="1">
        <f t="array" aca="1" ref="BA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4223.3907594799994</v>
      </c>
      <c r="BB39" s="760" t="str" cm="1">
        <f t="array" aca="1" ref="BB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C39" s="736" cm="1">
        <f t="array" aca="1" ref="BC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-0.55000000000000004</v>
      </c>
      <c r="BD39" s="765" cm="1">
        <f t="array" aca="1" ref="BD39" ca="1">_xlfn.IFS(Tab_NewTRADER[[#This Row],[M_State]]=Sale_Back,"",         Tab_NewTRADER[[#This Row],[M_State]]=MDown, (Tab_NewTRADER[[#This Row],[M]]-Tab_NewTRADER[[#This Row],[A]])/Tab_NewTRADER[[#This Row],[A]]*ComFactor,             TRUE, IFERROR((Tab_NewTRADER[[#This Row],[M]]-Tab_NewTRADER[[#This Row],[A]])/Tab_NewTRADER[[#This Row],[A]]*ComFactor,""))</f>
        <v>-0.39606417092739321</v>
      </c>
      <c r="BE39" s="762" cm="1">
        <f t="array" aca="1" ref="BE39" ca="1">_xlfn.IFS(               Tab_NewTRADER[[#This Row],[M_State]]=NoStock,(Tab_NewTRADER[[#This Row],[L_Sp]]-Tab_NewTRADER[[#This Row],[M]])/Tab_NewTRADER[[#This Row],[M]]-Commission,             Tab_NewTRADER[[#This Row],[A]]&lt;&gt;0,(Tab_NewTRADER[[#This Row],[A]]-Tab_NewTRADER[[#This Row],[M]])/Tab_NewTRADER[[#This Row],[M]]-Commission)</f>
        <v>0.65604056618447637</v>
      </c>
      <c r="BF39" s="324">
        <f ca="1">_xlfn.XLOOKUP(Tab_NewTRADER[[#This Row],[ClickTick]],TabCalc[Ticker],TabCalc[L_Sn])</f>
        <v>3006</v>
      </c>
      <c r="BG39" s="728">
        <f ca="1">_xlfn.XLOOKUP(Tab_NewTRADER[[#This Row],[ClickTick]],TabCalc[Ticker],TabCalc[L_Sp])</f>
        <v>1.54</v>
      </c>
      <c r="BH39" s="764">
        <f ca="1">-IFERROR((Tab_NewTRADER[[#This Row],[M]]-Tab_NewTRADER[[#This Row],[L_Sp]])/Tab_NewTRADER[[#This Row],[L_Sp]],0)</f>
        <v>0.58253246753246757</v>
      </c>
      <c r="BI39" s="729">
        <f ca="1">MIN(Tab_NewTRADER[[#This Row],[L_Sn]],Tab_NewTRADER[[#This Row],[N]])*(Tab_NewTRADER[[#This Row],[M]]-Tab_NewTRADER[[#This Row],[L_Sp]])*(1-Commission)*Tab_NewTRADER[[#This Row],[Scale]]</f>
        <v>-2689.6712252399998</v>
      </c>
      <c r="BJ39" s="692">
        <f ca="1">Tab_NewTRADER[[#This Row],[L_Sn]]*(Tab_NewTRADER[[#This Row],[Agiotage]]-Tab_NewTRADER[[#This Row],[M]])/(Tab_NewTRADER[[#This Row],[L_Bn]]*Tab_NewTRADER[[#This Row],[M]])</f>
        <v>-0.41240193215801041</v>
      </c>
      <c r="BK39" s="635">
        <f ca="1">IFERROR((Tab_NewTRADER[[#This Row],[M]]-Tab_NewTRADER[[#This Row],[A]])/Tab_NewTRADER[[#This Row],[A]],0)</f>
        <v>-0.39709662214497016</v>
      </c>
      <c r="BL39" s="638" t="str">
        <f ca="1">TEXT(_xlfn.XLOOKUP(Tab_NewTRADER[[#This Row],[ClickTick]],TabCalc[Ticker],TabCalc[NAfter]),"#,#0")&amp;" : "&amp;TEXT(_xlfn.XLOOKUP(Tab_NewTRADER[[#This Row],[ClickTick]],TabCalc[Ticker],TabCalc[NAfter])*(Tab_NewTRADER[[#This Row],[M]]-Tab_NewTRADER[[#This Row],[A]])*(1-Commission)*Tab_NewTRADER[[#This Row],[Scale]],"#,#0$")</f>
        <v>10,000 : -4,223$</v>
      </c>
      <c r="BM39" s="684">
        <f ca="1">_xlfn.XLOOKUP(Tab_NewTRADER[[#This Row],[ClickTick]],TabCalc[[#This Row],[Ticker]],TabCalc[[#This Row],[GL]])*(1-Commission)</f>
        <v>-8114.4322513933157</v>
      </c>
      <c r="BN39" s="684"/>
      <c r="BO39" s="669" t="str">
        <f ca="1">Tab_NewTRADER[[#This Row],[ClickTick]]&amp;": "&amp;_xlfn.XLOOKUP(Tab_NewTRADER[[#This Row],[ClickTick]],TabCalc[Ticker],TabCalc[Pile?])</f>
        <v>PW: Pile</v>
      </c>
      <c r="BP39" s="351" t="s">
        <v>1986</v>
      </c>
      <c r="BQ39" s="755" t="str" cm="1">
        <f t="array" aca="1" ref="BQ39" ca="1">_xlfn.TEXTJOIN("",,INDEX({"M","A","Y"}, _xlfn.SORTBY({1,2,3}, -CHOOSE({1,2,3}, Tab_NewTRADER[[#This Row],[M]], Tab_NewTRADER[[#This Row],[A]], Tab_NewTRADER[[#This Row],[Agiotage]]))))</f>
        <v>AMY</v>
      </c>
      <c r="BR39" s="902" cm="1">
        <f t="array" aca="1" ref="BR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0.85954269715352305</v>
      </c>
      <c r="BS39" s="679" t="e">
        <f ca="1">Tab_NewTRADER[[#This Row],[L_Sn]]*Tab_NewTRADER[[#This Row],[L_Sp]]+Tab_NewTRADER[[#This Row],[SellMore]]*Tab_NewTRADER[[#This Row],[M]]</f>
        <v>#N/A</v>
      </c>
      <c r="BT39" s="679" t="e">
        <f ca="1">INDEX(
  INDEX(TabConsolid[], , _xlfn.XMATCH(Tab_NewTRADER[[#This Row],[ClickTick]]&amp;1, TabConsolid[#Headers])),
  MATCH(
    -Tab_NewTRADER[[#This Row],[M]],
    INDEX(TabConsolid[], , _xlfn.XMATCH(Tab_NewTRADER[[#This Row],[ClickTick]]&amp;2, TabConsolid[#Headers])),
    -1
  )
)</f>
        <v>#N/A</v>
      </c>
      <c r="BU39" s="679" cm="1">
        <f t="array" aca="1" ref="BU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V39" s="1144" t="e">
        <f ca="1">Tab_NewTRADER[[#This Row],[ReBuy]]/(Tab_NewTRADER[[#This Row],[L_Sn]]+Tab_NewTRADER[[#This Row],[SellMore]])</f>
        <v>#N/A</v>
      </c>
      <c r="BW39" s="687">
        <f ca="1">((_xlfn.XLOOKUP(Tab_NewTRADER[[#This Row],[ClickTick]],TabCalc[Ticker],TabCalc[NAfter])+Tab_NewTRADER[[#This Row],[L_Sn]])*(Tab_NewTRADER[[#This Row],[Agiotage]]-Tab_NewTRADER[[#This Row],[M]]))/(Tab_NewTRADER[[#This Row],[L_Sn]]*_xlfn.XLOOKUP(Tab_NewTRADER[[#This Row],[ClickTick]],TabCalc[Ticker],TabCalc[NAfter]))</f>
        <v>-2.2920033187369244E-4</v>
      </c>
      <c r="BX39" s="687">
        <f ca="1">(Tab_NewTRADER[[#This Row],[M]]-Tab_NewTRADER[[#This Row],[Agiotage]])/(Tab_NewTRADER[[#This Row],[M]]-Tab_NewTRADER[[#This Row],[A]])-1</f>
        <v>-2.2510324281119622</v>
      </c>
      <c r="BY39" s="1262">
        <f ca="1">_xlfn.XMATCH(Tab_NewTRADER[[#This Row],[ClickTick]]&amp;1, TabConsolid[#Headers])</f>
        <v>110</v>
      </c>
      <c r="BZ39" t="str">
        <f ca="1">IF(ABS(Tab_NewTRADER[[#This Row],[L_Bp]])&gt;=Tab_NewTRADER[[#This Row],[M]],"OK")</f>
        <v>OK</v>
      </c>
    </row>
    <row r="40" spans="1:78" ht="23" hidden="1"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+13,870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32.9%</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360/1,000=15,213</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13,655$</v>
      </c>
      <c r="G40" s="225" t="str">
        <f ca="1">IFERROR(TRUNC(_xlfn.XLOOKUP(Tab_NewTRADER[[#This Row],[ClickTick]],TabCalc[Ticker],ListLastSalep),2)&amp;"x"&amp;_xlfn.XLOOKUP(Tab_NewTRADER[[#This Row],[ClickTick]],TabCalc[Ticker],ListLastSalen)&amp;"=   "&amp;TEXT(-_xlfn.XLOOKUP(Tab_NewTRADER[[#This Row],[ClickTick]],TabCalc[Ticker],ListReverseB),"#,#0")&amp;"$","")</f>
        <v>37.21x2000=   9,980$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-11.8% = 0</v>
      </c>
      <c r="I40" s="226" t="str">
        <f ca="1">IFERROR(TRUNC(TabCalc[[#This Row],[L_S1p]],2)&amp;"x"&amp;TabCalc[[#This Row],[L_S1n]]&amp;"=   "&amp;TEXT(TabCalc[[#This Row],[ReverseB1]],"#,#0"),"")</f>
        <v>29.92x2000=   -24,560</v>
      </c>
      <c r="J40" s="295">
        <f ca="1">_xlfn.XLOOKUP(Tab_NewTRADER[[#This Row],[ClickTick]],TabCalc[Ticker],ListGravity)</f>
        <v>0.90837274881516572</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0.84475008589206868</v>
      </c>
      <c r="N40" s="324" cm="1">
        <f t="array" aca="1" ref="N40" ca="1">_xlfn.XLOOKUP(Tab_NewTRADER[[#This Row],[ClickTick]],ListTickers,Tab2RSIConventional[RSIConv20])</f>
        <v>46</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0.48958701023649859</v>
      </c>
      <c r="S40" s="683">
        <f ca="1">_xlfn.XLOOKUP(Tab_NewTRADER[[#This Row],[ClickTick]],TabCalc[Ticker],TabCalc[Rev(MinStock)])*(1-Commission)</f>
        <v>13833.938000000004</v>
      </c>
      <c r="T40" s="782">
        <f ca="1">_xlfn.XLOOKUP(Tab_NewTRADER[[#This Row],[ClickTick]],TabCalc[Ticker],TabCalc[Agiotage])</f>
        <v>0.84475008589206868</v>
      </c>
      <c r="U40" s="747"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-3,900/-3,900=&gt;-8.7% / -8.7%</v>
      </c>
      <c r="V40" s="739" t="str">
        <f ca="1">_xlfn.XLOOKUP(Tab_NewTRADER[[#This Row],[ClickTick]],[1]!RTData[Ticker_Symbol],[1]!RTData[Currency])</f>
        <v>USD</v>
      </c>
      <c r="W40" s="749">
        <f ca="1">_xlfn.XLOOKUP(Tab_NewTRADER[[#This Row],[ClickTick]],TabCalc[Ticker],TabCalc[M])</f>
        <v>42.2</v>
      </c>
      <c r="X40" s="1315"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28.33</v>
      </c>
      <c r="AB40" s="817" cm="1">
        <f t="array" aca="1" ref="AB40" ca="1">_xlfn.XLOOKUP(Tab_NewTRADER[[#This Row],[ClickTick]],ListTickers,Tab1ChangePercent[Change%19])</f>
        <v>-8.6974999999999997E-2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^152K / 42 K$</v>
      </c>
      <c r="AF40" s="1451"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40" s="1531" t="str">
        <f ca="1">TEXT(MIN(Tab_NewTRADER[[#This Row],[L_Bn]],Tab_NewTRADER[[#This Row],[N]]),"#,#0")&amp;" x "&amp;TEXT(Tab_NewTRADER[[#This Row],[L_Bp]],"#,#0.#0")</f>
        <v>1,000 x -28.33</v>
      </c>
      <c r="AH40" s="1532" t="str" cm="1">
        <f t="array" aca="1" ref="AH40" ca="1">_xlfn.IFS(Tab_NewTRADER[[#This Row],[M_State]]=Sale_Back,Tab_NewTRADER[[#This Row],[Sale_Back_$]], TRUE,"M = "&amp;Tab_NewTRADER[[#This Row],[M]])</f>
        <v>M = 42.2</v>
      </c>
      <c r="AI40" s="1455" cm="1">
        <f t="array" aca="1" ref="AI40" ca="1">IF(Tab_NewTRADER[[#This Row],[M_State]]=MUp,_xlfn.IFS(Tab_NewTRADER[[#This Row],[M_State]]=MUp,MIN(Tab_NewTRADER[[#This Row],[N]],Tab_NewTRADER[[#This Row],[L_Bn]])*(Tab_NewTRADER[[#This Row],[M]]-Tab_NewTRADER[[#This Row],[L_Sp]])*Tab_NewTRADER[[#This Row],[Scale]]*ComFactor, TRUE,0),0)</f>
        <v>4977.0260000000017</v>
      </c>
      <c r="AJ40" s="1459" cm="1">
        <f t="array" aca="1" ref="AJ40" ca="1">_xlfn.IFS(Tab_NewTRADER[[#This Row],[M_State]]=MUp,                 MIN(Tab_NewTRADER[[#This Row],[L_Sn]],Tab_NewTRADER[[#This Row],[N]])*(Tab_NewTRADER[[#This Row],[M]]-Tab_NewTRADER[[#This Row],[A]])*Tab_NewTRADER[[#This Row],[Scale]]*ComFactor, TRUE,0)</f>
        <v>13833.938000000004</v>
      </c>
      <c r="AK40" s="1459" cm="1">
        <f t="array" aca="1" ref="AK40" ca="1">_xlfn.IFS(Tab_NewTRADER[[#This Row],[M_State]]=MUp,                  Tab_NewTRADER[[#This Row],[N]]*(Tab_NewTRADER[[#This Row],[M]]-Tab_NewTRADER[[#This Row],[A]])*Tab_NewTRADER[[#This Row],[Scale]]*ComFactor, TRUE,0)</f>
        <v>13833.938000000004</v>
      </c>
      <c r="AL40" s="1452" t="str">
        <f ca="1">TEXT(Tab_NewTRADER[[#This Row],[L_Sn]],"#,#0")&amp;" x "&amp;TEXT(Tab_NewTRADER[[#This Row],[L_Sp]],"#,#0.#0")</f>
        <v>2,000 x 37.21</v>
      </c>
      <c r="AM40" s="1465" t="str" cm="1">
        <f t="array" aca="1" ref="AM40" ca="1">_xlfn.IFS(Tab_NewTRADER[[#This Row],[M_State]]=RePurchaseGain,TEXT(-Tab_NewTRADER[[#This Row],[Buy_Back]],"#,#0")&amp;"       / "&amp;TEXT(Tab_NewTRADER[[#This Row],[Rev_Buy]],"#,#00.0)%"),TRUE,"M = "&amp;Tab_NewTRADER[[#This Row],[M]])</f>
        <v>M = 42.2</v>
      </c>
      <c r="AN40" s="1435" cm="1">
        <f t="array" aca="1" ref="AN40" ca="1">_xlfn.IFS(Tab_NewTRADER[[#This Row],[M_State]]=MDown,TEXT(Tab_NewTRADER[[#This Row],[L_Sn]]*(Tab_NewTRADER[[#This Row],[M]]-Tab_NewTRADER[[#This Row],[L_Sp]])*ComFactor,"#,#0")&amp;"       / "&amp;TEXT((TabTRADER[[#This Row],[M]]-TabTRADER[[#This Row],[L_Sp]])/TabTRADER[[#This Row],[M]],"#,#00.0)%"),TRUE,0)</f>
        <v>0</v>
      </c>
      <c r="AO40" s="1486" cm="1">
        <f t="array" aca="1" ref="AO40" ca="1">_xlfn.IFS(Tab_NewTRADER[[#This Row],[M_State]]=MDown,TEXT(Tab_NewTRADER[[#This Row],[N]]*(Tab_NewTRADER[[#This Row],[M]]-Tab_NewTRADER[[#This Row],[A]])*Tab_NewTRADER[[#This Row],[Scale]]*ComFactor,"#,#0")&amp;"       / "&amp;TEXT((TabTRADER[[#This Row],[M]]-TabTRADER[[#This Row],[L_Bp]])/TabTRADER[[#This Row],[M]],"#,#00.0%"),TRUE,0)</f>
        <v>0</v>
      </c>
      <c r="AP40" s="1435" t="str" cm="1">
        <f t="array" aca="1" ref="AP40" ca="1">_xlfn.IFS(Tab_NewTRADER[[#This Row],[M_State]]=MDown,TEXT(Tab_NewTRADER[[#This Row],[N]]*Tab_NewTRADER[[#This Row],[M]],"#,#0")&amp;" @ "&amp;TEXT(Tab_NewTRADER[[#This Row],[A]],"#,#0.#0"),TRUE,"M = "&amp; Tab_NewTRADER[[#This Row],[M]])</f>
        <v>M = 42.2</v>
      </c>
      <c r="AQ40" s="1165">
        <f ca="1">Tab_NewTRADER[[#This Row],[N]]*(Tab_NewTRADER[[#This Row],[M]]-Tab_NewTRADER[[#This Row],[A]])*(1-Commission)*Tab_NewTRADER[[#This Row],[Scale]]</f>
        <v>13833.938000000004</v>
      </c>
      <c r="AR40" s="1165">
        <f ca="1">Tab_NewTRADER[[#This Row],[M]]*Tab_NewTRADER[[#This Row],[N]]*(1-Commission)*Tab_NewTRADER[[#This Row],[Scale]]</f>
        <v>42090.28</v>
      </c>
      <c r="AS40" s="1174" cm="1">
        <f t="array" aca="1" ref="AS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0.48958701023649859</v>
      </c>
      <c r="AT40" s="1174" cm="1">
        <f t="array" aca="1" ref="AT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0.11564644549763037</v>
      </c>
      <c r="AU40" s="825" cm="1">
        <f t="array" aca="1" ref="AU40" ca="1">_xlfn.IFS(   Tab_NewTRADER[[#This Row],[M_State]]=SellMorePercentGain,                     MIN(Tab_NewTRADER[[#This Row],[L_Sn]],Tab_NewTRADER[[#This Row],[N]])*(Tab_NewTRADER[[#This Row],[M]]-Tab_NewTRADER[[#This Row],[L_Sp]])*(1-Commission)*Tab_NewTRADER[[#This Row],[Scale]],                    TRUE,"")</f>
        <v>4977.0260000000017</v>
      </c>
      <c r="AV40" s="1163">
        <f ca="1">_xlfn.XLOOKUP(Tab_NewTRADER[[#This Row],[ClickTick]],TabCalc[Ticker],TabCalc[Ann%RevLB])</f>
        <v>11.750088245675967</v>
      </c>
      <c r="AW40" s="1267">
        <f ca="1">_xlfn.XLOOKUP(Tab_NewTRADER[[#This Row],[ClickTick]],TabCalc[Ticker],TabCalc[Up20])</f>
        <v>0</v>
      </c>
      <c r="AX40" s="1175" t="str" cm="1">
        <f t="array" aca="1" ref="AX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40" s="825" t="str" cm="1">
        <f t="array" aca="1" ref="AY40" ca="1">_xlfn.IFS(         Tab_NewTRADER[[#This Row],[M_State]]=MDown,Tab_NewTRADER[[#This Row],[L_Bn]]*Tab_NewTRADER[[#This Row],[M]]*(-(Tab_NewTRADER[[#This Row],[L_Bp]]+Tab_NewTRADER[[#This Row],[M]])/Tab_NewTRADER[[#This Row],[M]])*(1-Commission)*Tab_NewTRADER[[#This Row],[Scale]],                               TRUE,"")</f>
        <v/>
      </c>
      <c r="AZ40" s="1174" cm="1">
        <f t="array" aca="1" ref="AZ40" ca="1">_xlfn.IFS(   Tab_NewTRADER[[#This Row],[M_State]]=MUp,Tab_NewTRADER[[#This Row],[TakeGain_A]]-Commission,        Tab_NewTRADER[[#This Row],[M_State]]=MDown,(Tab_NewTRADER[[#This Row],[A]]-Tab_NewTRADER[[#This Row],[M]])/Tab_NewTRADER[[#This Row],[M]]-Commission,                              TRUE,"")</f>
        <v>0.4869870102364986</v>
      </c>
      <c r="BA40" s="760" cm="1">
        <f t="array" aca="1" ref="BA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20606.854345217089</v>
      </c>
      <c r="BB40" s="760" t="str" cm="1">
        <f t="array" aca="1" ref="BB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40" s="736" t="str" cm="1">
        <f t="array" aca="1" ref="BC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1,000x13.87</v>
      </c>
      <c r="BD40" s="765" cm="1">
        <f t="array" aca="1" ref="BD40" ca="1">_xlfn.IFS(Tab_NewTRADER[[#This Row],[M_State]]=Sale_Back,"",         Tab_NewTRADER[[#This Row],[M_State]]=MDown, (Tab_NewTRADER[[#This Row],[M]]-Tab_NewTRADER[[#This Row],[A]])/Tab_NewTRADER[[#This Row],[A]]*ComFactor,             TRUE, IFERROR((Tab_NewTRADER[[#This Row],[M]]-Tab_NewTRADER[[#This Row],[A]])/Tab_NewTRADER[[#This Row],[A]]*ComFactor,""))</f>
        <v>0.48831408400988369</v>
      </c>
      <c r="BE40" s="762" cm="1">
        <f t="array" aca="1" ref="BE40" ca="1">_xlfn.IFS(               Tab_NewTRADER[[#This Row],[M_State]]=NoStock,(Tab_NewTRADER[[#This Row],[L_Sp]]-Tab_NewTRADER[[#This Row],[M]])/Tab_NewTRADER[[#This Row],[M]]-Commission,             Tab_NewTRADER[[#This Row],[A]]&lt;&gt;0,(Tab_NewTRADER[[#This Row],[A]]-Tab_NewTRADER[[#This Row],[M]])/Tab_NewTRADER[[#This Row],[M]]-Commission)</f>
        <v>-0.3312729857819906</v>
      </c>
      <c r="BF40" s="324">
        <f ca="1">_xlfn.XLOOKUP(Tab_NewTRADER[[#This Row],[ClickTick]],TabCalc[Ticker],TabCalc[L_Sn])</f>
        <v>2000</v>
      </c>
      <c r="BG40" s="728">
        <f ca="1">_xlfn.XLOOKUP(Tab_NewTRADER[[#This Row],[ClickTick]],TabCalc[Ticker],TabCalc[L_Sp])</f>
        <v>37.21</v>
      </c>
      <c r="BH40" s="764">
        <f ca="1">-IFERROR((Tab_NewTRADER[[#This Row],[M]]-Tab_NewTRADER[[#This Row],[L_Sp]])/Tab_NewTRADER[[#This Row],[L_Sp]],0)</f>
        <v>-0.13410373555495839</v>
      </c>
      <c r="BI40" s="729">
        <f ca="1">MIN(Tab_NewTRADER[[#This Row],[L_Sn]],Tab_NewTRADER[[#This Row],[N]])*(Tab_NewTRADER[[#This Row],[M]]-Tab_NewTRADER[[#This Row],[L_Sp]])*(1-Commission)*Tab_NewTRADER[[#This Row],[Scale]]</f>
        <v>4977.0260000000017</v>
      </c>
      <c r="BJ40" s="692">
        <f ca="1">Tab_NewTRADER[[#This Row],[L_Sn]]*(Tab_NewTRADER[[#This Row],[Agiotage]]-Tab_NewTRADER[[#This Row],[M]])/(Tab_NewTRADER[[#This Row],[L_Bn]]*Tab_NewTRADER[[#This Row],[M]])</f>
        <v>-1.9599644509055896</v>
      </c>
      <c r="BK40" s="635">
        <f ca="1">IFERROR((Tab_NewTRADER[[#This Row],[M]]-Tab_NewTRADER[[#This Row],[A]])/Tab_NewTRADER[[#This Row],[A]],0)</f>
        <v>0.48958701023649859</v>
      </c>
      <c r="BL40" s="638" t="str">
        <f ca="1">TEXT(_xlfn.XLOOKUP(Tab_NewTRADER[[#This Row],[ClickTick]],TabCalc[Ticker],TabCalc[NAfter]),"#,#0")&amp;" : "&amp;TEXT(_xlfn.XLOOKUP(Tab_NewTRADER[[#This Row],[ClickTick]],TabCalc[Ticker],TabCalc[NAfter])*(Tab_NewTRADER[[#This Row],[M]]-Tab_NewTRADER[[#This Row],[A]])*(1-Commission)*Tab_NewTRADER[[#This Row],[Scale]],"#,#0$")</f>
        <v>1,000 : 13,834$</v>
      </c>
      <c r="BM40" s="684">
        <f ca="1">_xlfn.XLOOKUP(Tab_NewTRADER[[#This Row],[ClickTick]],TabCalc[[#This Row],[Ticker]],TabCalc[[#This Row],[GL]])*(1-Commission)</f>
        <v>152056.32115675291</v>
      </c>
      <c r="BN40" s="684"/>
      <c r="BO40" s="669" t="str">
        <f ca="1">Tab_NewTRADER[[#This Row],[ClickTick]]&amp;": "&amp;_xlfn.XLOOKUP(Tab_NewTRADER[[#This Row],[ClickTick]],TabCalc[Ticker],TabCalc[Pile?])</f>
        <v xml:space="preserve">RIGL: </v>
      </c>
      <c r="BP40" s="351" t="s">
        <v>2045</v>
      </c>
      <c r="BQ40" s="755" t="str" cm="1">
        <f t="array" aca="1" ref="BQ40" ca="1">_xlfn.TEXTJOIN("",,INDEX({"M","A","Y"}, _xlfn.SORTBY({1,2,3}, -CHOOSE({1,2,3}, Tab_NewTRADER[[#This Row],[M]], Tab_NewTRADER[[#This Row],[A]], Tab_NewTRADER[[#This Row],[Agiotage]]))))</f>
        <v>MAY</v>
      </c>
      <c r="BR40" s="902" cm="1">
        <f t="array" aca="1" ref="BR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0.11824644549763037</v>
      </c>
      <c r="BS40" s="679">
        <f ca="1">Tab_NewTRADER[[#This Row],[L_Sn]]*Tab_NewTRADER[[#This Row],[L_Sp]]+Tab_NewTRADER[[#This Row],[SellMore]]*Tab_NewTRADER[[#This Row],[M]]</f>
        <v>116620</v>
      </c>
      <c r="BT40" s="679">
        <f ca="1">INDEX(
  INDEX(TabConsolid[], , _xlfn.XMATCH(Tab_NewTRADER[[#This Row],[ClickTick]]&amp;1, TabConsolid[#Headers])),
  MATCH(
    -Tab_NewTRADER[[#This Row],[M]],
    INDEX(TabConsolid[], , _xlfn.XMATCH(Tab_NewTRADER[[#This Row],[ClickTick]]&amp;2, TabConsolid[#Headers])),
    -1
  )
)</f>
        <v>1000</v>
      </c>
      <c r="BU40" s="679" cm="1">
        <f t="array" aca="1" ref="BU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40" s="1144">
        <f ca="1">Tab_NewTRADER[[#This Row],[ReBuy]]/(Tab_NewTRADER[[#This Row],[L_Sn]]+Tab_NewTRADER[[#This Row],[SellMore]])</f>
        <v>38.873333333333335</v>
      </c>
      <c r="BW40" s="687">
        <f ca="1">((_xlfn.XLOOKUP(Tab_NewTRADER[[#This Row],[ClickTick]],TabCalc[Ticker],TabCalc[NAfter])+Tab_NewTRADER[[#This Row],[L_Sn]])*(Tab_NewTRADER[[#This Row],[Agiotage]]-Tab_NewTRADER[[#This Row],[M]]))/(Tab_NewTRADER[[#This Row],[L_Sn]]*_xlfn.XLOOKUP(Tab_NewTRADER[[#This Row],[ClickTick]],TabCalc[Ticker],TabCalc[NAfter]))</f>
        <v>-6.2032874871161901E-2</v>
      </c>
      <c r="BX40" s="687">
        <f ca="1">(Tab_NewTRADER[[#This Row],[M]]-Tab_NewTRADER[[#This Row],[Agiotage]])/(Tab_NewTRADER[[#This Row],[M]]-Tab_NewTRADER[[#This Row],[A]])-1</f>
        <v>1.9816330147157841</v>
      </c>
      <c r="BY40" s="1262">
        <f ca="1">_xlfn.XMATCH(Tab_NewTRADER[[#This Row],[ClickTick]]&amp;1, TabConsolid[#Headers])</f>
        <v>113</v>
      </c>
      <c r="BZ40" t="b">
        <f ca="1">IF(ABS(Tab_NewTRADER[[#This Row],[L_Bp]])&gt;=Tab_NewTRADER[[#This Row],[M]],"OK")</f>
        <v>0</v>
      </c>
    </row>
    <row r="41" spans="1:78"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+768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35.1%</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725$</v>
      </c>
      <c r="G41" s="225" t="str">
        <f ca="1">IFERROR(TRUNC(_xlfn.XLOOKUP(Tab_NewTRADER[[#This Row],[ClickTick]],TabCalc[Ticker],ListLastSalep),2)&amp;"x"&amp;_xlfn.XLOOKUP(Tab_NewTRADER[[#This Row],[ClickTick]],TabCalc[Ticker],ListLastSalen)&amp;"=   "&amp;TEXT(-_xlfn.XLOOKUP(Tab_NewTRADER[[#This Row],[ClickTick]],TabCalc[Ticker],ListReverseB),"#,#0")&amp;"$","")</f>
        <v>33.36x3200=   33,184$</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-23.7% = 0</v>
      </c>
      <c r="I41" s="226" t="str">
        <f ca="1">IFERROR(TRUNC(TabCalc[[#This Row],[L_S1p]],2)&amp;"x"&amp;TabCalc[[#This Row],[L_S1n]]&amp;"=   "&amp;TEXT(TabCalc[[#This Row],[ReverseB1]],"#,#0"),"")</f>
        <v>32.24x1500=   -17,235</v>
      </c>
      <c r="J41" s="295">
        <f ca="1">_xlfn.XLOOKUP(Tab_NewTRADER[[#This Row],[ClickTick]],TabCalc[Ticker],ListGravity)</f>
        <v>1.0232577178138578</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5.5391708193498089E-3</v>
      </c>
      <c r="N41" s="324" cm="1">
        <f t="array" aca="1" ref="N41" ca="1">_xlfn.XLOOKUP(Tab_NewTRADER[[#This Row],[ClickTick]],ListTickers,Tab2RSIConventional[RSIConv20])</f>
        <v>21</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0.54141698977793429</v>
      </c>
      <c r="S41" s="683">
        <f ca="1">_xlfn.XLOOKUP(Tab_NewTRADER[[#This Row],[ClickTick]],TabCalc[Ticker],TabCalc[Rev(MinStock)])*(1-Commission)</f>
        <v>766.00319999999977</v>
      </c>
      <c r="T41" s="782">
        <f ca="1">_xlfn.XLOOKUP(Tab_NewTRADER[[#This Row],[ClickTick]],TabCalc[Ticker],TabCalc[Agiotage])</f>
        <v>5.5391708193498089E-3</v>
      </c>
      <c r="U41" s="747"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-62/-62=&gt;-2.1% / -2.1%</v>
      </c>
      <c r="V41" s="739" t="str">
        <f ca="1">_xlfn.XLOOKUP(Tab_NewTRADER[[#This Row],[ClickTick]],[1]!RTData[Ticker_Symbol],[1]!RTData[Currency])</f>
        <v>EUR</v>
      </c>
      <c r="W41" s="749">
        <f ca="1">_xlfn.XLOOKUP(Tab_NewTRADER[[#This Row],[ClickTick]],TabCalc[Ticker],TabCalc[M])</f>
        <v>43.73</v>
      </c>
      <c r="X41" s="1315"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-2.1042999999999999E-2</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F41" s="1182"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41" s="1530" t="str">
        <f ca="1">TEXT(MIN(Tab_NewTRADER[[#This Row],[L_Bn]],Tab_NewTRADER[[#This Row],[N]]),"#,#0")&amp;" x "&amp;TEXT(Tab_NewTRADER[[#This Row],[L_Bp]],"#,#0.#0")</f>
        <v>50 x -28.37</v>
      </c>
      <c r="AH41" s="1530" t="str" cm="1">
        <f t="array" aca="1" ref="AH41" ca="1">_xlfn.IFS(Tab_NewTRADER[[#This Row],[M_State]]=Sale_Back,Tab_NewTRADER[[#This Row],[Sale_Back_$]], TRUE,"M = "&amp;Tab_NewTRADER[[#This Row],[M]])</f>
        <v>M = 43.73</v>
      </c>
      <c r="AI41" s="1433" cm="1">
        <f t="array" aca="1" ref="AI41" ca="1">IF(Tab_NewTRADER[[#This Row],[M_State]]=MUp,_xlfn.IFS(Tab_NewTRADER[[#This Row],[M_State]]=MUp,MIN(Tab_NewTRADER[[#This Row],[N]],Tab_NewTRADER[[#This Row],[L_Bn]])*(Tab_NewTRADER[[#This Row],[M]]-Tab_NewTRADER[[#This Row],[L_Sp]])*Tab_NewTRADER[[#This Row],[Scale]]*ComFactor, TRUE,0),0)</f>
        <v>517.15189999999984</v>
      </c>
      <c r="AJ41" s="1433" cm="1">
        <f t="array" aca="1" ref="AJ41" ca="1">_xlfn.IFS(Tab_NewTRADER[[#This Row],[M_State]]=MUp,                 MIN(Tab_NewTRADER[[#This Row],[L_Sn]],Tab_NewTRADER[[#This Row],[N]])*(Tab_NewTRADER[[#This Row],[M]]-Tab_NewTRADER[[#This Row],[A]])*Tab_NewTRADER[[#This Row],[Scale]]*ComFactor, TRUE,0)</f>
        <v>766.00319999999977</v>
      </c>
      <c r="AK41" s="1433" cm="1">
        <f t="array" aca="1" ref="AK41" ca="1">_xlfn.IFS(Tab_NewTRADER[[#This Row],[M_State]]=MUp,                  Tab_NewTRADER[[#This Row],[N]]*(Tab_NewTRADER[[#This Row],[M]]-Tab_NewTRADER[[#This Row],[A]])*Tab_NewTRADER[[#This Row],[Scale]]*ComFactor, TRUE,0)</f>
        <v>766.00319999999977</v>
      </c>
      <c r="AL41" s="1435" t="str">
        <f ca="1">TEXT(Tab_NewTRADER[[#This Row],[L_Sn]],"#,#0")&amp;" x "&amp;TEXT(Tab_NewTRADER[[#This Row],[L_Sp]],"#,#0.#0")</f>
        <v>3,200 x 33.36</v>
      </c>
      <c r="AM41" s="1465" t="str" cm="1">
        <f t="array" aca="1" ref="AM41" ca="1">_xlfn.IFS(Tab_NewTRADER[[#This Row],[M_State]]=RePurchaseGain,TEXT(-Tab_NewTRADER[[#This Row],[Buy_Back]],"#,#0")&amp;"       / "&amp;TEXT(Tab_NewTRADER[[#This Row],[Rev_Buy]],"#,#00.0)%"),TRUE,"M = "&amp;Tab_NewTRADER[[#This Row],[M]])</f>
        <v>M = 43.73</v>
      </c>
      <c r="AN41" s="1435" cm="1">
        <f t="array" aca="1" ref="AN41" ca="1">_xlfn.IFS(Tab_NewTRADER[[#This Row],[M_State]]=MDown,TEXT(Tab_NewTRADER[[#This Row],[L_Sn]]*(Tab_NewTRADER[[#This Row],[M]]-Tab_NewTRADER[[#This Row],[L_Sp]])*ComFactor,"#,#0")&amp;"       / "&amp;TEXT((TabTRADER[[#This Row],[M]]-TabTRADER[[#This Row],[L_Sp]])/TabTRADER[[#This Row],[M]],"#,#00.0)%"),TRUE,0)</f>
        <v>0</v>
      </c>
      <c r="AO41" s="1486" cm="1">
        <f t="array" aca="1" ref="AO41" ca="1">_xlfn.IFS(Tab_NewTRADER[[#This Row],[M_State]]=MDown,TEXT(Tab_NewTRADER[[#This Row],[N]]*(Tab_NewTRADER[[#This Row],[M]]-Tab_NewTRADER[[#This Row],[A]])*Tab_NewTRADER[[#This Row],[Scale]]*ComFactor,"#,#0")&amp;"       / "&amp;TEXT((TabTRADER[[#This Row],[M]]-TabTRADER[[#This Row],[L_Bp]])/TabTRADER[[#This Row],[M]],"#,#00.0%"),TRUE,0)</f>
        <v>0</v>
      </c>
      <c r="AP41" s="1435" t="str" cm="1">
        <f t="array" aca="1" ref="AP41" ca="1">_xlfn.IFS(Tab_NewTRADER[[#This Row],[M_State]]=MDown,TEXT(Tab_NewTRADER[[#This Row],[N]]*Tab_NewTRADER[[#This Row],[M]],"#,#0")&amp;" @ "&amp;TEXT(Tab_NewTRADER[[#This Row],[A]],"#,#0.#0"),TRUE,"M = "&amp; Tab_NewTRADER[[#This Row],[M]])</f>
        <v>M = 43.73</v>
      </c>
      <c r="AQ41" s="1165">
        <f ca="1">Tab_NewTRADER[[#This Row],[N]]*(Tab_NewTRADER[[#This Row],[M]]-Tab_NewTRADER[[#This Row],[A]])*(1-Commission)*Tab_NewTRADER[[#This Row],[Scale]]</f>
        <v>766.00319999999977</v>
      </c>
      <c r="AR41" s="1165">
        <f ca="1">Tab_NewTRADER[[#This Row],[M]]*Tab_NewTRADER[[#This Row],[N]]*(1-Commission)*Tab_NewTRADER[[#This Row],[Scale]]</f>
        <v>2180.8150999999998</v>
      </c>
      <c r="AS41" s="1174" cm="1">
        <f t="array" aca="1" ref="AS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0.54141698977793429</v>
      </c>
      <c r="AT41" s="1174" cm="1">
        <f t="array" aca="1" ref="AT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0.23453697690372738</v>
      </c>
      <c r="AU41" s="825" cm="1">
        <f t="array" aca="1" ref="AU41" ca="1">_xlfn.IFS(   Tab_NewTRADER[[#This Row],[M_State]]=SellMorePercentGain,                     MIN(Tab_NewTRADER[[#This Row],[L_Sn]],Tab_NewTRADER[[#This Row],[N]])*(Tab_NewTRADER[[#This Row],[M]]-Tab_NewTRADER[[#This Row],[L_Sp]])*(1-Commission)*Tab_NewTRADER[[#This Row],[Scale]],                    TRUE,"")</f>
        <v>517.15189999999984</v>
      </c>
      <c r="AV41" s="1163">
        <f ca="1">_xlfn.XLOOKUP(Tab_NewTRADER[[#This Row],[ClickTick]],TabCalc[Ticker],TabCalc[Ann%RevLB])</f>
        <v>0.70876405934565945</v>
      </c>
      <c r="AW41" s="1267">
        <f ca="1">_xlfn.XLOOKUP(Tab_NewTRADER[[#This Row],[ClickTick]],TabCalc[Ticker],TabCalc[Up20])</f>
        <v>0</v>
      </c>
      <c r="AX41" s="1175" t="str" cm="1">
        <f t="array" aca="1" ref="AX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1" s="825" t="str" cm="1">
        <f t="array" aca="1" ref="AY41" ca="1">_xlfn.IFS(         Tab_NewTRADER[[#This Row],[M_State]]=MDown,Tab_NewTRADER[[#This Row],[L_Bn]]*Tab_NewTRADER[[#This Row],[M]]*(-(Tab_NewTRADER[[#This Row],[L_Bp]]+Tab_NewTRADER[[#This Row],[M]])/Tab_NewTRADER[[#This Row],[M]])*(1-Commission)*Tab_NewTRADER[[#This Row],[Scale]],                               TRUE,"")</f>
        <v/>
      </c>
      <c r="AZ41" s="1174" cm="1">
        <f t="array" aca="1" ref="AZ41" ca="1">_xlfn.IFS(   Tab_NewTRADER[[#This Row],[M_State]]=MUp,Tab_NewTRADER[[#This Row],[TakeGain_A]]-Commission,        Tab_NewTRADER[[#This Row],[M_State]]=MDown,(Tab_NewTRADER[[#This Row],[A]]-Tab_NewTRADER[[#This Row],[M]])/Tab_NewTRADER[[#This Row],[M]]-Commission,                              TRUE,"")</f>
        <v>0.53881698977793424</v>
      </c>
      <c r="BA41" s="825" cm="1">
        <f t="array" aca="1" ref="BA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1180.7303467042645</v>
      </c>
      <c r="BB41" s="760" t="str" cm="1">
        <f t="array" aca="1" ref="BB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-0.7%</v>
      </c>
      <c r="BC41" s="736" t="str" cm="1">
        <f t="array" aca="1" ref="BC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50x15.36</v>
      </c>
      <c r="BD41" s="765" cm="1">
        <f t="array" aca="1" ref="BD41" ca="1">_xlfn.IFS(Tab_NewTRADER[[#This Row],[M_State]]=Sale_Back,"",         Tab_NewTRADER[[#This Row],[M_State]]=MDown, (Tab_NewTRADER[[#This Row],[M]]-Tab_NewTRADER[[#This Row],[A]])/Tab_NewTRADER[[#This Row],[A]]*ComFactor,             TRUE, IFERROR((Tab_NewTRADER[[#This Row],[M]]-Tab_NewTRADER[[#This Row],[A]])/Tab_NewTRADER[[#This Row],[A]]*ComFactor,""))</f>
        <v>0.54000930560451166</v>
      </c>
      <c r="BE41" s="762" cm="1">
        <f t="array" aca="1" ref="BE41" ca="1">_xlfn.IFS(               Tab_NewTRADER[[#This Row],[M_State]]=NoStock,(Tab_NewTRADER[[#This Row],[L_Sp]]-Tab_NewTRADER[[#This Row],[M]])/Tab_NewTRADER[[#This Row],[M]]-Commission,             Tab_NewTRADER[[#This Row],[A]]&lt;&gt;0,(Tab_NewTRADER[[#This Row],[A]]-Tab_NewTRADER[[#This Row],[M]])/Tab_NewTRADER[[#This Row],[M]]-Commission)</f>
        <v>-0.35384628401554991</v>
      </c>
      <c r="BF41" s="324">
        <f ca="1">_xlfn.XLOOKUP(Tab_NewTRADER[[#This Row],[ClickTick]],TabCalc[Ticker],TabCalc[L_Sn])</f>
        <v>3200</v>
      </c>
      <c r="BG41" s="728">
        <f ca="1">_xlfn.XLOOKUP(Tab_NewTRADER[[#This Row],[ClickTick]],TabCalc[Ticker],TabCalc[L_Sp])</f>
        <v>33.36</v>
      </c>
      <c r="BH41" s="764">
        <f ca="1">-IFERROR((Tab_NewTRADER[[#This Row],[M]]-Tab_NewTRADER[[#This Row],[L_Sp]])/Tab_NewTRADER[[#This Row],[L_Sp]],0)</f>
        <v>-0.31085131894484408</v>
      </c>
      <c r="BI41" s="729">
        <f ca="1">MIN(Tab_NewTRADER[[#This Row],[L_Sn]],Tab_NewTRADER[[#This Row],[N]])*(Tab_NewTRADER[[#This Row],[M]]-Tab_NewTRADER[[#This Row],[L_Sp]])*(1-Commission)*Tab_NewTRADER[[#This Row],[Scale]]</f>
        <v>517.15189999999984</v>
      </c>
      <c r="BJ41" s="692">
        <f ca="1">Tab_NewTRADER[[#This Row],[L_Sn]]*(Tab_NewTRADER[[#This Row],[Agiotage]]-Tab_NewTRADER[[#This Row],[M]])/(Tab_NewTRADER[[#This Row],[L_Bn]]*Tab_NewTRADER[[#This Row],[M]])</f>
        <v>-0.79989866598089465</v>
      </c>
      <c r="BK41" s="635">
        <f ca="1">IFERROR((Tab_NewTRADER[[#This Row],[M]]-Tab_NewTRADER[[#This Row],[A]])/Tab_NewTRADER[[#This Row],[A]],0)</f>
        <v>0.54141698977793429</v>
      </c>
      <c r="BL41" s="638" t="str">
        <f ca="1">TEXT(_xlfn.XLOOKUP(Tab_NewTRADER[[#This Row],[ClickTick]],TabCalc[Ticker],TabCalc[NAfter]),"#,#0")&amp;" : "&amp;TEXT(_xlfn.XLOOKUP(Tab_NewTRADER[[#This Row],[ClickTick]],TabCalc[Ticker],TabCalc[NAfter])*(Tab_NewTRADER[[#This Row],[M]]-Tab_NewTRADER[[#This Row],[A]])*(1-Commission)*Tab_NewTRADER[[#This Row],[Scale]],"#,#0$")</f>
        <v>50 : 766$</v>
      </c>
      <c r="BM41" s="684">
        <f ca="1">_xlfn.XLOOKUP(Tab_NewTRADER[[#This Row],[ClickTick]],TabCalc[[#This Row],[Ticker]],TabCalc[[#This Row],[GL]])*(1-Commission)</f>
        <v>36308.266739277016</v>
      </c>
      <c r="BN41" s="684"/>
      <c r="BO41" s="669" t="str">
        <f ca="1">Tab_NewTRADER[[#This Row],[ClickTick]]&amp;": "&amp;_xlfn.XLOOKUP(Tab_NewTRADER[[#This Row],[ClickTick]],TabCalc[Ticker],TabCalc[Pile?])</f>
        <v>RWE: Pile</v>
      </c>
      <c r="BP41" s="351" t="s">
        <v>2055</v>
      </c>
      <c r="BQ41" s="755" t="str" cm="1">
        <f t="array" aca="1" ref="BQ41" ca="1">_xlfn.TEXTJOIN("",,INDEX({"M","A","Y"}, _xlfn.SORTBY({1,2,3}, -CHOOSE({1,2,3}, Tab_NewTRADER[[#This Row],[M]], Tab_NewTRADER[[#This Row],[A]], Tab_NewTRADER[[#This Row],[Agiotage]]))))</f>
        <v>MAY</v>
      </c>
      <c r="BR41" s="902" cm="1">
        <f t="array" aca="1" ref="BR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0.23713697690372737</v>
      </c>
      <c r="BS41" s="679">
        <f ca="1">Tab_NewTRADER[[#This Row],[L_Sn]]*Tab_NewTRADER[[#This Row],[L_Sp]]+Tab_NewTRADER[[#This Row],[SellMore]]*Tab_NewTRADER[[#This Row],[M]]</f>
        <v>108938.5</v>
      </c>
      <c r="BT41" s="679">
        <f ca="1">INDEX(
  INDEX(TabConsolid[], , _xlfn.XMATCH(Tab_NewTRADER[[#This Row],[ClickTick]]&amp;1, TabConsolid[#Headers])),
  MATCH(
    -Tab_NewTRADER[[#This Row],[M]],
    INDEX(TabConsolid[], , _xlfn.XMATCH(Tab_NewTRADER[[#This Row],[ClickTick]]&amp;2, TabConsolid[#Headers])),
    -1
  )
)</f>
        <v>50</v>
      </c>
      <c r="BU41" s="679" cm="1">
        <f t="array" aca="1" ref="BU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41" s="1144">
        <f ca="1">Tab_NewTRADER[[#This Row],[ReBuy]]/(Tab_NewTRADER[[#This Row],[L_Sn]]+Tab_NewTRADER[[#This Row],[SellMore]])</f>
        <v>33.51953846153846</v>
      </c>
      <c r="BW41" s="687">
        <f ca="1">((_xlfn.XLOOKUP(Tab_NewTRADER[[#This Row],[ClickTick]],TabCalc[Ticker],TabCalc[NAfter])+Tab_NewTRADER[[#This Row],[L_Sn]])*(Tab_NewTRADER[[#This Row],[Agiotage]]-Tab_NewTRADER[[#This Row],[M]]))/(Tab_NewTRADER[[#This Row],[L_Sn]]*_xlfn.XLOOKUP(Tab_NewTRADER[[#This Row],[ClickTick]],TabCalc[Ticker],TabCalc[NAfter]))</f>
        <v>-0.88815311059273194</v>
      </c>
      <c r="BX41" s="687">
        <f ca="1">(Tab_NewTRADER[[#This Row],[M]]-Tab_NewTRADER[[#This Row],[Agiotage]])/(Tab_NewTRADER[[#This Row],[M]]-Tab_NewTRADER[[#This Row],[A]])-1</f>
        <v>1.8466445852331161</v>
      </c>
      <c r="BY41" s="1262">
        <f ca="1">_xlfn.XMATCH(Tab_NewTRADER[[#This Row],[ClickTick]]&amp;1, TabConsolid[#Headers])</f>
        <v>116</v>
      </c>
      <c r="BZ41" t="b">
        <f ca="1">IF(ABS(Tab_NewTRADER[[#This Row],[L_Bp]])&gt;=Tab_NewTRADER[[#This Row],[M]],"OK")</f>
        <v>0</v>
      </c>
    </row>
    <row r="42" spans="1:78"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-13,425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-13.1%</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-22,050$</v>
      </c>
      <c r="G42" s="225" t="str">
        <f ca="1">IFERROR(TRUNC(_xlfn.XLOOKUP(Tab_NewTRADER[[#This Row],[ClickTick]],TabCalc[Ticker],ListLastSalep),2)&amp;"x"&amp;_xlfn.XLOOKUP(Tab_NewTRADER[[#This Row],[ClickTick]],TabCalc[Ticker],ListLastSalen)&amp;"=   "&amp;TEXT(-_xlfn.XLOOKUP(Tab_NewTRADER[[#This Row],[ClickTick]],TabCalc[Ticker],ListReverseB),"#,#0")&amp;"$","")</f>
        <v>237.8x200=   -6,460$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15.7% = 155</v>
      </c>
      <c r="I42" s="226" t="str">
        <f ca="1">IFERROR(TRUNC(TabCalc[[#This Row],[L_S1p]],2)&amp;"x"&amp;TabCalc[[#This Row],[L_S1n]]&amp;"=   "&amp;TEXT(TabCalc[[#This Row],[ReverseB1]],"#,#0"),"")</f>
        <v>265.05x500=   29,775</v>
      </c>
      <c r="J42" s="295">
        <f ca="1">_xlfn.XLOOKUP(Tab_NewTRADER[[#This Row],[ClickTick]],TabCalc[Ticker],ListGravity)</f>
        <v>1.4047046228710462</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472650</v>
      </c>
      <c r="M42" s="323">
        <f ca="1">_xlfn.XLOOKUP(Tab_NewTRADER[[#This Row],[ClickTick]],TabCalc[Ticker],TabCalc[Agiotage])</f>
        <v>0.93717056647786734</v>
      </c>
      <c r="N42" s="324" cm="1">
        <f t="array" aca="1" ref="N42" ca="1">_xlfn.XLOOKUP(Tab_NewTRADER[[#This Row],[ClickTick]],ListTickers,Tab2RSIConventional[RSIConv20])</f>
        <v>19</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-0.1155584247901872</v>
      </c>
      <c r="S42" s="683">
        <f ca="1">_xlfn.XLOOKUP(Tab_NewTRADER[[#This Row],[ClickTick]],TabCalc[Ticker],TabCalc[Rev(MinStock)])*(1-Commission)</f>
        <v>-13390.094999999996</v>
      </c>
      <c r="T42" s="782">
        <f ca="1">_xlfn.XLOOKUP(Tab_NewTRADER[[#This Row],[ClickTick]],TabCalc[Ticker],TabCalc[Agiotage])</f>
        <v>0.93717056647786734</v>
      </c>
      <c r="U42" s="747"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1,140/1,140=&gt;0.1% / 0.1%</v>
      </c>
      <c r="V42" s="739" t="str">
        <f ca="1">_xlfn.XLOOKUP(Tab_NewTRADER[[#This Row],[ClickTick]],[1]!RTData[Ticker_Symbol],[1]!RTData[Currency])</f>
        <v>EUR</v>
      </c>
      <c r="W42" s="749">
        <f ca="1">_xlfn.XLOOKUP(Tab_NewTRADER[[#This Row],[ClickTick]],TabCalc[Ticker],TabCalc[M])</f>
        <v>205.5</v>
      </c>
      <c r="X42" s="1315"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7.3050000000000003E-4</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-52K /781 K$</v>
      </c>
      <c r="AF42" s="1182"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2" s="1530" t="str">
        <f ca="1">TEXT(MIN(Tab_NewTRADER[[#This Row],[L_Bn]],Tab_NewTRADER[[#This Row],[N]]),"#,#0")&amp;" x "&amp;TEXT(Tab_NewTRADER[[#This Row],[L_Bp]],"#,#0.#0")</f>
        <v>500 x -232.35</v>
      </c>
      <c r="AH42" s="1530" t="str" cm="1">
        <f t="array" aca="1" ref="AH42" ca="1">_xlfn.IFS(Tab_NewTRADER[[#This Row],[M_State]]=Sale_Back,Tab_NewTRADER[[#This Row],[Sale_Back_$]], TRUE,"M = "&amp;Tab_NewTRADER[[#This Row],[M]])</f>
        <v>M = 205.5</v>
      </c>
      <c r="AI42" s="1433" cm="1">
        <f t="array" aca="1" ref="AI42" ca="1">IF(Tab_NewTRADER[[#This Row],[M_State]]=MUp,_xlfn.IFS(Tab_NewTRADER[[#This Row],[M_State]]=MUp,MIN(Tab_NewTRADER[[#This Row],[N]],Tab_NewTRADER[[#This Row],[L_Bn]])*(Tab_NewTRADER[[#This Row],[M]]-Tab_NewTRADER[[#This Row],[L_Sp]])*Tab_NewTRADER[[#This Row],[Scale]]*ComFactor, TRUE,0),0)</f>
        <v>0</v>
      </c>
      <c r="AJ42" s="1433" cm="1">
        <f t="array" aca="1" ref="AJ42" ca="1">_xlfn.IFS(Tab_NewTRADER[[#This Row],[M_State]]=MUp,                 MIN(Tab_NewTRADER[[#This Row],[L_Sn]],Tab_NewTRADER[[#This Row],[N]])*(Tab_NewTRADER[[#This Row],[M]]-Tab_NewTRADER[[#This Row],[A]])*Tab_NewTRADER[[#This Row],[Scale]]*ComFactor, TRUE,0)</f>
        <v>0</v>
      </c>
      <c r="AK42" s="1433" cm="1">
        <f t="array" aca="1" ref="AK42" ca="1">_xlfn.IFS(Tab_NewTRADER[[#This Row],[M_State]]=MUp,                  Tab_NewTRADER[[#This Row],[N]]*(Tab_NewTRADER[[#This Row],[M]]-Tab_NewTRADER[[#This Row],[A]])*Tab_NewTRADER[[#This Row],[Scale]]*ComFactor, TRUE,0)</f>
        <v>0</v>
      </c>
      <c r="AL42" s="1435" t="str">
        <f ca="1">TEXT(Tab_NewTRADER[[#This Row],[L_Sn]],"#,#0")&amp;" x "&amp;TEXT(Tab_NewTRADER[[#This Row],[L_Sp]],"#,#0.#0")</f>
        <v>200 x 237.80</v>
      </c>
      <c r="AM42" s="1465" t="str" cm="1">
        <f t="array" aca="1" ref="AM42" ca="1">_xlfn.IFS(Tab_NewTRADER[[#This Row],[M_State]]=RePurchaseGain,TEXT(-Tab_NewTRADER[[#This Row],[Buy_Back]],"#,#0")&amp;"       / "&amp;TEXT(Tab_NewTRADER[[#This Row],[Rev_Buy]],"#,#00.0)%"),TRUE,"M = "&amp;Tab_NewTRADER[[#This Row],[M]])</f>
        <v>6,443       / 13.6)%</v>
      </c>
      <c r="AN42" s="1435" cm="1">
        <f t="array" aca="1" ref="AN42" ca="1">_xlfn.IFS(Tab_NewTRADER[[#This Row],[M_State]]=MDown,TEXT(Tab_NewTRADER[[#This Row],[L_Sn]]*(Tab_NewTRADER[[#This Row],[M]]-Tab_NewTRADER[[#This Row],[L_Sp]])*ComFactor,"#,#0")&amp;"       / "&amp;TEXT((TabTRADER[[#This Row],[M]]-TabTRADER[[#This Row],[L_Sp]])/TabTRADER[[#This Row],[M]],"#,#00.0)%"),TRUE,0)</f>
        <v>0</v>
      </c>
      <c r="AO42" s="1486" cm="1">
        <f t="array" aca="1" ref="AO42" ca="1">_xlfn.IFS(Tab_NewTRADER[[#This Row],[M_State]]=MDown,TEXT(Tab_NewTRADER[[#This Row],[N]]*(Tab_NewTRADER[[#This Row],[M]]-Tab_NewTRADER[[#This Row],[A]])*Tab_NewTRADER[[#This Row],[Scale]]*ComFactor,"#,#0")&amp;"       / "&amp;TEXT((TabTRADER[[#This Row],[M]]-TabTRADER[[#This Row],[L_Bp]])/TabTRADER[[#This Row],[M]],"#,#00.0%"),TRUE,0)</f>
        <v>0</v>
      </c>
      <c r="AP42" s="1435" t="str" cm="1">
        <f t="array" aca="1" ref="AP42" ca="1">_xlfn.IFS(Tab_NewTRADER[[#This Row],[M_State]]=MDown,TEXT(Tab_NewTRADER[[#This Row],[N]]*Tab_NewTRADER[[#This Row],[M]],"#,#0")&amp;" @ "&amp;TEXT(Tab_NewTRADER[[#This Row],[A]],"#,#0.#0"),TRUE,"M = "&amp; Tab_NewTRADER[[#This Row],[M]])</f>
        <v>M = 205.5</v>
      </c>
      <c r="AQ42" s="760">
        <f ca="1">Tab_NewTRADER[[#This Row],[N]]*(Tab_NewTRADER[[#This Row],[M]]-Tab_NewTRADER[[#This Row],[A]])*(1-Commission)*Tab_NewTRADER[[#This Row],[Scale]]</f>
        <v>-132779.32382999992</v>
      </c>
      <c r="AR42" s="760">
        <f ca="1">Tab_NewTRADER[[#This Row],[M]]*Tab_NewTRADER[[#This Row],[N]]*(1-Commission)*Tab_NewTRADER[[#This Row],[Scale]]</f>
        <v>778869.65999999992</v>
      </c>
      <c r="AS42" s="1174" cm="1">
        <f t="array" aca="1" ref="AS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0.13582842724978977</v>
      </c>
      <c r="AT42" s="1174" t="str" cm="1">
        <f t="array" aca="1" ref="AT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2" s="825" t="str" cm="1">
        <f t="array" aca="1" ref="AU42" ca="1">_xlfn.IFS(   Tab_NewTRADER[[#This Row],[M_State]]=SellMorePercentGain,                     MIN(Tab_NewTRADER[[#This Row],[L_Sn]],Tab_NewTRADER[[#This Row],[N]])*(Tab_NewTRADER[[#This Row],[M]]-Tab_NewTRADER[[#This Row],[L_Sp]])*(1-Commission)*Tab_NewTRADER[[#This Row],[Scale]],                    TRUE,"")</f>
        <v/>
      </c>
      <c r="AV42" s="1180">
        <f ca="1">_xlfn.XLOOKUP(Tab_NewTRADER[[#This Row],[ClickTick]],TabCalc[Ticker],TabCalc[Ann%RevLB])</f>
        <v>-0.86668818592640395</v>
      </c>
      <c r="AW42" s="1266">
        <f ca="1">_xlfn.XLOOKUP(Tab_NewTRADER[[#This Row],[ClickTick]],TabCalc[Ticker],TabCalc[Up20])</f>
        <v>0</v>
      </c>
      <c r="AX42" s="1175" t="str" cm="1">
        <f t="array" aca="1" ref="AX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2" s="825" t="str" cm="1">
        <f t="array" aca="1" ref="AY42" ca="1">_xlfn.IFS(         Tab_NewTRADER[[#This Row],[M_State]]=MDown,Tab_NewTRADER[[#This Row],[L_Bn]]*Tab_NewTRADER[[#This Row],[M]]*(-(Tab_NewTRADER[[#This Row],[L_Bp]]+Tab_NewTRADER[[#This Row],[M]])/Tab_NewTRADER[[#This Row],[M]])*(1-Commission)*Tab_NewTRADER[[#This Row],[Scale]],                               TRUE,"")</f>
        <v/>
      </c>
      <c r="AZ42" s="1174" t="str" cm="1">
        <f t="array" aca="1" ref="AZ42" ca="1">_xlfn.IFS(   Tab_NewTRADER[[#This Row],[M_State]]=MUp,Tab_NewTRADER[[#This Row],[TakeGain_A]]-Commission,        Tab_NewTRADER[[#This Row],[M_State]]=MDown,(Tab_NewTRADER[[#This Row],[A]]-Tab_NewTRADER[[#This Row],[M]])/Tab_NewTRADER[[#This Row],[M]]-Commission,                              TRUE,"")</f>
        <v/>
      </c>
      <c r="BA42" s="760" cm="1">
        <f t="array" aca="1" ref="BA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-132779.32382999992</v>
      </c>
      <c r="BB42" s="760" t="str" cm="1">
        <f t="array" aca="1" ref="BB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C42" s="736" t="str" cm="1">
        <f t="array" aca="1" ref="BC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2" s="765" cm="1">
        <f t="array" aca="1" ref="BD42" ca="1">_xlfn.IFS(Tab_NewTRADER[[#This Row],[M_State]]=Sale_Back,"",         Tab_NewTRADER[[#This Row],[M_State]]=MDown, (Tab_NewTRADER[[#This Row],[M]]-Tab_NewTRADER[[#This Row],[A]])/Tab_NewTRADER[[#This Row],[A]]*ComFactor,             TRUE, IFERROR((Tab_NewTRADER[[#This Row],[M]]-Tab_NewTRADER[[#This Row],[A]])/Tab_NewTRADER[[#This Row],[A]]*ComFactor,""))</f>
        <v>-0.14526873822824071</v>
      </c>
      <c r="BE42" s="762" cm="1">
        <f t="array" aca="1" ref="BE42" ca="1">_xlfn.IFS(               Tab_NewTRADER[[#This Row],[M_State]]=NoStock,(Tab_NewTRADER[[#This Row],[L_Sp]]-Tab_NewTRADER[[#This Row],[M]])/Tab_NewTRADER[[#This Row],[M]]-Commission,             Tab_NewTRADER[[#This Row],[A]]&lt;&gt;0,(Tab_NewTRADER[[#This Row],[A]]-Tab_NewTRADER[[#This Row],[M]])/Tab_NewTRADER[[#This Row],[M]]-Commission)</f>
        <v>0.1678769496734536</v>
      </c>
      <c r="BF42" s="324">
        <f ca="1">_xlfn.XLOOKUP(Tab_NewTRADER[[#This Row],[ClickTick]],TabCalc[Ticker],TabCalc[L_Sn])</f>
        <v>200</v>
      </c>
      <c r="BG42" s="728">
        <f ca="1">_xlfn.XLOOKUP(Tab_NewTRADER[[#This Row],[ClickTick]],TabCalc[Ticker],TabCalc[L_Sp])</f>
        <v>237.8</v>
      </c>
      <c r="BH42" s="764">
        <f ca="1">-IFERROR((Tab_NewTRADER[[#This Row],[M]]-Tab_NewTRADER[[#This Row],[L_Sp]])/Tab_NewTRADER[[#This Row],[L_Sp]],0)</f>
        <v>0.13582842724978977</v>
      </c>
      <c r="BI42" s="729">
        <f ca="1">MIN(Tab_NewTRADER[[#This Row],[L_Sn]],Tab_NewTRADER[[#This Row],[N]])*(Tab_NewTRADER[[#This Row],[M]]-Tab_NewTRADER[[#This Row],[L_Sp]])*(1-Commission)*Tab_NewTRADER[[#This Row],[Scale]]</f>
        <v>-6443.2040000000015</v>
      </c>
      <c r="BJ42" s="692">
        <f ca="1">Tab_NewTRADER[[#This Row],[L_Sn]]*(Tab_NewTRADER[[#This Row],[Agiotage]]-Tab_NewTRADER[[#This Row],[M]])/(Tab_NewTRADER[[#This Row],[L_Bn]]*Tab_NewTRADER[[#This Row],[M]])</f>
        <v>-0.39817582371488491</v>
      </c>
      <c r="BK42" s="635">
        <f ca="1">IFERROR((Tab_NewTRADER[[#This Row],[M]]-Tab_NewTRADER[[#This Row],[A]])/Tab_NewTRADER[[#This Row],[A]],0)</f>
        <v>-0.14564742152420365</v>
      </c>
      <c r="BL42" s="638" t="str">
        <f ca="1">TEXT(_xlfn.XLOOKUP(Tab_NewTRADER[[#This Row],[ClickTick]],TabCalc[Ticker],TabCalc[NAfter]),"#,#0")&amp;" : "&amp;TEXT(_xlfn.XLOOKUP(Tab_NewTRADER[[#This Row],[ClickTick]],TabCalc[Ticker],TabCalc[NAfter])*(Tab_NewTRADER[[#This Row],[M]]-Tab_NewTRADER[[#This Row],[A]])*(1-Commission)*Tab_NewTRADER[[#This Row],[Scale]],"#,#0$")</f>
        <v>3,800 : -132,779$</v>
      </c>
      <c r="BM42" s="684">
        <f ca="1">_xlfn.XLOOKUP(Tab_NewTRADER[[#This Row],[ClickTick]],TabCalc[[#This Row],[Ticker]],TabCalc[[#This Row],[GL]])*(1-Commission)</f>
        <v>-51515.826361671207</v>
      </c>
      <c r="BN42" s="684"/>
      <c r="BO42" s="669" t="str">
        <f ca="1">Tab_NewTRADER[[#This Row],[ClickTick]]&amp;": "&amp;_xlfn.XLOOKUP(Tab_NewTRADER[[#This Row],[ClickTick]],TabCalc[Ticker],TabCalc[Pile?])</f>
        <v>SAP: Pile</v>
      </c>
      <c r="BP42" s="351" t="s">
        <v>2063</v>
      </c>
      <c r="BQ42" s="755" t="str" cm="1">
        <f t="array" aca="1" ref="BQ42" ca="1">_xlfn.TEXTJOIN("",,INDEX({"M","A","Y"}, _xlfn.SORTBY({1,2,3}, -CHOOSE({1,2,3}, Tab_NewTRADER[[#This Row],[M]], Tab_NewTRADER[[#This Row],[A]], Tab_NewTRADER[[#This Row],[Agiotage]]))))</f>
        <v>AMY</v>
      </c>
      <c r="BR42" s="902" t="str" cm="1">
        <f t="array" aca="1" ref="BR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2" s="679" t="e">
        <f ca="1">Tab_NewTRADER[[#This Row],[L_Sn]]*Tab_NewTRADER[[#This Row],[L_Sp]]+Tab_NewTRADER[[#This Row],[SellMore]]*Tab_NewTRADER[[#This Row],[M]]</f>
        <v>#N/A</v>
      </c>
      <c r="BT42" s="679" t="e">
        <f ca="1">INDEX(
  INDEX(TabConsolid[], , _xlfn.XMATCH(Tab_NewTRADER[[#This Row],[ClickTick]]&amp;1, TabConsolid[#Headers])),
  MATCH(
    -Tab_NewTRADER[[#This Row],[M]],
    INDEX(TabConsolid[], , _xlfn.XMATCH(Tab_NewTRADER[[#This Row],[ClickTick]]&amp;2, TabConsolid[#Headers])),
    -1
  )
)</f>
        <v>#N/A</v>
      </c>
      <c r="BU42" s="679" cm="1">
        <f t="array" aca="1" ref="BU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V42" s="1144" t="e">
        <f ca="1">Tab_NewTRADER[[#This Row],[ReBuy]]/(Tab_NewTRADER[[#This Row],[L_Sn]]+Tab_NewTRADER[[#This Row],[SellMore]])</f>
        <v>#N/A</v>
      </c>
      <c r="BW42" s="687">
        <f ca="1">((_xlfn.XLOOKUP(Tab_NewTRADER[[#This Row],[ClickTick]],TabCalc[Ticker],TabCalc[NAfter])+Tab_NewTRADER[[#This Row],[L_Sn]])*(Tab_NewTRADER[[#This Row],[Agiotage]]-Tab_NewTRADER[[#This Row],[M]]))/(Tab_NewTRADER[[#This Row],[L_Sn]]*_xlfn.XLOOKUP(Tab_NewTRADER[[#This Row],[ClickTick]],TabCalc[Ticker],TabCalc[NAfter]))</f>
        <v>-1.0766464707027481</v>
      </c>
      <c r="BX42" s="687">
        <f ca="1">(Tab_NewTRADER[[#This Row],[M]]-Tab_NewTRADER[[#This Row],[Agiotage]])/(Tab_NewTRADER[[#This Row],[M]]-Tab_NewTRADER[[#This Row],[A]])-1</f>
        <v>-6.839144595172332</v>
      </c>
      <c r="BY42" s="1262">
        <f ca="1">_xlfn.XMATCH(Tab_NewTRADER[[#This Row],[ClickTick]]&amp;1, TabConsolid[#Headers])</f>
        <v>119</v>
      </c>
      <c r="BZ42" t="str">
        <f ca="1">IF(ABS(Tab_NewTRADER[[#This Row],[L_Bp]])&gt;=Tab_NewTRADER[[#This Row],[M]],"OK")</f>
        <v>OK</v>
      </c>
    </row>
    <row r="43" spans="1:78"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-2,594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-6.9%</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-3,707$</v>
      </c>
      <c r="G43" s="225" t="str">
        <f ca="1">IFERROR(TRUNC(_xlfn.XLOOKUP(Tab_NewTRADER[[#This Row],[ClickTick]],TabCalc[Ticker],ListLastSalep),2)&amp;"x"&amp;_xlfn.XLOOKUP(Tab_NewTRADER[[#This Row],[ClickTick]],TabCalc[Ticker],ListLastSalen)&amp;"=   "&amp;TEXT(-_xlfn.XLOOKUP(Tab_NewTRADER[[#This Row],[ClickTick]],TabCalc[Ticker],ListReverseB),"#,#0")&amp;"$","")</f>
        <v>16.54x632=   -1,470$</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16.4% = 2,150</v>
      </c>
      <c r="I43" s="226" t="str">
        <f ca="1">IFERROR(TRUNC(TabCalc[[#This Row],[L_S1p]],2)&amp;"x"&amp;TabCalc[[#This Row],[L_S1n]]&amp;"=   "&amp;TEXT(TabCalc[[#This Row],[ReverseB1]],"#,#0"),"")</f>
        <v>21.02x1000=   6,807</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177681.25</v>
      </c>
      <c r="M43" s="323">
        <f ca="1">_xlfn.XLOOKUP(Tab_NewTRADER[[#This Row],[ClickTick]],TabCalc[Ticker],TabCalc[Agiotage])</f>
        <v>1.5859329791151559E-2</v>
      </c>
      <c r="N43" s="324" cm="1">
        <f t="array" aca="1" ref="N43" ca="1">_xlfn.XLOOKUP(Tab_NewTRADER[[#This Row],[ClickTick]],ListTickers,Tab2RSIConventional[RSIConv20])</f>
        <v>13</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-6.4835526315789482E-2</v>
      </c>
      <c r="S43" s="683">
        <f ca="1">_xlfn.XLOOKUP(Tab_NewTRADER[[#This Row],[ClickTick]],TabCalc[Ticker],TabCalc[Rev(MinStock)])*(1-Commission)</f>
        <v>-2587.0920264000001</v>
      </c>
      <c r="T43" s="782">
        <f ca="1">_xlfn.XLOOKUP(Tab_NewTRADER[[#This Row],[ClickTick]],TabCalc[Ticker],TabCalc[Agiotage])</f>
        <v>1.5859329791151559E-2</v>
      </c>
      <c r="U43" s="747"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-12,888/-12,888=&gt;-0.8% / -0.8%</v>
      </c>
      <c r="V43" s="739" t="str">
        <f ca="1">_xlfn.XLOOKUP(Tab_NewTRADER[[#This Row],[ClickTick]],[1]!RTData[Ticker_Symbol],[1]!RTData[Currency])</f>
        <v>USD</v>
      </c>
      <c r="W43" s="749">
        <f ca="1">_xlfn.XLOOKUP(Tab_NewTRADER[[#This Row],[ClickTick]],TabCalc[Ticker],TabCalc[M])</f>
        <v>14.214499999999999</v>
      </c>
      <c r="X43" s="1315"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-8.0600000000000012E-3</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 355 K$</v>
      </c>
      <c r="AF43" s="1182"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3" s="1530" t="str">
        <f ca="1">TEXT(MIN(Tab_NewTRADER[[#This Row],[L_Bn]],Tab_NewTRADER[[#This Row],[N]]),"#,#0")&amp;" x "&amp;TEXT(Tab_NewTRADER[[#This Row],[L_Bp]],"#,#0.#0")</f>
        <v>2,632 x -15.20</v>
      </c>
      <c r="AH43" s="1530" t="str" cm="1">
        <f t="array" aca="1" ref="AH43" ca="1">_xlfn.IFS(Tab_NewTRADER[[#This Row],[M_State]]=Sale_Back,Tab_NewTRADER[[#This Row],[Sale_Back_$]], TRUE,"M = "&amp;Tab_NewTRADER[[#This Row],[M]])</f>
        <v>M = 14.2145</v>
      </c>
      <c r="AI43" s="1433" cm="1">
        <f t="array" aca="1" ref="AI43" ca="1">IF(Tab_NewTRADER[[#This Row],[M_State]]=MUp,_xlfn.IFS(Tab_NewTRADER[[#This Row],[M_State]]=MUp,MIN(Tab_NewTRADER[[#This Row],[N]],Tab_NewTRADER[[#This Row],[L_Bn]])*(Tab_NewTRADER[[#This Row],[M]]-Tab_NewTRADER[[#This Row],[L_Sp]])*Tab_NewTRADER[[#This Row],[Scale]]*ComFactor, TRUE,0),0)</f>
        <v>0</v>
      </c>
      <c r="AJ43" s="1433" cm="1">
        <f t="array" aca="1" ref="AJ43" ca="1">_xlfn.IFS(Tab_NewTRADER[[#This Row],[M_State]]=MUp,                 MIN(Tab_NewTRADER[[#This Row],[L_Sn]],Tab_NewTRADER[[#This Row],[N]])*(Tab_NewTRADER[[#This Row],[M]]-Tab_NewTRADER[[#This Row],[A]])*Tab_NewTRADER[[#This Row],[Scale]]*ComFactor, TRUE,0)</f>
        <v>0</v>
      </c>
      <c r="AK43" s="1433" cm="1">
        <f t="array" aca="1" ref="AK43" ca="1">_xlfn.IFS(Tab_NewTRADER[[#This Row],[M_State]]=MUp,                  Tab_NewTRADER[[#This Row],[N]]*(Tab_NewTRADER[[#This Row],[M]]-Tab_NewTRADER[[#This Row],[A]])*Tab_NewTRADER[[#This Row],[Scale]]*ComFactor, TRUE,0)</f>
        <v>0</v>
      </c>
      <c r="AL43" s="1435" t="str">
        <f ca="1">TEXT(Tab_NewTRADER[[#This Row],[L_Sn]],"#,#0")&amp;" x "&amp;TEXT(Tab_NewTRADER[[#This Row],[L_Sp]],"#,#0.#0")</f>
        <v>632 x 16.54</v>
      </c>
      <c r="AM43" s="1465" t="str" cm="1">
        <f t="array" aca="1" ref="AM43" ca="1">_xlfn.IFS(Tab_NewTRADER[[#This Row],[M_State]]=RePurchaseGain,TEXT(-Tab_NewTRADER[[#This Row],[Buy_Back]],"#,#0")&amp;"       / "&amp;TEXT(Tab_NewTRADER[[#This Row],[Rev_Buy]],"#,#00.0)%"),TRUE,"M = "&amp;Tab_NewTRADER[[#This Row],[M]])</f>
        <v>M = 14.2145</v>
      </c>
      <c r="AN43" s="1435" t="str" cm="1">
        <f t="array" aca="1" ref="AN43" ca="1">_xlfn.IFS(Tab_NewTRADER[[#This Row],[M_State]]=MDown,TEXT(Tab_NewTRADER[[#This Row],[L_Sn]]*(Tab_NewTRADER[[#This Row],[M]]-Tab_NewTRADER[[#This Row],[L_Sp]])*ComFactor,"#,#0")&amp;"       / "&amp;TEXT((TabTRADER[[#This Row],[M]]-TabTRADER[[#This Row],[L_Sp]])/TabTRADER[[#This Row],[M]],"#,#00.0)%"),TRUE,0)</f>
        <v>-1,466       / -16.4)%</v>
      </c>
      <c r="AO43" s="1486" t="str" cm="1">
        <f t="array" aca="1" ref="AO43" ca="1">_xlfn.IFS(Tab_NewTRADER[[#This Row],[M_State]]=MDown,TEXT(Tab_NewTRADER[[#This Row],[N]]*(Tab_NewTRADER[[#This Row],[M]]-Tab_NewTRADER[[#This Row],[A]])*Tab_NewTRADER[[#This Row],[Scale]]*ComFactor,"#,#0")&amp;"       / "&amp;TEXT((TabTRADER[[#This Row],[M]]-TabTRADER[[#This Row],[L_Bp]])/TabTRADER[[#This Row],[M]],"#,#00.0%"),TRUE,0)</f>
        <v>-64,842       / 206.9%</v>
      </c>
      <c r="AP43" s="1435" t="str" cm="1">
        <f t="array" aca="1" ref="AP43" ca="1">_xlfn.IFS(Tab_NewTRADER[[#This Row],[M_State]]=MDown,TEXT(Tab_NewTRADER[[#This Row],[N]]*Tab_NewTRADER[[#This Row],[M]],"#,#0")&amp;" @ "&amp;TEXT(Tab_NewTRADER[[#This Row],[A]],"#,#0.#0"),TRUE,"M = "&amp; Tab_NewTRADER[[#This Row],[M]])</f>
        <v>355,363 @ 16.81</v>
      </c>
      <c r="AQ43" s="760">
        <f ca="1">Tab_NewTRADER[[#This Row],[N]]*(Tab_NewTRADER[[#This Row],[M]]-Tab_NewTRADER[[#This Row],[A]])*(1-Commission)*Tab_NewTRADER[[#This Row],[Scale]]</f>
        <v>-64841.831764000068</v>
      </c>
      <c r="AR43" s="760">
        <f ca="1">Tab_NewTRADER[[#This Row],[M]]*Tab_NewTRADER[[#This Row],[N]]*(1-Commission)*Tab_NewTRADER[[#This Row],[Scale]]</f>
        <v>354438.5575</v>
      </c>
      <c r="AS43" s="1174" cm="1">
        <f t="array" aca="1" ref="AS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0.15465028516554918</v>
      </c>
      <c r="AT43" s="1174" cm="1">
        <f t="array" aca="1" ref="AT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6.6730613106335088E-2</v>
      </c>
      <c r="AU43" s="825" t="str" cm="1">
        <f t="array" aca="1" ref="AU43" ca="1">_xlfn.IFS(   Tab_NewTRADER[[#This Row],[M_State]]=SellMorePercentGain,                     MIN(Tab_NewTRADER[[#This Row],[L_Sn]],Tab_NewTRADER[[#This Row],[N]])*(Tab_NewTRADER[[#This Row],[M]]-Tab_NewTRADER[[#This Row],[L_Sp]])*(1-Commission)*Tab_NewTRADER[[#This Row],[Scale]],                    TRUE,"")</f>
        <v/>
      </c>
      <c r="AV43" s="1163">
        <f ca="1">_xlfn.XLOOKUP(Tab_NewTRADER[[#This Row],[ClickTick]],TabCalc[Ticker],TabCalc[Ann%RevLB])</f>
        <v>-1.111466165413534</v>
      </c>
      <c r="AW43" s="1267">
        <f ca="1">_xlfn.XLOOKUP(Tab_NewTRADER[[#This Row],[ClickTick]],TabCalc[Ticker],TabCalc[Up20])</f>
        <v>0</v>
      </c>
      <c r="AX43" s="1175" cm="1">
        <f t="array" aca="1" ref="AX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6.9330613106335093E-2</v>
      </c>
      <c r="AY43" s="825" cm="1">
        <f t="array" aca="1" ref="AY43" ca="1">_xlfn.IFS(         Tab_NewTRADER[[#This Row],[M_State]]=MDown,Tab_NewTRADER[[#This Row],[L_Bn]]*Tab_NewTRADER[[#This Row],[M]]*(-(Tab_NewTRADER[[#This Row],[L_Bp]]+Tab_NewTRADER[[#This Row],[M]])/Tab_NewTRADER[[#This Row],[M]])*(1-Commission)*Tab_NewTRADER[[#This Row],[Scale]],                               TRUE,"")</f>
        <v>2587.0920264000001</v>
      </c>
      <c r="AZ43" s="1174" cm="1">
        <f t="array" aca="1" ref="AZ43" ca="1">_xlfn.IFS(   Tab_NewTRADER[[#This Row],[M_State]]=MUp,Tab_NewTRADER[[#This Row],[TakeGain_A]]-Commission,        Tab_NewTRADER[[#This Row],[M_State]]=MDown,(Tab_NewTRADER[[#This Row],[A]]-Tab_NewTRADER[[#This Row],[M]])/Tab_NewTRADER[[#This Row],[M]]-Commission,                              TRUE,"")</f>
        <v>0.18034237574307946</v>
      </c>
      <c r="BA43" s="825" cm="1">
        <f t="array" aca="1" ref="BA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64841.831764000068</v>
      </c>
      <c r="BB43" s="760" t="str" cm="1">
        <f t="array" aca="1" ref="BB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C43" s="736" cm="1">
        <f t="array" aca="1" ref="BC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-0.98</v>
      </c>
      <c r="BD43" s="765" cm="1">
        <f t="array" aca="1" ref="BD43" ca="1">_xlfn.IFS(Tab_NewTRADER[[#This Row],[M_State]]=Sale_Back,"",         Tab_NewTRADER[[#This Row],[M_State]]=MDown, (Tab_NewTRADER[[#This Row],[M]]-Tab_NewTRADER[[#This Row],[A]])/Tab_NewTRADER[[#This Row],[A]]*ComFactor,             TRUE, IFERROR((Tab_NewTRADER[[#This Row],[M]]-Tab_NewTRADER[[#This Row],[A]])/Tab_NewTRADER[[#This Row],[A]]*ComFactor,""))</f>
        <v>-0.15424819442411875</v>
      </c>
      <c r="BE43" s="762" cm="1">
        <f t="array" aca="1" ref="BE43" ca="1">_xlfn.IFS(               Tab_NewTRADER[[#This Row],[M_State]]=NoStock,(Tab_NewTRADER[[#This Row],[L_Sp]]-Tab_NewTRADER[[#This Row],[M]])/Tab_NewTRADER[[#This Row],[M]]-Commission,             Tab_NewTRADER[[#This Row],[A]]&lt;&gt;0,(Tab_NewTRADER[[#This Row],[A]]-Tab_NewTRADER[[#This Row],[M]])/Tab_NewTRADER[[#This Row],[M]]-Commission)</f>
        <v>0.18034237574307946</v>
      </c>
      <c r="BF43" s="324">
        <f ca="1">_xlfn.XLOOKUP(Tab_NewTRADER[[#This Row],[ClickTick]],TabCalc[Ticker],TabCalc[L_Sn])</f>
        <v>632</v>
      </c>
      <c r="BG43" s="728">
        <f ca="1">_xlfn.XLOOKUP(Tab_NewTRADER[[#This Row],[ClickTick]],TabCalc[Ticker],TabCalc[L_Sp])</f>
        <v>16.54</v>
      </c>
      <c r="BH43" s="764">
        <f ca="1">-IFERROR((Tab_NewTRADER[[#This Row],[M]]-Tab_NewTRADER[[#This Row],[L_Sp]])/Tab_NewTRADER[[#This Row],[L_Sp]],0)</f>
        <v>0.14059854897218863</v>
      </c>
      <c r="BI43" s="729">
        <f ca="1">MIN(Tab_NewTRADER[[#This Row],[L_Sn]],Tab_NewTRADER[[#This Row],[N]])*(Tab_NewTRADER[[#This Row],[M]]-Tab_NewTRADER[[#This Row],[L_Sp]])*(1-Commission)*Tab_NewTRADER[[#This Row],[Scale]]</f>
        <v>-1465.8947383999998</v>
      </c>
      <c r="BJ43" s="692">
        <f ca="1">Tab_NewTRADER[[#This Row],[L_Sn]]*(Tab_NewTRADER[[#This Row],[Agiotage]]-Tab_NewTRADER[[#This Row],[M]])/(Tab_NewTRADER[[#This Row],[L_Bn]]*Tab_NewTRADER[[#This Row],[M]])</f>
        <v>-0.23985367331605478</v>
      </c>
      <c r="BK43" s="635">
        <f ca="1">IFERROR((Tab_NewTRADER[[#This Row],[M]]-Tab_NewTRADER[[#This Row],[A]])/Tab_NewTRADER[[#This Row],[A]],0)</f>
        <v>-0.15465028516554918</v>
      </c>
      <c r="BL43" s="638" t="str">
        <f ca="1">TEXT(_xlfn.XLOOKUP(Tab_NewTRADER[[#This Row],[ClickTick]],TabCalc[Ticker],TabCalc[NAfter]),"#,#0")&amp;" : "&amp;TEXT(_xlfn.XLOOKUP(Tab_NewTRADER[[#This Row],[ClickTick]],TabCalc[Ticker],TabCalc[NAfter])*(Tab_NewTRADER[[#This Row],[M]]-Tab_NewTRADER[[#This Row],[A]])*(1-Commission)*Tab_NewTRADER[[#This Row],[Scale]],"#,#0$")</f>
        <v>25,000 : -64,842$</v>
      </c>
      <c r="BM43" s="684">
        <f ca="1">_xlfn.XLOOKUP(Tab_NewTRADER[[#This Row],[ClickTick]],TabCalc[[#This Row],[Ticker]],TabCalc[[#This Row],[GL]])*(1-Commission)</f>
        <v>47163.308215572761</v>
      </c>
      <c r="BN43" s="684"/>
      <c r="BO43" s="669" t="str">
        <f ca="1">Tab_NewTRADER[[#This Row],[ClickTick]]&amp;": "&amp;_xlfn.XLOOKUP(Tab_NewTRADER[[#This Row],[ClickTick]],TabCalc[Ticker],TabCalc[Pile?])</f>
        <v xml:space="preserve">SHECY: </v>
      </c>
      <c r="BP43" s="351" t="s">
        <v>2066</v>
      </c>
      <c r="BQ43" s="755" t="str" cm="1">
        <f t="array" aca="1" ref="BQ43" ca="1">_xlfn.TEXTJOIN("",,INDEX({"M","A","Y"}, _xlfn.SORTBY({1,2,3}, -CHOOSE({1,2,3}, Tab_NewTRADER[[#This Row],[M]], Tab_NewTRADER[[#This Row],[A]], Tab_NewTRADER[[#This Row],[Agiotage]]))))</f>
        <v>AMY</v>
      </c>
      <c r="BR43" s="902" cm="1">
        <f t="array" aca="1" ref="BR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6.9330613106335093E-2</v>
      </c>
      <c r="BS43" s="679" t="e">
        <f ca="1">Tab_NewTRADER[[#This Row],[L_Sn]]*Tab_NewTRADER[[#This Row],[L_Sp]]+Tab_NewTRADER[[#This Row],[SellMore]]*Tab_NewTRADER[[#This Row],[M]]</f>
        <v>#N/A</v>
      </c>
      <c r="BT43" s="679" t="e">
        <f ca="1">INDEX(
  INDEX(TabConsolid[], , _xlfn.XMATCH(Tab_NewTRADER[[#This Row],[ClickTick]]&amp;1, TabConsolid[#Headers])),
  MATCH(
    -Tab_NewTRADER[[#This Row],[M]],
    INDEX(TabConsolid[], , _xlfn.XMATCH(Tab_NewTRADER[[#This Row],[ClickTick]]&amp;2, TabConsolid[#Headers])),
    -1
  )
)</f>
        <v>#N/A</v>
      </c>
      <c r="BU43" s="679" cm="1">
        <f t="array" aca="1" ref="BU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43" s="1144" t="e">
        <f ca="1">Tab_NewTRADER[[#This Row],[ReBuy]]/(Tab_NewTRADER[[#This Row],[L_Sn]]+Tab_NewTRADER[[#This Row],[SellMore]])</f>
        <v>#N/A</v>
      </c>
      <c r="BW43" s="687">
        <f ca="1">((_xlfn.XLOOKUP(Tab_NewTRADER[[#This Row],[ClickTick]],TabCalc[Ticker],TabCalc[NAfter])+Tab_NewTRADER[[#This Row],[L_Sn]])*(Tab_NewTRADER[[#This Row],[Agiotage]]-Tab_NewTRADER[[#This Row],[M]]))/(Tab_NewTRADER[[#This Row],[L_Sn]]*_xlfn.XLOOKUP(Tab_NewTRADER[[#This Row],[ClickTick]],TabCalc[Ticker],TabCalc[NAfter]))</f>
        <v>-2.3034149218910959E-2</v>
      </c>
      <c r="BX43" s="687">
        <f ca="1">(Tab_NewTRADER[[#This Row],[M]]-Tab_NewTRADER[[#This Row],[Agiotage]])/(Tab_NewTRADER[[#This Row],[M]]-Tab_NewTRADER[[#This Row],[A]])-1</f>
        <v>-6.4601033851147456</v>
      </c>
      <c r="BY43" s="1262">
        <f ca="1">_xlfn.XMATCH(Tab_NewTRADER[[#This Row],[ClickTick]]&amp;1, TabConsolid[#Headers])</f>
        <v>122</v>
      </c>
      <c r="BZ43" t="str">
        <f ca="1">IF(ABS(Tab_NewTRADER[[#This Row],[L_Bp]])&gt;=Tab_NewTRADER[[#This Row],[M]],"OK")</f>
        <v>OK</v>
      </c>
    </row>
    <row r="44" spans="1:78"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-2,400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-9.5%</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-2,666$</v>
      </c>
      <c r="G44" s="225" t="str">
        <f ca="1">IFERROR(TRUNC(_xlfn.XLOOKUP(Tab_NewTRADER[[#This Row],[ClickTick]],TabCalc[Ticker],ListLastSalep),2)&amp;"x"&amp;_xlfn.XLOOKUP(Tab_NewTRADER[[#This Row],[ClickTick]],TabCalc[Ticker],ListLastSalen)&amp;"=   "&amp;TEXT(-_xlfn.XLOOKUP(Tab_NewTRADER[[#This Row],[ClickTick]],TabCalc[Ticker],ListReverseB),"#,#0")&amp;"$","")</f>
        <v>12.76x3000=   -12,953$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51.1% = 1,158</v>
      </c>
      <c r="I44" s="226" t="str">
        <f ca="1">IFERROR(TRUNC(TabCalc[[#This Row],[L_S1p]],2)&amp;"x"&amp;TabCalc[[#This Row],[L_S1n]]&amp;"=   "&amp;TEXT(TabCalc[[#This Row],[ReverseB1]],"#,#0"),"")</f>
        <v>10.36x4000=   7,640</v>
      </c>
      <c r="J44" s="295">
        <f ca="1">_xlfn.XLOOKUP(Tab_NewTRADER[[#This Row],[ClickTick]],TabCalc[Ticker],ListGravity)</f>
        <v>1.5779088757396451</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0.19927042419481539</v>
      </c>
      <c r="N44" s="324" cm="1">
        <f t="array" aca="1" ref="N44" ca="1">_xlfn.XLOOKUP(Tab_NewTRADER[[#This Row],[ClickTick]],ListTickers,Tab2RSIConventional[RSIConv20])</f>
        <v>35</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-8.6486486486486561E-2</v>
      </c>
      <c r="S44" s="683">
        <f ca="1">_xlfn.XLOOKUP(Tab_NewTRADER[[#This Row],[ClickTick]],TabCalc[Ticker],TabCalc[Rev(MinStock)])*(1-Commission)</f>
        <v>-2393.760000000002</v>
      </c>
      <c r="T44" s="782">
        <f ca="1">_xlfn.XLOOKUP(Tab_NewTRADER[[#This Row],[ClickTick]],TabCalc[Ticker],TabCalc[Agiotage])</f>
        <v>0.19927042419481539</v>
      </c>
      <c r="U44" s="747"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-800/-800=&gt;-0.6% / -0.6%</v>
      </c>
      <c r="V44" s="739" t="str">
        <f ca="1">_xlfn.XLOOKUP(Tab_NewTRADER[[#This Row],[ClickTick]],[1]!RTData[Ticker_Symbol],[1]!RTData[Currency])</f>
        <v>USD</v>
      </c>
      <c r="W44" s="749">
        <f ca="1">_xlfn.XLOOKUP(Tab_NewTRADER[[#This Row],[ClickTick]],TabCalc[Ticker],TabCalc[M])</f>
        <v>8.4499999999999993</v>
      </c>
      <c r="X44" s="1315"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-5.8819999999999992E-3</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-724K /135 K$</v>
      </c>
      <c r="AF44" s="1182"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4" s="1530" t="str">
        <f ca="1">TEXT(MIN(Tab_NewTRADER[[#This Row],[L_Bn]],Tab_NewTRADER[[#This Row],[N]]),"#,#0")&amp;" x "&amp;TEXT(Tab_NewTRADER[[#This Row],[L_Bp]],"#,#0.#0")</f>
        <v>3,000 x -9.25</v>
      </c>
      <c r="AH44" s="1530" t="str" cm="1">
        <f t="array" aca="1" ref="AH44" ca="1">_xlfn.IFS(Tab_NewTRADER[[#This Row],[M_State]]=Sale_Back,Tab_NewTRADER[[#This Row],[Sale_Back_$]], TRUE,"M = "&amp;Tab_NewTRADER[[#This Row],[M]])</f>
        <v>M = 8.45</v>
      </c>
      <c r="AI44" s="1433" cm="1">
        <f t="array" aca="1" ref="AI44" ca="1">IF(Tab_NewTRADER[[#This Row],[M_State]]=MUp,_xlfn.IFS(Tab_NewTRADER[[#This Row],[M_State]]=MUp,MIN(Tab_NewTRADER[[#This Row],[N]],Tab_NewTRADER[[#This Row],[L_Bn]])*(Tab_NewTRADER[[#This Row],[M]]-Tab_NewTRADER[[#This Row],[L_Sp]])*Tab_NewTRADER[[#This Row],[Scale]]*ComFactor, TRUE,0),0)</f>
        <v>0</v>
      </c>
      <c r="AJ44" s="1433" cm="1">
        <f t="array" aca="1" ref="AJ44" ca="1">_xlfn.IFS(Tab_NewTRADER[[#This Row],[M_State]]=MUp,                 MIN(Tab_NewTRADER[[#This Row],[L_Sn]],Tab_NewTRADER[[#This Row],[N]])*(Tab_NewTRADER[[#This Row],[M]]-Tab_NewTRADER[[#This Row],[A]])*Tab_NewTRADER[[#This Row],[Scale]]*ComFactor, TRUE,0)</f>
        <v>0</v>
      </c>
      <c r="AK44" s="1433" cm="1">
        <f t="array" aca="1" ref="AK44" ca="1">_xlfn.IFS(Tab_NewTRADER[[#This Row],[M_State]]=MUp,                  Tab_NewTRADER[[#This Row],[N]]*(Tab_NewTRADER[[#This Row],[M]]-Tab_NewTRADER[[#This Row],[A]])*Tab_NewTRADER[[#This Row],[Scale]]*ComFactor, TRUE,0)</f>
        <v>0</v>
      </c>
      <c r="AL44" s="1435" t="str">
        <f ca="1">TEXT(Tab_NewTRADER[[#This Row],[L_Sn]],"#,#0")&amp;" x "&amp;TEXT(Tab_NewTRADER[[#This Row],[L_Sp]],"#,#0.#0")</f>
        <v>3,000 x 12.77</v>
      </c>
      <c r="AM44" s="1465" t="str" cm="1">
        <f t="array" aca="1" ref="AM44" ca="1">_xlfn.IFS(Tab_NewTRADER[[#This Row],[M_State]]=RePurchaseGain,TEXT(-Tab_NewTRADER[[#This Row],[Buy_Back]],"#,#0")&amp;"       / "&amp;TEXT(Tab_NewTRADER[[#This Row],[Rev_Buy]],"#,#00.0)%"),TRUE,"M = "&amp;Tab_NewTRADER[[#This Row],[M]])</f>
        <v>12,919       / 33.8)%</v>
      </c>
      <c r="AN44" s="1435" cm="1">
        <f t="array" aca="1" ref="AN44" ca="1">_xlfn.IFS(Tab_NewTRADER[[#This Row],[M_State]]=MDown,TEXT(Tab_NewTRADER[[#This Row],[L_Sn]]*(Tab_NewTRADER[[#This Row],[M]]-Tab_NewTRADER[[#This Row],[L_Sp]])*ComFactor,"#,#0")&amp;"       / "&amp;TEXT((TabTRADER[[#This Row],[M]]-TabTRADER[[#This Row],[L_Sp]])/TabTRADER[[#This Row],[M]],"#,#00.0)%"),TRUE,0)</f>
        <v>0</v>
      </c>
      <c r="AO44" s="1486" cm="1">
        <f t="array" aca="1" ref="AO44" ca="1">_xlfn.IFS(Tab_NewTRADER[[#This Row],[M_State]]=MDown,TEXT(Tab_NewTRADER[[#This Row],[N]]*(Tab_NewTRADER[[#This Row],[M]]-Tab_NewTRADER[[#This Row],[A]])*Tab_NewTRADER[[#This Row],[Scale]]*ComFactor,"#,#0")&amp;"       / "&amp;TEXT((TabTRADER[[#This Row],[M]]-TabTRADER[[#This Row],[L_Bp]])/TabTRADER[[#This Row],[M]],"#,#00.0%"),TRUE,0)</f>
        <v>0</v>
      </c>
      <c r="AP44" s="1435" t="str" cm="1">
        <f t="array" aca="1" ref="AP44" ca="1">_xlfn.IFS(Tab_NewTRADER[[#This Row],[M_State]]=MDown,TEXT(Tab_NewTRADER[[#This Row],[N]]*Tab_NewTRADER[[#This Row],[M]],"#,#0")&amp;" @ "&amp;TEXT(Tab_NewTRADER[[#This Row],[A]],"#,#0.#0"),TRUE,"M = "&amp; Tab_NewTRADER[[#This Row],[M]])</f>
        <v>M = 8.45</v>
      </c>
      <c r="AQ44" s="760">
        <f ca="1">Tab_NewTRADER[[#This Row],[N]]*(Tab_NewTRADER[[#This Row],[M]]-Tab_NewTRADER[[#This Row],[A]])*(1-Commission)*Tab_NewTRADER[[#This Row],[Scale]]</f>
        <v>-331082.830686</v>
      </c>
      <c r="AR44" s="760">
        <f ca="1">Tab_NewTRADER[[#This Row],[M]]*Tab_NewTRADER[[#This Row],[N]]*(1-Commission)*Tab_NewTRADER[[#This Row],[Scale]]</f>
        <v>134848.47999999998</v>
      </c>
      <c r="AS44" s="1174" cm="1">
        <f t="array" aca="1" ref="AS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0.3381650314552147</v>
      </c>
      <c r="AT44" s="1174" t="str" cm="1">
        <f t="array" aca="1" ref="AT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4" s="825" t="str" cm="1">
        <f t="array" aca="1" ref="AU44" ca="1">_xlfn.IFS(   Tab_NewTRADER[[#This Row],[M_State]]=SellMorePercentGain,                     MIN(Tab_NewTRADER[[#This Row],[L_Sn]],Tab_NewTRADER[[#This Row],[N]])*(Tab_NewTRADER[[#This Row],[M]]-Tab_NewTRADER[[#This Row],[L_Sp]])*(1-Commission)*Tab_NewTRADER[[#This Row],[Scale]],                    TRUE,"")</f>
        <v/>
      </c>
      <c r="AV44" s="1163">
        <f ca="1">_xlfn.XLOOKUP(Tab_NewTRADER[[#This Row],[ClickTick]],TabCalc[Ticker],TabCalc[Ann%RevLB])</f>
        <v>-9.8528908655491021E-2</v>
      </c>
      <c r="AW44" s="1267">
        <f ca="1">_xlfn.XLOOKUP(Tab_NewTRADER[[#This Row],[ClickTick]],TabCalc[Ticker],TabCalc[Up20])</f>
        <v>0.45454545454545453</v>
      </c>
      <c r="AX44" s="1175" t="str" cm="1">
        <f t="array" aca="1" ref="AX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4" s="825" t="str" cm="1">
        <f t="array" aca="1" ref="AY44" ca="1">_xlfn.IFS(         Tab_NewTRADER[[#This Row],[M_State]]=MDown,Tab_NewTRADER[[#This Row],[L_Bn]]*Tab_NewTRADER[[#This Row],[M]]*(-(Tab_NewTRADER[[#This Row],[L_Bp]]+Tab_NewTRADER[[#This Row],[M]])/Tab_NewTRADER[[#This Row],[M]])*(1-Commission)*Tab_NewTRADER[[#This Row],[Scale]],                               TRUE,"")</f>
        <v/>
      </c>
      <c r="AZ44" s="1174" t="str" cm="1">
        <f t="array" aca="1" ref="AZ44" ca="1">_xlfn.IFS(   Tab_NewTRADER[[#This Row],[M_State]]=MUp,Tab_NewTRADER[[#This Row],[TakeGain_A]]-Commission,        Tab_NewTRADER[[#This Row],[M_State]]=MDown,(Tab_NewTRADER[[#This Row],[A]]-Tab_NewTRADER[[#This Row],[M]])/Tab_NewTRADER[[#This Row],[M]]-Commission,                              TRUE,"")</f>
        <v/>
      </c>
      <c r="BA44" s="825" cm="1">
        <f t="array" aca="1" ref="BA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-331082.830686</v>
      </c>
      <c r="BB44" s="760" t="str" cm="1">
        <f t="array" aca="1" ref="BB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C44" s="736" t="str" cm="1">
        <f t="array" aca="1" ref="BC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4" s="765" cm="1">
        <f t="array" aca="1" ref="BD44" ca="1">_xlfn.IFS(Tab_NewTRADER[[#This Row],[M_State]]=Sale_Back,"",         Tab_NewTRADER[[#This Row],[M_State]]=MDown, (Tab_NewTRADER[[#This Row],[M]]-Tab_NewTRADER[[#This Row],[A]])/Tab_NewTRADER[[#This Row],[A]]*ComFactor,             TRUE, IFERROR((Tab_NewTRADER[[#This Row],[M]]-Tab_NewTRADER[[#This Row],[A]])/Tab_NewTRADER[[#This Row],[A]]*ComFactor,""))</f>
        <v>-0.70873540316495132</v>
      </c>
      <c r="BE44" s="762" cm="1">
        <f t="array" aca="1" ref="BE44" ca="1">_xlfn.IFS(               Tab_NewTRADER[[#This Row],[M_State]]=NoStock,(Tab_NewTRADER[[#This Row],[L_Sp]]-Tab_NewTRADER[[#This Row],[M]])/Tab_NewTRADER[[#This Row],[M]]-Commission,             Tab_NewTRADER[[#This Row],[A]]&lt;&gt;0,(Tab_NewTRADER[[#This Row],[A]]-Tab_NewTRADER[[#This Row],[M]])/Tab_NewTRADER[[#This Row],[M]]-Commission)</f>
        <v>2.452621079881657</v>
      </c>
      <c r="BF44" s="324">
        <f ca="1">_xlfn.XLOOKUP(Tab_NewTRADER[[#This Row],[ClickTick]],TabCalc[Ticker],TabCalc[L_Sn])</f>
        <v>3000</v>
      </c>
      <c r="BG44" s="728">
        <f ca="1">_xlfn.XLOOKUP(Tab_NewTRADER[[#This Row],[ClickTick]],TabCalc[Ticker],TabCalc[L_Sp])</f>
        <v>12.7675333</v>
      </c>
      <c r="BH44" s="764">
        <f ca="1">-IFERROR((Tab_NewTRADER[[#This Row],[M]]-Tab_NewTRADER[[#This Row],[L_Sp]])/Tab_NewTRADER[[#This Row],[L_Sp]],0)</f>
        <v>0.3381650314552147</v>
      </c>
      <c r="BI44" s="729">
        <f ca="1">MIN(Tab_NewTRADER[[#This Row],[L_Sn]],Tab_NewTRADER[[#This Row],[N]])*(Tab_NewTRADER[[#This Row],[M]]-Tab_NewTRADER[[#This Row],[L_Sp]])*(1-Commission)*Tab_NewTRADER[[#This Row],[Scale]]</f>
        <v>-12918.923140260002</v>
      </c>
      <c r="BJ44" s="692">
        <f ca="1">Tab_NewTRADER[[#This Row],[L_Sn]]*(Tab_NewTRADER[[#This Row],[Agiotage]]-Tab_NewTRADER[[#This Row],[M]])/(Tab_NewTRADER[[#This Row],[L_Bn]]*Tab_NewTRADER[[#This Row],[M]])</f>
        <v>-0.97641770127872018</v>
      </c>
      <c r="BK44" s="635">
        <f ca="1">IFERROR((Tab_NewTRADER[[#This Row],[M]]-Tab_NewTRADER[[#This Row],[A]])/Tab_NewTRADER[[#This Row],[A]],0)</f>
        <v>-0.71058291875371105</v>
      </c>
      <c r="BL44" s="638" t="str">
        <f ca="1">TEXT(_xlfn.XLOOKUP(Tab_NewTRADER[[#This Row],[ClickTick]],TabCalc[Ticker],TabCalc[NAfter]),"#,#0")&amp;" : "&amp;TEXT(_xlfn.XLOOKUP(Tab_NewTRADER[[#This Row],[ClickTick]],TabCalc[Ticker],TabCalc[NAfter])*(Tab_NewTRADER[[#This Row],[M]]-Tab_NewTRADER[[#This Row],[A]])*(1-Commission)*Tab_NewTRADER[[#This Row],[Scale]],"#,#0$")</f>
        <v>16,000 : -331,083$</v>
      </c>
      <c r="BM44" s="684">
        <f ca="1">_xlfn.XLOOKUP(Tab_NewTRADER[[#This Row],[ClickTick]],TabCalc[[#This Row],[Ticker]],TabCalc[[#This Row],[GL]])*(1-Commission)</f>
        <v>-722020.6560435961</v>
      </c>
      <c r="BN44" s="684"/>
      <c r="BO44" s="669" t="str">
        <f ca="1">Tab_NewTRADER[[#This Row],[ClickTick]]&amp;": "&amp;_xlfn.XLOOKUP(Tab_NewTRADER[[#This Row],[ClickTick]],TabCalc[Ticker],TabCalc[Pile?])</f>
        <v xml:space="preserve">SSYS: </v>
      </c>
      <c r="BP44" s="351" t="s">
        <v>2069</v>
      </c>
      <c r="BQ44" s="755" t="str" cm="1">
        <f t="array" aca="1" ref="BQ44" ca="1">_xlfn.TEXTJOIN("",,INDEX({"M","A","Y"}, _xlfn.SORTBY({1,2,3}, -CHOOSE({1,2,3}, Tab_NewTRADER[[#This Row],[M]], Tab_NewTRADER[[#This Row],[A]], Tab_NewTRADER[[#This Row],[Agiotage]]))))</f>
        <v>AMY</v>
      </c>
      <c r="BR44" s="902" t="str" cm="1">
        <f t="array" aca="1" ref="BR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4" s="679" t="e">
        <f ca="1">Tab_NewTRADER[[#This Row],[L_Sn]]*Tab_NewTRADER[[#This Row],[L_Sp]]+Tab_NewTRADER[[#This Row],[SellMore]]*Tab_NewTRADER[[#This Row],[M]]</f>
        <v>#N/A</v>
      </c>
      <c r="BT44" s="679" t="e">
        <f ca="1">INDEX(
  INDEX(TabConsolid[], , _xlfn.XMATCH(Tab_NewTRADER[[#This Row],[ClickTick]]&amp;1, TabConsolid[#Headers])),
  MATCH(
    -Tab_NewTRADER[[#This Row],[M]],
    INDEX(TabConsolid[], , _xlfn.XMATCH(Tab_NewTRADER[[#This Row],[ClickTick]]&amp;2, TabConsolid[#Headers])),
    -1
  )
)</f>
        <v>#N/A</v>
      </c>
      <c r="BU44" s="679" cm="1">
        <f t="array" aca="1" ref="BU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44" s="1144" t="e">
        <f ca="1">Tab_NewTRADER[[#This Row],[ReBuy]]/(Tab_NewTRADER[[#This Row],[L_Sn]]+Tab_NewTRADER[[#This Row],[SellMore]])</f>
        <v>#N/A</v>
      </c>
      <c r="BW44" s="687">
        <f ca="1">((_xlfn.XLOOKUP(Tab_NewTRADER[[#This Row],[ClickTick]],TabCalc[Ticker],TabCalc[NAfter])+Tab_NewTRADER[[#This Row],[L_Sn]])*(Tab_NewTRADER[[#This Row],[Agiotage]]-Tab_NewTRADER[[#This Row],[M]]))/(Tab_NewTRADER[[#This Row],[L_Sn]]*_xlfn.XLOOKUP(Tab_NewTRADER[[#This Row],[ClickTick]],TabCalc[Ticker],TabCalc[NAfter]))</f>
        <v>-3.2659137904228861E-3</v>
      </c>
      <c r="BX44" s="687">
        <f ca="1">(Tab_NewTRADER[[#This Row],[M]]-Tab_NewTRADER[[#This Row],[Agiotage]])/(Tab_NewTRADER[[#This Row],[M]]-Tab_NewTRADER[[#This Row],[A]])-1</f>
        <v>-1.3976903380634806</v>
      </c>
      <c r="BY44" s="1262">
        <f ca="1">_xlfn.XMATCH(Tab_NewTRADER[[#This Row],[ClickTick]]&amp;1, TabConsolid[#Headers])</f>
        <v>125</v>
      </c>
      <c r="BZ44" t="str">
        <f ca="1">IF(ABS(Tab_NewTRADER[[#This Row],[L_Bp]])&gt;=Tab_NewTRADER[[#This Row],[M]],"OK")</f>
        <v>OK</v>
      </c>
    </row>
    <row r="45" spans="1:78"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+66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16.3%</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197</v>
      </c>
      <c r="F45" s="226" t="str">
        <f ca="1">TRUNC(TabCalc[[#This Row],[L_B1p]],2)&amp;"x"&amp;TabCalc[[#This Row],[L_B1n]]&amp;"=   "&amp;TEXT(TabCalc[[#This Row],[ReverseS1]],"#,#0")&amp;"$"</f>
        <v>-382.16x100=   20$</v>
      </c>
      <c r="G45" s="225" t="str">
        <f ca="1">IFERROR(TRUNC(_xlfn.XLOOKUP(Tab_NewTRADER[[#This Row],[ClickTick]],TabCalc[Ticker],ListLastSalep),2)&amp;"x"&amp;_xlfn.XLOOKUP(Tab_NewTRADER[[#This Row],[ClickTick]],TabCalc[Ticker],ListLastSalen)&amp;"=   "&amp;TEXT(-_xlfn.XLOOKUP(Tab_NewTRADER[[#This Row],[ClickTick]],TabCalc[Ticker],ListReverseB),"#,#0")&amp;"$","")</f>
        <v>427.54x9=   -229$</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197</v>
      </c>
      <c r="I45" s="226" t="str">
        <f ca="1">IFERROR(TRUNC(TabCalc[[#This Row],[L_S1p]],2)&amp;"x"&amp;TabCalc[[#This Row],[L_S1n]]&amp;"=   "&amp;TEXT(TabCalc[[#This Row],[ReverseB1]],"#,#0"),"")</f>
        <v>333.93x390=   -26,590</v>
      </c>
      <c r="J45" s="295">
        <f ca="1">_xlfn.XLOOKUP(Tab_NewTRADER[[#This Row],[ClickTick]],TabCalc[Ticker],ListGravity)</f>
        <v>0.97316169704807143</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0.48129913738814045</v>
      </c>
      <c r="N45" s="324" cm="1">
        <f t="array" aca="1" ref="N45" ca="1">_xlfn.XLOOKUP(Tab_NewTRADER[[#This Row],[ClickTick]],ListTickers,Tab2RSIConventional[RSIConv20])</f>
        <v>33</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0.19494220082612709</v>
      </c>
      <c r="S45" s="683">
        <f ca="1">_xlfn.XLOOKUP(Tab_NewTRADER[[#This Row],[ClickTick]],TabCalc[Ticker],TabCalc[Rev(MinStock)])*(1-Commission)</f>
        <v>65.429440000000014</v>
      </c>
      <c r="T45" s="782">
        <f ca="1">_xlfn.XLOOKUP(Tab_NewTRADER[[#This Row],[ClickTick]],TabCalc[Ticker],TabCalc[Agiotage])</f>
        <v>0.48129913738814045</v>
      </c>
      <c r="U45" s="747"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-4/-4=&gt;0.2% / 0.2%</v>
      </c>
      <c r="V45" s="739" t="str">
        <f ca="1">_xlfn.XLOOKUP(Tab_NewTRADER[[#This Row],[ClickTick]],[1]!RTData[Ticker_Symbol],[1]!RTData[Currency])</f>
        <v>USD</v>
      </c>
      <c r="W45" s="749">
        <f ca="1">_xlfn.XLOOKUP(Tab_NewTRADER[[#This Row],[ClickTick]],TabCalc[Ticker],TabCalc[M])</f>
        <v>402.11</v>
      </c>
      <c r="X45" s="1315"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2.1429999999999999E-3</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F45" s="1182"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5" s="1530" t="str">
        <f ca="1">TEXT(MIN(Tab_NewTRADER[[#This Row],[L_Bn]],Tab_NewTRADER[[#This Row],[N]]),"#,#0")&amp;" x "&amp;TEXT(Tab_NewTRADER[[#This Row],[L_Bp]],"#,#0.#0")</f>
        <v>1 x -336.51</v>
      </c>
      <c r="AH45" s="1530" t="str" cm="1">
        <f t="array" aca="1" ref="AH45" ca="1">_xlfn.IFS(Tab_NewTRADER[[#This Row],[M_State]]=Sale_Back,Tab_NewTRADER[[#This Row],[Sale_Back_$]], TRUE,"M = "&amp;Tab_NewTRADER[[#This Row],[M]])</f>
        <v>M = 402.11</v>
      </c>
      <c r="AI45" s="1433" cm="1">
        <f t="array" aca="1" ref="AI45" ca="1">IF(Tab_NewTRADER[[#This Row],[M_State]]=MUp,_xlfn.IFS(Tab_NewTRADER[[#This Row],[M_State]]=MUp,MIN(Tab_NewTRADER[[#This Row],[N]],Tab_NewTRADER[[#This Row],[L_Bn]])*(Tab_NewTRADER[[#This Row],[M]]-Tab_NewTRADER[[#This Row],[L_Sp]])*Tab_NewTRADER[[#This Row],[Scale]]*ComFactor, TRUE,0),0)</f>
        <v>0</v>
      </c>
      <c r="AJ45" s="1433" cm="1">
        <f t="array" aca="1" ref="AJ45" ca="1">_xlfn.IFS(Tab_NewTRADER[[#This Row],[M_State]]=MUp,                 MIN(Tab_NewTRADER[[#This Row],[L_Sn]],Tab_NewTRADER[[#This Row],[N]])*(Tab_NewTRADER[[#This Row],[M]]-Tab_NewTRADER[[#This Row],[A]])*Tab_NewTRADER[[#This Row],[Scale]]*ComFactor, TRUE,0)</f>
        <v>0</v>
      </c>
      <c r="AK45" s="1433" cm="1">
        <f t="array" aca="1" ref="AK45" ca="1">_xlfn.IFS(Tab_NewTRADER[[#This Row],[M_State]]=MUp,                  Tab_NewTRADER[[#This Row],[N]]*(Tab_NewTRADER[[#This Row],[M]]-Tab_NewTRADER[[#This Row],[A]])*Tab_NewTRADER[[#This Row],[Scale]]*ComFactor, TRUE,0)</f>
        <v>0</v>
      </c>
      <c r="AL45" s="1435" t="str">
        <f ca="1">TEXT(Tab_NewTRADER[[#This Row],[L_Sn]],"#,#0")&amp;" x "&amp;TEXT(Tab_NewTRADER[[#This Row],[L_Sp]],"#,#0.#0")</f>
        <v>9 x 427.54</v>
      </c>
      <c r="AM45" s="1465" t="str" cm="1">
        <f t="array" aca="1" ref="AM45" ca="1">_xlfn.IFS(Tab_NewTRADER[[#This Row],[M_State]]=RePurchaseGain,TEXT(-Tab_NewTRADER[[#This Row],[Buy_Back]],"#,#0")&amp;"       / "&amp;TEXT(Tab_NewTRADER[[#This Row],[Rev_Buy]],"#,#00.0)%"),TRUE,"M = "&amp;Tab_NewTRADER[[#This Row],[M]])</f>
        <v>25       / 05.9)%</v>
      </c>
      <c r="AN45" s="1435" cm="1">
        <f t="array" aca="1" ref="AN45" ca="1">_xlfn.IFS(Tab_NewTRADER[[#This Row],[M_State]]=MDown,TEXT(Tab_NewTRADER[[#This Row],[L_Sn]]*(Tab_NewTRADER[[#This Row],[M]]-Tab_NewTRADER[[#This Row],[L_Sp]])*ComFactor,"#,#0")&amp;"       / "&amp;TEXT((TabTRADER[[#This Row],[M]]-TabTRADER[[#This Row],[L_Sp]])/TabTRADER[[#This Row],[M]],"#,#00.0)%"),TRUE,0)</f>
        <v>0</v>
      </c>
      <c r="AO45" s="1486" cm="1">
        <f t="array" aca="1" ref="AO45" ca="1">_xlfn.IFS(Tab_NewTRADER[[#This Row],[M_State]]=MDown,TEXT(Tab_NewTRADER[[#This Row],[N]]*(Tab_NewTRADER[[#This Row],[M]]-Tab_NewTRADER[[#This Row],[A]])*Tab_NewTRADER[[#This Row],[Scale]]*ComFactor,"#,#0")&amp;"       / "&amp;TEXT((TabTRADER[[#This Row],[M]]-TabTRADER[[#This Row],[L_Bp]])/TabTRADER[[#This Row],[M]],"#,#00.0%"),TRUE,0)</f>
        <v>0</v>
      </c>
      <c r="AP45" s="1435" t="str" cm="1">
        <f t="array" aca="1" ref="AP45" ca="1">_xlfn.IFS(Tab_NewTRADER[[#This Row],[M_State]]=MDown,TEXT(Tab_NewTRADER[[#This Row],[N]]*Tab_NewTRADER[[#This Row],[M]],"#,#0")&amp;" @ "&amp;TEXT(Tab_NewTRADER[[#This Row],[A]],"#,#0.#0"),TRUE,"M = "&amp; Tab_NewTRADER[[#This Row],[M]])</f>
        <v>M = 402.11</v>
      </c>
      <c r="AQ45" s="760">
        <f ca="1">Tab_NewTRADER[[#This Row],[N]]*(Tab_NewTRADER[[#This Row],[M]]-Tab_NewTRADER[[#This Row],[A]])*(1-Commission)*Tab_NewTRADER[[#This Row],[Scale]]</f>
        <v>65.429440000000014</v>
      </c>
      <c r="AR45" s="760">
        <f ca="1">Tab_NewTRADER[[#This Row],[M]]*Tab_NewTRADER[[#This Row],[N]]*(1-Commission)*Tab_NewTRADER[[#This Row],[Scale]]</f>
        <v>401.06451399999997</v>
      </c>
      <c r="AS45" s="1174" cm="1">
        <f t="array" aca="1" ref="AS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5.9479814754175062E-2</v>
      </c>
      <c r="AT45" s="1174" t="str" cm="1">
        <f t="array" aca="1" ref="AT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U45" s="825" t="str" cm="1">
        <f t="array" aca="1" ref="AU45" ca="1">_xlfn.IFS(   Tab_NewTRADER[[#This Row],[M_State]]=SellMorePercentGain,                     MIN(Tab_NewTRADER[[#This Row],[L_Sn]],Tab_NewTRADER[[#This Row],[N]])*(Tab_NewTRADER[[#This Row],[M]]-Tab_NewTRADER[[#This Row],[L_Sp]])*(1-Commission)*Tab_NewTRADER[[#This Row],[Scale]],                    TRUE,"")</f>
        <v/>
      </c>
      <c r="AV45" s="1163">
        <f ca="1">_xlfn.XLOOKUP(Tab_NewTRADER[[#This Row],[ClickTick]],TabCalc[Ticker],TabCalc[Ann%RevLB])</f>
        <v>0.25063997249073483</v>
      </c>
      <c r="AW45" s="1267">
        <f ca="1">_xlfn.XLOOKUP(Tab_NewTRADER[[#This Row],[ClickTick]],TabCalc[Ticker],TabCalc[Up20])</f>
        <v>0</v>
      </c>
      <c r="AX45" s="1175" t="str" cm="1">
        <f t="array" aca="1" ref="AX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45" s="825" t="str" cm="1">
        <f t="array" aca="1" ref="AY45" ca="1">_xlfn.IFS(         Tab_NewTRADER[[#This Row],[M_State]]=MDown,Tab_NewTRADER[[#This Row],[L_Bn]]*Tab_NewTRADER[[#This Row],[M]]*(-(Tab_NewTRADER[[#This Row],[L_Bp]]+Tab_NewTRADER[[#This Row],[M]])/Tab_NewTRADER[[#This Row],[M]])*(1-Commission)*Tab_NewTRADER[[#This Row],[Scale]],                               TRUE,"")</f>
        <v/>
      </c>
      <c r="AZ45" s="1174" t="str" cm="1">
        <f t="array" aca="1" ref="AZ45" ca="1">_xlfn.IFS(   Tab_NewTRADER[[#This Row],[M_State]]=MUp,Tab_NewTRADER[[#This Row],[TakeGain_A]]-Commission,        Tab_NewTRADER[[#This Row],[M_State]]=MDown,(Tab_NewTRADER[[#This Row],[A]]-Tab_NewTRADER[[#This Row],[M]])/Tab_NewTRADER[[#This Row],[M]]-Commission,                              TRUE,"")</f>
        <v/>
      </c>
      <c r="BA45" s="760" cm="1">
        <f t="array" aca="1" ref="BA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65.429440000000014</v>
      </c>
      <c r="BB45" s="760" t="str" cm="1">
        <f t="array" aca="1" ref="BB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C45" s="736" t="str" cm="1">
        <f t="array" aca="1" ref="BC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5" s="765" cm="1">
        <f t="array" aca="1" ref="BD45" ca="1">_xlfn.IFS(Tab_NewTRADER[[#This Row],[M_State]]=Sale_Back,"",         Tab_NewTRADER[[#This Row],[M_State]]=MDown, (Tab_NewTRADER[[#This Row],[M]]-Tab_NewTRADER[[#This Row],[A]])/Tab_NewTRADER[[#This Row],[A]]*ComFactor,             TRUE, IFERROR((Tab_NewTRADER[[#This Row],[M]]-Tab_NewTRADER[[#This Row],[A]])/Tab_NewTRADER[[#This Row],[A]]*ComFactor,""))</f>
        <v>0.19443535110397916</v>
      </c>
      <c r="BE45" s="762" cm="1">
        <f t="array" aca="1" ref="BE45" ca="1">_xlfn.IFS(               Tab_NewTRADER[[#This Row],[M_State]]=NoStock,(Tab_NewTRADER[[#This Row],[L_Sp]]-Tab_NewTRADER[[#This Row],[M]])/Tab_NewTRADER[[#This Row],[M]]-Commission,             Tab_NewTRADER[[#This Row],[A]]&lt;&gt;0,(Tab_NewTRADER[[#This Row],[A]]-Tab_NewTRADER[[#This Row],[M]])/Tab_NewTRADER[[#This Row],[M]]-Commission)</f>
        <v>-0.16573943945686509</v>
      </c>
      <c r="BF45" s="324">
        <f ca="1">_xlfn.XLOOKUP(Tab_NewTRADER[[#This Row],[ClickTick]],TabCalc[Ticker],TabCalc[L_Sn])</f>
        <v>9</v>
      </c>
      <c r="BG45" s="728">
        <f ca="1">_xlfn.XLOOKUP(Tab_NewTRADER[[#This Row],[ClickTick]],TabCalc[Ticker],TabCalc[L_Sp])</f>
        <v>427.54</v>
      </c>
      <c r="BH45" s="764">
        <f ca="1">-IFERROR((Tab_NewTRADER[[#This Row],[M]]-Tab_NewTRADER[[#This Row],[L_Sp]])/Tab_NewTRADER[[#This Row],[L_Sp]],0)</f>
        <v>5.9479814754175062E-2</v>
      </c>
      <c r="BI45" s="729">
        <f ca="1">MIN(Tab_NewTRADER[[#This Row],[L_Sn]],Tab_NewTRADER[[#This Row],[N]])*(Tab_NewTRADER[[#This Row],[M]]-Tab_NewTRADER[[#This Row],[L_Sp]])*(1-Commission)*Tab_NewTRADER[[#This Row],[Scale]]</f>
        <v>-25.363882000000007</v>
      </c>
      <c r="BJ45" s="692">
        <f ca="1">Tab_NewTRADER[[#This Row],[L_Sn]]*(Tab_NewTRADER[[#This Row],[Agiotage]]-Tab_NewTRADER[[#This Row],[M]])/(Tab_NewTRADER[[#This Row],[L_Bn]]*Tab_NewTRADER[[#This Row],[M]])</f>
        <v>-2.2473068984628006E-2</v>
      </c>
      <c r="BK45" s="635">
        <f ca="1">IFERROR((Tab_NewTRADER[[#This Row],[M]]-Tab_NewTRADER[[#This Row],[A]])/Tab_NewTRADER[[#This Row],[A]],0)</f>
        <v>0.19494220082612709</v>
      </c>
      <c r="BL45" s="638" t="str">
        <f ca="1">TEXT(_xlfn.XLOOKUP(Tab_NewTRADER[[#This Row],[ClickTick]],TabCalc[Ticker],TabCalc[NAfter]),"#,#0")&amp;" : "&amp;TEXT(_xlfn.XLOOKUP(Tab_NewTRADER[[#This Row],[ClickTick]],TabCalc[Ticker],TabCalc[NAfter])*(Tab_NewTRADER[[#This Row],[M]]-Tab_NewTRADER[[#This Row],[A]])*(1-Commission)*Tab_NewTRADER[[#This Row],[Scale]],"#,#0$")</f>
        <v>1 : 65$</v>
      </c>
      <c r="BM45" s="684">
        <f ca="1">_xlfn.XLOOKUP(Tab_NewTRADER[[#This Row],[ClickTick]],TabCalc[[#This Row],[Ticker]],TabCalc[[#This Row],[GL]])*(1-Commission)</f>
        <v>87625.192100125976</v>
      </c>
      <c r="BN45" s="684"/>
      <c r="BO45" s="669" t="str">
        <f ca="1">Tab_NewTRADER[[#This Row],[ClickTick]]&amp;": "&amp;_xlfn.XLOOKUP(Tab_NewTRADER[[#This Row],[ClickTick]],TabCalc[Ticker],TabCalc[Pile?])</f>
        <v>TSLA: Pile</v>
      </c>
      <c r="BP45" s="351" t="s">
        <v>2071</v>
      </c>
      <c r="BQ45" s="755" t="str" cm="1">
        <f t="array" aca="1" ref="BQ45" ca="1">_xlfn.TEXTJOIN("",,INDEX({"M","A","Y"}, _xlfn.SORTBY({1,2,3}, -CHOOSE({1,2,3}, Tab_NewTRADER[[#This Row],[M]], Tab_NewTRADER[[#This Row],[A]], Tab_NewTRADER[[#This Row],[Agiotage]]))))</f>
        <v>MAY</v>
      </c>
      <c r="BR45" s="902" t="str" cm="1">
        <f t="array" aca="1" ref="BR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S45" s="679">
        <f ca="1">Tab_NewTRADER[[#This Row],[L_Sn]]*Tab_NewTRADER[[#This Row],[L_Sp]]+Tab_NewTRADER[[#This Row],[SellMore]]*Tab_NewTRADER[[#This Row],[M]]</f>
        <v>4249.97</v>
      </c>
      <c r="BT45" s="679">
        <f ca="1">INDEX(
  INDEX(TabConsolid[], , _xlfn.XMATCH(Tab_NewTRADER[[#This Row],[ClickTick]]&amp;1, TabConsolid[#Headers])),
  MATCH(
    -Tab_NewTRADER[[#This Row],[M]],
    INDEX(TabConsolid[], , _xlfn.XMATCH(Tab_NewTRADER[[#This Row],[ClickTick]]&amp;2, TabConsolid[#Headers])),
    -1
  )
)</f>
        <v>1</v>
      </c>
      <c r="BU45" s="679" cm="1">
        <f t="array" aca="1" ref="BU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45" s="1144">
        <f ca="1">Tab_NewTRADER[[#This Row],[ReBuy]]/(Tab_NewTRADER[[#This Row],[L_Sn]]+Tab_NewTRADER[[#This Row],[SellMore]])</f>
        <v>424.99700000000001</v>
      </c>
      <c r="BW45" s="687">
        <f ca="1">((_xlfn.XLOOKUP(Tab_NewTRADER[[#This Row],[ClickTick]],TabCalc[Ticker],TabCalc[NAfter])+Tab_NewTRADER[[#This Row],[L_Sn]])*(Tab_NewTRADER[[#This Row],[Agiotage]]-Tab_NewTRADER[[#This Row],[M]]))/(Tab_NewTRADER[[#This Row],[L_Sn]]*_xlfn.XLOOKUP(Tab_NewTRADER[[#This Row],[ClickTick]],TabCalc[Ticker],TabCalc[NAfter]))</f>
        <v>-446.25411206956875</v>
      </c>
      <c r="BX45" s="687">
        <f ca="1">(Tab_NewTRADER[[#This Row],[M]]-Tab_NewTRADER[[#This Row],[Agiotage]])/(Tab_NewTRADER[[#This Row],[M]]-Tab_NewTRADER[[#This Row],[A]])-1</f>
        <v>5.1223887326617641</v>
      </c>
      <c r="BY45" s="1262">
        <f ca="1">_xlfn.XMATCH(Tab_NewTRADER[[#This Row],[ClickTick]]&amp;1, TabConsolid[#Headers])</f>
        <v>128</v>
      </c>
      <c r="BZ45" t="b">
        <f ca="1">IF(ABS(Tab_NewTRADER[[#This Row],[L_Bp]])&gt;=Tab_NewTRADER[[#This Row],[M]],"OK")</f>
        <v>0</v>
      </c>
    </row>
    <row r="46" spans="1:78"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-5,530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534</v>
      </c>
      <c r="F46" s="226"/>
      <c r="G46" s="225"/>
      <c r="H46" s="493"/>
      <c r="I46" s="1111"/>
      <c r="J46" s="295">
        <f ca="1">_xlfn.XLOOKUP(Tab_NewTRADER[[#This Row],[ClickTick]],TabCalc[Ticker],ListGravity)</f>
        <v>1.2000317721564278</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698725</v>
      </c>
      <c r="M46" s="323">
        <f ca="1">_xlfn.XLOOKUP(Tab_NewTRADER[[#This Row],[ClickTick]],TabCalc[Ticker],TabCalc[Agiotage])</f>
        <v>0.40744502227916013</v>
      </c>
      <c r="N46" s="324" cm="1">
        <f t="array" aca="1" ref="N46" ca="1">_xlfn.XLOOKUP(Tab_NewTRADER[[#This Row],[ClickTick]],ListTickers,Tab2RSIConventional[RSIConv20])</f>
        <v>21</v>
      </c>
      <c r="O46" s="1112"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13">
        <f ca="1">_xlfn.XLOOKUP(Tab_NewTRADER[[#This Row],[ClickTick]],TabCalc[Ticker],TabCalc[L_Bp])</f>
        <v>-286.40249999999997</v>
      </c>
      <c r="R46" s="1114">
        <f ca="1">(Tab_NewTRADER[[#This Row],[M]]+Tab_NewTRADER[[#This Row],[L_Bp]])/ABS(Tab_NewTRADER[[#This Row],[L_Bp]])</f>
        <v>-2.4135613341363871E-2</v>
      </c>
      <c r="S46" s="683">
        <f ca="1">_xlfn.XLOOKUP(Tab_NewTRADER[[#This Row],[ClickTick]],TabCalc[Ticker],TabCalc[Rev(MinStock)])*(1-Commission)</f>
        <v>-5515.6219999999721</v>
      </c>
      <c r="T46" s="1328">
        <f ca="1">_xlfn.XLOOKUP(Tab_NewTRADER[[#This Row],[ClickTick]],TabCalc[Ticker],TabCalc[Agiotage])</f>
        <v>0.40744502227916013</v>
      </c>
      <c r="U46" s="747"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10,710/10,710=&gt;0.6% / 0.6%</v>
      </c>
      <c r="V46" s="1330" t="str">
        <f ca="1">_xlfn.XLOOKUP(Tab_NewTRADER[[#This Row],[ClickTick]],[1]!RTData[Ticker_Symbol],[1]!RTData[Currency])</f>
        <v>USD</v>
      </c>
      <c r="W46" s="749">
        <f ca="1">_xlfn.XLOOKUP(Tab_NewTRADER[[#This Row],[ClickTick]],TabCalc[Ticker],TabCalc[M])</f>
        <v>279.49</v>
      </c>
      <c r="X46" s="1315" t="str">
        <f ca="1">SORTING!B46</f>
        <v>TSM</v>
      </c>
      <c r="Y46" s="803">
        <f ca="1">_xlfn.XLOOKUP(Tab_NewTRADER[[#This Row],[ClickTick]],TabCalc[Ticker],TabCalc[Y])</f>
        <v>335.39688000000001</v>
      </c>
      <c r="Z46" s="1118">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5.6849999999999999E-3</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^871K / 1,258 K$</v>
      </c>
      <c r="AF46" s="1161"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6" s="1530" t="str">
        <f ca="1">TEXT(MIN(Tab_NewTRADER[[#This Row],[L_Bn]],Tab_NewTRADER[[#This Row],[N]]),"#,#0")&amp;" x "&amp;TEXT(Tab_NewTRADER[[#This Row],[L_Bp]],"#,#0.#0")</f>
        <v>800 x -286.40</v>
      </c>
      <c r="AH46" s="1530" t="str" cm="1">
        <f t="array" aca="1" ref="AH46" ca="1">_xlfn.IFS(Tab_NewTRADER[[#This Row],[M_State]]=Sale_Back,Tab_NewTRADER[[#This Row],[Sale_Back_$]], TRUE,"M = "&amp;Tab_NewTRADER[[#This Row],[M]])</f>
        <v>M = 279.49</v>
      </c>
      <c r="AI46" s="1433" cm="1">
        <f t="array" aca="1" ref="AI46" ca="1">IF(Tab_NewTRADER[[#This Row],[M_State]]=MUp,_xlfn.IFS(Tab_NewTRADER[[#This Row],[M_State]]=MUp,MIN(Tab_NewTRADER[[#This Row],[N]],Tab_NewTRADER[[#This Row],[L_Bn]])*(Tab_NewTRADER[[#This Row],[M]]-Tab_NewTRADER[[#This Row],[L_Sp]])*Tab_NewTRADER[[#This Row],[Scale]]*ComFactor, TRUE,0),0)</f>
        <v>0</v>
      </c>
      <c r="AJ46" s="1433" cm="1">
        <f t="array" aca="1" ref="AJ46" ca="1">_xlfn.IFS(Tab_NewTRADER[[#This Row],[M_State]]=MUp,                 MIN(Tab_NewTRADER[[#This Row],[L_Sn]],Tab_NewTRADER[[#This Row],[N]])*(Tab_NewTRADER[[#This Row],[M]]-Tab_NewTRADER[[#This Row],[A]])*Tab_NewTRADER[[#This Row],[Scale]]*ComFactor, TRUE,0)</f>
        <v>0</v>
      </c>
      <c r="AK46" s="1433" cm="1">
        <f t="array" aca="1" ref="AK46" ca="1">_xlfn.IFS(Tab_NewTRADER[[#This Row],[M_State]]=MUp,                  Tab_NewTRADER[[#This Row],[N]]*(Tab_NewTRADER[[#This Row],[M]]-Tab_NewTRADER[[#This Row],[A]])*Tab_NewTRADER[[#This Row],[Scale]]*ComFactor, TRUE,0)</f>
        <v>0</v>
      </c>
      <c r="AL46" s="1435" t="str">
        <f ca="1">TEXT(Tab_NewTRADER[[#This Row],[L_Sn]],"#,#0")&amp;" x "&amp;TEXT(Tab_NewTRADER[[#This Row],[L_Sp]],"#,#0.#0")</f>
        <v>300 x 288.85</v>
      </c>
      <c r="AM46" s="1465" t="str" cm="1">
        <f t="array" aca="1" ref="AM46" ca="1">_xlfn.IFS(Tab_NewTRADER[[#This Row],[M_State]]=RePurchaseGain,TEXT(-Tab_NewTRADER[[#This Row],[Buy_Back]],"#,#0")&amp;"       / "&amp;TEXT(Tab_NewTRADER[[#This Row],[Rev_Buy]],"#,#00.0)%"),TRUE,"M = "&amp;Tab_NewTRADER[[#This Row],[M]])</f>
        <v>2,801       / 03.2)%</v>
      </c>
      <c r="AN46" s="1435" cm="1">
        <f t="array" aca="1" ref="AN46" ca="1">_xlfn.IFS(Tab_NewTRADER[[#This Row],[M_State]]=MDown,TEXT(Tab_NewTRADER[[#This Row],[L_Sn]]*(Tab_NewTRADER[[#This Row],[M]]-Tab_NewTRADER[[#This Row],[L_Sp]])*ComFactor,"#,#0")&amp;"       / "&amp;TEXT((TabTRADER[[#This Row],[M]]-TabTRADER[[#This Row],[L_Sp]])/TabTRADER[[#This Row],[M]],"#,#00.0)%"),TRUE,0)</f>
        <v>0</v>
      </c>
      <c r="AO46" s="1486" cm="1">
        <f t="array" aca="1" ref="AO46" ca="1">_xlfn.IFS(Tab_NewTRADER[[#This Row],[M_State]]=MDown,TEXT(Tab_NewTRADER[[#This Row],[N]]*(Tab_NewTRADER[[#This Row],[M]]-Tab_NewTRADER[[#This Row],[A]])*Tab_NewTRADER[[#This Row],[Scale]]*ComFactor,"#,#0")&amp;"       / "&amp;TEXT((TabTRADER[[#This Row],[M]]-TabTRADER[[#This Row],[L_Bp]])/TabTRADER[[#This Row],[M]],"#,#00.0%"),TRUE,0)</f>
        <v>0</v>
      </c>
      <c r="AP46" s="1435" t="str" cm="1">
        <f t="array" aca="1" ref="AP46" ca="1">_xlfn.IFS(Tab_NewTRADER[[#This Row],[M_State]]=MDown,TEXT(Tab_NewTRADER[[#This Row],[N]]*Tab_NewTRADER[[#This Row],[M]],"#,#0")&amp;" @ "&amp;TEXT(Tab_NewTRADER[[#This Row],[A]],"#,#0.#0"),TRUE,"M = "&amp; Tab_NewTRADER[[#This Row],[M]])</f>
        <v>M = 279.49</v>
      </c>
      <c r="AQ46" s="760">
        <f ca="1">Tab_NewTRADER[[#This Row],[N]]*(Tab_NewTRADER[[#This Row],[M]]-Tab_NewTRADER[[#This Row],[A]])*(1-Commission)*Tab_NewTRADER[[#This Row],[Scale]]</f>
        <v>339033.53434462514</v>
      </c>
      <c r="AR46" s="760">
        <f ca="1">Tab_NewTRADER[[#This Row],[M]]*Tab_NewTRADER[[#This Row],[N]]*(1-Commission)*Tab_NewTRADER[[#This Row],[Scale]]</f>
        <v>1254434.9669999999</v>
      </c>
      <c r="AS46" s="1174" cm="1">
        <f t="array" aca="1" ref="AS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3.2404362125670806E-2</v>
      </c>
      <c r="AT46" s="1174" t="str" cm="1">
        <f t="array" aca="1" ref="AT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6" s="760" t="str" cm="1">
        <f t="array" aca="1" ref="AU46" ca="1">_xlfn.IFS(   Tab_NewTRADER[[#This Row],[M_State]]=SellMorePercentGain,                     MIN(Tab_NewTRADER[[#This Row],[L_Sn]],Tab_NewTRADER[[#This Row],[N]])*(Tab_NewTRADER[[#This Row],[M]]-Tab_NewTRADER[[#This Row],[L_Sp]])*(1-Commission)*Tab_NewTRADER[[#This Row],[Scale]],                    TRUE,"")</f>
        <v/>
      </c>
      <c r="AV46" s="1163">
        <f ca="1">_xlfn.XLOOKUP(Tab_NewTRADER[[#This Row],[ClickTick]],TabCalc[Ticker],TabCalc[Ann%RevLB])</f>
        <v>-0.31031502867467836</v>
      </c>
      <c r="AW46" s="1267">
        <f ca="1">_xlfn.XLOOKUP(Tab_NewTRADER[[#This Row],[ClickTick]],TabCalc[Ticker],TabCalc[Up20])</f>
        <v>0</v>
      </c>
      <c r="AX46" s="1333" t="str" cm="1">
        <f t="array" aca="1" ref="AX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6" s="760" t="str" cm="1">
        <f t="array" aca="1" ref="AY46" ca="1">_xlfn.IFS(         Tab_NewTRADER[[#This Row],[M_State]]=MDown,Tab_NewTRADER[[#This Row],[L_Bn]]*Tab_NewTRADER[[#This Row],[M]]*(-(Tab_NewTRADER[[#This Row],[L_Bp]]+Tab_NewTRADER[[#This Row],[M]])/Tab_NewTRADER[[#This Row],[M]])*(1-Commission)*Tab_NewTRADER[[#This Row],[Scale]],                               TRUE,"")</f>
        <v/>
      </c>
      <c r="AZ46" s="1174" t="str" cm="1">
        <f t="array" aca="1" ref="AZ46" ca="1">_xlfn.IFS(   Tab_NewTRADER[[#This Row],[M_State]]=MUp,Tab_NewTRADER[[#This Row],[TakeGain_A]]-Commission,        Tab_NewTRADER[[#This Row],[M_State]]=MDown,(Tab_NewTRADER[[#This Row],[A]]-Tab_NewTRADER[[#This Row],[M]])/Tab_NewTRADER[[#This Row],[M]]-Commission,                              TRUE,"")</f>
        <v/>
      </c>
      <c r="BA46" s="825" cm="1">
        <f t="array" aca="1" ref="BA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339033.53434462514</v>
      </c>
      <c r="BB46" s="760" t="str" cm="1">
        <f t="array" aca="1" ref="BB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C46" s="1120" t="str" cm="1">
        <f t="array" aca="1" ref="BC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6" s="765" cm="1">
        <f t="array" aca="1" ref="BD46" ca="1">_xlfn.IFS(Tab_NewTRADER[[#This Row],[M_State]]=Sale_Back,"",         Tab_NewTRADER[[#This Row],[M_State]]=MDown, (Tab_NewTRADER[[#This Row],[M]]-Tab_NewTRADER[[#This Row],[A]])/Tab_NewTRADER[[#This Row],[A]]*ComFactor,             TRUE, IFERROR((Tab_NewTRADER[[#This Row],[M]]-Tab_NewTRADER[[#This Row],[A]])/Tab_NewTRADER[[#This Row],[A]]*ComFactor,""))</f>
        <v>0.36940301281201365</v>
      </c>
      <c r="BE46" s="762" cm="1">
        <f t="array" aca="1" ref="BE46" ca="1">_xlfn.IFS(               Tab_NewTRADER[[#This Row],[M_State]]=NoStock,(Tab_NewTRADER[[#This Row],[L_Sp]]-Tab_NewTRADER[[#This Row],[M]])/Tab_NewTRADER[[#This Row],[M]]-Commission,             Tab_NewTRADER[[#This Row],[A]]&lt;&gt;0,(Tab_NewTRADER[[#This Row],[A]]-Tab_NewTRADER[[#This Row],[M]])/Tab_NewTRADER[[#This Row],[M]]-Commission)</f>
        <v>-0.27286792401636323</v>
      </c>
      <c r="BF46" s="1335">
        <f ca="1">_xlfn.XLOOKUP(Tab_NewTRADER[[#This Row],[ClickTick]],TabCalc[Ticker],TabCalc[L_Sn])</f>
        <v>300</v>
      </c>
      <c r="BG46" s="728">
        <f ca="1">_xlfn.XLOOKUP(Tab_NewTRADER[[#This Row],[ClickTick]],TabCalc[Ticker],TabCalc[L_Sp])</f>
        <v>288.85000000000002</v>
      </c>
      <c r="BH46" s="1114">
        <f ca="1">-IFERROR((Tab_NewTRADER[[#This Row],[M]]-Tab_NewTRADER[[#This Row],[L_Sp]])/Tab_NewTRADER[[#This Row],[L_Sp]],0)</f>
        <v>3.2404362125670806E-2</v>
      </c>
      <c r="BI46" s="1123">
        <f ca="1">MIN(Tab_NewTRADER[[#This Row],[L_Sn]],Tab_NewTRADER[[#This Row],[N]])*(Tab_NewTRADER[[#This Row],[M]]-Tab_NewTRADER[[#This Row],[L_Sp]])*(1-Commission)*Tab_NewTRADER[[#This Row],[Scale]]</f>
        <v>-2800.6992000000041</v>
      </c>
      <c r="BJ46" s="692">
        <f ca="1">Tab_NewTRADER[[#This Row],[L_Sn]]*(Tab_NewTRADER[[#This Row],[Agiotage]]-Tab_NewTRADER[[#This Row],[M]])/(Tab_NewTRADER[[#This Row],[L_Bn]]*Tab_NewTRADER[[#This Row],[M]])</f>
        <v>-0.37445331896184236</v>
      </c>
      <c r="BK46" s="1124">
        <f ca="1">IFERROR((Tab_NewTRADER[[#This Row],[M]]-Tab_NewTRADER[[#This Row],[A]])/Tab_NewTRADER[[#This Row],[A]],0)</f>
        <v>0.37036596431924368</v>
      </c>
      <c r="BL46" s="638" t="str">
        <f ca="1">TEXT(_xlfn.XLOOKUP(Tab_NewTRADER[[#This Row],[ClickTick]],TabCalc[Ticker],TabCalc[NAfter]),"#,#0")&amp;" : "&amp;TEXT(_xlfn.XLOOKUP(Tab_NewTRADER[[#This Row],[ClickTick]],TabCalc[Ticker],TabCalc[NAfter])*(Tab_NewTRADER[[#This Row],[M]]-Tab_NewTRADER[[#This Row],[A]])*(1-Commission)*Tab_NewTRADER[[#This Row],[Scale]],"#,#0$")</f>
        <v>4,500 : 339,034$</v>
      </c>
      <c r="BM46" s="684"/>
      <c r="BN46" s="684"/>
      <c r="BO46" s="669" t="str">
        <f ca="1">Tab_NewTRADER[[#This Row],[ClickTick]]&amp;": "&amp;_xlfn.XLOOKUP(Tab_NewTRADER[[#This Row],[ClickTick]],TabCalc[Ticker],TabCalc[Pile?])</f>
        <v xml:space="preserve">TSM: </v>
      </c>
      <c r="BP46" s="351"/>
      <c r="BQ46" s="1337" t="str" cm="1">
        <f t="array" aca="1" ref="BQ46" ca="1">_xlfn.TEXTJOIN("",,INDEX({"M","A","Y"}, _xlfn.SORTBY({1,2,3}, -CHOOSE({1,2,3}, Tab_NewTRADER[[#This Row],[M]], Tab_NewTRADER[[#This Row],[A]], Tab_NewTRADER[[#This Row],[Agiotage]]))))</f>
        <v>MAY</v>
      </c>
      <c r="BR46" s="902" t="str" cm="1">
        <f t="array" aca="1" ref="BR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6" s="679">
        <f ca="1">Tab_NewTRADER[[#This Row],[L_Sn]]*Tab_NewTRADER[[#This Row],[L_Sp]]+Tab_NewTRADER[[#This Row],[SellMore]]*Tab_NewTRADER[[#This Row],[M]]</f>
        <v>226400</v>
      </c>
      <c r="BT46" s="679">
        <f ca="1">INDEX(
  INDEX(TabConsolid[], , _xlfn.XMATCH(Tab_NewTRADER[[#This Row],[ClickTick]]&amp;1, TabConsolid[#Headers])),
  MATCH(
    -Tab_NewTRADER[[#This Row],[M]],
    INDEX(TabConsolid[], , _xlfn.XMATCH(Tab_NewTRADER[[#This Row],[ClickTick]]&amp;2, TabConsolid[#Headers])),
    -1
  )
)</f>
        <v>500</v>
      </c>
      <c r="BU46" s="679" cm="1">
        <f t="array" aca="1" ref="BU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V46" s="1144">
        <f ca="1">Tab_NewTRADER[[#This Row],[ReBuy]]/(Tab_NewTRADER[[#This Row],[L_Sn]]+Tab_NewTRADER[[#This Row],[SellMore]])</f>
        <v>283</v>
      </c>
      <c r="BW46" s="687">
        <f ca="1">((_xlfn.XLOOKUP(Tab_NewTRADER[[#This Row],[ClickTick]],TabCalc[Ticker],TabCalc[NAfter])+Tab_NewTRADER[[#This Row],[L_Sn]])*(Tab_NewTRADER[[#This Row],[Agiotage]]-Tab_NewTRADER[[#This Row],[M]]))/(Tab_NewTRADER[[#This Row],[L_Sn]]*_xlfn.XLOOKUP(Tab_NewTRADER[[#This Row],[ClickTick]],TabCalc[Ticker],TabCalc[NAfter]))</f>
        <v>-0.99229352880967414</v>
      </c>
      <c r="BX46" s="687">
        <f ca="1">(Tab_NewTRADER[[#This Row],[M]]-Tab_NewTRADER[[#This Row],[Agiotage]])/(Tab_NewTRADER[[#This Row],[M]]-Tab_NewTRADER[[#This Row],[A]])-1</f>
        <v>2.6946381540925666</v>
      </c>
      <c r="BY46" s="1262">
        <f ca="1">_xlfn.XMATCH(Tab_NewTRADER[[#This Row],[ClickTick]]&amp;1, TabConsolid[#Headers])</f>
        <v>131</v>
      </c>
      <c r="BZ46" t="str">
        <f ca="1">IF(ABS(Tab_NewTRADER[[#This Row],[L_Bp]])&gt;=Tab_NewTRADER[[#This Row],[M]],"OK")</f>
        <v>OK</v>
      </c>
    </row>
    <row r="47" spans="1:78"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-2,447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-23.1%</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-4,338$</v>
      </c>
      <c r="G47" s="225" t="str">
        <f ca="1">IFERROR(TRUNC(_xlfn.XLOOKUP(Tab_NewTRADER[[#This Row],[ClickTick]],TabCalc[Ticker],ListLastSalep),2)&amp;"x"&amp;_xlfn.XLOOKUP(Tab_NewTRADER[[#This Row],[ClickTick]],TabCalc[Ticker],ListLastSalen)&amp;"=   "&amp;TEXT(-_xlfn.XLOOKUP(Tab_NewTRADER[[#This Row],[ClickTick]],TabCalc[Ticker],ListReverseB),"#,#0")&amp;"$","")</f>
        <v>44.29x350=   -4,917$</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46.4% = 356</v>
      </c>
      <c r="I47" s="226" t="str">
        <f ca="1">IFERROR(TRUNC(TabCalc[[#This Row],[L_S1p]],2)&amp;"x"&amp;TabCalc[[#This Row],[L_S1n]]&amp;"=   "&amp;TEXT(TabCalc[[#This Row],[ReverseB1]],"#,#0"),"")</f>
        <v>43.37x2500=   32,800</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69575</v>
      </c>
      <c r="M47" s="323">
        <f ca="1">_xlfn.XLOOKUP(Tab_NewTRADER[[#This Row],[ClickTick]],TabCalc[Ticker],TabCalc[Agiotage])</f>
        <v>1.1235955056179776E-3</v>
      </c>
      <c r="N47" s="324" cm="1">
        <f t="array" aca="1" ref="N47" ca="1">_xlfn.XLOOKUP(Tab_NewTRADER[[#This Row],[ClickTick]],ListTickers,Tab2RSIConventional[RSIConv20])</f>
        <v>65</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-0.18771666483175659</v>
      </c>
      <c r="S47" s="683">
        <f ca="1">_xlfn.XLOOKUP(Tab_NewTRADER[[#This Row],[ClickTick]],TabCalc[Ticker],TabCalc[Rev(MinStock)])*(1-Commission)</f>
        <v>-2440.3834629999988</v>
      </c>
      <c r="T47" s="782">
        <f ca="1">_xlfn.XLOOKUP(Tab_NewTRADER[[#This Row],[ClickTick]],TabCalc[Ticker],TabCalc[Agiotage])</f>
        <v>1.1235955056179776E-3</v>
      </c>
      <c r="U47" s="747"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2,100/2,100=&gt;-0.7% / -0.7%</v>
      </c>
      <c r="V47" s="739" t="str">
        <f ca="1">_xlfn.XLOOKUP(Tab_NewTRADER[[#This Row],[ClickTick]],[1]!RTData[Ticker_Symbol],[1]!RTData[Currency])</f>
        <v>EUR</v>
      </c>
      <c r="W47" s="749">
        <f ca="1">_xlfn.XLOOKUP(Tab_NewTRADER[[#This Row],[ClickTick]],TabCalc[Ticker],TabCalc[M])</f>
        <v>30.25</v>
      </c>
      <c r="X47" s="1315"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-6.5680000000000009E-3</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-199K /91 K$</v>
      </c>
      <c r="AF47" s="1182"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7" s="1530" t="str">
        <f ca="1">TEXT(MIN(Tab_NewTRADER[[#This Row],[L_Bn]],Tab_NewTRADER[[#This Row],[N]]),"#,#0")&amp;" x "&amp;TEXT(Tab_NewTRADER[[#This Row],[L_Bp]],"#,#0.#0")</f>
        <v>350 x -37.24</v>
      </c>
      <c r="AH47" s="1530" t="str" cm="1">
        <f t="array" aca="1" ref="AH47" ca="1">_xlfn.IFS(Tab_NewTRADER[[#This Row],[M_State]]=Sale_Back,Tab_NewTRADER[[#This Row],[Sale_Back_$]], TRUE,"M = "&amp;Tab_NewTRADER[[#This Row],[M]])</f>
        <v>M = 30.25</v>
      </c>
      <c r="AI47" s="1433" cm="1">
        <f t="array" aca="1" ref="AI47" ca="1">IF(Tab_NewTRADER[[#This Row],[M_State]]=MUp,_xlfn.IFS(Tab_NewTRADER[[#This Row],[M_State]]=MUp,MIN(Tab_NewTRADER[[#This Row],[N]],Tab_NewTRADER[[#This Row],[L_Bn]])*(Tab_NewTRADER[[#This Row],[M]]-Tab_NewTRADER[[#This Row],[L_Sp]])*Tab_NewTRADER[[#This Row],[Scale]]*ComFactor, TRUE,0),0)</f>
        <v>0</v>
      </c>
      <c r="AJ47" s="1433" cm="1">
        <f t="array" aca="1" ref="AJ47" ca="1">_xlfn.IFS(Tab_NewTRADER[[#This Row],[M_State]]=MUp,                 MIN(Tab_NewTRADER[[#This Row],[L_Sn]],Tab_NewTRADER[[#This Row],[N]])*(Tab_NewTRADER[[#This Row],[M]]-Tab_NewTRADER[[#This Row],[A]])*Tab_NewTRADER[[#This Row],[Scale]]*ComFactor, TRUE,0)</f>
        <v>0</v>
      </c>
      <c r="AK47" s="1433" cm="1">
        <f t="array" aca="1" ref="AK47" ca="1">_xlfn.IFS(Tab_NewTRADER[[#This Row],[M_State]]=MUp,                  Tab_NewTRADER[[#This Row],[N]]*(Tab_NewTRADER[[#This Row],[M]]-Tab_NewTRADER[[#This Row],[A]])*Tab_NewTRADER[[#This Row],[Scale]]*ComFactor, TRUE,0)</f>
        <v>0</v>
      </c>
      <c r="AL47" s="1435" t="str">
        <f ca="1">TEXT(Tab_NewTRADER[[#This Row],[L_Sn]],"#,#0")&amp;" x "&amp;TEXT(Tab_NewTRADER[[#This Row],[L_Sp]],"#,#0.#0")</f>
        <v>350 x 44.30</v>
      </c>
      <c r="AM47" s="1465" t="str" cm="1">
        <f t="array" aca="1" ref="AM47" ca="1">_xlfn.IFS(Tab_NewTRADER[[#This Row],[M_State]]=RePurchaseGain,TEXT(-Tab_NewTRADER[[#This Row],[Buy_Back]],"#,#0")&amp;"       / "&amp;TEXT(Tab_NewTRADER[[#This Row],[Rev_Buy]],"#,#00.0)%"),TRUE,"M = "&amp;Tab_NewTRADER[[#This Row],[M]])</f>
        <v>M = 30.25</v>
      </c>
      <c r="AN47" s="1435" t="str" cm="1">
        <f t="array" aca="1" ref="AN47" ca="1">_xlfn.IFS(Tab_NewTRADER[[#This Row],[M_State]]=MDown,TEXT(Tab_NewTRADER[[#This Row],[L_Sn]]*(Tab_NewTRADER[[#This Row],[M]]-Tab_NewTRADER[[#This Row],[L_Sp]])*ComFactor,"#,#0")&amp;"       / "&amp;TEXT((TabTRADER[[#This Row],[M]]-TabTRADER[[#This Row],[L_Sp]])/TabTRADER[[#This Row],[M]],"#,#00.0)%"),TRUE,0)</f>
        <v>-4,904       / -46.4)%</v>
      </c>
      <c r="AO47" s="1486" t="str" cm="1">
        <f t="array" aca="1" ref="AO47" ca="1">_xlfn.IFS(Tab_NewTRADER[[#This Row],[M_State]]=MDown,TEXT(Tab_NewTRADER[[#This Row],[N]]*(Tab_NewTRADER[[#This Row],[M]]-Tab_NewTRADER[[#This Row],[A]])*Tab_NewTRADER[[#This Row],[Scale]]*ComFactor,"#,#0")&amp;"       / "&amp;TEXT((TabTRADER[[#This Row],[M]]-TabTRADER[[#This Row],[L_Bp]])/TabTRADER[[#This Row],[M]],"#,#00.0%"),TRUE,0)</f>
        <v>-33,960       / 223.1%</v>
      </c>
      <c r="AP47" s="1435" t="str" cm="1">
        <f t="array" aca="1" ref="AP47" ca="1">_xlfn.IFS(Tab_NewTRADER[[#This Row],[M_State]]=MDown,TEXT(Tab_NewTRADER[[#This Row],[N]]*Tab_NewTRADER[[#This Row],[M]],"#,#0")&amp;" @ "&amp;TEXT(Tab_NewTRADER[[#This Row],[A]],"#,#0.#0"),TRUE,"M = "&amp; Tab_NewTRADER[[#This Row],[M]])</f>
        <v>90,750 @ 41.60</v>
      </c>
      <c r="AQ47" s="1165">
        <f ca="1">Tab_NewTRADER[[#This Row],[N]]*(Tab_NewTRADER[[#This Row],[M]]-Tab_NewTRADER[[#This Row],[A]])*(1-Commission)*Tab_NewTRADER[[#This Row],[Scale]]</f>
        <v>-33959.525070000003</v>
      </c>
      <c r="AR47" s="1165">
        <f ca="1">Tab_NewTRADER[[#This Row],[M]]*Tab_NewTRADER[[#This Row],[N]]*(1-Commission)*Tab_NewTRADER[[#This Row],[Scale]]</f>
        <v>90514.05</v>
      </c>
      <c r="AS47" s="1173" cm="1">
        <f t="array" aca="1" ref="AS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0.27282517635491904</v>
      </c>
      <c r="AT47" s="1174" cm="1">
        <f t="array" aca="1" ref="AT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0.22849752066115692</v>
      </c>
      <c r="AU47" s="825" t="str" cm="1">
        <f t="array" aca="1" ref="AU47" ca="1">_xlfn.IFS(   Tab_NewTRADER[[#This Row],[M_State]]=SellMorePercentGain,                     MIN(Tab_NewTRADER[[#This Row],[L_Sn]],Tab_NewTRADER[[#This Row],[N]])*(Tab_NewTRADER[[#This Row],[M]]-Tab_NewTRADER[[#This Row],[L_Sp]])*(1-Commission)*Tab_NewTRADER[[#This Row],[Scale]],                    TRUE,"")</f>
        <v/>
      </c>
      <c r="AV47" s="1163">
        <f ca="1">_xlfn.XLOOKUP(Tab_NewTRADER[[#This Row],[ClickTick]],TabCalc[Ticker],TabCalc[Ann%RevLB])</f>
        <v>-0.54498386564058365</v>
      </c>
      <c r="AW47" s="1267">
        <f ca="1">_xlfn.XLOOKUP(Tab_NewTRADER[[#This Row],[ClickTick]],TabCalc[Ticker],TabCalc[Up20])</f>
        <v>0</v>
      </c>
      <c r="AX47" s="310" cm="1">
        <f t="array" aca="1" ref="AX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0.23109752066115691</v>
      </c>
      <c r="AY47" s="825" cm="1">
        <f t="array" aca="1" ref="AY47" ca="1">_xlfn.IFS(         Tab_NewTRADER[[#This Row],[M_State]]=MDown,Tab_NewTRADER[[#This Row],[L_Bn]]*Tab_NewTRADER[[#This Row],[M]]*(-(Tab_NewTRADER[[#This Row],[L_Bp]]+Tab_NewTRADER[[#This Row],[M]])/Tab_NewTRADER[[#This Row],[M]])*(1-Commission)*Tab_NewTRADER[[#This Row],[Scale]],                               TRUE,"")</f>
        <v>2440.3834629999988</v>
      </c>
      <c r="AZ47" s="1174" cm="1">
        <f t="array" aca="1" ref="AZ47" ca="1">_xlfn.IFS(   Tab_NewTRADER[[#This Row],[M_State]]=MUp,Tab_NewTRADER[[#This Row],[TakeGain_A]]-Commission,        Tab_NewTRADER[[#This Row],[M_State]]=MDown,(Tab_NewTRADER[[#This Row],[A]]-Tab_NewTRADER[[#This Row],[M]])/Tab_NewTRADER[[#This Row],[M]]-Commission,                              TRUE,"")</f>
        <v>0.37258512396694221</v>
      </c>
      <c r="BA47" s="825" cm="1">
        <f t="array" aca="1" ref="BA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33959.525070000003</v>
      </c>
      <c r="BB47" s="760" t="str" cm="1">
        <f t="array" aca="1" ref="BB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C47" s="736" cm="1">
        <f t="array" aca="1" ref="BC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-6.99</v>
      </c>
      <c r="BD47" s="765" cm="1">
        <f t="array" aca="1" ref="BD47" ca="1">_xlfn.IFS(Tab_NewTRADER[[#This Row],[M_State]]=Sale_Back,"",         Tab_NewTRADER[[#This Row],[M_State]]=MDown, (Tab_NewTRADER[[#This Row],[M]]-Tab_NewTRADER[[#This Row],[A]])/Tab_NewTRADER[[#This Row],[A]]*ComFactor,             TRUE, IFERROR((Tab_NewTRADER[[#This Row],[M]]-Tab_NewTRADER[[#This Row],[A]])/Tab_NewTRADER[[#This Row],[A]]*ComFactor,""))</f>
        <v>-0.27211583089639624</v>
      </c>
      <c r="BE47" s="762" cm="1">
        <f t="array" aca="1" ref="BE47" ca="1">_xlfn.IFS(               Tab_NewTRADER[[#This Row],[M_State]]=NoStock,(Tab_NewTRADER[[#This Row],[L_Sp]]-Tab_NewTRADER[[#This Row],[M]])/Tab_NewTRADER[[#This Row],[M]]-Commission,             Tab_NewTRADER[[#This Row],[A]]&lt;&gt;0,(Tab_NewTRADER[[#This Row],[A]]-Tab_NewTRADER[[#This Row],[M]])/Tab_NewTRADER[[#This Row],[M]]-Commission)</f>
        <v>0.37258512396694221</v>
      </c>
      <c r="BF47" s="324">
        <f ca="1">_xlfn.XLOOKUP(Tab_NewTRADER[[#This Row],[ClickTick]],TabCalc[Ticker],TabCalc[L_Sn])</f>
        <v>350</v>
      </c>
      <c r="BG47" s="728">
        <f ca="1">_xlfn.XLOOKUP(Tab_NewTRADER[[#This Row],[ClickTick]],TabCalc[Ticker],TabCalc[L_Sp])</f>
        <v>44.298769999999998</v>
      </c>
      <c r="BH47" s="764">
        <f ca="1">-IFERROR((Tab_NewTRADER[[#This Row],[M]]-Tab_NewTRADER[[#This Row],[L_Sp]])/Tab_NewTRADER[[#This Row],[L_Sp]],0)</f>
        <v>0.31713679634897307</v>
      </c>
      <c r="BI47" s="729">
        <f ca="1">MIN(Tab_NewTRADER[[#This Row],[L_Sn]],Tab_NewTRADER[[#This Row],[N]])*(Tab_NewTRADER[[#This Row],[M]]-Tab_NewTRADER[[#This Row],[L_Sp]])*(1-Commission)*Tab_NewTRADER[[#This Row],[Scale]]</f>
        <v>-4904.2851192999988</v>
      </c>
      <c r="BJ47" s="692">
        <f ca="1">Tab_NewTRADER[[#This Row],[L_Sn]]*(Tab_NewTRADER[[#This Row],[Agiotage]]-Tab_NewTRADER[[#This Row],[M]])/(Tab_NewTRADER[[#This Row],[L_Bn]]*Tab_NewTRADER[[#This Row],[M]])</f>
        <v>-0.99996285634692172</v>
      </c>
      <c r="BK47" s="635">
        <f ca="1">IFERROR((Tab_NewTRADER[[#This Row],[M]]-Tab_NewTRADER[[#This Row],[A]])/Tab_NewTRADER[[#This Row],[A]],0)</f>
        <v>-0.27282517635491904</v>
      </c>
      <c r="BL47" s="638" t="str">
        <f ca="1">TEXT(_xlfn.XLOOKUP(Tab_NewTRADER[[#This Row],[ClickTick]],TabCalc[Ticker],TabCalc[NAfter]),"#,#0")&amp;" : "&amp;TEXT(_xlfn.XLOOKUP(Tab_NewTRADER[[#This Row],[ClickTick]],TabCalc[Ticker],TabCalc[NAfter])*(Tab_NewTRADER[[#This Row],[M]]-Tab_NewTRADER[[#This Row],[A]])*(1-Commission)*Tab_NewTRADER[[#This Row],[Scale]],"#,#0$")</f>
        <v>3,000 : -33,960$</v>
      </c>
      <c r="BM47" s="684">
        <f ca="1">_xlfn.XLOOKUP(Tab_NewTRADER[[#This Row],[ClickTick]],TabCalc[[#This Row],[Ticker]],TabCalc[[#This Row],[GL]])*(1-Commission)</f>
        <v>-198901.52665836181</v>
      </c>
      <c r="BN47" s="684"/>
      <c r="BO47" s="669" t="str">
        <f ca="1">Tab_NewTRADER[[#This Row],[ClickTick]]&amp;": "&amp;_xlfn.XLOOKUP(Tab_NewTRADER[[#This Row],[ClickTick]],TabCalc[Ticker],TabCalc[Pile?])</f>
        <v>UN0: Pile</v>
      </c>
      <c r="BP47" s="351" t="s">
        <v>1920</v>
      </c>
      <c r="BQ47" s="756" t="str" cm="1">
        <f t="array" aca="1" ref="BQ47" ca="1">_xlfn.TEXTJOIN("",,INDEX({"M","A","Y"}, _xlfn.SORTBY({1,2,3}, -CHOOSE({1,2,3}, Tab_NewTRADER[[#This Row],[M]], Tab_NewTRADER[[#This Row],[A]], Tab_NewTRADER[[#This Row],[Agiotage]]))))</f>
        <v>AMY</v>
      </c>
      <c r="BR47" s="902" cm="1">
        <f t="array" aca="1" ref="BR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0.23109752066115691</v>
      </c>
      <c r="BS47" s="679" t="e">
        <f ca="1">Tab_NewTRADER[[#This Row],[L_Sn]]*Tab_NewTRADER[[#This Row],[L_Sp]]+Tab_NewTRADER[[#This Row],[SellMore]]*Tab_NewTRADER[[#This Row],[M]]</f>
        <v>#N/A</v>
      </c>
      <c r="BT47" s="679" t="e">
        <f ca="1">INDEX(
  INDEX(TabConsolid[], , _xlfn.XMATCH(Tab_NewTRADER[[#This Row],[ClickTick]]&amp;1, TabConsolid[#Headers])),
  MATCH(
    -Tab_NewTRADER[[#This Row],[M]],
    INDEX(TabConsolid[], , _xlfn.XMATCH(Tab_NewTRADER[[#This Row],[ClickTick]]&amp;2, TabConsolid[#Headers])),
    -1
  )
)</f>
        <v>#N/A</v>
      </c>
      <c r="BU47" s="679" cm="1">
        <f t="array" aca="1" ref="BU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V47" s="1144" t="e">
        <f ca="1">Tab_NewTRADER[[#This Row],[ReBuy]]/(Tab_NewTRADER[[#This Row],[L_Sn]]+Tab_NewTRADER[[#This Row],[SellMore]])</f>
        <v>#N/A</v>
      </c>
      <c r="BW47" s="687">
        <f ca="1">((_xlfn.XLOOKUP(Tab_NewTRADER[[#This Row],[ClickTick]],TabCalc[Ticker],TabCalc[NAfter])+Tab_NewTRADER[[#This Row],[L_Sn]])*(Tab_NewTRADER[[#This Row],[Agiotage]]-Tab_NewTRADER[[#This Row],[M]]))/(Tab_NewTRADER[[#This Row],[L_Sn]]*_xlfn.XLOOKUP(Tab_NewTRADER[[#This Row],[ClickTick]],TabCalc[Ticker],TabCalc[NAfter]))</f>
        <v>-9.6508319957196359E-2</v>
      </c>
      <c r="BX47" s="687">
        <f ca="1">(Tab_NewTRADER[[#This Row],[M]]-Tab_NewTRADER[[#This Row],[Agiotage]])/(Tab_NewTRADER[[#This Row],[M]]-Tab_NewTRADER[[#This Row],[A]])-1</f>
        <v>-3.6652518782568499</v>
      </c>
      <c r="BY47" s="1262">
        <f ca="1">_xlfn.XMATCH(Tab_NewTRADER[[#This Row],[ClickTick]]&amp;1, TabConsolid[#Headers])</f>
        <v>134</v>
      </c>
      <c r="BZ47" t="str">
        <f ca="1">IF(ABS(Tab_NewTRADER[[#This Row],[L_Bp]])&gt;=Tab_NewTRADER[[#This Row],[M]],"OK")</f>
        <v>OK</v>
      </c>
    </row>
    <row r="48" spans="1:78"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-24,490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-57.2%</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1.2548131868131869</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30965.025000000001</v>
      </c>
      <c r="M48" s="323">
        <f ca="1">_xlfn.XLOOKUP(Tab_NewTRADER[[#This Row],[ClickTick]],TabCalc[Ticker],TabCalc[Agiotage])</f>
        <v>0.26303192443508255</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-0.36397849462365595</v>
      </c>
      <c r="S48" s="683">
        <f ca="1">_xlfn.XLOOKUP(Tab_NewTRADER[[#This Row],[ClickTick]],TabCalc[Ticker],TabCalc[Rev(MinStock)])*(1-Commission)</f>
        <v>-24426.799765000003</v>
      </c>
      <c r="T48" s="782">
        <f ca="1">_xlfn.XLOOKUP(Tab_NewTRADER[[#This Row],[ClickTick]],TabCalc[Ticker],TabCalc[Agiotage])</f>
        <v>0.26303192443508255</v>
      </c>
      <c r="U48" s="747"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-1,917/-1,917=&gt;-3.8% / -3.8%</v>
      </c>
      <c r="V48" s="739" t="str">
        <f ca="1">_xlfn.XLOOKUP(Tab_NewTRADER[[#This Row],[ClickTick]],[1]!RTData[Ticker_Symbol],[1]!RTData[Currency])</f>
        <v>USD</v>
      </c>
      <c r="W48" s="749">
        <f ca="1">_xlfn.XLOOKUP(Tab_NewTRADER[[#This Row],[ClickTick]],TabCalc[Ticker],TabCalc[M])</f>
        <v>5.915</v>
      </c>
      <c r="X48" s="1315"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-3.8211000000000002E-2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/43 K$</v>
      </c>
      <c r="AF48" s="1182"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8" s="1530" t="str">
        <f ca="1">TEXT(MIN(Tab_NewTRADER[[#This Row],[L_Bn]],Tab_NewTRADER[[#This Row],[N]]),"#,#0")&amp;" x "&amp;TEXT(Tab_NewTRADER[[#This Row],[L_Bp]],"#,#0.#0")</f>
        <v>7,235 x -9.30</v>
      </c>
      <c r="AH48" s="1530" t="str" cm="1">
        <f t="array" aca="1" ref="AH48" ca="1">_xlfn.IFS(Tab_NewTRADER[[#This Row],[M_State]]=Sale_Back,Tab_NewTRADER[[#This Row],[Sale_Back_$]], TRUE,"M = "&amp;Tab_NewTRADER[[#This Row],[M]])</f>
        <v>M = 5.915</v>
      </c>
      <c r="AI48" s="1433" cm="1">
        <f t="array" aca="1" ref="AI48" ca="1">IF(Tab_NewTRADER[[#This Row],[M_State]]=MUp,_xlfn.IFS(Tab_NewTRADER[[#This Row],[M_State]]=MUp,MIN(Tab_NewTRADER[[#This Row],[N]],Tab_NewTRADER[[#This Row],[L_Bn]])*(Tab_NewTRADER[[#This Row],[M]]-Tab_NewTRADER[[#This Row],[L_Sp]])*Tab_NewTRADER[[#This Row],[Scale]]*ComFactor, TRUE,0),0)</f>
        <v>0</v>
      </c>
      <c r="AJ48" s="1433" cm="1">
        <f t="array" aca="1" ref="AJ48" ca="1">_xlfn.IFS(Tab_NewTRADER[[#This Row],[M_State]]=MUp,                 MIN(Tab_NewTRADER[[#This Row],[L_Sn]],Tab_NewTRADER[[#This Row],[N]])*(Tab_NewTRADER[[#This Row],[M]]-Tab_NewTRADER[[#This Row],[A]])*Tab_NewTRADER[[#This Row],[Scale]]*ComFactor, TRUE,0)</f>
        <v>0</v>
      </c>
      <c r="AK48" s="1433" cm="1">
        <f t="array" aca="1" ref="AK48" ca="1">_xlfn.IFS(Tab_NewTRADER[[#This Row],[M_State]]=MUp,                  Tab_NewTRADER[[#This Row],[N]]*(Tab_NewTRADER[[#This Row],[M]]-Tab_NewTRADER[[#This Row],[A]])*Tab_NewTRADER[[#This Row],[Scale]]*ComFactor, TRUE,0)</f>
        <v>0</v>
      </c>
      <c r="AL48" s="1435" t="str">
        <f ca="1">TEXT(Tab_NewTRADER[[#This Row],[L_Sn]],"#,#0")&amp;" x "&amp;TEXT(Tab_NewTRADER[[#This Row],[L_Sp]],"#,#0.#0")</f>
        <v>0 x 0.0</v>
      </c>
      <c r="AM48" s="1465" t="str" cm="1">
        <f t="array" aca="1" ref="AM48" ca="1">_xlfn.IFS(Tab_NewTRADER[[#This Row],[M_State]]=RePurchaseGain,TEXT(-Tab_NewTRADER[[#This Row],[Buy_Back]],"#,#0")&amp;"       / "&amp;TEXT(Tab_NewTRADER[[#This Row],[Rev_Buy]],"#,#00.0)%"),TRUE,"M = "&amp;Tab_NewTRADER[[#This Row],[M]])</f>
        <v>M = 5.915</v>
      </c>
      <c r="AN48" s="1435" t="str" cm="1">
        <f t="array" aca="1" ref="AN48" ca="1">_xlfn.IFS(Tab_NewTRADER[[#This Row],[M_State]]=MDown,TEXT(Tab_NewTRADER[[#This Row],[L_Sn]]*(Tab_NewTRADER[[#This Row],[M]]-Tab_NewTRADER[[#This Row],[L_Sp]])*ComFactor,"#,#0")&amp;"       / "&amp;TEXT((TabTRADER[[#This Row],[M]]-TabTRADER[[#This Row],[L_Sp]])/TabTRADER[[#This Row],[M]],"#,#00.0)%"),TRUE,0)</f>
        <v>0       / 100.0)%</v>
      </c>
      <c r="AO48" s="1486" t="str" cm="1">
        <f t="array" aca="1" ref="AO48" ca="1">_xlfn.IFS(Tab_NewTRADER[[#This Row],[M_State]]=MDown,TEXT(Tab_NewTRADER[[#This Row],[N]]*(Tab_NewTRADER[[#This Row],[M]]-Tab_NewTRADER[[#This Row],[A]])*Tab_NewTRADER[[#This Row],[Scale]]*ComFactor,"#,#0")&amp;"       / "&amp;TEXT((TabTRADER[[#This Row],[M]]-TabTRADER[[#This Row],[L_Bp]])/TabTRADER[[#This Row],[M]],"#,#00.0%"),TRUE,0)</f>
        <v>-24,427       / 257.2%</v>
      </c>
      <c r="AP48" s="1435" t="str" cm="1">
        <f t="array" aca="1" ref="AP48" ca="1">_xlfn.IFS(Tab_NewTRADER[[#This Row],[M_State]]=MDown,TEXT(Tab_NewTRADER[[#This Row],[N]]*Tab_NewTRADER[[#This Row],[M]],"#,#0")&amp;" @ "&amp;TEXT(Tab_NewTRADER[[#This Row],[A]],"#,#0.#0"),TRUE,"M = "&amp; Tab_NewTRADER[[#This Row],[M]])</f>
        <v>42,795 @ 9.30</v>
      </c>
      <c r="AQ48" s="1165">
        <f ca="1">Tab_NewTRADER[[#This Row],[N]]*(Tab_NewTRADER[[#This Row],[M]]-Tab_NewTRADER[[#This Row],[A]])*(1-Commission)*Tab_NewTRADER[[#This Row],[Scale]]</f>
        <v>-24426.799765000003</v>
      </c>
      <c r="AR48" s="1165">
        <f ca="1">Tab_NewTRADER[[#This Row],[M]]*Tab_NewTRADER[[#This Row],[N]]*(1-Commission)*Tab_NewTRADER[[#This Row],[Scale]]</f>
        <v>42683.757935000001</v>
      </c>
      <c r="AS48" s="1174" cm="1">
        <f t="array" aca="1" ref="AS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0.36397849462365595</v>
      </c>
      <c r="AT48" s="1174" cm="1">
        <f t="array" aca="1" ref="AT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0.56967387996618768</v>
      </c>
      <c r="AU48" s="825" t="str" cm="1">
        <f t="array" aca="1" ref="AU48" ca="1">_xlfn.IFS(   Tab_NewTRADER[[#This Row],[M_State]]=SellMorePercentGain,                     MIN(Tab_NewTRADER[[#This Row],[L_Sn]],Tab_NewTRADER[[#This Row],[N]])*(Tab_NewTRADER[[#This Row],[M]]-Tab_NewTRADER[[#This Row],[L_Sp]])*(1-Commission)*Tab_NewTRADER[[#This Row],[Scale]],                    TRUE,"")</f>
        <v/>
      </c>
      <c r="AV48" s="1163">
        <f ca="1">_xlfn.XLOOKUP(Tab_NewTRADER[[#This Row],[ClickTick]],TabCalc[Ticker],TabCalc[Ann%RevLB])</f>
        <v>-1.2361533779671334</v>
      </c>
      <c r="AW48" s="1267">
        <f ca="1">_xlfn.XLOOKUP(Tab_NewTRADER[[#This Row],[ClickTick]],TabCalc[Ticker],TabCalc[Up20])</f>
        <v>0</v>
      </c>
      <c r="AX48" s="310" cm="1">
        <f t="array" aca="1" ref="AX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0.57227387996618773</v>
      </c>
      <c r="AY48" s="825" cm="1">
        <f t="array" aca="1" ref="AY48" ca="1">_xlfn.IFS(         Tab_NewTRADER[[#This Row],[M_State]]=MDown,Tab_NewTRADER[[#This Row],[L_Bn]]*Tab_NewTRADER[[#This Row],[M]]*(-(Tab_NewTRADER[[#This Row],[L_Bp]]+Tab_NewTRADER[[#This Row],[M]])/Tab_NewTRADER[[#This Row],[M]])*(1-Commission)*Tab_NewTRADER[[#This Row],[Scale]],                               TRUE,"")</f>
        <v>24426.799765</v>
      </c>
      <c r="AZ48" s="1174" cm="1">
        <f t="array" aca="1" ref="AZ48" ca="1">_xlfn.IFS(   Tab_NewTRADER[[#This Row],[M_State]]=MUp,Tab_NewTRADER[[#This Row],[TakeGain_A]]-Commission,        Tab_NewTRADER[[#This Row],[M_State]]=MDown,(Tab_NewTRADER[[#This Row],[A]]-Tab_NewTRADER[[#This Row],[M]])/Tab_NewTRADER[[#This Row],[M]]-Commission,                              TRUE,"")</f>
        <v>0.56967387996618768</v>
      </c>
      <c r="BA48" s="825" cm="1">
        <f t="array" aca="1" ref="BA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24426.799765000003</v>
      </c>
      <c r="BB48" s="760" t="e" cm="1">
        <f t="array" aca="1" ref="BB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C48" s="736" cm="1">
        <f t="array" aca="1" ref="BC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-3.38</v>
      </c>
      <c r="BD48" s="765" cm="1">
        <f t="array" aca="1" ref="BD48" ca="1">_xlfn.IFS(Tab_NewTRADER[[#This Row],[M_State]]=Sale_Back,"",         Tab_NewTRADER[[#This Row],[M_State]]=MDown, (Tab_NewTRADER[[#This Row],[M]]-Tab_NewTRADER[[#This Row],[A]])/Tab_NewTRADER[[#This Row],[A]]*ComFactor,             TRUE, IFERROR((Tab_NewTRADER[[#This Row],[M]]-Tab_NewTRADER[[#This Row],[A]])/Tab_NewTRADER[[#This Row],[A]]*ComFactor,""))</f>
        <v>-0.36303215053763443</v>
      </c>
      <c r="BE48" s="762" cm="1">
        <f t="array" aca="1" ref="BE48" ca="1">_xlfn.IFS(               Tab_NewTRADER[[#This Row],[M_State]]=NoStock,(Tab_NewTRADER[[#This Row],[L_Sp]]-Tab_NewTRADER[[#This Row],[M]])/Tab_NewTRADER[[#This Row],[M]]-Commission,             Tab_NewTRADER[[#This Row],[A]]&lt;&gt;0,(Tab_NewTRADER[[#This Row],[A]]-Tab_NewTRADER[[#This Row],[M]])/Tab_NewTRADER[[#This Row],[M]]-Commission)</f>
        <v>0.56967387996618768</v>
      </c>
      <c r="BF48" s="324">
        <f ca="1">_xlfn.XLOOKUP(Tab_NewTRADER[[#This Row],[ClickTick]],TabCalc[Ticker],TabCalc[L_Sn])</f>
        <v>0</v>
      </c>
      <c r="BG48" s="728">
        <f ca="1">_xlfn.XLOOKUP(Tab_NewTRADER[[#This Row],[ClickTick]],TabCalc[Ticker],TabCalc[L_Sp])</f>
        <v>0</v>
      </c>
      <c r="BH48" s="764">
        <f ca="1">-IFERROR((Tab_NewTRADER[[#This Row],[M]]-Tab_NewTRADER[[#This Row],[L_Sp]])/Tab_NewTRADER[[#This Row],[L_Sp]],0)</f>
        <v>0</v>
      </c>
      <c r="BI48" s="729">
        <f ca="1">MIN(Tab_NewTRADER[[#This Row],[L_Sn]],Tab_NewTRADER[[#This Row],[N]])*(Tab_NewTRADER[[#This Row],[M]]-Tab_NewTRADER[[#This Row],[L_Sp]])*(1-Commission)*Tab_NewTRADER[[#This Row],[Scale]]</f>
        <v>0</v>
      </c>
      <c r="BJ48" s="692">
        <f ca="1">Tab_NewTRADER[[#This Row],[L_Sn]]*(Tab_NewTRADER[[#This Row],[Agiotage]]-Tab_NewTRADER[[#This Row],[M]])/(Tab_NewTRADER[[#This Row],[L_Bn]]*Tab_NewTRADER[[#This Row],[M]])</f>
        <v>0</v>
      </c>
      <c r="BK48" s="635">
        <f ca="1">IFERROR((Tab_NewTRADER[[#This Row],[M]]-Tab_NewTRADER[[#This Row],[A]])/Tab_NewTRADER[[#This Row],[A]],0)</f>
        <v>-0.36397849462365595</v>
      </c>
      <c r="BL48" s="638" t="str">
        <f ca="1">TEXT(_xlfn.XLOOKUP(Tab_NewTRADER[[#This Row],[ClickTick]],TabCalc[Ticker],TabCalc[NAfter]),"#,#0")&amp;" : "&amp;TEXT(_xlfn.XLOOKUP(Tab_NewTRADER[[#This Row],[ClickTick]],TabCalc[Ticker],TabCalc[NAfter])*(Tab_NewTRADER[[#This Row],[M]]-Tab_NewTRADER[[#This Row],[A]])*(1-Commission)*Tab_NewTRADER[[#This Row],[Scale]],"#,#0$")</f>
        <v>7,235 : -24,427$</v>
      </c>
      <c r="BM48" s="684">
        <f ca="1">_xlfn.XLOOKUP(Tab_NewTRADER[[#This Row],[ClickTick]],TabCalc[[#This Row],[Ticker]],TabCalc[[#This Row],[GL]])*(1-Commission)</f>
        <v>-24712.264985650992</v>
      </c>
      <c r="BN48" s="684"/>
      <c r="BO48" s="669" t="str">
        <f ca="1">Tab_NewTRADER[[#This Row],[ClickTick]]&amp;": "&amp;_xlfn.XLOOKUP(Tab_NewTRADER[[#This Row],[ClickTick]],TabCalc[Ticker],TabCalc[Pile?])</f>
        <v xml:space="preserve">UNIT: </v>
      </c>
      <c r="BP48" s="351" t="s">
        <v>1921</v>
      </c>
      <c r="BQ48" s="755" t="str" cm="1">
        <f t="array" aca="1" ref="BQ48" ca="1">_xlfn.TEXTJOIN("",,INDEX({"M","A","Y"}, _xlfn.SORTBY({1,2,3}, -CHOOSE({1,2,3}, Tab_NewTRADER[[#This Row],[M]], Tab_NewTRADER[[#This Row],[A]], Tab_NewTRADER[[#This Row],[Agiotage]]))))</f>
        <v>AMY</v>
      </c>
      <c r="BR48" s="902" cm="1">
        <f t="array" aca="1" ref="BR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0.57227387996618773</v>
      </c>
      <c r="BS48" s="679" t="e">
        <f ca="1">Tab_NewTRADER[[#This Row],[L_Sn]]*Tab_NewTRADER[[#This Row],[L_Sp]]+Tab_NewTRADER[[#This Row],[SellMore]]*Tab_NewTRADER[[#This Row],[M]]</f>
        <v>#N/A</v>
      </c>
      <c r="BT48" s="679" t="e">
        <f ca="1">INDEX(
  INDEX(TabConsolid[], , _xlfn.XMATCH(Tab_NewTRADER[[#This Row],[ClickTick]]&amp;1, TabConsolid[#Headers])),
  MATCH(
    -Tab_NewTRADER[[#This Row],[M]],
    INDEX(TabConsolid[], , _xlfn.XMATCH(Tab_NewTRADER[[#This Row],[ClickTick]]&amp;2, TabConsolid[#Headers])),
    -1
  )
)</f>
        <v>#N/A</v>
      </c>
      <c r="BU48" s="679" cm="1">
        <f t="array" aca="1" ref="BU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48" s="1144" t="e">
        <f ca="1">Tab_NewTRADER[[#This Row],[ReBuy]]/(Tab_NewTRADER[[#This Row],[L_Sn]]+Tab_NewTRADER[[#This Row],[SellMore]])</f>
        <v>#N/A</v>
      </c>
      <c r="BW48" s="687" t="e">
        <f ca="1">((_xlfn.XLOOKUP(Tab_NewTRADER[[#This Row],[ClickTick]],TabCalc[Ticker],TabCalc[NAfter])+Tab_NewTRADER[[#This Row],[L_Sn]])*(Tab_NewTRADER[[#This Row],[Agiotage]]-Tab_NewTRADER[[#This Row],[M]]))/(Tab_NewTRADER[[#This Row],[L_Sn]]*_xlfn.XLOOKUP(Tab_NewTRADER[[#This Row],[ClickTick]],TabCalc[Ticker],TabCalc[NAfter]))</f>
        <v>#DIV/0!</v>
      </c>
      <c r="BX48" s="687">
        <f ca="1">(Tab_NewTRADER[[#This Row],[M]]-Tab_NewTRADER[[#This Row],[Agiotage]])/(Tab_NewTRADER[[#This Row],[M]]-Tab_NewTRADER[[#This Row],[A]])-1</f>
        <v>-2.6697099189261202</v>
      </c>
      <c r="BY48" s="1262">
        <f ca="1">_xlfn.XMATCH(Tab_NewTRADER[[#This Row],[ClickTick]]&amp;1, TabConsolid[#Headers])</f>
        <v>137</v>
      </c>
      <c r="BZ48" t="str">
        <f ca="1">IF(ABS(Tab_NewTRADER[[#This Row],[L_Bp]])&gt;=Tab_NewTRADER[[#This Row],[M]],"OK")</f>
        <v>OK</v>
      </c>
    </row>
    <row r="49" spans="1:78"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+7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0.0%</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2,410</v>
      </c>
      <c r="F49" s="226" t="str">
        <f ca="1">TRUNC(TabCalc[[#This Row],[L_B1p]],2)&amp;"x"&amp;TabCalc[[#This Row],[L_B1n]]&amp;"=   "&amp;TEXT(TabCalc[[#This Row],[ReverseS1]],"#,#0")&amp;"$"</f>
        <v>-24.15x3000=   11,565$</v>
      </c>
      <c r="G49" s="225" t="str">
        <f ca="1">IFERROR(TRUNC(_xlfn.XLOOKUP(Tab_NewTRADER[[#This Row],[ClickTick]],TabCalc[Ticker],ListLastSalep),2)&amp;"x"&amp;_xlfn.XLOOKUP(Tab_NewTRADER[[#This Row],[ClickTick]],TabCalc[Ticker],ListLastSalen)&amp;"=   "&amp;TEXT(-_xlfn.XLOOKUP(Tab_NewTRADER[[#This Row],[ClickTick]],TabCalc[Ticker],ListReverseB),"#,#0")&amp;"$","")</f>
        <v>30.08x500=   -1,038$</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7.4% = 2,410</v>
      </c>
      <c r="I49" s="226" t="str">
        <f ca="1">IFERROR(TRUNC(TabCalc[[#This Row],[L_S1p]],2)&amp;"x"&amp;TabCalc[[#This Row],[L_S1n]]&amp;"=   "&amp;TEXT(TabCalc[[#This Row],[ReverseB1]],"#,#0"),"")</f>
        <v>25.39x3000=   -7,845</v>
      </c>
      <c r="J49" s="295">
        <f ca="1">_xlfn.XLOOKUP(Tab_NewTRADER[[#This Row],[ClickTick]],TabCalc[Ticker],ListGravity)</f>
        <v>1.2140689162649527</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1.0111510489342732E-2</v>
      </c>
      <c r="N49" s="324" cm="1">
        <f t="array" aca="1" ref="N49" ca="1">_xlfn.XLOOKUP(Tab_NewTRADER[[#This Row],[ClickTick]],ListTickers,Tab2RSIConventional[RSIConv20])</f>
        <v>55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1.7857142857139304E-4</v>
      </c>
      <c r="S49" s="683">
        <f ca="1">_xlfn.XLOOKUP(Tab_NewTRADER[[#This Row],[ClickTick]],TabCalc[Ticker],TabCalc[Rev(MinStock)])*(1-Commission)</f>
        <v>7.4804999999985116</v>
      </c>
      <c r="T49" s="782">
        <f ca="1">_xlfn.XLOOKUP(Tab_NewTRADER[[#This Row],[ClickTick]],TabCalc[Ticker],TabCalc[Agiotage])</f>
        <v>1.0111510489342732E-2</v>
      </c>
      <c r="U49" s="747"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-165/-165=&gt;1.4% / 1.4%</v>
      </c>
      <c r="V49" s="739" t="str">
        <f ca="1">_xlfn.XLOOKUP(Tab_NewTRADER[[#This Row],[ClickTick]],[1]!RTData[Ticker_Symbol],[1]!RTData[Currency])</f>
        <v>USD</v>
      </c>
      <c r="W49" s="1056">
        <f ca="1">_xlfn.XLOOKUP(Tab_NewTRADER[[#This Row],[ClickTick]],TabCalc[Ticker],TabCalc[M])</f>
        <v>28.004999999999999</v>
      </c>
      <c r="X49" s="1315"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1.4306000000000001E-2</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^96K / 84 K$</v>
      </c>
      <c r="AF49" s="1161"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49" s="1530" t="str">
        <f ca="1">TEXT(MIN(Tab_NewTRADER[[#This Row],[L_Bn]],Tab_NewTRADER[[#This Row],[N]]),"#,#0")&amp;" x "&amp;TEXT(Tab_NewTRADER[[#This Row],[L_Bp]],"#,#0.#0")</f>
        <v>1,500 x -28.0</v>
      </c>
      <c r="AH49" s="1530" cm="1">
        <f t="array" aca="1" ref="AH49" ca="1">_xlfn.IFS(Tab_NewTRADER[[#This Row],[M_State]]=Sale_Back,Tab_NewTRADER[[#This Row],[Sale_Back_$]], TRUE,"M = "&amp;Tab_NewTRADER[[#This Row],[M]])</f>
        <v>7.4804999999985116</v>
      </c>
      <c r="AI49" s="1433" cm="1">
        <f t="array" aca="1" ref="AI49" ca="1">IF(Tab_NewTRADER[[#This Row],[M_State]]=MUp,_xlfn.IFS(Tab_NewTRADER[[#This Row],[M_State]]=MUp,MIN(Tab_NewTRADER[[#This Row],[N]],Tab_NewTRADER[[#This Row],[L_Bn]])*(Tab_NewTRADER[[#This Row],[M]]-Tab_NewTRADER[[#This Row],[L_Sp]])*Tab_NewTRADER[[#This Row],[Scale]]*ComFactor, TRUE,0),0)</f>
        <v>0</v>
      </c>
      <c r="AJ49" s="1433" cm="1">
        <f t="array" aca="1" ref="AJ49" ca="1">_xlfn.IFS(Tab_NewTRADER[[#This Row],[M_State]]=MUp,                 MIN(Tab_NewTRADER[[#This Row],[L_Sn]],Tab_NewTRADER[[#This Row],[N]])*(Tab_NewTRADER[[#This Row],[M]]-Tab_NewTRADER[[#This Row],[A]])*Tab_NewTRADER[[#This Row],[Scale]]*ComFactor, TRUE,0)</f>
        <v>0</v>
      </c>
      <c r="AK49" s="1433" cm="1">
        <f t="array" aca="1" ref="AK49" ca="1">_xlfn.IFS(Tab_NewTRADER[[#This Row],[M_State]]=MUp,                  Tab_NewTRADER[[#This Row],[N]]*(Tab_NewTRADER[[#This Row],[M]]-Tab_NewTRADER[[#This Row],[A]])*Tab_NewTRADER[[#This Row],[Scale]]*ComFactor, TRUE,0)</f>
        <v>0</v>
      </c>
      <c r="AL49" s="1435" t="str">
        <f ca="1">TEXT(Tab_NewTRADER[[#This Row],[L_Sn]],"#,#0")&amp;" x "&amp;TEXT(Tab_NewTRADER[[#This Row],[L_Sp]],"#,#0.#0")</f>
        <v>500 x 30.08</v>
      </c>
      <c r="AM49" s="1465" t="str" cm="1">
        <f t="array" aca="1" ref="AM49" ca="1">_xlfn.IFS(Tab_NewTRADER[[#This Row],[M_State]]=RePurchaseGain,TEXT(-Tab_NewTRADER[[#This Row],[Buy_Back]],"#,#0")&amp;"       / "&amp;TEXT(Tab_NewTRADER[[#This Row],[Rev_Buy]],"#,#00.0)%"),TRUE,"M = "&amp;Tab_NewTRADER[[#This Row],[M]])</f>
        <v>M = 28.005</v>
      </c>
      <c r="AN49" s="1435" cm="1">
        <f t="array" aca="1" ref="AN49" ca="1">_xlfn.IFS(Tab_NewTRADER[[#This Row],[M_State]]=MDown,TEXT(Tab_NewTRADER[[#This Row],[L_Sn]]*(Tab_NewTRADER[[#This Row],[M]]-Tab_NewTRADER[[#This Row],[L_Sp]])*ComFactor,"#,#0")&amp;"       / "&amp;TEXT((TabTRADER[[#This Row],[M]]-TabTRADER[[#This Row],[L_Sp]])/TabTRADER[[#This Row],[M]],"#,#00.0)%"),TRUE,0)</f>
        <v>0</v>
      </c>
      <c r="AO49" s="1486" cm="1">
        <f t="array" aca="1" ref="AO49" ca="1">_xlfn.IFS(Tab_NewTRADER[[#This Row],[M_State]]=MDown,TEXT(Tab_NewTRADER[[#This Row],[N]]*(Tab_NewTRADER[[#This Row],[M]]-Tab_NewTRADER[[#This Row],[A]])*Tab_NewTRADER[[#This Row],[Scale]]*ComFactor,"#,#0")&amp;"       / "&amp;TEXT((TabTRADER[[#This Row],[M]]-TabTRADER[[#This Row],[L_Bp]])/TabTRADER[[#This Row],[M]],"#,#00.0%"),TRUE,0)</f>
        <v>0</v>
      </c>
      <c r="AP49" s="1435" t="str" cm="1">
        <f t="array" aca="1" ref="AP49" ca="1">_xlfn.IFS(Tab_NewTRADER[[#This Row],[M_State]]=MDown,TEXT(Tab_NewTRADER[[#This Row],[N]]*Tab_NewTRADER[[#This Row],[M]],"#,#0")&amp;" @ "&amp;TEXT(Tab_NewTRADER[[#This Row],[A]],"#,#0.#0"),TRUE,"M = "&amp; Tab_NewTRADER[[#This Row],[M]])</f>
        <v>M = 28.005</v>
      </c>
      <c r="AQ49" s="1165">
        <f ca="1">Tab_NewTRADER[[#This Row],[N]]*(Tab_NewTRADER[[#This Row],[M]]-Tab_NewTRADER[[#This Row],[A]])*(1-Commission)*Tab_NewTRADER[[#This Row],[Scale]]</f>
        <v>5774.945999999999</v>
      </c>
      <c r="AR49" s="1165">
        <f ca="1">Tab_NewTRADER[[#This Row],[M]]*Tab_NewTRADER[[#This Row],[N]]*(1-Commission)*Tab_NewTRADER[[#This Row],[Scale]]</f>
        <v>83796.561000000002</v>
      </c>
      <c r="AS49" s="1174" cm="1">
        <f t="array" aca="1" ref="AS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1.7857142857139304E-4</v>
      </c>
      <c r="AT49" s="1174" t="str" cm="1">
        <f t="array" aca="1" ref="AT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9" s="825" t="str" cm="1">
        <f t="array" aca="1" ref="AU49" ca="1">_xlfn.IFS(   Tab_NewTRADER[[#This Row],[M_State]]=SellMorePercentGain,                     MIN(Tab_NewTRADER[[#This Row],[L_Sn]],Tab_NewTRADER[[#This Row],[N]])*(Tab_NewTRADER[[#This Row],[M]]-Tab_NewTRADER[[#This Row],[L_Sp]])*(1-Commission)*Tab_NewTRADER[[#This Row],[Scale]],                    TRUE,"")</f>
        <v/>
      </c>
      <c r="AV49" s="1180">
        <f ca="1">_xlfn.XLOOKUP(Tab_NewTRADER[[#This Row],[ClickTick]],TabCalc[Ticker],TabCalc[Ann%RevLB])</f>
        <v>3.0612244897953089E-3</v>
      </c>
      <c r="AW49" s="1180">
        <f ca="1">_xlfn.XLOOKUP(Tab_NewTRADER[[#This Row],[ClickTick]],TabCalc[Ticker],TabCalc[Up20])</f>
        <v>0</v>
      </c>
      <c r="AX49" s="1243" t="str" cm="1">
        <f t="array" aca="1" ref="AX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9" s="825" t="str" cm="1">
        <f t="array" aca="1" ref="AY49" ca="1">_xlfn.IFS(         Tab_NewTRADER[[#This Row],[M_State]]=MDown,Tab_NewTRADER[[#This Row],[L_Bn]]*Tab_NewTRADER[[#This Row],[M]]*(-(Tab_NewTRADER[[#This Row],[L_Bp]]+Tab_NewTRADER[[#This Row],[M]])/Tab_NewTRADER[[#This Row],[M]])*(1-Commission)*Tab_NewTRADER[[#This Row],[Scale]],                               TRUE,"")</f>
        <v/>
      </c>
      <c r="AZ49" s="1174" t="str" cm="1">
        <f t="array" aca="1" ref="AZ49" ca="1">_xlfn.IFS(   Tab_NewTRADER[[#This Row],[M_State]]=MUp,Tab_NewTRADER[[#This Row],[TakeGain_A]]-Commission,        Tab_NewTRADER[[#This Row],[M_State]]=MDown,(Tab_NewTRADER[[#This Row],[A]]-Tab_NewTRADER[[#This Row],[M]])/Tab_NewTRADER[[#This Row],[M]]-Commission,                              TRUE,"")</f>
        <v/>
      </c>
      <c r="BA49" s="825" cm="1">
        <f t="array" aca="1" ref="BA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6202.3916674976008</v>
      </c>
      <c r="BB49" s="760" t="str" cm="1">
        <f t="array" aca="1" ref="BB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C49" s="736" t="str" cm="1">
        <f t="array" aca="1" ref="BC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49" s="765" t="str" cm="1">
        <f t="array" aca="1" ref="BD49" ca="1">_xlfn.IFS(Tab_NewTRADER[[#This Row],[M_State]]=Sale_Back,"",         Tab_NewTRADER[[#This Row],[M_State]]=MDown, (Tab_NewTRADER[[#This Row],[M]]-Tab_NewTRADER[[#This Row],[A]])/Tab_NewTRADER[[#This Row],[A]]*ComFactor,             TRUE, IFERROR((Tab_NewTRADER[[#This Row],[M]]-Tab_NewTRADER[[#This Row],[A]])/Tab_NewTRADER[[#This Row],[A]]*ComFactor,""))</f>
        <v/>
      </c>
      <c r="BE49" s="762" cm="1">
        <f t="array" aca="1" ref="BE49" ca="1">_xlfn.IFS(               Tab_NewTRADER[[#This Row],[M_State]]=NoStock,(Tab_NewTRADER[[#This Row],[L_Sp]]-Tab_NewTRADER[[#This Row],[M]])/Tab_NewTRADER[[#This Row],[M]]-Commission,             Tab_NewTRADER[[#This Row],[A]]&lt;&gt;0,(Tab_NewTRADER[[#This Row],[A]]-Tab_NewTRADER[[#This Row],[M]])/Tab_NewTRADER[[#This Row],[M]]-Commission)</f>
        <v>-7.1516264952687023E-2</v>
      </c>
      <c r="BF49" s="324">
        <f ca="1">_xlfn.XLOOKUP(Tab_NewTRADER[[#This Row],[ClickTick]],TabCalc[Ticker],TabCalc[L_Sn])</f>
        <v>500</v>
      </c>
      <c r="BG49" s="728">
        <f ca="1">_xlfn.XLOOKUP(Tab_NewTRADER[[#This Row],[ClickTick]],TabCalc[Ticker],TabCalc[L_Sp])</f>
        <v>30.08</v>
      </c>
      <c r="BH49" s="764">
        <f ca="1">-IFERROR((Tab_NewTRADER[[#This Row],[M]]-Tab_NewTRADER[[#This Row],[L_Sp]])/Tab_NewTRADER[[#This Row],[L_Sp]],0)</f>
        <v>6.8982712765957424E-2</v>
      </c>
      <c r="BI49" s="729">
        <f ca="1">MIN(Tab_NewTRADER[[#This Row],[L_Sn]],Tab_NewTRADER[[#This Row],[N]])*(Tab_NewTRADER[[#This Row],[M]]-Tab_NewTRADER[[#This Row],[L_Sp]])*(1-Commission)*Tab_NewTRADER[[#This Row],[Scale]]</f>
        <v>-1034.8024999999996</v>
      </c>
      <c r="BJ49" s="692">
        <f ca="1">Tab_NewTRADER[[#This Row],[L_Sn]]*(Tab_NewTRADER[[#This Row],[Agiotage]]-Tab_NewTRADER[[#This Row],[M]])/(Tab_NewTRADER[[#This Row],[L_Bn]]*Tab_NewTRADER[[#This Row],[M]])</f>
        <v>-0.33321297970018038</v>
      </c>
      <c r="BK49" s="635">
        <f ca="1">IFERROR((Tab_NewTRADER[[#This Row],[M]]-Tab_NewTRADER[[#This Row],[A]])/Tab_NewTRADER[[#This Row],[A]],0)</f>
        <v>7.4017257909875345E-2</v>
      </c>
      <c r="BL49" s="638" t="str">
        <f ca="1">TEXT(_xlfn.XLOOKUP(Tab_NewTRADER[[#This Row],[ClickTick]],TabCalc[Ticker],TabCalc[NAfter]),"#,#0")&amp;" : "&amp;TEXT(_xlfn.XLOOKUP(Tab_NewTRADER[[#This Row],[ClickTick]],TabCalc[Ticker],TabCalc[NAfter])*(Tab_NewTRADER[[#This Row],[M]]-Tab_NewTRADER[[#This Row],[A]])*(1-Commission)*Tab_NewTRADER[[#This Row],[Scale]],"#,#0$")</f>
        <v>3,000 : 5,775$</v>
      </c>
      <c r="BM49" s="684">
        <f ca="1">_xlfn.XLOOKUP(Tab_NewTRADER[[#This Row],[ClickTick]],TabCalc[[#This Row],[Ticker]],TabCalc[[#This Row],[GL]])*(1-Commission)</f>
        <v>95474.979521938789</v>
      </c>
      <c r="BN49" s="684"/>
      <c r="BO49" s="669" t="str">
        <f ca="1">Tab_NewTRADER[[#This Row],[ClickTick]]&amp;": "&amp;_xlfn.XLOOKUP(Tab_NewTRADER[[#This Row],[ClickTick]],TabCalc[Ticker],TabCalc[Pile?])</f>
        <v xml:space="preserve">VLVLY: </v>
      </c>
      <c r="BP49" s="351" t="s">
        <v>1922</v>
      </c>
      <c r="BQ49" s="755" t="str" cm="1">
        <f t="array" aca="1" ref="BQ49" ca="1">_xlfn.TEXTJOIN("",,INDEX({"M","A","Y"}, _xlfn.SORTBY({1,2,3}, -CHOOSE({1,2,3}, Tab_NewTRADER[[#This Row],[M]], Tab_NewTRADER[[#This Row],[A]], Tab_NewTRADER[[#This Row],[Agiotage]]))))</f>
        <v>MAY</v>
      </c>
      <c r="BR49" s="902" t="str" cm="1">
        <f t="array" aca="1" ref="BR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9" s="679">
        <f ca="1">Tab_NewTRADER[[#This Row],[L_Sn]]*Tab_NewTRADER[[#This Row],[L_Sp]]+Tab_NewTRADER[[#This Row],[SellMore]]*Tab_NewTRADER[[#This Row],[M]]</f>
        <v>57047.5</v>
      </c>
      <c r="BT49" s="679">
        <f ca="1">INDEX(
  INDEX(TabConsolid[], , _xlfn.XMATCH(Tab_NewTRADER[[#This Row],[ClickTick]]&amp;1, TabConsolid[#Headers])),
  MATCH(
    -Tab_NewTRADER[[#This Row],[M]],
    INDEX(TabConsolid[], , _xlfn.XMATCH(Tab_NewTRADER[[#This Row],[ClickTick]]&amp;2, TabConsolid[#Headers])),
    -1
  )
)</f>
        <v>1500</v>
      </c>
      <c r="BU49" s="679" cm="1">
        <f t="array" aca="1" ref="BU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V49" s="1144">
        <f ca="1">Tab_NewTRADER[[#This Row],[ReBuy]]/(Tab_NewTRADER[[#This Row],[L_Sn]]+Tab_NewTRADER[[#This Row],[SellMore]])</f>
        <v>28.52375</v>
      </c>
      <c r="BW49" s="687">
        <f ca="1">((_xlfn.XLOOKUP(Tab_NewTRADER[[#This Row],[ClickTick]],TabCalc[Ticker],TabCalc[NAfter])+Tab_NewTRADER[[#This Row],[L_Sn]])*(Tab_NewTRADER[[#This Row],[Agiotage]]-Tab_NewTRADER[[#This Row],[M]]))/(Tab_NewTRADER[[#This Row],[L_Sn]]*_xlfn.XLOOKUP(Tab_NewTRADER[[#This Row],[ClickTick]],TabCalc[Ticker],TabCalc[NAfter]))</f>
        <v>-6.5321406475524868E-2</v>
      </c>
      <c r="BX49" s="687">
        <f ca="1">(Tab_NewTRADER[[#This Row],[M]]-Tab_NewTRADER[[#This Row],[Agiotage]])/(Tab_NewTRADER[[#This Row],[M]]-Tab_NewTRADER[[#This Row],[A]])-1</f>
        <v>13.505123569694643</v>
      </c>
      <c r="BY49" s="1262">
        <f ca="1">_xlfn.XMATCH(Tab_NewTRADER[[#This Row],[ClickTick]]&amp;1, TabConsolid[#Headers])</f>
        <v>143</v>
      </c>
      <c r="BZ49" t="b">
        <f ca="1">IF(ABS(Tab_NewTRADER[[#This Row],[L_Bp]])&gt;=Tab_NewTRADER[[#This Row],[M]],"OK")</f>
        <v>0</v>
      </c>
    </row>
    <row r="50" spans="1:78"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+1,500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6" t="str">
        <f ca="1">TRUNC(TabCalc[[#This Row],[L_B1p]],2)&amp;"x"&amp;TabCalc[[#This Row],[L_B1n]]&amp;"=   "&amp;TEXT(TabCalc[[#This Row],[ReverseS1]],"#,#0")&amp;"$"</f>
        <v>-58.8x2000=   800$</v>
      </c>
      <c r="G50" s="225" t="str">
        <f ca="1">IFERROR(TRUNC(_xlfn.XLOOKUP(Tab_NewTRADER[[#This Row],[ClickTick]],TabCalc[Ticker],ListLastSalep),2)&amp;"x"&amp;_xlfn.XLOOKUP(Tab_NewTRADER[[#This Row],[ClickTick]],TabCalc[Ticker],ListLastSalen)&amp;"=   "&amp;TEXT(-_xlfn.XLOOKUP(Tab_NewTRADER[[#This Row],[ClickTick]],TabCalc[Ticker],ListReverseB),"#,#0")&amp;"$","")</f>
        <v>60.4x800=   -960$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 = 4,167</v>
      </c>
      <c r="I50" s="226" t="str">
        <f ca="1">IFERROR(TRUNC(TabCalc[[#This Row],[L_S1p]],2)&amp;"x"&amp;TabCalc[[#This Row],[L_S1n]]&amp;"=   "&amp;TEXT(TabCalc[[#This Row],[ReverseB1]],"#,#0"),"")</f>
        <v>61.2x979=   1,958</v>
      </c>
      <c r="J50" s="295">
        <f ca="1">_xlfn.XLOOKUP(Tab_NewTRADER[[#This Row],[ClickTick]],TabCalc[Ticker],ListGravity)</f>
        <v>1.0388513513513513</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1.2246027397260273</v>
      </c>
      <c r="N50" s="324" cm="1">
        <f t="array" aca="1" ref="N50" ca="1">_xlfn.XLOOKUP(Tab_NewTRADER[[#This Row],[ClickTick]],ListTickers,Tab2RSIConventional[RSIConv20])</f>
        <v>63</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1.2831479897348161E-2</v>
      </c>
      <c r="S50" s="683">
        <f ca="1">_xlfn.XLOOKUP(Tab_NewTRADER[[#This Row],[ClickTick]],TabCalc[Ticker],TabCalc[Rev(MinStock)])*(1-Commission)</f>
        <v>1496.1</v>
      </c>
      <c r="T50" s="782">
        <f ca="1">_xlfn.XLOOKUP(Tab_NewTRADER[[#This Row],[ClickTick]],TabCalc[Ticker],TabCalc[Agiotage])</f>
        <v>1.2246027397260273</v>
      </c>
      <c r="U50" s="747"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15,360/15,360=&gt;0.7% / 0.7%</v>
      </c>
      <c r="V50" s="739" t="str">
        <f ca="1">_xlfn.XLOOKUP(Tab_NewTRADER[[#This Row],[ClickTick]],[1]!RTData[Ticker_Symbol],[1]!RTData[Currency])</f>
        <v>CHF</v>
      </c>
      <c r="W50" s="749">
        <f ca="1">_xlfn.XLOOKUP(Tab_NewTRADER[[#This Row],[ClickTick]],TabCalc[Ticker],TabCalc[M])</f>
        <v>59.2</v>
      </c>
      <c r="X50" s="1315"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6.803E-3</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^134K / 1,137 K$</v>
      </c>
      <c r="AF50" s="1161"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50" s="1530" t="str">
        <f ca="1">TEXT(MIN(Tab_NewTRADER[[#This Row],[L_Bn]],Tab_NewTRADER[[#This Row],[N]]),"#,#0")&amp;" x "&amp;TEXT(Tab_NewTRADER[[#This Row],[L_Bp]],"#,#0.#0")</f>
        <v>2,000 x -58.45</v>
      </c>
      <c r="AH50" s="1530" t="str" cm="1">
        <f t="array" aca="1" ref="AH50" ca="1">_xlfn.IFS(Tab_NewTRADER[[#This Row],[M_State]]=Sale_Back,Tab_NewTRADER[[#This Row],[Sale_Back_$]], TRUE,"M = "&amp;Tab_NewTRADER[[#This Row],[M]])</f>
        <v>M = 59.2</v>
      </c>
      <c r="AI50" s="1433" cm="1">
        <f t="array" aca="1" ref="AI50" ca="1">IF(Tab_NewTRADER[[#This Row],[M_State]]=MUp,_xlfn.IFS(Tab_NewTRADER[[#This Row],[M_State]]=MUp,MIN(Tab_NewTRADER[[#This Row],[N]],Tab_NewTRADER[[#This Row],[L_Bn]])*(Tab_NewTRADER[[#This Row],[M]]-Tab_NewTRADER[[#This Row],[L_Sp]])*Tab_NewTRADER[[#This Row],[Scale]]*ComFactor, TRUE,0),0)</f>
        <v>0</v>
      </c>
      <c r="AJ50" s="1433" cm="1">
        <f t="array" aca="1" ref="AJ50" ca="1">_xlfn.IFS(Tab_NewTRADER[[#This Row],[M_State]]=MUp,                 MIN(Tab_NewTRADER[[#This Row],[L_Sn]],Tab_NewTRADER[[#This Row],[N]])*(Tab_NewTRADER[[#This Row],[M]]-Tab_NewTRADER[[#This Row],[A]])*Tab_NewTRADER[[#This Row],[Scale]]*ComFactor, TRUE,0)</f>
        <v>0</v>
      </c>
      <c r="AK50" s="1433" cm="1">
        <f t="array" aca="1" ref="AK50" ca="1">_xlfn.IFS(Tab_NewTRADER[[#This Row],[M_State]]=MUp,                  Tab_NewTRADER[[#This Row],[N]]*(Tab_NewTRADER[[#This Row],[M]]-Tab_NewTRADER[[#This Row],[A]])*Tab_NewTRADER[[#This Row],[Scale]]*ComFactor, TRUE,0)</f>
        <v>0</v>
      </c>
      <c r="AL50" s="1435" t="str">
        <f ca="1">TEXT(Tab_NewTRADER[[#This Row],[L_Sn]],"#,#0")&amp;" x "&amp;TEXT(Tab_NewTRADER[[#This Row],[L_Sp]],"#,#0.#0")</f>
        <v>800 x 60.40</v>
      </c>
      <c r="AM50" s="1465" t="str" cm="1">
        <f t="array" aca="1" ref="AM50" ca="1">_xlfn.IFS(Tab_NewTRADER[[#This Row],[M_State]]=RePurchaseGain,TEXT(-Tab_NewTRADER[[#This Row],[Buy_Back]],"#,#0")&amp;"       / "&amp;TEXT(Tab_NewTRADER[[#This Row],[Rev_Buy]],"#,#00.0)%"),TRUE,"M = "&amp;Tab_NewTRADER[[#This Row],[M]])</f>
        <v>958       / 02.0)%</v>
      </c>
      <c r="AN50" s="1435" cm="1">
        <f t="array" aca="1" ref="AN50" ca="1">_xlfn.IFS(Tab_NewTRADER[[#This Row],[M_State]]=MDown,TEXT(Tab_NewTRADER[[#This Row],[L_Sn]]*(Tab_NewTRADER[[#This Row],[M]]-Tab_NewTRADER[[#This Row],[L_Sp]])*ComFactor,"#,#0")&amp;"       / "&amp;TEXT((TabTRADER[[#This Row],[M]]-TabTRADER[[#This Row],[L_Sp]])/TabTRADER[[#This Row],[M]],"#,#00.0)%"),TRUE,0)</f>
        <v>0</v>
      </c>
      <c r="AO50" s="1486" cm="1">
        <f t="array" aca="1" ref="AO50" ca="1">_xlfn.IFS(Tab_NewTRADER[[#This Row],[M_State]]=MDown,TEXT(Tab_NewTRADER[[#This Row],[N]]*(Tab_NewTRADER[[#This Row],[M]]-Tab_NewTRADER[[#This Row],[A]])*Tab_NewTRADER[[#This Row],[Scale]]*ComFactor,"#,#0")&amp;"       / "&amp;TEXT((TabTRADER[[#This Row],[M]]-TabTRADER[[#This Row],[L_Bp]])/TabTRADER[[#This Row],[M]],"#,#00.0%"),TRUE,0)</f>
        <v>0</v>
      </c>
      <c r="AP50" s="1435" t="str" cm="1">
        <f t="array" aca="1" ref="AP50" ca="1">_xlfn.IFS(Tab_NewTRADER[[#This Row],[M_State]]=MDown,TEXT(Tab_NewTRADER[[#This Row],[N]]*Tab_NewTRADER[[#This Row],[M]],"#,#0")&amp;" @ "&amp;TEXT(Tab_NewTRADER[[#This Row],[A]],"#,#0.#0"),TRUE,"M = "&amp; Tab_NewTRADER[[#This Row],[M]])</f>
        <v>M = 59.2</v>
      </c>
      <c r="AQ50" s="1165">
        <f ca="1">Tab_NewTRADER[[#This Row],[N]]*(Tab_NewTRADER[[#This Row],[M]]-Tab_NewTRADER[[#This Row],[A]])*(1-Commission)*Tab_NewTRADER[[#This Row],[Scale]]</f>
        <v>-6053.5530666665582</v>
      </c>
      <c r="AR50" s="1165">
        <f ca="1">Tab_NewTRADER[[#This Row],[M]]*Tab_NewTRADER[[#This Row],[N]]*(1-Commission)*Tab_NewTRADER[[#This Row],[Scale]]</f>
        <v>1133684.736</v>
      </c>
      <c r="AS50" s="1174" cm="1">
        <f t="array" aca="1" ref="AS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1.9867549668874104E-2</v>
      </c>
      <c r="AT50" s="1174" t="str" cm="1">
        <f t="array" aca="1" ref="AT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50" s="825" t="str" cm="1">
        <f t="array" aca="1" ref="AU50" ca="1">_xlfn.IFS(   Tab_NewTRADER[[#This Row],[M_State]]=SellMorePercentGain,                     MIN(Tab_NewTRADER[[#This Row],[L_Sn]],Tab_NewTRADER[[#This Row],[N]])*(Tab_NewTRADER[[#This Row],[M]]-Tab_NewTRADER[[#This Row],[L_Sp]])*(1-Commission)*Tab_NewTRADER[[#This Row],[Scale]],                    TRUE,"")</f>
        <v/>
      </c>
      <c r="AV50" s="1163">
        <f ca="1">_xlfn.XLOOKUP(Tab_NewTRADER[[#This Row],[ClickTick]],TabCalc[Ticker],TabCalc[Ann%RevLB])</f>
        <v>0.3849443969204448</v>
      </c>
      <c r="AW50" s="1267">
        <f ca="1">_xlfn.XLOOKUP(Tab_NewTRADER[[#This Row],[ClickTick]],TabCalc[Ticker],TabCalc[Up20])</f>
        <v>0</v>
      </c>
      <c r="AX50" s="310" t="str" cm="1">
        <f t="array" aca="1" ref="AX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0" s="825" t="str" cm="1">
        <f t="array" aca="1" ref="AY50" ca="1">_xlfn.IFS(         Tab_NewTRADER[[#This Row],[M_State]]=MDown,Tab_NewTRADER[[#This Row],[L_Bn]]*Tab_NewTRADER[[#This Row],[M]]*(-(Tab_NewTRADER[[#This Row],[L_Bp]]+Tab_NewTRADER[[#This Row],[M]])/Tab_NewTRADER[[#This Row],[M]])*(1-Commission)*Tab_NewTRADER[[#This Row],[Scale]],                               TRUE,"")</f>
        <v/>
      </c>
      <c r="AZ50" s="1174" t="str" cm="1">
        <f t="array" aca="1" ref="AZ50" ca="1">_xlfn.IFS(   Tab_NewTRADER[[#This Row],[M_State]]=MUp,Tab_NewTRADER[[#This Row],[TakeGain_A]]-Commission,        Tab_NewTRADER[[#This Row],[M_State]]=MDown,(Tab_NewTRADER[[#This Row],[A]]-Tab_NewTRADER[[#This Row],[M]])/Tab_NewTRADER[[#This Row],[M]]-Commission,                              TRUE,"")</f>
        <v/>
      </c>
      <c r="BA50" s="760" cm="1">
        <f t="array" aca="1" ref="BA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-6053.5530666665582</v>
      </c>
      <c r="BB50" s="760" t="str" cm="1">
        <f t="array" aca="1" ref="BB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C50" s="736" t="str" cm="1">
        <f t="array" aca="1" ref="BC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50" s="765" cm="1">
        <f t="array" aca="1" ref="BD50" ca="1">_xlfn.IFS(Tab_NewTRADER[[#This Row],[M_State]]=Sale_Back,"",         Tab_NewTRADER[[#This Row],[M_State]]=MDown, (Tab_NewTRADER[[#This Row],[M]]-Tab_NewTRADER[[#This Row],[A]])/Tab_NewTRADER[[#This Row],[A]]*ComFactor,             TRUE, IFERROR((Tab_NewTRADER[[#This Row],[M]]-Tab_NewTRADER[[#This Row],[A]])/Tab_NewTRADER[[#This Row],[A]]*ComFactor,""))</f>
        <v>-5.2975440823678915E-3</v>
      </c>
      <c r="BE50" s="762" cm="1">
        <f t="array" aca="1" ref="BE50" ca="1">_xlfn.IFS(               Tab_NewTRADER[[#This Row],[M_State]]=NoStock,(Tab_NewTRADER[[#This Row],[L_Sp]]-Tab_NewTRADER[[#This Row],[M]])/Tab_NewTRADER[[#This Row],[M]]-Commission,             Tab_NewTRADER[[#This Row],[A]]&lt;&gt;0,(Tab_NewTRADER[[#This Row],[A]]-Tab_NewTRADER[[#This Row],[M]])/Tab_NewTRADER[[#This Row],[M]]-Commission)</f>
        <v>2.7397147147146189E-3</v>
      </c>
      <c r="BF50" s="324">
        <f ca="1">_xlfn.XLOOKUP(Tab_NewTRADER[[#This Row],[ClickTick]],TabCalc[Ticker],TabCalc[L_Sn])</f>
        <v>800</v>
      </c>
      <c r="BG50" s="728">
        <f ca="1">_xlfn.XLOOKUP(Tab_NewTRADER[[#This Row],[ClickTick]],TabCalc[Ticker],TabCalc[L_Sp])</f>
        <v>60.4</v>
      </c>
      <c r="BH50" s="764">
        <f ca="1">-IFERROR((Tab_NewTRADER[[#This Row],[M]]-Tab_NewTRADER[[#This Row],[L_Sp]])/Tab_NewTRADER[[#This Row],[L_Sp]],0)</f>
        <v>1.9867549668874104E-2</v>
      </c>
      <c r="BI50" s="729">
        <f ca="1">MIN(Tab_NewTRADER[[#This Row],[L_Sn]],Tab_NewTRADER[[#This Row],[N]])*(Tab_NewTRADER[[#This Row],[M]]-Tab_NewTRADER[[#This Row],[L_Sp]])*(1-Commission)*Tab_NewTRADER[[#This Row],[Scale]]</f>
        <v>-957.50399999999661</v>
      </c>
      <c r="BJ50" s="692">
        <f ca="1">Tab_NewTRADER[[#This Row],[L_Sn]]*(Tab_NewTRADER[[#This Row],[Agiotage]]-Tab_NewTRADER[[#This Row],[M]])/(Tab_NewTRADER[[#This Row],[L_Bn]]*Tab_NewTRADER[[#This Row],[M]])</f>
        <v>-0.39172565716401336</v>
      </c>
      <c r="BK50" s="635">
        <f ca="1">IFERROR((Tab_NewTRADER[[#This Row],[M]]-Tab_NewTRADER[[#This Row],[A]])/Tab_NewTRADER[[#This Row],[A]],0)</f>
        <v>-5.3113536017323961E-3</v>
      </c>
      <c r="BL50" s="638" t="str">
        <f ca="1">TEXT(_xlfn.XLOOKUP(Tab_NewTRADER[[#This Row],[ClickTick]],TabCalc[Ticker],TabCalc[NAfter]),"#,#0")&amp;" : "&amp;TEXT(_xlfn.XLOOKUP(Tab_NewTRADER[[#This Row],[ClickTick]],TabCalc[Ticker],TabCalc[NAfter])*(Tab_NewTRADER[[#This Row],[M]]-Tab_NewTRADER[[#This Row],[A]])*(1-Commission)*Tab_NewTRADER[[#This Row],[Scale]],"#,#0$")</f>
        <v>19,200 : -6,054$</v>
      </c>
      <c r="BM50" s="684">
        <f ca="1">_xlfn.XLOOKUP(Tab_NewTRADER[[#This Row],[ClickTick]],TabCalc[[#This Row],[Ticker]],TabCalc[[#This Row],[GL]])*(1-Commission)</f>
        <v>133568.20659406442</v>
      </c>
      <c r="BN50" s="684"/>
      <c r="BO50" s="669" t="str">
        <f ca="1">Tab_NewTRADER[[#This Row],[ClickTick]]&amp;": "&amp;_xlfn.XLOOKUP(Tab_NewTRADER[[#This Row],[ClickTick]],TabCalc[Ticker],TabCalc[Pile?])</f>
        <v xml:space="preserve">VONN: </v>
      </c>
      <c r="BP50" s="351" t="s">
        <v>1927</v>
      </c>
      <c r="BQ50" s="755" t="str" cm="1">
        <f t="array" aca="1" ref="BQ50" ca="1">_xlfn.TEXTJOIN("",,INDEX({"M","A","Y"}, _xlfn.SORTBY({1,2,3}, -CHOOSE({1,2,3}, Tab_NewTRADER[[#This Row],[M]], Tab_NewTRADER[[#This Row],[A]], Tab_NewTRADER[[#This Row],[Agiotage]]))))</f>
        <v>AMY</v>
      </c>
      <c r="BR50" s="902" t="str" cm="1">
        <f t="array" aca="1" ref="BR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50" s="679" t="e">
        <f ca="1">Tab_NewTRADER[[#This Row],[L_Sn]]*Tab_NewTRADER[[#This Row],[L_Sp]]+Tab_NewTRADER[[#This Row],[SellMore]]*Tab_NewTRADER[[#This Row],[M]]</f>
        <v>#N/A</v>
      </c>
      <c r="BT50" s="679" t="e">
        <f ca="1">INDEX(
  INDEX(TabConsolid[], , _xlfn.XMATCH(Tab_NewTRADER[[#This Row],[ClickTick]]&amp;1, TabConsolid[#Headers])),
  MATCH(
    -Tab_NewTRADER[[#This Row],[M]],
    INDEX(TabConsolid[], , _xlfn.XMATCH(Tab_NewTRADER[[#This Row],[ClickTick]]&amp;2, TabConsolid[#Headers])),
    -1
  )
)</f>
        <v>#N/A</v>
      </c>
      <c r="BU50" s="679" cm="1">
        <f t="array" aca="1" ref="BU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V50" s="1144" t="e">
        <f ca="1">Tab_NewTRADER[[#This Row],[ReBuy]]/(Tab_NewTRADER[[#This Row],[L_Sn]]+Tab_NewTRADER[[#This Row],[SellMore]])</f>
        <v>#N/A</v>
      </c>
      <c r="BW50" s="687">
        <f ca="1">((_xlfn.XLOOKUP(Tab_NewTRADER[[#This Row],[ClickTick]],TabCalc[Ticker],TabCalc[NAfter])+Tab_NewTRADER[[#This Row],[L_Sn]])*(Tab_NewTRADER[[#This Row],[Agiotage]]-Tab_NewTRADER[[#This Row],[M]]))/(Tab_NewTRADER[[#This Row],[L_Sn]]*_xlfn.XLOOKUP(Tab_NewTRADER[[#This Row],[ClickTick]],TabCalc[Ticker],TabCalc[NAfter]))</f>
        <v>-7.5488798515981725E-2</v>
      </c>
      <c r="BX50" s="687">
        <f ca="1">(Tab_NewTRADER[[#This Row],[M]]-Tab_NewTRADER[[#This Row],[Agiotage]])/(Tab_NewTRADER[[#This Row],[M]]-Tab_NewTRADER[[#This Row],[A]])-1</f>
        <v>-184.40195969858527</v>
      </c>
      <c r="BY50" s="1262">
        <f ca="1">_xlfn.XMATCH(Tab_NewTRADER[[#This Row],[ClickTick]]&amp;1, TabConsolid[#Headers])</f>
        <v>146</v>
      </c>
      <c r="BZ50" t="b">
        <f ca="1">IF(ABS(Tab_NewTRADER[[#This Row],[L_Bp]])&gt;=Tab_NewTRADER[[#This Row],[M]],"OK")</f>
        <v>0</v>
      </c>
    </row>
    <row r="51" spans="1:78"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+5,425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10.3%</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4,608/5,000=48,594</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11,575$</v>
      </c>
      <c r="G51" s="225" t="str">
        <f ca="1">IFERROR(TRUNC(_xlfn.XLOOKUP(Tab_NewTRADER[[#This Row],[ClickTick]],TabCalc[Ticker],ListLastSalep),2)&amp;"x"&amp;_xlfn.XLOOKUP(Tab_NewTRADER[[#This Row],[ClickTick]],TabCalc[Ticker],ListLastSalen)&amp;"=   "&amp;TEXT(-_xlfn.XLOOKUP(Tab_NewTRADER[[#This Row],[ClickTick]],TabCalc[Ticker],ListReverseB),"#,#0")&amp;"$","")</f>
        <v>10.07x5000=   2,375$</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-4.5% = 0</v>
      </c>
      <c r="I51" s="226" t="str">
        <f ca="1">IFERROR(TRUNC(TabCalc[[#This Row],[L_S1p]],2)&amp;"x"&amp;TabCalc[[#This Row],[L_S1n]]&amp;"=   "&amp;TEXT(TabCalc[[#This Row],[ReverseB1]],"#,#0"),"")</f>
        <v>10.58x5000=   175</v>
      </c>
      <c r="J51" s="295">
        <f ca="1">_xlfn.XLOOKUP(Tab_NewTRADER[[#This Row],[ClickTick]],TabCalc[Ticker],ListGravity)</f>
        <v>1.1379800853485065</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0.24387796432297706</v>
      </c>
      <c r="N51" s="324" cm="1">
        <f t="array" aca="1" ref="N51" ca="1">_xlfn.XLOOKUP(Tab_NewTRADER[[#This Row],[ClickTick]],ListTickers,Tab2RSIConventional[RSIConv20])</f>
        <v>31</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0.11469344608879482</v>
      </c>
      <c r="S51" s="683">
        <f ca="1">_xlfn.XLOOKUP(Tab_NewTRADER[[#This Row],[ClickTick]],TabCalc[Ticker],TabCalc[Rev(MinStock)])*(1-Commission)</f>
        <v>5410.894999999995</v>
      </c>
      <c r="T51" s="782">
        <f ca="1">_xlfn.XLOOKUP(Tab_NewTRADER[[#This Row],[ClickTick]],TabCalc[Ticker],TabCalc[Agiotage])</f>
        <v>0.24387796432297706</v>
      </c>
      <c r="U51" s="747"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-675/-675=&gt;-1.5% / -1.5%</v>
      </c>
      <c r="V51" s="739" t="str">
        <f ca="1">_xlfn.XLOOKUP(Tab_NewTRADER[[#This Row],[ClickTick]],[1]!RTData[Ticker_Symbol],[1]!RTData[Currency])</f>
        <v>USD</v>
      </c>
      <c r="W51" s="749">
        <f ca="1">_xlfn.XLOOKUP(Tab_NewTRADER[[#This Row],[ClickTick]],TabCalc[Ticker],TabCalc[M])</f>
        <v>10.545</v>
      </c>
      <c r="X51" s="1315"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-1.5406E-2</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/53 K$</v>
      </c>
      <c r="AF51" s="1450"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1" s="1533" t="str">
        <f ca="1">TEXT(MIN(Tab_NewTRADER[[#This Row],[L_Bn]],Tab_NewTRADER[[#This Row],[N]]),"#,#0")&amp;" x "&amp;TEXT(Tab_NewTRADER[[#This Row],[L_Bp]],"#,#0.#0")</f>
        <v>5,000 x -9.46</v>
      </c>
      <c r="AH51" s="1534" t="str" cm="1">
        <f t="array" aca="1" ref="AH51" ca="1">_xlfn.IFS(Tab_NewTRADER[[#This Row],[M_State]]=Sale_Back,Tab_NewTRADER[[#This Row],[Sale_Back_$]], TRUE,"M = "&amp;Tab_NewTRADER[[#This Row],[M]])</f>
        <v>M = 10.545</v>
      </c>
      <c r="AI51" s="1456" cm="1">
        <f t="array" aca="1" ref="AI51" ca="1">IF(Tab_NewTRADER[[#This Row],[M_State]]=MUp,_xlfn.IFS(Tab_NewTRADER[[#This Row],[M_State]]=MUp,MIN(Tab_NewTRADER[[#This Row],[N]],Tab_NewTRADER[[#This Row],[L_Bn]])*(Tab_NewTRADER[[#This Row],[M]]-Tab_NewTRADER[[#This Row],[L_Sp]])*Tab_NewTRADER[[#This Row],[Scale]]*ComFactor, TRUE,0),0)</f>
        <v>2368.824999999998</v>
      </c>
      <c r="AJ51" s="1460" cm="1">
        <f t="array" aca="1" ref="AJ51" ca="1">_xlfn.IFS(Tab_NewTRADER[[#This Row],[M_State]]=MUp,                 MIN(Tab_NewTRADER[[#This Row],[L_Sn]],Tab_NewTRADER[[#This Row],[N]])*(Tab_NewTRADER[[#This Row],[M]]-Tab_NewTRADER[[#This Row],[A]])*Tab_NewTRADER[[#This Row],[Scale]]*ComFactor, TRUE,0)</f>
        <v>5410.894999999995</v>
      </c>
      <c r="AK51" s="1460" cm="1">
        <f t="array" aca="1" ref="AK51" ca="1">_xlfn.IFS(Tab_NewTRADER[[#This Row],[M_State]]=MUp,                  Tab_NewTRADER[[#This Row],[N]]*(Tab_NewTRADER[[#This Row],[M]]-Tab_NewTRADER[[#This Row],[A]])*Tab_NewTRADER[[#This Row],[Scale]]*ComFactor, TRUE,0)</f>
        <v>5410.894999999995</v>
      </c>
      <c r="AL51" s="1452" t="str">
        <f ca="1">TEXT(Tab_NewTRADER[[#This Row],[L_Sn]],"#,#0")&amp;" x "&amp;TEXT(Tab_NewTRADER[[#This Row],[L_Sp]],"#,#0.#0")</f>
        <v>5,000 x 10.07</v>
      </c>
      <c r="AM51" s="1465" t="str" cm="1">
        <f t="array" aca="1" ref="AM51" ca="1">_xlfn.IFS(Tab_NewTRADER[[#This Row],[M_State]]=RePurchaseGain,TEXT(-Tab_NewTRADER[[#This Row],[Buy_Back]],"#,#0")&amp;"       / "&amp;TEXT(Tab_NewTRADER[[#This Row],[Rev_Buy]],"#,#00.0)%"),TRUE,"M = "&amp;Tab_NewTRADER[[#This Row],[M]])</f>
        <v>M = 10.545</v>
      </c>
      <c r="AN51" s="1435" cm="1">
        <f t="array" aca="1" ref="AN51" ca="1">_xlfn.IFS(Tab_NewTRADER[[#This Row],[M_State]]=MDown,TEXT(Tab_NewTRADER[[#This Row],[L_Sn]]*(Tab_NewTRADER[[#This Row],[M]]-Tab_NewTRADER[[#This Row],[L_Sp]])*ComFactor,"#,#0")&amp;"       / "&amp;TEXT((TabTRADER[[#This Row],[M]]-TabTRADER[[#This Row],[L_Sp]])/TabTRADER[[#This Row],[M]],"#,#00.0)%"),TRUE,0)</f>
        <v>0</v>
      </c>
      <c r="AO51" s="1486" cm="1">
        <f t="array" aca="1" ref="AO51" ca="1">_xlfn.IFS(Tab_NewTRADER[[#This Row],[M_State]]=MDown,TEXT(Tab_NewTRADER[[#This Row],[N]]*(Tab_NewTRADER[[#This Row],[M]]-Tab_NewTRADER[[#This Row],[A]])*Tab_NewTRADER[[#This Row],[Scale]]*ComFactor,"#,#0")&amp;"       / "&amp;TEXT((TabTRADER[[#This Row],[M]]-TabTRADER[[#This Row],[L_Bp]])/TabTRADER[[#This Row],[M]],"#,#00.0%"),TRUE,0)</f>
        <v>0</v>
      </c>
      <c r="AP51" s="1435" t="str" cm="1">
        <f t="array" aca="1" ref="AP51" ca="1">_xlfn.IFS(Tab_NewTRADER[[#This Row],[M_State]]=MDown,TEXT(Tab_NewTRADER[[#This Row],[N]]*Tab_NewTRADER[[#This Row],[M]],"#,#0")&amp;" @ "&amp;TEXT(Tab_NewTRADER[[#This Row],[A]],"#,#0.#0"),TRUE,"M = "&amp; Tab_NewTRADER[[#This Row],[M]])</f>
        <v>M = 10.545</v>
      </c>
      <c r="AQ51" s="1165">
        <f ca="1">Tab_NewTRADER[[#This Row],[N]]*(Tab_NewTRADER[[#This Row],[M]]-Tab_NewTRADER[[#This Row],[A]])*(1-Commission)*Tab_NewTRADER[[#This Row],[Scale]]</f>
        <v>5410.894999999995</v>
      </c>
      <c r="AR51" s="1165">
        <f ca="1">Tab_NewTRADER[[#This Row],[M]]*Tab_NewTRADER[[#This Row],[N]]*(1-Commission)*Tab_NewTRADER[[#This Row],[Scale]]</f>
        <v>52587.915000000001</v>
      </c>
      <c r="AS51" s="1174" cm="1">
        <f t="array" aca="1" ref="AS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0.11469344608879482</v>
      </c>
      <c r="AT51" s="1174" cm="1">
        <f t="array" aca="1" ref="AT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4.244504504504501E-2</v>
      </c>
      <c r="AU51" s="825" cm="1">
        <f t="array" aca="1" ref="AU51" ca="1">_xlfn.IFS(   Tab_NewTRADER[[#This Row],[M_State]]=SellMorePercentGain,                     MIN(Tab_NewTRADER[[#This Row],[L_Sn]],Tab_NewTRADER[[#This Row],[N]])*(Tab_NewTRADER[[#This Row],[M]]-Tab_NewTRADER[[#This Row],[L_Sp]])*(1-Commission)*Tab_NewTRADER[[#This Row],[Scale]],                    TRUE,"")</f>
        <v>2368.824999999998</v>
      </c>
      <c r="AV51" s="1163">
        <f ca="1">_xlfn.XLOOKUP(Tab_NewTRADER[[#This Row],[ClickTick]],TabCalc[Ticker],TabCalc[Ann%RevLB])</f>
        <v>0.7507207380357479</v>
      </c>
      <c r="AW51" s="1267">
        <f ca="1">_xlfn.XLOOKUP(Tab_NewTRADER[[#This Row],[ClickTick]],TabCalc[Ticker],TabCalc[Up20])</f>
        <v>0</v>
      </c>
      <c r="AX51" s="1243" t="str" cm="1">
        <f t="array" aca="1" ref="AX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1" s="825" t="str" cm="1">
        <f t="array" aca="1" ref="AY51" ca="1">_xlfn.IFS(         Tab_NewTRADER[[#This Row],[M_State]]=MDown,Tab_NewTRADER[[#This Row],[L_Bn]]*Tab_NewTRADER[[#This Row],[M]]*(-(Tab_NewTRADER[[#This Row],[L_Bp]]+Tab_NewTRADER[[#This Row],[M]])/Tab_NewTRADER[[#This Row],[M]])*(1-Commission)*Tab_NewTRADER[[#This Row],[Scale]],                               TRUE,"")</f>
        <v/>
      </c>
      <c r="AZ51" s="1174" cm="1">
        <f t="array" aca="1" ref="AZ51" ca="1">_xlfn.IFS(   Tab_NewTRADER[[#This Row],[M_State]]=MUp,Tab_NewTRADER[[#This Row],[TakeGain_A]]-Commission,        Tab_NewTRADER[[#This Row],[M_State]]=MDown,(Tab_NewTRADER[[#This Row],[A]]-Tab_NewTRADER[[#This Row],[M]])/Tab_NewTRADER[[#This Row],[M]]-Commission,                              TRUE,"")</f>
        <v>0.11209344608879482</v>
      </c>
      <c r="BA51" s="825" cm="1">
        <f t="array" aca="1" ref="BA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6031.489193974624</v>
      </c>
      <c r="BB51" s="760" t="str" cm="1">
        <f t="array" aca="1" ref="BB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C51" s="736" t="str" cm="1">
        <f t="array" aca="1" ref="BC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5,000x1.08</v>
      </c>
      <c r="BD51" s="765" cm="1">
        <f t="array" aca="1" ref="BD51" ca="1">_xlfn.IFS(Tab_NewTRADER[[#This Row],[M_State]]=Sale_Back,"",         Tab_NewTRADER[[#This Row],[M_State]]=MDown, (Tab_NewTRADER[[#This Row],[M]]-Tab_NewTRADER[[#This Row],[A]])/Tab_NewTRADER[[#This Row],[A]]*ComFactor,             TRUE, IFERROR((Tab_NewTRADER[[#This Row],[M]]-Tab_NewTRADER[[#This Row],[A]])/Tab_NewTRADER[[#This Row],[A]]*ComFactor,""))</f>
        <v>0.11439524312896396</v>
      </c>
      <c r="BE51" s="762" cm="1">
        <f t="array" aca="1" ref="BE51" ca="1">_xlfn.IFS(               Tab_NewTRADER[[#This Row],[M_State]]=NoStock,(Tab_NewTRADER[[#This Row],[L_Sp]]-Tab_NewTRADER[[#This Row],[M]])/Tab_NewTRADER[[#This Row],[M]]-Commission,             Tab_NewTRADER[[#This Row],[A]]&lt;&gt;0,(Tab_NewTRADER[[#This Row],[A]]-Tab_NewTRADER[[#This Row],[M]])/Tab_NewTRADER[[#This Row],[M]]-Commission)</f>
        <v>-0.1054923660502607</v>
      </c>
      <c r="BF51" s="324">
        <f ca="1">_xlfn.XLOOKUP(Tab_NewTRADER[[#This Row],[ClickTick]],TabCalc[Ticker],TabCalc[L_Sn])</f>
        <v>5000</v>
      </c>
      <c r="BG51" s="728">
        <f ca="1">_xlfn.XLOOKUP(Tab_NewTRADER[[#This Row],[ClickTick]],TabCalc[Ticker],TabCalc[L_Sp])</f>
        <v>10.07</v>
      </c>
      <c r="BH51" s="764">
        <f ca="1">-IFERROR((Tab_NewTRADER[[#This Row],[M]]-Tab_NewTRADER[[#This Row],[L_Sp]])/Tab_NewTRADER[[#This Row],[L_Sp]],0)</f>
        <v>-4.7169811320754679E-2</v>
      </c>
      <c r="BI51" s="729">
        <f ca="1">MIN(Tab_NewTRADER[[#This Row],[L_Sn]],Tab_NewTRADER[[#This Row],[N]])*(Tab_NewTRADER[[#This Row],[M]]-Tab_NewTRADER[[#This Row],[L_Sp]])*(1-Commission)*Tab_NewTRADER[[#This Row],[Scale]]</f>
        <v>2368.824999999998</v>
      </c>
      <c r="BJ51" s="692">
        <f ca="1">Tab_NewTRADER[[#This Row],[L_Sn]]*(Tab_NewTRADER[[#This Row],[Agiotage]]-Tab_NewTRADER[[#This Row],[M]])/(Tab_NewTRADER[[#This Row],[L_Bn]]*Tab_NewTRADER[[#This Row],[M]])</f>
        <v>-0.97687264444542665</v>
      </c>
      <c r="BK51" s="635">
        <f ca="1">IFERROR((Tab_NewTRADER[[#This Row],[M]]-Tab_NewTRADER[[#This Row],[A]])/Tab_NewTRADER[[#This Row],[A]],0)</f>
        <v>0.11469344608879482</v>
      </c>
      <c r="BL51" s="638" t="str">
        <f ca="1">TEXT(_xlfn.XLOOKUP(Tab_NewTRADER[[#This Row],[ClickTick]],TabCalc[Ticker],TabCalc[NAfter]),"#,#0")&amp;" : "&amp;TEXT(_xlfn.XLOOKUP(Tab_NewTRADER[[#This Row],[ClickTick]],TabCalc[Ticker],TabCalc[NAfter])*(Tab_NewTRADER[[#This Row],[M]]-Tab_NewTRADER[[#This Row],[A]])*(1-Commission)*Tab_NewTRADER[[#This Row],[Scale]],"#,#0$")</f>
        <v>5,000 : 5,411$</v>
      </c>
      <c r="BM51" s="684">
        <f ca="1">_xlfn.XLOOKUP(Tab_NewTRADER[[#This Row],[ClickTick]],TabCalc[[#This Row],[Ticker]],TabCalc[[#This Row],[GL]])*(1-Commission)</f>
        <v>-80591.864201897915</v>
      </c>
      <c r="BN51" s="684"/>
      <c r="BO51" s="669" t="str">
        <f ca="1">Tab_NewTRADER[[#This Row],[ClickTick]]&amp;": "&amp;_xlfn.XLOOKUP(Tab_NewTRADER[[#This Row],[ClickTick]],TabCalc[Ticker],TabCalc[Pile?])</f>
        <v xml:space="preserve">VTRS: </v>
      </c>
      <c r="BP51" s="351" t="s">
        <v>1929</v>
      </c>
      <c r="BQ51" s="755" t="str" cm="1">
        <f t="array" aca="1" ref="BQ51" ca="1">_xlfn.TEXTJOIN("",,INDEX({"M","A","Y"}, _xlfn.SORTBY({1,2,3}, -CHOOSE({1,2,3}, Tab_NewTRADER[[#This Row],[M]], Tab_NewTRADER[[#This Row],[A]], Tab_NewTRADER[[#This Row],[Agiotage]]))))</f>
        <v>MAY</v>
      </c>
      <c r="BR51" s="902" cm="1">
        <f t="array" aca="1" ref="BR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4.5045045045045008E-2</v>
      </c>
      <c r="BS51" s="679">
        <f ca="1">Tab_NewTRADER[[#This Row],[L_Sn]]*Tab_NewTRADER[[#This Row],[L_Sp]]+Tab_NewTRADER[[#This Row],[SellMore]]*Tab_NewTRADER[[#This Row],[M]]</f>
        <v>103075</v>
      </c>
      <c r="BT51" s="679">
        <f ca="1">INDEX(
  INDEX(TabConsolid[], , _xlfn.XMATCH(Tab_NewTRADER[[#This Row],[ClickTick]]&amp;1, TabConsolid[#Headers])),
  MATCH(
    -Tab_NewTRADER[[#This Row],[M]],
    INDEX(TabConsolid[], , _xlfn.XMATCH(Tab_NewTRADER[[#This Row],[ClickTick]]&amp;2, TabConsolid[#Headers])),
    -1
  )
)</f>
        <v>5000</v>
      </c>
      <c r="BU51" s="679" cm="1">
        <f t="array" aca="1" ref="BU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51" s="1144">
        <f ca="1">Tab_NewTRADER[[#This Row],[ReBuy]]/(Tab_NewTRADER[[#This Row],[L_Sn]]+Tab_NewTRADER[[#This Row],[SellMore]])</f>
        <v>10.307499999999999</v>
      </c>
      <c r="BW51" s="687">
        <f ca="1">((_xlfn.XLOOKUP(Tab_NewTRADER[[#This Row],[ClickTick]],TabCalc[Ticker],TabCalc[NAfter])+Tab_NewTRADER[[#This Row],[L_Sn]])*(Tab_NewTRADER[[#This Row],[Agiotage]]-Tab_NewTRADER[[#This Row],[M]]))/(Tab_NewTRADER[[#This Row],[L_Sn]]*_xlfn.XLOOKUP(Tab_NewTRADER[[#This Row],[ClickTick]],TabCalc[Ticker],TabCalc[NAfter]))</f>
        <v>-4.1204488142708093E-3</v>
      </c>
      <c r="BX51" s="687">
        <f ca="1">(Tab_NewTRADER[[#This Row],[M]]-Tab_NewTRADER[[#This Row],[Agiotage]])/(Tab_NewTRADER[[#This Row],[M]]-Tab_NewTRADER[[#This Row],[A]])-1</f>
        <v>8.4941216918682318</v>
      </c>
      <c r="BY51" s="1262">
        <f ca="1">_xlfn.XMATCH(Tab_NewTRADER[[#This Row],[ClickTick]]&amp;1, TabConsolid[#Headers])</f>
        <v>149</v>
      </c>
      <c r="BZ51" t="b">
        <f ca="1">IF(ABS(Tab_NewTRADER[[#This Row],[L_Bp]])&gt;=Tab_NewTRADER[[#This Row],[M]],"OK")</f>
        <v>0</v>
      </c>
    </row>
    <row r="52" spans="1:78" ht="23" hidden="1"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15"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F52" s="1451"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2" s="1535" t="str">
        <f ca="1">TEXT(MIN(Tab_NewTRADER[[#This Row],[L_Bn]],Tab_NewTRADER[[#This Row],[N]]),"#,#0")&amp;" x "&amp;TEXT(Tab_NewTRADER[[#This Row],[L_Bp]],"#,#0.#0")</f>
        <v>3,000 x -10.06</v>
      </c>
      <c r="AH52" s="1536" t="str" cm="1">
        <f t="array" aca="1" ref="AH52" ca="1">_xlfn.IFS(Tab_NewTRADER[[#This Row],[M_State]]=Sale_Back,Tab_NewTRADER[[#This Row],[Sale_Back_$]], TRUE,"M = "&amp;Tab_NewTRADER[[#This Row],[M]])</f>
        <v>M = 11.98</v>
      </c>
      <c r="AI52" s="1457" cm="1">
        <f t="array" aca="1" ref="AI52" ca="1">IF(Tab_NewTRADER[[#This Row],[M_State]]=MUp,_xlfn.IFS(Tab_NewTRADER[[#This Row],[M_State]]=MUp,MIN(Tab_NewTRADER[[#This Row],[N]],Tab_NewTRADER[[#This Row],[L_Bn]])*(Tab_NewTRADER[[#This Row],[M]]-Tab_NewTRADER[[#This Row],[L_Sp]])*Tab_NewTRADER[[#This Row],[Scale]]*ComFactor, TRUE,0),0)</f>
        <v>2181.0145800000032</v>
      </c>
      <c r="AJ52" s="1461" cm="1">
        <f t="array" aca="1" ref="AJ52" ca="1">_xlfn.IFS(Tab_NewTRADER[[#This Row],[M_State]]=MUp,                 MIN(Tab_NewTRADER[[#This Row],[L_Sn]],Tab_NewTRADER[[#This Row],[N]])*(Tab_NewTRADER[[#This Row],[M]]-Tab_NewTRADER[[#This Row],[A]])*Tab_NewTRADER[[#This Row],[Scale]]*ComFactor, TRUE,0)</f>
        <v>5745.3232199999993</v>
      </c>
      <c r="AK52" s="1461" cm="1">
        <f t="array" aca="1" ref="AK52" ca="1">_xlfn.IFS(Tab_NewTRADER[[#This Row],[M_State]]=MUp,                  Tab_NewTRADER[[#This Row],[N]]*(Tab_NewTRADER[[#This Row],[M]]-Tab_NewTRADER[[#This Row],[A]])*Tab_NewTRADER[[#This Row],[Scale]]*ComFactor, TRUE,0)</f>
        <v>5745.3232199999993</v>
      </c>
      <c r="AL52" s="1452" t="str">
        <f ca="1">TEXT(Tab_NewTRADER[[#This Row],[L_Sn]],"#,#0")&amp;" x "&amp;TEXT(Tab_NewTRADER[[#This Row],[L_Sp]],"#,#0.#0")</f>
        <v>4,000 x 11.25</v>
      </c>
      <c r="AM52" s="1465" t="str" cm="1">
        <f t="array" aca="1" ref="AM52" ca="1">_xlfn.IFS(Tab_NewTRADER[[#This Row],[M_State]]=RePurchaseGain,TEXT(-Tab_NewTRADER[[#This Row],[Buy_Back]],"#,#0")&amp;"       / "&amp;TEXT(Tab_NewTRADER[[#This Row],[Rev_Buy]],"#,#00.0)%"),TRUE,"M = "&amp;Tab_NewTRADER[[#This Row],[M]])</f>
        <v>M = 11.98</v>
      </c>
      <c r="AN52" s="1435" cm="1">
        <f t="array" aca="1" ref="AN52" ca="1">_xlfn.IFS(Tab_NewTRADER[[#This Row],[M_State]]=MDown,TEXT(Tab_NewTRADER[[#This Row],[L_Sn]]*(Tab_NewTRADER[[#This Row],[M]]-Tab_NewTRADER[[#This Row],[L_Sp]])*ComFactor,"#,#0")&amp;"       / "&amp;TEXT((TabTRADER[[#This Row],[M]]-TabTRADER[[#This Row],[L_Sp]])/TabTRADER[[#This Row],[M]],"#,#00.0)%"),TRUE,0)</f>
        <v>0</v>
      </c>
      <c r="AO52" s="1486" cm="1">
        <f t="array" aca="1" ref="AO52" ca="1">_xlfn.IFS(Tab_NewTRADER[[#This Row],[M_State]]=MDown,TEXT(Tab_NewTRADER[[#This Row],[N]]*(Tab_NewTRADER[[#This Row],[M]]-Tab_NewTRADER[[#This Row],[A]])*Tab_NewTRADER[[#This Row],[Scale]]*ComFactor,"#,#0")&amp;"       / "&amp;TEXT((TabTRADER[[#This Row],[M]]-TabTRADER[[#This Row],[L_Bp]])/TabTRADER[[#This Row],[M]],"#,#00.0%"),TRUE,0)</f>
        <v>0</v>
      </c>
      <c r="AP52" s="1435" t="str" cm="1">
        <f t="array" aca="1" ref="AP52" ca="1">_xlfn.IFS(Tab_NewTRADER[[#This Row],[M_State]]=MDown,TEXT(Tab_NewTRADER[[#This Row],[N]]*Tab_NewTRADER[[#This Row],[M]],"#,#0")&amp;" @ "&amp;TEXT(Tab_NewTRADER[[#This Row],[A]],"#,#0.#0"),TRUE,"M = "&amp; Tab_NewTRADER[[#This Row],[M]])</f>
        <v>M = 11.98</v>
      </c>
      <c r="AQ52" s="1165">
        <f ca="1">Tab_NewTRADER[[#This Row],[N]]*(Tab_NewTRADER[[#This Row],[M]]-Tab_NewTRADER[[#This Row],[A]])*(1-Commission)*Tab_NewTRADER[[#This Row],[Scale]]</f>
        <v>5745.3232199999993</v>
      </c>
      <c r="AR52" s="1165">
        <f ca="1">Tab_NewTRADER[[#This Row],[M]]*Tab_NewTRADER[[#This Row],[N]]*(1-Commission)*Tab_NewTRADER[[#This Row],[Scale]]</f>
        <v>35846.555999999997</v>
      </c>
      <c r="AS52" s="1174" cm="1">
        <f t="array" aca="1" ref="AS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0.19086670841658462</v>
      </c>
      <c r="AT52" s="1174" cm="1">
        <f t="array" aca="1" ref="AT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5.8243071786310621E-2</v>
      </c>
      <c r="AU52" s="825" cm="1">
        <f t="array" aca="1" ref="AU52" ca="1">_xlfn.IFS(   Tab_NewTRADER[[#This Row],[M_State]]=SellMorePercentGain,                     MIN(Tab_NewTRADER[[#This Row],[L_Sn]],Tab_NewTRADER[[#This Row],[N]])*(Tab_NewTRADER[[#This Row],[M]]-Tab_NewTRADER[[#This Row],[L_Sp]])*(1-Commission)*Tab_NewTRADER[[#This Row],[Scale]],                    TRUE,"")</f>
        <v>2181.0145800000032</v>
      </c>
      <c r="AV52" s="1163">
        <f ca="1">_xlfn.XLOOKUP(Tab_NewTRADER[[#This Row],[ClickTick]],TabCalc[Ticker],TabCalc[Ann%RevLB])</f>
        <v>0.2402518008040925</v>
      </c>
      <c r="AW52" s="1163">
        <f ca="1">_xlfn.XLOOKUP(Tab_NewTRADER[[#This Row],[ClickTick]],TabCalc[Ticker],TabCalc[Up20])</f>
        <v>0</v>
      </c>
      <c r="AX52" s="310" t="str" cm="1">
        <f t="array" aca="1" ref="AX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2" s="825" t="str" cm="1">
        <f t="array" aca="1" ref="AY52" ca="1">_xlfn.IFS(         Tab_NewTRADER[[#This Row],[M_State]]=MDown,Tab_NewTRADER[[#This Row],[L_Bn]]*Tab_NewTRADER[[#This Row],[M]]*(-(Tab_NewTRADER[[#This Row],[L_Bp]]+Tab_NewTRADER[[#This Row],[M]])/Tab_NewTRADER[[#This Row],[M]])*(1-Commission)*Tab_NewTRADER[[#This Row],[Scale]],                               TRUE,"")</f>
        <v/>
      </c>
      <c r="AZ52" s="1174" cm="1">
        <f t="array" aca="1" ref="AZ52" ca="1">_xlfn.IFS(   Tab_NewTRADER[[#This Row],[M_State]]=MUp,Tab_NewTRADER[[#This Row],[TakeGain_A]]-Commission,        Tab_NewTRADER[[#This Row],[M_State]]=MDown,(Tab_NewTRADER[[#This Row],[A]]-Tab_NewTRADER[[#This Row],[M]])/Tab_NewTRADER[[#This Row],[M]]-Commission,                              TRUE,"")</f>
        <v>0.18826670841658463</v>
      </c>
      <c r="BA52" s="825" cm="1">
        <f t="array" aca="1" ref="BA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6841.914151790771</v>
      </c>
      <c r="BB52" s="760" t="str" cm="1">
        <f t="array" aca="1" ref="BB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C52" s="736" t="str" cm="1">
        <f t="array" aca="1" ref="BC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D52" s="765" cm="1">
        <f t="array" aca="1" ref="BD52" ca="1">_xlfn.IFS(Tab_NewTRADER[[#This Row],[M_State]]=Sale_Back,"",         Tab_NewTRADER[[#This Row],[M_State]]=MDown, (Tab_NewTRADER[[#This Row],[M]]-Tab_NewTRADER[[#This Row],[A]])/Tab_NewTRADER[[#This Row],[A]]*ComFactor,             TRUE, IFERROR((Tab_NewTRADER[[#This Row],[M]]-Tab_NewTRADER[[#This Row],[A]])/Tab_NewTRADER[[#This Row],[A]]*ComFactor,""))</f>
        <v>0.19037045497470151</v>
      </c>
      <c r="BE52" s="762" cm="1">
        <f t="array" aca="1" ref="BE52" ca="1">_xlfn.IFS(               Tab_NewTRADER[[#This Row],[M_State]]=NoStock,(Tab_NewTRADER[[#This Row],[L_Sp]]-Tab_NewTRADER[[#This Row],[M]])/Tab_NewTRADER[[#This Row],[M]]-Commission,             Tab_NewTRADER[[#This Row],[A]]&lt;&gt;0,(Tab_NewTRADER[[#This Row],[A]]-Tab_NewTRADER[[#This Row],[M]])/Tab_NewTRADER[[#This Row],[M]]-Commission)</f>
        <v>-0.16287545909849746</v>
      </c>
      <c r="BF52" s="324">
        <f ca="1">_xlfn.XLOOKUP(Tab_NewTRADER[[#This Row],[ClickTick]],TabCalc[Ticker],TabCalc[L_Sn])</f>
        <v>4000</v>
      </c>
      <c r="BG52" s="728">
        <f ca="1">_xlfn.XLOOKUP(Tab_NewTRADER[[#This Row],[ClickTick]],TabCalc[Ticker],TabCalc[L_Sp])</f>
        <v>11.251099999999999</v>
      </c>
      <c r="BH52" s="764">
        <f ca="1">-IFERROR((Tab_NewTRADER[[#This Row],[M]]-Tab_NewTRADER[[#This Row],[L_Sp]])/Tab_NewTRADER[[#This Row],[L_Sp]],0)</f>
        <v>-6.478477659962148E-2</v>
      </c>
      <c r="BI52" s="729">
        <f ca="1">MIN(Tab_NewTRADER[[#This Row],[L_Sn]],Tab_NewTRADER[[#This Row],[N]])*(Tab_NewTRADER[[#This Row],[M]]-Tab_NewTRADER[[#This Row],[L_Sp]])*(1-Commission)*Tab_NewTRADER[[#This Row],[Scale]]</f>
        <v>2181.0145800000032</v>
      </c>
      <c r="BJ52" s="692">
        <f ca="1">Tab_NewTRADER[[#This Row],[L_Sn]]*(Tab_NewTRADER[[#This Row],[Agiotage]]-Tab_NewTRADER[[#This Row],[M]])/(Tab_NewTRADER[[#This Row],[L_Bn]]*Tab_NewTRADER[[#This Row],[M]])</f>
        <v>0.15441291211435451</v>
      </c>
      <c r="BK52" s="635">
        <f ca="1">IFERROR((Tab_NewTRADER[[#This Row],[M]]-Tab_NewTRADER[[#This Row],[A]])/Tab_NewTRADER[[#This Row],[A]],0)</f>
        <v>0.19086670841658462</v>
      </c>
      <c r="BL52" s="638" t="str">
        <f ca="1">TEXT(_xlfn.XLOOKUP(Tab_NewTRADER[[#This Row],[ClickTick]],TabCalc[Ticker],TabCalc[NAfter]),"#,#0")&amp;" : "&amp;TEXT(_xlfn.XLOOKUP(Tab_NewTRADER[[#This Row],[ClickTick]],TabCalc[Ticker],TabCalc[NAfter])*(Tab_NewTRADER[[#This Row],[M]]-Tab_NewTRADER[[#This Row],[A]])*(1-Commission)*Tab_NewTRADER[[#This Row],[Scale]],"#,#0$")</f>
        <v>3,000 : 5,745$</v>
      </c>
      <c r="BM52" s="684">
        <f ca="1">_xlfn.XLOOKUP(Tab_NewTRADER[[#This Row],[ClickTick]],TabCalc[[#This Row],[Ticker]],TabCalc[[#This Row],[GL]])*(1-Commission)</f>
        <v>-21848.010657736202</v>
      </c>
      <c r="BN52" s="684"/>
      <c r="BO52" s="669" t="str">
        <f ca="1">Tab_NewTRADER[[#This Row],[ClickTick]]&amp;": "&amp;_xlfn.XLOOKUP(Tab_NewTRADER[[#This Row],[ClickTick]],TabCalc[Ticker],TabCalc[Pile?])</f>
        <v xml:space="preserve">WBA: </v>
      </c>
      <c r="BP52" s="351" t="s">
        <v>1930</v>
      </c>
      <c r="BQ52" s="755" t="str" cm="1">
        <f t="array" aca="1" ref="BQ52" ca="1">_xlfn.TEXTJOIN("",,INDEX({"M","A","Y"}, _xlfn.SORTBY({1,2,3}, -CHOOSE({1,2,3}, Tab_NewTRADER[[#This Row],[M]], Tab_NewTRADER[[#This Row],[A]], Tab_NewTRADER[[#This Row],[Agiotage]]))))</f>
        <v>YMA</v>
      </c>
      <c r="BR52" s="902" cm="1">
        <f t="array" aca="1" ref="BR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6.0843071786310619E-2</v>
      </c>
      <c r="BS52" s="679">
        <f ca="1">Tab_NewTRADER[[#This Row],[L_Sn]]*Tab_NewTRADER[[#This Row],[L_Sp]]+Tab_NewTRADER[[#This Row],[SellMore]]*Tab_NewTRADER[[#This Row],[M]]</f>
        <v>80944.399999999994</v>
      </c>
      <c r="BT52" s="679">
        <f ca="1">INDEX(
  INDEX(TabConsolid[], , _xlfn.XMATCH(Tab_NewTRADER[[#This Row],[ClickTick]]&amp;1, TabConsolid[#Headers])),
  MATCH(
    -Tab_NewTRADER[[#This Row],[M]],
    INDEX(TabConsolid[], , _xlfn.XMATCH(Tab_NewTRADER[[#This Row],[ClickTick]]&amp;2, TabConsolid[#Headers])),
    -1
  )
)</f>
        <v>3000</v>
      </c>
      <c r="BU52" s="679" cm="1">
        <f t="array" aca="1" ref="BU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52" s="1144">
        <f ca="1">Tab_NewTRADER[[#This Row],[ReBuy]]/(Tab_NewTRADER[[#This Row],[L_Sn]]+Tab_NewTRADER[[#This Row],[SellMore]])</f>
        <v>11.563485714285713</v>
      </c>
      <c r="BW52" s="687">
        <f ca="1">((_xlfn.XLOOKUP(Tab_NewTRADER[[#This Row],[ClickTick]],TabCalc[Ticker],TabCalc[NAfter])+Tab_NewTRADER[[#This Row],[L_Sn]])*(Tab_NewTRADER[[#This Row],[Agiotage]]-Tab_NewTRADER[[#This Row],[M]]))/(Tab_NewTRADER[[#This Row],[L_Sn]]*_xlfn.XLOOKUP(Tab_NewTRADER[[#This Row],[ClickTick]],TabCalc[Ticker],TabCalc[NAfter]))</f>
        <v>1.753519463841948E-3</v>
      </c>
      <c r="BX52" s="687">
        <f ca="1">(Tab_NewTRADER[[#This Row],[M]]-Tab_NewTRADER[[#This Row],[Agiotage]])/(Tab_NewTRADER[[#This Row],[M]]-Tab_NewTRADER[[#This Row],[A]])-1</f>
        <v>-2.56556083880329</v>
      </c>
      <c r="BY52" s="1262">
        <f ca="1">_xlfn.XMATCH(Tab_NewTRADER[[#This Row],[ClickTick]]&amp;1, TabConsolid[#Headers])</f>
        <v>152</v>
      </c>
      <c r="BZ52" t="b">
        <f ca="1">IF(ABS(Tab_NewTRADER[[#This Row],[L_Bp]])&gt;=Tab_NewTRADER[[#This Row],[M]],"OK")</f>
        <v>0</v>
      </c>
    </row>
    <row r="53" spans="1:78"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+27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5,745$</v>
      </c>
      <c r="G53" s="225" t="str">
        <f ca="1">IFERROR(TRUNC(_xlfn.XLOOKUP(Tab_NewTRADER[[#This Row],[ClickTick]],TabCalc[Ticker],ListLastSalep),2)&amp;"x"&amp;_xlfn.XLOOKUP(Tab_NewTRADER[[#This Row],[ClickTick]],TabCalc[Ticker],ListLastSalen)&amp;"=   "&amp;TEXT(-_xlfn.XLOOKUP(Tab_NewTRADER[[#This Row],[ClickTick]],TabCalc[Ticker],ListReverseB),"#,#0")&amp;"$","")</f>
        <v>107.37x1800=   18,378$</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8.7% = 0</v>
      </c>
      <c r="I53" s="226" t="str">
        <f ca="1">IFERROR(TRUNC(TabCalc[[#This Row],[L_S1p]],2)&amp;"x"&amp;TabCalc[[#This Row],[L_S1n]]&amp;"=   "&amp;TEXT(TabCalc[[#This Row],[ReverseB1]],"#,#0"),"")</f>
        <v>114.13x1800=   -6,210</v>
      </c>
      <c r="J53" s="295">
        <f ca="1">_xlfn.XLOOKUP(Tab_NewTRADER[[#This Row],[ClickTick]],TabCalc[Ticker],ListGravity)</f>
        <v>1.0790950841979929</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35274</v>
      </c>
      <c r="M53" s="323">
        <f ca="1">_xlfn.XLOOKUP(Tab_NewTRADER[[#This Row],[ClickTick]],TabCalc[Ticker],TabCalc[Agiotage])</f>
        <v>0.38161593020093482</v>
      </c>
      <c r="N53" s="324" cm="1">
        <f t="array" aca="1" ref="N53" ca="1">_xlfn.XLOOKUP(Tab_NewTRADER[[#This Row],[ClickTick]],ListTickers,Tab2RSIConventional[RSIConv20])</f>
        <v>71</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7.6602264022472902E-4</v>
      </c>
      <c r="S53" s="683">
        <f ca="1">_xlfn.XLOOKUP(Tab_NewTRADER[[#This Row],[ClickTick]],TabCalc[Ticker],TabCalc[Rev(MinStock)])*(1-Commission)</f>
        <v>26.92980000000102</v>
      </c>
      <c r="T53" s="782">
        <f ca="1">_xlfn.XLOOKUP(Tab_NewTRADER[[#This Row],[ClickTick]],TabCalc[Ticker],TabCalc[Agiotage])</f>
        <v>0.38161593020093482</v>
      </c>
      <c r="U53" s="747"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325/325=&gt;-1.2% / -1.2%</v>
      </c>
      <c r="V53" s="739" t="str">
        <f ca="1">_xlfn.XLOOKUP(Tab_NewTRADER[[#This Row],[ClickTick]],[1]!RTData[Ticker_Symbol],[1]!RTData[Currency])</f>
        <v>USD</v>
      </c>
      <c r="W53" s="749">
        <f ca="1">_xlfn.XLOOKUP(Tab_NewTRADER[[#This Row],[ClickTick]],TabCalc[Ticker],TabCalc[M])</f>
        <v>117.58</v>
      </c>
      <c r="X53" s="1315"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-1.2182E-2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59 K$</v>
      </c>
      <c r="AF53" s="1182"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53" s="1530" t="str">
        <f ca="1">TEXT(MIN(Tab_NewTRADER[[#This Row],[L_Bn]],Tab_NewTRADER[[#This Row],[N]]),"#,#0")&amp;" x "&amp;TEXT(Tab_NewTRADER[[#This Row],[L_Bp]],"#,#0.#0")</f>
        <v>300 x -117.49</v>
      </c>
      <c r="AH53" s="1530" cm="1">
        <f t="array" aca="1" ref="AH53" ca="1">_xlfn.IFS(Tab_NewTRADER[[#This Row],[M_State]]=Sale_Back,Tab_NewTRADER[[#This Row],[Sale_Back_$]], TRUE,"M = "&amp;Tab_NewTRADER[[#This Row],[M]])</f>
        <v>26.92980000000102</v>
      </c>
      <c r="AI53" s="1433" cm="1">
        <f t="array" aca="1" ref="AI53" ca="1">IF(Tab_NewTRADER[[#This Row],[M_State]]=MUp,_xlfn.IFS(Tab_NewTRADER[[#This Row],[M_State]]=MUp,MIN(Tab_NewTRADER[[#This Row],[N]],Tab_NewTRADER[[#This Row],[L_Bn]])*(Tab_NewTRADER[[#This Row],[M]]-Tab_NewTRADER[[#This Row],[L_Sp]])*Tab_NewTRADER[[#This Row],[Scale]]*ComFactor, TRUE,0),0)</f>
        <v>0</v>
      </c>
      <c r="AJ53" s="1433" cm="1">
        <f t="array" aca="1" ref="AJ53" ca="1">_xlfn.IFS(Tab_NewTRADER[[#This Row],[M_State]]=MUp,                 MIN(Tab_NewTRADER[[#This Row],[L_Sn]],Tab_NewTRADER[[#This Row],[N]])*(Tab_NewTRADER[[#This Row],[M]]-Tab_NewTRADER[[#This Row],[A]])*Tab_NewTRADER[[#This Row],[Scale]]*ComFactor, TRUE,0)</f>
        <v>0</v>
      </c>
      <c r="AK53" s="1433" cm="1">
        <f t="array" aca="1" ref="AK53" ca="1">_xlfn.IFS(Tab_NewTRADER[[#This Row],[M_State]]=MUp,                  Tab_NewTRADER[[#This Row],[N]]*(Tab_NewTRADER[[#This Row],[M]]-Tab_NewTRADER[[#This Row],[A]])*Tab_NewTRADER[[#This Row],[Scale]]*ComFactor, TRUE,0)</f>
        <v>0</v>
      </c>
      <c r="AL53" s="1435" t="str">
        <f ca="1">TEXT(Tab_NewTRADER[[#This Row],[L_Sn]],"#,#0")&amp;" x "&amp;TEXT(Tab_NewTRADER[[#This Row],[L_Sp]],"#,#0.#0")</f>
        <v>1,800 x 107.37</v>
      </c>
      <c r="AM53" s="1465" t="str" cm="1">
        <f t="array" aca="1" ref="AM53" ca="1">_xlfn.IFS(Tab_NewTRADER[[#This Row],[M_State]]=RePurchaseGain,TEXT(-Tab_NewTRADER[[#This Row],[Buy_Back]],"#,#0")&amp;"       / "&amp;TEXT(Tab_NewTRADER[[#This Row],[Rev_Buy]],"#,#00.0)%"),TRUE,"M = "&amp;Tab_NewTRADER[[#This Row],[M]])</f>
        <v>M = 117.58</v>
      </c>
      <c r="AN53" s="1435" cm="1">
        <f t="array" aca="1" ref="AN53" ca="1">_xlfn.IFS(Tab_NewTRADER[[#This Row],[M_State]]=MDown,TEXT(Tab_NewTRADER[[#This Row],[L_Sn]]*(Tab_NewTRADER[[#This Row],[M]]-Tab_NewTRADER[[#This Row],[L_Sp]])*ComFactor,"#,#0")&amp;"       / "&amp;TEXT((TabTRADER[[#This Row],[M]]-TabTRADER[[#This Row],[L_Sp]])/TabTRADER[[#This Row],[M]],"#,#00.0)%"),TRUE,0)</f>
        <v>0</v>
      </c>
      <c r="AO53" s="1486" cm="1">
        <f t="array" aca="1" ref="AO53" ca="1">_xlfn.IFS(Tab_NewTRADER[[#This Row],[M_State]]=MDown,TEXT(Tab_NewTRADER[[#This Row],[N]]*(Tab_NewTRADER[[#This Row],[M]]-Tab_NewTRADER[[#This Row],[A]])*Tab_NewTRADER[[#This Row],[Scale]]*ComFactor,"#,#0")&amp;"       / "&amp;TEXT((TabTRADER[[#This Row],[M]]-TabTRADER[[#This Row],[L_Bp]])/TabTRADER[[#This Row],[M]],"#,#00.0%"),TRUE,0)</f>
        <v>0</v>
      </c>
      <c r="AP53" s="1435" t="str" cm="1">
        <f t="array" aca="1" ref="AP53" ca="1">_xlfn.IFS(Tab_NewTRADER[[#This Row],[M_State]]=MDown,TEXT(Tab_NewTRADER[[#This Row],[N]]*Tab_NewTRADER[[#This Row],[M]],"#,#0")&amp;" @ "&amp;TEXT(Tab_NewTRADER[[#This Row],[A]],"#,#0.#0"),TRUE,"M = "&amp; Tab_NewTRADER[[#This Row],[M]])</f>
        <v>M = 117.58</v>
      </c>
      <c r="AQ53" s="1165">
        <f ca="1">Tab_NewTRADER[[#This Row],[N]]*(Tab_NewTRADER[[#This Row],[M]]-Tab_NewTRADER[[#This Row],[A]])*(1-Commission)*Tab_NewTRADER[[#This Row],[Scale]]</f>
        <v>2318.9549999999958</v>
      </c>
      <c r="AR53" s="1165">
        <f ca="1">Tab_NewTRADER[[#This Row],[M]]*Tab_NewTRADER[[#This Row],[N]]*(1-Commission)*Tab_NewTRADER[[#This Row],[Scale]]</f>
        <v>58637.146000000001</v>
      </c>
      <c r="AS53" s="1174" cm="1">
        <f t="array" aca="1" ref="AS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7.6602264022472902E-4</v>
      </c>
      <c r="AT53" s="1174" t="str" cm="1">
        <f t="array" aca="1" ref="AT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53" s="825" t="str" cm="1">
        <f t="array" aca="1" ref="AU53" ca="1">_xlfn.IFS(   Tab_NewTRADER[[#This Row],[M_State]]=SellMorePercentGain,                     MIN(Tab_NewTRADER[[#This Row],[L_Sn]],Tab_NewTRADER[[#This Row],[N]])*(Tab_NewTRADER[[#This Row],[M]]-Tab_NewTRADER[[#This Row],[L_Sp]])*(1-Commission)*Tab_NewTRADER[[#This Row],[Scale]],                    TRUE,"")</f>
        <v/>
      </c>
      <c r="AV53" s="1163">
        <f ca="1">_xlfn.XLOOKUP(Tab_NewTRADER[[#This Row],[ClickTick]],TabCalc[Ticker],TabCalc[Ann%RevLB])</f>
        <v>5.1068176014981929E-3</v>
      </c>
      <c r="AW53" s="1267">
        <f ca="1">_xlfn.XLOOKUP(Tab_NewTRADER[[#This Row],[ClickTick]],TabCalc[Ticker],TabCalc[Up20])</f>
        <v>0</v>
      </c>
      <c r="AX53" s="310" t="str" cm="1">
        <f t="array" aca="1" ref="AX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3" s="825" t="str" cm="1">
        <f t="array" aca="1" ref="AY53" ca="1">_xlfn.IFS(         Tab_NewTRADER[[#This Row],[M_State]]=MDown,Tab_NewTRADER[[#This Row],[L_Bn]]*Tab_NewTRADER[[#This Row],[M]]*(-(Tab_NewTRADER[[#This Row],[L_Bp]]+Tab_NewTRADER[[#This Row],[M]])/Tab_NewTRADER[[#This Row],[M]])*(1-Commission)*Tab_NewTRADER[[#This Row],[Scale]],                               TRUE,"")</f>
        <v/>
      </c>
      <c r="AZ53" s="1174" t="str" cm="1">
        <f t="array" aca="1" ref="AZ53" ca="1">_xlfn.IFS(   Tab_NewTRADER[[#This Row],[M_State]]=MUp,Tab_NewTRADER[[#This Row],[TakeGain_A]]-Commission,        Tab_NewTRADER[[#This Row],[M_State]]=MDown,(Tab_NewTRADER[[#This Row],[A]]-Tab_NewTRADER[[#This Row],[M]])/Tab_NewTRADER[[#This Row],[M]]-Commission,                              TRUE,"")</f>
        <v/>
      </c>
      <c r="BA53" s="825" cm="1">
        <f t="array" aca="1" ref="BA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2414.4401744443412</v>
      </c>
      <c r="BB53" s="760" t="str" cm="1">
        <f t="array" aca="1" ref="BB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C53" s="736" t="str" cm="1">
        <f t="array" aca="1" ref="BC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53" s="765" t="str" cm="1">
        <f t="array" aca="1" ref="BD53" ca="1">_xlfn.IFS(Tab_NewTRADER[[#This Row],[M_State]]=Sale_Back,"",         Tab_NewTRADER[[#This Row],[M_State]]=MDown, (Tab_NewTRADER[[#This Row],[M]]-Tab_NewTRADER[[#This Row],[A]])/Tab_NewTRADER[[#This Row],[A]]*ComFactor,             TRUE, IFERROR((Tab_NewTRADER[[#This Row],[M]]-Tab_NewTRADER[[#This Row],[A]])/Tab_NewTRADER[[#This Row],[A]]*ComFactor,""))</f>
        <v/>
      </c>
      <c r="BE53" s="762" cm="1">
        <f t="array" aca="1" ref="BE53" ca="1">_xlfn.IFS(               Tab_NewTRADER[[#This Row],[M_State]]=NoStock,(Tab_NewTRADER[[#This Row],[L_Sp]]-Tab_NewTRADER[[#This Row],[M]])/Tab_NewTRADER[[#This Row],[M]]-Commission,             Tab_NewTRADER[[#This Row],[A]]&lt;&gt;0,(Tab_NewTRADER[[#This Row],[A]]-Tab_NewTRADER[[#This Row],[M]])/Tab_NewTRADER[[#This Row],[M]]-Commission)</f>
        <v>-4.2147542098996356E-2</v>
      </c>
      <c r="BF53" s="324">
        <f ca="1">_xlfn.XLOOKUP(Tab_NewTRADER[[#This Row],[ClickTick]],TabCalc[Ticker],TabCalc[L_Sn])</f>
        <v>1800</v>
      </c>
      <c r="BG53" s="728">
        <f ca="1">_xlfn.XLOOKUP(Tab_NewTRADER[[#This Row],[ClickTick]],TabCalc[Ticker],TabCalc[L_Sp])</f>
        <v>107.37</v>
      </c>
      <c r="BH53" s="764">
        <f ca="1">-IFERROR((Tab_NewTRADER[[#This Row],[M]]-Tab_NewTRADER[[#This Row],[L_Sp]])/Tab_NewTRADER[[#This Row],[L_Sp]],0)</f>
        <v>-9.5091738846977678E-2</v>
      </c>
      <c r="BI53" s="729">
        <f ca="1">MIN(Tab_NewTRADER[[#This Row],[L_Sn]],Tab_NewTRADER[[#This Row],[N]])*(Tab_NewTRADER[[#This Row],[M]]-Tab_NewTRADER[[#This Row],[L_Sp]])*(1-Commission)*Tab_NewTRADER[[#This Row],[Scale]]</f>
        <v>5091.7269999999971</v>
      </c>
      <c r="BJ53" s="692">
        <f ca="1">Tab_NewTRADER[[#This Row],[L_Sn]]*(Tab_NewTRADER[[#This Row],[Agiotage]]-Tab_NewTRADER[[#This Row],[M]])/(Tab_NewTRADER[[#This Row],[L_Bn]]*Tab_NewTRADER[[#This Row],[M]])</f>
        <v>-5.9805264876577171</v>
      </c>
      <c r="BK53" s="635">
        <f ca="1">IFERROR((Tab_NewTRADER[[#This Row],[M]]-Tab_NewTRADER[[#This Row],[A]])/Tab_NewTRADER[[#This Row],[A]],0)</f>
        <v>4.1175949703355981E-2</v>
      </c>
      <c r="BL53" s="638" t="str">
        <f ca="1">TEXT(_xlfn.XLOOKUP(Tab_NewTRADER[[#This Row],[ClickTick]],TabCalc[Ticker],TabCalc[NAfter]),"#,#0")&amp;" : "&amp;TEXT(_xlfn.XLOOKUP(Tab_NewTRADER[[#This Row],[ClickTick]],TabCalc[Ticker],TabCalc[NAfter])*(Tab_NewTRADER[[#This Row],[M]]-Tab_NewTRADER[[#This Row],[A]])*(1-Commission)*Tab_NewTRADER[[#This Row],[Scale]],"#,#0$")</f>
        <v>500 : 2,319$</v>
      </c>
      <c r="BM53" s="684">
        <f ca="1">_xlfn.XLOOKUP(Tab_NewTRADER[[#This Row],[ClickTick]],TabCalc[[#This Row],[Ticker]],TabCalc[[#This Row],[GL]])*(1-Commission)</f>
        <v>10214.115731684007</v>
      </c>
      <c r="BN53" s="684"/>
      <c r="BO53" s="669" t="str">
        <f ca="1">Tab_NewTRADER[[#This Row],[ClickTick]]&amp;": "&amp;_xlfn.XLOOKUP(Tab_NewTRADER[[#This Row],[ClickTick]],TabCalc[Ticker],TabCalc[Pile?])</f>
        <v xml:space="preserve">XOM: </v>
      </c>
      <c r="BP53" s="351" t="s">
        <v>1931</v>
      </c>
      <c r="BQ53" s="755" t="str" cm="1">
        <f t="array" aca="1" ref="BQ53" ca="1">_xlfn.TEXTJOIN("",,INDEX({"M","A","Y"}, _xlfn.SORTBY({1,2,3}, -CHOOSE({1,2,3}, Tab_NewTRADER[[#This Row],[M]], Tab_NewTRADER[[#This Row],[A]], Tab_NewTRADER[[#This Row],[Agiotage]]))))</f>
        <v>MAY</v>
      </c>
      <c r="BR53" s="902" t="str" cm="1">
        <f t="array" aca="1" ref="BR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53" s="679">
        <f ca="1">Tab_NewTRADER[[#This Row],[L_Sn]]*Tab_NewTRADER[[#This Row],[L_Sp]]+Tab_NewTRADER[[#This Row],[SellMore]]*Tab_NewTRADER[[#This Row],[M]]</f>
        <v>228540</v>
      </c>
      <c r="BT53" s="679">
        <f ca="1">INDEX(
  INDEX(TabConsolid[], , _xlfn.XMATCH(Tab_NewTRADER[[#This Row],[ClickTick]]&amp;1, TabConsolid[#Headers])),
  MATCH(
    -Tab_NewTRADER[[#This Row],[M]],
    INDEX(TabConsolid[], , _xlfn.XMATCH(Tab_NewTRADER[[#This Row],[ClickTick]]&amp;2, TabConsolid[#Headers])),
    -1
  )
)</f>
        <v>300</v>
      </c>
      <c r="BU53" s="679" cm="1">
        <f t="array" aca="1" ref="BU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V53" s="1144">
        <f ca="1">Tab_NewTRADER[[#This Row],[ReBuy]]/(Tab_NewTRADER[[#This Row],[L_Sn]]+Tab_NewTRADER[[#This Row],[SellMore]])</f>
        <v>108.82857142857142</v>
      </c>
      <c r="BW53" s="687">
        <f ca="1">((_xlfn.XLOOKUP(Tab_NewTRADER[[#This Row],[ClickTick]],TabCalc[Ticker],TabCalc[NAfter])+Tab_NewTRADER[[#This Row],[L_Sn]])*(Tab_NewTRADER[[#This Row],[Agiotage]]-Tab_NewTRADER[[#This Row],[M]]))/(Tab_NewTRADER[[#This Row],[L_Sn]]*_xlfn.XLOOKUP(Tab_NewTRADER[[#This Row],[ClickTick]],TabCalc[Ticker],TabCalc[NAfter]))</f>
        <v>-0.29950698151170874</v>
      </c>
      <c r="BX53" s="687">
        <f ca="1">(Tab_NewTRADER[[#This Row],[M]]-Tab_NewTRADER[[#This Row],[Agiotage]])/(Tab_NewTRADER[[#This Row],[M]]-Tab_NewTRADER[[#This Row],[A]])-1</f>
        <v>24.203953563397693</v>
      </c>
      <c r="BY53" s="1262">
        <f ca="1">_xlfn.XMATCH(Tab_NewTRADER[[#This Row],[ClickTick]]&amp;1, TabConsolid[#Headers])</f>
        <v>155</v>
      </c>
      <c r="BZ53" t="b">
        <f ca="1">IF(ABS(Tab_NewTRADER[[#This Row],[L_Bp]])&gt;=Tab_NewTRADER[[#This Row],[M]],"OK")</f>
        <v>0</v>
      </c>
    </row>
    <row r="54" spans="1:78"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-4,850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-17.0%</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-17,598$</v>
      </c>
      <c r="G54" s="225" t="str">
        <f ca="1">IFERROR(TRUNC(_xlfn.XLOOKUP(Tab_NewTRADER[[#This Row],[ClickTick]],TabCalc[Ticker],ListLastSalep),2)&amp;"x"&amp;_xlfn.XLOOKUP(Tab_NewTRADER[[#This Row],[ClickTick]],TabCalc[Ticker],ListLastSalen)&amp;"=   "&amp;TEXT(-_xlfn.XLOOKUP(Tab_NewTRADER[[#This Row],[ClickTick]],TabCalc[Ticker],ListReverseB),"#,#0")&amp;"$","")</f>
        <v>10.55x7200=   -34,992$</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85.4% = 1,029</v>
      </c>
      <c r="I54" s="226" t="str">
        <f ca="1">IFERROR(TRUNC(TabCalc[[#This Row],[L_S1p]],2)&amp;"x"&amp;TabCalc[[#This Row],[L_S1n]]&amp;"=   "&amp;TEXT(TabCalc[[#This Row],[ReverseB1]],"#,#0"),"")</f>
        <v>8.63x3000=   8,820</v>
      </c>
      <c r="J54" s="295">
        <f ca="1">_xlfn.XLOOKUP(Tab_NewTRADER[[#This Row],[ClickTick]],TabCalc[Ticker],ListGravity)</f>
        <v>2.0035149384885762</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52348</v>
      </c>
      <c r="M54" s="323">
        <f ca="1">_xlfn.XLOOKUP(Tab_NewTRADER[[#This Row],[ClickTick]],TabCalc[Ticker],TabCalc[Agiotage])</f>
        <v>0.4082525686653613</v>
      </c>
      <c r="N54" s="324" cm="1">
        <f t="array" aca="1" ref="N54" ca="1">_xlfn.XLOOKUP(Tab_NewTRADER[[#This Row],[ClickTick]],ListTickers,Tab2RSIConventional[RSIConv20])</f>
        <v>34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-0.14564564564564561</v>
      </c>
      <c r="S54" s="683">
        <f ca="1">_xlfn.XLOOKUP(Tab_NewTRADER[[#This Row],[ClickTick]],TabCalc[Ticker],TabCalc[Rev(MinStock)])*(1-Commission)</f>
        <v>-4837.3899999999985</v>
      </c>
      <c r="T54" s="782">
        <f ca="1">_xlfn.XLOOKUP(Tab_NewTRADER[[#This Row],[ClickTick]],TabCalc[Ticker],TabCalc[Agiotage])</f>
        <v>0.4082525686653613</v>
      </c>
      <c r="U54" s="747"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-1,300/-1,300=&gt;-2.2% / -2.2%</v>
      </c>
      <c r="V54" s="739" t="str">
        <f ca="1">_xlfn.XLOOKUP(Tab_NewTRADER[[#This Row],[ClickTick]],[1]!RTData[Ticker_Symbol],[1]!RTData[Currency])</f>
        <v>USD</v>
      </c>
      <c r="W54" s="749">
        <f ca="1">_xlfn.XLOOKUP(Tab_NewTRADER[[#This Row],[ClickTick]],TabCalc[Ticker],TabCalc[M])</f>
        <v>5.69</v>
      </c>
      <c r="X54" s="1315"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-2.2336999999999999E-2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/57 K$</v>
      </c>
      <c r="AF54" s="1182"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4" s="1530" t="str">
        <f ca="1">TEXT(MIN(Tab_NewTRADER[[#This Row],[L_Bn]],Tab_NewTRADER[[#This Row],[N]]),"#,#0")&amp;" x "&amp;TEXT(Tab_NewTRADER[[#This Row],[L_Bp]],"#,#0.#0")</f>
        <v>5,000 x -6.66</v>
      </c>
      <c r="AH54" s="1530" t="str" cm="1">
        <f t="array" aca="1" ref="AH54" ca="1">_xlfn.IFS(Tab_NewTRADER[[#This Row],[M_State]]=Sale_Back,Tab_NewTRADER[[#This Row],[Sale_Back_$]], TRUE,"M = "&amp;Tab_NewTRADER[[#This Row],[M]])</f>
        <v>M = 5.69</v>
      </c>
      <c r="AI54" s="1433" cm="1">
        <f t="array" aca="1" ref="AI54" ca="1">IF(Tab_NewTRADER[[#This Row],[M_State]]=MUp,_xlfn.IFS(Tab_NewTRADER[[#This Row],[M_State]]=MUp,MIN(Tab_NewTRADER[[#This Row],[N]],Tab_NewTRADER[[#This Row],[L_Bn]])*(Tab_NewTRADER[[#This Row],[M]]-Tab_NewTRADER[[#This Row],[L_Sp]])*Tab_NewTRADER[[#This Row],[Scale]]*ComFactor, TRUE,0),0)</f>
        <v>0</v>
      </c>
      <c r="AJ54" s="1433" cm="1">
        <f t="array" aca="1" ref="AJ54" ca="1">_xlfn.IFS(Tab_NewTRADER[[#This Row],[M_State]]=MUp,                 MIN(Tab_NewTRADER[[#This Row],[L_Sn]],Tab_NewTRADER[[#This Row],[N]])*(Tab_NewTRADER[[#This Row],[M]]-Tab_NewTRADER[[#This Row],[A]])*Tab_NewTRADER[[#This Row],[Scale]]*ComFactor, TRUE,0)</f>
        <v>0</v>
      </c>
      <c r="AK54" s="1433" cm="1">
        <f t="array" aca="1" ref="AK54" ca="1">_xlfn.IFS(Tab_NewTRADER[[#This Row],[M_State]]=MUp,                  Tab_NewTRADER[[#This Row],[N]]*(Tab_NewTRADER[[#This Row],[M]]-Tab_NewTRADER[[#This Row],[A]])*Tab_NewTRADER[[#This Row],[Scale]]*ComFactor, TRUE,0)</f>
        <v>0</v>
      </c>
      <c r="AL54" s="1435" t="str">
        <f ca="1">TEXT(Tab_NewTRADER[[#This Row],[L_Sn]],"#,#0")&amp;" x "&amp;TEXT(Tab_NewTRADER[[#This Row],[L_Sp]],"#,#0.#0")</f>
        <v>7,200 x 10.55</v>
      </c>
      <c r="AM54" s="1465" t="str" cm="1">
        <f t="array" aca="1" ref="AM54" ca="1">_xlfn.IFS(Tab_NewTRADER[[#This Row],[M_State]]=RePurchaseGain,TEXT(-Tab_NewTRADER[[#This Row],[Buy_Back]],"#,#0")&amp;"       / "&amp;TEXT(Tab_NewTRADER[[#This Row],[Rev_Buy]],"#,#00.0)%"),TRUE,"M = "&amp;Tab_NewTRADER[[#This Row],[M]])</f>
        <v>M = 5.69</v>
      </c>
      <c r="AN54" s="1435" t="str" cm="1">
        <f t="array" aca="1" ref="AN54" ca="1">_xlfn.IFS(Tab_NewTRADER[[#This Row],[M_State]]=MDown,TEXT(Tab_NewTRADER[[#This Row],[L_Sn]]*(Tab_NewTRADER[[#This Row],[M]]-Tab_NewTRADER[[#This Row],[L_Sp]])*ComFactor,"#,#0")&amp;"       / "&amp;TEXT((TabTRADER[[#This Row],[M]]-TabTRADER[[#This Row],[L_Sp]])/TabTRADER[[#This Row],[M]],"#,#00.0)%"),TRUE,0)</f>
        <v>-34,901       / -85.4)%</v>
      </c>
      <c r="AO54" s="1486" t="str" cm="1">
        <f t="array" aca="1" ref="AO54" ca="1">_xlfn.IFS(Tab_NewTRADER[[#This Row],[M_State]]=MDown,TEXT(Tab_NewTRADER[[#This Row],[N]]*(Tab_NewTRADER[[#This Row],[M]]-Tab_NewTRADER[[#This Row],[A]])*Tab_NewTRADER[[#This Row],[Scale]]*ComFactor,"#,#0")&amp;"       / "&amp;TEXT((TabTRADER[[#This Row],[M]]-TabTRADER[[#This Row],[L_Bp]])/TabTRADER[[#This Row],[M]],"#,#00.0%"),TRUE,0)</f>
        <v>-25,701       / 217.0%</v>
      </c>
      <c r="AP54" s="1435" t="str" cm="1">
        <f t="array" aca="1" ref="AP54" ca="1">_xlfn.IFS(Tab_NewTRADER[[#This Row],[M_State]]=MDown,TEXT(Tab_NewTRADER[[#This Row],[N]]*Tab_NewTRADER[[#This Row],[M]],"#,#0")&amp;" @ "&amp;TEXT(Tab_NewTRADER[[#This Row],[A]],"#,#0.#0"),TRUE,"M = "&amp; Tab_NewTRADER[[#This Row],[M]])</f>
        <v>56,900 @ 8.27</v>
      </c>
      <c r="AQ54" s="1165">
        <f ca="1">Tab_NewTRADER[[#This Row],[N]]*(Tab_NewTRADER[[#This Row],[M]]-Tab_NewTRADER[[#This Row],[A]])*(1-Commission)*Tab_NewTRADER[[#This Row],[Scale]]</f>
        <v>-25701.003199999996</v>
      </c>
      <c r="AR54" s="1165">
        <f ca="1">Tab_NewTRADER[[#This Row],[M]]*Tab_NewTRADER[[#This Row],[N]]*(1-Commission)*Tab_NewTRADER[[#This Row],[Scale]]</f>
        <v>56752.060000000005</v>
      </c>
      <c r="AS54" s="1174" cm="1">
        <f t="array" aca="1" ref="AS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0.31170464992500113</v>
      </c>
      <c r="AT54" s="1174" cm="1">
        <f t="array" aca="1" ref="AT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0.16787451669595777</v>
      </c>
      <c r="AU54" s="825" t="str" cm="1">
        <f t="array" aca="1" ref="AU54" ca="1">_xlfn.IFS(   Tab_NewTRADER[[#This Row],[M_State]]=SellMorePercentGain,                     MIN(Tab_NewTRADER[[#This Row],[L_Sn]],Tab_NewTRADER[[#This Row],[N]])*(Tab_NewTRADER[[#This Row],[M]]-Tab_NewTRADER[[#This Row],[L_Sp]])*(1-Commission)*Tab_NewTRADER[[#This Row],[Scale]],                    TRUE,"")</f>
        <v/>
      </c>
      <c r="AV54" s="1163">
        <f ca="1">_xlfn.XLOOKUP(Tab_NewTRADER[[#This Row],[ClickTick]],TabCalc[Ticker],TabCalc[Ann%RevLB])</f>
        <v>-1.278839815425181</v>
      </c>
      <c r="AW54" s="1267">
        <f ca="1">_xlfn.XLOOKUP(Tab_NewTRADER[[#This Row],[ClickTick]],TabCalc[Ticker],TabCalc[Up20])</f>
        <v>0</v>
      </c>
      <c r="AX54" s="310" cm="1">
        <f t="array" aca="1" ref="AX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0.17047451669595776</v>
      </c>
      <c r="AY54" s="825" cm="1">
        <f t="array" aca="1" ref="AY54" ca="1">_xlfn.IFS(         Tab_NewTRADER[[#This Row],[M_State]]=MDown,Tab_NewTRADER[[#This Row],[L_Bn]]*Tab_NewTRADER[[#This Row],[M]]*(-(Tab_NewTRADER[[#This Row],[L_Bp]]+Tab_NewTRADER[[#This Row],[M]])/Tab_NewTRADER[[#This Row],[M]])*(1-Commission)*Tab_NewTRADER[[#This Row],[Scale]],                               TRUE,"")</f>
        <v>4837.3899999999985</v>
      </c>
      <c r="AZ54" s="1174" cm="1">
        <f t="array" aca="1" ref="AZ54" ca="1">_xlfn.IFS(   Tab_NewTRADER[[#This Row],[M_State]]=MUp,Tab_NewTRADER[[#This Row],[TakeGain_A]]-Commission,        Tab_NewTRADER[[#This Row],[M_State]]=MDown,(Tab_NewTRADER[[#This Row],[A]]-Tab_NewTRADER[[#This Row],[M]])/Tab_NewTRADER[[#This Row],[M]]-Commission,                              TRUE,"")</f>
        <v>0.45026467486818972</v>
      </c>
      <c r="BA54" s="825" cm="1">
        <f t="array" aca="1" ref="BA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25701.003199999996</v>
      </c>
      <c r="BB54" s="760" t="str" cm="1">
        <f t="array" aca="1" ref="BB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C54" s="736" cm="1">
        <f t="array" aca="1" ref="BC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-0.97</v>
      </c>
      <c r="BD54" s="765" cm="1">
        <f t="array" aca="1" ref="BD54" ca="1">_xlfn.IFS(Tab_NewTRADER[[#This Row],[M_State]]=Sale_Back,"",         Tab_NewTRADER[[#This Row],[M_State]]=MDown, (Tab_NewTRADER[[#This Row],[M]]-Tab_NewTRADER[[#This Row],[A]])/Tab_NewTRADER[[#This Row],[A]]*ComFactor,             TRUE, IFERROR((Tab_NewTRADER[[#This Row],[M]]-Tab_NewTRADER[[#This Row],[A]])/Tab_NewTRADER[[#This Row],[A]]*ComFactor,""))</f>
        <v>-0.31089421783519611</v>
      </c>
      <c r="BE54" s="762" cm="1">
        <f t="array" aca="1" ref="BE54" ca="1">_xlfn.IFS(               Tab_NewTRADER[[#This Row],[M_State]]=NoStock,(Tab_NewTRADER[[#This Row],[L_Sp]]-Tab_NewTRADER[[#This Row],[M]])/Tab_NewTRADER[[#This Row],[M]]-Commission,             Tab_NewTRADER[[#This Row],[A]]&lt;&gt;0,(Tab_NewTRADER[[#This Row],[A]]-Tab_NewTRADER[[#This Row],[M]])/Tab_NewTRADER[[#This Row],[M]]-Commission)</f>
        <v>0.45026467486818972</v>
      </c>
      <c r="BF54" s="324">
        <f ca="1">_xlfn.XLOOKUP(Tab_NewTRADER[[#This Row],[ClickTick]],TabCalc[Ticker],TabCalc[L_Sn])</f>
        <v>7200</v>
      </c>
      <c r="BG54" s="728">
        <f ca="1">_xlfn.XLOOKUP(Tab_NewTRADER[[#This Row],[ClickTick]],TabCalc[Ticker],TabCalc[L_Sp])</f>
        <v>10.55</v>
      </c>
      <c r="BH54" s="764">
        <f ca="1">-IFERROR((Tab_NewTRADER[[#This Row],[M]]-Tab_NewTRADER[[#This Row],[L_Sp]])/Tab_NewTRADER[[#This Row],[L_Sp]],0)</f>
        <v>0.46066350710900472</v>
      </c>
      <c r="BI54" s="729">
        <f ca="1">MIN(Tab_NewTRADER[[#This Row],[L_Sn]],Tab_NewTRADER[[#This Row],[N]])*(Tab_NewTRADER[[#This Row],[M]]-Tab_NewTRADER[[#This Row],[L_Sp]])*(1-Commission)*Tab_NewTRADER[[#This Row],[Scale]]</f>
        <v>-34901.020799999998</v>
      </c>
      <c r="BJ54" s="692">
        <f ca="1">Tab_NewTRADER[[#This Row],[L_Sn]]*(Tab_NewTRADER[[#This Row],[Agiotage]]-Tab_NewTRADER[[#This Row],[M]])/(Tab_NewTRADER[[#This Row],[L_Bn]]*Tab_NewTRADER[[#This Row],[M]])</f>
        <v>-1.3366812480003303</v>
      </c>
      <c r="BK54" s="635">
        <f ca="1">IFERROR((Tab_NewTRADER[[#This Row],[M]]-Tab_NewTRADER[[#This Row],[A]])/Tab_NewTRADER[[#This Row],[A]],0)</f>
        <v>-0.31170464992500113</v>
      </c>
      <c r="BL54" s="638" t="str">
        <f ca="1">TEXT(_xlfn.XLOOKUP(Tab_NewTRADER[[#This Row],[ClickTick]],TabCalc[Ticker],TabCalc[NAfter]),"#,#0")&amp;" : "&amp;TEXT(_xlfn.XLOOKUP(Tab_NewTRADER[[#This Row],[ClickTick]],TabCalc[Ticker],TabCalc[NAfter])*(Tab_NewTRADER[[#This Row],[M]]-Tab_NewTRADER[[#This Row],[A]])*(1-Commission)*Tab_NewTRADER[[#This Row],[Scale]],"#,#0$")</f>
        <v>10,000 : -25,701$</v>
      </c>
      <c r="BM54" s="684">
        <f ca="1">_xlfn.XLOOKUP(Tab_NewTRADER[[#This Row],[ClickTick]],TabCalc[[#This Row],[Ticker]],TabCalc[[#This Row],[GL]])*(1-Commission)</f>
        <v>-65885.297319341174</v>
      </c>
      <c r="BN54" s="684"/>
      <c r="BO54" s="669" t="str">
        <f ca="1">Tab_NewTRADER[[#This Row],[ClickTick]]&amp;": "&amp;_xlfn.XLOOKUP(Tab_NewTRADER[[#This Row],[ClickTick]],TabCalc[Ticker],TabCalc[Pile?])</f>
        <v>XPER: Pile</v>
      </c>
      <c r="BP54" s="351" t="s">
        <v>1932</v>
      </c>
      <c r="BQ54" s="755" t="str" cm="1">
        <f t="array" aca="1" ref="BQ54" ca="1">_xlfn.TEXTJOIN("",,INDEX({"M","A","Y"}, _xlfn.SORTBY({1,2,3}, -CHOOSE({1,2,3}, Tab_NewTRADER[[#This Row],[M]], Tab_NewTRADER[[#This Row],[A]], Tab_NewTRADER[[#This Row],[Agiotage]]))))</f>
        <v>AMY</v>
      </c>
      <c r="BR54" s="902" cm="1">
        <f t="array" aca="1" ref="BR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0.17047451669595776</v>
      </c>
      <c r="BS54" s="679" t="e">
        <f ca="1">Tab_NewTRADER[[#This Row],[L_Sn]]*Tab_NewTRADER[[#This Row],[L_Sp]]+Tab_NewTRADER[[#This Row],[SellMore]]*Tab_NewTRADER[[#This Row],[M]]</f>
        <v>#N/A</v>
      </c>
      <c r="BT54" s="679" t="e">
        <f ca="1">INDEX(
  INDEX(TabConsolid[], , _xlfn.XMATCH(Tab_NewTRADER[[#This Row],[ClickTick]]&amp;1, TabConsolid[#Headers])),
  MATCH(
    -Tab_NewTRADER[[#This Row],[M]],
    INDEX(TabConsolid[], , _xlfn.XMATCH(Tab_NewTRADER[[#This Row],[ClickTick]]&amp;2, TabConsolid[#Headers])),
    -1
  )
)</f>
        <v>#N/A</v>
      </c>
      <c r="BU54" s="679" cm="1">
        <f t="array" aca="1" ref="BU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V54" s="1144" t="e">
        <f ca="1">Tab_NewTRADER[[#This Row],[ReBuy]]/(Tab_NewTRADER[[#This Row],[L_Sn]]+Tab_NewTRADER[[#This Row],[SellMore]])</f>
        <v>#N/A</v>
      </c>
      <c r="BW54" s="687">
        <f ca="1">((_xlfn.XLOOKUP(Tab_NewTRADER[[#This Row],[ClickTick]],TabCalc[Ticker],TabCalc[NAfter])+Tab_NewTRADER[[#This Row],[L_Sn]])*(Tab_NewTRADER[[#This Row],[Agiotage]]-Tab_NewTRADER[[#This Row],[M]]))/(Tab_NewTRADER[[#This Row],[L_Sn]]*_xlfn.XLOOKUP(Tab_NewTRADER[[#This Row],[ClickTick]],TabCalc[Ticker],TabCalc[NAfter]))</f>
        <v>-1.2617507752632749E-3</v>
      </c>
      <c r="BX54" s="687">
        <f ca="1">(Tab_NewTRADER[[#This Row],[M]]-Tab_NewTRADER[[#This Row],[Agiotage]])/(Tab_NewTRADER[[#This Row],[M]]-Tab_NewTRADER[[#This Row],[A]])-1</f>
        <v>-3.0497312291736418</v>
      </c>
      <c r="BY54" s="1262">
        <f ca="1">_xlfn.XMATCH(Tab_NewTRADER[[#This Row],[ClickTick]]&amp;1, TabConsolid[#Headers])</f>
        <v>158</v>
      </c>
      <c r="BZ54" t="str">
        <f ca="1">IF(ABS(Tab_NewTRADER[[#This Row],[L_Bp]])&gt;=Tab_NewTRADER[[#This Row],[M]],"OK")</f>
        <v>OK</v>
      </c>
    </row>
    <row r="55" spans="1:78"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-5,406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-39.3%</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-6,440$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2.2286773255813959</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75658.671999999991</v>
      </c>
      <c r="M55" s="323">
        <f ca="1">_xlfn.XLOOKUP(Tab_NewTRADER[[#This Row],[ClickTick]],TabCalc[Ticker],TabCalc[Agiotage])</f>
        <v>0.55366568914956016</v>
      </c>
      <c r="N55" s="324" cm="1">
        <f t="array" aca="1" ref="N55" ca="1">_xlfn.XLOOKUP(Tab_NewTRADER[[#This Row],[ClickTick]],ListTickers,Tab2RSIConventional[RSIConv20])</f>
        <v>36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-0.2820518707088121</v>
      </c>
      <c r="S55" s="683">
        <f ca="1">_xlfn.XLOOKUP(Tab_NewTRADER[[#This Row],[ClickTick]],TabCalc[Ticker],TabCalc[Rev(MinStock)])*(1-Commission)</f>
        <v>-5391.675102000002</v>
      </c>
      <c r="T55" s="782">
        <f ca="1">_xlfn.XLOOKUP(Tab_NewTRADER[[#This Row],[ClickTick]],TabCalc[Ticker],TabCalc[Agiotage])</f>
        <v>0.55366568914956016</v>
      </c>
      <c r="U55" s="747"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3,030/3,030=&gt;1.2% / 1.2%</v>
      </c>
      <c r="V55" s="739" t="str">
        <f ca="1">_xlfn.XLOOKUP(Tab_NewTRADER[[#This Row],[ClickTick]],[1]!RTData[Ticker_Symbol],[1]!RTData[Currency])</f>
        <v>EUR</v>
      </c>
      <c r="W55" s="749">
        <f ca="1">_xlfn.XLOOKUP(Tab_NewTRADER[[#This Row],[ClickTick]],TabCalc[Ticker],TabCalc[M])</f>
        <v>0.68799999999999994</v>
      </c>
      <c r="X55" s="1315"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1.1765000000000001E-2</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-294K /347 K$</v>
      </c>
      <c r="AF55" s="1182"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5" s="1530" t="str">
        <f ca="1">TEXT(MIN(Tab_NewTRADER[[#This Row],[L_Bn]],Tab_NewTRADER[[#This Row],[N]]),"#,#0")&amp;" x "&amp;TEXT(Tab_NewTRADER[[#This Row],[L_Bp]],"#,#0.#0")</f>
        <v>20,000 x -0.96</v>
      </c>
      <c r="AH55" s="1530" t="str" cm="1">
        <f t="array" aca="1" ref="AH55" ca="1">_xlfn.IFS(Tab_NewTRADER[[#This Row],[M_State]]=Sale_Back,Tab_NewTRADER[[#This Row],[Sale_Back_$]], TRUE,"M = "&amp;Tab_NewTRADER[[#This Row],[M]])</f>
        <v>M = 0.688</v>
      </c>
      <c r="AI55" s="1433" cm="1">
        <f t="array" aca="1" ref="AI55" ca="1">IF(Tab_NewTRADER[[#This Row],[M_State]]=MUp,_xlfn.IFS(Tab_NewTRADER[[#This Row],[M_State]]=MUp,MIN(Tab_NewTRADER[[#This Row],[N]],Tab_NewTRADER[[#This Row],[L_Bn]])*(Tab_NewTRADER[[#This Row],[M]]-Tab_NewTRADER[[#This Row],[L_Sp]])*Tab_NewTRADER[[#This Row],[Scale]]*ComFactor, TRUE,0),0)</f>
        <v>0</v>
      </c>
      <c r="AJ55" s="1433" cm="1">
        <f t="array" aca="1" ref="AJ55" ca="1">_xlfn.IFS(Tab_NewTRADER[[#This Row],[M_State]]=MUp,                 MIN(Tab_NewTRADER[[#This Row],[L_Sn]],Tab_NewTRADER[[#This Row],[N]])*(Tab_NewTRADER[[#This Row],[M]]-Tab_NewTRADER[[#This Row],[A]])*Tab_NewTRADER[[#This Row],[Scale]]*ComFactor, TRUE,0)</f>
        <v>0</v>
      </c>
      <c r="AK55" s="1433" cm="1">
        <f t="array" aca="1" ref="AK55" ca="1">_xlfn.IFS(Tab_NewTRADER[[#This Row],[M_State]]=MUp,                  Tab_NewTRADER[[#This Row],[N]]*(Tab_NewTRADER[[#This Row],[M]]-Tab_NewTRADER[[#This Row],[A]])*Tab_NewTRADER[[#This Row],[Scale]]*ComFactor, TRUE,0)</f>
        <v>0</v>
      </c>
      <c r="AL55" s="1435" t="str">
        <f ca="1">TEXT(Tab_NewTRADER[[#This Row],[L_Sn]],"#,#0")&amp;" x "&amp;TEXT(Tab_NewTRADER[[#This Row],[L_Sp]],"#,#0.#0")</f>
        <v>0 x 0.0</v>
      </c>
      <c r="AM55" s="1465" t="str" cm="1">
        <f t="array" aca="1" ref="AM55" ca="1">_xlfn.IFS(Tab_NewTRADER[[#This Row],[M_State]]=RePurchaseGain,TEXT(-Tab_NewTRADER[[#This Row],[Buy_Back]],"#,#0")&amp;"       / "&amp;TEXT(Tab_NewTRADER[[#This Row],[Rev_Buy]],"#,#00.0)%"),TRUE,"M = "&amp;Tab_NewTRADER[[#This Row],[M]])</f>
        <v>M = 0.688</v>
      </c>
      <c r="AN55" s="1435" t="str" cm="1">
        <f t="array" aca="1" ref="AN55" ca="1">_xlfn.IFS(Tab_NewTRADER[[#This Row],[M_State]]=MDown,TEXT(Tab_NewTRADER[[#This Row],[L_Sn]]*(Tab_NewTRADER[[#This Row],[M]]-Tab_NewTRADER[[#This Row],[L_Sp]])*ComFactor,"#,#0")&amp;"       / "&amp;TEXT((TabTRADER[[#This Row],[M]]-TabTRADER[[#This Row],[L_Sp]])/TabTRADER[[#This Row],[M]],"#,#00.0)%"),TRUE,0)</f>
        <v>0       / 100.0)%</v>
      </c>
      <c r="AO55" s="1486" t="str" cm="1">
        <f t="array" aca="1" ref="AO55" ca="1">_xlfn.IFS(Tab_NewTRADER[[#This Row],[M_State]]=MDown,TEXT(Tab_NewTRADER[[#This Row],[N]]*(Tab_NewTRADER[[#This Row],[M]]-Tab_NewTRADER[[#This Row],[A]])*Tab_NewTRADER[[#This Row],[Scale]]*ComFactor,"#,#0")&amp;"       / "&amp;TEXT((TabTRADER[[#This Row],[M]]-TabTRADER[[#This Row],[L_Bp]])/TabTRADER[[#This Row],[M]],"#,#00.0%"),TRUE,0)</f>
        <v>-290,228       / 239.3%</v>
      </c>
      <c r="AP55" s="1435" t="str" cm="1">
        <f t="array" aca="1" ref="AP55" ca="1">_xlfn.IFS(Tab_NewTRADER[[#This Row],[M_State]]=MDown,TEXT(Tab_NewTRADER[[#This Row],[N]]*Tab_NewTRADER[[#This Row],[M]],"#,#0")&amp;" @ "&amp;TEXT(Tab_NewTRADER[[#This Row],[A]],"#,#0.#0"),TRUE,"M = "&amp; Tab_NewTRADER[[#This Row],[M]])</f>
        <v>347,440 @ 1.26</v>
      </c>
      <c r="AQ55" s="1165">
        <f ca="1">Tab_NewTRADER[[#This Row],[N]]*(Tab_NewTRADER[[#This Row],[M]]-Tab_NewTRADER[[#This Row],[A]])*(1-Commission)*Tab_NewTRADER[[#This Row],[Scale]]</f>
        <v>-290228.23660160764</v>
      </c>
      <c r="AR55" s="1165">
        <f ca="1">Tab_NewTRADER[[#This Row],[M]]*Tab_NewTRADER[[#This Row],[N]]*(1-Commission)*Tab_NewTRADER[[#This Row],[Scale]]</f>
        <v>346536.65599999996</v>
      </c>
      <c r="AS55" s="1174" cm="1">
        <f t="array" aca="1" ref="AS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0.45578554969610918</v>
      </c>
      <c r="AT55" s="1174" cm="1">
        <f t="array" aca="1" ref="AT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0.39025828488372111</v>
      </c>
      <c r="AU55" s="825" t="str" cm="1">
        <f t="array" aca="1" ref="AU55" ca="1">_xlfn.IFS(   Tab_NewTRADER[[#This Row],[M_State]]=SellMorePercentGain,                     MIN(Tab_NewTRADER[[#This Row],[L_Sn]],Tab_NewTRADER[[#This Row],[N]])*(Tab_NewTRADER[[#This Row],[M]]-Tab_NewTRADER[[#This Row],[L_Sp]])*(1-Commission)*Tab_NewTRADER[[#This Row],[Scale]],                    TRUE,"")</f>
        <v/>
      </c>
      <c r="AV55" s="1163">
        <f ca="1">_xlfn.XLOOKUP(Tab_NewTRADER[[#This Row],[ClickTick]],TabCalc[Ticker],TabCalc[Ann%RevLB])</f>
        <v>-0.86049723267095213</v>
      </c>
      <c r="AW55" s="1267">
        <f ca="1">_xlfn.XLOOKUP(Tab_NewTRADER[[#This Row],[ClickTick]],TabCalc[Ticker],TabCalc[Up20])</f>
        <v>0</v>
      </c>
      <c r="AX55" s="310" cm="1">
        <f t="array" aca="1" ref="AX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0.3928582848837211</v>
      </c>
      <c r="AY55" s="825" cm="1">
        <f t="array" aca="1" ref="AY55" ca="1">_xlfn.IFS(         Tab_NewTRADER[[#This Row],[M_State]]=MDown,Tab_NewTRADER[[#This Row],[L_Bn]]*Tab_NewTRADER[[#This Row],[M]]*(-(Tab_NewTRADER[[#This Row],[L_Bp]]+Tab_NewTRADER[[#This Row],[M]])/Tab_NewTRADER[[#This Row],[M]])*(1-Commission)*Tab_NewTRADER[[#This Row],[Scale]],                               TRUE,"")</f>
        <v>5391.6751020000011</v>
      </c>
      <c r="AZ55" s="1174" cm="1">
        <f t="array" aca="1" ref="AZ55" ca="1">_xlfn.IFS(   Tab_NewTRADER[[#This Row],[M_State]]=MUp,Tab_NewTRADER[[#This Row],[TakeGain_A]]-Commission,        Tab_NewTRADER[[#This Row],[M_State]]=MDown,(Tab_NewTRADER[[#This Row],[A]]-Tab_NewTRADER[[#This Row],[M]])/Tab_NewTRADER[[#This Row],[M]]-Commission,                              TRUE,"")</f>
        <v>0.83491092871862782</v>
      </c>
      <c r="BA55" s="825" cm="1">
        <f t="array" aca="1" ref="BA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290228.23660160764</v>
      </c>
      <c r="BB55" s="760" t="str" cm="1">
        <f t="array" aca="1" ref="BB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C55" s="736" cm="1">
        <f t="array" aca="1" ref="BC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-0.27</v>
      </c>
      <c r="BD55" s="765" cm="1">
        <f t="array" aca="1" ref="BD55" ca="1">_xlfn.IFS(Tab_NewTRADER[[#This Row],[M_State]]=Sale_Back,"",         Tab_NewTRADER[[#This Row],[M_State]]=MDown, (Tab_NewTRADER[[#This Row],[M]]-Tab_NewTRADER[[#This Row],[A]])/Tab_NewTRADER[[#This Row],[A]]*ComFactor,             TRUE, IFERROR((Tab_NewTRADER[[#This Row],[M]]-Tab_NewTRADER[[#This Row],[A]])/Tab_NewTRADER[[#This Row],[A]]*ComFactor,""))</f>
        <v>-0.45460050726689927</v>
      </c>
      <c r="BE55" s="762" cm="1">
        <f t="array" aca="1" ref="BE55" ca="1">_xlfn.IFS(               Tab_NewTRADER[[#This Row],[M_State]]=NoStock,(Tab_NewTRADER[[#This Row],[L_Sp]]-Tab_NewTRADER[[#This Row],[M]])/Tab_NewTRADER[[#This Row],[M]]-Commission,             Tab_NewTRADER[[#This Row],[A]]&lt;&gt;0,(Tab_NewTRADER[[#This Row],[A]]-Tab_NewTRADER[[#This Row],[M]])/Tab_NewTRADER[[#This Row],[M]]-Commission)</f>
        <v>0.83491092871862782</v>
      </c>
      <c r="BF55" s="324">
        <f ca="1">_xlfn.XLOOKUP(Tab_NewTRADER[[#This Row],[ClickTick]],TabCalc[Ticker],TabCalc[L_Sn])</f>
        <v>0</v>
      </c>
      <c r="BG55" s="728">
        <f ca="1">_xlfn.XLOOKUP(Tab_NewTRADER[[#This Row],[ClickTick]],TabCalc[Ticker],TabCalc[L_Sp])</f>
        <v>0</v>
      </c>
      <c r="BH55" s="764">
        <f ca="1">-IFERROR((Tab_NewTRADER[[#This Row],[M]]-Tab_NewTRADER[[#This Row],[L_Sp]])/Tab_NewTRADER[[#This Row],[L_Sp]],0)</f>
        <v>0</v>
      </c>
      <c r="BI55" s="729">
        <f ca="1">MIN(Tab_NewTRADER[[#This Row],[L_Sn]],Tab_NewTRADER[[#This Row],[N]])*(Tab_NewTRADER[[#This Row],[M]]-Tab_NewTRADER[[#This Row],[L_Sp]])*(1-Commission)*Tab_NewTRADER[[#This Row],[Scale]]</f>
        <v>0</v>
      </c>
      <c r="BJ55" s="692">
        <f ca="1">Tab_NewTRADER[[#This Row],[L_Sn]]*(Tab_NewTRADER[[#This Row],[Agiotage]]-Tab_NewTRADER[[#This Row],[M]])/(Tab_NewTRADER[[#This Row],[L_Bn]]*Tab_NewTRADER[[#This Row],[M]])</f>
        <v>0</v>
      </c>
      <c r="BK55" s="635">
        <f ca="1">IFERROR((Tab_NewTRADER[[#This Row],[M]]-Tab_NewTRADER[[#This Row],[A]])/Tab_NewTRADER[[#This Row],[A]],0)</f>
        <v>-0.45578554969610918</v>
      </c>
      <c r="BL55" s="638" t="str">
        <f ca="1">TEXT(_xlfn.XLOOKUP(Tab_NewTRADER[[#This Row],[ClickTick]],TabCalc[Ticker],TabCalc[NAfter]),"#,#0")&amp;" : "&amp;TEXT(_xlfn.XLOOKUP(Tab_NewTRADER[[#This Row],[ClickTick]],TabCalc[Ticker],TabCalc[NAfter])*(Tab_NewTRADER[[#This Row],[M]]-Tab_NewTRADER[[#This Row],[A]])*(1-Commission)*Tab_NewTRADER[[#This Row],[Scale]],"#,#0$")</f>
        <v>505,000 : -290,228$</v>
      </c>
      <c r="BM55" s="684">
        <f ca="1">_xlfn.XLOOKUP(Tab_NewTRADER[[#This Row],[ClickTick]],TabCalc[[#This Row],[Ticker]],TabCalc[[#This Row],[GL]])*(1-Commission)</f>
        <v>-292784.82062797179</v>
      </c>
      <c r="BN55" s="684"/>
      <c r="BO55" s="669" t="str">
        <f ca="1">Tab_NewTRADER[[#This Row],[ClickTick]]&amp;": "&amp;_xlfn.XLOOKUP(Tab_NewTRADER[[#This Row],[ClickTick]],TabCalc[Ticker],TabCalc[Pile?])</f>
        <v>MVEALDNE: Pile</v>
      </c>
      <c r="BP55" s="351" t="s">
        <v>1933</v>
      </c>
      <c r="BQ55" s="755" t="str" cm="1">
        <f t="array" aca="1" ref="BQ55" ca="1">_xlfn.TEXTJOIN("",,INDEX({"M","A","Y"}, _xlfn.SORTBY({1,2,3}, -CHOOSE({1,2,3}, Tab_NewTRADER[[#This Row],[M]], Tab_NewTRADER[[#This Row],[A]], Tab_NewTRADER[[#This Row],[Agiotage]]))))</f>
        <v>AMY</v>
      </c>
      <c r="BR55" s="902" cm="1">
        <f t="array" aca="1" ref="BR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0.3928582848837211</v>
      </c>
      <c r="BS55" s="679" t="e">
        <f ca="1">Tab_NewTRADER[[#This Row],[L_Sn]]*Tab_NewTRADER[[#This Row],[L_Sp]]+Tab_NewTRADER[[#This Row],[SellMore]]*Tab_NewTRADER[[#This Row],[M]]</f>
        <v>#N/A</v>
      </c>
      <c r="BT55" s="679" t="e">
        <f ca="1">INDEX(
  INDEX(TabConsolid[], , _xlfn.XMATCH(Tab_NewTRADER[[#This Row],[ClickTick]]&amp;1, TabConsolid[#Headers])),
  MATCH(
    -Tab_NewTRADER[[#This Row],[M]],
    INDEX(TabConsolid[], , _xlfn.XMATCH(Tab_NewTRADER[[#This Row],[ClickTick]]&amp;2, TabConsolid[#Headers])),
    -1
  )
)</f>
        <v>#N/A</v>
      </c>
      <c r="BU55" s="679" cm="1">
        <f t="array" aca="1" ref="BU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V55" s="1144" t="e">
        <f ca="1">Tab_NewTRADER[[#This Row],[ReBuy]]/(Tab_NewTRADER[[#This Row],[L_Sn]]+Tab_NewTRADER[[#This Row],[SellMore]])</f>
        <v>#N/A</v>
      </c>
      <c r="BW55" s="687" t="e">
        <f ca="1">((_xlfn.XLOOKUP(Tab_NewTRADER[[#This Row],[ClickTick]],TabCalc[Ticker],TabCalc[NAfter])+Tab_NewTRADER[[#This Row],[L_Sn]])*(Tab_NewTRADER[[#This Row],[Agiotage]]-Tab_NewTRADER[[#This Row],[M]]))/(Tab_NewTRADER[[#This Row],[L_Sn]]*_xlfn.XLOOKUP(Tab_NewTRADER[[#This Row],[ClickTick]],TabCalc[Ticker],TabCalc[NAfter]))</f>
        <v>#DIV/0!</v>
      </c>
      <c r="BX55" s="687">
        <f ca="1">(Tab_NewTRADER[[#This Row],[M]]-Tab_NewTRADER[[#This Row],[Agiotage]])/(Tab_NewTRADER[[#This Row],[M]]-Tab_NewTRADER[[#This Row],[A]])-1</f>
        <v>-1.2331352966258924</v>
      </c>
      <c r="BY55" s="1262">
        <f ca="1">_xlfn.XMATCH(Tab_NewTRADER[[#This Row],[ClickTick]]&amp;1, TabConsolid[#Headers])</f>
        <v>161</v>
      </c>
      <c r="BZ55" t="str">
        <f ca="1">IF(ABS(Tab_NewTRADER[[#This Row],[L_Bp]])&gt;=Tab_NewTRADER[[#This Row],[M]],"OK")</f>
        <v>OK</v>
      </c>
    </row>
    <row r="56" spans="1:78"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-4,050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-19.8%</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-5,820$</v>
      </c>
      <c r="G56" s="225" t="str">
        <f ca="1">IFERROR(TRUNC(_xlfn.XLOOKUP(Tab_NewTRADER[[#This Row],[ClickTick]],TabCalc[Ticker],ListLastSalep),2)&amp;"x"&amp;_xlfn.XLOOKUP(Tab_NewTRADER[[#This Row],[ClickTick]],TabCalc[Ticker],ListLastSalen)&amp;"=   "&amp;TEXT(-_xlfn.XLOOKUP(Tab_NewTRADER[[#This Row],[ClickTick]],TabCalc[Ticker],ListReverseB),"#,#0")&amp;"$","")</f>
        <v>3.52x5000=   -7,375$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72.1% = 3,390</v>
      </c>
      <c r="I56" s="226" t="str">
        <f ca="1">IFERROR(TRUNC(TabCalc[[#This Row],[L_S1p]],2)&amp;"x"&amp;TabCalc[[#This Row],[L_S1n]]&amp;"=   "&amp;TEXT(TabCalc[[#This Row],[ReverseB1]],"#,#0"),"")</f>
        <v>3.96x5000=   9,576</v>
      </c>
      <c r="J56" s="295">
        <f ca="1">_xlfn.XLOOKUP(Tab_NewTRADER[[#This Row],[ClickTick]],TabCalc[Ticker],ListGravity)</f>
        <v>1.5892420537897312</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0.20013259900261549</v>
      </c>
      <c r="N56" s="324" cm="1">
        <f t="array" aca="1" ref="N56" ca="1">_xlfn.XLOOKUP(Tab_NewTRADER[[#This Row],[ClickTick]],ListTickers,Tab2RSIConventional[RSIConv20])</f>
        <v>12</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-0.16530612244897969</v>
      </c>
      <c r="S56" s="683">
        <f ca="1">_xlfn.XLOOKUP(Tab_NewTRADER[[#This Row],[ClickTick]],TabCalc[Ticker],TabCalc[Rev(MinStock)])*(1-Commission)</f>
        <v>-4039.4700000000021</v>
      </c>
      <c r="T56" s="782">
        <f ca="1">_xlfn.XLOOKUP(Tab_NewTRADER[[#This Row],[ClickTick]],TabCalc[Ticker],TabCalc[Agiotage])</f>
        <v>0.20013259900261549</v>
      </c>
      <c r="U56" s="747"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-550/-550=&gt;-1.7% / -1.7%</v>
      </c>
      <c r="V56" s="739" t="str">
        <f ca="1">_xlfn.XLOOKUP(Tab_NewTRADER[[#This Row],[ClickTick]],[1]!RTData[Ticker_Symbol],[1]!RTData[Currency])</f>
        <v>USD</v>
      </c>
      <c r="W56" s="749">
        <f ca="1">_xlfn.XLOOKUP(Tab_NewTRADER[[#This Row],[ClickTick]],TabCalc[Ticker],TabCalc[M])</f>
        <v>2.0449999999999999</v>
      </c>
      <c r="X56" s="1315"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-1.6827000000000002E-2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20 K$</v>
      </c>
      <c r="AF56" s="1182"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56" s="1530" t="str">
        <f ca="1">TEXT(MIN(Tab_NewTRADER[[#This Row],[L_Bn]],Tab_NewTRADER[[#This Row],[N]]),"#,#0")&amp;" x "&amp;TEXT(Tab_NewTRADER[[#This Row],[L_Bp]],"#,#0.#0")</f>
        <v>10,000 x -2.45</v>
      </c>
      <c r="AH56" s="1530" t="str" cm="1">
        <f t="array" aca="1" ref="AH56" ca="1">_xlfn.IFS(Tab_NewTRADER[[#This Row],[M_State]]=Sale_Back,Tab_NewTRADER[[#This Row],[Sale_Back_$]], TRUE,"M = "&amp;Tab_NewTRADER[[#This Row],[M]])</f>
        <v>M = 2.045</v>
      </c>
      <c r="AI56" s="1433" cm="1">
        <f t="array" aca="1" ref="AI56" ca="1">IF(Tab_NewTRADER[[#This Row],[M_State]]=MUp,_xlfn.IFS(Tab_NewTRADER[[#This Row],[M_State]]=MUp,MIN(Tab_NewTRADER[[#This Row],[N]],Tab_NewTRADER[[#This Row],[L_Bn]])*(Tab_NewTRADER[[#This Row],[M]]-Tab_NewTRADER[[#This Row],[L_Sp]])*Tab_NewTRADER[[#This Row],[Scale]]*ComFactor, TRUE,0),0)</f>
        <v>0</v>
      </c>
      <c r="AJ56" s="1433" cm="1">
        <f t="array" aca="1" ref="AJ56" ca="1">_xlfn.IFS(Tab_NewTRADER[[#This Row],[M_State]]=MUp,                 MIN(Tab_NewTRADER[[#This Row],[L_Sn]],Tab_NewTRADER[[#This Row],[N]])*(Tab_NewTRADER[[#This Row],[M]]-Tab_NewTRADER[[#This Row],[A]])*Tab_NewTRADER[[#This Row],[Scale]]*ComFactor, TRUE,0)</f>
        <v>0</v>
      </c>
      <c r="AK56" s="1433" cm="1">
        <f t="array" aca="1" ref="AK56" ca="1">_xlfn.IFS(Tab_NewTRADER[[#This Row],[M_State]]=MUp,                  Tab_NewTRADER[[#This Row],[N]]*(Tab_NewTRADER[[#This Row],[M]]-Tab_NewTRADER[[#This Row],[A]])*Tab_NewTRADER[[#This Row],[Scale]]*ComFactor, TRUE,0)</f>
        <v>0</v>
      </c>
      <c r="AL56" s="1435" t="str">
        <f ca="1">TEXT(Tab_NewTRADER[[#This Row],[L_Sn]],"#,#0")&amp;" x "&amp;TEXT(Tab_NewTRADER[[#This Row],[L_Sp]],"#,#0.#0")</f>
        <v>5,000 x 3.52</v>
      </c>
      <c r="AM56" s="1465" t="str" cm="1">
        <f t="array" aca="1" ref="AM56" ca="1">_xlfn.IFS(Tab_NewTRADER[[#This Row],[M_State]]=RePurchaseGain,TEXT(-Tab_NewTRADER[[#This Row],[Buy_Back]],"#,#0")&amp;"       / "&amp;TEXT(Tab_NewTRADER[[#This Row],[Rev_Buy]],"#,#00.0)%"),TRUE,"M = "&amp;Tab_NewTRADER[[#This Row],[M]])</f>
        <v>7,356       / 41.9)%</v>
      </c>
      <c r="AN56" s="1435" cm="1">
        <f t="array" aca="1" ref="AN56" ca="1">_xlfn.IFS(Tab_NewTRADER[[#This Row],[M_State]]=MDown,TEXT(Tab_NewTRADER[[#This Row],[L_Sn]]*(Tab_NewTRADER[[#This Row],[M]]-Tab_NewTRADER[[#This Row],[L_Sp]])*ComFactor,"#,#0")&amp;"       / "&amp;TEXT((TabTRADER[[#This Row],[M]]-TabTRADER[[#This Row],[L_Sp]])/TabTRADER[[#This Row],[M]],"#,#00.0)%"),TRUE,0)</f>
        <v>0</v>
      </c>
      <c r="AO56" s="1486" cm="1">
        <f t="array" aca="1" ref="AO56" ca="1">_xlfn.IFS(Tab_NewTRADER[[#This Row],[M_State]]=MDown,TEXT(Tab_NewTRADER[[#This Row],[N]]*(Tab_NewTRADER[[#This Row],[M]]-Tab_NewTRADER[[#This Row],[A]])*Tab_NewTRADER[[#This Row],[Scale]]*ComFactor,"#,#0")&amp;"       / "&amp;TEXT((TabTRADER[[#This Row],[M]]-TabTRADER[[#This Row],[L_Bp]])/TabTRADER[[#This Row],[M]],"#,#00.0%"),TRUE,0)</f>
        <v>0</v>
      </c>
      <c r="AP56" s="1435" t="str" cm="1">
        <f t="array" aca="1" ref="AP56" ca="1">_xlfn.IFS(Tab_NewTRADER[[#This Row],[M_State]]=MDown,TEXT(Tab_NewTRADER[[#This Row],[N]]*Tab_NewTRADER[[#This Row],[M]],"#,#0")&amp;" @ "&amp;TEXT(Tab_NewTRADER[[#This Row],[A]],"#,#0.#0"),TRUE,"M = "&amp; Tab_NewTRADER[[#This Row],[M]])</f>
        <v>M = 2.045</v>
      </c>
      <c r="AQ56" s="1165">
        <f ca="1">Tab_NewTRADER[[#This Row],[N]]*(Tab_NewTRADER[[#This Row],[M]]-Tab_NewTRADER[[#This Row],[A]])*(1-Commission)*Tab_NewTRADER[[#This Row],[Scale]]</f>
        <v>-4039.4700000000021</v>
      </c>
      <c r="AR56" s="1165">
        <f ca="1">Tab_NewTRADER[[#This Row],[M]]*Tab_NewTRADER[[#This Row],[N]]*(1-Commission)*Tab_NewTRADER[[#This Row],[Scale]]</f>
        <v>20396.829999999998</v>
      </c>
      <c r="AS56" s="1174" cm="1">
        <f t="array" aca="1" ref="AS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0.41903409090909094</v>
      </c>
      <c r="AT56" s="1174" t="str" cm="1">
        <f t="array" aca="1" ref="AT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56" s="825" t="str" cm="1">
        <f t="array" aca="1" ref="AU56" ca="1">_xlfn.IFS(   Tab_NewTRADER[[#This Row],[M_State]]=SellMorePercentGain,                     MIN(Tab_NewTRADER[[#This Row],[L_Sn]],Tab_NewTRADER[[#This Row],[N]])*(Tab_NewTRADER[[#This Row],[M]]-Tab_NewTRADER[[#This Row],[L_Sp]])*(1-Commission)*Tab_NewTRADER[[#This Row],[Scale]],                    TRUE,"")</f>
        <v/>
      </c>
      <c r="AV56" s="1163">
        <f ca="1">_xlfn.XLOOKUP(Tab_NewTRADER[[#This Row],[ClickTick]],TabCalc[Ticker],TabCalc[Ann%RevLB])</f>
        <v>-0.1377551020408164</v>
      </c>
      <c r="AW56" s="1267">
        <f ca="1">_xlfn.XLOOKUP(Tab_NewTRADER[[#This Row],[ClickTick]],TabCalc[Ticker],TabCalc[Up20])</f>
        <v>0</v>
      </c>
      <c r="AX56" s="310" t="str" cm="1">
        <f t="array" aca="1" ref="AX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6" s="825" t="str" cm="1">
        <f t="array" aca="1" ref="AY56" ca="1">_xlfn.IFS(         Tab_NewTRADER[[#This Row],[M_State]]=MDown,Tab_NewTRADER[[#This Row],[L_Bn]]*Tab_NewTRADER[[#This Row],[M]]*(-(Tab_NewTRADER[[#This Row],[L_Bp]]+Tab_NewTRADER[[#This Row],[M]])/Tab_NewTRADER[[#This Row],[M]])*(1-Commission)*Tab_NewTRADER[[#This Row],[Scale]],                               TRUE,"")</f>
        <v/>
      </c>
      <c r="AZ56" s="1174" t="str" cm="1">
        <f t="array" aca="1" ref="AZ56" ca="1">_xlfn.IFS(   Tab_NewTRADER[[#This Row],[M_State]]=MUp,Tab_NewTRADER[[#This Row],[TakeGain_A]]-Commission,        Tab_NewTRADER[[#This Row],[M_State]]=MDown,(Tab_NewTRADER[[#This Row],[A]]-Tab_NewTRADER[[#This Row],[M]])/Tab_NewTRADER[[#This Row],[M]]-Commission,                              TRUE,"")</f>
        <v/>
      </c>
      <c r="BA56" s="825" cm="1">
        <f t="array" aca="1" ref="BA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-4039.4700000000021</v>
      </c>
      <c r="BB56" s="760" t="str" cm="1">
        <f t="array" aca="1" ref="BB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C56" s="736" t="str" cm="1">
        <f t="array" aca="1" ref="BC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56" s="765" cm="1">
        <f t="array" aca="1" ref="BD56" ca="1">_xlfn.IFS(Tab_NewTRADER[[#This Row],[M_State]]=Sale_Back,"",         Tab_NewTRADER[[#This Row],[M_State]]=MDown, (Tab_NewTRADER[[#This Row],[M]]-Tab_NewTRADER[[#This Row],[A]])/Tab_NewTRADER[[#This Row],[A]]*ComFactor,             TRUE, IFERROR((Tab_NewTRADER[[#This Row],[M]]-Tab_NewTRADER[[#This Row],[A]])/Tab_NewTRADER[[#This Row],[A]]*ComFactor,""))</f>
        <v>-0.16487632653061232</v>
      </c>
      <c r="BE56" s="762" cm="1">
        <f t="array" aca="1" ref="BE56" ca="1">_xlfn.IFS(               Tab_NewTRADER[[#This Row],[M_State]]=NoStock,(Tab_NewTRADER[[#This Row],[L_Sp]]-Tab_NewTRADER[[#This Row],[M]])/Tab_NewTRADER[[#This Row],[M]]-Commission,             Tab_NewTRADER[[#This Row],[A]]&lt;&gt;0,(Tab_NewTRADER[[#This Row],[A]]-Tab_NewTRADER[[#This Row],[M]])/Tab_NewTRADER[[#This Row],[M]]-Commission)</f>
        <v>0.19544400977995124</v>
      </c>
      <c r="BF56" s="324">
        <f ca="1">_xlfn.XLOOKUP(Tab_NewTRADER[[#This Row],[ClickTick]],TabCalc[Ticker],TabCalc[L_Sn])</f>
        <v>5000</v>
      </c>
      <c r="BG56" s="728">
        <f ca="1">_xlfn.XLOOKUP(Tab_NewTRADER[[#This Row],[ClickTick]],TabCalc[Ticker],TabCalc[L_Sp])</f>
        <v>3.52</v>
      </c>
      <c r="BH56" s="764">
        <f ca="1">-IFERROR((Tab_NewTRADER[[#This Row],[M]]-Tab_NewTRADER[[#This Row],[L_Sp]])/Tab_NewTRADER[[#This Row],[L_Sp]],0)</f>
        <v>0.41903409090909094</v>
      </c>
      <c r="BI56" s="729">
        <f ca="1">MIN(Tab_NewTRADER[[#This Row],[L_Sn]],Tab_NewTRADER[[#This Row],[N]])*(Tab_NewTRADER[[#This Row],[M]]-Tab_NewTRADER[[#This Row],[L_Sp]])*(1-Commission)*Tab_NewTRADER[[#This Row],[Scale]]</f>
        <v>-7355.8249999999998</v>
      </c>
      <c r="BJ56" s="692">
        <f ca="1">Tab_NewTRADER[[#This Row],[L_Sn]]*(Tab_NewTRADER[[#This Row],[Agiotage]]-Tab_NewTRADER[[#This Row],[M]])/(Tab_NewTRADER[[#This Row],[L_Bn]]*Tab_NewTRADER[[#This Row],[M]])</f>
        <v>-0.45106782420473951</v>
      </c>
      <c r="BK56" s="635">
        <f ca="1">IFERROR((Tab_NewTRADER[[#This Row],[M]]-Tab_NewTRADER[[#This Row],[A]])/Tab_NewTRADER[[#This Row],[A]],0)</f>
        <v>-0.16530612244897969</v>
      </c>
      <c r="BL56" s="638" t="str">
        <f ca="1">TEXT(_xlfn.XLOOKUP(Tab_NewTRADER[[#This Row],[ClickTick]],TabCalc[Ticker],TabCalc[NAfter]),"#,#0")&amp;" : "&amp;TEXT(_xlfn.XLOOKUP(Tab_NewTRADER[[#This Row],[ClickTick]],TabCalc[Ticker],TabCalc[NAfter])*(Tab_NewTRADER[[#This Row],[M]]-Tab_NewTRADER[[#This Row],[A]])*(1-Commission)*Tab_NewTRADER[[#This Row],[Scale]],"#,#0$")</f>
        <v>10,000 : -4,039$</v>
      </c>
      <c r="BM56" s="684">
        <f ca="1">_xlfn.XLOOKUP(Tab_NewTRADER[[#This Row],[ClickTick]],TabCalc[[#This Row],[Ticker]],TabCalc[[#This Row],[GL]])*(1-Commission)</f>
        <v>7354.3010515945953</v>
      </c>
      <c r="BN56" s="684"/>
      <c r="BO56" s="669" t="str">
        <f ca="1">Tab_NewTRADER[[#This Row],[ClickTick]]&amp;": "&amp;_xlfn.XLOOKUP(Tab_NewTRADER[[#This Row],[ClickTick]],TabCalc[Ticker],TabCalc[Pile?])</f>
        <v xml:space="preserve">MVEDDD: </v>
      </c>
      <c r="BP56" s="351" t="s">
        <v>1938</v>
      </c>
      <c r="BQ56" s="755" t="str" cm="1">
        <f t="array" aca="1" ref="BQ56" ca="1">_xlfn.TEXTJOIN("",,INDEX({"M","A","Y"}, _xlfn.SORTBY({1,2,3}, -CHOOSE({1,2,3}, Tab_NewTRADER[[#This Row],[M]], Tab_NewTRADER[[#This Row],[A]], Tab_NewTRADER[[#This Row],[Agiotage]]))))</f>
        <v>AMY</v>
      </c>
      <c r="BR56" s="902" t="str" cm="1">
        <f t="array" aca="1" ref="BR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56" s="679" t="e">
        <f ca="1">Tab_NewTRADER[[#This Row],[L_Sn]]*Tab_NewTRADER[[#This Row],[L_Sp]]+Tab_NewTRADER[[#This Row],[SellMore]]*Tab_NewTRADER[[#This Row],[M]]</f>
        <v>#N/A</v>
      </c>
      <c r="BT56" s="679" t="e">
        <f ca="1">INDEX(
  INDEX(TabConsolid[], , _xlfn.XMATCH(Tab_NewTRADER[[#This Row],[ClickTick]]&amp;1, TabConsolid[#Headers])),
  MATCH(
    -Tab_NewTRADER[[#This Row],[M]],
    INDEX(TabConsolid[], , _xlfn.XMATCH(Tab_NewTRADER[[#This Row],[ClickTick]]&amp;2, TabConsolid[#Headers])),
    -1
  )
)</f>
        <v>#N/A</v>
      </c>
      <c r="BU56" s="679" cm="1">
        <f t="array" aca="1" ref="BU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56" s="1144" t="e">
        <f ca="1">Tab_NewTRADER[[#This Row],[ReBuy]]/(Tab_NewTRADER[[#This Row],[L_Sn]]+Tab_NewTRADER[[#This Row],[SellMore]])</f>
        <v>#N/A</v>
      </c>
      <c r="BW56" s="687">
        <f ca="1">((_xlfn.XLOOKUP(Tab_NewTRADER[[#This Row],[ClickTick]],TabCalc[Ticker],TabCalc[NAfter])+Tab_NewTRADER[[#This Row],[L_Sn]])*(Tab_NewTRADER[[#This Row],[Agiotage]]-Tab_NewTRADER[[#This Row],[M]]))/(Tab_NewTRADER[[#This Row],[L_Sn]]*_xlfn.XLOOKUP(Tab_NewTRADER[[#This Row],[ClickTick]],TabCalc[Ticker],TabCalc[NAfter]))</f>
        <v>-5.5346022029921537E-4</v>
      </c>
      <c r="BX56" s="687">
        <f ca="1">(Tab_NewTRADER[[#This Row],[M]]-Tab_NewTRADER[[#This Row],[Agiotage]])/(Tab_NewTRADER[[#This Row],[M]]-Tab_NewTRADER[[#This Row],[A]])-1</f>
        <v>-5.555228150610823</v>
      </c>
      <c r="BY56" s="1262">
        <f ca="1">_xlfn.XMATCH(Tab_NewTRADER[[#This Row],[ClickTick]]&amp;1, TabConsolid[#Headers])</f>
        <v>164</v>
      </c>
      <c r="BZ56" t="str">
        <f ca="1">IF(ABS(Tab_NewTRADER[[#This Row],[L_Bp]])&gt;=Tab_NewTRADER[[#This Row],[M]],"OK")</f>
        <v>OK</v>
      </c>
    </row>
    <row r="57" spans="1:78"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-10,260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-29.3%</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-3,990$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-16,630$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71.1% = 301</v>
      </c>
      <c r="I57" s="226" t="str">
        <f ca="1">IFERROR(TRUNC(TabCalc[[#This Row],[L_S1p]],2)&amp;"x"&amp;TabCalc[[#This Row],[L_S1n]]&amp;"=   "&amp;TEXT(TabCalc[[#This Row],[ReverseB1]],"#,#0"),"")</f>
        <v>40.59x1000=   17,215</v>
      </c>
      <c r="J57" s="295">
        <f ca="1">_xlfn.XLOOKUP(Tab_NewTRADER[[#This Row],[ClickTick]],TabCalc[Ticker],ListGravity)</f>
        <v>1.363463644140291</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233800</v>
      </c>
      <c r="M57" s="323">
        <f ca="1">_xlfn.XLOOKUP(Tab_NewTRADER[[#This Row],[ClickTick]],TabCalc[Ticker],TabCalc[Agiotage])</f>
        <v>1.4375302511891848</v>
      </c>
      <c r="N57" s="324" cm="1">
        <f t="array" aca="1" ref="N57" ca="1">_xlfn.XLOOKUP(Tab_NewTRADER[[#This Row],[ClickTick]],ListTickers,Tab2RSIConventional[RSIConv20])</f>
        <v>4</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-0.22634017207147586</v>
      </c>
      <c r="S57" s="683">
        <f ca="1">_xlfn.XLOOKUP(Tab_NewTRADER[[#This Row],[ClickTick]],TabCalc[Ticker],TabCalc[Rev(MinStock)])*(1-Commission)</f>
        <v>-10233.323999999999</v>
      </c>
      <c r="T57" s="782">
        <f ca="1">_xlfn.XLOOKUP(Tab_NewTRADER[[#This Row],[ClickTick]],TabCalc[Ticker],TabCalc[Agiotage])</f>
        <v>1.4375302511891848</v>
      </c>
      <c r="U57" s="747"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2,160/2,160=&gt;0.9% / 0.9%</v>
      </c>
      <c r="V57" s="739" t="str">
        <f ca="1">_xlfn.XLOOKUP(Tab_NewTRADER[[#This Row],[ClickTick]],[1]!RTData[Ticker_Symbol],[1]!RTData[Currency])</f>
        <v>EUR</v>
      </c>
      <c r="W57" s="749">
        <f ca="1">_xlfn.XLOOKUP(Tab_NewTRADER[[#This Row],[ClickTick]],TabCalc[Ticker],TabCalc[M])</f>
        <v>23.38</v>
      </c>
      <c r="X57" s="1315"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8.6280000000000003E-3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-121K /281 K$</v>
      </c>
      <c r="AF57" s="1182"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7" s="1530" t="str">
        <f ca="1">TEXT(MIN(Tab_NewTRADER[[#This Row],[L_Bn]],Tab_NewTRADER[[#This Row],[N]]),"#,#0")&amp;" x "&amp;TEXT(Tab_NewTRADER[[#This Row],[L_Bp]],"#,#0.#0")</f>
        <v>1,500 x -30.22</v>
      </c>
      <c r="AH57" s="1530" t="str" cm="1">
        <f t="array" aca="1" ref="AH57" ca="1">_xlfn.IFS(Tab_NewTRADER[[#This Row],[M_State]]=Sale_Back,Tab_NewTRADER[[#This Row],[Sale_Back_$]], TRUE,"M = "&amp;Tab_NewTRADER[[#This Row],[M]])</f>
        <v>M = 23.38</v>
      </c>
      <c r="AI57" s="1433" cm="1">
        <f t="array" aca="1" ref="AI57" ca="1">IF(Tab_NewTRADER[[#This Row],[M_State]]=MUp,_xlfn.IFS(Tab_NewTRADER[[#This Row],[M_State]]=MUp,MIN(Tab_NewTRADER[[#This Row],[N]],Tab_NewTRADER[[#This Row],[L_Bn]])*(Tab_NewTRADER[[#This Row],[M]]-Tab_NewTRADER[[#This Row],[L_Sp]])*Tab_NewTRADER[[#This Row],[Scale]]*ComFactor, TRUE,0),0)</f>
        <v>0</v>
      </c>
      <c r="AJ57" s="1433" cm="1">
        <f t="array" aca="1" ref="AJ57" ca="1">_xlfn.IFS(Tab_NewTRADER[[#This Row],[M_State]]=MUp,                 MIN(Tab_NewTRADER[[#This Row],[L_Sn]],Tab_NewTRADER[[#This Row],[N]])*(Tab_NewTRADER[[#This Row],[M]]-Tab_NewTRADER[[#This Row],[A]])*Tab_NewTRADER[[#This Row],[Scale]]*ComFactor, TRUE,0)</f>
        <v>0</v>
      </c>
      <c r="AK57" s="1433" cm="1">
        <f t="array" aca="1" ref="AK57" ca="1">_xlfn.IFS(Tab_NewTRADER[[#This Row],[M_State]]=MUp,                  Tab_NewTRADER[[#This Row],[N]]*(Tab_NewTRADER[[#This Row],[M]]-Tab_NewTRADER[[#This Row],[A]])*Tab_NewTRADER[[#This Row],[Scale]]*ComFactor, TRUE,0)</f>
        <v>0</v>
      </c>
      <c r="AL57" s="1435" t="str">
        <f ca="1">TEXT(Tab_NewTRADER[[#This Row],[L_Sn]],"#,#0")&amp;" x "&amp;TEXT(Tab_NewTRADER[[#This Row],[L_Sp]],"#,#0.#0")</f>
        <v>1,000 x 40.01</v>
      </c>
      <c r="AM57" s="1465" t="str" cm="1">
        <f t="array" aca="1" ref="AM57" ca="1">_xlfn.IFS(Tab_NewTRADER[[#This Row],[M_State]]=RePurchaseGain,TEXT(-Tab_NewTRADER[[#This Row],[Buy_Back]],"#,#0")&amp;"       / "&amp;TEXT(Tab_NewTRADER[[#This Row],[Rev_Buy]],"#,#00.0)%"),TRUE,"M = "&amp;Tab_NewTRADER[[#This Row],[M]])</f>
        <v>M = 23.38</v>
      </c>
      <c r="AN57" s="1435" t="str" cm="1">
        <f t="array" aca="1" ref="AN57" ca="1">_xlfn.IFS(Tab_NewTRADER[[#This Row],[M_State]]=MDown,TEXT(Tab_NewTRADER[[#This Row],[L_Sn]]*(Tab_NewTRADER[[#This Row],[M]]-Tab_NewTRADER[[#This Row],[L_Sp]])*ComFactor,"#,#0")&amp;"       / "&amp;TEXT((TabTRADER[[#This Row],[M]]-TabTRADER[[#This Row],[L_Sp]])/TabTRADER[[#This Row],[M]],"#,#00.0)%"),TRUE,0)</f>
        <v>-16,587       / -71.1)%</v>
      </c>
      <c r="AO57" s="1486" t="str" cm="1">
        <f t="array" aca="1" ref="AO57" ca="1">_xlfn.IFS(Tab_NewTRADER[[#This Row],[M_State]]=MDown,TEXT(Tab_NewTRADER[[#This Row],[N]]*(Tab_NewTRADER[[#This Row],[M]]-Tab_NewTRADER[[#This Row],[A]])*Tab_NewTRADER[[#This Row],[Scale]]*ComFactor,"#,#0")&amp;"       / "&amp;TEXT((TabTRADER[[#This Row],[M]]-TabTRADER[[#This Row],[L_Bp]])/TabTRADER[[#This Row],[M]],"#,#00.0%"),TRUE,0)</f>
        <v>-122,770       / 229.3%</v>
      </c>
      <c r="AP57" s="1435" t="str" cm="1">
        <f t="array" aca="1" ref="AP57" ca="1">_xlfn.IFS(Tab_NewTRADER[[#This Row],[M_State]]=MDown,TEXT(Tab_NewTRADER[[#This Row],[N]]*Tab_NewTRADER[[#This Row],[M]],"#,#0")&amp;" @ "&amp;TEXT(Tab_NewTRADER[[#This Row],[A]],"#,#0.#0"),TRUE,"M = "&amp; Tab_NewTRADER[[#This Row],[M]])</f>
        <v>280,560 @ 33.64</v>
      </c>
      <c r="AQ57" s="1165">
        <f ca="1">Tab_NewTRADER[[#This Row],[N]]*(Tab_NewTRADER[[#This Row],[M]]-Tab_NewTRADER[[#This Row],[A]])*(1-Commission)*Tab_NewTRADER[[#This Row],[Scale]]</f>
        <v>-122769.96600000004</v>
      </c>
      <c r="AR57" s="1165">
        <f ca="1">Tab_NewTRADER[[#This Row],[M]]*Tab_NewTRADER[[#This Row],[N]]*(1-Commission)*Tab_NewTRADER[[#This Row],[Scale]]</f>
        <v>279830.54399999999</v>
      </c>
      <c r="AS57" s="1174" cm="1">
        <f t="array" aca="1" ref="AS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0.30494240059457461</v>
      </c>
      <c r="AT57" s="1174" cm="1">
        <f t="array" aca="1" ref="AT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0.28995774165953808</v>
      </c>
      <c r="AU57" s="825" t="str" cm="1">
        <f t="array" aca="1" ref="AU57" ca="1">_xlfn.IFS(   Tab_NewTRADER[[#This Row],[M_State]]=SellMorePercentGain,                     MIN(Tab_NewTRADER[[#This Row],[L_Sn]],Tab_NewTRADER[[#This Row],[N]])*(Tab_NewTRADER[[#This Row],[M]]-Tab_NewTRADER[[#This Row],[L_Sp]])*(1-Commission)*Tab_NewTRADER[[#This Row],[Scale]],                    TRUE,"")</f>
        <v/>
      </c>
      <c r="AV57" s="1163">
        <f ca="1">_xlfn.XLOOKUP(Tab_NewTRADER[[#This Row],[ClickTick]],TabCalc[Ticker],TabCalc[Ann%RevLB])</f>
        <v>-0.55809905442281715</v>
      </c>
      <c r="AW57" s="1267">
        <f ca="1">_xlfn.XLOOKUP(Tab_NewTRADER[[#This Row],[ClickTick]],TabCalc[Ticker],TabCalc[Up20])</f>
        <v>0</v>
      </c>
      <c r="AX57" s="310" cm="1">
        <f t="array" aca="1" ref="AX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0.29255774165953807</v>
      </c>
      <c r="AY57" s="825" cm="1">
        <f t="array" aca="1" ref="AY57" ca="1">_xlfn.IFS(         Tab_NewTRADER[[#This Row],[M_State]]=MDown,Tab_NewTRADER[[#This Row],[L_Bn]]*Tab_NewTRADER[[#This Row],[M]]*(-(Tab_NewTRADER[[#This Row],[L_Bp]]+Tab_NewTRADER[[#This Row],[M]])/Tab_NewTRADER[[#This Row],[M]])*(1-Commission)*Tab_NewTRADER[[#This Row],[Scale]],                               TRUE,"")</f>
        <v>10233.323999999999</v>
      </c>
      <c r="AZ57" s="1174" cm="1">
        <f t="array" aca="1" ref="AZ57" ca="1">_xlfn.IFS(   Tab_NewTRADER[[#This Row],[M_State]]=MUp,Tab_NewTRADER[[#This Row],[TakeGain_A]]-Commission,        Tab_NewTRADER[[#This Row],[M_State]]=MDown,(Tab_NewTRADER[[#This Row],[A]]-Tab_NewTRADER[[#This Row],[M]])/Tab_NewTRADER[[#This Row],[M]]-Commission,                              TRUE,"")</f>
        <v>0.43612968349016273</v>
      </c>
      <c r="BA57" s="825" cm="1">
        <f t="array" aca="1" ref="BA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122769.96600000004</v>
      </c>
      <c r="BB57" s="760" t="str" cm="1">
        <f t="array" aca="1" ref="BB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C57" s="736" cm="1">
        <f t="array" aca="1" ref="BC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-6.84</v>
      </c>
      <c r="BD57" s="765" cm="1">
        <f t="array" aca="1" ref="BD57" ca="1">_xlfn.IFS(Tab_NewTRADER[[#This Row],[M_State]]=Sale_Back,"",         Tab_NewTRADER[[#This Row],[M_State]]=MDown, (Tab_NewTRADER[[#This Row],[M]]-Tab_NewTRADER[[#This Row],[A]])/Tab_NewTRADER[[#This Row],[A]]*ComFactor,             TRUE, IFERROR((Tab_NewTRADER[[#This Row],[M]]-Tab_NewTRADER[[#This Row],[A]])/Tab_NewTRADER[[#This Row],[A]]*ComFactor,""))</f>
        <v>-0.30414955035302871</v>
      </c>
      <c r="BE57" s="762" cm="1">
        <f t="array" aca="1" ref="BE57" ca="1">_xlfn.IFS(               Tab_NewTRADER[[#This Row],[M_State]]=NoStock,(Tab_NewTRADER[[#This Row],[L_Sp]]-Tab_NewTRADER[[#This Row],[M]])/Tab_NewTRADER[[#This Row],[M]]-Commission,             Tab_NewTRADER[[#This Row],[A]]&lt;&gt;0,(Tab_NewTRADER[[#This Row],[A]]-Tab_NewTRADER[[#This Row],[M]])/Tab_NewTRADER[[#This Row],[M]]-Commission)</f>
        <v>0.43612968349016273</v>
      </c>
      <c r="BF57" s="324">
        <f ca="1">_xlfn.XLOOKUP(Tab_NewTRADER[[#This Row],[ClickTick]],TabCalc[Ticker],TabCalc[L_Sn])</f>
        <v>1000</v>
      </c>
      <c r="BG57" s="728">
        <f ca="1">_xlfn.XLOOKUP(Tab_NewTRADER[[#This Row],[ClickTick]],TabCalc[Ticker],TabCalc[L_Sp])</f>
        <v>40.01</v>
      </c>
      <c r="BH57" s="764">
        <f ca="1">-IFERROR((Tab_NewTRADER[[#This Row],[M]]-Tab_NewTRADER[[#This Row],[L_Sp]])/Tab_NewTRADER[[#This Row],[L_Sp]],0)</f>
        <v>0.41564608847788054</v>
      </c>
      <c r="BI57" s="729">
        <f ca="1">MIN(Tab_NewTRADER[[#This Row],[L_Sn]],Tab_NewTRADER[[#This Row],[N]])*(Tab_NewTRADER[[#This Row],[M]]-Tab_NewTRADER[[#This Row],[L_Sp]])*(1-Commission)*Tab_NewTRADER[[#This Row],[Scale]]</f>
        <v>-16586.761999999999</v>
      </c>
      <c r="BJ57" s="692">
        <f ca="1">Tab_NewTRADER[[#This Row],[L_Sn]]*(Tab_NewTRADER[[#This Row],[Agiotage]]-Tab_NewTRADER[[#This Row],[M]])/(Tab_NewTRADER[[#This Row],[L_Bn]]*Tab_NewTRADER[[#This Row],[M]])</f>
        <v>-0.62567635440008029</v>
      </c>
      <c r="BK57" s="635">
        <f ca="1">IFERROR((Tab_NewTRADER[[#This Row],[M]]-Tab_NewTRADER[[#This Row],[A]])/Tab_NewTRADER[[#This Row],[A]],0)</f>
        <v>-0.30494240059457461</v>
      </c>
      <c r="BL57" s="638" t="str">
        <f ca="1">TEXT(_xlfn.XLOOKUP(Tab_NewTRADER[[#This Row],[ClickTick]],TabCalc[Ticker],TabCalc[NAfter]),"#,#0")&amp;" : "&amp;TEXT(_xlfn.XLOOKUP(Tab_NewTRADER[[#This Row],[ClickTick]],TabCalc[Ticker],TabCalc[NAfter])*(Tab_NewTRADER[[#This Row],[M]]-Tab_NewTRADER[[#This Row],[A]])*(1-Commission)*Tab_NewTRADER[[#This Row],[Scale]],"#,#0$")</f>
        <v>12,000 : -122,770$</v>
      </c>
      <c r="BM57" s="684">
        <f ca="1">_xlfn.XLOOKUP(Tab_NewTRADER[[#This Row],[ClickTick]],TabCalc[[#This Row],[Ticker]],TabCalc[[#This Row],[GL]])*(1-Commission)</f>
        <v>-120441.71047400302</v>
      </c>
      <c r="BN57" s="684"/>
      <c r="BO57" s="669" t="str">
        <f ca="1">Tab_NewTRADER[[#This Row],[ClickTick]]&amp;": "&amp;_xlfn.XLOOKUP(Tab_NewTRADER[[#This Row],[ClickTick]],TabCalc[Ticker],TabCalc[Pile?])</f>
        <v>MVEDSY: Pile</v>
      </c>
      <c r="BP57" s="351" t="s">
        <v>1943</v>
      </c>
      <c r="BQ57" s="755" t="str" cm="1">
        <f t="array" aca="1" ref="BQ57" ca="1">_xlfn.TEXTJOIN("",,INDEX({"M","A","Y"}, _xlfn.SORTBY({1,2,3}, -CHOOSE({1,2,3}, Tab_NewTRADER[[#This Row],[M]], Tab_NewTRADER[[#This Row],[A]], Tab_NewTRADER[[#This Row],[Agiotage]]))))</f>
        <v>AMY</v>
      </c>
      <c r="BR57" s="902" cm="1">
        <f t="array" aca="1" ref="BR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0.29255774165953807</v>
      </c>
      <c r="BS57" s="679" t="e">
        <f ca="1">Tab_NewTRADER[[#This Row],[L_Sn]]*Tab_NewTRADER[[#This Row],[L_Sp]]+Tab_NewTRADER[[#This Row],[SellMore]]*Tab_NewTRADER[[#This Row],[M]]</f>
        <v>#N/A</v>
      </c>
      <c r="BT57" s="679" t="e">
        <f ca="1">INDEX(
  INDEX(TabConsolid[], , _xlfn.XMATCH(Tab_NewTRADER[[#This Row],[ClickTick]]&amp;1, TabConsolid[#Headers])),
  MATCH(
    -Tab_NewTRADER[[#This Row],[M]],
    INDEX(TabConsolid[], , _xlfn.XMATCH(Tab_NewTRADER[[#This Row],[ClickTick]]&amp;2, TabConsolid[#Headers])),
    -1
  )
)</f>
        <v>#N/A</v>
      </c>
      <c r="BU57" s="679" cm="1">
        <f t="array" aca="1" ref="BU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V57" s="1144" t="e">
        <f ca="1">Tab_NewTRADER[[#This Row],[ReBuy]]/(Tab_NewTRADER[[#This Row],[L_Sn]]+Tab_NewTRADER[[#This Row],[SellMore]])</f>
        <v>#N/A</v>
      </c>
      <c r="BW57" s="687">
        <f ca="1">((_xlfn.XLOOKUP(Tab_NewTRADER[[#This Row],[ClickTick]],TabCalc[Ticker],TabCalc[NAfter])+Tab_NewTRADER[[#This Row],[L_Sn]])*(Tab_NewTRADER[[#This Row],[Agiotage]]-Tab_NewTRADER[[#This Row],[M]]))/(Tab_NewTRADER[[#This Row],[L_Sn]]*_xlfn.XLOOKUP(Tab_NewTRADER[[#This Row],[ClickTick]],TabCalc[Ticker],TabCalc[NAfter]))</f>
        <v>-2.3771008894545049E-2</v>
      </c>
      <c r="BX57" s="687">
        <f ca="1">(Tab_NewTRADER[[#This Row],[M]]-Tab_NewTRADER[[#This Row],[Agiotage]])/(Tab_NewTRADER[[#This Row],[M]]-Tab_NewTRADER[[#This Row],[A]])-1</f>
        <v>-3.13916351438565</v>
      </c>
      <c r="BY57" s="1262">
        <f ca="1">_xlfn.XMATCH(Tab_NewTRADER[[#This Row],[ClickTick]]&amp;1, TabConsolid[#Headers])</f>
        <v>167</v>
      </c>
      <c r="BZ57" t="str">
        <f ca="1">IF(ABS(Tab_NewTRADER[[#This Row],[L_Bp]])&gt;=Tab_NewTRADER[[#This Row],[M]],"OK")</f>
        <v>OK</v>
      </c>
    </row>
    <row r="58" spans="1:78"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+42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27.7%</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46$</v>
      </c>
      <c r="G58" s="225" t="str">
        <f ca="1">IFERROR(TRUNC(_xlfn.XLOOKUP(Tab_NewTRADER[[#This Row],[ClickTick]],TabCalc[Ticker],ListLastSalep),2)&amp;"x"&amp;_xlfn.XLOOKUP(Tab_NewTRADER[[#This Row],[ClickTick]],TabCalc[Ticker],ListLastSalen)&amp;"=   "&amp;TEXT(-_xlfn.XLOOKUP(Tab_NewTRADER[[#This Row],[ClickTick]],TabCalc[Ticker],ListReverseB),"#,#0")&amp;"$","")</f>
        <v>12.56x2990=   8,193$</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-17.9% = 0</v>
      </c>
      <c r="I58" s="226" t="str">
        <f ca="1">IFERROR(TRUNC(TabCalc[[#This Row],[L_S1p]],2)&amp;"x"&amp;TabCalc[[#This Row],[L_S1n]]&amp;"=   "&amp;TEXT(TabCalc[[#This Row],[ReverseB1]],"#,#0"),"")</f>
        <v>11.65x3000=   -10,946</v>
      </c>
      <c r="J58" s="295">
        <f ca="1">_xlfn.XLOOKUP(Tab_NewTRADER[[#This Row],[ClickTick]],TabCalc[Ticker],ListGravity)</f>
        <v>1.1058555555555554</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3.4286087467618696E-4</v>
      </c>
      <c r="N58" s="324" cm="1">
        <f t="array" aca="1" ref="N58" ca="1">_xlfn.XLOOKUP(Tab_NewTRADER[[#This Row],[ClickTick]],ListTickers,Tab2RSIConventional[RSIConv20])</f>
        <v>38</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0.3833634719710669</v>
      </c>
      <c r="S58" s="683">
        <f ca="1">_xlfn.XLOOKUP(Tab_NewTRADER[[#This Row],[ClickTick]],TabCalc[Ticker],TabCalc[Rev(MinStock)])*(1-Commission)</f>
        <v>42.289760000000001</v>
      </c>
      <c r="T58" s="782">
        <f ca="1">_xlfn.XLOOKUP(Tab_NewTRADER[[#This Row],[ClickTick]],TabCalc[Ticker],TabCalc[Agiotage])</f>
        <v>3.4286087467618696E-4</v>
      </c>
      <c r="U58" s="747"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0/0=&gt;-0.3% / -0.3%</v>
      </c>
      <c r="V58" s="739" t="str">
        <f ca="1">_xlfn.XLOOKUP(Tab_NewTRADER[[#This Row],[ClickTick]],[1]!RTData[Ticker_Symbol],[1]!RTData[Currency])</f>
        <v>EUR</v>
      </c>
      <c r="W58" s="749">
        <f ca="1">_xlfn.XLOOKUP(Tab_NewTRADER[[#This Row],[ClickTick]],TabCalc[Ticker],TabCalc[M])</f>
        <v>15.3</v>
      </c>
      <c r="X58" s="1315"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-2.6079999999999996E-3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F58" s="1182"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8" s="1530" t="str">
        <f ca="1">TEXT(MIN(Tab_NewTRADER[[#This Row],[L_Bn]],Tab_NewTRADER[[#This Row],[N]]),"#,#0")&amp;" x "&amp;TEXT(Tab_NewTRADER[[#This Row],[L_Bp]],"#,#0.#0")</f>
        <v>10 x -11.06</v>
      </c>
      <c r="AH58" s="1530" t="str" cm="1">
        <f t="array" aca="1" ref="AH58" ca="1">_xlfn.IFS(Tab_NewTRADER[[#This Row],[M_State]]=Sale_Back,Tab_NewTRADER[[#This Row],[Sale_Back_$]], TRUE,"M = "&amp;Tab_NewTRADER[[#This Row],[M]])</f>
        <v>M = 15.3</v>
      </c>
      <c r="AI58" s="1433" cm="1">
        <f t="array" aca="1" ref="AI58" ca="1">IF(Tab_NewTRADER[[#This Row],[M_State]]=MUp,_xlfn.IFS(Tab_NewTRADER[[#This Row],[M_State]]=MUp,MIN(Tab_NewTRADER[[#This Row],[N]],Tab_NewTRADER[[#This Row],[L_Bn]])*(Tab_NewTRADER[[#This Row],[M]]-Tab_NewTRADER[[#This Row],[L_Sp]])*Tab_NewTRADER[[#This Row],[Scale]]*ComFactor, TRUE,0),0)</f>
        <v>27.328760000000003</v>
      </c>
      <c r="AJ58" s="1433" cm="1">
        <f t="array" aca="1" ref="AJ58" ca="1">_xlfn.IFS(Tab_NewTRADER[[#This Row],[M_State]]=MUp,                 MIN(Tab_NewTRADER[[#This Row],[L_Sn]],Tab_NewTRADER[[#This Row],[N]])*(Tab_NewTRADER[[#This Row],[M]]-Tab_NewTRADER[[#This Row],[A]])*Tab_NewTRADER[[#This Row],[Scale]]*ComFactor, TRUE,0)</f>
        <v>42.289760000000001</v>
      </c>
      <c r="AK58" s="1433" cm="1">
        <f t="array" aca="1" ref="AK58" ca="1">_xlfn.IFS(Tab_NewTRADER[[#This Row],[M_State]]=MUp,                  Tab_NewTRADER[[#This Row],[N]]*(Tab_NewTRADER[[#This Row],[M]]-Tab_NewTRADER[[#This Row],[A]])*Tab_NewTRADER[[#This Row],[Scale]]*ComFactor, TRUE,0)</f>
        <v>42.289760000000001</v>
      </c>
      <c r="AL58" s="1435" t="str">
        <f ca="1">TEXT(Tab_NewTRADER[[#This Row],[L_Sn]],"#,#0")&amp;" x "&amp;TEXT(Tab_NewTRADER[[#This Row],[L_Sp]],"#,#0.#0")</f>
        <v>2,990 x 12.56</v>
      </c>
      <c r="AM58" s="1465" t="str" cm="1">
        <f t="array" aca="1" ref="AM58" ca="1">_xlfn.IFS(Tab_NewTRADER[[#This Row],[M_State]]=RePurchaseGain,TEXT(-Tab_NewTRADER[[#This Row],[Buy_Back]],"#,#0")&amp;"       / "&amp;TEXT(Tab_NewTRADER[[#This Row],[Rev_Buy]],"#,#00.0)%"),TRUE,"M = "&amp;Tab_NewTRADER[[#This Row],[M]])</f>
        <v>M = 15.3</v>
      </c>
      <c r="AN58" s="1435" cm="1">
        <f t="array" aca="1" ref="AN58" ca="1">_xlfn.IFS(Tab_NewTRADER[[#This Row],[M_State]]=MDown,TEXT(Tab_NewTRADER[[#This Row],[L_Sn]]*(Tab_NewTRADER[[#This Row],[M]]-Tab_NewTRADER[[#This Row],[L_Sp]])*ComFactor,"#,#0")&amp;"       / "&amp;TEXT((TabTRADER[[#This Row],[M]]-TabTRADER[[#This Row],[L_Sp]])/TabTRADER[[#This Row],[M]],"#,#00.0)%"),TRUE,0)</f>
        <v>0</v>
      </c>
      <c r="AO58" s="1486" cm="1">
        <f t="array" aca="1" ref="AO58" ca="1">_xlfn.IFS(Tab_NewTRADER[[#This Row],[M_State]]=MDown,TEXT(Tab_NewTRADER[[#This Row],[N]]*(Tab_NewTRADER[[#This Row],[M]]-Tab_NewTRADER[[#This Row],[A]])*Tab_NewTRADER[[#This Row],[Scale]]*ComFactor,"#,#0")&amp;"       / "&amp;TEXT((TabTRADER[[#This Row],[M]]-TabTRADER[[#This Row],[L_Bp]])/TabTRADER[[#This Row],[M]],"#,#00.0%"),TRUE,0)</f>
        <v>0</v>
      </c>
      <c r="AP58" s="1435" t="str" cm="1">
        <f t="array" aca="1" ref="AP58" ca="1">_xlfn.IFS(Tab_NewTRADER[[#This Row],[M_State]]=MDown,TEXT(Tab_NewTRADER[[#This Row],[N]]*Tab_NewTRADER[[#This Row],[M]],"#,#0")&amp;" @ "&amp;TEXT(Tab_NewTRADER[[#This Row],[A]],"#,#0.#0"),TRUE,"M = "&amp; Tab_NewTRADER[[#This Row],[M]])</f>
        <v>M = 15.3</v>
      </c>
      <c r="AQ58" s="1165">
        <f ca="1">Tab_NewTRADER[[#This Row],[N]]*(Tab_NewTRADER[[#This Row],[M]]-Tab_NewTRADER[[#This Row],[A]])*(1-Commission)*Tab_NewTRADER[[#This Row],[Scale]]</f>
        <v>42.289760000000001</v>
      </c>
      <c r="AR58" s="1165">
        <f ca="1">Tab_NewTRADER[[#This Row],[M]]*Tab_NewTRADER[[#This Row],[N]]*(1-Commission)*Tab_NewTRADER[[#This Row],[Scale]]</f>
        <v>152.60219999999998</v>
      </c>
      <c r="AS58" s="1174" cm="1">
        <f t="array" aca="1" ref="AS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0.3833634719710669</v>
      </c>
      <c r="AT58" s="1174" cm="1">
        <f t="array" aca="1" ref="AT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0.17648496732026145</v>
      </c>
      <c r="AU58" s="825" cm="1">
        <f t="array" aca="1" ref="AU58" ca="1">_xlfn.IFS(   Tab_NewTRADER[[#This Row],[M_State]]=SellMorePercentGain,                     MIN(Tab_NewTRADER[[#This Row],[L_Sn]],Tab_NewTRADER[[#This Row],[N]])*(Tab_NewTRADER[[#This Row],[M]]-Tab_NewTRADER[[#This Row],[L_Sp]])*(1-Commission)*Tab_NewTRADER[[#This Row],[Scale]],                    TRUE,"")</f>
        <v>27.328760000000003</v>
      </c>
      <c r="AV58" s="1163">
        <f ca="1">_xlfn.XLOOKUP(Tab_NewTRADER[[#This Row],[ClickTick]],TabCalc[Ticker],TabCalc[Ann%RevLB])</f>
        <v>0.45698956923703338</v>
      </c>
      <c r="AW58" s="1267">
        <f ca="1">_xlfn.XLOOKUP(Tab_NewTRADER[[#This Row],[ClickTick]],TabCalc[Ticker],TabCalc[Up20])</f>
        <v>0</v>
      </c>
      <c r="AX58" s="310" t="str" cm="1">
        <f t="array" aca="1" ref="AX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8" s="825" t="str" cm="1">
        <f t="array" aca="1" ref="AY58" ca="1">_xlfn.IFS(         Tab_NewTRADER[[#This Row],[M_State]]=MDown,Tab_NewTRADER[[#This Row],[L_Bn]]*Tab_NewTRADER[[#This Row],[M]]*(-(Tab_NewTRADER[[#This Row],[L_Bp]]+Tab_NewTRADER[[#This Row],[M]])/Tab_NewTRADER[[#This Row],[M]])*(1-Commission)*Tab_NewTRADER[[#This Row],[Scale]],                               TRUE,"")</f>
        <v/>
      </c>
      <c r="AZ58" s="1174" cm="1">
        <f t="array" aca="1" ref="AZ58" ca="1">_xlfn.IFS(   Tab_NewTRADER[[#This Row],[M_State]]=MUp,Tab_NewTRADER[[#This Row],[TakeGain_A]]-Commission,        Tab_NewTRADER[[#This Row],[M_State]]=MDown,(Tab_NewTRADER[[#This Row],[A]]-Tab_NewTRADER[[#This Row],[M]])/Tab_NewTRADER[[#This Row],[M]]-Commission,                              TRUE,"")</f>
        <v>0.38076347197106691</v>
      </c>
      <c r="BA58" s="825" cm="1">
        <f t="array" aca="1" ref="BA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58.502109222423144</v>
      </c>
      <c r="BB58" s="760" t="str" cm="1">
        <f t="array" aca="1" ref="BB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0.1%</v>
      </c>
      <c r="BC58" s="736" t="str" cm="1">
        <f t="array" aca="1" ref="BC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10x4.24</v>
      </c>
      <c r="BD58" s="765" cm="1">
        <f t="array" aca="1" ref="BD58" ca="1">_xlfn.IFS(Tab_NewTRADER[[#This Row],[M_State]]=Sale_Back,"",         Tab_NewTRADER[[#This Row],[M_State]]=MDown, (Tab_NewTRADER[[#This Row],[M]]-Tab_NewTRADER[[#This Row],[A]])/Tab_NewTRADER[[#This Row],[A]]*ComFactor,             TRUE, IFERROR((Tab_NewTRADER[[#This Row],[M]]-Tab_NewTRADER[[#This Row],[A]])/Tab_NewTRADER[[#This Row],[A]]*ComFactor,""))</f>
        <v>0.38236672694394214</v>
      </c>
      <c r="BE58" s="762" cm="1">
        <f t="array" aca="1" ref="BE58" ca="1">_xlfn.IFS(               Tab_NewTRADER[[#This Row],[M_State]]=NoStock,(Tab_NewTRADER[[#This Row],[L_Sp]]-Tab_NewTRADER[[#This Row],[M]])/Tab_NewTRADER[[#This Row],[M]]-Commission,             Tab_NewTRADER[[#This Row],[A]]&lt;&gt;0,(Tab_NewTRADER[[#This Row],[A]]-Tab_NewTRADER[[#This Row],[M]])/Tab_NewTRADER[[#This Row],[M]]-Commission)</f>
        <v>-0.27972418300653595</v>
      </c>
      <c r="BF58" s="324">
        <f ca="1">_xlfn.XLOOKUP(Tab_NewTRADER[[#This Row],[ClickTick]],TabCalc[Ticker],TabCalc[L_Sn])</f>
        <v>2990</v>
      </c>
      <c r="BG58" s="728">
        <f ca="1">_xlfn.XLOOKUP(Tab_NewTRADER[[#This Row],[ClickTick]],TabCalc[Ticker],TabCalc[L_Sp])</f>
        <v>12.56</v>
      </c>
      <c r="BH58" s="764">
        <f ca="1">-IFERROR((Tab_NewTRADER[[#This Row],[M]]-Tab_NewTRADER[[#This Row],[L_Sp]])/Tab_NewTRADER[[#This Row],[L_Sp]],0)</f>
        <v>-0.21815286624203822</v>
      </c>
      <c r="BI58" s="729">
        <f ca="1">MIN(Tab_NewTRADER[[#This Row],[L_Sn]],Tab_NewTRADER[[#This Row],[N]])*(Tab_NewTRADER[[#This Row],[M]]-Tab_NewTRADER[[#This Row],[L_Sp]])*(1-Commission)*Tab_NewTRADER[[#This Row],[Scale]]</f>
        <v>27.328760000000003</v>
      </c>
      <c r="BJ58" s="692">
        <f ca="1">Tab_NewTRADER[[#This Row],[L_Sn]]*(Tab_NewTRADER[[#This Row],[Agiotage]]-Tab_NewTRADER[[#This Row],[M]])/(Tab_NewTRADER[[#This Row],[L_Bn]]*Tab_NewTRADER[[#This Row],[M]])</f>
        <v>-0.49832216607826491</v>
      </c>
      <c r="BK58" s="635">
        <f ca="1">IFERROR((Tab_NewTRADER[[#This Row],[M]]-Tab_NewTRADER[[#This Row],[A]])/Tab_NewTRADER[[#This Row],[A]],0)</f>
        <v>0.3833634719710669</v>
      </c>
      <c r="BL58" s="638" t="str">
        <f ca="1">TEXT(_xlfn.XLOOKUP(Tab_NewTRADER[[#This Row],[ClickTick]],TabCalc[Ticker],TabCalc[NAfter]),"#,#0")&amp;" : "&amp;TEXT(_xlfn.XLOOKUP(Tab_NewTRADER[[#This Row],[ClickTick]],TabCalc[Ticker],TabCalc[NAfter])*(Tab_NewTRADER[[#This Row],[M]]-Tab_NewTRADER[[#This Row],[A]])*(1-Commission)*Tab_NewTRADER[[#This Row],[Scale]],"#,#0$")</f>
        <v>10 : 42$</v>
      </c>
      <c r="BM58" s="684">
        <f ca="1">_xlfn.XLOOKUP(Tab_NewTRADER[[#This Row],[ClickTick]],TabCalc[[#This Row],[Ticker]],TabCalc[[#This Row],[GL]])*(1-Commission)</f>
        <v>18111.969025457416</v>
      </c>
      <c r="BN58" s="684"/>
      <c r="BO58" s="669" t="str">
        <f ca="1">Tab_NewTRADER[[#This Row],[ClickTick]]&amp;": "&amp;_xlfn.XLOOKUP(Tab_NewTRADER[[#This Row],[ClickTick]],TabCalc[Ticker],TabCalc[Pile?])</f>
        <v>MVEEOAN: Pile</v>
      </c>
      <c r="BP58" s="351" t="s">
        <v>1944</v>
      </c>
      <c r="BQ58" s="755" t="str" cm="1">
        <f t="array" aca="1" ref="BQ58" ca="1">_xlfn.TEXTJOIN("",,INDEX({"M","A","Y"}, _xlfn.SORTBY({1,2,3}, -CHOOSE({1,2,3}, Tab_NewTRADER[[#This Row],[M]], Tab_NewTRADER[[#This Row],[A]], Tab_NewTRADER[[#This Row],[Agiotage]]))))</f>
        <v>MAY</v>
      </c>
      <c r="BR58" s="902" cm="1">
        <f t="array" aca="1" ref="BR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0.17908496732026144</v>
      </c>
      <c r="BS58" s="679">
        <f ca="1">Tab_NewTRADER[[#This Row],[L_Sn]]*Tab_NewTRADER[[#This Row],[L_Sp]]+Tab_NewTRADER[[#This Row],[SellMore]]*Tab_NewTRADER[[#This Row],[M]]</f>
        <v>37707.4</v>
      </c>
      <c r="BT58" s="679">
        <f ca="1">INDEX(
  INDEX(TabConsolid[], , _xlfn.XMATCH(Tab_NewTRADER[[#This Row],[ClickTick]]&amp;1, TabConsolid[#Headers])),
  MATCH(
    -Tab_NewTRADER[[#This Row],[M]],
    INDEX(TabConsolid[], , _xlfn.XMATCH(Tab_NewTRADER[[#This Row],[ClickTick]]&amp;2, TabConsolid[#Headers])),
    -1
  )
)</f>
        <v>10</v>
      </c>
      <c r="BU58" s="679" cm="1">
        <f t="array" aca="1" ref="BU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58" s="1144">
        <f ca="1">Tab_NewTRADER[[#This Row],[ReBuy]]/(Tab_NewTRADER[[#This Row],[L_Sn]]+Tab_NewTRADER[[#This Row],[SellMore]])</f>
        <v>12.569133333333333</v>
      </c>
      <c r="BW58" s="687">
        <f ca="1">((_xlfn.XLOOKUP(Tab_NewTRADER[[#This Row],[ClickTick]],TabCalc[Ticker],TabCalc[NAfter])+Tab_NewTRADER[[#This Row],[L_Sn]])*(Tab_NewTRADER[[#This Row],[Agiotage]]-Tab_NewTRADER[[#This Row],[M]]))/(Tab_NewTRADER[[#This Row],[L_Sn]]*_xlfn.XLOOKUP(Tab_NewTRADER[[#This Row],[ClickTick]],TabCalc[Ticker],TabCalc[NAfter]))</f>
        <v>-1.5350826560995308</v>
      </c>
      <c r="BX58" s="687">
        <f ca="1">(Tab_NewTRADER[[#This Row],[M]]-Tab_NewTRADER[[#This Row],[Agiotage]])/(Tab_NewTRADER[[#This Row],[M]]-Tab_NewTRADER[[#This Row],[A]])-1</f>
        <v>2.6084097026238973</v>
      </c>
      <c r="BY58" s="1262">
        <f ca="1">_xlfn.XMATCH(Tab_NewTRADER[[#This Row],[ClickTick]]&amp;1, TabConsolid[#Headers])</f>
        <v>170</v>
      </c>
      <c r="BZ58" t="b">
        <f ca="1">IF(ABS(Tab_NewTRADER[[#This Row],[L_Bp]])&gt;=Tab_NewTRADER[[#This Row],[M]],"OK")</f>
        <v>0</v>
      </c>
    </row>
    <row r="59" spans="1:78"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+26,064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20.1%</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1,535/36,000=24,890</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7,256$</v>
      </c>
      <c r="G59" s="225" t="str">
        <f ca="1">IFERROR(TRUNC(_xlfn.XLOOKUP(Tab_NewTRADER[[#This Row],[ClickTick]],TabCalc[Ticker],ListLastSalep),2)&amp;"x"&amp;_xlfn.XLOOKUP(Tab_NewTRADER[[#This Row],[ClickTick]],TabCalc[Ticker],ListLastSalen)&amp;"=   "&amp;TEXT(-_xlfn.XLOOKUP(Tab_NewTRADER[[#This Row],[ClickTick]],TabCalc[Ticker],ListReverseB),"#,#0")&amp;"$","")</f>
        <v>15.12x4000=   4,392$</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59" s="226" t="str">
        <f ca="1">IFERROR(TRUNC(TabCalc[[#This Row],[L_S1p]],2)&amp;"x"&amp;TabCalc[[#This Row],[L_S1n]]&amp;"=   "&amp;TEXT(TabCalc[[#This Row],[ReverseB1]],"#,#0"),"")</f>
        <v>14.44x8000=   -14,224</v>
      </c>
      <c r="J59" s="295">
        <f ca="1">_xlfn.XLOOKUP(Tab_NewTRADER[[#This Row],[ClickTick]],TabCalc[Ticker],ListGravity)</f>
        <v>0.99412566284375392</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421668</v>
      </c>
      <c r="M59" s="323">
        <f ca="1">_xlfn.XLOOKUP(Tab_NewTRADER[[#This Row],[ClickTick]],TabCalc[Ticker],TabCalc[Agiotage])</f>
        <v>0.92243783340360397</v>
      </c>
      <c r="N59" s="324" cm="1">
        <f t="array" aca="1" ref="N59" ca="1">_xlfn.XLOOKUP(Tab_NewTRADER[[#This Row],[ClickTick]],ListTickers,Tab2RSIConventional[RSIConv20])</f>
        <v>82</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0.25138888888888883</v>
      </c>
      <c r="S59" s="683">
        <f ca="1">_xlfn.XLOOKUP(Tab_NewTRADER[[#This Row],[ClickTick]],TabCalc[Ticker],TabCalc[Rev(MinStock)])*(1-Commission)</f>
        <v>25996.233599999992</v>
      </c>
      <c r="T59" s="782">
        <f ca="1">_xlfn.XLOOKUP(Tab_NewTRADER[[#This Row],[ClickTick]],TabCalc[Ticker],TabCalc[Agiotage])</f>
        <v>0.92243783340360397</v>
      </c>
      <c r="U59" s="747"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-5,832/-5,832=&gt;-0.7% / -0.7%</v>
      </c>
      <c r="V59" s="739" t="str">
        <f ca="1">_xlfn.XLOOKUP(Tab_NewTRADER[[#This Row],[ClickTick]],[1]!RTData[Ticker_Symbol],[1]!RTData[Currency])</f>
        <v>EUR</v>
      </c>
      <c r="W59" s="749">
        <f ca="1">_xlfn.XLOOKUP(Tab_NewTRADER[[#This Row],[ClickTick]],TabCalc[Ticker],TabCalc[M])</f>
        <v>16.218</v>
      </c>
      <c r="X59" s="1315"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-6.8589999999999996E-3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^82K / 584 K$</v>
      </c>
      <c r="AF59" s="1182"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9" s="1530" t="str">
        <f ca="1">TEXT(MIN(Tab_NewTRADER[[#This Row],[L_Bn]],Tab_NewTRADER[[#This Row],[N]]),"#,#0")&amp;" x "&amp;TEXT(Tab_NewTRADER[[#This Row],[L_Bp]],"#,#0.#0")</f>
        <v>8,000 x -12.96</v>
      </c>
      <c r="AH59" s="1530" t="str" cm="1">
        <f t="array" aca="1" ref="AH59" ca="1">_xlfn.IFS(Tab_NewTRADER[[#This Row],[M_State]]=Sale_Back,Tab_NewTRADER[[#This Row],[Sale_Back_$]], TRUE,"M = "&amp;Tab_NewTRADER[[#This Row],[M]])</f>
        <v>M = 16.218</v>
      </c>
      <c r="AI59" s="1433" cm="1">
        <f t="array" aca="1" ref="AI59" ca="1">IF(Tab_NewTRADER[[#This Row],[M_State]]=MUp,_xlfn.IFS(Tab_NewTRADER[[#This Row],[M_State]]=MUp,MIN(Tab_NewTRADER[[#This Row],[N]],Tab_NewTRADER[[#This Row],[L_Bn]])*(Tab_NewTRADER[[#This Row],[M]]-Tab_NewTRADER[[#This Row],[L_Sp]])*Tab_NewTRADER[[#This Row],[Scale]]*ComFactor, TRUE,0),0)</f>
        <v>8761.1616000000049</v>
      </c>
      <c r="AJ59" s="1433" cm="1">
        <f t="array" aca="1" ref="AJ59" ca="1">_xlfn.IFS(Tab_NewTRADER[[#This Row],[M_State]]=MUp,                 MIN(Tab_NewTRADER[[#This Row],[L_Sn]],Tab_NewTRADER[[#This Row],[N]])*(Tab_NewTRADER[[#This Row],[M]]-Tab_NewTRADER[[#This Row],[A]])*Tab_NewTRADER[[#This Row],[Scale]]*ComFactor, TRUE,0)</f>
        <v>11128.900542222224</v>
      </c>
      <c r="AK59" s="1433" cm="1">
        <f t="array" aca="1" ref="AK59" ca="1">_xlfn.IFS(Tab_NewTRADER[[#This Row],[M_State]]=MUp,                  Tab_NewTRADER[[#This Row],[N]]*(Tab_NewTRADER[[#This Row],[M]]-Tab_NewTRADER[[#This Row],[A]])*Tab_NewTRADER[[#This Row],[Scale]]*ComFactor, TRUE,0)</f>
        <v>100160.10488000001</v>
      </c>
      <c r="AL59" s="1435" t="str">
        <f ca="1">TEXT(Tab_NewTRADER[[#This Row],[L_Sn]],"#,#0")&amp;" x "&amp;TEXT(Tab_NewTRADER[[#This Row],[L_Sp]],"#,#0.#0")</f>
        <v>4,000 x 15.12</v>
      </c>
      <c r="AM59" s="1465" t="str" cm="1">
        <f t="array" aca="1" ref="AM59" ca="1">_xlfn.IFS(Tab_NewTRADER[[#This Row],[M_State]]=RePurchaseGain,TEXT(-Tab_NewTRADER[[#This Row],[Buy_Back]],"#,#0")&amp;"       / "&amp;TEXT(Tab_NewTRADER[[#This Row],[Rev_Buy]],"#,#00.0)%"),TRUE,"M = "&amp;Tab_NewTRADER[[#This Row],[M]])</f>
        <v>M = 16.218</v>
      </c>
      <c r="AN59" s="1435" cm="1">
        <f t="array" aca="1" ref="AN59" ca="1">_xlfn.IFS(Tab_NewTRADER[[#This Row],[M_State]]=MDown,TEXT(Tab_NewTRADER[[#This Row],[L_Sn]]*(Tab_NewTRADER[[#This Row],[M]]-Tab_NewTRADER[[#This Row],[L_Sp]])*ComFactor,"#,#0")&amp;"       / "&amp;TEXT((TabTRADER[[#This Row],[M]]-TabTRADER[[#This Row],[L_Sp]])/TabTRADER[[#This Row],[M]],"#,#00.0)%"),TRUE,0)</f>
        <v>0</v>
      </c>
      <c r="AO59" s="1486" cm="1">
        <f t="array" aca="1" ref="AO59" ca="1">_xlfn.IFS(Tab_NewTRADER[[#This Row],[M_State]]=MDown,TEXT(Tab_NewTRADER[[#This Row],[N]]*(Tab_NewTRADER[[#This Row],[M]]-Tab_NewTRADER[[#This Row],[A]])*Tab_NewTRADER[[#This Row],[Scale]]*ComFactor,"#,#0")&amp;"       / "&amp;TEXT((TabTRADER[[#This Row],[M]]-TabTRADER[[#This Row],[L_Bp]])/TabTRADER[[#This Row],[M]],"#,#00.0%"),TRUE,0)</f>
        <v>0</v>
      </c>
      <c r="AP59" s="1435" t="str" cm="1">
        <f t="array" aca="1" ref="AP59" ca="1">_xlfn.IFS(Tab_NewTRADER[[#This Row],[M_State]]=MDown,TEXT(Tab_NewTRADER[[#This Row],[N]]*Tab_NewTRADER[[#This Row],[M]],"#,#0")&amp;" @ "&amp;TEXT(Tab_NewTRADER[[#This Row],[A]],"#,#0.#0"),TRUE,"M = "&amp; Tab_NewTRADER[[#This Row],[M]])</f>
        <v>M = 16.218</v>
      </c>
      <c r="AQ59" s="1165">
        <f ca="1">Tab_NewTRADER[[#This Row],[N]]*(Tab_NewTRADER[[#This Row],[M]]-Tab_NewTRADER[[#This Row],[A]])*(1-Commission)*Tab_NewTRADER[[#This Row],[Scale]]</f>
        <v>100160.10488000001</v>
      </c>
      <c r="AR59" s="1165">
        <f ca="1">Tab_NewTRADER[[#This Row],[M]]*Tab_NewTRADER[[#This Row],[N]]*(1-Commission)*Tab_NewTRADER[[#This Row],[Scale]]</f>
        <v>582329.9952</v>
      </c>
      <c r="AS59" s="1174" cm="1">
        <f t="array" aca="1" ref="AS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0.20772782973554632</v>
      </c>
      <c r="AT59" s="1174" cm="1">
        <f t="array" aca="1" ref="AT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6.5102552719200929E-2</v>
      </c>
      <c r="AU59" s="825" cm="1">
        <f t="array" aca="1" ref="AU59" ca="1">_xlfn.IFS(   Tab_NewTRADER[[#This Row],[M_State]]=SellMorePercentGain,                     MIN(Tab_NewTRADER[[#This Row],[L_Sn]],Tab_NewTRADER[[#This Row],[N]])*(Tab_NewTRADER[[#This Row],[M]]-Tab_NewTRADER[[#This Row],[L_Sp]])*(1-Commission)*Tab_NewTRADER[[#This Row],[Scale]],                    TRUE,"")</f>
        <v>4380.5808000000025</v>
      </c>
      <c r="AV59" s="1163">
        <f ca="1">_xlfn.XLOOKUP(Tab_NewTRADER[[#This Row],[ClickTick]],TabCalc[Ticker],TabCalc[Ann%RevLB])</f>
        <v>0.52312138728323687</v>
      </c>
      <c r="AW59" s="1267">
        <f ca="1">_xlfn.XLOOKUP(Tab_NewTRADER[[#This Row],[ClickTick]],TabCalc[Ticker],TabCalc[Up20])</f>
        <v>0</v>
      </c>
      <c r="AX59" s="310" t="str" cm="1">
        <f t="array" aca="1" ref="AX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59" s="825" t="str" cm="1">
        <f t="array" aca="1" ref="AY59" ca="1">_xlfn.IFS(         Tab_NewTRADER[[#This Row],[M_State]]=MDown,Tab_NewTRADER[[#This Row],[L_Bn]]*Tab_NewTRADER[[#This Row],[M]]*(-(Tab_NewTRADER[[#This Row],[L_Bp]]+Tab_NewTRADER[[#This Row],[M]])/Tab_NewTRADER[[#This Row],[M]])*(1-Commission)*Tab_NewTRADER[[#This Row],[Scale]],                               TRUE,"")</f>
        <v/>
      </c>
      <c r="AZ59" s="1174" cm="1">
        <f t="array" aca="1" ref="AZ59" ca="1">_xlfn.IFS(   Tab_NewTRADER[[#This Row],[M_State]]=MUp,Tab_NewTRADER[[#This Row],[TakeGain_A]]-Commission,        Tab_NewTRADER[[#This Row],[M_State]]=MDown,(Tab_NewTRADER[[#This Row],[A]]-Tab_NewTRADER[[#This Row],[M]])/Tab_NewTRADER[[#This Row],[M]]-Commission,                              TRUE,"")</f>
        <v>0.20512782973554633</v>
      </c>
      <c r="BA59" s="825" cm="1">
        <f t="array" aca="1" ref="BA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120966.1460928071</v>
      </c>
      <c r="BB59" s="760" t="str" cm="1">
        <f t="array" aca="1" ref="BB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59" s="736" t="str" cm="1">
        <f t="array" aca="1" ref="BC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8,000x2.78</v>
      </c>
      <c r="BD59" s="765" cm="1">
        <f t="array" aca="1" ref="BD59" ca="1">_xlfn.IFS(Tab_NewTRADER[[#This Row],[M_State]]=Sale_Back,"",         Tab_NewTRADER[[#This Row],[M_State]]=MDown, (Tab_NewTRADER[[#This Row],[M]]-Tab_NewTRADER[[#This Row],[A]])/Tab_NewTRADER[[#This Row],[A]]*ComFactor,             TRUE, IFERROR((Tab_NewTRADER[[#This Row],[M]]-Tab_NewTRADER[[#This Row],[A]])/Tab_NewTRADER[[#This Row],[A]]*ComFactor,""))</f>
        <v>0.2071877373782339</v>
      </c>
      <c r="BE59" s="762" cm="1">
        <f t="array" aca="1" ref="BE59" ca="1">_xlfn.IFS(               Tab_NewTRADER[[#This Row],[M_State]]=NoStock,(Tab_NewTRADER[[#This Row],[L_Sp]]-Tab_NewTRADER[[#This Row],[M]])/Tab_NewTRADER[[#This Row],[M]]-Commission,             Tab_NewTRADER[[#This Row],[A]]&lt;&gt;0,(Tab_NewTRADER[[#This Row],[A]]-Tab_NewTRADER[[#This Row],[M]])/Tab_NewTRADER[[#This Row],[M]]-Commission)</f>
        <v>-0.17459887641989011</v>
      </c>
      <c r="BF59" s="324">
        <f ca="1">_xlfn.XLOOKUP(Tab_NewTRADER[[#This Row],[ClickTick]],TabCalc[Ticker],TabCalc[L_Sn])</f>
        <v>4000</v>
      </c>
      <c r="BG59" s="728">
        <f ca="1">_xlfn.XLOOKUP(Tab_NewTRADER[[#This Row],[ClickTick]],TabCalc[Ticker],TabCalc[L_Sp])</f>
        <v>15.12</v>
      </c>
      <c r="BH59" s="764">
        <f ca="1">-IFERROR((Tab_NewTRADER[[#This Row],[M]]-Tab_NewTRADER[[#This Row],[L_Sp]])/Tab_NewTRADER[[#This Row],[L_Sp]],0)</f>
        <v>-7.2619047619047666E-2</v>
      </c>
      <c r="BI59" s="729">
        <f ca="1">MIN(Tab_NewTRADER[[#This Row],[L_Sn]],Tab_NewTRADER[[#This Row],[N]])*(Tab_NewTRADER[[#This Row],[M]]-Tab_NewTRADER[[#This Row],[L_Sp]])*(1-Commission)*Tab_NewTRADER[[#This Row],[Scale]]</f>
        <v>4380.5808000000025</v>
      </c>
      <c r="BJ59" s="692">
        <f ca="1">Tab_NewTRADER[[#This Row],[L_Sn]]*(Tab_NewTRADER[[#This Row],[Agiotage]]-Tab_NewTRADER[[#This Row],[M]])/(Tab_NewTRADER[[#This Row],[L_Bn]]*Tab_NewTRADER[[#This Row],[M]])</f>
        <v>-0.47156129506093214</v>
      </c>
      <c r="BK59" s="635">
        <f ca="1">IFERROR((Tab_NewTRADER[[#This Row],[M]]-Tab_NewTRADER[[#This Row],[A]])/Tab_NewTRADER[[#This Row],[A]],0)</f>
        <v>0.20772782973554632</v>
      </c>
      <c r="BL59" s="638" t="str">
        <f ca="1">TEXT(_xlfn.XLOOKUP(Tab_NewTRADER[[#This Row],[ClickTick]],TabCalc[Ticker],TabCalc[NAfter]),"#,#0")&amp;" : "&amp;TEXT(_xlfn.XLOOKUP(Tab_NewTRADER[[#This Row],[ClickTick]],TabCalc[Ticker],TabCalc[NAfter])*(Tab_NewTRADER[[#This Row],[M]]-Tab_NewTRADER[[#This Row],[A]])*(1-Commission)*Tab_NewTRADER[[#This Row],[Scale]],"#,#0$")</f>
        <v>36,000 : 100,160$</v>
      </c>
      <c r="BM59" s="684">
        <f ca="1">_xlfn.XLOOKUP(Tab_NewTRADER[[#This Row],[ClickTick]],TabCalc[[#This Row],[Ticker]],TabCalc[[#This Row],[GL]])*(1-Commission)</f>
        <v>81950.087568420713</v>
      </c>
      <c r="BN59" s="684"/>
      <c r="BO59" s="669" t="str">
        <f ca="1">Tab_NewTRADER[[#This Row],[ClickTick]]&amp;": "&amp;_xlfn.XLOOKUP(Tab_NewTRADER[[#This Row],[ClickTick]],TabCalc[Ticker],TabCalc[Pile?])</f>
        <v xml:space="preserve">MVEENI: </v>
      </c>
      <c r="BP59" s="351" t="s">
        <v>1945</v>
      </c>
      <c r="BQ59" s="755" t="str" cm="1">
        <f t="array" aca="1" ref="BQ59" ca="1">_xlfn.TEXTJOIN("",,INDEX({"M","A","Y"}, _xlfn.SORTBY({1,2,3}, -CHOOSE({1,2,3}, Tab_NewTRADER[[#This Row],[M]], Tab_NewTRADER[[#This Row],[A]], Tab_NewTRADER[[#This Row],[Agiotage]]))))</f>
        <v>MAY</v>
      </c>
      <c r="BR59" s="902" cm="1">
        <f t="array" aca="1" ref="BR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6.7702552719200934E-2</v>
      </c>
      <c r="BS59" s="679">
        <f ca="1">Tab_NewTRADER[[#This Row],[L_Sn]]*Tab_NewTRADER[[#This Row],[L_Sp]]+Tab_NewTRADER[[#This Row],[SellMore]]*Tab_NewTRADER[[#This Row],[M]]</f>
        <v>92916</v>
      </c>
      <c r="BT59" s="679">
        <f ca="1">INDEX(
  INDEX(TabConsolid[], , _xlfn.XMATCH(Tab_NewTRADER[[#This Row],[ClickTick]]&amp;1, TabConsolid[#Headers])),
  MATCH(
    -Tab_NewTRADER[[#This Row],[M]],
    INDEX(TabConsolid[], , _xlfn.XMATCH(Tab_NewTRADER[[#This Row],[ClickTick]]&amp;2, TabConsolid[#Headers])),
    -1
  )
)</f>
        <v>2000</v>
      </c>
      <c r="BU59" s="679" cm="1">
        <f t="array" aca="1" ref="BU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V59" s="1144">
        <f ca="1">Tab_NewTRADER[[#This Row],[ReBuy]]/(Tab_NewTRADER[[#This Row],[L_Sn]]+Tab_NewTRADER[[#This Row],[SellMore]])</f>
        <v>15.486000000000001</v>
      </c>
      <c r="BW59" s="687">
        <f ca="1">((_xlfn.XLOOKUP(Tab_NewTRADER[[#This Row],[ClickTick]],TabCalc[Ticker],TabCalc[NAfter])+Tab_NewTRADER[[#This Row],[L_Sn]])*(Tab_NewTRADER[[#This Row],[Agiotage]]-Tab_NewTRADER[[#This Row],[M]]))/(Tab_NewTRADER[[#This Row],[L_Sn]]*_xlfn.XLOOKUP(Tab_NewTRADER[[#This Row],[ClickTick]],TabCalc[Ticker],TabCalc[NAfter]))</f>
        <v>-4.2487672684989987E-3</v>
      </c>
      <c r="BX59" s="687">
        <f ca="1">(Tab_NewTRADER[[#This Row],[M]]-Tab_NewTRADER[[#This Row],[Agiotage]])/(Tab_NewTRADER[[#This Row],[M]]-Tab_NewTRADER[[#This Row],[A]])-1</f>
        <v>4.4833066921872096</v>
      </c>
      <c r="BY59" s="1262">
        <f ca="1">_xlfn.XMATCH(Tab_NewTRADER[[#This Row],[ClickTick]]&amp;1, TabConsolid[#Headers])</f>
        <v>173</v>
      </c>
      <c r="BZ59" t="b">
        <f ca="1">IF(ABS(Tab_NewTRADER[[#This Row],[L_Bp]])&gt;=Tab_NewTRADER[[#This Row],[M]],"OK")</f>
        <v>0</v>
      </c>
    </row>
    <row r="60" spans="1:78"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15"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F60" s="1182"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0" s="1530" t="str">
        <f ca="1">TEXT(MIN(Tab_NewTRADER[[#This Row],[L_Bn]],Tab_NewTRADER[[#This Row],[N]]),"#,#0")&amp;" x "&amp;TEXT(Tab_NewTRADER[[#This Row],[L_Bp]],"#,#0.#0")</f>
        <v>10,000 x -1.72</v>
      </c>
      <c r="AH60" s="1530" t="str" cm="1">
        <f t="array" aca="1" ref="AH60" ca="1">_xlfn.IFS(Tab_NewTRADER[[#This Row],[M_State]]=Sale_Back,Tab_NewTRADER[[#This Row],[Sale_Back_$]], TRUE,"M = "&amp;Tab_NewTRADER[[#This Row],[M]])</f>
        <v>M = 0.2012</v>
      </c>
      <c r="AI60" s="1433" cm="1">
        <f t="array" aca="1" ref="AI60" ca="1">IF(Tab_NewTRADER[[#This Row],[M_State]]=MUp,_xlfn.IFS(Tab_NewTRADER[[#This Row],[M_State]]=MUp,MIN(Tab_NewTRADER[[#This Row],[N]],Tab_NewTRADER[[#This Row],[L_Bn]])*(Tab_NewTRADER[[#This Row],[M]]-Tab_NewTRADER[[#This Row],[L_Sp]])*Tab_NewTRADER[[#This Row],[Scale]]*ComFactor, TRUE,0),0)</f>
        <v>0</v>
      </c>
      <c r="AJ60" s="1433" cm="1">
        <f t="array" aca="1" ref="AJ60" ca="1">_xlfn.IFS(Tab_NewTRADER[[#This Row],[M_State]]=MUp,                 MIN(Tab_NewTRADER[[#This Row],[L_Sn]],Tab_NewTRADER[[#This Row],[N]])*(Tab_NewTRADER[[#This Row],[M]]-Tab_NewTRADER[[#This Row],[A]])*Tab_NewTRADER[[#This Row],[Scale]]*ComFactor, TRUE,0)</f>
        <v>0</v>
      </c>
      <c r="AK60" s="1433" cm="1">
        <f t="array" aca="1" ref="AK60" ca="1">_xlfn.IFS(Tab_NewTRADER[[#This Row],[M_State]]=MUp,                  Tab_NewTRADER[[#This Row],[N]]*(Tab_NewTRADER[[#This Row],[M]]-Tab_NewTRADER[[#This Row],[A]])*Tab_NewTRADER[[#This Row],[Scale]]*ComFactor, TRUE,0)</f>
        <v>0</v>
      </c>
      <c r="AL60" s="1435" t="str">
        <f ca="1">TEXT(Tab_NewTRADER[[#This Row],[L_Sn]],"#,#0")&amp;" x "&amp;TEXT(Tab_NewTRADER[[#This Row],[L_Sp]],"#,#0.#0")</f>
        <v>0 x 0.0</v>
      </c>
      <c r="AM60" s="1465" t="str" cm="1">
        <f t="array" aca="1" ref="AM60" ca="1">_xlfn.IFS(Tab_NewTRADER[[#This Row],[M_State]]=RePurchaseGain,TEXT(-Tab_NewTRADER[[#This Row],[Buy_Back]],"#,#0")&amp;"       / "&amp;TEXT(Tab_NewTRADER[[#This Row],[Rev_Buy]],"#,#00.0)%"),TRUE,"M = "&amp;Tab_NewTRADER[[#This Row],[M]])</f>
        <v>M = 0.2012</v>
      </c>
      <c r="AN60" s="1435" t="str" cm="1">
        <f t="array" aca="1" ref="AN60" ca="1">_xlfn.IFS(Tab_NewTRADER[[#This Row],[M_State]]=MDown,TEXT(Tab_NewTRADER[[#This Row],[L_Sn]]*(Tab_NewTRADER[[#This Row],[M]]-Tab_NewTRADER[[#This Row],[L_Sp]])*ComFactor,"#,#0")&amp;"       / "&amp;TEXT((TabTRADER[[#This Row],[M]]-TabTRADER[[#This Row],[L_Sp]])/TabTRADER[[#This Row],[M]],"#,#00.0)%"),TRUE,0)</f>
        <v>0       / 100.0)%</v>
      </c>
      <c r="AO60" s="1486" t="str" cm="1">
        <f t="array" aca="1" ref="AO60" ca="1">_xlfn.IFS(Tab_NewTRADER[[#This Row],[M_State]]=MDown,TEXT(Tab_NewTRADER[[#This Row],[N]]*(Tab_NewTRADER[[#This Row],[M]]-Tab_NewTRADER[[#This Row],[A]])*Tab_NewTRADER[[#This Row],[Scale]]*ComFactor,"#,#0")&amp;"       / "&amp;TEXT((TabTRADER[[#This Row],[M]]-TabTRADER[[#This Row],[L_Bp]])/TabTRADER[[#This Row],[M]],"#,#00.0%"),TRUE,0)</f>
        <v>-28,571       / 954.9%</v>
      </c>
      <c r="AP60" s="1435" t="str" cm="1">
        <f t="array" aca="1" ref="AP60" ca="1">_xlfn.IFS(Tab_NewTRADER[[#This Row],[M_State]]=MDown,TEXT(Tab_NewTRADER[[#This Row],[N]]*Tab_NewTRADER[[#This Row],[M]],"#,#0")&amp;" @ "&amp;TEXT(Tab_NewTRADER[[#This Row],[A]],"#,#0.#0"),TRUE,"M = "&amp; Tab_NewTRADER[[#This Row],[M]])</f>
        <v>2,414 @ 2.59</v>
      </c>
      <c r="AQ60" s="1165">
        <f ca="1">Tab_NewTRADER[[#This Row],[N]]*(Tab_NewTRADER[[#This Row],[M]]-Tab_NewTRADER[[#This Row],[A]])*(1-Commission)*Tab_NewTRADER[[#This Row],[Scale]]</f>
        <v>-28571.121439999999</v>
      </c>
      <c r="AR60" s="1165">
        <f ca="1">Tab_NewTRADER[[#This Row],[M]]*Tab_NewTRADER[[#This Row],[N]]*(1-Commission)*Tab_NewTRADER[[#This Row],[Scale]]</f>
        <v>2408.1225599999998</v>
      </c>
      <c r="AS60" s="1174" cm="1">
        <f t="array" aca="1" ref="AS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0.92226658081133284</v>
      </c>
      <c r="AT60" s="1174" cm="1">
        <f t="array" aca="1" ref="AT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7.5461077534791254</v>
      </c>
      <c r="AU60" s="825" t="str" cm="1">
        <f t="array" aca="1" ref="AU60" ca="1">_xlfn.IFS(   Tab_NewTRADER[[#This Row],[M_State]]=SellMorePercentGain,                     MIN(Tab_NewTRADER[[#This Row],[L_Sn]],Tab_NewTRADER[[#This Row],[N]])*(Tab_NewTRADER[[#This Row],[M]]-Tab_NewTRADER[[#This Row],[L_Sp]])*(1-Commission)*Tab_NewTRADER[[#This Row],[Scale]],                    TRUE,"")</f>
        <v/>
      </c>
      <c r="AV60" s="1163">
        <f ca="1">_xlfn.XLOOKUP(Tab_NewTRADER[[#This Row],[ClickTick]],TabCalc[Ticker],TabCalc[Ann%RevLB])</f>
        <v>-1.0596279069767442</v>
      </c>
      <c r="AW60" s="1267">
        <f ca="1">_xlfn.XLOOKUP(Tab_NewTRADER[[#This Row],[ClickTick]],TabCalc[Ticker],TabCalc[Up20])</f>
        <v>0</v>
      </c>
      <c r="AX60" s="310" cm="1">
        <f t="array" aca="1" ref="AX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7.5487077534791256</v>
      </c>
      <c r="AY60" s="825" cm="1">
        <f t="array" aca="1" ref="AY60" ca="1">_xlfn.IFS(         Tab_NewTRADER[[#This Row],[M_State]]=MDown,Tab_NewTRADER[[#This Row],[L_Bn]]*Tab_NewTRADER[[#This Row],[M]]*(-(Tab_NewTRADER[[#This Row],[L_Bp]]+Tab_NewTRADER[[#This Row],[M]])/Tab_NewTRADER[[#This Row],[M]])*(1-Commission)*Tab_NewTRADER[[#This Row],[Scale]],                               TRUE,"")</f>
        <v>15148.511199999999</v>
      </c>
      <c r="AZ60" s="1174" cm="1">
        <f t="array" aca="1" ref="AZ60" ca="1">_xlfn.IFS(   Tab_NewTRADER[[#This Row],[M_State]]=MUp,Tab_NewTRADER[[#This Row],[TakeGain_A]]-Commission,        Tab_NewTRADER[[#This Row],[M_State]]=MDown,(Tab_NewTRADER[[#This Row],[A]]-Tab_NewTRADER[[#This Row],[M]])/Tab_NewTRADER[[#This Row],[M]]-Commission,                              TRUE,"")</f>
        <v>11.861879787939033</v>
      </c>
      <c r="BA60" s="825" cm="1">
        <f t="array" aca="1" ref="BA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28571.121439999999</v>
      </c>
      <c r="BB60" s="760" t="str" cm="1">
        <f t="array" aca="1" ref="BB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C60" s="736" cm="1">
        <f t="array" aca="1" ref="BC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D60" s="765" cm="1">
        <f t="array" aca="1" ref="BD60" ca="1">_xlfn.IFS(Tab_NewTRADER[[#This Row],[M_State]]=Sale_Back,"",         Tab_NewTRADER[[#This Row],[M_State]]=MDown, (Tab_NewTRADER[[#This Row],[M]]-Tab_NewTRADER[[#This Row],[A]])/Tab_NewTRADER[[#This Row],[A]]*ComFactor,             TRUE, IFERROR((Tab_NewTRADER[[#This Row],[M]]-Tab_NewTRADER[[#This Row],[A]])/Tab_NewTRADER[[#This Row],[A]]*ComFactor,""))</f>
        <v>-0.91986868770122332</v>
      </c>
      <c r="BE60" s="762" cm="1">
        <f t="array" aca="1" ref="BE60" ca="1">_xlfn.IFS(               Tab_NewTRADER[[#This Row],[M_State]]=NoStock,(Tab_NewTRADER[[#This Row],[L_Sp]]-Tab_NewTRADER[[#This Row],[M]])/Tab_NewTRADER[[#This Row],[M]]-Commission,             Tab_NewTRADER[[#This Row],[A]]&lt;&gt;0,(Tab_NewTRADER[[#This Row],[A]]-Tab_NewTRADER[[#This Row],[M]])/Tab_NewTRADER[[#This Row],[M]]-Commission)</f>
        <v>11.861879787939033</v>
      </c>
      <c r="BF60" s="324">
        <f ca="1">_xlfn.XLOOKUP(Tab_NewTRADER[[#This Row],[ClickTick]],TabCalc[Ticker],TabCalc[L_Sn])</f>
        <v>0</v>
      </c>
      <c r="BG60" s="728">
        <f ca="1">_xlfn.XLOOKUP(Tab_NewTRADER[[#This Row],[ClickTick]],TabCalc[Ticker],TabCalc[L_Sp])</f>
        <v>0</v>
      </c>
      <c r="BH60" s="764">
        <f ca="1">-IFERROR((Tab_NewTRADER[[#This Row],[M]]-Tab_NewTRADER[[#This Row],[L_Sp]])/Tab_NewTRADER[[#This Row],[L_Sp]],0)</f>
        <v>0</v>
      </c>
      <c r="BI60" s="729">
        <f ca="1">MIN(Tab_NewTRADER[[#This Row],[L_Sn]],Tab_NewTRADER[[#This Row],[N]])*(Tab_NewTRADER[[#This Row],[M]]-Tab_NewTRADER[[#This Row],[L_Sp]])*(1-Commission)*Tab_NewTRADER[[#This Row],[Scale]]</f>
        <v>0</v>
      </c>
      <c r="BJ60" s="692">
        <f ca="1">Tab_NewTRADER[[#This Row],[L_Sn]]*(Tab_NewTRADER[[#This Row],[Agiotage]]-Tab_NewTRADER[[#This Row],[M]])/(Tab_NewTRADER[[#This Row],[L_Bn]]*Tab_NewTRADER[[#This Row],[M]])</f>
        <v>0</v>
      </c>
      <c r="BK60" s="635">
        <f ca="1">IFERROR((Tab_NewTRADER[[#This Row],[M]]-Tab_NewTRADER[[#This Row],[A]])/Tab_NewTRADER[[#This Row],[A]],0)</f>
        <v>-0.92226658081133284</v>
      </c>
      <c r="BL60" s="638" t="str">
        <f ca="1">TEXT(_xlfn.XLOOKUP(Tab_NewTRADER[[#This Row],[ClickTick]],TabCalc[Ticker],TabCalc[NAfter]),"#,#0")&amp;" : "&amp;TEXT(_xlfn.XLOOKUP(Tab_NewTRADER[[#This Row],[ClickTick]],TabCalc[Ticker],TabCalc[NAfter])*(Tab_NewTRADER[[#This Row],[M]]-Tab_NewTRADER[[#This Row],[A]])*(1-Commission)*Tab_NewTRADER[[#This Row],[Scale]],"#,#0$")</f>
        <v>12,000 : -28,571$</v>
      </c>
      <c r="BM60" s="684">
        <f ca="1">_xlfn.XLOOKUP(Tab_NewTRADER[[#This Row],[ClickTick]],TabCalc[[#This Row],[Ticker]],TabCalc[[#This Row],[GL]])*(1-Commission)</f>
        <v>-28657.928593055996</v>
      </c>
      <c r="BN60" s="684"/>
      <c r="BO60" s="669" t="str">
        <f ca="1">Tab_NewTRADER[[#This Row],[ClickTick]]&amp;": "&amp;_xlfn.XLOOKUP(Tab_NewTRADER[[#This Row],[ClickTick]],TabCalc[Ticker],TabCalc[Pile?])</f>
        <v>MVEEPIX: Pile</v>
      </c>
      <c r="BP60" s="351" t="s">
        <v>1950</v>
      </c>
      <c r="BQ60" s="755" t="str" cm="1">
        <f t="array" aca="1" ref="BQ60" ca="1">_xlfn.TEXTJOIN("",,INDEX({"M","A","Y"}, _xlfn.SORTBY({1,2,3}, -CHOOSE({1,2,3}, Tab_NewTRADER[[#This Row],[M]], Tab_NewTRADER[[#This Row],[A]], Tab_NewTRADER[[#This Row],[Agiotage]]))))</f>
        <v>AYM</v>
      </c>
      <c r="BR60" s="902" cm="1">
        <f t="array" aca="1" ref="BR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7.5487077534791256</v>
      </c>
      <c r="BS60" s="679" t="e">
        <f ca="1">Tab_NewTRADER[[#This Row],[L_Sn]]*Tab_NewTRADER[[#This Row],[L_Sp]]+Tab_NewTRADER[[#This Row],[SellMore]]*Tab_NewTRADER[[#This Row],[M]]</f>
        <v>#N/A</v>
      </c>
      <c r="BT60" s="679" t="e">
        <f ca="1">INDEX(
  INDEX(TabConsolid[], , _xlfn.XMATCH(Tab_NewTRADER[[#This Row],[ClickTick]]&amp;1, TabConsolid[#Headers])),
  MATCH(
    -Tab_NewTRADER[[#This Row],[M]],
    INDEX(TabConsolid[], , _xlfn.XMATCH(Tab_NewTRADER[[#This Row],[ClickTick]]&amp;2, TabConsolid[#Headers])),
    -1
  )
)</f>
        <v>#N/A</v>
      </c>
      <c r="BU60" s="679" cm="1">
        <f t="array" aca="1" ref="BU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60" s="1144" t="e">
        <f ca="1">Tab_NewTRADER[[#This Row],[ReBuy]]/(Tab_NewTRADER[[#This Row],[L_Sn]]+Tab_NewTRADER[[#This Row],[SellMore]])</f>
        <v>#N/A</v>
      </c>
      <c r="BW60" s="687" t="e">
        <f ca="1">((_xlfn.XLOOKUP(Tab_NewTRADER[[#This Row],[ClickTick]],TabCalc[Ticker],TabCalc[NAfter])+Tab_NewTRADER[[#This Row],[L_Sn]])*(Tab_NewTRADER[[#This Row],[Agiotage]]-Tab_NewTRADER[[#This Row],[M]]))/(Tab_NewTRADER[[#This Row],[L_Sn]]*_xlfn.XLOOKUP(Tab_NewTRADER[[#This Row],[ClickTick]],TabCalc[Ticker],TabCalc[NAfter]))</f>
        <v>#DIV/0!</v>
      </c>
      <c r="BX60" s="687">
        <f ca="1">(Tab_NewTRADER[[#This Row],[M]]-Tab_NewTRADER[[#This Row],[Agiotage]])/(Tab_NewTRADER[[#This Row],[M]]-Tab_NewTRADER[[#This Row],[A]])-1</f>
        <v>-0.30834361903799523</v>
      </c>
      <c r="BY60" s="1262">
        <f ca="1">_xlfn.XMATCH(Tab_NewTRADER[[#This Row],[ClickTick]]&amp;1, TabConsolid[#Headers])</f>
        <v>176</v>
      </c>
      <c r="BZ60" t="str">
        <f ca="1">IF(ABS(Tab_NewTRADER[[#This Row],[L_Bp]])&gt;=Tab_NewTRADER[[#This Row],[M]],"OK")</f>
        <v>OK</v>
      </c>
    </row>
    <row r="61" spans="1:78"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+2,800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4,280$</v>
      </c>
      <c r="G61" s="225" t="str">
        <f ca="1">IFERROR(TRUNC(_xlfn.XLOOKUP(Tab_NewTRADER[[#This Row],[ClickTick]],TabCalc[Ticker],ListLastSalep),2)&amp;"x"&amp;_xlfn.XLOOKUP(Tab_NewTRADER[[#This Row],[ClickTick]],TabCalc[Ticker],ListLastSalen)&amp;"=   "&amp;TEXT(-_xlfn.XLOOKUP(Tab_NewTRADER[[#This Row],[ClickTick]],TabCalc[Ticker],ListReverseB),"#,#0")&amp;"$","")</f>
        <v>47.47x1000=   9,350$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16.5% = 0</v>
      </c>
      <c r="I61" s="226" t="str">
        <f ca="1">IFERROR(TRUNC(TabCalc[[#This Row],[L_S1p]],2)&amp;"x"&amp;TabCalc[[#This Row],[L_S1n]]&amp;"=   "&amp;TEXT(TabCalc[[#This Row],[ReverseB1]],"#,#0"),"")</f>
        <v>45.76x1000=   -11,060</v>
      </c>
      <c r="J61" s="295">
        <f ca="1">_xlfn.XLOOKUP(Tab_NewTRADER[[#This Row],[ClickTick]],TabCalc[Ticker],ListGravity)</f>
        <v>1.1384391059486096</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1.1777482661130008</v>
      </c>
      <c r="N61" s="324" cm="1">
        <f t="array" aca="1" ref="N61" ca="1">_xlfn.XLOOKUP(Tab_NewTRADER[[#This Row],[ClickTick]],ListTickers,Tab2RSIConventional[RSIConv20])</f>
        <v>36</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5.1832654572380545E-2</v>
      </c>
      <c r="S61" s="683">
        <f ca="1">_xlfn.XLOOKUP(Tab_NewTRADER[[#This Row],[ClickTick]],TabCalc[Ticker],TabCalc[Rev(MinStock)])*(1-Commission)</f>
        <v>2792.7199999999971</v>
      </c>
      <c r="T61" s="782">
        <f ca="1">_xlfn.XLOOKUP(Tab_NewTRADER[[#This Row],[ClickTick]],TabCalc[Ticker],TabCalc[Agiotage])</f>
        <v>1.1777482661130008</v>
      </c>
      <c r="U61" s="747"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2,800/2,800=&gt;0.6% / 0.6%</v>
      </c>
      <c r="V61" s="739" t="str">
        <f ca="1">_xlfn.XLOOKUP(Tab_NewTRADER[[#This Row],[ClickTick]],[1]!RTData[Ticker_Symbol],[1]!RTData[Currency])</f>
        <v>EUR</v>
      </c>
      <c r="W61" s="749">
        <f ca="1">_xlfn.XLOOKUP(Tab_NewTRADER[[#This Row],[ClickTick]],TabCalc[Ticker],TabCalc[M])</f>
        <v>56.82</v>
      </c>
      <c r="X61" s="1315"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6.0200000000000002E-3</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^99K / 398 K$</v>
      </c>
      <c r="AF61" s="1182"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61" s="1530" t="str">
        <f ca="1">TEXT(MIN(Tab_NewTRADER[[#This Row],[L_Bn]],Tab_NewTRADER[[#This Row],[N]]),"#,#0")&amp;" x "&amp;TEXT(Tab_NewTRADER[[#This Row],[L_Bp]],"#,#0.#0")</f>
        <v>1,000 x -54.02</v>
      </c>
      <c r="AH61" s="1530" cm="1">
        <f t="array" aca="1" ref="AH61" ca="1">_xlfn.IFS(Tab_NewTRADER[[#This Row],[M_State]]=Sale_Back,Tab_NewTRADER[[#This Row],[Sale_Back_$]], TRUE,"M = "&amp;Tab_NewTRADER[[#This Row],[M]])</f>
        <v>2792.7199999999971</v>
      </c>
      <c r="AI61" s="1434" cm="1">
        <f t="array" aca="1" ref="AI61" ca="1">IF(Tab_NewTRADER[[#This Row],[M_State]]=MUp,_xlfn.IFS(Tab_NewTRADER[[#This Row],[M_State]]=MUp,MIN(Tab_NewTRADER[[#This Row],[N]],Tab_NewTRADER[[#This Row],[L_Bn]])*(Tab_NewTRADER[[#This Row],[M]]-Tab_NewTRADER[[#This Row],[L_Sp]])*Tab_NewTRADER[[#This Row],[Scale]]*ComFactor, TRUE,0),0)</f>
        <v>0</v>
      </c>
      <c r="AJ61" s="1434" cm="1">
        <f t="array" aca="1" ref="AJ61" ca="1">_xlfn.IFS(Tab_NewTRADER[[#This Row],[M_State]]=MUp,                 MIN(Tab_NewTRADER[[#This Row],[L_Sn]],Tab_NewTRADER[[#This Row],[N]])*(Tab_NewTRADER[[#This Row],[M]]-Tab_NewTRADER[[#This Row],[A]])*Tab_NewTRADER[[#This Row],[Scale]]*ComFactor, TRUE,0)</f>
        <v>0</v>
      </c>
      <c r="AK61" s="1434" cm="1">
        <f t="array" aca="1" ref="AK61" ca="1">_xlfn.IFS(Tab_NewTRADER[[#This Row],[M_State]]=MUp,                  Tab_NewTRADER[[#This Row],[N]]*(Tab_NewTRADER[[#This Row],[M]]-Tab_NewTRADER[[#This Row],[A]])*Tab_NewTRADER[[#This Row],[Scale]]*ComFactor, TRUE,0)</f>
        <v>0</v>
      </c>
      <c r="AL61" s="1435" t="str">
        <f ca="1">TEXT(Tab_NewTRADER[[#This Row],[L_Sn]],"#,#0")&amp;" x "&amp;TEXT(Tab_NewTRADER[[#This Row],[L_Sp]],"#,#0.#0")</f>
        <v>1,000 x 47.47</v>
      </c>
      <c r="AM61" s="1465" t="str" cm="1">
        <f t="array" aca="1" ref="AM61" ca="1">_xlfn.IFS(Tab_NewTRADER[[#This Row],[M_State]]=RePurchaseGain,TEXT(-Tab_NewTRADER[[#This Row],[Buy_Back]],"#,#0")&amp;"       / "&amp;TEXT(Tab_NewTRADER[[#This Row],[Rev_Buy]],"#,#00.0)%"),TRUE,"M = "&amp;Tab_NewTRADER[[#This Row],[M]])</f>
        <v>M = 56.82</v>
      </c>
      <c r="AN61" s="1435" cm="1">
        <f t="array" aca="1" ref="AN61" ca="1">_xlfn.IFS(Tab_NewTRADER[[#This Row],[M_State]]=MDown,TEXT(Tab_NewTRADER[[#This Row],[L_Sn]]*(Tab_NewTRADER[[#This Row],[M]]-Tab_NewTRADER[[#This Row],[L_Sp]])*ComFactor,"#,#0")&amp;"       / "&amp;TEXT((TabTRADER[[#This Row],[M]]-TabTRADER[[#This Row],[L_Sp]])/TabTRADER[[#This Row],[M]],"#,#00.0)%"),TRUE,0)</f>
        <v>0</v>
      </c>
      <c r="AO61" s="1486" cm="1">
        <f t="array" aca="1" ref="AO61" ca="1">_xlfn.IFS(Tab_NewTRADER[[#This Row],[M_State]]=MDown,TEXT(Tab_NewTRADER[[#This Row],[N]]*(Tab_NewTRADER[[#This Row],[M]]-Tab_NewTRADER[[#This Row],[A]])*Tab_NewTRADER[[#This Row],[Scale]]*ComFactor,"#,#0")&amp;"       / "&amp;TEXT((TabTRADER[[#This Row],[M]]-TabTRADER[[#This Row],[L_Bp]])/TabTRADER[[#This Row],[M]],"#,#00.0%"),TRUE,0)</f>
        <v>0</v>
      </c>
      <c r="AP61" s="1435" t="str" cm="1">
        <f t="array" aca="1" ref="AP61" ca="1">_xlfn.IFS(Tab_NewTRADER[[#This Row],[M_State]]=MDown,TEXT(Tab_NewTRADER[[#This Row],[N]]*Tab_NewTRADER[[#This Row],[M]],"#,#0")&amp;" @ "&amp;TEXT(Tab_NewTRADER[[#This Row],[A]],"#,#0.#0"),TRUE,"M = "&amp; Tab_NewTRADER[[#This Row],[M]])</f>
        <v>M = 56.82</v>
      </c>
      <c r="AQ61" s="1165">
        <f ca="1">Tab_NewTRADER[[#This Row],[N]]*(Tab_NewTRADER[[#This Row],[M]]-Tab_NewTRADER[[#This Row],[A]])*(1-Commission)*Tab_NewTRADER[[#This Row],[Scale]]</f>
        <v>8093.9010000000089</v>
      </c>
      <c r="AR61" s="1165">
        <f ca="1">Tab_NewTRADER[[#This Row],[M]]*Tab_NewTRADER[[#This Row],[N]]*(1-Commission)*Tab_NewTRADER[[#This Row],[Scale]]</f>
        <v>396705.87599999999</v>
      </c>
      <c r="AS61" s="1174" cm="1">
        <f t="array" aca="1" ref="AS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5.1832654572380545E-2</v>
      </c>
      <c r="AT61" s="1174" t="str" cm="1">
        <f t="array" aca="1" ref="AT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1" s="825" t="str" cm="1">
        <f t="array" aca="1" ref="AU61" ca="1">_xlfn.IFS(   Tab_NewTRADER[[#This Row],[M_State]]=SellMorePercentGain,                     MIN(Tab_NewTRADER[[#This Row],[L_Sn]],Tab_NewTRADER[[#This Row],[N]])*(Tab_NewTRADER[[#This Row],[M]]-Tab_NewTRADER[[#This Row],[L_Sp]])*(1-Commission)*Tab_NewTRADER[[#This Row],[Scale]],                    TRUE,"")</f>
        <v/>
      </c>
      <c r="AV61" s="1180">
        <f ca="1">_xlfn.XLOOKUP(Tab_NewTRADER[[#This Row],[ClickTick]],TabCalc[Ticker],TabCalc[Ann%RevLB])</f>
        <v>0.5654471407896059</v>
      </c>
      <c r="AW61" s="1266">
        <f ca="1">_xlfn.XLOOKUP(Tab_NewTRADER[[#This Row],[ClickTick]],TabCalc[Ticker],TabCalc[Up20])</f>
        <v>0</v>
      </c>
      <c r="AX61" s="310" t="str" cm="1">
        <f t="array" aca="1" ref="AX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1" s="825" t="str" cm="1">
        <f t="array" aca="1" ref="AY61" ca="1">_xlfn.IFS(         Tab_NewTRADER[[#This Row],[M_State]]=MDown,Tab_NewTRADER[[#This Row],[L_Bn]]*Tab_NewTRADER[[#This Row],[M]]*(-(Tab_NewTRADER[[#This Row],[L_Bp]]+Tab_NewTRADER[[#This Row],[M]])/Tab_NewTRADER[[#This Row],[M]])*(1-Commission)*Tab_NewTRADER[[#This Row],[Scale]],                               TRUE,"")</f>
        <v/>
      </c>
      <c r="AZ61" s="1174" t="str" cm="1">
        <f t="array" aca="1" ref="AZ61" ca="1">_xlfn.IFS(   Tab_NewTRADER[[#This Row],[M_State]]=MUp,Tab_NewTRADER[[#This Row],[TakeGain_A]]-Commission,        Tab_NewTRADER[[#This Row],[M_State]]=MDown,(Tab_NewTRADER[[#This Row],[A]]-Tab_NewTRADER[[#This Row],[M]])/Tab_NewTRADER[[#This Row],[M]]-Commission,                              TRUE,"")</f>
        <v/>
      </c>
      <c r="BA61" s="825" cm="1">
        <f t="array" aca="1" ref="BA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8262.4784953224334</v>
      </c>
      <c r="BB61" s="760" t="str" cm="1">
        <f t="array" aca="1" ref="BB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61" s="736" t="str" cm="1">
        <f t="array" aca="1" ref="BC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61" s="765" t="str" cm="1">
        <f t="array" aca="1" ref="BD61" ca="1">_xlfn.IFS(Tab_NewTRADER[[#This Row],[M_State]]=Sale_Back,"",         Tab_NewTRADER[[#This Row],[M_State]]=MDown, (Tab_NewTRADER[[#This Row],[M]]-Tab_NewTRADER[[#This Row],[A]])/Tab_NewTRADER[[#This Row],[A]]*ComFactor,             TRUE, IFERROR((Tab_NewTRADER[[#This Row],[M]]-Tab_NewTRADER[[#This Row],[A]])/Tab_NewTRADER[[#This Row],[A]]*ComFactor,""))</f>
        <v/>
      </c>
      <c r="BE61" s="762" cm="1">
        <f t="array" aca="1" ref="BE61" ca="1">_xlfn.IFS(               Tab_NewTRADER[[#This Row],[M_State]]=NoStock,(Tab_NewTRADER[[#This Row],[L_Sp]]-Tab_NewTRADER[[#This Row],[M]])/Tab_NewTRADER[[#This Row],[M]]-Commission,             Tab_NewTRADER[[#This Row],[A]]&lt;&gt;0,(Tab_NewTRADER[[#This Row],[A]]-Tab_NewTRADER[[#This Row],[M]])/Tab_NewTRADER[[#This Row],[M]]-Commission)</f>
        <v>-2.3002775682606752E-2</v>
      </c>
      <c r="BF61" s="324">
        <f ca="1">_xlfn.XLOOKUP(Tab_NewTRADER[[#This Row],[ClickTick]],TabCalc[Ticker],TabCalc[L_Sn])</f>
        <v>1000</v>
      </c>
      <c r="BG61" s="728">
        <f ca="1">_xlfn.XLOOKUP(Tab_NewTRADER[[#This Row],[ClickTick]],TabCalc[Ticker],TabCalc[L_Sp])</f>
        <v>47.47</v>
      </c>
      <c r="BH61" s="764">
        <f ca="1">-IFERROR((Tab_NewTRADER[[#This Row],[M]]-Tab_NewTRADER[[#This Row],[L_Sp]])/Tab_NewTRADER[[#This Row],[L_Sp]],0)</f>
        <v>-0.19696650516115444</v>
      </c>
      <c r="BI61" s="729">
        <f ca="1">MIN(Tab_NewTRADER[[#This Row],[L_Sn]],Tab_NewTRADER[[#This Row],[N]])*(Tab_NewTRADER[[#This Row],[M]]-Tab_NewTRADER[[#This Row],[L_Sp]])*(1-Commission)*Tab_NewTRADER[[#This Row],[Scale]]</f>
        <v>9325.69</v>
      </c>
      <c r="BJ61" s="692">
        <f ca="1">Tab_NewTRADER[[#This Row],[L_Sn]]*(Tab_NewTRADER[[#This Row],[Agiotage]]-Tab_NewTRADER[[#This Row],[M]])/(Tab_NewTRADER[[#This Row],[L_Bn]]*Tab_NewTRADER[[#This Row],[M]])</f>
        <v>-0.97927229380300951</v>
      </c>
      <c r="BK61" s="635">
        <f ca="1">IFERROR((Tab_NewTRADER[[#This Row],[M]]-Tab_NewTRADER[[#This Row],[A]])/Tab_NewTRADER[[#This Row],[A]],0)</f>
        <v>2.0827718960539005E-2</v>
      </c>
      <c r="BL61" s="638" t="str">
        <f ca="1">TEXT(_xlfn.XLOOKUP(Tab_NewTRADER[[#This Row],[ClickTick]],TabCalc[Ticker],TabCalc[NAfter]),"#,#0")&amp;" : "&amp;TEXT(_xlfn.XLOOKUP(Tab_NewTRADER[[#This Row],[ClickTick]],TabCalc[Ticker],TabCalc[NAfter])*(Tab_NewTRADER[[#This Row],[M]]-Tab_NewTRADER[[#This Row],[A]])*(1-Commission)*Tab_NewTRADER[[#This Row],[Scale]],"#,#0$")</f>
        <v>7,000 : 8,094$</v>
      </c>
      <c r="BM61" s="684">
        <f ca="1">_xlfn.XLOOKUP(Tab_NewTRADER[[#This Row],[ClickTick]],TabCalc[[#This Row],[Ticker]],TabCalc[[#This Row],[GL]])*(1-Commission)</f>
        <v>99085.495677222003</v>
      </c>
      <c r="BN61" s="684"/>
      <c r="BO61" s="669" t="str">
        <f ca="1">Tab_NewTRADER[[#This Row],[ClickTick]]&amp;": "&amp;_xlfn.XLOOKUP(Tab_NewTRADER[[#This Row],[ClickTick]],TabCalc[Ticker],TabCalc[Pile?])</f>
        <v>MVEGLE: Pile</v>
      </c>
      <c r="BP61" s="351" t="s">
        <v>1951</v>
      </c>
      <c r="BQ61" s="755" t="str" cm="1">
        <f t="array" aca="1" ref="BQ61" ca="1">_xlfn.TEXTJOIN("",,INDEX({"M","A","Y"}, _xlfn.SORTBY({1,2,3}, -CHOOSE({1,2,3}, Tab_NewTRADER[[#This Row],[M]], Tab_NewTRADER[[#This Row],[A]], Tab_NewTRADER[[#This Row],[Agiotage]]))))</f>
        <v>MAY</v>
      </c>
      <c r="BR61" s="902" t="str" cm="1">
        <f t="array" aca="1" ref="BR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1" s="679">
        <f ca="1">Tab_NewTRADER[[#This Row],[L_Sn]]*Tab_NewTRADER[[#This Row],[L_Sp]]+Tab_NewTRADER[[#This Row],[SellMore]]*Tab_NewTRADER[[#This Row],[M]]</f>
        <v>161110</v>
      </c>
      <c r="BT61" s="679">
        <f ca="1">INDEX(
  INDEX(TabConsolid[], , _xlfn.XMATCH(Tab_NewTRADER[[#This Row],[ClickTick]]&amp;1, TabConsolid[#Headers])),
  MATCH(
    -Tab_NewTRADER[[#This Row],[M]],
    INDEX(TabConsolid[], , _xlfn.XMATCH(Tab_NewTRADER[[#This Row],[ClickTick]]&amp;2, TabConsolid[#Headers])),
    -1
  )
)</f>
        <v>2000</v>
      </c>
      <c r="BU61" s="679" cm="1">
        <f t="array" aca="1" ref="BU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61" s="1144">
        <f ca="1">Tab_NewTRADER[[#This Row],[ReBuy]]/(Tab_NewTRADER[[#This Row],[L_Sn]]+Tab_NewTRADER[[#This Row],[SellMore]])</f>
        <v>53.703333333333333</v>
      </c>
      <c r="BW61" s="687">
        <f ca="1">((_xlfn.XLOOKUP(Tab_NewTRADER[[#This Row],[ClickTick]],TabCalc[Ticker],TabCalc[NAfter])+Tab_NewTRADER[[#This Row],[L_Sn]])*(Tab_NewTRADER[[#This Row],[Agiotage]]-Tab_NewTRADER[[#This Row],[M]]))/(Tab_NewTRADER[[#This Row],[L_Sn]]*_xlfn.XLOOKUP(Tab_NewTRADER[[#This Row],[ClickTick]],TabCalc[Ticker],TabCalc[NAfter]))</f>
        <v>-6.3591144838728006E-2</v>
      </c>
      <c r="BX61" s="687">
        <f ca="1">(Tab_NewTRADER[[#This Row],[M]]-Tab_NewTRADER[[#This Row],[Agiotage]])/(Tab_NewTRADER[[#This Row],[M]]-Tab_NewTRADER[[#This Row],[A]])-1</f>
        <v>46.997013202367043</v>
      </c>
      <c r="BY61" s="1262">
        <f ca="1">_xlfn.XMATCH(Tab_NewTRADER[[#This Row],[ClickTick]]&amp;1, TabConsolid[#Headers])</f>
        <v>179</v>
      </c>
      <c r="BZ61" t="b">
        <f ca="1">IF(ABS(Tab_NewTRADER[[#This Row],[L_Bp]])&gt;=Tab_NewTRADER[[#This Row],[M]],"OK")</f>
        <v>0</v>
      </c>
    </row>
    <row r="62" spans="1:78"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-1,710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3,540$</v>
      </c>
      <c r="G62" s="225" t="str">
        <f ca="1">IFERROR(TRUNC(_xlfn.XLOOKUP(Tab_NewTRADER[[#This Row],[ClickTick]],TabCalc[Ticker],ListLastSalep),2)&amp;"x"&amp;_xlfn.XLOOKUP(Tab_NewTRADER[[#This Row],[ClickTick]],TabCalc[Ticker],ListLastSalen)&amp;"=   "&amp;TEXT(-_xlfn.XLOOKUP(Tab_NewTRADER[[#This Row],[ClickTick]],TabCalc[Ticker],ListReverseB),"#,#0")&amp;"$","")</f>
        <v>13.74x1200=   42$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62" s="226" t="str">
        <f ca="1">IFERROR(TRUNC(TabCalc[[#This Row],[L_S1p]],2)&amp;"x"&amp;TabCalc[[#This Row],[L_S1n]]&amp;"=   "&amp;TEXT(TabCalc[[#This Row],[ReverseB1]],"#,#0"),"")</f>
        <v>13.93x2000=   300</v>
      </c>
      <c r="J62" s="295">
        <f ca="1">_xlfn.XLOOKUP(Tab_NewTRADER[[#This Row],[ClickTick]],TabCalc[Ticker],ListGravity)</f>
        <v>1.1119172714078376</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172250</v>
      </c>
      <c r="M62" s="323">
        <f ca="1">_xlfn.XLOOKUP(Tab_NewTRADER[[#This Row],[ClickTick]],TabCalc[Ticker],TabCalc[Agiotage])</f>
        <v>1.2898279166741773</v>
      </c>
      <c r="N62" s="324" cm="1">
        <f t="array" aca="1" ref="N62" ca="1">_xlfn.XLOOKUP(Tab_NewTRADER[[#This Row],[ClickTick]],ListTickers,Tab2RSIConventional[RSIConv20])</f>
        <v>34</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-3.972125435540072E-2</v>
      </c>
      <c r="S62" s="683">
        <f ca="1">_xlfn.XLOOKUP(Tab_NewTRADER[[#This Row],[ClickTick]],TabCalc[Ticker],TabCalc[Rev(MinStock)])*(1-Commission)</f>
        <v>-1705.5540000000008</v>
      </c>
      <c r="T62" s="782">
        <f ca="1">_xlfn.XLOOKUP(Tab_NewTRADER[[#This Row],[ClickTick]],TabCalc[Ticker],TabCalc[Agiotage])</f>
        <v>1.2898279166741773</v>
      </c>
      <c r="U62" s="747"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-4,257/-4,257=&gt;-1.3% / -1.3%</v>
      </c>
      <c r="V62" s="739" t="str">
        <f ca="1">_xlfn.XLOOKUP(Tab_NewTRADER[[#This Row],[ClickTick]],[1]!RTData[Ticker_Symbol],[1]!RTData[Currency])</f>
        <v>EUR</v>
      </c>
      <c r="W62" s="749">
        <f ca="1">_xlfn.XLOOKUP(Tab_NewTRADER[[#This Row],[ClickTick]],TabCalc[Ticker],TabCalc[M])</f>
        <v>13.78</v>
      </c>
      <c r="X62" s="1315"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-1.2894000000000001E-2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^93K / 273 K$</v>
      </c>
      <c r="AF62" s="1182"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2" s="1530" t="str">
        <f ca="1">TEXT(MIN(Tab_NewTRADER[[#This Row],[L_Bn]],Tab_NewTRADER[[#This Row],[N]]),"#,#0")&amp;" x "&amp;TEXT(Tab_NewTRADER[[#This Row],[L_Bp]],"#,#0.#0")</f>
        <v>3,000 x -14.35</v>
      </c>
      <c r="AH62" s="1530" t="str" cm="1">
        <f t="array" aca="1" ref="AH62" ca="1">_xlfn.IFS(Tab_NewTRADER[[#This Row],[M_State]]=Sale_Back,Tab_NewTRADER[[#This Row],[Sale_Back_$]], TRUE,"M = "&amp;Tab_NewTRADER[[#This Row],[M]])</f>
        <v>M = 13.78</v>
      </c>
      <c r="AI62" s="1433" cm="1">
        <f t="array" aca="1" ref="AI62" ca="1">IF(Tab_NewTRADER[[#This Row],[M_State]]=MUp,_xlfn.IFS(Tab_NewTRADER[[#This Row],[M_State]]=MUp,MIN(Tab_NewTRADER[[#This Row],[N]],Tab_NewTRADER[[#This Row],[L_Bn]])*(Tab_NewTRADER[[#This Row],[M]]-Tab_NewTRADER[[#This Row],[L_Sp]])*Tab_NewTRADER[[#This Row],[Scale]]*ComFactor, TRUE,0),0)</f>
        <v>104.72700000000042</v>
      </c>
      <c r="AJ62" s="1433" cm="1">
        <f t="array" aca="1" ref="AJ62" ca="1">_xlfn.IFS(Tab_NewTRADER[[#This Row],[M_State]]=MUp,                 MIN(Tab_NewTRADER[[#This Row],[L_Sn]],Tab_NewTRADER[[#This Row],[N]])*(Tab_NewTRADER[[#This Row],[M]]-Tab_NewTRADER[[#This Row],[A]])*Tab_NewTRADER[[#This Row],[Scale]]*ComFactor, TRUE,0)</f>
        <v>1992.9865454545443</v>
      </c>
      <c r="AK62" s="1433" cm="1">
        <f t="array" aca="1" ref="AK62" ca="1">_xlfn.IFS(Tab_NewTRADER[[#This Row],[M_State]]=MUp,                  Tab_NewTRADER[[#This Row],[N]]*(Tab_NewTRADER[[#This Row],[M]]-Tab_NewTRADER[[#This Row],[A]])*Tab_NewTRADER[[#This Row],[Scale]]*ComFactor, TRUE,0)</f>
        <v>32884.277999999977</v>
      </c>
      <c r="AL62" s="1435" t="str">
        <f ca="1">TEXT(Tab_NewTRADER[[#This Row],[L_Sn]],"#,#0")&amp;" x "&amp;TEXT(Tab_NewTRADER[[#This Row],[L_Sp]],"#,#0.#0")</f>
        <v>1,200 x 13.75</v>
      </c>
      <c r="AM62" s="1465" t="str" cm="1">
        <f t="array" aca="1" ref="AM62" ca="1">_xlfn.IFS(Tab_NewTRADER[[#This Row],[M_State]]=RePurchaseGain,TEXT(-Tab_NewTRADER[[#This Row],[Buy_Back]],"#,#0")&amp;"       / "&amp;TEXT(Tab_NewTRADER[[#This Row],[Rev_Buy]],"#,#00.0)%"),TRUE,"M = "&amp;Tab_NewTRADER[[#This Row],[M]])</f>
        <v>M = 13.78</v>
      </c>
      <c r="AN62" s="1435" cm="1">
        <f t="array" aca="1" ref="AN62" ca="1">_xlfn.IFS(Tab_NewTRADER[[#This Row],[M_State]]=MDown,TEXT(Tab_NewTRADER[[#This Row],[L_Sn]]*(Tab_NewTRADER[[#This Row],[M]]-Tab_NewTRADER[[#This Row],[L_Sp]])*ComFactor,"#,#0")&amp;"       / "&amp;TEXT((TabTRADER[[#This Row],[M]]-TabTRADER[[#This Row],[L_Sp]])/TabTRADER[[#This Row],[M]],"#,#00.0)%"),TRUE,0)</f>
        <v>0</v>
      </c>
      <c r="AO62" s="1486" cm="1">
        <f t="array" aca="1" ref="AO62" ca="1">_xlfn.IFS(Tab_NewTRADER[[#This Row],[M_State]]=MDown,TEXT(Tab_NewTRADER[[#This Row],[N]]*(Tab_NewTRADER[[#This Row],[M]]-Tab_NewTRADER[[#This Row],[A]])*Tab_NewTRADER[[#This Row],[Scale]]*ComFactor,"#,#0")&amp;"       / "&amp;TEXT((TabTRADER[[#This Row],[M]]-TabTRADER[[#This Row],[L_Bp]])/TabTRADER[[#This Row],[M]],"#,#00.0%"),TRUE,0)</f>
        <v>0</v>
      </c>
      <c r="AP62" s="1435" t="str" cm="1">
        <f t="array" aca="1" ref="AP62" ca="1">_xlfn.IFS(Tab_NewTRADER[[#This Row],[M_State]]=MDown,TEXT(Tab_NewTRADER[[#This Row],[N]]*Tab_NewTRADER[[#This Row],[M]],"#,#0")&amp;" @ "&amp;TEXT(Tab_NewTRADER[[#This Row],[A]],"#,#0.#0"),TRUE,"M = "&amp; Tab_NewTRADER[[#This Row],[M]])</f>
        <v>M = 13.78</v>
      </c>
      <c r="AQ62" s="1165">
        <f ca="1">Tab_NewTRADER[[#This Row],[N]]*(Tab_NewTRADER[[#This Row],[M]]-Tab_NewTRADER[[#This Row],[A]])*(1-Commission)*Tab_NewTRADER[[#This Row],[Scale]]</f>
        <v>32884.277999999977</v>
      </c>
      <c r="AR62" s="1165">
        <f ca="1">Tab_NewTRADER[[#This Row],[M]]*Tab_NewTRADER[[#This Row],[N]]*(1-Commission)*Tab_NewTRADER[[#This Row],[Scale]]</f>
        <v>272134.60560000001</v>
      </c>
      <c r="AS62" s="1174" cm="1">
        <f t="array" aca="1" ref="AS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0.13744715975887331</v>
      </c>
      <c r="AT62" s="1174" cm="1">
        <f t="array" aca="1" ref="AT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-6.0087082728581698E-5</v>
      </c>
      <c r="AU62" s="825" cm="1">
        <f t="array" aca="1" ref="AU62" ca="1">_xlfn.IFS(   Tab_NewTRADER[[#This Row],[M_State]]=SellMorePercentGain,                     MIN(Tab_NewTRADER[[#This Row],[L_Sn]],Tab_NewTRADER[[#This Row],[N]])*(Tab_NewTRADER[[#This Row],[M]]-Tab_NewTRADER[[#This Row],[L_Sp]])*(1-Commission)*Tab_NewTRADER[[#This Row],[Scale]],                    TRUE,"")</f>
        <v>41.890800000000169</v>
      </c>
      <c r="AV62" s="1180">
        <f ca="1">_xlfn.XLOOKUP(Tab_NewTRADER[[#This Row],[ClickTick]],TabCalc[Ticker],TabCalc[Ann%RevLB])</f>
        <v>-0.14895470383275269</v>
      </c>
      <c r="AW62" s="1266">
        <f ca="1">_xlfn.XLOOKUP(Tab_NewTRADER[[#This Row],[ClickTick]],TabCalc[Ticker],TabCalc[Up20])</f>
        <v>0</v>
      </c>
      <c r="AX62" s="310" t="str" cm="1">
        <f t="array" aca="1" ref="AX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2" s="825" t="str" cm="1">
        <f t="array" aca="1" ref="AY62" ca="1">_xlfn.IFS(         Tab_NewTRADER[[#This Row],[M_State]]=MDown,Tab_NewTRADER[[#This Row],[L_Bn]]*Tab_NewTRADER[[#This Row],[M]]*(-(Tab_NewTRADER[[#This Row],[L_Bp]]+Tab_NewTRADER[[#This Row],[M]])/Tab_NewTRADER[[#This Row],[M]])*(1-Commission)*Tab_NewTRADER[[#This Row],[Scale]],                               TRUE,"")</f>
        <v/>
      </c>
      <c r="AZ62" s="1174" cm="1">
        <f t="array" aca="1" ref="AZ62" ca="1">_xlfn.IFS(   Tab_NewTRADER[[#This Row],[M_State]]=MUp,Tab_NewTRADER[[#This Row],[TakeGain_A]]-Commission,        Tab_NewTRADER[[#This Row],[M_State]]=MDown,(Tab_NewTRADER[[#This Row],[A]]-Tab_NewTRADER[[#This Row],[M]])/Tab_NewTRADER[[#This Row],[M]]-Commission,                              TRUE,"")</f>
        <v>0.13484715975887332</v>
      </c>
      <c r="BA62" s="825" cm="1">
        <f t="array" aca="1" ref="BA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37404.128611821179</v>
      </c>
      <c r="BB62" s="760" t="str" cm="1">
        <f t="array" aca="1" ref="BB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C62" s="736" t="str" cm="1">
        <f t="array" aca="1" ref="BC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3,000x1.66</v>
      </c>
      <c r="BD62" s="765" cm="1">
        <f t="array" aca="1" ref="BD62" ca="1">_xlfn.IFS(Tab_NewTRADER[[#This Row],[M_State]]=Sale_Back,"",         Tab_NewTRADER[[#This Row],[M_State]]=MDown, (Tab_NewTRADER[[#This Row],[M]]-Tab_NewTRADER[[#This Row],[A]])/Tab_NewTRADER[[#This Row],[A]]*ComFactor,             TRUE, IFERROR((Tab_NewTRADER[[#This Row],[M]]-Tab_NewTRADER[[#This Row],[A]])/Tab_NewTRADER[[#This Row],[A]]*ComFactor,""))</f>
        <v>0.13708979714350022</v>
      </c>
      <c r="BE62" s="762" cm="1">
        <f t="array" aca="1" ref="BE62" ca="1">_xlfn.IFS(               Tab_NewTRADER[[#This Row],[M_State]]=NoStock,(Tab_NewTRADER[[#This Row],[L_Sp]]-Tab_NewTRADER[[#This Row],[M]])/Tab_NewTRADER[[#This Row],[M]]-Commission,             Tab_NewTRADER[[#This Row],[A]]&lt;&gt;0,(Tab_NewTRADER[[#This Row],[A]]-Tab_NewTRADER[[#This Row],[M]])/Tab_NewTRADER[[#This Row],[M]]-Commission)</f>
        <v>-0.12343828121563964</v>
      </c>
      <c r="BF62" s="324">
        <f ca="1">_xlfn.XLOOKUP(Tab_NewTRADER[[#This Row],[ClickTick]],TabCalc[Ticker],TabCalc[L_Sn])</f>
        <v>1200</v>
      </c>
      <c r="BG62" s="728">
        <f ca="1">_xlfn.XLOOKUP(Tab_NewTRADER[[#This Row],[ClickTick]],TabCalc[Ticker],TabCalc[L_Sp])</f>
        <v>13.744999999999999</v>
      </c>
      <c r="BH62" s="764">
        <f ca="1">-IFERROR((Tab_NewTRADER[[#This Row],[M]]-Tab_NewTRADER[[#This Row],[L_Sp]])/Tab_NewTRADER[[#This Row],[L_Sp]],0)</f>
        <v>-2.5463805020007379E-3</v>
      </c>
      <c r="BI62" s="729">
        <f ca="1">MIN(Tab_NewTRADER[[#This Row],[L_Sn]],Tab_NewTRADER[[#This Row],[N]])*(Tab_NewTRADER[[#This Row],[M]]-Tab_NewTRADER[[#This Row],[L_Sp]])*(1-Commission)*Tab_NewTRADER[[#This Row],[Scale]]</f>
        <v>41.890800000000169</v>
      </c>
      <c r="BJ62" s="692">
        <f ca="1">Tab_NewTRADER[[#This Row],[L_Sn]]*(Tab_NewTRADER[[#This Row],[Agiotage]]-Tab_NewTRADER[[#This Row],[M]])/(Tab_NewTRADER[[#This Row],[L_Bn]]*Tab_NewTRADER[[#This Row],[M]])</f>
        <v>-0.36255942186722273</v>
      </c>
      <c r="BK62" s="635">
        <f ca="1">IFERROR((Tab_NewTRADER[[#This Row],[M]]-Tab_NewTRADER[[#This Row],[A]])/Tab_NewTRADER[[#This Row],[A]],0)</f>
        <v>0.13744715975887331</v>
      </c>
      <c r="BL62" s="638" t="str">
        <f ca="1">TEXT(_xlfn.XLOOKUP(Tab_NewTRADER[[#This Row],[ClickTick]],TabCalc[Ticker],TabCalc[NAfter]),"#,#0")&amp;" : "&amp;TEXT(_xlfn.XLOOKUP(Tab_NewTRADER[[#This Row],[ClickTick]],TabCalc[Ticker],TabCalc[NAfter])*(Tab_NewTRADER[[#This Row],[M]]-Tab_NewTRADER[[#This Row],[A]])*(1-Commission)*Tab_NewTRADER[[#This Row],[Scale]],"#,#0$")</f>
        <v>19,800 : 32,884$</v>
      </c>
      <c r="BM62" s="684">
        <f ca="1">_xlfn.XLOOKUP(Tab_NewTRADER[[#This Row],[ClickTick]],TabCalc[[#This Row],[Ticker]],TabCalc[[#This Row],[GL]])*(1-Commission)</f>
        <v>93055.311426582019</v>
      </c>
      <c r="BN62" s="684"/>
      <c r="BO62" s="669" t="str">
        <f ca="1">Tab_NewTRADER[[#This Row],[ClickTick]]&amp;": "&amp;_xlfn.XLOOKUP(Tab_NewTRADER[[#This Row],[ClickTick]],TabCalc[Ticker],TabCalc[Pile?])</f>
        <v xml:space="preserve">MVEORA: </v>
      </c>
      <c r="BP62" s="351" t="s">
        <v>1952</v>
      </c>
      <c r="BQ62" s="755" t="str" cm="1">
        <f t="array" aca="1" ref="BQ62" ca="1">_xlfn.TEXTJOIN("",,INDEX({"M","A","Y"}, _xlfn.SORTBY({1,2,3}, -CHOOSE({1,2,3}, Tab_NewTRADER[[#This Row],[M]], Tab_NewTRADER[[#This Row],[A]], Tab_NewTRADER[[#This Row],[Agiotage]]))))</f>
        <v>MAY</v>
      </c>
      <c r="BR62" s="902" cm="1">
        <f t="array" aca="1" ref="BR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2.5399129172714182E-3</v>
      </c>
      <c r="BS62" s="679">
        <f ca="1">Tab_NewTRADER[[#This Row],[L_Sn]]*Tab_NewTRADER[[#This Row],[L_Sp]]+Tab_NewTRADER[[#This Row],[SellMore]]*Tab_NewTRADER[[#This Row],[M]]</f>
        <v>99174</v>
      </c>
      <c r="BT62" s="679">
        <f ca="1">INDEX(
  INDEX(TabConsolid[], , _xlfn.XMATCH(Tab_NewTRADER[[#This Row],[ClickTick]]&amp;1, TabConsolid[#Headers])),
  MATCH(
    -Tab_NewTRADER[[#This Row],[M]],
    INDEX(TabConsolid[], , _xlfn.XMATCH(Tab_NewTRADER[[#This Row],[ClickTick]]&amp;2, TabConsolid[#Headers])),
    -1
  )
)</f>
        <v>6000</v>
      </c>
      <c r="BU62" s="679" cm="1">
        <f t="array" aca="1" ref="BU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V62" s="1144">
        <f ca="1">Tab_NewTRADER[[#This Row],[ReBuy]]/(Tab_NewTRADER[[#This Row],[L_Sn]]+Tab_NewTRADER[[#This Row],[SellMore]])</f>
        <v>13.774166666666666</v>
      </c>
      <c r="BW62" s="687">
        <f ca="1">((_xlfn.XLOOKUP(Tab_NewTRADER[[#This Row],[ClickTick]],TabCalc[Ticker],TabCalc[NAfter])+Tab_NewTRADER[[#This Row],[L_Sn]])*(Tab_NewTRADER[[#This Row],[Agiotage]]-Tab_NewTRADER[[#This Row],[M]]))/(Tab_NewTRADER[[#This Row],[L_Sn]]*_xlfn.XLOOKUP(Tab_NewTRADER[[#This Row],[ClickTick]],TabCalc[Ticker],TabCalc[NAfter]))</f>
        <v>-1.1039293507989994E-2</v>
      </c>
      <c r="BX62" s="687">
        <f ca="1">(Tab_NewTRADER[[#This Row],[M]]-Tab_NewTRADER[[#This Row],[Agiotage]])/(Tab_NewTRADER[[#This Row],[M]]-Tab_NewTRADER[[#This Row],[A]])-1</f>
        <v>6.5009222702411718</v>
      </c>
      <c r="BY62" s="1262">
        <f ca="1">_xlfn.XMATCH(Tab_NewTRADER[[#This Row],[ClickTick]]&amp;1, TabConsolid[#Headers])</f>
        <v>182</v>
      </c>
      <c r="BZ62" t="str">
        <f ca="1">IF(ABS(Tab_NewTRADER[[#This Row],[L_Bp]])&gt;=Tab_NewTRADER[[#This Row],[M]],"OK")</f>
        <v>OK</v>
      </c>
    </row>
    <row r="63" spans="1:78"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+11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24.3%</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16$</v>
      </c>
      <c r="G63" s="225" t="str">
        <f ca="1">IFERROR(TRUNC(_xlfn.XLOOKUP(Tab_NewTRADER[[#This Row],[ClickTick]],TabCalc[Ticker],ListLastSalep),2)&amp;"x"&amp;_xlfn.XLOOKUP(Tab_NewTRADER[[#This Row],[ClickTick]],TabCalc[Ticker],ListLastSalen)&amp;"=   "&amp;TEXT(-_xlfn.XLOOKUP(Tab_NewTRADER[[#This Row],[ClickTick]],TabCalc[Ticker],ListReverseB),"#,#0")&amp;"$","")</f>
        <v>33.36x3999=   41,470$</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-23.7% = 0</v>
      </c>
      <c r="I63" s="226" t="str">
        <f ca="1">IFERROR(TRUNC(TabCalc[[#This Row],[L_S1p]],2)&amp;"x"&amp;TabCalc[[#This Row],[L_S1n]]&amp;"=   "&amp;TEXT(TabCalc[[#This Row],[ReverseB1]],"#,#0"),"")</f>
        <v>29.29x4000=   -57,760</v>
      </c>
      <c r="J63" s="295">
        <f ca="1">_xlfn.XLOOKUP(Tab_NewTRADER[[#This Row],[ClickTick]],TabCalc[Ticker],ListGravity)</f>
        <v>1.0232577178138578</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5.5391708193498089E-3</v>
      </c>
      <c r="N63" s="324" cm="1">
        <f t="array" aca="1" ref="N63" ca="1">_xlfn.XLOOKUP(Tab_NewTRADER[[#This Row],[ClickTick]],ListTickers,Tab2RSIConventional[RSIConv20])</f>
        <v>46</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0.32134763559450064</v>
      </c>
      <c r="S63" s="683">
        <f ca="1">_xlfn.XLOOKUP(Tab_NewTRADER[[#This Row],[ClickTick]],TabCalc[Ticker],TabCalc[Rev(MinStock)])*(1-Commission)</f>
        <v>10.607348999999997</v>
      </c>
      <c r="T63" s="782">
        <f ca="1">_xlfn.XLOOKUP(Tab_NewTRADER[[#This Row],[ClickTick]],TabCalc[Ticker],TabCalc[Agiotage])</f>
        <v>5.5391708193498089E-3</v>
      </c>
      <c r="U63" s="747"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-1/-1=&gt;-2.1% / -2.1%</v>
      </c>
      <c r="V63" s="739" t="str">
        <f ca="1">_xlfn.XLOOKUP(Tab_NewTRADER[[#This Row],[ClickTick]],[1]!RTData[Ticker_Symbol],[1]!RTData[Currency])</f>
        <v>EUR</v>
      </c>
      <c r="W63" s="749">
        <f ca="1">_xlfn.XLOOKUP(Tab_NewTRADER[[#This Row],[ClickTick]],TabCalc[Ticker],TabCalc[M])</f>
        <v>43.73</v>
      </c>
      <c r="X63" s="1315"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-2.1042999999999999E-2</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F63" s="1182"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3" s="1530" t="str">
        <f ca="1">TEXT(MIN(Tab_NewTRADER[[#This Row],[L_Bn]],Tab_NewTRADER[[#This Row],[N]]),"#,#0")&amp;" x "&amp;TEXT(Tab_NewTRADER[[#This Row],[L_Bp]],"#,#0.#0")</f>
        <v>1 x -33.10</v>
      </c>
      <c r="AH63" s="1530" t="str" cm="1">
        <f t="array" aca="1" ref="AH63" ca="1">_xlfn.IFS(Tab_NewTRADER[[#This Row],[M_State]]=Sale_Back,Tab_NewTRADER[[#This Row],[Sale_Back_$]], TRUE,"M = "&amp;Tab_NewTRADER[[#This Row],[M]])</f>
        <v>M = 43.73</v>
      </c>
      <c r="AI63" s="1433" cm="1">
        <f t="array" aca="1" ref="AI63" ca="1">IF(Tab_NewTRADER[[#This Row],[M_State]]=MUp,_xlfn.IFS(Tab_NewTRADER[[#This Row],[M_State]]=MUp,MIN(Tab_NewTRADER[[#This Row],[N]],Tab_NewTRADER[[#This Row],[L_Bn]])*(Tab_NewTRADER[[#This Row],[M]]-Tab_NewTRADER[[#This Row],[L_Sp]])*Tab_NewTRADER[[#This Row],[Scale]]*ComFactor, TRUE,0),0)</f>
        <v>10.343037999999996</v>
      </c>
      <c r="AJ63" s="1433" cm="1">
        <f t="array" aca="1" ref="AJ63" ca="1">_xlfn.IFS(Tab_NewTRADER[[#This Row],[M_State]]=MUp,                 MIN(Tab_NewTRADER[[#This Row],[L_Sn]],Tab_NewTRADER[[#This Row],[N]])*(Tab_NewTRADER[[#This Row],[M]]-Tab_NewTRADER[[#This Row],[A]])*Tab_NewTRADER[[#This Row],[Scale]]*ComFactor, TRUE,0)</f>
        <v>10.607348999999997</v>
      </c>
      <c r="AK63" s="1433" cm="1">
        <f t="array" aca="1" ref="AK63" ca="1">_xlfn.IFS(Tab_NewTRADER[[#This Row],[M_State]]=MUp,                  Tab_NewTRADER[[#This Row],[N]]*(Tab_NewTRADER[[#This Row],[M]]-Tab_NewTRADER[[#This Row],[A]])*Tab_NewTRADER[[#This Row],[Scale]]*ComFactor, TRUE,0)</f>
        <v>10.607348999999997</v>
      </c>
      <c r="AL63" s="1435" t="str">
        <f ca="1">TEXT(Tab_NewTRADER[[#This Row],[L_Sn]],"#,#0")&amp;" x "&amp;TEXT(Tab_NewTRADER[[#This Row],[L_Sp]],"#,#0.#0")</f>
        <v>3,999 x 33.36</v>
      </c>
      <c r="AM63" s="1465" t="str" cm="1">
        <f t="array" aca="1" ref="AM63" ca="1">_xlfn.IFS(Tab_NewTRADER[[#This Row],[M_State]]=RePurchaseGain,TEXT(-Tab_NewTRADER[[#This Row],[Buy_Back]],"#,#0")&amp;"       / "&amp;TEXT(Tab_NewTRADER[[#This Row],[Rev_Buy]],"#,#00.0)%"),TRUE,"M = "&amp;Tab_NewTRADER[[#This Row],[M]])</f>
        <v>M = 43.73</v>
      </c>
      <c r="AN63" s="1435" cm="1">
        <f t="array" aca="1" ref="AN63" ca="1">_xlfn.IFS(Tab_NewTRADER[[#This Row],[M_State]]=MDown,TEXT(Tab_NewTRADER[[#This Row],[L_Sn]]*(Tab_NewTRADER[[#This Row],[M]]-Tab_NewTRADER[[#This Row],[L_Sp]])*ComFactor,"#,#0")&amp;"       / "&amp;TEXT((TabTRADER[[#This Row],[M]]-TabTRADER[[#This Row],[L_Sp]])/TabTRADER[[#This Row],[M]],"#,#00.0)%"),TRUE,0)</f>
        <v>0</v>
      </c>
      <c r="AO63" s="1486" cm="1">
        <f t="array" aca="1" ref="AO63" ca="1">_xlfn.IFS(Tab_NewTRADER[[#This Row],[M_State]]=MDown,TEXT(Tab_NewTRADER[[#This Row],[N]]*(Tab_NewTRADER[[#This Row],[M]]-Tab_NewTRADER[[#This Row],[A]])*Tab_NewTRADER[[#This Row],[Scale]]*ComFactor,"#,#0")&amp;"       / "&amp;TEXT((TabTRADER[[#This Row],[M]]-TabTRADER[[#This Row],[L_Bp]])/TabTRADER[[#This Row],[M]],"#,#00.0%"),TRUE,0)</f>
        <v>0</v>
      </c>
      <c r="AP63" s="1435" t="str" cm="1">
        <f t="array" aca="1" ref="AP63" ca="1">_xlfn.IFS(Tab_NewTRADER[[#This Row],[M_State]]=MDown,TEXT(Tab_NewTRADER[[#This Row],[N]]*Tab_NewTRADER[[#This Row],[M]],"#,#0")&amp;" @ "&amp;TEXT(Tab_NewTRADER[[#This Row],[A]],"#,#0.#0"),TRUE,"M = "&amp; Tab_NewTRADER[[#This Row],[M]])</f>
        <v>M = 43.73</v>
      </c>
      <c r="AQ63" s="1165">
        <f ca="1">Tab_NewTRADER[[#This Row],[N]]*(Tab_NewTRADER[[#This Row],[M]]-Tab_NewTRADER[[#This Row],[A]])*(1-Commission)*Tab_NewTRADER[[#This Row],[Scale]]</f>
        <v>10.607348999999997</v>
      </c>
      <c r="AR63" s="1165">
        <f ca="1">Tab_NewTRADER[[#This Row],[M]]*Tab_NewTRADER[[#This Row],[N]]*(1-Commission)*Tab_NewTRADER[[#This Row],[Scale]]</f>
        <v>43.616301999999997</v>
      </c>
      <c r="AS63" s="1174" cm="1">
        <f t="array" aca="1" ref="AS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0.32134763559450064</v>
      </c>
      <c r="AT63" s="1174" cm="1">
        <f t="array" aca="1" ref="AT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0.23453697690372738</v>
      </c>
      <c r="AU63" s="825" cm="1">
        <f t="array" aca="1" ref="AU63" ca="1">_xlfn.IFS(   Tab_NewTRADER[[#This Row],[M_State]]=SellMorePercentGain,                     MIN(Tab_NewTRADER[[#This Row],[L_Sn]],Tab_NewTRADER[[#This Row],[N]])*(Tab_NewTRADER[[#This Row],[M]]-Tab_NewTRADER[[#This Row],[L_Sp]])*(1-Commission)*Tab_NewTRADER[[#This Row],[Scale]],                    TRUE,"")</f>
        <v>10.343037999999996</v>
      </c>
      <c r="AV63" s="1180">
        <f ca="1">_xlfn.XLOOKUP(Tab_NewTRADER[[#This Row],[ClickTick]],TabCalc[Ticker],TabCalc[Ann%RevLB])</f>
        <v>0.57554800404985196</v>
      </c>
      <c r="AW63" s="1266">
        <f ca="1">_xlfn.XLOOKUP(Tab_NewTRADER[[#This Row],[ClickTick]],TabCalc[Ticker],TabCalc[Up20])</f>
        <v>0</v>
      </c>
      <c r="AX63" s="310" t="str" cm="1">
        <f t="array" aca="1" ref="AX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3" s="825" t="str" cm="1">
        <f t="array" aca="1" ref="AY63" ca="1">_xlfn.IFS(         Tab_NewTRADER[[#This Row],[M_State]]=MDown,Tab_NewTRADER[[#This Row],[L_Bn]]*Tab_NewTRADER[[#This Row],[M]]*(-(Tab_NewTRADER[[#This Row],[L_Bp]]+Tab_NewTRADER[[#This Row],[M]])/Tab_NewTRADER[[#This Row],[M]])*(1-Commission)*Tab_NewTRADER[[#This Row],[Scale]],                               TRUE,"")</f>
        <v/>
      </c>
      <c r="AZ63" s="1174" cm="1">
        <f t="array" aca="1" ref="AZ63" ca="1">_xlfn.IFS(   Tab_NewTRADER[[#This Row],[M_State]]=MUp,Tab_NewTRADER[[#This Row],[TakeGain_A]]-Commission,        Tab_NewTRADER[[#This Row],[M_State]]=MDown,(Tab_NewTRADER[[#This Row],[A]]-Tab_NewTRADER[[#This Row],[M]])/Tab_NewTRADER[[#This Row],[M]]-Commission,                              TRUE,"")</f>
        <v>0.31874763559450064</v>
      </c>
      <c r="BA63" s="825" cm="1">
        <f t="array" aca="1" ref="BA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14.015995521075688</v>
      </c>
      <c r="BB63" s="760" t="str" cm="1">
        <f t="array" aca="1" ref="BB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63" s="736" t="str" cm="1">
        <f t="array" aca="1" ref="BC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1x10.63</v>
      </c>
      <c r="BD63" s="765" cm="1">
        <f t="array" aca="1" ref="BD63" ca="1">_xlfn.IFS(Tab_NewTRADER[[#This Row],[M_State]]=Sale_Back,"",         Tab_NewTRADER[[#This Row],[M_State]]=MDown, (Tab_NewTRADER[[#This Row],[M]]-Tab_NewTRADER[[#This Row],[A]])/Tab_NewTRADER[[#This Row],[A]]*ComFactor,             TRUE, IFERROR((Tab_NewTRADER[[#This Row],[M]]-Tab_NewTRADER[[#This Row],[A]])/Tab_NewTRADER[[#This Row],[A]]*ComFactor,""))</f>
        <v>0.32051213174195492</v>
      </c>
      <c r="BE63" s="762" cm="1">
        <f t="array" aca="1" ref="BE63" ca="1">_xlfn.IFS(               Tab_NewTRADER[[#This Row],[M_State]]=NoStock,(Tab_NewTRADER[[#This Row],[L_Sp]]-Tab_NewTRADER[[#This Row],[M]])/Tab_NewTRADER[[#This Row],[M]]-Commission,             Tab_NewTRADER[[#This Row],[A]]&lt;&gt;0,(Tab_NewTRADER[[#This Row],[A]]-Tab_NewTRADER[[#This Row],[M]])/Tab_NewTRADER[[#This Row],[M]]-Commission)</f>
        <v>-0.24579689000686025</v>
      </c>
      <c r="BF63" s="324">
        <f ca="1">_xlfn.XLOOKUP(Tab_NewTRADER[[#This Row],[ClickTick]],TabCalc[Ticker],TabCalc[L_Sn])</f>
        <v>3999</v>
      </c>
      <c r="BG63" s="728">
        <f ca="1">_xlfn.XLOOKUP(Tab_NewTRADER[[#This Row],[ClickTick]],TabCalc[Ticker],TabCalc[L_Sp])</f>
        <v>33.36</v>
      </c>
      <c r="BH63" s="764">
        <f ca="1">-IFERROR((Tab_NewTRADER[[#This Row],[M]]-Tab_NewTRADER[[#This Row],[L_Sp]])/Tab_NewTRADER[[#This Row],[L_Sp]],0)</f>
        <v>-0.31085131894484408</v>
      </c>
      <c r="BI63" s="729">
        <f ca="1">MIN(Tab_NewTRADER[[#This Row],[L_Sn]],Tab_NewTRADER[[#This Row],[N]])*(Tab_NewTRADER[[#This Row],[M]]-Tab_NewTRADER[[#This Row],[L_Sp]])*(1-Commission)*Tab_NewTRADER[[#This Row],[Scale]]</f>
        <v>10.343037999999996</v>
      </c>
      <c r="BJ63" s="692">
        <f ca="1">Tab_NewTRADER[[#This Row],[L_Sn]]*(Tab_NewTRADER[[#This Row],[Agiotage]]-Tab_NewTRADER[[#This Row],[M]])/(Tab_NewTRADER[[#This Row],[L_Bn]]*Tab_NewTRADER[[#This Row],[M]])</f>
        <v>-1.3328311521906655</v>
      </c>
      <c r="BK63" s="635">
        <f ca="1">IFERROR((Tab_NewTRADER[[#This Row],[M]]-Tab_NewTRADER[[#This Row],[A]])/Tab_NewTRADER[[#This Row],[A]],0)</f>
        <v>0.32134763559450064</v>
      </c>
      <c r="BL63" s="638" t="str">
        <f ca="1">TEXT(_xlfn.XLOOKUP(Tab_NewTRADER[[#This Row],[ClickTick]],TabCalc[Ticker],TabCalc[NAfter]),"#,#0")&amp;" : "&amp;TEXT(_xlfn.XLOOKUP(Tab_NewTRADER[[#This Row],[ClickTick]],TabCalc[Ticker],TabCalc[NAfter])*(Tab_NewTRADER[[#This Row],[M]]-Tab_NewTRADER[[#This Row],[A]])*(1-Commission)*Tab_NewTRADER[[#This Row],[Scale]],"#,#0$")</f>
        <v>1 : 11$</v>
      </c>
      <c r="BM63" s="684">
        <f ca="1">_xlfn.XLOOKUP(Tab_NewTRADER[[#This Row],[ClickTick]],TabCalc[[#This Row],[Ticker]],TabCalc[[#This Row],[GL]])*(1-Commission)</f>
        <v>37558.389297268383</v>
      </c>
      <c r="BN63" s="684"/>
      <c r="BO63" s="669" t="str">
        <f ca="1">Tab_NewTRADER[[#This Row],[ClickTick]]&amp;": "&amp;_xlfn.XLOOKUP(Tab_NewTRADER[[#This Row],[ClickTick]],TabCalc[Ticker],TabCalc[Pile?])</f>
        <v>MVERWE: Pile</v>
      </c>
      <c r="BP63" s="351" t="s">
        <v>1953</v>
      </c>
      <c r="BQ63" s="755" t="str" cm="1">
        <f t="array" aca="1" ref="BQ63" ca="1">_xlfn.TEXTJOIN("",,INDEX({"M","A","Y"}, _xlfn.SORTBY({1,2,3}, -CHOOSE({1,2,3}, Tab_NewTRADER[[#This Row],[M]], Tab_NewTRADER[[#This Row],[A]], Tab_NewTRADER[[#This Row],[Agiotage]]))))</f>
        <v>MAY</v>
      </c>
      <c r="BR63" s="902" cm="1">
        <f t="array" aca="1" ref="BR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0.23713697690372737</v>
      </c>
      <c r="BS63" s="679">
        <f ca="1">Tab_NewTRADER[[#This Row],[L_Sn]]*Tab_NewTRADER[[#This Row],[L_Sp]]+Tab_NewTRADER[[#This Row],[SellMore]]*Tab_NewTRADER[[#This Row],[M]]</f>
        <v>133450.37</v>
      </c>
      <c r="BT63" s="679">
        <f ca="1">INDEX(
  INDEX(TabConsolid[], , _xlfn.XMATCH(Tab_NewTRADER[[#This Row],[ClickTick]]&amp;1, TabConsolid[#Headers])),
  MATCH(
    -Tab_NewTRADER[[#This Row],[M]],
    INDEX(TabConsolid[], , _xlfn.XMATCH(Tab_NewTRADER[[#This Row],[ClickTick]]&amp;2, TabConsolid[#Headers])),
    -1
  )
)</f>
        <v>1</v>
      </c>
      <c r="BU63" s="679" cm="1">
        <f t="array" aca="1" ref="BU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63" s="1144">
        <f ca="1">Tab_NewTRADER[[#This Row],[ReBuy]]/(Tab_NewTRADER[[#This Row],[L_Sn]]+Tab_NewTRADER[[#This Row],[SellMore]])</f>
        <v>33.362592499999998</v>
      </c>
      <c r="BW63" s="687">
        <f ca="1">((_xlfn.XLOOKUP(Tab_NewTRADER[[#This Row],[ClickTick]],TabCalc[Ticker],TabCalc[NAfter])+Tab_NewTRADER[[#This Row],[L_Sn]])*(Tab_NewTRADER[[#This Row],[Agiotage]]-Tab_NewTRADER[[#This Row],[M]]))/(Tab_NewTRADER[[#This Row],[L_Sn]]*_xlfn.XLOOKUP(Tab_NewTRADER[[#This Row],[ClickTick]],TabCalc[Ticker],TabCalc[NAfter]))</f>
        <v>-43.735394677850117</v>
      </c>
      <c r="BX63" s="687">
        <f ca="1">(Tab_NewTRADER[[#This Row],[M]]-Tab_NewTRADER[[#This Row],[Agiotage]])/(Tab_NewTRADER[[#This Row],[M]]-Tab_NewTRADER[[#This Row],[A]])-1</f>
        <v>3.1113738438345706</v>
      </c>
      <c r="BY63" s="1262">
        <f ca="1">_xlfn.XMATCH(Tab_NewTRADER[[#This Row],[ClickTick]]&amp;1, TabConsolid[#Headers])</f>
        <v>185</v>
      </c>
      <c r="BZ63" t="b">
        <f ca="1">IF(ABS(Tab_NewTRADER[[#This Row],[L_Bp]])&gt;=Tab_NewTRADER[[#This Row],[M]],"OK")</f>
        <v>0</v>
      </c>
    </row>
    <row r="64" spans="1:78"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-9,080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-22.1%</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-10,820$</v>
      </c>
      <c r="G64" s="225" t="str">
        <f ca="1">IFERROR(TRUNC(_xlfn.XLOOKUP(Tab_NewTRADER[[#This Row],[ClickTick]],TabCalc[Ticker],ListLastSalep),2)&amp;"x"&amp;_xlfn.XLOOKUP(Tab_NewTRADER[[#This Row],[ClickTick]],TabCalc[Ticker],ListLastSalen)&amp;"=   "&amp;TEXT(-_xlfn.XLOOKUP(Tab_NewTRADER[[#This Row],[ClickTick]],TabCalc[Ticker],ListReverseB),"#,#0")&amp;"$","")</f>
        <v>267.48x500=   -30,990$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30.2% = 81</v>
      </c>
      <c r="I64" s="226" t="str">
        <f ca="1">IFERROR(TRUNC(TabCalc[[#This Row],[L_S1p]],2)&amp;"x"&amp;TabCalc[[#This Row],[L_S1n]]&amp;"=   "&amp;TEXT(TabCalc[[#This Row],[ReverseB1]],"#,#0"),"")</f>
        <v>263.8x500=   29,150</v>
      </c>
      <c r="J64" s="295">
        <f ca="1">_xlfn.XLOOKUP(Tab_NewTRADER[[#This Row],[ClickTick]],TabCalc[Ticker],ListGravity)</f>
        <v>1.4047046228710462</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0.93717056647786734</v>
      </c>
      <c r="N64" s="324" cm="1">
        <f t="array" aca="1" ref="N64" ca="1">_xlfn.XLOOKUP(Tab_NewTRADER[[#This Row],[ClickTick]],ListTickers,Tab2RSIConventional[RSIConv20])</f>
        <v>21</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-0.18094858509366282</v>
      </c>
      <c r="S64" s="683">
        <f ca="1">_xlfn.XLOOKUP(Tab_NewTRADER[[#This Row],[ClickTick]],TabCalc[Ticker],TabCalc[Rev(MinStock)])*(1-Commission)</f>
        <v>-9056.3920000000016</v>
      </c>
      <c r="T64" s="782">
        <f ca="1">_xlfn.XLOOKUP(Tab_NewTRADER[[#This Row],[ClickTick]],TabCalc[Ticker],TabCalc[Agiotage])</f>
        <v>0.93717056647786734</v>
      </c>
      <c r="U64" s="747"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120/120=&gt;0.1% / 0.1%</v>
      </c>
      <c r="V64" s="739" t="str">
        <f ca="1">_xlfn.XLOOKUP(Tab_NewTRADER[[#This Row],[ClickTick]],[1]!RTData[Ticker_Symbol],[1]!RTData[Currency])</f>
        <v>EUR</v>
      </c>
      <c r="W64" s="749">
        <f ca="1">_xlfn.XLOOKUP(Tab_NewTRADER[[#This Row],[ClickTick]],TabCalc[Ticker],TabCalc[M])</f>
        <v>205.5</v>
      </c>
      <c r="X64" s="1315"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7.3050000000000003E-4</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82 K$</v>
      </c>
      <c r="AF64" s="1182"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4" s="1530" t="str">
        <f ca="1">TEXT(MIN(Tab_NewTRADER[[#This Row],[L_Bn]],Tab_NewTRADER[[#This Row],[N]]),"#,#0")&amp;" x "&amp;TEXT(Tab_NewTRADER[[#This Row],[L_Bp]],"#,#0.#0")</f>
        <v>200 x -250.90</v>
      </c>
      <c r="AH64" s="1530" t="str" cm="1">
        <f t="array" aca="1" ref="AH64" ca="1">_xlfn.IFS(Tab_NewTRADER[[#This Row],[M_State]]=Sale_Back,Tab_NewTRADER[[#This Row],[Sale_Back_$]], TRUE,"M = "&amp;Tab_NewTRADER[[#This Row],[M]])</f>
        <v>M = 205.5</v>
      </c>
      <c r="AI64" s="1433" cm="1">
        <f t="array" aca="1" ref="AI64" ca="1">IF(Tab_NewTRADER[[#This Row],[M_State]]=MUp,_xlfn.IFS(Tab_NewTRADER[[#This Row],[M_State]]=MUp,MIN(Tab_NewTRADER[[#This Row],[N]],Tab_NewTRADER[[#This Row],[L_Bn]])*(Tab_NewTRADER[[#This Row],[M]]-Tab_NewTRADER[[#This Row],[L_Sp]])*Tab_NewTRADER[[#This Row],[Scale]]*ComFactor, TRUE,0),0)</f>
        <v>0</v>
      </c>
      <c r="AJ64" s="1433" cm="1">
        <f t="array" aca="1" ref="AJ64" ca="1">_xlfn.IFS(Tab_NewTRADER[[#This Row],[M_State]]=MUp,                 MIN(Tab_NewTRADER[[#This Row],[L_Sn]],Tab_NewTRADER[[#This Row],[N]])*(Tab_NewTRADER[[#This Row],[M]]-Tab_NewTRADER[[#This Row],[A]])*Tab_NewTRADER[[#This Row],[Scale]]*ComFactor, TRUE,0)</f>
        <v>0</v>
      </c>
      <c r="AK64" s="1433" cm="1">
        <f t="array" aca="1" ref="AK64" ca="1">_xlfn.IFS(Tab_NewTRADER[[#This Row],[M_State]]=MUp,                  Tab_NewTRADER[[#This Row],[N]]*(Tab_NewTRADER[[#This Row],[M]]-Tab_NewTRADER[[#This Row],[A]])*Tab_NewTRADER[[#This Row],[Scale]]*ComFactor, TRUE,0)</f>
        <v>0</v>
      </c>
      <c r="AL64" s="1435" t="str">
        <f ca="1">TEXT(Tab_NewTRADER[[#This Row],[L_Sn]],"#,#0")&amp;" x "&amp;TEXT(Tab_NewTRADER[[#This Row],[L_Sp]],"#,#0.#0")</f>
        <v>500 x 267.48</v>
      </c>
      <c r="AM64" s="1465" t="str" cm="1">
        <f t="array" aca="1" ref="AM64" ca="1">_xlfn.IFS(Tab_NewTRADER[[#This Row],[M_State]]=RePurchaseGain,TEXT(-Tab_NewTRADER[[#This Row],[Buy_Back]],"#,#0")&amp;"       / "&amp;TEXT(Tab_NewTRADER[[#This Row],[Rev_Buy]],"#,#00.0)%"),TRUE,"M = "&amp;Tab_NewTRADER[[#This Row],[M]])</f>
        <v>M = 205.5</v>
      </c>
      <c r="AN64" s="1435" t="str" cm="1">
        <f t="array" aca="1" ref="AN64" ca="1">_xlfn.IFS(Tab_NewTRADER[[#This Row],[M_State]]=MDown,TEXT(Tab_NewTRADER[[#This Row],[L_Sn]]*(Tab_NewTRADER[[#This Row],[M]]-Tab_NewTRADER[[#This Row],[L_Sp]])*ComFactor,"#,#0")&amp;"       / "&amp;TEXT((TabTRADER[[#This Row],[M]]-TabTRADER[[#This Row],[L_Sp]])/TabTRADER[[#This Row],[M]],"#,#00.0)%"),TRUE,0)</f>
        <v>-30,909       / -30.2)%</v>
      </c>
      <c r="AO64" s="1486" t="str" cm="1">
        <f t="array" aca="1" ref="AO64" ca="1">_xlfn.IFS(Tab_NewTRADER[[#This Row],[M_State]]=MDown,TEXT(Tab_NewTRADER[[#This Row],[N]]*(Tab_NewTRADER[[#This Row],[M]]-Tab_NewTRADER[[#This Row],[A]])*Tab_NewTRADER[[#This Row],[Scale]]*ComFactor,"#,#0")&amp;"       / "&amp;TEXT((TabTRADER[[#This Row],[M]]-TabTRADER[[#This Row],[L_Bp]])/TabTRADER[[#This Row],[M]],"#,#00.0%"),TRUE,0)</f>
        <v>-19,905       / 222.1%</v>
      </c>
      <c r="AP64" s="1435" t="str" cm="1">
        <f t="array" aca="1" ref="AP64" ca="1">_xlfn.IFS(Tab_NewTRADER[[#This Row],[M_State]]=MDown,TEXT(Tab_NewTRADER[[#This Row],[N]]*Tab_NewTRADER[[#This Row],[M]],"#,#0")&amp;" @ "&amp;TEXT(Tab_NewTRADER[[#This Row],[A]],"#,#0.#0"),TRUE,"M = "&amp; Tab_NewTRADER[[#This Row],[M]])</f>
        <v>82,406 @ 255.27</v>
      </c>
      <c r="AQ64" s="1165">
        <f ca="1">Tab_NewTRADER[[#This Row],[N]]*(Tab_NewTRADER[[#This Row],[M]]-Tab_NewTRADER[[#This Row],[A]])*(1-Commission)*Tab_NewTRADER[[#This Row],[Scale]]</f>
        <v>-19905.490812</v>
      </c>
      <c r="AR64" s="1165">
        <f ca="1">Tab_NewTRADER[[#This Row],[M]]*Tab_NewTRADER[[#This Row],[N]]*(1-Commission)*Tab_NewTRADER[[#This Row],[Scale]]</f>
        <v>82191.245699999999</v>
      </c>
      <c r="AS64" s="1174" cm="1">
        <f t="array" aca="1" ref="AS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0.19496696458716287</v>
      </c>
      <c r="AT64" s="1174" cm="1">
        <f t="array" aca="1" ref="AT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0.21832457420924578</v>
      </c>
      <c r="AU64" s="825" t="str" cm="1">
        <f t="array" aca="1" ref="AU64" ca="1">_xlfn.IFS(   Tab_NewTRADER[[#This Row],[M_State]]=SellMorePercentGain,                     MIN(Tab_NewTRADER[[#This Row],[L_Sn]],Tab_NewTRADER[[#This Row],[N]])*(Tab_NewTRADER[[#This Row],[M]]-Tab_NewTRADER[[#This Row],[L_Sp]])*(1-Commission)*Tab_NewTRADER[[#This Row],[Scale]],                    TRUE,"")</f>
        <v/>
      </c>
      <c r="AV64" s="1163">
        <f ca="1">_xlfn.XLOOKUP(Tab_NewTRADER[[#This Row],[ClickTick]],TabCalc[Ticker],TabCalc[Ann%RevLB])</f>
        <v>-0.54740748431696318</v>
      </c>
      <c r="AW64" s="1267">
        <f ca="1">_xlfn.XLOOKUP(Tab_NewTRADER[[#This Row],[ClickTick]],TabCalc[Ticker],TabCalc[Up20])</f>
        <v>0</v>
      </c>
      <c r="AX64" s="310" cm="1">
        <f t="array" aca="1" ref="AX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0.22092457420924577</v>
      </c>
      <c r="AY64" s="825" cm="1">
        <f t="array" aca="1" ref="AY64" ca="1">_xlfn.IFS(         Tab_NewTRADER[[#This Row],[M_State]]=MDown,Tab_NewTRADER[[#This Row],[L_Bn]]*Tab_NewTRADER[[#This Row],[M]]*(-(Tab_NewTRADER[[#This Row],[L_Bp]]+Tab_NewTRADER[[#This Row],[M]])/Tab_NewTRADER[[#This Row],[M]])*(1-Commission)*Tab_NewTRADER[[#This Row],[Scale]],                               TRUE,"")</f>
        <v>9056.3920000000016</v>
      </c>
      <c r="AZ64" s="1174" cm="1">
        <f t="array" aca="1" ref="AZ64" ca="1">_xlfn.IFS(   Tab_NewTRADER[[#This Row],[M_State]]=MUp,Tab_NewTRADER[[#This Row],[TakeGain_A]]-Commission,        Tab_NewTRADER[[#This Row],[M_State]]=MDown,(Tab_NewTRADER[[#This Row],[A]]-Tab_NewTRADER[[#This Row],[M]])/Tab_NewTRADER[[#This Row],[M]]-Commission,                              TRUE,"")</f>
        <v>0.23958504832808492</v>
      </c>
      <c r="BA64" s="825" cm="1">
        <f t="array" aca="1" ref="BA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19905.490812</v>
      </c>
      <c r="BB64" s="760" t="str" cm="1">
        <f t="array" aca="1" ref="BB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C64" s="736" cm="1">
        <f t="array" aca="1" ref="BC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-45.4</v>
      </c>
      <c r="BD64" s="765" cm="1">
        <f t="array" aca="1" ref="BD64" ca="1">_xlfn.IFS(Tab_NewTRADER[[#This Row],[M_State]]=Sale_Back,"",         Tab_NewTRADER[[#This Row],[M_State]]=MDown, (Tab_NewTRADER[[#This Row],[M]]-Tab_NewTRADER[[#This Row],[A]])/Tab_NewTRADER[[#This Row],[A]]*ComFactor,             TRUE, IFERROR((Tab_NewTRADER[[#This Row],[M]]-Tab_NewTRADER[[#This Row],[A]])/Tab_NewTRADER[[#This Row],[A]]*ComFactor,""))</f>
        <v>-0.19446005047923623</v>
      </c>
      <c r="BE64" s="762" cm="1">
        <f t="array" aca="1" ref="BE64" ca="1">_xlfn.IFS(               Tab_NewTRADER[[#This Row],[M_State]]=NoStock,(Tab_NewTRADER[[#This Row],[L_Sp]]-Tab_NewTRADER[[#This Row],[M]])/Tab_NewTRADER[[#This Row],[M]]-Commission,             Tab_NewTRADER[[#This Row],[A]]&lt;&gt;0,(Tab_NewTRADER[[#This Row],[A]]-Tab_NewTRADER[[#This Row],[M]])/Tab_NewTRADER[[#This Row],[M]]-Commission)</f>
        <v>0.23958504832808492</v>
      </c>
      <c r="BF64" s="324">
        <f ca="1">_xlfn.XLOOKUP(Tab_NewTRADER[[#This Row],[ClickTick]],TabCalc[Ticker],TabCalc[L_Sn])</f>
        <v>500</v>
      </c>
      <c r="BG64" s="728">
        <f ca="1">_xlfn.XLOOKUP(Tab_NewTRADER[[#This Row],[ClickTick]],TabCalc[Ticker],TabCalc[L_Sp])</f>
        <v>267.48</v>
      </c>
      <c r="BH64" s="764">
        <f ca="1">-IFERROR((Tab_NewTRADER[[#This Row],[M]]-Tab_NewTRADER[[#This Row],[L_Sp]])/Tab_NewTRADER[[#This Row],[L_Sp]],0)</f>
        <v>0.23171825930910728</v>
      </c>
      <c r="BI64" s="729">
        <f ca="1">MIN(Tab_NewTRADER[[#This Row],[L_Sn]],Tab_NewTRADER[[#This Row],[N]])*(Tab_NewTRADER[[#This Row],[M]]-Tab_NewTRADER[[#This Row],[L_Sp]])*(1-Commission)*Tab_NewTRADER[[#This Row],[Scale]]</f>
        <v>-24789.359652000006</v>
      </c>
      <c r="BJ64" s="692">
        <f ca="1">Tab_NewTRADER[[#This Row],[L_Sn]]*(Tab_NewTRADER[[#This Row],[Agiotage]]-Tab_NewTRADER[[#This Row],[M]])/(Tab_NewTRADER[[#This Row],[L_Bn]]*Tab_NewTRADER[[#This Row],[M]])</f>
        <v>-2.4885988982180307</v>
      </c>
      <c r="BK64" s="635">
        <f ca="1">IFERROR((Tab_NewTRADER[[#This Row],[M]]-Tab_NewTRADER[[#This Row],[A]])/Tab_NewTRADER[[#This Row],[A]],0)</f>
        <v>-0.19496696458716287</v>
      </c>
      <c r="BL64" s="638" t="str">
        <f ca="1">TEXT(_xlfn.XLOOKUP(Tab_NewTRADER[[#This Row],[ClickTick]],TabCalc[Ticker],TabCalc[NAfter]),"#,#0")&amp;" : "&amp;TEXT(_xlfn.XLOOKUP(Tab_NewTRADER[[#This Row],[ClickTick]],TabCalc[Ticker],TabCalc[NAfter])*(Tab_NewTRADER[[#This Row],[M]]-Tab_NewTRADER[[#This Row],[A]])*(1-Commission)*Tab_NewTRADER[[#This Row],[Scale]],"#,#0$")</f>
        <v>401 : -19,905$</v>
      </c>
      <c r="BM64" s="684">
        <f ca="1">_xlfn.XLOOKUP(Tab_NewTRADER[[#This Row],[ClickTick]],TabCalc[[#This Row],[Ticker]],TabCalc[[#This Row],[GL]])*(1-Commission)</f>
        <v>45770.930219573806</v>
      </c>
      <c r="BN64" s="684"/>
      <c r="BO64" s="669" t="str">
        <f ca="1">Tab_NewTRADER[[#This Row],[ClickTick]]&amp;": "&amp;_xlfn.XLOOKUP(Tab_NewTRADER[[#This Row],[ClickTick]],TabCalc[Ticker],TabCalc[Pile?])</f>
        <v>MVESAP: Pile</v>
      </c>
      <c r="BP64" s="351" t="s">
        <v>1954</v>
      </c>
      <c r="BQ64" s="755" t="str" cm="1">
        <f t="array" aca="1" ref="BQ64" ca="1">_xlfn.TEXTJOIN("",,INDEX({"M","A","Y"}, _xlfn.SORTBY({1,2,3}, -CHOOSE({1,2,3}, Tab_NewTRADER[[#This Row],[M]], Tab_NewTRADER[[#This Row],[A]], Tab_NewTRADER[[#This Row],[Agiotage]]))))</f>
        <v>AMY</v>
      </c>
      <c r="BR64" s="902" cm="1">
        <f t="array" aca="1" ref="BR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0.22092457420924577</v>
      </c>
      <c r="BS64" s="679" t="e">
        <f ca="1">Tab_NewTRADER[[#This Row],[L_Sn]]*Tab_NewTRADER[[#This Row],[L_Sp]]+Tab_NewTRADER[[#This Row],[SellMore]]*Tab_NewTRADER[[#This Row],[M]]</f>
        <v>#N/A</v>
      </c>
      <c r="BT64" s="679" t="e">
        <f ca="1">INDEX(
  INDEX(TabConsolid[], , _xlfn.XMATCH(Tab_NewTRADER[[#This Row],[ClickTick]]&amp;1, TabConsolid[#Headers])),
  MATCH(
    -Tab_NewTRADER[[#This Row],[M]],
    INDEX(TabConsolid[], , _xlfn.XMATCH(Tab_NewTRADER[[#This Row],[ClickTick]]&amp;2, TabConsolid[#Headers])),
    -1
  )
)</f>
        <v>#N/A</v>
      </c>
      <c r="BU64" s="679" cm="1">
        <f t="array" aca="1" ref="BU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64" s="1144" t="e">
        <f ca="1">Tab_NewTRADER[[#This Row],[ReBuy]]/(Tab_NewTRADER[[#This Row],[L_Sn]]+Tab_NewTRADER[[#This Row],[SellMore]])</f>
        <v>#N/A</v>
      </c>
      <c r="BW64" s="687">
        <f ca="1">((_xlfn.XLOOKUP(Tab_NewTRADER[[#This Row],[ClickTick]],TabCalc[Ticker],TabCalc[NAfter])+Tab_NewTRADER[[#This Row],[L_Sn]])*(Tab_NewTRADER[[#This Row],[Agiotage]]-Tab_NewTRADER[[#This Row],[M]]))/(Tab_NewTRADER[[#This Row],[L_Sn]]*_xlfn.XLOOKUP(Tab_NewTRADER[[#This Row],[ClickTick]],TabCalc[Ticker],TabCalc[NAfter]))</f>
        <v>-0.91925740309029147</v>
      </c>
      <c r="BX64" s="687">
        <f ca="1">(Tab_NewTRADER[[#This Row],[M]]-Tab_NewTRADER[[#This Row],[Agiotage]])/(Tab_NewTRADER[[#This Row],[M]]-Tab_NewTRADER[[#This Row],[A]])-1</f>
        <v>-5.1102436593802576</v>
      </c>
      <c r="BY64" s="1262">
        <f ca="1">_xlfn.XMATCH(Tab_NewTRADER[[#This Row],[ClickTick]]&amp;1, TabConsolid[#Headers])</f>
        <v>188</v>
      </c>
      <c r="BZ64" t="str">
        <f ca="1">IF(ABS(Tab_NewTRADER[[#This Row],[L_Bp]])&gt;=Tab_NewTRADER[[#This Row],[M]],"OK")</f>
        <v>OK</v>
      </c>
    </row>
    <row r="65" spans="1:78"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-280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-23.7%</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-69$</v>
      </c>
      <c r="G65" s="225" t="str">
        <f ca="1">IFERROR(TRUNC(_xlfn.XLOOKUP(Tab_NewTRADER[[#This Row],[ClickTick]],TabCalc[Ticker],ListLastSalep),2)&amp;"x"&amp;_xlfn.XLOOKUP(Tab_NewTRADER[[#This Row],[ClickTick]],TabCalc[Ticker],ListLastSalen)&amp;"=   "&amp;TEXT(-_xlfn.XLOOKUP(Tab_NewTRADER[[#This Row],[ClickTick]],TabCalc[Ticker],ListReverseB),"#,#0")&amp;"$","")</f>
        <v>45.93x488=   -7,652$</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51.8% = 319</v>
      </c>
      <c r="I65" s="226" t="str">
        <f ca="1">IFERROR(TRUNC(TabCalc[[#This Row],[L_S1p]],2)&amp;"x"&amp;TabCalc[[#This Row],[L_S1n]]&amp;"=   "&amp;TEXT(TabCalc[[#This Row],[ReverseB1]],"#,#0"),"")</f>
        <v>51.5x490=   10,413</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15578.75</v>
      </c>
      <c r="M65" s="323">
        <f ca="1">_xlfn.XLOOKUP(Tab_NewTRADER[[#This Row],[ClickTick]],TabCalc[Ticker],TabCalc[Agiotage])</f>
        <v>1.1235955056179776E-3</v>
      </c>
      <c r="N65" s="324" cm="1">
        <f t="array" aca="1" ref="N65" ca="1">_xlfn.XLOOKUP(Tab_NewTRADER[[#This Row],[ClickTick]],ListTickers,Tab2RSIConventional[RSIConv20])</f>
        <v>21</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-0.1917167668670674</v>
      </c>
      <c r="S65" s="683">
        <f ca="1">_xlfn.XLOOKUP(Tab_NewTRADER[[#This Row],[ClickTick]],TabCalc[Ticker],TabCalc[Rev(MinStock)])*(1-Commission)</f>
        <v>-279.09745499999985</v>
      </c>
      <c r="T65" s="782">
        <f ca="1">_xlfn.XLOOKUP(Tab_NewTRADER[[#This Row],[ClickTick]],TabCalc[Ticker],TabCalc[Agiotage])</f>
        <v>1.1235955056179776E-3</v>
      </c>
      <c r="U65" s="747"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392/392=&gt;-0.7% / -0.7%</v>
      </c>
      <c r="V65" s="739" t="str">
        <f ca="1">_xlfn.XLOOKUP(Tab_NewTRADER[[#This Row],[ClickTick]],[1]!RTData[Ticker_Symbol],[1]!RTData[Currency])</f>
        <v>EUR</v>
      </c>
      <c r="W65" s="749">
        <f ca="1">_xlfn.XLOOKUP(Tab_NewTRADER[[#This Row],[ClickTick]],TabCalc[Ticker],TabCalc[M])</f>
        <v>30.25</v>
      </c>
      <c r="X65" s="1315"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-6.5680000000000009E-3</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/17 K$</v>
      </c>
      <c r="AF65" s="1161"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5" s="1530" t="str">
        <f ca="1">TEXT(MIN(Tab_NewTRADER[[#This Row],[L_Bn]],Tab_NewTRADER[[#This Row],[N]]),"#,#0")&amp;" x "&amp;TEXT(Tab_NewTRADER[[#This Row],[L_Bp]],"#,#0.#0")</f>
        <v>39 x -37.43</v>
      </c>
      <c r="AH65" s="1530" t="str" cm="1">
        <f t="array" aca="1" ref="AH65" ca="1">_xlfn.IFS(Tab_NewTRADER[[#This Row],[M_State]]=Sale_Back,Tab_NewTRADER[[#This Row],[Sale_Back_$]], TRUE,"M = "&amp;Tab_NewTRADER[[#This Row],[M]])</f>
        <v>M = 30.25</v>
      </c>
      <c r="AI65" s="1433" cm="1">
        <f t="array" aca="1" ref="AI65" ca="1">IF(Tab_NewTRADER[[#This Row],[M_State]]=MUp,_xlfn.IFS(Tab_NewTRADER[[#This Row],[M_State]]=MUp,MIN(Tab_NewTRADER[[#This Row],[N]],Tab_NewTRADER[[#This Row],[L_Bn]])*(Tab_NewTRADER[[#This Row],[M]]-Tab_NewTRADER[[#This Row],[L_Sp]])*Tab_NewTRADER[[#This Row],[Scale]]*ComFactor, TRUE,0),0)</f>
        <v>0</v>
      </c>
      <c r="AJ65" s="1433" cm="1">
        <f t="array" aca="1" ref="AJ65" ca="1">_xlfn.IFS(Tab_NewTRADER[[#This Row],[M_State]]=MUp,                 MIN(Tab_NewTRADER[[#This Row],[L_Sn]],Tab_NewTRADER[[#This Row],[N]])*(Tab_NewTRADER[[#This Row],[M]]-Tab_NewTRADER[[#This Row],[A]])*Tab_NewTRADER[[#This Row],[Scale]]*ComFactor, TRUE,0)</f>
        <v>0</v>
      </c>
      <c r="AK65" s="1433" cm="1">
        <f t="array" aca="1" ref="AK65" ca="1">_xlfn.IFS(Tab_NewTRADER[[#This Row],[M_State]]=MUp,                  Tab_NewTRADER[[#This Row],[N]]*(Tab_NewTRADER[[#This Row],[M]]-Tab_NewTRADER[[#This Row],[A]])*Tab_NewTRADER[[#This Row],[Scale]]*ComFactor, TRUE,0)</f>
        <v>0</v>
      </c>
      <c r="AL65" s="1435" t="str">
        <f ca="1">TEXT(Tab_NewTRADER[[#This Row],[L_Sn]],"#,#0")&amp;" x "&amp;TEXT(Tab_NewTRADER[[#This Row],[L_Sp]],"#,#0.#0")</f>
        <v>488 x 45.93</v>
      </c>
      <c r="AM65" s="1465" t="str" cm="1">
        <f t="array" aca="1" ref="AM65" ca="1">_xlfn.IFS(Tab_NewTRADER[[#This Row],[M_State]]=RePurchaseGain,TEXT(-Tab_NewTRADER[[#This Row],[Buy_Back]],"#,#0")&amp;"       / "&amp;TEXT(Tab_NewTRADER[[#This Row],[Rev_Buy]],"#,#00.0)%"),TRUE,"M = "&amp;Tab_NewTRADER[[#This Row],[M]])</f>
        <v>M = 30.25</v>
      </c>
      <c r="AN65" s="1435" t="str" cm="1">
        <f t="array" aca="1" ref="AN65" ca="1">_xlfn.IFS(Tab_NewTRADER[[#This Row],[M_State]]=MDown,TEXT(Tab_NewTRADER[[#This Row],[L_Sn]]*(Tab_NewTRADER[[#This Row],[M]]-Tab_NewTRADER[[#This Row],[L_Sp]])*ComFactor,"#,#0")&amp;"       / "&amp;TEXT((TabTRADER[[#This Row],[M]]-TabTRADER[[#This Row],[L_Sp]])/TabTRADER[[#This Row],[M]],"#,#00.0)%"),TRUE,0)</f>
        <v>-7,632       / -51.8)%</v>
      </c>
      <c r="AO65" s="1486" t="str" cm="1">
        <f t="array" aca="1" ref="AO65" ca="1">_xlfn.IFS(Tab_NewTRADER[[#This Row],[M_State]]=MDown,TEXT(Tab_NewTRADER[[#This Row],[N]]*(Tab_NewTRADER[[#This Row],[M]]-Tab_NewTRADER[[#This Row],[A]])*Tab_NewTRADER[[#This Row],[Scale]]*ComFactor,"#,#0")&amp;"       / "&amp;TEXT((TabTRADER[[#This Row],[M]]-TabTRADER[[#This Row],[L_Bp]])/TabTRADER[[#This Row],[M]],"#,#00.0%"),TRUE,0)</f>
        <v>-6,530       / 223.7%</v>
      </c>
      <c r="AP65" s="1435" t="str" cm="1">
        <f t="array" aca="1" ref="AP65" ca="1">_xlfn.IFS(Tab_NewTRADER[[#This Row],[M_State]]=MDown,TEXT(Tab_NewTRADER[[#This Row],[N]]*Tab_NewTRADER[[#This Row],[M]],"#,#0")&amp;" @ "&amp;TEXT(Tab_NewTRADER[[#This Row],[A]],"#,#0.#0"),TRUE,"M = "&amp; Tab_NewTRADER[[#This Row],[M]])</f>
        <v>16,940 @ 41.94</v>
      </c>
      <c r="AQ65" s="1165">
        <f ca="1">Tab_NewTRADER[[#This Row],[N]]*(Tab_NewTRADER[[#This Row],[M]]-Tab_NewTRADER[[#This Row],[A]])*(1-Commission)*Tab_NewTRADER[[#This Row],[Scale]]</f>
        <v>-6529.7334370000008</v>
      </c>
      <c r="AR65" s="1165">
        <f ca="1">Tab_NewTRADER[[#This Row],[M]]*Tab_NewTRADER[[#This Row],[N]]*(1-Commission)*Tab_NewTRADER[[#This Row],[Scale]]</f>
        <v>16895.955999999998</v>
      </c>
      <c r="AS65" s="1174" cm="1">
        <f t="array" aca="1" ref="AS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0.27874242312316028</v>
      </c>
      <c r="AT65" s="1174" cm="1">
        <f t="array" aca="1" ref="AT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0.23459008264462802</v>
      </c>
      <c r="AU65" s="825" t="str" cm="1">
        <f t="array" aca="1" ref="AU65" ca="1">_xlfn.IFS(   Tab_NewTRADER[[#This Row],[M_State]]=SellMorePercentGain,                     MIN(Tab_NewTRADER[[#This Row],[L_Sn]],Tab_NewTRADER[[#This Row],[N]])*(Tab_NewTRADER[[#This Row],[M]]-Tab_NewTRADER[[#This Row],[L_Sp]])*(1-Commission)*Tab_NewTRADER[[#This Row],[Scale]],                    TRUE,"")</f>
        <v/>
      </c>
      <c r="AV65" s="1180">
        <f ca="1">_xlfn.XLOOKUP(Tab_NewTRADER[[#This Row],[ClickTick]],TabCalc[Ticker],TabCalc[Ann%RevLB])</f>
        <v>-0.5565970650979376</v>
      </c>
      <c r="AW65" s="1266">
        <f ca="1">_xlfn.XLOOKUP(Tab_NewTRADER[[#This Row],[ClickTick]],TabCalc[Ticker],TabCalc[Up20])</f>
        <v>0</v>
      </c>
      <c r="AX65" s="310" cm="1">
        <f t="array" aca="1" ref="AX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0.23719008264462801</v>
      </c>
      <c r="AY65" s="825" cm="1">
        <f t="array" aca="1" ref="AY65" ca="1">_xlfn.IFS(         Tab_NewTRADER[[#This Row],[M_State]]=MDown,Tab_NewTRADER[[#This Row],[L_Bn]]*Tab_NewTRADER[[#This Row],[M]]*(-(Tab_NewTRADER[[#This Row],[L_Bp]]+Tab_NewTRADER[[#This Row],[M]])/Tab_NewTRADER[[#This Row],[M]])*(1-Commission)*Tab_NewTRADER[[#This Row],[Scale]],                               TRUE,"")</f>
        <v>279.09745499999985</v>
      </c>
      <c r="AZ65" s="1174" cm="1">
        <f t="array" aca="1" ref="AZ65" ca="1">_xlfn.IFS(   Tab_NewTRADER[[#This Row],[M_State]]=MUp,Tab_NewTRADER[[#This Row],[TakeGain_A]]-Commission,        Tab_NewTRADER[[#This Row],[M_State]]=MDown,(Tab_NewTRADER[[#This Row],[A]]-Tab_NewTRADER[[#This Row],[M]])/Tab_NewTRADER[[#This Row],[M]]-Commission,                              TRUE,"")</f>
        <v>0.38386723730814643</v>
      </c>
      <c r="BA65" s="825" cm="1">
        <f t="array" aca="1" ref="BA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6529.7334370000008</v>
      </c>
      <c r="BB65" s="760" t="str" cm="1">
        <f t="array" aca="1" ref="BB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C65" s="736" cm="1">
        <f t="array" aca="1" ref="BC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-7.17</v>
      </c>
      <c r="BD65" s="765" cm="1">
        <f t="array" aca="1" ref="BD65" ca="1">_xlfn.IFS(Tab_NewTRADER[[#This Row],[M_State]]=Sale_Back,"",         Tab_NewTRADER[[#This Row],[M_State]]=MDown, (Tab_NewTRADER[[#This Row],[M]]-Tab_NewTRADER[[#This Row],[A]])/Tab_NewTRADER[[#This Row],[A]]*ComFactor,             TRUE, IFERROR((Tab_NewTRADER[[#This Row],[M]]-Tab_NewTRADER[[#This Row],[A]])/Tab_NewTRADER[[#This Row],[A]]*ComFactor,""))</f>
        <v>-0.27801769282304006</v>
      </c>
      <c r="BE65" s="762" cm="1">
        <f t="array" aca="1" ref="BE65" ca="1">_xlfn.IFS(               Tab_NewTRADER[[#This Row],[M_State]]=NoStock,(Tab_NewTRADER[[#This Row],[L_Sp]]-Tab_NewTRADER[[#This Row],[M]])/Tab_NewTRADER[[#This Row],[M]]-Commission,             Tab_NewTRADER[[#This Row],[A]]&lt;&gt;0,(Tab_NewTRADER[[#This Row],[A]]-Tab_NewTRADER[[#This Row],[M]])/Tab_NewTRADER[[#This Row],[M]]-Commission)</f>
        <v>0.38386723730814643</v>
      </c>
      <c r="BF65" s="324">
        <f ca="1">_xlfn.XLOOKUP(Tab_NewTRADER[[#This Row],[ClickTick]],TabCalc[Ticker],TabCalc[L_Sn])</f>
        <v>488</v>
      </c>
      <c r="BG65" s="728">
        <f ca="1">_xlfn.XLOOKUP(Tab_NewTRADER[[#This Row],[ClickTick]],TabCalc[Ticker],TabCalc[L_Sp])</f>
        <v>45.93</v>
      </c>
      <c r="BH65" s="764">
        <f ca="1">-IFERROR((Tab_NewTRADER[[#This Row],[M]]-Tab_NewTRADER[[#This Row],[L_Sp]])/Tab_NewTRADER[[#This Row],[L_Sp]],0)</f>
        <v>0.34138907032440668</v>
      </c>
      <c r="BI65" s="729">
        <f ca="1">MIN(Tab_NewTRADER[[#This Row],[L_Sn]],Tab_NewTRADER[[#This Row],[N]])*(Tab_NewTRADER[[#This Row],[M]]-Tab_NewTRADER[[#This Row],[L_Sp]])*(1-Commission)*Tab_NewTRADER[[#This Row],[Scale]]</f>
        <v>-7631.9452160000001</v>
      </c>
      <c r="BJ65" s="692">
        <f ca="1">Tab_NewTRADER[[#This Row],[L_Sn]]*(Tab_NewTRADER[[#This Row],[Agiotage]]-Tab_NewTRADER[[#This Row],[M]])/(Tab_NewTRADER[[#This Row],[L_Bn]]*Tab_NewTRADER[[#This Row],[M]])</f>
        <v>-12.512355740956354</v>
      </c>
      <c r="BK65" s="635">
        <f ca="1">IFERROR((Tab_NewTRADER[[#This Row],[M]]-Tab_NewTRADER[[#This Row],[A]])/Tab_NewTRADER[[#This Row],[A]],0)</f>
        <v>-0.27874242312316028</v>
      </c>
      <c r="BL65" s="638" t="str">
        <f ca="1">TEXT(_xlfn.XLOOKUP(Tab_NewTRADER[[#This Row],[ClickTick]],TabCalc[Ticker],TabCalc[NAfter]),"#,#0")&amp;" : "&amp;TEXT(_xlfn.XLOOKUP(Tab_NewTRADER[[#This Row],[ClickTick]],TabCalc[Ticker],TabCalc[NAfter])*(Tab_NewTRADER[[#This Row],[M]]-Tab_NewTRADER[[#This Row],[A]])*(1-Commission)*Tab_NewTRADER[[#This Row],[Scale]],"#,#0$")</f>
        <v>560 : -6,530$</v>
      </c>
      <c r="BM65" s="684">
        <f ca="1">_xlfn.XLOOKUP(Tab_NewTRADER[[#This Row],[ClickTick]],TabCalc[[#This Row],[Ticker]],TabCalc[[#This Row],[GL]])*(1-Commission)</f>
        <v>-67.450609161462197</v>
      </c>
      <c r="BN65" s="684"/>
      <c r="BO65" s="669" t="str">
        <f ca="1">Tab_NewTRADER[[#This Row],[ClickTick]]&amp;": "&amp;_xlfn.XLOOKUP(Tab_NewTRADER[[#This Row],[ClickTick]],TabCalc[Ticker],TabCalc[Pile?])</f>
        <v xml:space="preserve">MVEUN0: </v>
      </c>
      <c r="BP65" s="351" t="s">
        <v>1955</v>
      </c>
      <c r="BQ65" s="755" t="str" cm="1">
        <f t="array" aca="1" ref="BQ65" ca="1">_xlfn.TEXTJOIN("",,INDEX({"M","A","Y"}, _xlfn.SORTBY({1,2,3}, -CHOOSE({1,2,3}, Tab_NewTRADER[[#This Row],[M]], Tab_NewTRADER[[#This Row],[A]], Tab_NewTRADER[[#This Row],[Agiotage]]))))</f>
        <v>AMY</v>
      </c>
      <c r="BR65" s="902" cm="1">
        <f t="array" aca="1" ref="BR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0.23719008264462801</v>
      </c>
      <c r="BS65" s="679" t="e">
        <f ca="1">Tab_NewTRADER[[#This Row],[L_Sn]]*Tab_NewTRADER[[#This Row],[L_Sp]]+Tab_NewTRADER[[#This Row],[SellMore]]*Tab_NewTRADER[[#This Row],[M]]</f>
        <v>#N/A</v>
      </c>
      <c r="BT65" s="679" t="e">
        <f ca="1">INDEX(
  INDEX(TabConsolid[], , _xlfn.XMATCH(Tab_NewTRADER[[#This Row],[ClickTick]]&amp;1, TabConsolid[#Headers])),
  MATCH(
    -Tab_NewTRADER[[#This Row],[M]],
    INDEX(TabConsolid[], , _xlfn.XMATCH(Tab_NewTRADER[[#This Row],[ClickTick]]&amp;2, TabConsolid[#Headers])),
    -1
  )
)</f>
        <v>#N/A</v>
      </c>
      <c r="BU65" s="679" cm="1">
        <f t="array" aca="1" ref="BU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V65" s="1144" t="e">
        <f ca="1">Tab_NewTRADER[[#This Row],[ReBuy]]/(Tab_NewTRADER[[#This Row],[L_Sn]]+Tab_NewTRADER[[#This Row],[SellMore]])</f>
        <v>#N/A</v>
      </c>
      <c r="BW65" s="687">
        <f ca="1">((_xlfn.XLOOKUP(Tab_NewTRADER[[#This Row],[ClickTick]],TabCalc[Ticker],TabCalc[NAfter])+Tab_NewTRADER[[#This Row],[L_Sn]])*(Tab_NewTRADER[[#This Row],[Agiotage]]-Tab_NewTRADER[[#This Row],[M]]))/(Tab_NewTRADER[[#This Row],[L_Sn]]*_xlfn.XLOOKUP(Tab_NewTRADER[[#This Row],[ClickTick]],TabCalc[Ticker],TabCalc[NAfter]))</f>
        <v>-0.11600125319053758</v>
      </c>
      <c r="BX65" s="687">
        <f ca="1">(Tab_NewTRADER[[#This Row],[M]]-Tab_NewTRADER[[#This Row],[Agiotage]])/(Tab_NewTRADER[[#This Row],[M]]-Tab_NewTRADER[[#This Row],[A]])-1</f>
        <v>-3.5874453506381179</v>
      </c>
      <c r="BY65" s="1262">
        <f ca="1">_xlfn.XMATCH(Tab_NewTRADER[[#This Row],[ClickTick]]&amp;1, TabConsolid[#Headers])</f>
        <v>191</v>
      </c>
      <c r="BZ65" t="str">
        <f ca="1">IF(ABS(Tab_NewTRADER[[#This Row],[L_Bp]])&gt;=Tab_NewTRADER[[#This Row],[M]],"OK")</f>
        <v>OK</v>
      </c>
    </row>
    <row r="66" spans="1:78"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+20,657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26.4%</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70/350=18,955</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22,778$</v>
      </c>
      <c r="G66" s="225" t="str">
        <f ca="1">IFERROR(TRUNC(_xlfn.XLOOKUP(Tab_NewTRADER[[#This Row],[ClickTick]],TabCalc[Ticker],ListLastSalep),2)&amp;"x"&amp;_xlfn.XLOOKUP(Tab_NewTRADER[[#This Row],[ClickTick]],TabCalc[Ticker],ListLastSalen)&amp;"=   "&amp;TEXT(-_xlfn.XLOOKUP(Tab_NewTRADER[[#This Row],[ClickTick]],TabCalc[Ticker],ListReverseB),"#,#0")&amp;"$","")</f>
        <v>260x150=   1,505$</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66" s="226" t="str">
        <f ca="1">IFERROR(TRUNC(TabCalc[[#This Row],[L_S1p]],2)&amp;"x"&amp;TabCalc[[#This Row],[L_S1n]]&amp;"=   "&amp;TEXT(TabCalc[[#This Row],[ReverseB1]],"#,#0"),"")</f>
        <v>230.21x300=   -11,946</v>
      </c>
      <c r="J66" s="295">
        <f ca="1">_xlfn.XLOOKUP(Tab_NewTRADER[[#This Row],[ClickTick]],TabCalc[Ticker],ListGravity)</f>
        <v>1.0237046624449135</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0.30565067320598954</v>
      </c>
      <c r="N66" s="324" cm="1">
        <f t="array" aca="1" ref="N66" ca="1">_xlfn.XLOOKUP(Tab_NewTRADER[[#This Row],[ClickTick]],ListTickers,Tab2RSIConventional[RSIConv20])</f>
        <v>59</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0.35829979879275631</v>
      </c>
      <c r="S66" s="683">
        <f ca="1">_xlfn.XLOOKUP(Tab_NewTRADER[[#This Row],[ClickTick]],TabCalc[Ticker],TabCalc[Rev(MinStock)])*(1-Commission)</f>
        <v>20602.992579999987</v>
      </c>
      <c r="T66" s="782">
        <f ca="1">_xlfn.XLOOKUP(Tab_NewTRADER[[#This Row],[ClickTick]],TabCalc[Ticker],TabCalc[Agiotage])</f>
        <v>0.30565067320598954</v>
      </c>
      <c r="U66" s="747"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1,585/1,585=&gt;1.0% / 1.0%</v>
      </c>
      <c r="V66" s="739" t="str">
        <f ca="1">_xlfn.XLOOKUP(Tab_NewTRADER[[#This Row],[ClickTick]],[1]!RTData[Ticker_Symbol],[1]!RTData[Currency])</f>
        <v>USD</v>
      </c>
      <c r="W66" s="749">
        <f ca="1">_xlfn.XLOOKUP(Tab_NewTRADER[[#This Row],[ClickTick]],TabCalc[Ticker],TabCalc[M])</f>
        <v>270.02999999999997</v>
      </c>
      <c r="X66" s="1315"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9.6839999999999999E-3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^127K / 95 K$</v>
      </c>
      <c r="AF66" s="1450"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6" s="1533" t="str">
        <f ca="1">TEXT(MIN(Tab_NewTRADER[[#This Row],[L_Bn]],Tab_NewTRADER[[#This Row],[N]]),"#,#0")&amp;" x "&amp;TEXT(Tab_NewTRADER[[#This Row],[L_Bp]],"#,#0.#0")</f>
        <v>290 x -198.80</v>
      </c>
      <c r="AH66" s="1534" t="str" cm="1">
        <f t="array" aca="1" ref="AH66" ca="1">_xlfn.IFS(Tab_NewTRADER[[#This Row],[M_State]]=Sale_Back,Tab_NewTRADER[[#This Row],[Sale_Back_$]], TRUE,"M = "&amp;Tab_NewTRADER[[#This Row],[M]])</f>
        <v>M = 270.03</v>
      </c>
      <c r="AI66" s="1456" cm="1">
        <f t="array" aca="1" ref="AI66" ca="1">IF(Tab_NewTRADER[[#This Row],[M_State]]=MUp,_xlfn.IFS(Tab_NewTRADER[[#This Row],[M_State]]=MUp,MIN(Tab_NewTRADER[[#This Row],[N]],Tab_NewTRADER[[#This Row],[L_Bn]])*(Tab_NewTRADER[[#This Row],[M]]-Tab_NewTRADER[[#This Row],[L_Sp]])*Tab_NewTRADER[[#This Row],[Scale]]*ComFactor, TRUE,0),0)</f>
        <v>2901.1373799999919</v>
      </c>
      <c r="AJ66" s="1460" cm="1">
        <f t="array" aca="1" ref="AJ66" ca="1">_xlfn.IFS(Tab_NewTRADER[[#This Row],[M_State]]=MUp,                 MIN(Tab_NewTRADER[[#This Row],[L_Sn]],Tab_NewTRADER[[#This Row],[N]])*(Tab_NewTRADER[[#This Row],[M]]-Tab_NewTRADER[[#This Row],[A]])*Tab_NewTRADER[[#This Row],[Scale]]*ComFactor, TRUE,0)</f>
        <v>10499.00605453714</v>
      </c>
      <c r="AK66" s="1460" cm="1">
        <f t="array" aca="1" ref="AK66" ca="1">_xlfn.IFS(Tab_NewTRADER[[#This Row],[M_State]]=MUp,                  Tab_NewTRADER[[#This Row],[N]]*(Tab_NewTRADER[[#This Row],[M]]-Tab_NewTRADER[[#This Row],[A]])*Tab_NewTRADER[[#This Row],[Scale]]*ComFactor, TRUE,0)</f>
        <v>24497.680793919993</v>
      </c>
      <c r="AL66" s="1452" t="str">
        <f ca="1">TEXT(Tab_NewTRADER[[#This Row],[L_Sn]],"#,#0")&amp;" x "&amp;TEXT(Tab_NewTRADER[[#This Row],[L_Sp]],"#,#0.#0")</f>
        <v>150 x 260.0</v>
      </c>
      <c r="AM66" s="1465" t="str" cm="1">
        <f t="array" aca="1" ref="AM66" ca="1">_xlfn.IFS(Tab_NewTRADER[[#This Row],[M_State]]=RePurchaseGain,TEXT(-Tab_NewTRADER[[#This Row],[Buy_Back]],"#,#0")&amp;"       / "&amp;TEXT(Tab_NewTRADER[[#This Row],[Rev_Buy]],"#,#00.0)%"),TRUE,"M = "&amp;Tab_NewTRADER[[#This Row],[M]])</f>
        <v>M = 270.03</v>
      </c>
      <c r="AN66" s="1435" cm="1">
        <f t="array" aca="1" ref="AN66" ca="1">_xlfn.IFS(Tab_NewTRADER[[#This Row],[M_State]]=MDown,TEXT(Tab_NewTRADER[[#This Row],[L_Sn]]*(Tab_NewTRADER[[#This Row],[M]]-Tab_NewTRADER[[#This Row],[L_Sp]])*ComFactor,"#,#0")&amp;"       / "&amp;TEXT((TabTRADER[[#This Row],[M]]-TabTRADER[[#This Row],[L_Sp]])/TabTRADER[[#This Row],[M]],"#,#00.0)%"),TRUE,0)</f>
        <v>0</v>
      </c>
      <c r="AO66" s="1486" cm="1">
        <f t="array" aca="1" ref="AO66" ca="1">_xlfn.IFS(Tab_NewTRADER[[#This Row],[M_State]]=MDown,TEXT(Tab_NewTRADER[[#This Row],[N]]*(Tab_NewTRADER[[#This Row],[M]]-Tab_NewTRADER[[#This Row],[A]])*Tab_NewTRADER[[#This Row],[Scale]]*ComFactor,"#,#0")&amp;"       / "&amp;TEXT((TabTRADER[[#This Row],[M]]-TabTRADER[[#This Row],[L_Bp]])/TabTRADER[[#This Row],[M]],"#,#00.0%"),TRUE,0)</f>
        <v>0</v>
      </c>
      <c r="AP66" s="1435" t="str" cm="1">
        <f t="array" aca="1" ref="AP66" ca="1">_xlfn.IFS(Tab_NewTRADER[[#This Row],[M_State]]=MDown,TEXT(Tab_NewTRADER[[#This Row],[N]]*Tab_NewTRADER[[#This Row],[M]],"#,#0")&amp;" @ "&amp;TEXT(Tab_NewTRADER[[#This Row],[A]],"#,#0.#0"),TRUE,"M = "&amp; Tab_NewTRADER[[#This Row],[M]])</f>
        <v>M = 270.03</v>
      </c>
      <c r="AQ66" s="1165">
        <f ca="1">Tab_NewTRADER[[#This Row],[N]]*(Tab_NewTRADER[[#This Row],[M]]-Tab_NewTRADER[[#This Row],[A]])*(1-Commission)*Tab_NewTRADER[[#This Row],[Scale]]</f>
        <v>24497.680793919993</v>
      </c>
      <c r="AR66" s="1165">
        <f ca="1">Tab_NewTRADER[[#This Row],[M]]*Tab_NewTRADER[[#This Row],[N]]*(1-Commission)*Tab_NewTRADER[[#This Row],[Scale]]</f>
        <v>94264.772699999987</v>
      </c>
      <c r="AS66" s="1174" cm="1">
        <f t="array" aca="1" ref="AS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0.35113518601145954</v>
      </c>
      <c r="AT66" s="1174" cm="1">
        <f t="array" aca="1" ref="AT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3.4544021034699751E-2</v>
      </c>
      <c r="AU66" s="825" cm="1">
        <f t="array" aca="1" ref="AU66" ca="1">_xlfn.IFS(   Tab_NewTRADER[[#This Row],[M_State]]=SellMorePercentGain,                     MIN(Tab_NewTRADER[[#This Row],[L_Sn]],Tab_NewTRADER[[#This Row],[N]])*(Tab_NewTRADER[[#This Row],[M]]-Tab_NewTRADER[[#This Row],[L_Sp]])*(1-Commission)*Tab_NewTRADER[[#This Row],[Scale]],                    TRUE,"")</f>
        <v>1500.5882999999958</v>
      </c>
      <c r="AV66" s="1163">
        <f ca="1">_xlfn.XLOOKUP(Tab_NewTRADER[[#This Row],[ClickTick]],TabCalc[Ticker],TabCalc[Ann%RevLB])</f>
        <v>0.80116725195895822</v>
      </c>
      <c r="AW66" s="1267">
        <f ca="1">_xlfn.XLOOKUP(Tab_NewTRADER[[#This Row],[ClickTick]],TabCalc[Ticker],TabCalc[Up20])</f>
        <v>0</v>
      </c>
      <c r="AX66" s="310" t="str" cm="1">
        <f t="array" aca="1" ref="AX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6" s="825" t="str" cm="1">
        <f t="array" aca="1" ref="AY66" ca="1">_xlfn.IFS(         Tab_NewTRADER[[#This Row],[M_State]]=MDown,Tab_NewTRADER[[#This Row],[L_Bn]]*Tab_NewTRADER[[#This Row],[M]]*(-(Tab_NewTRADER[[#This Row],[L_Bp]]+Tab_NewTRADER[[#This Row],[M]])/Tab_NewTRADER[[#This Row],[M]])*(1-Commission)*Tab_NewTRADER[[#This Row],[Scale]],                               TRUE,"")</f>
        <v/>
      </c>
      <c r="AZ66" s="1174" cm="1">
        <f t="array" aca="1" ref="AZ66" ca="1">_xlfn.IFS(   Tab_NewTRADER[[#This Row],[M_State]]=MUp,Tab_NewTRADER[[#This Row],[TakeGain_A]]-Commission,        Tab_NewTRADER[[#This Row],[M_State]]=MDown,(Tab_NewTRADER[[#This Row],[A]]-Tab_NewTRADER[[#This Row],[M]])/Tab_NewTRADER[[#This Row],[M]]-Commission,                              TRUE,"")</f>
        <v>0.34853518601145955</v>
      </c>
      <c r="BA66" s="825" cm="1">
        <f t="array" aca="1" ref="BA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33099.678496342443</v>
      </c>
      <c r="BB66" s="760" t="str" cm="1">
        <f t="array" aca="1" ref="BB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-0.2%</v>
      </c>
      <c r="BC66" s="736" t="str" cm="1">
        <f t="array" aca="1" ref="BC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290x70.17</v>
      </c>
      <c r="BD66" s="765" cm="1">
        <f t="array" aca="1" ref="BD66" ca="1">_xlfn.IFS(Tab_NewTRADER[[#This Row],[M_State]]=Sale_Back,"",         Tab_NewTRADER[[#This Row],[M_State]]=MDown, (Tab_NewTRADER[[#This Row],[M]]-Tab_NewTRADER[[#This Row],[A]])/Tab_NewTRADER[[#This Row],[A]]*ComFactor,             TRUE, IFERROR((Tab_NewTRADER[[#This Row],[M]]-Tab_NewTRADER[[#This Row],[A]])/Tab_NewTRADER[[#This Row],[A]]*ComFactor,""))</f>
        <v>0.35022223452782975</v>
      </c>
      <c r="BE66" s="762" cm="1">
        <f t="array" aca="1" ref="BE66" ca="1">_xlfn.IFS(               Tab_NewTRADER[[#This Row],[M_State]]=NoStock,(Tab_NewTRADER[[#This Row],[L_Sp]]-Tab_NewTRADER[[#This Row],[M]])/Tab_NewTRADER[[#This Row],[M]]-Commission,             Tab_NewTRADER[[#This Row],[A]]&lt;&gt;0,(Tab_NewTRADER[[#This Row],[A]]-Tab_NewTRADER[[#This Row],[M]])/Tab_NewTRADER[[#This Row],[M]]-Commission)</f>
        <v>-0.26248160892175998</v>
      </c>
      <c r="BF66" s="324">
        <f ca="1">_xlfn.XLOOKUP(Tab_NewTRADER[[#This Row],[ClickTick]],TabCalc[Ticker],TabCalc[L_Sn])</f>
        <v>150</v>
      </c>
      <c r="BG66" s="728">
        <f ca="1">_xlfn.XLOOKUP(Tab_NewTRADER[[#This Row],[ClickTick]],TabCalc[Ticker],TabCalc[L_Sp])</f>
        <v>260</v>
      </c>
      <c r="BH66" s="764">
        <f ca="1">-IFERROR((Tab_NewTRADER[[#This Row],[M]]-Tab_NewTRADER[[#This Row],[L_Sp]])/Tab_NewTRADER[[#This Row],[L_Sp]],0)</f>
        <v>-3.8576923076922974E-2</v>
      </c>
      <c r="BI66" s="729">
        <f ca="1">MIN(Tab_NewTRADER[[#This Row],[L_Sn]],Tab_NewTRADER[[#This Row],[N]])*(Tab_NewTRADER[[#This Row],[M]]-Tab_NewTRADER[[#This Row],[L_Sp]])*(1-Commission)*Tab_NewTRADER[[#This Row],[Scale]]</f>
        <v>1500.5882999999958</v>
      </c>
      <c r="BJ66" s="692">
        <f ca="1">Tab_NewTRADER[[#This Row],[L_Sn]]*(Tab_NewTRADER[[#This Row],[Agiotage]]-Tab_NewTRADER[[#This Row],[M]])/(Tab_NewTRADER[[#This Row],[L_Bn]]*Tab_NewTRADER[[#This Row],[M]])</f>
        <v>-0.51665590667472583</v>
      </c>
      <c r="BK66" s="635">
        <f ca="1">IFERROR((Tab_NewTRADER[[#This Row],[M]]-Tab_NewTRADER[[#This Row],[A]])/Tab_NewTRADER[[#This Row],[A]],0)</f>
        <v>0.35113518601145954</v>
      </c>
      <c r="BL66" s="638" t="str">
        <f ca="1">TEXT(_xlfn.XLOOKUP(Tab_NewTRADER[[#This Row],[ClickTick]],TabCalc[Ticker],TabCalc[NAfter]),"#,#0")&amp;" : "&amp;TEXT(_xlfn.XLOOKUP(Tab_NewTRADER[[#This Row],[ClickTick]],TabCalc[Ticker],TabCalc[NAfter])*(Tab_NewTRADER[[#This Row],[M]]-Tab_NewTRADER[[#This Row],[A]])*(1-Commission)*Tab_NewTRADER[[#This Row],[Scale]],"#,#0$")</f>
        <v>350 : 24,498$</v>
      </c>
      <c r="BM66" s="684">
        <f ca="1">_xlfn.XLOOKUP(Tab_NewTRADER[[#This Row],[ClickTick]],TabCalc[[#This Row],[Ticker]],TabCalc[[#This Row],[GL]])*(1-Commission)</f>
        <v>126574.30422026155</v>
      </c>
      <c r="BN66" s="684"/>
      <c r="BO66" s="669" t="str">
        <f ca="1">Tab_NewTRADER[[#This Row],[ClickTick]]&amp;": "&amp;_xlfn.XLOOKUP(Tab_NewTRADER[[#This Row],[ClickTick]],TabCalc[Ticker],TabCalc[Pile?])</f>
        <v xml:space="preserve">SAFAAPL: </v>
      </c>
      <c r="BP66" s="351" t="s">
        <v>1956</v>
      </c>
      <c r="BQ66" s="755" t="str" cm="1">
        <f t="array" aca="1" ref="BQ66" ca="1">_xlfn.TEXTJOIN("",,INDEX({"M","A","Y"}, _xlfn.SORTBY({1,2,3}, -CHOOSE({1,2,3}, Tab_NewTRADER[[#This Row],[M]], Tab_NewTRADER[[#This Row],[A]], Tab_NewTRADER[[#This Row],[Agiotage]]))))</f>
        <v>MAY</v>
      </c>
      <c r="BR66" s="902" cm="1">
        <f t="array" aca="1" ref="BR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3.7144021034699749E-2</v>
      </c>
      <c r="BS66" s="679">
        <f ca="1">Tab_NewTRADER[[#This Row],[L_Sn]]*Tab_NewTRADER[[#This Row],[L_Sp]]+Tab_NewTRADER[[#This Row],[SellMore]]*Tab_NewTRADER[[#This Row],[M]]</f>
        <v>55201.8</v>
      </c>
      <c r="BT66" s="679">
        <f ca="1">INDEX(
  INDEX(TabConsolid[], , _xlfn.XMATCH(Tab_NewTRADER[[#This Row],[ClickTick]]&amp;1, TabConsolid[#Headers])),
  MATCH(
    -Tab_NewTRADER[[#This Row],[M]],
    INDEX(TabConsolid[], , _xlfn.XMATCH(Tab_NewTRADER[[#This Row],[ClickTick]]&amp;2, TabConsolid[#Headers])),
    -1
  )
)</f>
        <v>60</v>
      </c>
      <c r="BU66" s="679" cm="1">
        <f t="array" aca="1" ref="BU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V66" s="1144">
        <f ca="1">Tab_NewTRADER[[#This Row],[ReBuy]]/(Tab_NewTRADER[[#This Row],[L_Sn]]+Tab_NewTRADER[[#This Row],[SellMore]])</f>
        <v>262.86571428571432</v>
      </c>
      <c r="BW66" s="687">
        <f ca="1">((_xlfn.XLOOKUP(Tab_NewTRADER[[#This Row],[ClickTick]],TabCalc[Ticker],TabCalc[NAfter])+Tab_NewTRADER[[#This Row],[L_Sn]])*(Tab_NewTRADER[[#This Row],[Agiotage]]-Tab_NewTRADER[[#This Row],[M]]))/(Tab_NewTRADER[[#This Row],[L_Sn]]*_xlfn.XLOOKUP(Tab_NewTRADER[[#This Row],[ClickTick]],TabCalc[Ticker],TabCalc[NAfter]))</f>
        <v>-2.5688033269218473</v>
      </c>
      <c r="BX66" s="687">
        <f ca="1">(Tab_NewTRADER[[#This Row],[M]]-Tab_NewTRADER[[#This Row],[Agiotage]])/(Tab_NewTRADER[[#This Row],[M]]-Tab_NewTRADER[[#This Row],[A]])-1</f>
        <v>2.8435504935577134</v>
      </c>
      <c r="BY66" s="1262">
        <f ca="1">_xlfn.XMATCH(Tab_NewTRADER[[#This Row],[ClickTick]]&amp;1, TabConsolid[#Headers])</f>
        <v>194</v>
      </c>
      <c r="BZ66" t="b">
        <f ca="1">IF(ABS(Tab_NewTRADER[[#This Row],[L_Bp]])&gt;=Tab_NewTRADER[[#This Row],[M]],"OK")</f>
        <v>0</v>
      </c>
    </row>
    <row r="67" spans="1:78" ht="23"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+3,966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10,684</v>
      </c>
      <c r="F67" s="226" t="str">
        <f ca="1">TRUNC(TabCalc[[#This Row],[L_B1p]],2)&amp;"x"&amp;TabCalc[[#This Row],[L_B1n]]&amp;"=   "&amp;TEXT(TabCalc[[#This Row],[ReverseS1]],"#,#0")&amp;"$"</f>
        <v>-193.49x250=   6,923$</v>
      </c>
      <c r="G67" s="225" t="str">
        <f ca="1">IFERROR(TRUNC(_xlfn.XLOOKUP(Tab_NewTRADER[[#This Row],[ClickTick]],TabCalc[Ticker],ListLastSalep),2)&amp;"x"&amp;_xlfn.XLOOKUP(Tab_NewTRADER[[#This Row],[ClickTick]],TabCalc[Ticker],ListLastSalen)&amp;"=   "&amp;TEXT(-_xlfn.XLOOKUP(Tab_NewTRADER[[#This Row],[ClickTick]],TabCalc[Ticker],ListReverseB),"#,#0")&amp;"$","")</f>
        <v>221.65x500=   -234$</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10,684</v>
      </c>
      <c r="I67" s="226" t="str">
        <f ca="1">IFERROR(TRUNC(TabCalc[[#This Row],[L_S1p]],2)&amp;"x"&amp;TabCalc[[#This Row],[L_S1n]]&amp;"=   "&amp;TEXT(TabCalc[[#This Row],[ReverseB1]],"#,#0"),"")</f>
        <v>232.72x500=   5,769</v>
      </c>
      <c r="J67" s="295">
        <f ca="1">_xlfn.XLOOKUP(Tab_NewTRADER[[#This Row],[ClickTick]],TabCalc[Ticker],ListGravity)</f>
        <v>1.3040125326654068</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0.55227376593669197</v>
      </c>
      <c r="N67" s="324" cm="1">
        <f t="array" aca="1" ref="N67" ca="1">_xlfn.XLOOKUP(Tab_NewTRADER[[#This Row],[ClickTick]],ListTickers,Tab2RSIConventional[RSIConv20])</f>
        <v>24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3.7195779601406742E-2</v>
      </c>
      <c r="S67" s="683">
        <f ca="1">_xlfn.XLOOKUP(Tab_NewTRADER[[#This Row],[ClickTick]],TabCalc[Ticker],TabCalc[Rev(MinStock)])*(1-Commission)</f>
        <v>3955.6883999999941</v>
      </c>
      <c r="T67" s="782">
        <f ca="1">_xlfn.XLOOKUP(Tab_NewTRADER[[#This Row],[ClickTick]],TabCalc[Ticker],TabCalc[Agiotage])</f>
        <v>0.55227376593669197</v>
      </c>
      <c r="U67" s="747"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-3,612/-3,612=&gt;-0.6% / -0.6%</v>
      </c>
      <c r="V67" s="739" t="str">
        <f ca="1">_xlfn.XLOOKUP(Tab_NewTRADER[[#This Row],[ClickTick]],[1]!RTData[Ticker_Symbol],[1]!RTData[Currency])</f>
        <v>USD</v>
      </c>
      <c r="W67" s="749">
        <f ca="1">_xlfn.XLOOKUP(Tab_NewTRADER[[#This Row],[ClickTick]],TabCalc[Ticker],TabCalc[M])</f>
        <v>221.18199999999999</v>
      </c>
      <c r="X67" s="1315"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-6.1470000000000006E-3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^159K / 332 K$</v>
      </c>
      <c r="AF67" s="1450"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67" s="1535" t="str">
        <f ca="1">TEXT(MIN(Tab_NewTRADER[[#This Row],[L_Bn]],Tab_NewTRADER[[#This Row],[N]]),"#,#0")&amp;" x "&amp;TEXT(Tab_NewTRADER[[#This Row],[L_Bp]],"#,#0.#0")</f>
        <v>500 x -213.25</v>
      </c>
      <c r="AH67" s="1536" t="str" cm="1">
        <f t="array" aca="1" ref="AH67" ca="1">_xlfn.IFS(Tab_NewTRADER[[#This Row],[M_State]]=Sale_Back,Tab_NewTRADER[[#This Row],[Sale_Back_$]], TRUE,"M = "&amp;Tab_NewTRADER[[#This Row],[M]])</f>
        <v>M = 221.182</v>
      </c>
      <c r="AI67" s="1457" cm="1">
        <f t="array" aca="1" ref="AI67" ca="1">IF(Tab_NewTRADER[[#This Row],[M_State]]=MUp,_xlfn.IFS(Tab_NewTRADER[[#This Row],[M_State]]=MUp,MIN(Tab_NewTRADER[[#This Row],[N]],Tab_NewTRADER[[#This Row],[L_Bn]])*(Tab_NewTRADER[[#This Row],[M]]-Tab_NewTRADER[[#This Row],[L_Sp]])*Tab_NewTRADER[[#This Row],[Scale]]*ComFactor, TRUE,0),0)</f>
        <v>0</v>
      </c>
      <c r="AJ67" s="1461" cm="1">
        <f t="array" aca="1" ref="AJ67" ca="1">_xlfn.IFS(Tab_NewTRADER[[#This Row],[M_State]]=MUp,                 MIN(Tab_NewTRADER[[#This Row],[L_Sn]],Tab_NewTRADER[[#This Row],[N]])*(Tab_NewTRADER[[#This Row],[M]]-Tab_NewTRADER[[#This Row],[A]])*Tab_NewTRADER[[#This Row],[Scale]]*ComFactor, TRUE,0)</f>
        <v>0</v>
      </c>
      <c r="AK67" s="1461" cm="1">
        <f t="array" aca="1" ref="AK67" ca="1">_xlfn.IFS(Tab_NewTRADER[[#This Row],[M_State]]=MUp,                  Tab_NewTRADER[[#This Row],[N]]*(Tab_NewTRADER[[#This Row],[M]]-Tab_NewTRADER[[#This Row],[A]])*Tab_NewTRADER[[#This Row],[Scale]]*ComFactor, TRUE,0)</f>
        <v>0</v>
      </c>
      <c r="AL67" s="1452" t="str">
        <f ca="1">TEXT(Tab_NewTRADER[[#This Row],[L_Sn]],"#,#0")&amp;" x "&amp;TEXT(Tab_NewTRADER[[#This Row],[L_Sp]],"#,#0.#0")</f>
        <v>500 x 221.65</v>
      </c>
      <c r="AM67" s="1465" t="str" cm="1">
        <f t="array" aca="1" ref="AM67" ca="1">_xlfn.IFS(Tab_NewTRADER[[#This Row],[M_State]]=RePurchaseGain,TEXT(-Tab_NewTRADER[[#This Row],[Buy_Back]],"#,#0")&amp;"       / "&amp;TEXT(Tab_NewTRADER[[#This Row],[Rev_Buy]],"#,#00.0)%"),TRUE,"M = "&amp;Tab_NewTRADER[[#This Row],[M]])</f>
        <v>233       / 00.2)%</v>
      </c>
      <c r="AN67" s="1435" cm="1">
        <f t="array" aca="1" ref="AN67" ca="1">_xlfn.IFS(Tab_NewTRADER[[#This Row],[M_State]]=MDown,TEXT(Tab_NewTRADER[[#This Row],[L_Sn]]*(Tab_NewTRADER[[#This Row],[M]]-Tab_NewTRADER[[#This Row],[L_Sp]])*ComFactor,"#,#0")&amp;"       / "&amp;TEXT((TabTRADER[[#This Row],[M]]-TabTRADER[[#This Row],[L_Sp]])/TabTRADER[[#This Row],[M]],"#,#00.0)%"),TRUE,0)</f>
        <v>0</v>
      </c>
      <c r="AO67" s="1486" cm="1">
        <f t="array" aca="1" ref="AO67" ca="1">_xlfn.IFS(Tab_NewTRADER[[#This Row],[M_State]]=MDown,TEXT(Tab_NewTRADER[[#This Row],[N]]*(Tab_NewTRADER[[#This Row],[M]]-Tab_NewTRADER[[#This Row],[A]])*Tab_NewTRADER[[#This Row],[Scale]]*ComFactor,"#,#0")&amp;"       / "&amp;TEXT((TabTRADER[[#This Row],[M]]-TabTRADER[[#This Row],[L_Bp]])/TabTRADER[[#This Row],[M]],"#,#00.0%"),TRUE,0)</f>
        <v>0</v>
      </c>
      <c r="AP67" s="1435" t="str" cm="1">
        <f t="array" aca="1" ref="AP67" ca="1">_xlfn.IFS(Tab_NewTRADER[[#This Row],[M_State]]=MDown,TEXT(Tab_NewTRADER[[#This Row],[N]]*Tab_NewTRADER[[#This Row],[M]],"#,#0")&amp;" @ "&amp;TEXT(Tab_NewTRADER[[#This Row],[A]],"#,#0.#0"),TRUE,"M = "&amp; Tab_NewTRADER[[#This Row],[M]])</f>
        <v>M = 221.182</v>
      </c>
      <c r="AQ67" s="1165">
        <f ca="1">Tab_NewTRADER[[#This Row],[N]]*(Tab_NewTRADER[[#This Row],[M]]-Tab_NewTRADER[[#This Row],[A]])*(1-Commission)*Tab_NewTRADER[[#This Row],[Scale]]</f>
        <v>24658.7202</v>
      </c>
      <c r="AR67" s="1165">
        <f ca="1">Tab_NewTRADER[[#This Row],[M]]*Tab_NewTRADER[[#This Row],[N]]*(1-Commission)*Tab_NewTRADER[[#This Row],[Scale]]</f>
        <v>330910.39019999997</v>
      </c>
      <c r="AS67" s="1174" cm="1">
        <f t="array" aca="1" ref="AS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2.1114369501467074E-3</v>
      </c>
      <c r="AT67" s="1174" t="str" cm="1">
        <f t="array" aca="1" ref="AT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7" s="825" t="str" cm="1">
        <f t="array" aca="1" ref="AU67" ca="1">_xlfn.IFS(   Tab_NewTRADER[[#This Row],[M_State]]=SellMorePercentGain,                     MIN(Tab_NewTRADER[[#This Row],[L_Sn]],Tab_NewTRADER[[#This Row],[N]])*(Tab_NewTRADER[[#This Row],[M]]-Tab_NewTRADER[[#This Row],[L_Sp]])*(1-Commission)*Tab_NewTRADER[[#This Row],[Scale]],                    TRUE,"")</f>
        <v/>
      </c>
      <c r="AV67" s="1163">
        <f ca="1">_xlfn.XLOOKUP(Tab_NewTRADER[[#This Row],[ClickTick]],TabCalc[Ticker],TabCalc[Ann%RevLB])</f>
        <v>8.3170687307493329E-2</v>
      </c>
      <c r="AW67" s="1267">
        <f ca="1">_xlfn.XLOOKUP(Tab_NewTRADER[[#This Row],[ClickTick]],TabCalc[Ticker],TabCalc[Up20])</f>
        <v>0</v>
      </c>
      <c r="AX67" s="310" t="str" cm="1">
        <f t="array" aca="1" ref="AX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7" s="825" t="str" cm="1">
        <f t="array" aca="1" ref="AY67" ca="1">_xlfn.IFS(         Tab_NewTRADER[[#This Row],[M_State]]=MDown,Tab_NewTRADER[[#This Row],[L_Bn]]*Tab_NewTRADER[[#This Row],[M]]*(-(Tab_NewTRADER[[#This Row],[L_Bp]]+Tab_NewTRADER[[#This Row],[M]])/Tab_NewTRADER[[#This Row],[M]])*(1-Commission)*Tab_NewTRADER[[#This Row],[Scale]],                               TRUE,"")</f>
        <v/>
      </c>
      <c r="AZ67" s="1174" t="str" cm="1">
        <f t="array" aca="1" ref="AZ67" ca="1">_xlfn.IFS(   Tab_NewTRADER[[#This Row],[M_State]]=MUp,Tab_NewTRADER[[#This Row],[TakeGain_A]]-Commission,        Tab_NewTRADER[[#This Row],[M_State]]=MDown,(Tab_NewTRADER[[#This Row],[A]]-Tab_NewTRADER[[#This Row],[M]])/Tab_NewTRADER[[#This Row],[M]]-Commission,                              TRUE,"")</f>
        <v/>
      </c>
      <c r="BA67" s="825" cm="1">
        <f t="array" aca="1" ref="BA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24658.7202</v>
      </c>
      <c r="BB67" s="760" t="str" cm="1">
        <f t="array" aca="1" ref="BB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C67" s="736" t="str" cm="1">
        <f t="array" aca="1" ref="BC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67" s="765" cm="1">
        <f t="array" aca="1" ref="BD67" ca="1">_xlfn.IFS(Tab_NewTRADER[[#This Row],[M_State]]=Sale_Back,"",         Tab_NewTRADER[[#This Row],[M_State]]=MDown, (Tab_NewTRADER[[#This Row],[M]]-Tab_NewTRADER[[#This Row],[A]])/Tab_NewTRADER[[#This Row],[A]]*ComFactor,             TRUE, IFERROR((Tab_NewTRADER[[#This Row],[M]]-Tab_NewTRADER[[#This Row],[A]])/Tab_NewTRADER[[#This Row],[A]]*ComFactor,""))</f>
        <v>8.0308484611626763E-2</v>
      </c>
      <c r="BE67" s="762" cm="1">
        <f t="array" aca="1" ref="BE67" ca="1">_xlfn.IFS(               Tab_NewTRADER[[#This Row],[M_State]]=NoStock,(Tab_NewTRADER[[#This Row],[L_Sp]]-Tab_NewTRADER[[#This Row],[M]])/Tab_NewTRADER[[#This Row],[M]]-Commission,             Tab_NewTRADER[[#This Row],[A]]&lt;&gt;0,(Tab_NewTRADER[[#This Row],[A]]-Tab_NewTRADER[[#This Row],[M]])/Tab_NewTRADER[[#This Row],[M]]-Commission)</f>
        <v>-7.7117817905616198E-2</v>
      </c>
      <c r="BF67" s="324">
        <f ca="1">_xlfn.XLOOKUP(Tab_NewTRADER[[#This Row],[ClickTick]],TabCalc[Ticker],TabCalc[L_Sn])</f>
        <v>500</v>
      </c>
      <c r="BG67" s="728">
        <f ca="1">_xlfn.XLOOKUP(Tab_NewTRADER[[#This Row],[ClickTick]],TabCalc[Ticker],TabCalc[L_Sp])</f>
        <v>221.65</v>
      </c>
      <c r="BH67" s="764">
        <f ca="1">-IFERROR((Tab_NewTRADER[[#This Row],[M]]-Tab_NewTRADER[[#This Row],[L_Sp]])/Tab_NewTRADER[[#This Row],[L_Sp]],0)</f>
        <v>2.1114369501467074E-3</v>
      </c>
      <c r="BI67" s="729">
        <f ca="1">MIN(Tab_NewTRADER[[#This Row],[L_Sn]],Tab_NewTRADER[[#This Row],[N]])*(Tab_NewTRADER[[#This Row],[M]]-Tab_NewTRADER[[#This Row],[L_Sp]])*(1-Commission)*Tab_NewTRADER[[#This Row],[Scale]]</f>
        <v>-233.39160000000882</v>
      </c>
      <c r="BJ67" s="692">
        <f ca="1">Tab_NewTRADER[[#This Row],[L_Sn]]*(Tab_NewTRADER[[#This Row],[Agiotage]]-Tab_NewTRADER[[#This Row],[M]])/(Tab_NewTRADER[[#This Row],[L_Bn]]*Tab_NewTRADER[[#This Row],[M]])</f>
        <v>-0.99750307997062737</v>
      </c>
      <c r="BK67" s="635">
        <f ca="1">IFERROR((Tab_NewTRADER[[#This Row],[M]]-Tab_NewTRADER[[#This Row],[A]])/Tab_NewTRADER[[#This Row],[A]],0)</f>
        <v>8.0517830972154369E-2</v>
      </c>
      <c r="BL67" s="638" t="str">
        <f ca="1">TEXT(_xlfn.XLOOKUP(Tab_NewTRADER[[#This Row],[ClickTick]],TabCalc[Ticker],TabCalc[NAfter]),"#,#0")&amp;" : "&amp;TEXT(_xlfn.XLOOKUP(Tab_NewTRADER[[#This Row],[ClickTick]],TabCalc[Ticker],TabCalc[NAfter])*(Tab_NewTRADER[[#This Row],[M]]-Tab_NewTRADER[[#This Row],[A]])*(1-Commission)*Tab_NewTRADER[[#This Row],[Scale]],"#,#0$")</f>
        <v>1,500 : 24,659$</v>
      </c>
      <c r="BM67" s="684">
        <f ca="1">_xlfn.XLOOKUP(Tab_NewTRADER[[#This Row],[ClickTick]],TabCalc[[#This Row],[Ticker]],TabCalc[[#This Row],[GL]])*(1-Commission)</f>
        <v>158400.02454731482</v>
      </c>
      <c r="BN67" s="684"/>
      <c r="BO67" s="669" t="str">
        <f ca="1">Tab_NewTRADER[[#This Row],[ClickTick]]&amp;": "&amp;_xlfn.XLOOKUP(Tab_NewTRADER[[#This Row],[ClickTick]],TabCalc[Ticker],TabCalc[Pile?])</f>
        <v xml:space="preserve">SAFAMZN: </v>
      </c>
      <c r="BP67" s="351" t="s">
        <v>1957</v>
      </c>
      <c r="BQ67" s="755" t="str" cm="1">
        <f t="array" aca="1" ref="BQ67" ca="1">_xlfn.TEXTJOIN("",,INDEX({"M","A","Y"}, _xlfn.SORTBY({1,2,3}, -CHOOSE({1,2,3}, Tab_NewTRADER[[#This Row],[M]], Tab_NewTRADER[[#This Row],[A]], Tab_NewTRADER[[#This Row],[Agiotage]]))))</f>
        <v>MAY</v>
      </c>
      <c r="BR67" s="902" t="str" cm="1">
        <f t="array" aca="1" ref="BR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7" s="679">
        <f ca="1">Tab_NewTRADER[[#This Row],[L_Sn]]*Tab_NewTRADER[[#This Row],[L_Sp]]+Tab_NewTRADER[[#This Row],[SellMore]]*Tab_NewTRADER[[#This Row],[M]]</f>
        <v>221416</v>
      </c>
      <c r="BT67" s="679">
        <f ca="1">INDEX(
  INDEX(TabConsolid[], , _xlfn.XMATCH(Tab_NewTRADER[[#This Row],[ClickTick]]&amp;1, TabConsolid[#Headers])),
  MATCH(
    -Tab_NewTRADER[[#This Row],[M]],
    INDEX(TabConsolid[], , _xlfn.XMATCH(Tab_NewTRADER[[#This Row],[ClickTick]]&amp;2, TabConsolid[#Headers])),
    -1
  )
)</f>
        <v>500</v>
      </c>
      <c r="BU67" s="679" cm="1">
        <f t="array" aca="1" ref="BU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V67" s="1144">
        <f ca="1">Tab_NewTRADER[[#This Row],[ReBuy]]/(Tab_NewTRADER[[#This Row],[L_Sn]]+Tab_NewTRADER[[#This Row],[SellMore]])</f>
        <v>221.416</v>
      </c>
      <c r="BW67" s="687">
        <f ca="1">((_xlfn.XLOOKUP(Tab_NewTRADER[[#This Row],[ClickTick]],TabCalc[Ticker],TabCalc[NAfter])+Tab_NewTRADER[[#This Row],[L_Sn]])*(Tab_NewTRADER[[#This Row],[Agiotage]]-Tab_NewTRADER[[#This Row],[M]]))/(Tab_NewTRADER[[#This Row],[L_Sn]]*_xlfn.XLOOKUP(Tab_NewTRADER[[#This Row],[ClickTick]],TabCalc[Ticker],TabCalc[NAfter]))</f>
        <v>-0.58834593662416879</v>
      </c>
      <c r="BX67" s="687">
        <f ca="1">(Tab_NewTRADER[[#This Row],[M]]-Tab_NewTRADER[[#This Row],[Agiotage]])/(Tab_NewTRADER[[#This Row],[M]]-Tab_NewTRADER[[#This Row],[A]])-1</f>
        <v>12.386101579545159</v>
      </c>
      <c r="BY67" s="1262">
        <f ca="1">_xlfn.XMATCH(Tab_NewTRADER[[#This Row],[ClickTick]]&amp;1, TabConsolid[#Headers])</f>
        <v>197</v>
      </c>
      <c r="BZ67" t="b">
        <f ca="1">IF(ABS(Tab_NewTRADER[[#This Row],[L_Bp]])&gt;=Tab_NewTRADER[[#This Row],[M]],"OK")</f>
        <v>0</v>
      </c>
    </row>
    <row r="68" spans="1:78"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+20,404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32.9%</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17/250=15,208</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11,255$</v>
      </c>
      <c r="G68" s="225" t="str">
        <f ca="1">IFERROR(TRUNC(_xlfn.XLOOKUP(Tab_NewTRADER[[#This Row],[ClickTick]],TabCalc[Ticker],ListLastSalep),2)&amp;"x"&amp;_xlfn.XLOOKUP(Tab_NewTRADER[[#This Row],[ClickTick]],TabCalc[Ticker],ListLastSalen)&amp;"=   "&amp;TEXT(-_xlfn.XLOOKUP(Tab_NewTRADER[[#This Row],[ClickTick]],TabCalc[Ticker],ListReverseB),"#,#0")&amp;"$","")</f>
        <v>660.2x54=   12,226$</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-25.5% = 0</v>
      </c>
      <c r="I68" s="226" t="str">
        <f ca="1">IFERROR(TRUNC(TabCalc[[#This Row],[L_S1p]],2)&amp;"x"&amp;TabCalc[[#This Row],[L_S1n]]&amp;"=   "&amp;TEXT(TabCalc[[#This Row],[ReverseB1]],"#,#0"),"")</f>
        <v>606.66x66=   -18,476</v>
      </c>
      <c r="J68" s="295">
        <f ca="1">_xlfn.XLOOKUP(Tab_NewTRADER[[#This Row],[ClickTick]],TabCalc[Ticker],ListGravity)</f>
        <v>1.0623767877284007</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79794</v>
      </c>
      <c r="M68" s="323">
        <f ca="1">_xlfn.XLOOKUP(Tab_NewTRADER[[#This Row],[ClickTick]],TabCalc[Ticker],TabCalc[Agiotage])</f>
        <v>1.0213644846396783</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0.48980860681218596</v>
      </c>
      <c r="S68" s="683">
        <f ca="1">_xlfn.XLOOKUP(Tab_NewTRADER[[#This Row],[ClickTick]],TabCalc[Ticker],TabCalc[Rev(MinStock)])*(1-Commission)</f>
        <v>20351.248819999997</v>
      </c>
      <c r="T68" s="782">
        <f ca="1">_xlfn.XLOOKUP(Tab_NewTRADER[[#This Row],[ClickTick]],TabCalc[Ticker],TabCalc[Agiotage])</f>
        <v>1.0213644846396783</v>
      </c>
      <c r="U68" s="747"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6,375/6,375=&gt;2.4% / 2.4%</v>
      </c>
      <c r="V68" s="739" t="str">
        <f ca="1">_xlfn.XLOOKUP(Tab_NewTRADER[[#This Row],[ClickTick]],[1]!RTData[Ticker_Symbol],[1]!RTData[Currency])</f>
        <v>EUR</v>
      </c>
      <c r="W68" s="749">
        <f ca="1">_xlfn.XLOOKUP(Tab_NewTRADER[[#This Row],[ClickTick]],TabCalc[Ticker],TabCalc[M])</f>
        <v>886.6</v>
      </c>
      <c r="X68" s="1315"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2.4260999999999998E-2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^180K / 222 K$</v>
      </c>
      <c r="AF68" s="1182"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8" s="1530" t="str">
        <f ca="1">TEXT(MIN(Tab_NewTRADER[[#This Row],[L_Bn]],Tab_NewTRADER[[#This Row],[N]]),"#,#0")&amp;" x "&amp;TEXT(Tab_NewTRADER[[#This Row],[L_Bp]],"#,#0.#0")</f>
        <v>70 x -595.11</v>
      </c>
      <c r="AH68" s="1530" t="str" cm="1">
        <f t="array" aca="1" ref="AH68" ca="1">_xlfn.IFS(Tab_NewTRADER[[#This Row],[M_State]]=Sale_Back,Tab_NewTRADER[[#This Row],[Sale_Back_$]], TRUE,"M = "&amp;Tab_NewTRADER[[#This Row],[M]])</f>
        <v>M = 886.6</v>
      </c>
      <c r="AI68" s="1433" cm="1">
        <f t="array" aca="1" ref="AI68" ca="1">IF(Tab_NewTRADER[[#This Row],[M_State]]=MUp,_xlfn.IFS(Tab_NewTRADER[[#This Row],[M_State]]=MUp,MIN(Tab_NewTRADER[[#This Row],[N]],Tab_NewTRADER[[#This Row],[L_Bn]])*(Tab_NewTRADER[[#This Row],[M]]-Tab_NewTRADER[[#This Row],[L_Sp]])*Tab_NewTRADER[[#This Row],[Scale]]*ComFactor, TRUE,0),0)</f>
        <v>15806.795199999997</v>
      </c>
      <c r="AJ68" s="1433" cm="1">
        <f t="array" aca="1" ref="AJ68" ca="1">_xlfn.IFS(Tab_NewTRADER[[#This Row],[M_State]]=MUp,                 MIN(Tab_NewTRADER[[#This Row],[L_Sn]],Tab_NewTRADER[[#This Row],[N]])*(Tab_NewTRADER[[#This Row],[M]]-Tab_NewTRADER[[#This Row],[A]])*Tab_NewTRADER[[#This Row],[Scale]]*ComFactor, TRUE,0)</f>
        <v>12507.655914460798</v>
      </c>
      <c r="AK68" s="1433" cm="1">
        <f t="array" aca="1" ref="AK68" ca="1">_xlfn.IFS(Tab_NewTRADER[[#This Row],[M_State]]=MUp,                  Tab_NewTRADER[[#This Row],[N]]*(Tab_NewTRADER[[#This Row],[M]]-Tab_NewTRADER[[#This Row],[A]])*Tab_NewTRADER[[#This Row],[Scale]]*ComFactor, TRUE,0)</f>
        <v>57905.814418799993</v>
      </c>
      <c r="AL68" s="1435" t="str">
        <f ca="1">TEXT(Tab_NewTRADER[[#This Row],[L_Sn]],"#,#0")&amp;" x "&amp;TEXT(Tab_NewTRADER[[#This Row],[L_Sp]],"#,#0.#0")</f>
        <v>54 x 660.20</v>
      </c>
      <c r="AM68" s="1465" t="str" cm="1">
        <f t="array" aca="1" ref="AM68" ca="1">_xlfn.IFS(Tab_NewTRADER[[#This Row],[M_State]]=RePurchaseGain,TEXT(-Tab_NewTRADER[[#This Row],[Buy_Back]],"#,#0")&amp;"       / "&amp;TEXT(Tab_NewTRADER[[#This Row],[Rev_Buy]],"#,#00.0)%"),TRUE,"M = "&amp;Tab_NewTRADER[[#This Row],[M]])</f>
        <v>M = 886.6</v>
      </c>
      <c r="AN68" s="1435" cm="1">
        <f t="array" aca="1" ref="AN68" ca="1">_xlfn.IFS(Tab_NewTRADER[[#This Row],[M_State]]=MDown,TEXT(Tab_NewTRADER[[#This Row],[L_Sn]]*(Tab_NewTRADER[[#This Row],[M]]-Tab_NewTRADER[[#This Row],[L_Sp]])*ComFactor,"#,#0")&amp;"       / "&amp;TEXT((TabTRADER[[#This Row],[M]]-TabTRADER[[#This Row],[L_Sp]])/TabTRADER[[#This Row],[M]],"#,#00.0)%"),TRUE,0)</f>
        <v>0</v>
      </c>
      <c r="AO68" s="1486" cm="1">
        <f t="array" aca="1" ref="AO68" ca="1">_xlfn.IFS(Tab_NewTRADER[[#This Row],[M_State]]=MDown,TEXT(Tab_NewTRADER[[#This Row],[N]]*(Tab_NewTRADER[[#This Row],[M]]-Tab_NewTRADER[[#This Row],[A]])*Tab_NewTRADER[[#This Row],[Scale]]*ComFactor,"#,#0")&amp;"       / "&amp;TEXT((TabTRADER[[#This Row],[M]]-TabTRADER[[#This Row],[L_Bp]])/TabTRADER[[#This Row],[M]],"#,#00.0%"),TRUE,0)</f>
        <v>0</v>
      </c>
      <c r="AP68" s="1435" t="str" cm="1">
        <f t="array" aca="1" ref="AP68" ca="1">_xlfn.IFS(Tab_NewTRADER[[#This Row],[M_State]]=MDown,TEXT(Tab_NewTRADER[[#This Row],[N]]*Tab_NewTRADER[[#This Row],[M]],"#,#0")&amp;" @ "&amp;TEXT(Tab_NewTRADER[[#This Row],[A]],"#,#0.#0"),TRUE,"M = "&amp; Tab_NewTRADER[[#This Row],[M]])</f>
        <v>M = 886.6</v>
      </c>
      <c r="AQ68" s="1165">
        <f ca="1">Tab_NewTRADER[[#This Row],[N]]*(Tab_NewTRADER[[#This Row],[M]]-Tab_NewTRADER[[#This Row],[A]])*(1-Commission)*Tab_NewTRADER[[#This Row],[Scale]]</f>
        <v>57905.814418799993</v>
      </c>
      <c r="AR68" s="1165">
        <f ca="1">Tab_NewTRADER[[#This Row],[M]]*Tab_NewTRADER[[#This Row],[N]]*(1-Commission)*Tab_NewTRADER[[#This Row],[Scale]]</f>
        <v>221073.71</v>
      </c>
      <c r="AS68" s="1174" cm="1">
        <f t="array" aca="1" ref="AS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0.35488485165872191</v>
      </c>
      <c r="AT68" s="1174" cm="1">
        <f t="array" aca="1" ref="AT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0.25275754568012632</v>
      </c>
      <c r="AU68" s="825" cm="1">
        <f t="array" aca="1" ref="AU68" ca="1">_xlfn.IFS(   Tab_NewTRADER[[#This Row],[M_State]]=SellMorePercentGain,                     MIN(Tab_NewTRADER[[#This Row],[L_Sn]],Tab_NewTRADER[[#This Row],[N]])*(Tab_NewTRADER[[#This Row],[M]]-Tab_NewTRADER[[#This Row],[L_Sp]])*(1-Commission)*Tab_NewTRADER[[#This Row],[Scale]],                    TRUE,"")</f>
        <v>12193.813439999998</v>
      </c>
      <c r="AV68" s="1314">
        <f ca="1">_xlfn.XLOOKUP(Tab_NewTRADER[[#This Row],[ClickTick]],TabCalc[Ticker],TabCalc[Ann%RevLB])</f>
        <v>1.6793437947846375</v>
      </c>
      <c r="AW68" s="1266">
        <f ca="1">_xlfn.XLOOKUP(Tab_NewTRADER[[#This Row],[ClickTick]],TabCalc[Ticker],TabCalc[Up20])</f>
        <v>0</v>
      </c>
      <c r="AX68" s="1175" t="str" cm="1">
        <f t="array" aca="1" ref="AX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8" s="825" t="str" cm="1">
        <f t="array" aca="1" ref="AY68" ca="1">_xlfn.IFS(         Tab_NewTRADER[[#This Row],[M_State]]=MDown,Tab_NewTRADER[[#This Row],[L_Bn]]*Tab_NewTRADER[[#This Row],[M]]*(-(Tab_NewTRADER[[#This Row],[L_Bp]]+Tab_NewTRADER[[#This Row],[M]])/Tab_NewTRADER[[#This Row],[M]])*(1-Commission)*Tab_NewTRADER[[#This Row],[Scale]],                               TRUE,"")</f>
        <v/>
      </c>
      <c r="AZ68" s="1174" cm="1">
        <f t="array" aca="1" ref="AZ68" ca="1">_xlfn.IFS(   Tab_NewTRADER[[#This Row],[M_State]]=MUp,Tab_NewTRADER[[#This Row],[TakeGain_A]]-Commission,        Tab_NewTRADER[[#This Row],[M_State]]=MDown,(Tab_NewTRADER[[#This Row],[A]]-Tab_NewTRADER[[#This Row],[M]])/Tab_NewTRADER[[#This Row],[M]]-Commission,                              TRUE,"")</f>
        <v>0.35228485165872192</v>
      </c>
      <c r="BA68" s="825" cm="1">
        <f t="array" aca="1" ref="BA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78455.710778993307</v>
      </c>
      <c r="BB68" s="760" t="str" cm="1">
        <f t="array" aca="1" ref="BB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-0.6%</v>
      </c>
      <c r="BC68" s="736" t="str" cm="1">
        <f t="array" aca="1" ref="BC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70x232.22</v>
      </c>
      <c r="BD68" s="765" cm="1">
        <f t="array" aca="1" ref="BD68" ca="1">_xlfn.IFS(Tab_NewTRADER[[#This Row],[M_State]]=Sale_Back,"",         Tab_NewTRADER[[#This Row],[M_State]]=MDown, (Tab_NewTRADER[[#This Row],[M]]-Tab_NewTRADER[[#This Row],[A]])/Tab_NewTRADER[[#This Row],[A]]*ComFactor,             TRUE, IFERROR((Tab_NewTRADER[[#This Row],[M]]-Tab_NewTRADER[[#This Row],[A]])/Tab_NewTRADER[[#This Row],[A]]*ComFactor,""))</f>
        <v>0.3539621510444092</v>
      </c>
      <c r="BE68" s="762" cm="1">
        <f t="array" aca="1" ref="BE68" ca="1">_xlfn.IFS(               Tab_NewTRADER[[#This Row],[M_State]]=NoStock,(Tab_NewTRADER[[#This Row],[L_Sp]]-Tab_NewTRADER[[#This Row],[M]])/Tab_NewTRADER[[#This Row],[M]]-Commission,             Tab_NewTRADER[[#This Row],[A]]&lt;&gt;0,(Tab_NewTRADER[[#This Row],[A]]-Tab_NewTRADER[[#This Row],[M]])/Tab_NewTRADER[[#This Row],[M]]-Commission)</f>
        <v>-0.26452989848860814</v>
      </c>
      <c r="BF68" s="324">
        <f ca="1">_xlfn.XLOOKUP(Tab_NewTRADER[[#This Row],[ClickTick]],TabCalc[Ticker],TabCalc[L_Sn])</f>
        <v>54</v>
      </c>
      <c r="BG68" s="728">
        <f ca="1">_xlfn.XLOOKUP(Tab_NewTRADER[[#This Row],[ClickTick]],TabCalc[Ticker],TabCalc[L_Sp])</f>
        <v>660.2</v>
      </c>
      <c r="BH68" s="764">
        <f ca="1">-IFERROR((Tab_NewTRADER[[#This Row],[M]]-Tab_NewTRADER[[#This Row],[L_Sp]])/Tab_NewTRADER[[#This Row],[L_Sp]],0)</f>
        <v>-0.34292638594365338</v>
      </c>
      <c r="BI68" s="729">
        <f ca="1">MIN(Tab_NewTRADER[[#This Row],[L_Sn]],Tab_NewTRADER[[#This Row],[N]])*(Tab_NewTRADER[[#This Row],[M]]-Tab_NewTRADER[[#This Row],[L_Sp]])*(1-Commission)*Tab_NewTRADER[[#This Row],[Scale]]</f>
        <v>12193.813439999998</v>
      </c>
      <c r="BJ68" s="692">
        <f ca="1">Tab_NewTRADER[[#This Row],[L_Sn]]*(Tab_NewTRADER[[#This Row],[Agiotage]]-Tab_NewTRADER[[#This Row],[M]])/(Tab_NewTRADER[[#This Row],[L_Bn]]*Tab_NewTRADER[[#This Row],[M]])</f>
        <v>-0.77053988459652378</v>
      </c>
      <c r="BK68" s="635">
        <f ca="1">IFERROR((Tab_NewTRADER[[#This Row],[M]]-Tab_NewTRADER[[#This Row],[A]])/Tab_NewTRADER[[#This Row],[A]],0)</f>
        <v>0.35488485165872191</v>
      </c>
      <c r="BL68" s="638" t="str">
        <f ca="1">TEXT(_xlfn.XLOOKUP(Tab_NewTRADER[[#This Row],[ClickTick]],TabCalc[Ticker],TabCalc[NAfter]),"#,#0")&amp;" : "&amp;TEXT(_xlfn.XLOOKUP(Tab_NewTRADER[[#This Row],[ClickTick]],TabCalc[Ticker],TabCalc[NAfter])*(Tab_NewTRADER[[#This Row],[M]]-Tab_NewTRADER[[#This Row],[A]])*(1-Commission)*Tab_NewTRADER[[#This Row],[Scale]],"#,#0$")</f>
        <v>250 : 57,906$</v>
      </c>
      <c r="BM68" s="684">
        <f ca="1">_xlfn.XLOOKUP(Tab_NewTRADER[[#This Row],[ClickTick]],TabCalc[[#This Row],[Ticker]],TabCalc[[#This Row],[GL]])*(1-Commission)</f>
        <v>179054.75651842789</v>
      </c>
      <c r="BN68" s="684"/>
      <c r="BO68" s="669" t="str">
        <f ca="1">Tab_NewTRADER[[#This Row],[ClickTick]]&amp;": "&amp;_xlfn.XLOOKUP(Tab_NewTRADER[[#This Row],[ClickTick]],TabCalc[Ticker],TabCalc[Pile?])</f>
        <v xml:space="preserve">SAFASML: </v>
      </c>
      <c r="BP68" s="351" t="s">
        <v>1991</v>
      </c>
      <c r="BQ68" s="755" t="str" cm="1">
        <f t="array" aca="1" ref="BQ68" ca="1">_xlfn.TEXTJOIN("",,INDEX({"M","A","Y"}, _xlfn.SORTBY({1,2,3}, -CHOOSE({1,2,3}, Tab_NewTRADER[[#This Row],[M]], Tab_NewTRADER[[#This Row],[A]], Tab_NewTRADER[[#This Row],[Agiotage]]))))</f>
        <v>MAY</v>
      </c>
      <c r="BR68" s="902" cm="1">
        <f t="array" aca="1" ref="BR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0.25535754568012631</v>
      </c>
      <c r="BS68" s="679">
        <f ca="1">Tab_NewTRADER[[#This Row],[L_Sn]]*Tab_NewTRADER[[#This Row],[L_Sp]]+Tab_NewTRADER[[#This Row],[SellMore]]*Tab_NewTRADER[[#This Row],[M]]</f>
        <v>150908.79999999999</v>
      </c>
      <c r="BT68" s="679">
        <f ca="1">INDEX(
  INDEX(TabConsolid[], , _xlfn.XMATCH(Tab_NewTRADER[[#This Row],[ClickTick]]&amp;1, TabConsolid[#Headers])),
  MATCH(
    -Tab_NewTRADER[[#This Row],[M]],
    INDEX(TabConsolid[], , _xlfn.XMATCH(Tab_NewTRADER[[#This Row],[ClickTick]]&amp;2, TabConsolid[#Headers])),
    -1
  )
)</f>
        <v>130</v>
      </c>
      <c r="BU68" s="679" cm="1">
        <f t="array" aca="1" ref="BU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V68" s="1144">
        <f ca="1">Tab_NewTRADER[[#This Row],[ReBuy]]/(Tab_NewTRADER[[#This Row],[L_Sn]]+Tab_NewTRADER[[#This Row],[SellMore]])</f>
        <v>820.15652173913043</v>
      </c>
      <c r="BW68" s="687">
        <f ca="1">((_xlfn.XLOOKUP(Tab_NewTRADER[[#This Row],[ClickTick]],TabCalc[Ticker],TabCalc[NAfter])+Tab_NewTRADER[[#This Row],[L_Sn]])*(Tab_NewTRADER[[#This Row],[Agiotage]]-Tab_NewTRADER[[#This Row],[M]]))/(Tab_NewTRADER[[#This Row],[L_Sn]]*_xlfn.XLOOKUP(Tab_NewTRADER[[#This Row],[ClickTick]],TabCalc[Ticker],TabCalc[NAfter]))</f>
        <v>-19.941918903457005</v>
      </c>
      <c r="BX68" s="687">
        <f ca="1">(Tab_NewTRADER[[#This Row],[M]]-Tab_NewTRADER[[#This Row],[Agiotage]])/(Tab_NewTRADER[[#This Row],[M]]-Tab_NewTRADER[[#This Row],[A]])-1</f>
        <v>2.8134172704781593</v>
      </c>
      <c r="BY68" s="1262">
        <f ca="1">_xlfn.XMATCH(Tab_NewTRADER[[#This Row],[ClickTick]]&amp;1, TabConsolid[#Headers])</f>
        <v>200</v>
      </c>
      <c r="BZ68" t="b">
        <f ca="1">IF(ABS(Tab_NewTRADER[[#This Row],[L_Bp]])&gt;=Tab_NewTRADER[[#This Row],[M]],"OK")</f>
        <v>0</v>
      </c>
    </row>
    <row r="69" spans="1:78"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+2,436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5.7%</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-16,158$</v>
      </c>
      <c r="G69" s="225" t="str">
        <f ca="1">IFERROR(TRUNC(_xlfn.XLOOKUP(Tab_NewTRADER[[#This Row],[ClickTick]],TabCalc[Ticker],ListLastSalep),2)&amp;"x"&amp;_xlfn.XLOOKUP(Tab_NewTRADER[[#This Row],[ClickTick]],TabCalc[Ticker],ListLastSalen)&amp;"=   "&amp;TEXT(-_xlfn.XLOOKUP(Tab_NewTRADER[[#This Row],[ClickTick]],TabCalc[Ticker],ListReverseB),"#,#0")&amp;"$","")</f>
        <v>3.16x11000=   -12,265$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54.5% = 4,484</v>
      </c>
      <c r="I69" s="226" t="str">
        <f ca="1">IFERROR(TRUNC(TabCalc[[#This Row],[L_S1p]],2)&amp;"x"&amp;TabCalc[[#This Row],[L_S1n]]&amp;"=   "&amp;TEXT(TabCalc[[#This Row],[ReverseB1]],"#,#0"),"")</f>
        <v>4.48x5000=   12,180</v>
      </c>
      <c r="J69" s="295">
        <f ca="1">_xlfn.XLOOKUP(Tab_NewTRADER[[#This Row],[ClickTick]],TabCalc[Ticker],ListGravity)</f>
        <v>1.5892420537897312</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223211.75</v>
      </c>
      <c r="M69" s="323">
        <f ca="1">_xlfn.XLOOKUP(Tab_NewTRADER[[#This Row],[ClickTick]],TabCalc[Ticker],TabCalc[Agiotage])</f>
        <v>0.20013259900261549</v>
      </c>
      <c r="N69" s="324" cm="1">
        <f t="array" aca="1" ref="N69" ca="1">_xlfn.XLOOKUP(Tab_NewTRADER[[#This Row],[ClickTick]],ListTickers,Tab2RSIConventional[RSIConv20])</f>
        <v>12</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6.013478486262306E-2</v>
      </c>
      <c r="S69" s="683">
        <f ca="1">_xlfn.XLOOKUP(Tab_NewTRADER[[#This Row],[ClickTick]],TabCalc[Ticker],TabCalc[Rev(MinStock)])*(1-Commission)</f>
        <v>2429.6663999999978</v>
      </c>
      <c r="T69" s="782">
        <f ca="1">_xlfn.XLOOKUP(Tab_NewTRADER[[#This Row],[ClickTick]],TabCalc[Ticker],TabCalc[Agiotage])</f>
        <v>0.20013259900261549</v>
      </c>
      <c r="U69" s="747"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-6,050/-6,050=&gt;-1.7% / -1.7%</v>
      </c>
      <c r="V69" s="739" t="str">
        <f ca="1">_xlfn.XLOOKUP(Tab_NewTRADER[[#This Row],[ClickTick]],[1]!RTData[Ticker_Symbol],[1]!RTData[Currency])</f>
        <v>USD</v>
      </c>
      <c r="W69" s="749">
        <f ca="1">_xlfn.XLOOKUP(Tab_NewTRADER[[#This Row],[ClickTick]],TabCalc[Ticker],TabCalc[M])</f>
        <v>2.0449999999999999</v>
      </c>
      <c r="X69" s="1315"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-1.6827000000000002E-2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-159K /225 K$</v>
      </c>
      <c r="AF69" s="1182"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69" s="1530" t="str">
        <f ca="1">TEXT(MIN(Tab_NewTRADER[[#This Row],[L_Bn]],Tab_NewTRADER[[#This Row],[N]]),"#,#0")&amp;" x "&amp;TEXT(Tab_NewTRADER[[#This Row],[L_Bp]],"#,#0.#0")</f>
        <v>21,000 x -1.93</v>
      </c>
      <c r="AH69" s="1530" t="str" cm="1">
        <f t="array" aca="1" ref="AH69" ca="1">_xlfn.IFS(Tab_NewTRADER[[#This Row],[M_State]]=Sale_Back,Tab_NewTRADER[[#This Row],[Sale_Back_$]], TRUE,"M = "&amp;Tab_NewTRADER[[#This Row],[M]])</f>
        <v>M = 2.045</v>
      </c>
      <c r="AI69" s="1433" cm="1">
        <f t="array" aca="1" ref="AI69" ca="1">IF(Tab_NewTRADER[[#This Row],[M_State]]=MUp,_xlfn.IFS(Tab_NewTRADER[[#This Row],[M_State]]=MUp,MIN(Tab_NewTRADER[[#This Row],[N]],Tab_NewTRADER[[#This Row],[L_Bn]])*(Tab_NewTRADER[[#This Row],[M]]-Tab_NewTRADER[[#This Row],[L_Sp]])*Tab_NewTRADER[[#This Row],[Scale]]*ComFactor, TRUE,0),0)</f>
        <v>0</v>
      </c>
      <c r="AJ69" s="1433" cm="1">
        <f t="array" aca="1" ref="AJ69" ca="1">_xlfn.IFS(Tab_NewTRADER[[#This Row],[M_State]]=MUp,                 MIN(Tab_NewTRADER[[#This Row],[L_Sn]],Tab_NewTRADER[[#This Row],[N]])*(Tab_NewTRADER[[#This Row],[M]]-Tab_NewTRADER[[#This Row],[A]])*Tab_NewTRADER[[#This Row],[Scale]]*ComFactor, TRUE,0)</f>
        <v>0</v>
      </c>
      <c r="AK69" s="1433" cm="1">
        <f t="array" aca="1" ref="AK69" ca="1">_xlfn.IFS(Tab_NewTRADER[[#This Row],[M_State]]=MUp,                  Tab_NewTRADER[[#This Row],[N]]*(Tab_NewTRADER[[#This Row],[M]]-Tab_NewTRADER[[#This Row],[A]])*Tab_NewTRADER[[#This Row],[Scale]]*ComFactor, TRUE,0)</f>
        <v>0</v>
      </c>
      <c r="AL69" s="1435" t="str">
        <f ca="1">TEXT(Tab_NewTRADER[[#This Row],[L_Sn]],"#,#0")&amp;" x "&amp;TEXT(Tab_NewTRADER[[#This Row],[L_Sp]],"#,#0.#0")</f>
        <v>11,000 x 3.16</v>
      </c>
      <c r="AM69" s="1465" t="str" cm="1">
        <f t="array" aca="1" ref="AM69" ca="1">_xlfn.IFS(Tab_NewTRADER[[#This Row],[M_State]]=RePurchaseGain,TEXT(-Tab_NewTRADER[[#This Row],[Buy_Back]],"#,#0")&amp;"       / "&amp;TEXT(Tab_NewTRADER[[#This Row],[Rev_Buy]],"#,#00.0)%"),TRUE,"M = "&amp;Tab_NewTRADER[[#This Row],[M]])</f>
        <v>12,233       / 35.3)%</v>
      </c>
      <c r="AN69" s="1435" cm="1">
        <f t="array" aca="1" ref="AN69" ca="1">_xlfn.IFS(Tab_NewTRADER[[#This Row],[M_State]]=MDown,TEXT(Tab_NewTRADER[[#This Row],[L_Sn]]*(Tab_NewTRADER[[#This Row],[M]]-Tab_NewTRADER[[#This Row],[L_Sp]])*ComFactor,"#,#0")&amp;"       / "&amp;TEXT((TabTRADER[[#This Row],[M]]-TabTRADER[[#This Row],[L_Sp]])/TabTRADER[[#This Row],[M]],"#,#00.0)%"),TRUE,0)</f>
        <v>0</v>
      </c>
      <c r="AO69" s="1486" cm="1">
        <f t="array" aca="1" ref="AO69" ca="1">_xlfn.IFS(Tab_NewTRADER[[#This Row],[M_State]]=MDown,TEXT(Tab_NewTRADER[[#This Row],[N]]*(Tab_NewTRADER[[#This Row],[M]]-Tab_NewTRADER[[#This Row],[A]])*Tab_NewTRADER[[#This Row],[Scale]]*ComFactor,"#,#0")&amp;"       / "&amp;TEXT((TabTRADER[[#This Row],[M]]-TabTRADER[[#This Row],[L_Bp]])/TabTRADER[[#This Row],[M]],"#,#00.0%"),TRUE,0)</f>
        <v>0</v>
      </c>
      <c r="AP69" s="1435" t="str" cm="1">
        <f t="array" aca="1" ref="AP69" ca="1">_xlfn.IFS(Tab_NewTRADER[[#This Row],[M_State]]=MDown,TEXT(Tab_NewTRADER[[#This Row],[N]]*Tab_NewTRADER[[#This Row],[M]],"#,#0")&amp;" @ "&amp;TEXT(Tab_NewTRADER[[#This Row],[A]],"#,#0.#0"),TRUE,"M = "&amp; Tab_NewTRADER[[#This Row],[M]])</f>
        <v>M = 2.045</v>
      </c>
      <c r="AQ69" s="1165">
        <f ca="1">Tab_NewTRADER[[#This Row],[N]]*(Tab_NewTRADER[[#This Row],[M]]-Tab_NewTRADER[[#This Row],[A]])*(1-Commission)*Tab_NewTRADER[[#This Row],[Scale]]</f>
        <v>-135847.37610000002</v>
      </c>
      <c r="AR69" s="1165">
        <f ca="1">Tab_NewTRADER[[#This Row],[M]]*Tab_NewTRADER[[#This Row],[N]]*(1-Commission)*Tab_NewTRADER[[#This Row],[Scale]]</f>
        <v>224365.12999999998</v>
      </c>
      <c r="AS69" s="1174" cm="1">
        <f t="array" aca="1" ref="AS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0.35284810126582283</v>
      </c>
      <c r="AT69" s="1174" t="str" cm="1">
        <f t="array" aca="1" ref="AT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9" s="825" t="str" cm="1">
        <f t="array" aca="1" ref="AU69" ca="1">_xlfn.IFS(   Tab_NewTRADER[[#This Row],[M_State]]=SellMorePercentGain,                     MIN(Tab_NewTRADER[[#This Row],[L_Sn]],Tab_NewTRADER[[#This Row],[N]])*(Tab_NewTRADER[[#This Row],[M]]-Tab_NewTRADER[[#This Row],[L_Sp]])*(1-Commission)*Tab_NewTRADER[[#This Row],[Scale]],                    TRUE,"")</f>
        <v/>
      </c>
      <c r="AV69" s="1163">
        <f ca="1">_xlfn.XLOOKUP(Tab_NewTRADER[[#This Row],[ClickTick]],TabCalc[Ticker],TabCalc[Ann%RevLB])</f>
        <v>0.1139395923712858</v>
      </c>
      <c r="AW69" s="1267">
        <f ca="1">_xlfn.XLOOKUP(Tab_NewTRADER[[#This Row],[ClickTick]],TabCalc[Ticker],TabCalc[Up20])</f>
        <v>0</v>
      </c>
      <c r="AX69" s="1175" t="str" cm="1">
        <f t="array" aca="1" ref="AX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9" s="825" t="str" cm="1">
        <f t="array" aca="1" ref="AY69" ca="1">_xlfn.IFS(         Tab_NewTRADER[[#This Row],[M_State]]=MDown,Tab_NewTRADER[[#This Row],[L_Bn]]*Tab_NewTRADER[[#This Row],[M]]*(-(Tab_NewTRADER[[#This Row],[L_Bp]]+Tab_NewTRADER[[#This Row],[M]])/Tab_NewTRADER[[#This Row],[M]])*(1-Commission)*Tab_NewTRADER[[#This Row],[Scale]],                               TRUE,"")</f>
        <v/>
      </c>
      <c r="AZ69" s="1174" t="str" cm="1">
        <f t="array" aca="1" ref="AZ69" ca="1">_xlfn.IFS(   Tab_NewTRADER[[#This Row],[M_State]]=MUp,Tab_NewTRADER[[#This Row],[TakeGain_A]]-Commission,        Tab_NewTRADER[[#This Row],[M_State]]=MDown,(Tab_NewTRADER[[#This Row],[A]]-Tab_NewTRADER[[#This Row],[M]])/Tab_NewTRADER[[#This Row],[M]]-Commission,                              TRUE,"")</f>
        <v/>
      </c>
      <c r="BA69" s="825" cm="1">
        <f t="array" aca="1" ref="BA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-135847.37610000002</v>
      </c>
      <c r="BB69" s="760" t="str" cm="1">
        <f t="array" aca="1" ref="BB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C69" s="736" t="str" cm="1">
        <f t="array" aca="1" ref="BC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69" s="765" cm="1">
        <f t="array" aca="1" ref="BD69" ca="1">_xlfn.IFS(Tab_NewTRADER[[#This Row],[M_State]]=Sale_Back,"",         Tab_NewTRADER[[#This Row],[M_State]]=MDown, (Tab_NewTRADER[[#This Row],[M]]-Tab_NewTRADER[[#This Row],[A]])/Tab_NewTRADER[[#This Row],[A]]*ComFactor,             TRUE, IFERROR((Tab_NewTRADER[[#This Row],[M]]-Tab_NewTRADER[[#This Row],[A]])/Tab_NewTRADER[[#This Row],[A]]*ComFactor,""))</f>
        <v>-0.37615066281048259</v>
      </c>
      <c r="BE69" s="762" cm="1">
        <f t="array" aca="1" ref="BE69" ca="1">_xlfn.IFS(               Tab_NewTRADER[[#This Row],[M_State]]=NoStock,(Tab_NewTRADER[[#This Row],[L_Sp]]-Tab_NewTRADER[[#This Row],[M]])/Tab_NewTRADER[[#This Row],[M]]-Commission,             Tab_NewTRADER[[#This Row],[A]]&lt;&gt;0,(Tab_NewTRADER[[#This Row],[A]]-Tab_NewTRADER[[#This Row],[M]])/Tab_NewTRADER[[#This Row],[M]]-Commission)</f>
        <v>0.60287454989997791</v>
      </c>
      <c r="BF69" s="324">
        <f ca="1">_xlfn.XLOOKUP(Tab_NewTRADER[[#This Row],[ClickTick]],TabCalc[Ticker],TabCalc[L_Sn])</f>
        <v>11000</v>
      </c>
      <c r="BG69" s="728">
        <f ca="1">_xlfn.XLOOKUP(Tab_NewTRADER[[#This Row],[ClickTick]],TabCalc[Ticker],TabCalc[L_Sp])</f>
        <v>3.16</v>
      </c>
      <c r="BH69" s="764">
        <f ca="1">-IFERROR((Tab_NewTRADER[[#This Row],[M]]-Tab_NewTRADER[[#This Row],[L_Sp]])/Tab_NewTRADER[[#This Row],[L_Sp]],0)</f>
        <v>0.35284810126582283</v>
      </c>
      <c r="BI69" s="729">
        <f ca="1">MIN(Tab_NewTRADER[[#This Row],[L_Sn]],Tab_NewTRADER[[#This Row],[N]])*(Tab_NewTRADER[[#This Row],[M]]-Tab_NewTRADER[[#This Row],[L_Sp]])*(1-Commission)*Tab_NewTRADER[[#This Row],[Scale]]</f>
        <v>-12233.111000000001</v>
      </c>
      <c r="BJ69" s="692">
        <f ca="1">Tab_NewTRADER[[#This Row],[L_Sn]]*(Tab_NewTRADER[[#This Row],[Agiotage]]-Tab_NewTRADER[[#This Row],[M]])/(Tab_NewTRADER[[#This Row],[L_Bn]]*Tab_NewTRADER[[#This Row],[M]])</f>
        <v>-0.47254724440496515</v>
      </c>
      <c r="BK69" s="635">
        <f ca="1">IFERROR((Tab_NewTRADER[[#This Row],[M]]-Tab_NewTRADER[[#This Row],[A]])/Tab_NewTRADER[[#This Row],[A]],0)</f>
        <v>-0.37713120394072852</v>
      </c>
      <c r="BL69" s="638" t="str">
        <f ca="1">TEXT(_xlfn.XLOOKUP(Tab_NewTRADER[[#This Row],[ClickTick]],TabCalc[Ticker],TabCalc[NAfter]),"#,#0")&amp;" : "&amp;TEXT(_xlfn.XLOOKUP(Tab_NewTRADER[[#This Row],[ClickTick]],TabCalc[Ticker],TabCalc[NAfter])*(Tab_NewTRADER[[#This Row],[M]]-Tab_NewTRADER[[#This Row],[A]])*(1-Commission)*Tab_NewTRADER[[#This Row],[Scale]],"#,#0$")</f>
        <v>110,000 : -135,847$</v>
      </c>
      <c r="BM69" s="684">
        <f ca="1">_xlfn.XLOOKUP(Tab_NewTRADER[[#This Row],[ClickTick]],TabCalc[[#This Row],[Ticker]],TabCalc[[#This Row],[GL]])*(1-Commission)</f>
        <v>-158293.55649126077</v>
      </c>
      <c r="BN69" s="684"/>
      <c r="BO69" s="669" t="str">
        <f ca="1">Tab_NewTRADER[[#This Row],[ClickTick]]&amp;": "&amp;_xlfn.XLOOKUP(Tab_NewTRADER[[#This Row],[ClickTick]],TabCalc[Ticker],TabCalc[Pile?])</f>
        <v>SAFDDD: Pile</v>
      </c>
      <c r="BP69" s="351" t="s">
        <v>1992</v>
      </c>
      <c r="BQ69" s="755" t="str" cm="1">
        <f t="array" aca="1" ref="BQ69" ca="1">_xlfn.TEXTJOIN("",,INDEX({"M","A","Y"}, _xlfn.SORTBY({1,2,3}, -CHOOSE({1,2,3}, Tab_NewTRADER[[#This Row],[M]], Tab_NewTRADER[[#This Row],[A]], Tab_NewTRADER[[#This Row],[Agiotage]]))))</f>
        <v>AMY</v>
      </c>
      <c r="BR69" s="902" t="str" cm="1">
        <f t="array" aca="1" ref="BR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9" s="679" t="e">
        <f ca="1">Tab_NewTRADER[[#This Row],[L_Sn]]*Tab_NewTRADER[[#This Row],[L_Sp]]+Tab_NewTRADER[[#This Row],[SellMore]]*Tab_NewTRADER[[#This Row],[M]]</f>
        <v>#N/A</v>
      </c>
      <c r="BT69" s="679" t="e">
        <f ca="1">INDEX(
  INDEX(TabConsolid[], , _xlfn.XMATCH(Tab_NewTRADER[[#This Row],[ClickTick]]&amp;1, TabConsolid[#Headers])),
  MATCH(
    -Tab_NewTRADER[[#This Row],[M]],
    INDEX(TabConsolid[], , _xlfn.XMATCH(Tab_NewTRADER[[#This Row],[ClickTick]]&amp;2, TabConsolid[#Headers])),
    -1
  )
)</f>
        <v>#N/A</v>
      </c>
      <c r="BU69" s="679" cm="1">
        <f t="array" aca="1" ref="BU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V69" s="1144" t="e">
        <f ca="1">Tab_NewTRADER[[#This Row],[ReBuy]]/(Tab_NewTRADER[[#This Row],[L_Sn]]+Tab_NewTRADER[[#This Row],[SellMore]])</f>
        <v>#N/A</v>
      </c>
      <c r="BW69" s="687">
        <f ca="1">((_xlfn.XLOOKUP(Tab_NewTRADER[[#This Row],[ClickTick]],TabCalc[Ticker],TabCalc[NAfter])+Tab_NewTRADER[[#This Row],[L_Sn]])*(Tab_NewTRADER[[#This Row],[Agiotage]]-Tab_NewTRADER[[#This Row],[M]]))/(Tab_NewTRADER[[#This Row],[L_Sn]]*_xlfn.XLOOKUP(Tab_NewTRADER[[#This Row],[ClickTick]],TabCalc[Ticker],TabCalc[NAfter]))</f>
        <v>-1.8448674009973845E-4</v>
      </c>
      <c r="BX69" s="687">
        <f ca="1">(Tab_NewTRADER[[#This Row],[M]]-Tab_NewTRADER[[#This Row],[Agiotage]])/(Tab_NewTRADER[[#This Row],[M]]-Tab_NewTRADER[[#This Row],[A]])-1</f>
        <v>-2.4899646047195683</v>
      </c>
      <c r="BY69" s="1262">
        <f ca="1">_xlfn.XMATCH(Tab_NewTRADER[[#This Row],[ClickTick]]&amp;1, TabConsolid[#Headers])</f>
        <v>203</v>
      </c>
      <c r="BZ69" t="b">
        <f ca="1">IF(ABS(Tab_NewTRADER[[#This Row],[L_Bp]])&gt;=Tab_NewTRADER[[#This Row],[M]],"OK")</f>
        <v>0</v>
      </c>
    </row>
    <row r="70" spans="1:78"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-4,070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-2,317$</v>
      </c>
      <c r="G70" s="225" t="str">
        <f ca="1">IFERROR(TRUNC(_xlfn.XLOOKUP(Tab_NewTRADER[[#This Row],[ClickTick]],TabCalc[Ticker],ListLastSalep),2)&amp;"x"&amp;_xlfn.XLOOKUP(Tab_NewTRADER[[#This Row],[ClickTick]],TabCalc[Ticker],ListLastSalen)&amp;"=   "&amp;TEXT(-_xlfn.XLOOKUP(Tab_NewTRADER[[#This Row],[ClickTick]],TabCalc[Ticker],ListReverseB),"#,#0")&amp;"$","")</f>
        <v>122.97x330=   -5,831$</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16.8% = 283</v>
      </c>
      <c r="I70" s="226" t="str">
        <f ca="1">IFERROR(TRUNC(TabCalc[[#This Row],[L_S1p]],2)&amp;"x"&amp;TabCalc[[#This Row],[L_S1n]]&amp;"=   "&amp;TEXT(TabCalc[[#This Row],[ReverseB1]],"#,#0"),"")</f>
        <v>119.32x800=   11,216</v>
      </c>
      <c r="J70" s="295">
        <f ca="1">_xlfn.XLOOKUP(Tab_NewTRADER[[#This Row],[ClickTick]],TabCalc[Ticker],ListGravity)</f>
        <v>1.2732421652421653</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0.43204780109496366</v>
      </c>
      <c r="N70" s="324" cm="1">
        <f t="array" aca="1" ref="N70" ca="1">_xlfn.XLOOKUP(Tab_NewTRADER[[#This Row],[ClickTick]],ListTickers,Tab2RSIConventional[RSIConv20])</f>
        <v>24</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-6.7976633032395178E-2</v>
      </c>
      <c r="S70" s="683">
        <f ca="1">_xlfn.XLOOKUP(Tab_NewTRADER[[#This Row],[ClickTick]],TabCalc[Ticker],TabCalc[Rev(MinStock)])*(1-Commission)</f>
        <v>-4059.8169600000037</v>
      </c>
      <c r="T70" s="782">
        <f ca="1">_xlfn.XLOOKUP(Tab_NewTRADER[[#This Row],[ClickTick]],TabCalc[Ticker],TabCalc[Agiotage])</f>
        <v>0.43204780109496366</v>
      </c>
      <c r="U70" s="747"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-918/-918=&gt;-0.9% / -0.9%</v>
      </c>
      <c r="V70" s="739" t="str">
        <f ca="1">_xlfn.XLOOKUP(Tab_NewTRADER[[#This Row],[ClickTick]],[1]!RTData[Ticker_Symbol],[1]!RTData[Currency])</f>
        <v>USD</v>
      </c>
      <c r="W70" s="749">
        <f ca="1">_xlfn.XLOOKUP(Tab_NewTRADER[[#This Row],[ClickTick]],TabCalc[Ticker],TabCalc[M])</f>
        <v>105.3</v>
      </c>
      <c r="X70" s="1315"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-9.221E-3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^29K / 126 K$</v>
      </c>
      <c r="AF70" s="1182"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0" s="1530" t="str">
        <f ca="1">TEXT(MIN(Tab_NewTRADER[[#This Row],[L_Bn]],Tab_NewTRADER[[#This Row],[N]]),"#,#0")&amp;" x "&amp;TEXT(Tab_NewTRADER[[#This Row],[L_Bp]],"#,#0.#0")</f>
        <v>530 x -112.98</v>
      </c>
      <c r="AH70" s="1530" t="str" cm="1">
        <f t="array" aca="1" ref="AH70" ca="1">_xlfn.IFS(Tab_NewTRADER[[#This Row],[M_State]]=Sale_Back,Tab_NewTRADER[[#This Row],[Sale_Back_$]], TRUE,"M = "&amp;Tab_NewTRADER[[#This Row],[M]])</f>
        <v>M = 105.3</v>
      </c>
      <c r="AI70" s="1433" cm="1">
        <f t="array" aca="1" ref="AI70" ca="1">IF(Tab_NewTRADER[[#This Row],[M_State]]=MUp,_xlfn.IFS(Tab_NewTRADER[[#This Row],[M_State]]=MUp,MIN(Tab_NewTRADER[[#This Row],[N]],Tab_NewTRADER[[#This Row],[L_Bn]])*(Tab_NewTRADER[[#This Row],[M]]-Tab_NewTRADER[[#This Row],[L_Sp]])*Tab_NewTRADER[[#This Row],[Scale]]*ComFactor, TRUE,0),0)</f>
        <v>0</v>
      </c>
      <c r="AJ70" s="1433" cm="1">
        <f t="array" aca="1" ref="AJ70" ca="1">_xlfn.IFS(Tab_NewTRADER[[#This Row],[M_State]]=MUp,                 MIN(Tab_NewTRADER[[#This Row],[L_Sn]],Tab_NewTRADER[[#This Row],[N]])*(Tab_NewTRADER[[#This Row],[M]]-Tab_NewTRADER[[#This Row],[A]])*Tab_NewTRADER[[#This Row],[Scale]]*ComFactor, TRUE,0)</f>
        <v>0</v>
      </c>
      <c r="AK70" s="1433" cm="1">
        <f t="array" aca="1" ref="AK70" ca="1">_xlfn.IFS(Tab_NewTRADER[[#This Row],[M_State]]=MUp,                  Tab_NewTRADER[[#This Row],[N]]*(Tab_NewTRADER[[#This Row],[M]]-Tab_NewTRADER[[#This Row],[A]])*Tab_NewTRADER[[#This Row],[Scale]]*ComFactor, TRUE,0)</f>
        <v>0</v>
      </c>
      <c r="AL70" s="1435" t="str">
        <f ca="1">TEXT(Tab_NewTRADER[[#This Row],[L_Sn]],"#,#0")&amp;" x "&amp;TEXT(Tab_NewTRADER[[#This Row],[L_Sp]],"#,#0.#0")</f>
        <v>330 x 122.97</v>
      </c>
      <c r="AM70" s="1465" t="str" cm="1">
        <f t="array" aca="1" ref="AM70" ca="1">_xlfn.IFS(Tab_NewTRADER[[#This Row],[M_State]]=RePurchaseGain,TEXT(-Tab_NewTRADER[[#This Row],[Buy_Back]],"#,#0")&amp;"       / "&amp;TEXT(Tab_NewTRADER[[#This Row],[Rev_Buy]],"#,#00.0)%"),TRUE,"M = "&amp;Tab_NewTRADER[[#This Row],[M]])</f>
        <v>M = 105.3</v>
      </c>
      <c r="AN70" s="1435" t="str" cm="1">
        <f t="array" aca="1" ref="AN70" ca="1">_xlfn.IFS(Tab_NewTRADER[[#This Row],[M_State]]=MDown,TEXT(Tab_NewTRADER[[#This Row],[L_Sn]]*(Tab_NewTRADER[[#This Row],[M]]-Tab_NewTRADER[[#This Row],[L_Sp]])*ComFactor,"#,#0")&amp;"       / "&amp;TEXT((TabTRADER[[#This Row],[M]]-TabTRADER[[#This Row],[L_Sp]])/TabTRADER[[#This Row],[M]],"#,#00.0)%"),TRUE,0)</f>
        <v>-5,816       / -16.8)%</v>
      </c>
      <c r="AO70" s="1486" t="str" cm="1">
        <f t="array" aca="1" ref="AO70" ca="1">_xlfn.IFS(Tab_NewTRADER[[#This Row],[M_State]]=MDown,TEXT(Tab_NewTRADER[[#This Row],[N]]*(Tab_NewTRADER[[#This Row],[M]]-Tab_NewTRADER[[#This Row],[A]])*Tab_NewTRADER[[#This Row],[Scale]]*ComFactor,"#,#0")&amp;"       / "&amp;TEXT((TabTRADER[[#This Row],[M]]-TabTRADER[[#This Row],[L_Bp]])/TabTRADER[[#This Row],[M]],"#,#00.0%"),TRUE,0)</f>
        <v>-6,272       / 207.3%</v>
      </c>
      <c r="AP70" s="1435" t="str" cm="1">
        <f t="array" aca="1" ref="AP70" ca="1">_xlfn.IFS(Tab_NewTRADER[[#This Row],[M_State]]=MDown,TEXT(Tab_NewTRADER[[#This Row],[N]]*Tab_NewTRADER[[#This Row],[M]],"#,#0")&amp;" @ "&amp;TEXT(Tab_NewTRADER[[#This Row],[A]],"#,#0.#0"),TRUE,"M = "&amp; Tab_NewTRADER[[#This Row],[M]])</f>
        <v>126,360 @ 110.54</v>
      </c>
      <c r="AQ70" s="1165">
        <f ca="1">Tab_NewTRADER[[#This Row],[N]]*(Tab_NewTRADER[[#This Row],[M]]-Tab_NewTRADER[[#This Row],[A]])*(1-Commission)*Tab_NewTRADER[[#This Row],[Scale]]</f>
        <v>-6271.7509400000135</v>
      </c>
      <c r="AR70" s="1165">
        <f ca="1">Tab_NewTRADER[[#This Row],[M]]*Tab_NewTRADER[[#This Row],[N]]*(1-Commission)*Tab_NewTRADER[[#This Row],[Scale]]</f>
        <v>126031.46399999999</v>
      </c>
      <c r="AS70" s="1174" cm="1">
        <f t="array" aca="1" ref="AS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4.7404372923547447E-2</v>
      </c>
      <c r="AT70" s="1174" cm="1">
        <f t="array" aca="1" ref="AT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7.0334472934472994E-2</v>
      </c>
      <c r="AU70" s="825" t="str" cm="1">
        <f t="array" aca="1" ref="AU70" ca="1">_xlfn.IFS(   Tab_NewTRADER[[#This Row],[M_State]]=SellMorePercentGain,                     MIN(Tab_NewTRADER[[#This Row],[L_Sn]],Tab_NewTRADER[[#This Row],[N]])*(Tab_NewTRADER[[#This Row],[M]]-Tab_NewTRADER[[#This Row],[L_Sp]])*(1-Commission)*Tab_NewTRADER[[#This Row],[Scale]],                    TRUE,"")</f>
        <v/>
      </c>
      <c r="AV70" s="1180">
        <f ca="1">_xlfn.XLOOKUP(Tab_NewTRADER[[#This Row],[ClickTick]],TabCalc[Ticker],TabCalc[Ann%RevLB])</f>
        <v>-0.55617245208323329</v>
      </c>
      <c r="AW70" s="1266">
        <f ca="1">_xlfn.XLOOKUP(Tab_NewTRADER[[#This Row],[ClickTick]],TabCalc[Ticker],TabCalc[Up20])</f>
        <v>0</v>
      </c>
      <c r="AX70" s="1175" cm="1">
        <f t="array" aca="1" ref="AX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7.2934472934472999E-2</v>
      </c>
      <c r="AY70" s="825" cm="1">
        <f t="array" aca="1" ref="AY70" ca="1">_xlfn.IFS(         Tab_NewTRADER[[#This Row],[M_State]]=MDown,Tab_NewTRADER[[#This Row],[L_Bn]]*Tab_NewTRADER[[#This Row],[M]]*(-(Tab_NewTRADER[[#This Row],[L_Bp]]+Tab_NewTRADER[[#This Row],[M]])/Tab_NewTRADER[[#This Row],[M]])*(1-Commission)*Tab_NewTRADER[[#This Row],[Scale]],                               TRUE,"")</f>
        <v>4059.8169600000037</v>
      </c>
      <c r="AZ70" s="1174" cm="1">
        <f t="array" aca="1" ref="AZ70" ca="1">_xlfn.IFS(   Tab_NewTRADER[[#This Row],[M_State]]=MUp,Tab_NewTRADER[[#This Row],[TakeGain_A]]-Commission,        Tab_NewTRADER[[#This Row],[M_State]]=MDown,(Tab_NewTRADER[[#This Row],[A]]-Tab_NewTRADER[[#This Row],[M]])/Tab_NewTRADER[[#This Row],[M]]-Commission,                              TRUE,"")</f>
        <v>4.7163374485596821E-2</v>
      </c>
      <c r="BA70" s="760" cm="1">
        <f t="array" aca="1" ref="BA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6271.7509400000135</v>
      </c>
      <c r="BB70" s="760" t="str" cm="1">
        <f t="array" aca="1" ref="BB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C70" s="736" cm="1">
        <f t="array" aca="1" ref="BC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-7.68</v>
      </c>
      <c r="BD70" s="765" cm="1">
        <f t="array" aca="1" ref="BD70" ca="1">_xlfn.IFS(Tab_NewTRADER[[#This Row],[M_State]]=Sale_Back,"",         Tab_NewTRADER[[#This Row],[M_State]]=MDown, (Tab_NewTRADER[[#This Row],[M]]-Tab_NewTRADER[[#This Row],[A]])/Tab_NewTRADER[[#This Row],[A]]*ComFactor,             TRUE, IFERROR((Tab_NewTRADER[[#This Row],[M]]-Tab_NewTRADER[[#This Row],[A]])/Tab_NewTRADER[[#This Row],[A]]*ComFactor,""))</f>
        <v>-4.7281121553946225E-2</v>
      </c>
      <c r="BE70" s="762" cm="1">
        <f t="array" aca="1" ref="BE70" ca="1">_xlfn.IFS(               Tab_NewTRADER[[#This Row],[M_State]]=NoStock,(Tab_NewTRADER[[#This Row],[L_Sp]]-Tab_NewTRADER[[#This Row],[M]])/Tab_NewTRADER[[#This Row],[M]]-Commission,             Tab_NewTRADER[[#This Row],[A]]&lt;&gt;0,(Tab_NewTRADER[[#This Row],[A]]-Tab_NewTRADER[[#This Row],[M]])/Tab_NewTRADER[[#This Row],[M]]-Commission)</f>
        <v>4.7163374485596821E-2</v>
      </c>
      <c r="BF70" s="324">
        <f ca="1">_xlfn.XLOOKUP(Tab_NewTRADER[[#This Row],[ClickTick]],TabCalc[Ticker],TabCalc[L_Sn])</f>
        <v>330</v>
      </c>
      <c r="BG70" s="728">
        <f ca="1">_xlfn.XLOOKUP(Tab_NewTRADER[[#This Row],[ClickTick]],TabCalc[Ticker],TabCalc[L_Sp])</f>
        <v>122.97</v>
      </c>
      <c r="BH70" s="764">
        <f ca="1">-IFERROR((Tab_NewTRADER[[#This Row],[M]]-Tab_NewTRADER[[#This Row],[L_Sp]])/Tab_NewTRADER[[#This Row],[L_Sp]],0)</f>
        <v>0.14369358380092706</v>
      </c>
      <c r="BI70" s="729">
        <f ca="1">MIN(Tab_NewTRADER[[#This Row],[L_Sn]],Tab_NewTRADER[[#This Row],[N]])*(Tab_NewTRADER[[#This Row],[M]]-Tab_NewTRADER[[#This Row],[L_Sp]])*(1-Commission)*Tab_NewTRADER[[#This Row],[Scale]]</f>
        <v>-5815.9391400000004</v>
      </c>
      <c r="BJ70" s="692">
        <f ca="1">Tab_NewTRADER[[#This Row],[L_Sn]]*(Tab_NewTRADER[[#This Row],[Agiotage]]-Tab_NewTRADER[[#This Row],[M]])/(Tab_NewTRADER[[#This Row],[L_Bn]]*Tab_NewTRADER[[#This Row],[M]])</f>
        <v>-0.62008680007953298</v>
      </c>
      <c r="BK70" s="635">
        <f ca="1">IFERROR((Tab_NewTRADER[[#This Row],[M]]-Tab_NewTRADER[[#This Row],[A]])/Tab_NewTRADER[[#This Row],[A]],0)</f>
        <v>-4.7404372923547447E-2</v>
      </c>
      <c r="BL70" s="638" t="str">
        <f ca="1">TEXT(_xlfn.XLOOKUP(Tab_NewTRADER[[#This Row],[ClickTick]],TabCalc[Ticker],TabCalc[NAfter]),"#,#0")&amp;" : "&amp;TEXT(_xlfn.XLOOKUP(Tab_NewTRADER[[#This Row],[ClickTick]],TabCalc[Ticker],TabCalc[NAfter])*(Tab_NewTRADER[[#This Row],[M]]-Tab_NewTRADER[[#This Row],[A]])*(1-Commission)*Tab_NewTRADER[[#This Row],[Scale]],"#,#0$")</f>
        <v>1,200 : -6,272$</v>
      </c>
      <c r="BM70" s="684">
        <f ca="1">_xlfn.XLOOKUP(Tab_NewTRADER[[#This Row],[ClickTick]],TabCalc[[#This Row],[Ticker]],TabCalc[[#This Row],[GL]])*(1-Commission)</f>
        <v>28934.556357988778</v>
      </c>
      <c r="BN70" s="684"/>
      <c r="BO70" s="669" t="str">
        <f ca="1">Tab_NewTRADER[[#This Row],[ClickTick]]&amp;": "&amp;_xlfn.XLOOKUP(Tab_NewTRADER[[#This Row],[ClickTick]],TabCalc[Ticker],TabCalc[Pile?])</f>
        <v xml:space="preserve">SAFDIS: </v>
      </c>
      <c r="BP70" s="351" t="s">
        <v>1993</v>
      </c>
      <c r="BQ70" s="755" t="str" cm="1">
        <f t="array" aca="1" ref="BQ70" ca="1">_xlfn.TEXTJOIN("",,INDEX({"M","A","Y"}, _xlfn.SORTBY({1,2,3}, -CHOOSE({1,2,3}, Tab_NewTRADER[[#This Row],[M]], Tab_NewTRADER[[#This Row],[A]], Tab_NewTRADER[[#This Row],[Agiotage]]))))</f>
        <v>AMY</v>
      </c>
      <c r="BR70" s="902" cm="1">
        <f t="array" aca="1" ref="BR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7.2934472934472999E-2</v>
      </c>
      <c r="BS70" s="679" t="e">
        <f ca="1">Tab_NewTRADER[[#This Row],[L_Sn]]*Tab_NewTRADER[[#This Row],[L_Sp]]+Tab_NewTRADER[[#This Row],[SellMore]]*Tab_NewTRADER[[#This Row],[M]]</f>
        <v>#N/A</v>
      </c>
      <c r="BT70" s="679" t="e">
        <f ca="1">INDEX(
  INDEX(TabConsolid[], , _xlfn.XMATCH(Tab_NewTRADER[[#This Row],[ClickTick]]&amp;1, TabConsolid[#Headers])),
  MATCH(
    -Tab_NewTRADER[[#This Row],[M]],
    INDEX(TabConsolid[], , _xlfn.XMATCH(Tab_NewTRADER[[#This Row],[ClickTick]]&amp;2, TabConsolid[#Headers])),
    -1
  )
)</f>
        <v>#N/A</v>
      </c>
      <c r="BU70" s="679" cm="1">
        <f t="array" aca="1" ref="BU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V70" s="1144" t="e">
        <f ca="1">Tab_NewTRADER[[#This Row],[ReBuy]]/(Tab_NewTRADER[[#This Row],[L_Sn]]+Tab_NewTRADER[[#This Row],[SellMore]])</f>
        <v>#N/A</v>
      </c>
      <c r="BW70" s="687">
        <f ca="1">((_xlfn.XLOOKUP(Tab_NewTRADER[[#This Row],[ClickTick]],TabCalc[Ticker],TabCalc[NAfter])+Tab_NewTRADER[[#This Row],[L_Sn]])*(Tab_NewTRADER[[#This Row],[Agiotage]]-Tab_NewTRADER[[#This Row],[M]]))/(Tab_NewTRADER[[#This Row],[L_Sn]]*_xlfn.XLOOKUP(Tab_NewTRADER[[#This Row],[ClickTick]],TabCalc[Ticker],TabCalc[NAfter]))</f>
        <v>-0.40517163349576946</v>
      </c>
      <c r="BX70" s="687">
        <f ca="1">(Tab_NewTRADER[[#This Row],[M]]-Tab_NewTRADER[[#This Row],[Agiotage]])/(Tab_NewTRADER[[#This Row],[M]]-Tab_NewTRADER[[#This Row],[A]])-1</f>
        <v>-21.01264970956024</v>
      </c>
      <c r="BY70" s="1262">
        <f ca="1">_xlfn.XMATCH(Tab_NewTRADER[[#This Row],[ClickTick]]&amp;1, TabConsolid[#Headers])</f>
        <v>206</v>
      </c>
      <c r="BZ70" t="str">
        <f ca="1">IF(ABS(Tab_NewTRADER[[#This Row],[L_Bp]])&gt;=Tab_NewTRADER[[#This Row],[M]],"OK")</f>
        <v>OK</v>
      </c>
    </row>
    <row r="71" spans="1:78"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35.4%</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40,963$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-29.6% = 0</v>
      </c>
      <c r="I71" s="226" t="str">
        <f ca="1">IFERROR(TRUNC(TabCalc[[#This Row],[L_S1p]],2)&amp;"x"&amp;TabCalc[[#This Row],[L_S1n]]&amp;"=   "&amp;TEXT(TabCalc[[#This Row],[ReverseB1]],"#,#0"),"")</f>
        <v>48.66x4000=   -81,819</v>
      </c>
      <c r="J71" s="295">
        <f ca="1">_xlfn.XLOOKUP(Tab_NewTRADER[[#This Row],[ClickTick]],TabCalc[Ticker],ListGravity)</f>
        <v>1.058436663531795</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0.29901271886794123</v>
      </c>
      <c r="N71" s="324" cm="1">
        <f t="array" aca="1" ref="N71" ca="1">_xlfn.XLOOKUP(Tab_NewTRADER[[#This Row],[ClickTick]],ListTickers,Tab2RSIConventional[RSIConv20])</f>
        <v>71</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0.54896907216494839</v>
      </c>
      <c r="S71" s="683">
        <f ca="1">_xlfn.XLOOKUP(Tab_NewTRADER[[#This Row],[ClickTick]],TabCalc[Ticker],TabCalc[Rev(MinStock)])*(1-Commission)</f>
        <v>0</v>
      </c>
      <c r="T71" s="782">
        <f ca="1">_xlfn.XLOOKUP(Tab_NewTRADER[[#This Row],[ClickTick]],TabCalc[Ticker],TabCalc[Agiotage])</f>
        <v>0.29901271886794123</v>
      </c>
      <c r="U71" s="747"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1.7%</v>
      </c>
      <c r="V71" s="739" t="str">
        <f ca="1">_xlfn.XLOOKUP(Tab_NewTRADER[[#This Row],[ClickTick]],[1]!RTData[Ticker_Symbol],[1]!RTData[Currency])</f>
        <v>USD</v>
      </c>
      <c r="W71" s="749">
        <f ca="1">_xlfn.XLOOKUP(Tab_NewTRADER[[#This Row],[ClickTick]],TabCalc[Ticker],TabCalc[M])</f>
        <v>69.114999999999995</v>
      </c>
      <c r="X71" s="1315"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1.7444000000000001E-2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F71" s="1182"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1" s="1530" t="str">
        <f ca="1">TEXT(MIN(Tab_NewTRADER[[#This Row],[L_Bn]],Tab_NewTRADER[[#This Row],[N]]),"#,#0")&amp;" x "&amp;TEXT(Tab_NewTRADER[[#This Row],[L_Bp]],"#,#0.#0")</f>
        <v>0 x -44.62</v>
      </c>
      <c r="AH71" s="1530" t="str" cm="1">
        <f t="array" aca="1" ref="AH71" ca="1">_xlfn.IFS(Tab_NewTRADER[[#This Row],[M_State]]=Sale_Back,Tab_NewTRADER[[#This Row],[Sale_Back_$]], TRUE,"M = "&amp;Tab_NewTRADER[[#This Row],[M]])</f>
        <v>M = 69.115</v>
      </c>
      <c r="AI71" s="1433" cm="1">
        <f t="array" aca="1" ref="AI71" ca="1">IF(Tab_NewTRADER[[#This Row],[M_State]]=MUp,_xlfn.IFS(Tab_NewTRADER[[#This Row],[M_State]]=MUp,MIN(Tab_NewTRADER[[#This Row],[N]],Tab_NewTRADER[[#This Row],[L_Bn]])*(Tab_NewTRADER[[#This Row],[M]]-Tab_NewTRADER[[#This Row],[L_Sp]])*Tab_NewTRADER[[#This Row],[Scale]]*ComFactor, TRUE,0),0)</f>
        <v>0</v>
      </c>
      <c r="AJ71" s="1433" cm="1">
        <f t="array" aca="1" ref="AJ71" ca="1">_xlfn.IFS(Tab_NewTRADER[[#This Row],[M_State]]=MUp,                 MIN(Tab_NewTRADER[[#This Row],[L_Sn]],Tab_NewTRADER[[#This Row],[N]])*(Tab_NewTRADER[[#This Row],[M]]-Tab_NewTRADER[[#This Row],[A]])*Tab_NewTRADER[[#This Row],[Scale]]*ComFactor, TRUE,0)</f>
        <v>0</v>
      </c>
      <c r="AK71" s="1433" cm="1">
        <f t="array" aca="1" ref="AK71" ca="1">_xlfn.IFS(Tab_NewTRADER[[#This Row],[M_State]]=MUp,                  Tab_NewTRADER[[#This Row],[N]]*(Tab_NewTRADER[[#This Row],[M]]-Tab_NewTRADER[[#This Row],[A]])*Tab_NewTRADER[[#This Row],[Scale]]*ComFactor, TRUE,0)</f>
        <v>0</v>
      </c>
      <c r="AL71" s="1435" t="str">
        <f ca="1">TEXT(Tab_NewTRADER[[#This Row],[L_Sn]],"#,#0")&amp;" x "&amp;TEXT(Tab_NewTRADER[[#This Row],[L_Sp]],"#,#0.#0")</f>
        <v>2,000 x 48.63</v>
      </c>
      <c r="AM71" s="1465" t="str" cm="1">
        <f t="array" aca="1" ref="AM71" ca="1">_xlfn.IFS(Tab_NewTRADER[[#This Row],[M_State]]=RePurchaseGain,TEXT(-Tab_NewTRADER[[#This Row],[Buy_Back]],"#,#0")&amp;"       / "&amp;TEXT(Tab_NewTRADER[[#This Row],[Rev_Buy]],"#,#00.0)%"),TRUE,"M = "&amp;Tab_NewTRADER[[#This Row],[M]])</f>
        <v>M = 69.115</v>
      </c>
      <c r="AN71" s="1435" cm="1">
        <f t="array" aca="1" ref="AN71" ca="1">_xlfn.IFS(Tab_NewTRADER[[#This Row],[M_State]]=MDown,TEXT(Tab_NewTRADER[[#This Row],[L_Sn]]*(Tab_NewTRADER[[#This Row],[M]]-Tab_NewTRADER[[#This Row],[L_Sp]])*ComFactor,"#,#0")&amp;"       / "&amp;TEXT((TabTRADER[[#This Row],[M]]-TabTRADER[[#This Row],[L_Sp]])/TabTRADER[[#This Row],[M]],"#,#00.0)%"),TRUE,0)</f>
        <v>0</v>
      </c>
      <c r="AO71" s="1486" cm="1">
        <f t="array" aca="1" ref="AO71" ca="1">_xlfn.IFS(Tab_NewTRADER[[#This Row],[M_State]]=MDown,TEXT(Tab_NewTRADER[[#This Row],[N]]*(Tab_NewTRADER[[#This Row],[M]]-Tab_NewTRADER[[#This Row],[A]])*Tab_NewTRADER[[#This Row],[Scale]]*ComFactor,"#,#0")&amp;"       / "&amp;TEXT((TabTRADER[[#This Row],[M]]-TabTRADER[[#This Row],[L_Bp]])/TabTRADER[[#This Row],[M]],"#,#00.0%"),TRUE,0)</f>
        <v>0</v>
      </c>
      <c r="AP71" s="1435" t="str" cm="1">
        <f t="array" aca="1" ref="AP71" ca="1">_xlfn.IFS(Tab_NewTRADER[[#This Row],[M_State]]=MDown,TEXT(Tab_NewTRADER[[#This Row],[N]]*Tab_NewTRADER[[#This Row],[M]],"#,#0")&amp;" @ "&amp;TEXT(Tab_NewTRADER[[#This Row],[A]],"#,#0.#0"),TRUE,"M = "&amp; Tab_NewTRADER[[#This Row],[M]])</f>
        <v>M = 69.115</v>
      </c>
      <c r="AQ71" s="1165">
        <f ca="1">Tab_NewTRADER[[#This Row],[N]]*(Tab_NewTRADER[[#This Row],[M]]-Tab_NewTRADER[[#This Row],[A]])*(1-Commission)*Tab_NewTRADER[[#This Row],[Scale]]</f>
        <v>0</v>
      </c>
      <c r="AR71" s="1165">
        <f ca="1">Tab_NewTRADER[[#This Row],[M]]*Tab_NewTRADER[[#This Row],[N]]*(1-Commission)*Tab_NewTRADER[[#This Row],[Scale]]</f>
        <v>0</v>
      </c>
      <c r="AS71" s="1174" t="str" cm="1">
        <f t="array" aca="1" ref="AS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71" s="1174" t="str" cm="1">
        <f t="array" aca="1" ref="AT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1" s="825" t="str" cm="1">
        <f t="array" aca="1" ref="AU71" ca="1">_xlfn.IFS(   Tab_NewTRADER[[#This Row],[M_State]]=SellMorePercentGain,                     MIN(Tab_NewTRADER[[#This Row],[L_Sn]],Tab_NewTRADER[[#This Row],[N]])*(Tab_NewTRADER[[#This Row],[M]]-Tab_NewTRADER[[#This Row],[L_Sp]])*(1-Commission)*Tab_NewTRADER[[#This Row],[Scale]],                    TRUE,"")</f>
        <v/>
      </c>
      <c r="AV71" s="1266">
        <f ca="1">_xlfn.XLOOKUP(Tab_NewTRADER[[#This Row],[ClickTick]],TabCalc[Ticker],TabCalc[Ann%RevLB])</f>
        <v>0.41431628087920636</v>
      </c>
      <c r="AW71" s="1266">
        <f ca="1">_xlfn.XLOOKUP(Tab_NewTRADER[[#This Row],[ClickTick]],TabCalc[Ticker],TabCalc[Up20])</f>
        <v>0.55555555555555558</v>
      </c>
      <c r="AX71" s="1175" t="str" cm="1">
        <f t="array" aca="1" ref="AX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1" s="825" t="str" cm="1">
        <f t="array" aca="1" ref="AY71" ca="1">_xlfn.IFS(         Tab_NewTRADER[[#This Row],[M_State]]=MDown,Tab_NewTRADER[[#This Row],[L_Bn]]*Tab_NewTRADER[[#This Row],[M]]*(-(Tab_NewTRADER[[#This Row],[L_Bp]]+Tab_NewTRADER[[#This Row],[M]])/Tab_NewTRADER[[#This Row],[M]])*(1-Commission)*Tab_NewTRADER[[#This Row],[Scale]],                               TRUE,"")</f>
        <v/>
      </c>
      <c r="AZ71" s="1174" t="str" cm="1">
        <f t="array" aca="1" ref="AZ71" ca="1">_xlfn.IFS(   Tab_NewTRADER[[#This Row],[M_State]]=MUp,Tab_NewTRADER[[#This Row],[TakeGain_A]]-Commission,        Tab_NewTRADER[[#This Row],[M_State]]=MDown,(Tab_NewTRADER[[#This Row],[A]]-Tab_NewTRADER[[#This Row],[M]])/Tab_NewTRADER[[#This Row],[M]]-Commission,                              TRUE,"")</f>
        <v/>
      </c>
      <c r="BA71" s="825" cm="1">
        <f t="array" aca="1" ref="BA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71" s="760" t="str" cm="1">
        <f t="array" aca="1" ref="BB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-0.7%</v>
      </c>
      <c r="BC71" s="736" t="str" cm="1">
        <f t="array" aca="1" ref="BC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0x69.11</v>
      </c>
      <c r="BD71" s="765" t="str" cm="1">
        <f t="array" aca="1" ref="BD71" ca="1">_xlfn.IFS(Tab_NewTRADER[[#This Row],[M_State]]=Sale_Back,"",         Tab_NewTRADER[[#This Row],[M_State]]=MDown, (Tab_NewTRADER[[#This Row],[M]]-Tab_NewTRADER[[#This Row],[A]])/Tab_NewTRADER[[#This Row],[A]]*ComFactor,             TRUE, IFERROR((Tab_NewTRADER[[#This Row],[M]]-Tab_NewTRADER[[#This Row],[A]])/Tab_NewTRADER[[#This Row],[A]]*ComFactor,""))</f>
        <v/>
      </c>
      <c r="BE71" s="762" cm="1">
        <f t="array" aca="1" ref="BE71" ca="1">_xlfn.IFS(               Tab_NewTRADER[[#This Row],[M_State]]=NoStock,(Tab_NewTRADER[[#This Row],[L_Sp]]-Tab_NewTRADER[[#This Row],[M]])/Tab_NewTRADER[[#This Row],[M]]-Commission,             Tab_NewTRADER[[#This Row],[A]]&lt;&gt;0,(Tab_NewTRADER[[#This Row],[A]]-Tab_NewTRADER[[#This Row],[M]])/Tab_NewTRADER[[#This Row],[M]]-Commission)</f>
        <v>-0.29894088114012868</v>
      </c>
      <c r="BF71" s="324">
        <f ca="1">_xlfn.XLOOKUP(Tab_NewTRADER[[#This Row],[ClickTick]],TabCalc[Ticker],TabCalc[L_Sn])</f>
        <v>2000</v>
      </c>
      <c r="BG71" s="728">
        <f ca="1">_xlfn.XLOOKUP(Tab_NewTRADER[[#This Row],[ClickTick]],TabCalc[Ticker],TabCalc[L_Sp])</f>
        <v>48.633400000000002</v>
      </c>
      <c r="BH71" s="764">
        <f ca="1">-IFERROR((Tab_NewTRADER[[#This Row],[M]]-Tab_NewTRADER[[#This Row],[L_Sp]])/Tab_NewTRADER[[#This Row],[L_Sp]],0)</f>
        <v>-0.42114267149736584</v>
      </c>
      <c r="BI71" s="729">
        <f ca="1">MIN(Tab_NewTRADER[[#This Row],[L_Sn]],Tab_NewTRADER[[#This Row],[N]])*(Tab_NewTRADER[[#This Row],[M]]-Tab_NewTRADER[[#This Row],[L_Sp]])*(1-Commission)*Tab_NewTRADER[[#This Row],[Scale]]</f>
        <v>0</v>
      </c>
      <c r="BJ71" s="692">
        <f ca="1">Tab_NewTRADER[[#This Row],[L_Sn]]*(Tab_NewTRADER[[#This Row],[Agiotage]]-Tab_NewTRADER[[#This Row],[M]])/(Tab_NewTRADER[[#This Row],[L_Bn]]*Tab_NewTRADER[[#This Row],[M]])</f>
        <v>-0.99567369284716856</v>
      </c>
      <c r="BK71" s="635">
        <f ca="1">IFERROR((Tab_NewTRADER[[#This Row],[M]]-Tab_NewTRADER[[#This Row],[A]])/Tab_NewTRADER[[#This Row],[A]],0)</f>
        <v>0</v>
      </c>
      <c r="BL71" s="638" t="str">
        <f ca="1">TEXT(_xlfn.XLOOKUP(Tab_NewTRADER[[#This Row],[ClickTick]],TabCalc[Ticker],TabCalc[NAfter]),"#,#0")&amp;" : "&amp;TEXT(_xlfn.XLOOKUP(Tab_NewTRADER[[#This Row],[ClickTick]],TabCalc[Ticker],TabCalc[NAfter])*(Tab_NewTRADER[[#This Row],[M]]-Tab_NewTRADER[[#This Row],[A]])*(1-Commission)*Tab_NewTRADER[[#This Row],[Scale]],"#,#0$")</f>
        <v>0 : 0$</v>
      </c>
      <c r="BM71" s="684">
        <f ca="1">_xlfn.XLOOKUP(Tab_NewTRADER[[#This Row],[ClickTick]],TabCalc[[#This Row],[Ticker]],TabCalc[[#This Row],[GL]])*(1-Commission)</f>
        <v>62341.663567505399</v>
      </c>
      <c r="BN71" s="684"/>
      <c r="BO71" s="669" t="str">
        <f ca="1">Tab_NewTRADER[[#This Row],[ClickTick]]&amp;": "&amp;_xlfn.XLOOKUP(Tab_NewTRADER[[#This Row],[ClickTick]],TabCalc[Ticker],TabCalc[Pile?])</f>
        <v>SAFGM: Pile</v>
      </c>
      <c r="BP71" s="351" t="s">
        <v>1994</v>
      </c>
      <c r="BQ71" s="755" t="str" cm="1">
        <f t="array" aca="1" ref="BQ71" ca="1">_xlfn.TEXTJOIN("",,INDEX({"M","A","Y"}, _xlfn.SORTBY({1,2,3}, -CHOOSE({1,2,3}, Tab_NewTRADER[[#This Row],[M]], Tab_NewTRADER[[#This Row],[A]], Tab_NewTRADER[[#This Row],[Agiotage]]))))</f>
        <v>MYA</v>
      </c>
      <c r="BR71" s="902" t="str" cm="1">
        <f t="array" aca="1" ref="BR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1" s="679" t="e">
        <f ca="1">Tab_NewTRADER[[#This Row],[L_Sn]]*Tab_NewTRADER[[#This Row],[L_Sp]]+Tab_NewTRADER[[#This Row],[SellMore]]*Tab_NewTRADER[[#This Row],[M]]</f>
        <v>#N/A</v>
      </c>
      <c r="BT71" s="679" t="e">
        <f ca="1">INDEX(
  INDEX(TabConsolid[], , _xlfn.XMATCH(Tab_NewTRADER[[#This Row],[ClickTick]]&amp;1, TabConsolid[#Headers])),
  MATCH(
    -Tab_NewTRADER[[#This Row],[M]],
    INDEX(TabConsolid[], , _xlfn.XMATCH(Tab_NewTRADER[[#This Row],[ClickTick]]&amp;2, TabConsolid[#Headers])),
    -1
  )
)</f>
        <v>#N/A</v>
      </c>
      <c r="BU71" s="679" cm="1">
        <f t="array" aca="1" ref="BU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1" s="1144" t="e">
        <f ca="1">Tab_NewTRADER[[#This Row],[ReBuy]]/(Tab_NewTRADER[[#This Row],[L_Sn]]+Tab_NewTRADER[[#This Row],[SellMore]])</f>
        <v>#N/A</v>
      </c>
      <c r="BW71" s="687" t="e">
        <f ca="1">((_xlfn.XLOOKUP(Tab_NewTRADER[[#This Row],[ClickTick]],TabCalc[Ticker],TabCalc[NAfter])+Tab_NewTRADER[[#This Row],[L_Sn]])*(Tab_NewTRADER[[#This Row],[Agiotage]]-Tab_NewTRADER[[#This Row],[M]]))/(Tab_NewTRADER[[#This Row],[L_Sn]]*_xlfn.XLOOKUP(Tab_NewTRADER[[#This Row],[ClickTick]],TabCalc[Ticker],TabCalc[NAfter]))</f>
        <v>#DIV/0!</v>
      </c>
      <c r="BX71" s="687">
        <f ca="1">(Tab_NewTRADER[[#This Row],[M]]-Tab_NewTRADER[[#This Row],[Agiotage]])/(Tab_NewTRADER[[#This Row],[M]]-Tab_NewTRADER[[#This Row],[A]])-1</f>
        <v>-4.3263071528314434E-3</v>
      </c>
      <c r="BY71" s="1262">
        <f ca="1">_xlfn.XMATCH(Tab_NewTRADER[[#This Row],[ClickTick]]&amp;1, TabConsolid[#Headers])</f>
        <v>209</v>
      </c>
      <c r="BZ71" t="b">
        <f ca="1">IF(ABS(Tab_NewTRADER[[#This Row],[L_Bp]])&gt;=Tab_NewTRADER[[#This Row],[M]],"OK")</f>
        <v>0</v>
      </c>
    </row>
    <row r="72" spans="1:78"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47.5%</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75,680$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-20.0% = 0</v>
      </c>
      <c r="I72" s="226" t="str">
        <f ca="1">IFERROR(TRUNC(TabCalc[[#This Row],[L_S1p]],2)&amp;"x"&amp;TabCalc[[#This Row],[L_S1n]]&amp;"=   "&amp;TEXT(TabCalc[[#This Row],[ReverseB1]],"#,#0"),"")</f>
        <v>212.3x25000=   -41,325</v>
      </c>
      <c r="J72" s="295">
        <f ca="1">_xlfn.XLOOKUP(Tab_NewTRADER[[#This Row],[ClickTick]],TabCalc[Ticker],ListGravity)</f>
        <v>1.2290630296610168</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0.83798052886889074</v>
      </c>
      <c r="N72" s="324" cm="1">
        <f t="array" aca="1" ref="N72" ca="1">_xlfn.XLOOKUP(Tab_NewTRADER[[#This Row],[ClickTick]],ListTickers,Tab2RSIConventional[RSIConv20])</f>
        <v>37</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0.90553088413403326</v>
      </c>
      <c r="S72" s="683">
        <f ca="1">_xlfn.XLOOKUP(Tab_NewTRADER[[#This Row],[ClickTick]],TabCalc[Ticker],TabCalc[Rev(MinStock)])*(1-Commission)</f>
        <v>0</v>
      </c>
      <c r="T72" s="782">
        <f ca="1">_xlfn.XLOOKUP(Tab_NewTRADER[[#This Row],[ClickTick]],TabCalc[Ticker],TabCalc[Agiotage])</f>
        <v>0.83798052886889074</v>
      </c>
      <c r="U72" s="747"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1.7%</v>
      </c>
      <c r="V72" s="739" t="str">
        <f ca="1">_xlfn.XLOOKUP(Tab_NewTRADER[[#This Row],[ClickTick]],[1]!RTData[Ticker_Symbol],[1]!RTData[Currency])</f>
        <v>GBp</v>
      </c>
      <c r="W72" s="749">
        <f ca="1">_xlfn.XLOOKUP(Tab_NewTRADER[[#This Row],[ClickTick]],TabCalc[Ticker],TabCalc[M])</f>
        <v>377.6</v>
      </c>
      <c r="X72" s="1315"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1.6966999999999999E-2</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F72" s="1182"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2" s="1530" t="str">
        <f ca="1">TEXT(MIN(Tab_NewTRADER[[#This Row],[L_Bn]],Tab_NewTRADER[[#This Row],[N]]),"#,#0")&amp;" x "&amp;TEXT(Tab_NewTRADER[[#This Row],[L_Bp]],"#,#0.#0")</f>
        <v>0 x -198.16</v>
      </c>
      <c r="AH72" s="1530" t="str" cm="1">
        <f t="array" aca="1" ref="AH72" ca="1">_xlfn.IFS(Tab_NewTRADER[[#This Row],[M_State]]=Sale_Back,Tab_NewTRADER[[#This Row],[Sale_Back_$]], TRUE,"M = "&amp;Tab_NewTRADER[[#This Row],[M]])</f>
        <v>M = 377.6</v>
      </c>
      <c r="AI72" s="1433" cm="1">
        <f t="array" aca="1" ref="AI72" ca="1">IF(Tab_NewTRADER[[#This Row],[M_State]]=MUp,_xlfn.IFS(Tab_NewTRADER[[#This Row],[M_State]]=MUp,MIN(Tab_NewTRADER[[#This Row],[N]],Tab_NewTRADER[[#This Row],[L_Bn]])*(Tab_NewTRADER[[#This Row],[M]]-Tab_NewTRADER[[#This Row],[L_Sp]])*Tab_NewTRADER[[#This Row],[Scale]]*ComFactor, TRUE,0),0)</f>
        <v>0</v>
      </c>
      <c r="AJ72" s="1433" cm="1">
        <f t="array" aca="1" ref="AJ72" ca="1">_xlfn.IFS(Tab_NewTRADER[[#This Row],[M_State]]=MUp,                 MIN(Tab_NewTRADER[[#This Row],[L_Sn]],Tab_NewTRADER[[#This Row],[N]])*(Tab_NewTRADER[[#This Row],[M]]-Tab_NewTRADER[[#This Row],[A]])*Tab_NewTRADER[[#This Row],[Scale]]*ComFactor, TRUE,0)</f>
        <v>0</v>
      </c>
      <c r="AK72" s="1433" cm="1">
        <f t="array" aca="1" ref="AK72" ca="1">_xlfn.IFS(Tab_NewTRADER[[#This Row],[M_State]]=MUp,                  Tab_NewTRADER[[#This Row],[N]]*(Tab_NewTRADER[[#This Row],[M]]-Tab_NewTRADER[[#This Row],[A]])*Tab_NewTRADER[[#This Row],[Scale]]*ComFactor, TRUE,0)</f>
        <v>0</v>
      </c>
      <c r="AL72" s="1435" t="str">
        <f ca="1">TEXT(Tab_NewTRADER[[#This Row],[L_Sn]],"#,#0")&amp;" x "&amp;TEXT(Tab_NewTRADER[[#This Row],[L_Sp]],"#,#0.#0")</f>
        <v>100,000 x 301.92</v>
      </c>
      <c r="AM72" s="1465" t="str" cm="1">
        <f t="array" aca="1" ref="AM72" ca="1">_xlfn.IFS(Tab_NewTRADER[[#This Row],[M_State]]=RePurchaseGain,TEXT(-Tab_NewTRADER[[#This Row],[Buy_Back]],"#,#0")&amp;"       / "&amp;TEXT(Tab_NewTRADER[[#This Row],[Rev_Buy]],"#,#00.0)%"),TRUE,"M = "&amp;Tab_NewTRADER[[#This Row],[M]])</f>
        <v>M = 377.6</v>
      </c>
      <c r="AN72" s="1435" cm="1">
        <f t="array" aca="1" ref="AN72" ca="1">_xlfn.IFS(Tab_NewTRADER[[#This Row],[M_State]]=MDown,TEXT(Tab_NewTRADER[[#This Row],[L_Sn]]*(Tab_NewTRADER[[#This Row],[M]]-Tab_NewTRADER[[#This Row],[L_Sp]])*ComFactor,"#,#0")&amp;"       / "&amp;TEXT((TabTRADER[[#This Row],[M]]-TabTRADER[[#This Row],[L_Sp]])/TabTRADER[[#This Row],[M]],"#,#00.0)%"),TRUE,0)</f>
        <v>0</v>
      </c>
      <c r="AO72" s="1486" cm="1">
        <f t="array" aca="1" ref="AO72" ca="1">_xlfn.IFS(Tab_NewTRADER[[#This Row],[M_State]]=MDown,TEXT(Tab_NewTRADER[[#This Row],[N]]*(Tab_NewTRADER[[#This Row],[M]]-Tab_NewTRADER[[#This Row],[A]])*Tab_NewTRADER[[#This Row],[Scale]]*ComFactor,"#,#0")&amp;"       / "&amp;TEXT((TabTRADER[[#This Row],[M]]-TabTRADER[[#This Row],[L_Bp]])/TabTRADER[[#This Row],[M]],"#,#00.0%"),TRUE,0)</f>
        <v>0</v>
      </c>
      <c r="AP72" s="1435" t="str" cm="1">
        <f t="array" aca="1" ref="AP72" ca="1">_xlfn.IFS(Tab_NewTRADER[[#This Row],[M_State]]=MDown,TEXT(Tab_NewTRADER[[#This Row],[N]]*Tab_NewTRADER[[#This Row],[M]],"#,#0")&amp;" @ "&amp;TEXT(Tab_NewTRADER[[#This Row],[A]],"#,#0.#0"),TRUE,"M = "&amp; Tab_NewTRADER[[#This Row],[M]])</f>
        <v>M = 377.6</v>
      </c>
      <c r="AQ72" s="1165">
        <f ca="1">Tab_NewTRADER[[#This Row],[N]]*(Tab_NewTRADER[[#This Row],[M]]-Tab_NewTRADER[[#This Row],[A]])*(1-Commission)*Tab_NewTRADER[[#This Row],[Scale]]</f>
        <v>0</v>
      </c>
      <c r="AR72" s="1165">
        <f ca="1">Tab_NewTRADER[[#This Row],[M]]*Tab_NewTRADER[[#This Row],[N]]*(1-Commission)*Tab_NewTRADER[[#This Row],[Scale]]</f>
        <v>0</v>
      </c>
      <c r="AS72" s="1174" t="str" cm="1">
        <f t="array" aca="1" ref="AS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72" s="1174" t="str" cm="1">
        <f t="array" aca="1" ref="AT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2" s="825" t="str" cm="1">
        <f t="array" aca="1" ref="AU72" ca="1">_xlfn.IFS(   Tab_NewTRADER[[#This Row],[M_State]]=SellMorePercentGain,                     MIN(Tab_NewTRADER[[#This Row],[L_Sn]],Tab_NewTRADER[[#This Row],[N]])*(Tab_NewTRADER[[#This Row],[M]]-Tab_NewTRADER[[#This Row],[L_Sp]])*(1-Commission)*Tab_NewTRADER[[#This Row],[Scale]],                    TRUE,"")</f>
        <v/>
      </c>
      <c r="AV72" s="1163">
        <f ca="1">_xlfn.XLOOKUP(Tab_NewTRADER[[#This Row],[ClickTick]],TabCalc[Ticker],TabCalc[Ann%RevLB])</f>
        <v>0.8069087086342871</v>
      </c>
      <c r="AW72" s="1267">
        <f ca="1">_xlfn.XLOOKUP(Tab_NewTRADER[[#This Row],[ClickTick]],TabCalc[Ticker],TabCalc[Up20])</f>
        <v>0.42857142857142855</v>
      </c>
      <c r="AX72" s="1175" t="str" cm="1">
        <f t="array" aca="1" ref="AX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2" s="825" t="str" cm="1">
        <f t="array" aca="1" ref="AY72" ca="1">_xlfn.IFS(         Tab_NewTRADER[[#This Row],[M_State]]=MDown,Tab_NewTRADER[[#This Row],[L_Bn]]*Tab_NewTRADER[[#This Row],[M]]*(-(Tab_NewTRADER[[#This Row],[L_Bp]]+Tab_NewTRADER[[#This Row],[M]])/Tab_NewTRADER[[#This Row],[M]])*(1-Commission)*Tab_NewTRADER[[#This Row],[Scale]],                               TRUE,"")</f>
        <v/>
      </c>
      <c r="AZ72" s="1174" t="str" cm="1">
        <f t="array" aca="1" ref="AZ72" ca="1">_xlfn.IFS(   Tab_NewTRADER[[#This Row],[M_State]]=MUp,Tab_NewTRADER[[#This Row],[TakeGain_A]]-Commission,        Tab_NewTRADER[[#This Row],[M_State]]=MDown,(Tab_NewTRADER[[#This Row],[A]]-Tab_NewTRADER[[#This Row],[M]])/Tab_NewTRADER[[#This Row],[M]]-Commission,                              TRUE,"")</f>
        <v/>
      </c>
      <c r="BA72" s="825" cm="1">
        <f t="array" aca="1" ref="BA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72" s="760" t="str" cm="1">
        <f t="array" aca="1" ref="BB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-1.3%</v>
      </c>
      <c r="BC72" s="736" t="str" cm="1">
        <f t="array" aca="1" ref="BC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0x3.776</v>
      </c>
      <c r="BD72" s="765" t="str" cm="1">
        <f t="array" aca="1" ref="BD72" ca="1">_xlfn.IFS(Tab_NewTRADER[[#This Row],[M_State]]=Sale_Back,"",         Tab_NewTRADER[[#This Row],[M_State]]=MDown, (Tab_NewTRADER[[#This Row],[M]]-Tab_NewTRADER[[#This Row],[A]])/Tab_NewTRADER[[#This Row],[A]]*ComFactor,             TRUE, IFERROR((Tab_NewTRADER[[#This Row],[M]]-Tab_NewTRADER[[#This Row],[A]])/Tab_NewTRADER[[#This Row],[A]]*ComFactor,""))</f>
        <v/>
      </c>
      <c r="BE72" s="762" cm="1">
        <f t="array" aca="1" ref="BE72" ca="1">_xlfn.IFS(               Tab_NewTRADER[[#This Row],[M_State]]=NoStock,(Tab_NewTRADER[[#This Row],[L_Sp]]-Tab_NewTRADER[[#This Row],[M]])/Tab_NewTRADER[[#This Row],[M]]-Commission,             Tab_NewTRADER[[#This Row],[A]]&lt;&gt;0,(Tab_NewTRADER[[#This Row],[A]]-Tab_NewTRADER[[#This Row],[M]])/Tab_NewTRADER[[#This Row],[M]]-Commission)</f>
        <v>-0.20302372881355932</v>
      </c>
      <c r="BF72" s="324">
        <f ca="1">_xlfn.XLOOKUP(Tab_NewTRADER[[#This Row],[ClickTick]],TabCalc[Ticker],TabCalc[L_Sn])</f>
        <v>100000</v>
      </c>
      <c r="BG72" s="728">
        <f ca="1">_xlfn.XLOOKUP(Tab_NewTRADER[[#This Row],[ClickTick]],TabCalc[Ticker],TabCalc[L_Sp])</f>
        <v>301.92</v>
      </c>
      <c r="BH72" s="764">
        <f ca="1">-IFERROR((Tab_NewTRADER[[#This Row],[M]]-Tab_NewTRADER[[#This Row],[L_Sp]])/Tab_NewTRADER[[#This Row],[L_Sp]],0)</f>
        <v>-0.2506624271330154</v>
      </c>
      <c r="BI72" s="729">
        <f ca="1">MIN(Tab_NewTRADER[[#This Row],[L_Sn]],Tab_NewTRADER[[#This Row],[N]])*(Tab_NewTRADER[[#This Row],[M]]-Tab_NewTRADER[[#This Row],[L_Sp]])*(1-Commission)*Tab_NewTRADER[[#This Row],[Scale]]</f>
        <v>0</v>
      </c>
      <c r="BJ72" s="692">
        <f ca="1">Tab_NewTRADER[[#This Row],[L_Sn]]*(Tab_NewTRADER[[#This Row],[Agiotage]]-Tab_NewTRADER[[#This Row],[M]])/(Tab_NewTRADER[[#This Row],[L_Bn]]*Tab_NewTRADER[[#This Row],[M]])</f>
        <v>-3.9911230876179142</v>
      </c>
      <c r="BK72" s="635">
        <f ca="1">IFERROR((Tab_NewTRADER[[#This Row],[M]]-Tab_NewTRADER[[#This Row],[A]])/Tab_NewTRADER[[#This Row],[A]],0)</f>
        <v>0</v>
      </c>
      <c r="BL72" s="638" t="str">
        <f ca="1">TEXT(_xlfn.XLOOKUP(Tab_NewTRADER[[#This Row],[ClickTick]],TabCalc[Ticker],TabCalc[NAfter]),"#,#0")&amp;" : "&amp;TEXT(_xlfn.XLOOKUP(Tab_NewTRADER[[#This Row],[ClickTick]],TabCalc[Ticker],TabCalc[NAfter])*(Tab_NewTRADER[[#This Row],[M]]-Tab_NewTRADER[[#This Row],[A]])*(1-Commission)*Tab_NewTRADER[[#This Row],[Scale]],"#,#0$")</f>
        <v>0 : 0$</v>
      </c>
      <c r="BM72" s="684">
        <f ca="1">_xlfn.XLOOKUP(Tab_NewTRADER[[#This Row],[ClickTick]],TabCalc[[#This Row],[Ticker]],TabCalc[[#This Row],[GL]])*(1-Commission)</f>
        <v>177513.79999859998</v>
      </c>
      <c r="BN72" s="684"/>
      <c r="BO72" s="669" t="str">
        <f ca="1">Tab_NewTRADER[[#This Row],[ClickTick]]&amp;": "&amp;_xlfn.XLOOKUP(Tab_NewTRADER[[#This Row],[ClickTick]],TabCalc[Ticker],TabCalc[Pile?])</f>
        <v>SAFIAG: Pile</v>
      </c>
      <c r="BP72" s="351" t="s">
        <v>1995</v>
      </c>
      <c r="BQ72" s="755" t="str" cm="1">
        <f t="array" aca="1" ref="BQ72" ca="1">_xlfn.TEXTJOIN("",,INDEX({"M","A","Y"}, _xlfn.SORTBY({1,2,3}, -CHOOSE({1,2,3}, Tab_NewTRADER[[#This Row],[M]], Tab_NewTRADER[[#This Row],[A]], Tab_NewTRADER[[#This Row],[Agiotage]]))))</f>
        <v>MYA</v>
      </c>
      <c r="BR72" s="902" t="str" cm="1">
        <f t="array" aca="1" ref="BR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2" s="679" t="e">
        <f ca="1">Tab_NewTRADER[[#This Row],[L_Sn]]*Tab_NewTRADER[[#This Row],[L_Sp]]+Tab_NewTRADER[[#This Row],[SellMore]]*Tab_NewTRADER[[#This Row],[M]]</f>
        <v>#N/A</v>
      </c>
      <c r="BT72" s="679" t="e">
        <f ca="1">INDEX(
  INDEX(TabConsolid[], , _xlfn.XMATCH(Tab_NewTRADER[[#This Row],[ClickTick]]&amp;1, TabConsolid[#Headers])),
  MATCH(
    -Tab_NewTRADER[[#This Row],[M]],
    INDEX(TabConsolid[], , _xlfn.XMATCH(Tab_NewTRADER[[#This Row],[ClickTick]]&amp;2, TabConsolid[#Headers])),
    -1
  )
)</f>
        <v>#N/A</v>
      </c>
      <c r="BU72" s="679" cm="1">
        <f t="array" aca="1" ref="BU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2" s="1144" t="e">
        <f ca="1">Tab_NewTRADER[[#This Row],[ReBuy]]/(Tab_NewTRADER[[#This Row],[L_Sn]]+Tab_NewTRADER[[#This Row],[SellMore]])</f>
        <v>#N/A</v>
      </c>
      <c r="BW72" s="687" t="e">
        <f ca="1">((_xlfn.XLOOKUP(Tab_NewTRADER[[#This Row],[ClickTick]],TabCalc[Ticker],TabCalc[NAfter])+Tab_NewTRADER[[#This Row],[L_Sn]])*(Tab_NewTRADER[[#This Row],[Agiotage]]-Tab_NewTRADER[[#This Row],[M]]))/(Tab_NewTRADER[[#This Row],[L_Sn]]*_xlfn.XLOOKUP(Tab_NewTRADER[[#This Row],[ClickTick]],TabCalc[Ticker],TabCalc[NAfter]))</f>
        <v>#DIV/0!</v>
      </c>
      <c r="BX72" s="687">
        <f ca="1">(Tab_NewTRADER[[#This Row],[M]]-Tab_NewTRADER[[#This Row],[Agiotage]])/(Tab_NewTRADER[[#This Row],[M]]-Tab_NewTRADER[[#This Row],[A]])-1</f>
        <v>-2.2192280955214416E-3</v>
      </c>
      <c r="BY72" s="1262">
        <f ca="1">_xlfn.XMATCH(Tab_NewTRADER[[#This Row],[ClickTick]]&amp;1, TabConsolid[#Headers])</f>
        <v>212</v>
      </c>
      <c r="BZ72" t="b">
        <f ca="1">IF(ABS(Tab_NewTRADER[[#This Row],[L_Bp]])&gt;=Tab_NewTRADER[[#This Row],[M]],"OK")</f>
        <v>0</v>
      </c>
    </row>
    <row r="73" spans="1:78"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-43,598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-59.9%</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-48,262$</v>
      </c>
      <c r="G73" s="225" t="str">
        <f ca="1">IFERROR(TRUNC(_xlfn.XLOOKUP(Tab_NewTRADER[[#This Row],[ClickTick]],TabCalc[Ticker],ListLastSalep),2)&amp;"x"&amp;_xlfn.XLOOKUP(Tab_NewTRADER[[#This Row],[ClickTick]],TabCalc[Ticker],ListLastSalen)&amp;"=   "&amp;TEXT(-_xlfn.XLOOKUP(Tab_NewTRADER[[#This Row],[ClickTick]],TabCalc[Ticker],ListReverseB),"#,#0")&amp;"$","")</f>
        <v>124.1x200=   -19,964$</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411.1% = 50</v>
      </c>
      <c r="I73" s="226" t="str">
        <f ca="1">IFERROR(TRUNC(TabCalc[[#This Row],[L_S1p]],2)&amp;"x"&amp;TabCalc[[#This Row],[L_S1n]]&amp;"=   "&amp;TEXT(TabCalc[[#This Row],[ReverseB1]],"#,#0"),"")</f>
        <v>126.78x299=   30,648</v>
      </c>
      <c r="J73" s="295">
        <f ca="1">_xlfn.XLOOKUP(Tab_NewTRADER[[#This Row],[ClickTick]],TabCalc[Ticker],ListGravity)</f>
        <v>1.6598023064250409</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109260</v>
      </c>
      <c r="M73" s="323">
        <f ca="1">_xlfn.XLOOKUP(Tab_NewTRADER[[#This Row],[ClickTick]],TabCalc[Ticker],TabCalc[Agiotage])</f>
        <v>0.28173453881169197</v>
      </c>
      <c r="N73" s="324" cm="1">
        <f t="array" aca="1" ref="N73" ca="1">_xlfn.XLOOKUP(Tab_NewTRADER[[#This Row],[ClickTick]],ListTickers,Tab2RSIConventional[RSIConv20])</f>
        <v>46</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-0.37442995315954097</v>
      </c>
      <c r="S73" s="683">
        <f ca="1">_xlfn.XLOOKUP(Tab_NewTRADER[[#This Row],[ClickTick]],TabCalc[Ticker],TabCalc[Rev(MinStock)])*(1-Commission)</f>
        <v>-43484.445720000003</v>
      </c>
      <c r="T73" s="782">
        <f ca="1">_xlfn.XLOOKUP(Tab_NewTRADER[[#This Row],[ClickTick]],TabCalc[Ticker],TabCalc[Agiotage])</f>
        <v>0.28173453881169197</v>
      </c>
      <c r="U73" s="747"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-3,350/-3,350=&gt;-2.6% / -2.6%</v>
      </c>
      <c r="V73" s="739" t="str">
        <f ca="1">_xlfn.XLOOKUP(Tab_NewTRADER[[#This Row],[ClickTick]],[1]!RTData[Ticker_Symbol],[1]!RTData[Currency])</f>
        <v>USD</v>
      </c>
      <c r="W73" s="749">
        <f ca="1">_xlfn.XLOOKUP(Tab_NewTRADER[[#This Row],[ClickTick]],TabCalc[Ticker],TabCalc[M])</f>
        <v>24.28</v>
      </c>
      <c r="X73" s="1315"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-2.5682E-2</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/121 K$</v>
      </c>
      <c r="AF73" s="1161"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3" s="1530" t="str">
        <f ca="1">TEXT(MIN(Tab_NewTRADER[[#This Row],[L_Bn]],Tab_NewTRADER[[#This Row],[N]]),"#,#0")&amp;" x "&amp;TEXT(Tab_NewTRADER[[#This Row],[L_Bp]],"#,#0.#0")</f>
        <v>3,000 x -38.81</v>
      </c>
      <c r="AH73" s="1530" t="str" cm="1">
        <f t="array" aca="1" ref="AH73" ca="1">_xlfn.IFS(Tab_NewTRADER[[#This Row],[M_State]]=Sale_Back,Tab_NewTRADER[[#This Row],[Sale_Back_$]], TRUE,"M = "&amp;Tab_NewTRADER[[#This Row],[M]])</f>
        <v>M = 24.28</v>
      </c>
      <c r="AI73" s="1433" cm="1">
        <f t="array" aca="1" ref="AI73" ca="1">IF(Tab_NewTRADER[[#This Row],[M_State]]=MUp,_xlfn.IFS(Tab_NewTRADER[[#This Row],[M_State]]=MUp,MIN(Tab_NewTRADER[[#This Row],[N]],Tab_NewTRADER[[#This Row],[L_Bn]])*(Tab_NewTRADER[[#This Row],[M]]-Tab_NewTRADER[[#This Row],[L_Sp]])*Tab_NewTRADER[[#This Row],[Scale]]*ComFactor, TRUE,0),0)</f>
        <v>0</v>
      </c>
      <c r="AJ73" s="1433" cm="1">
        <f t="array" aca="1" ref="AJ73" ca="1">_xlfn.IFS(Tab_NewTRADER[[#This Row],[M_State]]=MUp,                 MIN(Tab_NewTRADER[[#This Row],[L_Sn]],Tab_NewTRADER[[#This Row],[N]])*(Tab_NewTRADER[[#This Row],[M]]-Tab_NewTRADER[[#This Row],[A]])*Tab_NewTRADER[[#This Row],[Scale]]*ComFactor, TRUE,0)</f>
        <v>0</v>
      </c>
      <c r="AK73" s="1433" cm="1">
        <f t="array" aca="1" ref="AK73" ca="1">_xlfn.IFS(Tab_NewTRADER[[#This Row],[M_State]]=MUp,                  Tab_NewTRADER[[#This Row],[N]]*(Tab_NewTRADER[[#This Row],[M]]-Tab_NewTRADER[[#This Row],[A]])*Tab_NewTRADER[[#This Row],[Scale]]*ComFactor, TRUE,0)</f>
        <v>0</v>
      </c>
      <c r="AL73" s="1435" t="str">
        <f ca="1">TEXT(Tab_NewTRADER[[#This Row],[L_Sn]],"#,#0")&amp;" x "&amp;TEXT(Tab_NewTRADER[[#This Row],[L_Sp]],"#,#0.#0")</f>
        <v>200 x 124.10</v>
      </c>
      <c r="AM73" s="1465" t="str" cm="1">
        <f t="array" aca="1" ref="AM73" ca="1">_xlfn.IFS(Tab_NewTRADER[[#This Row],[M_State]]=RePurchaseGain,TEXT(-Tab_NewTRADER[[#This Row],[Buy_Back]],"#,#0")&amp;"       / "&amp;TEXT(Tab_NewTRADER[[#This Row],[Rev_Buy]],"#,#00.0)%"),TRUE,"M = "&amp;Tab_NewTRADER[[#This Row],[M]])</f>
        <v>M = 24.28</v>
      </c>
      <c r="AN73" s="1435" t="str" cm="1">
        <f t="array" aca="1" ref="AN73" ca="1">_xlfn.IFS(Tab_NewTRADER[[#This Row],[M_State]]=MDown,TEXT(Tab_NewTRADER[[#This Row],[L_Sn]]*(Tab_NewTRADER[[#This Row],[M]]-Tab_NewTRADER[[#This Row],[L_Sp]])*ComFactor,"#,#0")&amp;"       / "&amp;TEXT((TabTRADER[[#This Row],[M]]-TabTRADER[[#This Row],[L_Sp]])/TabTRADER[[#This Row],[M]],"#,#00.0)%"),TRUE,0)</f>
        <v>-19,912       / -411.1)%</v>
      </c>
      <c r="AO73" s="1486" t="str" cm="1">
        <f t="array" aca="1" ref="AO73" ca="1">_xlfn.IFS(Tab_NewTRADER[[#This Row],[M_State]]=MDown,TEXT(Tab_NewTRADER[[#This Row],[N]]*(Tab_NewTRADER[[#This Row],[M]]-Tab_NewTRADER[[#This Row],[A]])*Tab_NewTRADER[[#This Row],[Scale]]*ComFactor,"#,#0")&amp;"       / "&amp;TEXT((TabTRADER[[#This Row],[M]]-TabTRADER[[#This Row],[L_Bp]])/TabTRADER[[#This Row],[M]],"#,#00.0%"),TRUE,0)</f>
        <v>-186,784       / 259.9%</v>
      </c>
      <c r="AP73" s="1435" t="str" cm="1">
        <f t="array" aca="1" ref="AP73" ca="1">_xlfn.IFS(Tab_NewTRADER[[#This Row],[M_State]]=MDown,TEXT(Tab_NewTRADER[[#This Row],[N]]*Tab_NewTRADER[[#This Row],[M]],"#,#0")&amp;" @ "&amp;TEXT(Tab_NewTRADER[[#This Row],[A]],"#,#0.#0"),TRUE,"M = "&amp; Tab_NewTRADER[[#This Row],[M]])</f>
        <v>121,400 @ 61.73</v>
      </c>
      <c r="AQ73" s="1165">
        <f ca="1">Tab_NewTRADER[[#This Row],[N]]*(Tab_NewTRADER[[#This Row],[M]]-Tab_NewTRADER[[#This Row],[A]])*(1-Commission)*Tab_NewTRADER[[#This Row],[Scale]]</f>
        <v>-186783.67200369999</v>
      </c>
      <c r="AR73" s="1165">
        <f ca="1">Tab_NewTRADER[[#This Row],[M]]*Tab_NewTRADER[[#This Row],[N]]*(1-Commission)*Tab_NewTRADER[[#This Row],[Scale]]</f>
        <v>121084.36</v>
      </c>
      <c r="AS73" s="1174" cm="1">
        <f t="array" aca="1" ref="AS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0.60670044495381448</v>
      </c>
      <c r="AT73" s="1174" cm="1">
        <f t="array" aca="1" ref="AT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0.59594200988467871</v>
      </c>
      <c r="AU73" s="825" t="str" cm="1">
        <f t="array" aca="1" ref="AU73" ca="1">_xlfn.IFS(   Tab_NewTRADER[[#This Row],[M_State]]=SellMorePercentGain,                     MIN(Tab_NewTRADER[[#This Row],[L_Sn]],Tab_NewTRADER[[#This Row],[N]])*(Tab_NewTRADER[[#This Row],[M]]-Tab_NewTRADER[[#This Row],[L_Sp]])*(1-Commission)*Tab_NewTRADER[[#This Row],[Scale]],                    TRUE,"")</f>
        <v/>
      </c>
      <c r="AV73" s="1163">
        <f ca="1">_xlfn.XLOOKUP(Tab_NewTRADER[[#This Row],[ClickTick]],TabCalc[Ticker],TabCalc[Ann%RevLB])</f>
        <v>-0.44782319979214202</v>
      </c>
      <c r="AW73" s="1267">
        <f ca="1">_xlfn.XLOOKUP(Tab_NewTRADER[[#This Row],[ClickTick]],TabCalc[Ticker],TabCalc[Up20])</f>
        <v>0</v>
      </c>
      <c r="AX73" s="1175" cm="1">
        <f t="array" aca="1" ref="AX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0.59854200988467876</v>
      </c>
      <c r="AY73" s="825" cm="1">
        <f t="array" aca="1" ref="AY73" ca="1">_xlfn.IFS(         Tab_NewTRADER[[#This Row],[M_State]]=MDown,Tab_NewTRADER[[#This Row],[L_Bn]]*Tab_NewTRADER[[#This Row],[M]]*(-(Tab_NewTRADER[[#This Row],[L_Bp]]+Tab_NewTRADER[[#This Row],[M]])/Tab_NewTRADER[[#This Row],[M]])*(1-Commission)*Tab_NewTRADER[[#This Row],[Scale]],                               TRUE,"")</f>
        <v>43484.445720000003</v>
      </c>
      <c r="AZ73" s="1174" cm="1">
        <f t="array" aca="1" ref="AZ73" ca="1">_xlfn.IFS(   Tab_NewTRADER[[#This Row],[M_State]]=MUp,Tab_NewTRADER[[#This Row],[TakeGain_A]]-Commission,        Tab_NewTRADER[[#This Row],[M_State]]=MDown,(Tab_NewTRADER[[#This Row],[A]]-Tab_NewTRADER[[#This Row],[M]])/Tab_NewTRADER[[#This Row],[M]]-Commission,                              TRUE,"")</f>
        <v>1.5399912314662274</v>
      </c>
      <c r="BA73" s="825" cm="1">
        <f t="array" aca="1" ref="BA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186783.67200369999</v>
      </c>
      <c r="BB73" s="760" t="str" cm="1">
        <f t="array" aca="1" ref="BB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C73" s="736" cm="1">
        <f t="array" aca="1" ref="BC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-14.53</v>
      </c>
      <c r="BD73" s="765" cm="1">
        <f t="array" aca="1" ref="BD73" ca="1">_xlfn.IFS(Tab_NewTRADER[[#This Row],[M_State]]=Sale_Back,"",         Tab_NewTRADER[[#This Row],[M_State]]=MDown, (Tab_NewTRADER[[#This Row],[M]]-Tab_NewTRADER[[#This Row],[A]])/Tab_NewTRADER[[#This Row],[A]]*ComFactor,             TRUE, IFERROR((Tab_NewTRADER[[#This Row],[M]]-Tab_NewTRADER[[#This Row],[A]])/Tab_NewTRADER[[#This Row],[A]]*ComFactor,""))</f>
        <v>-0.6051230237969345</v>
      </c>
      <c r="BE73" s="762" cm="1">
        <f t="array" aca="1" ref="BE73" ca="1">_xlfn.IFS(               Tab_NewTRADER[[#This Row],[M_State]]=NoStock,(Tab_NewTRADER[[#This Row],[L_Sp]]-Tab_NewTRADER[[#This Row],[M]])/Tab_NewTRADER[[#This Row],[M]]-Commission,             Tab_NewTRADER[[#This Row],[A]]&lt;&gt;0,(Tab_NewTRADER[[#This Row],[A]]-Tab_NewTRADER[[#This Row],[M]])/Tab_NewTRADER[[#This Row],[M]]-Commission)</f>
        <v>1.5399912314662274</v>
      </c>
      <c r="BF73" s="324">
        <f ca="1">_xlfn.XLOOKUP(Tab_NewTRADER[[#This Row],[ClickTick]],TabCalc[Ticker],TabCalc[L_Sn])</f>
        <v>200</v>
      </c>
      <c r="BG73" s="728">
        <f ca="1">_xlfn.XLOOKUP(Tab_NewTRADER[[#This Row],[ClickTick]],TabCalc[Ticker],TabCalc[L_Sp])</f>
        <v>124.1</v>
      </c>
      <c r="BH73" s="764">
        <f ca="1">-IFERROR((Tab_NewTRADER[[#This Row],[M]]-Tab_NewTRADER[[#This Row],[L_Sp]])/Tab_NewTRADER[[#This Row],[L_Sp]],0)</f>
        <v>0.80435132957292499</v>
      </c>
      <c r="BI73" s="729">
        <f ca="1">MIN(Tab_NewTRADER[[#This Row],[L_Sn]],Tab_NewTRADER[[#This Row],[N]])*(Tab_NewTRADER[[#This Row],[M]]-Tab_NewTRADER[[#This Row],[L_Sp]])*(1-Commission)*Tab_NewTRADER[[#This Row],[Scale]]</f>
        <v>-19912.0936</v>
      </c>
      <c r="BJ73" s="692">
        <f ca="1">Tab_NewTRADER[[#This Row],[L_Sn]]*(Tab_NewTRADER[[#This Row],[Agiotage]]-Tab_NewTRADER[[#This Row],[M]])/(Tab_NewTRADER[[#This Row],[L_Bn]]*Tab_NewTRADER[[#This Row],[M]])</f>
        <v>-6.5893095719902012E-2</v>
      </c>
      <c r="BK73" s="635">
        <f ca="1">IFERROR((Tab_NewTRADER[[#This Row],[M]]-Tab_NewTRADER[[#This Row],[A]])/Tab_NewTRADER[[#This Row],[A]],0)</f>
        <v>-0.60670044495381448</v>
      </c>
      <c r="BL73" s="638" t="str">
        <f ca="1">TEXT(_xlfn.XLOOKUP(Tab_NewTRADER[[#This Row],[ClickTick]],TabCalc[Ticker],TabCalc[NAfter]),"#,#0")&amp;" : "&amp;TEXT(_xlfn.XLOOKUP(Tab_NewTRADER[[#This Row],[ClickTick]],TabCalc[Ticker],TabCalc[NAfter])*(Tab_NewTRADER[[#This Row],[M]]-Tab_NewTRADER[[#This Row],[A]])*(1-Commission)*Tab_NewTRADER[[#This Row],[Scale]],"#,#0$")</f>
        <v>5,000 : -186,784$</v>
      </c>
      <c r="BM73" s="684">
        <f ca="1">_xlfn.XLOOKUP(Tab_NewTRADER[[#This Row],[ClickTick]],TabCalc[[#This Row],[Ticker]],TabCalc[[#This Row],[GL]])*(1-Commission)</f>
        <v>-177645.43803710703</v>
      </c>
      <c r="BN73" s="684"/>
      <c r="BO73" s="669" t="str">
        <f ca="1">Tab_NewTRADER[[#This Row],[ClickTick]]&amp;": "&amp;_xlfn.XLOOKUP(Tab_NewTRADER[[#This Row],[ClickTick]],TabCalc[Ticker],TabCalc[Pile?])</f>
        <v>SAFMRNA: Pile</v>
      </c>
      <c r="BP73" s="351" t="s">
        <v>1996</v>
      </c>
      <c r="BQ73" s="755" t="str" cm="1">
        <f t="array" aca="1" ref="BQ73" ca="1">_xlfn.TEXTJOIN("",,INDEX({"M","A","Y"}, _xlfn.SORTBY({1,2,3}, -CHOOSE({1,2,3}, Tab_NewTRADER[[#This Row],[M]], Tab_NewTRADER[[#This Row],[A]], Tab_NewTRADER[[#This Row],[Agiotage]]))))</f>
        <v>AMY</v>
      </c>
      <c r="BR73" s="902" cm="1">
        <f t="array" aca="1" ref="BR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0.59854200988467876</v>
      </c>
      <c r="BS73" s="679" t="e">
        <f ca="1">Tab_NewTRADER[[#This Row],[L_Sn]]*Tab_NewTRADER[[#This Row],[L_Sp]]+Tab_NewTRADER[[#This Row],[SellMore]]*Tab_NewTRADER[[#This Row],[M]]</f>
        <v>#N/A</v>
      </c>
      <c r="BT73" s="679" t="e">
        <f ca="1">INDEX(
  INDEX(TabConsolid[], , _xlfn.XMATCH(Tab_NewTRADER[[#This Row],[ClickTick]]&amp;1, TabConsolid[#Headers])),
  MATCH(
    -Tab_NewTRADER[[#This Row],[M]],
    INDEX(TabConsolid[], , _xlfn.XMATCH(Tab_NewTRADER[[#This Row],[ClickTick]]&amp;2, TabConsolid[#Headers])),
    -1
  )
)</f>
        <v>#N/A</v>
      </c>
      <c r="BU73" s="679" cm="1">
        <f t="array" aca="1" ref="BU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V73" s="1144" t="e">
        <f ca="1">Tab_NewTRADER[[#This Row],[ReBuy]]/(Tab_NewTRADER[[#This Row],[L_Sn]]+Tab_NewTRADER[[#This Row],[SellMore]])</f>
        <v>#N/A</v>
      </c>
      <c r="BW73" s="687">
        <f ca="1">((_xlfn.XLOOKUP(Tab_NewTRADER[[#This Row],[ClickTick]],TabCalc[Ticker],TabCalc[NAfter])+Tab_NewTRADER[[#This Row],[L_Sn]])*(Tab_NewTRADER[[#This Row],[Agiotage]]-Tab_NewTRADER[[#This Row],[M]]))/(Tab_NewTRADER[[#This Row],[L_Sn]]*_xlfn.XLOOKUP(Tab_NewTRADER[[#This Row],[ClickTick]],TabCalc[Ticker],TabCalc[NAfter]))</f>
        <v>-0.12479098039817922</v>
      </c>
      <c r="BX73" s="687">
        <f ca="1">(Tab_NewTRADER[[#This Row],[M]]-Tab_NewTRADER[[#This Row],[Agiotage]])/(Tab_NewTRADER[[#This Row],[M]]-Tab_NewTRADER[[#This Row],[A]])-1</f>
        <v>-1.6407377506347309</v>
      </c>
      <c r="BY73" s="1262">
        <f ca="1">_xlfn.XMATCH(Tab_NewTRADER[[#This Row],[ClickTick]]&amp;1, TabConsolid[#Headers])</f>
        <v>215</v>
      </c>
      <c r="BZ73" t="str">
        <f ca="1">IF(ABS(Tab_NewTRADER[[#This Row],[L_Bp]])&gt;=Tab_NewTRADER[[#This Row],[M]],"OK")</f>
        <v>OK</v>
      </c>
    </row>
    <row r="74" spans="1:78"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+14,120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25.9%</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-11,500$</v>
      </c>
      <c r="G74" s="225" t="str">
        <f ca="1">IFERROR(TRUNC(_xlfn.XLOOKUP(Tab_NewTRADER[[#This Row],[ClickTick]],TabCalc[Ticker],ListLastSalep),2)&amp;"x"&amp;_xlfn.XLOOKUP(Tab_NewTRADER[[#This Row],[ClickTick]],TabCalc[Ticker],ListLastSalen)&amp;"=   "&amp;TEXT(-_xlfn.XLOOKUP(Tab_NewTRADER[[#This Row],[ClickTick]],TabCalc[Ticker],ListReverseB),"#,#0")&amp;"$","")</f>
        <v>1.91x12000=   -6,540$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39.9% = 9,174</v>
      </c>
      <c r="I74" s="226" t="str">
        <f ca="1">IFERROR(TRUNC(TabCalc[[#This Row],[L_S1p]],2)&amp;"x"&amp;TabCalc[[#This Row],[L_S1n]]&amp;"=   "&amp;TEXT(TabCalc[[#This Row],[ReverseB1]],"#,#0"),"")</f>
        <v>1.52x28000=   4,340</v>
      </c>
      <c r="J74" s="295">
        <f ca="1">_xlfn.XLOOKUP(Tab_NewTRADER[[#This Row],[ClickTick]],TabCalc[Ticker],ListGravity)</f>
        <v>1.7582417582417582</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122850</v>
      </c>
      <c r="M74" s="323">
        <f ca="1">_xlfn.XLOOKUP(Tab_NewTRADER[[#This Row],[ClickTick]],TabCalc[Ticker],TabCalc[Agiotage])</f>
        <v>0.25815887401400817</v>
      </c>
      <c r="N74" s="324" cm="1">
        <f t="array" aca="1" ref="N74" ca="1">_xlfn.XLOOKUP(Tab_NewTRADER[[#This Row],[ClickTick]],ListTickers,Tab2RSIConventional[RSIConv20])</f>
        <v>42</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0.34881422924901184</v>
      </c>
      <c r="S74" s="683">
        <f ca="1">_xlfn.XLOOKUP(Tab_NewTRADER[[#This Row],[ClickTick]],TabCalc[Ticker],TabCalc[Rev(MinStock)])*(1-Commission)</f>
        <v>14083.287999999999</v>
      </c>
      <c r="T74" s="782">
        <f ca="1">_xlfn.XLOOKUP(Tab_NewTRADER[[#This Row],[ClickTick]],TabCalc[Ticker],TabCalc[Agiotage])</f>
        <v>0.25815887401400817</v>
      </c>
      <c r="U74" s="747"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-5,400/-5,400=&gt;-3.2% / -3.2%</v>
      </c>
      <c r="V74" s="739" t="str">
        <f ca="1">_xlfn.XLOOKUP(Tab_NewTRADER[[#This Row],[ClickTick]],[1]!RTData[Ticker_Symbol],[1]!RTData[Currency])</f>
        <v>USD</v>
      </c>
      <c r="W74" s="749">
        <f ca="1">_xlfn.XLOOKUP(Tab_NewTRADER[[#This Row],[ClickTick]],TabCalc[Ticker],TabCalc[M])</f>
        <v>1.365</v>
      </c>
      <c r="X74" s="1315"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-3.1914999999999999E-2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-282K /164 K$</v>
      </c>
      <c r="AF74" s="1182"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74" s="1530" t="str">
        <f ca="1">TEXT(MIN(Tab_NewTRADER[[#This Row],[L_Bn]],Tab_NewTRADER[[#This Row],[N]]),"#,#0")&amp;" x "&amp;TEXT(Tab_NewTRADER[[#This Row],[L_Bp]],"#,#0.#0")</f>
        <v>40,000 x -1.01</v>
      </c>
      <c r="AH74" s="1530" t="str" cm="1">
        <f t="array" aca="1" ref="AH74" ca="1">_xlfn.IFS(Tab_NewTRADER[[#This Row],[M_State]]=Sale_Back,Tab_NewTRADER[[#This Row],[Sale_Back_$]], TRUE,"M = "&amp;Tab_NewTRADER[[#This Row],[M]])</f>
        <v>M = 1.365</v>
      </c>
      <c r="AI74" s="1433" cm="1">
        <f t="array" aca="1" ref="AI74" ca="1">IF(Tab_NewTRADER[[#This Row],[M_State]]=MUp,_xlfn.IFS(Tab_NewTRADER[[#This Row],[M_State]]=MUp,MIN(Tab_NewTRADER[[#This Row],[N]],Tab_NewTRADER[[#This Row],[L_Bn]])*(Tab_NewTRADER[[#This Row],[M]]-Tab_NewTRADER[[#This Row],[L_Sp]])*Tab_NewTRADER[[#This Row],[Scale]]*ComFactor, TRUE,0),0)</f>
        <v>0</v>
      </c>
      <c r="AJ74" s="1433" cm="1">
        <f t="array" aca="1" ref="AJ74" ca="1">_xlfn.IFS(Tab_NewTRADER[[#This Row],[M_State]]=MUp,                 MIN(Tab_NewTRADER[[#This Row],[L_Sn]],Tab_NewTRADER[[#This Row],[N]])*(Tab_NewTRADER[[#This Row],[M]]-Tab_NewTRADER[[#This Row],[A]])*Tab_NewTRADER[[#This Row],[Scale]]*ComFactor, TRUE,0)</f>
        <v>0</v>
      </c>
      <c r="AK74" s="1433" cm="1">
        <f t="array" aca="1" ref="AK74" ca="1">_xlfn.IFS(Tab_NewTRADER[[#This Row],[M_State]]=MUp,                  Tab_NewTRADER[[#This Row],[N]]*(Tab_NewTRADER[[#This Row],[M]]-Tab_NewTRADER[[#This Row],[A]])*Tab_NewTRADER[[#This Row],[Scale]]*ComFactor, TRUE,0)</f>
        <v>0</v>
      </c>
      <c r="AL74" s="1435" t="str">
        <f ca="1">TEXT(Tab_NewTRADER[[#This Row],[L_Sn]],"#,#0")&amp;" x "&amp;TEXT(Tab_NewTRADER[[#This Row],[L_Sp]],"#,#0.#0")</f>
        <v>12,000 x 1.91</v>
      </c>
      <c r="AM74" s="1465" t="str" cm="1">
        <f t="array" aca="1" ref="AM74" ca="1">_xlfn.IFS(Tab_NewTRADER[[#This Row],[M_State]]=RePurchaseGain,TEXT(-Tab_NewTRADER[[#This Row],[Buy_Back]],"#,#0")&amp;"       / "&amp;TEXT(Tab_NewTRADER[[#This Row],[Rev_Buy]],"#,#00.0)%"),TRUE,"M = "&amp;Tab_NewTRADER[[#This Row],[M]])</f>
        <v>6,523       / 28.5)%</v>
      </c>
      <c r="AN74" s="1435" cm="1">
        <f t="array" aca="1" ref="AN74" ca="1">_xlfn.IFS(Tab_NewTRADER[[#This Row],[M_State]]=MDown,TEXT(Tab_NewTRADER[[#This Row],[L_Sn]]*(Tab_NewTRADER[[#This Row],[M]]-Tab_NewTRADER[[#This Row],[L_Sp]])*ComFactor,"#,#0")&amp;"       / "&amp;TEXT((TabTRADER[[#This Row],[M]]-TabTRADER[[#This Row],[L_Sp]])/TabTRADER[[#This Row],[M]],"#,#00.0)%"),TRUE,0)</f>
        <v>0</v>
      </c>
      <c r="AO74" s="1486" cm="1">
        <f t="array" aca="1" ref="AO74" ca="1">_xlfn.IFS(Tab_NewTRADER[[#This Row],[M_State]]=MDown,TEXT(Tab_NewTRADER[[#This Row],[N]]*(Tab_NewTRADER[[#This Row],[M]]-Tab_NewTRADER[[#This Row],[A]])*Tab_NewTRADER[[#This Row],[Scale]]*ComFactor,"#,#0")&amp;"       / "&amp;TEXT((TabTRADER[[#This Row],[M]]-TabTRADER[[#This Row],[L_Bp]])/TabTRADER[[#This Row],[M]],"#,#00.0%"),TRUE,0)</f>
        <v>0</v>
      </c>
      <c r="AP74" s="1435" t="str" cm="1">
        <f t="array" aca="1" ref="AP74" ca="1">_xlfn.IFS(Tab_NewTRADER[[#This Row],[M_State]]=MDown,TEXT(Tab_NewTRADER[[#This Row],[N]]*Tab_NewTRADER[[#This Row],[M]],"#,#0")&amp;" @ "&amp;TEXT(Tab_NewTRADER[[#This Row],[A]],"#,#0.#0"),TRUE,"M = "&amp; Tab_NewTRADER[[#This Row],[M]])</f>
        <v>M = 1.365</v>
      </c>
      <c r="AQ74" s="1165">
        <f ca="1">Tab_NewTRADER[[#This Row],[N]]*(Tab_NewTRADER[[#This Row],[M]]-Tab_NewTRADER[[#This Row],[A]])*(1-Commission)*Tab_NewTRADER[[#This Row],[Scale]]</f>
        <v>-99554.483599999992</v>
      </c>
      <c r="AR74" s="1165">
        <f ca="1">Tab_NewTRADER[[#This Row],[M]]*Tab_NewTRADER[[#This Row],[N]]*(1-Commission)*Tab_NewTRADER[[#This Row],[Scale]]</f>
        <v>163374.12</v>
      </c>
      <c r="AS74" s="1174" cm="1">
        <f t="array" aca="1" ref="AS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0.28534031413612565</v>
      </c>
      <c r="AT74" s="1174" t="str" cm="1">
        <f t="array" aca="1" ref="AT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4" s="825" t="str" cm="1">
        <f t="array" aca="1" ref="AU74" ca="1">_xlfn.IFS(   Tab_NewTRADER[[#This Row],[M_State]]=SellMorePercentGain,                     MIN(Tab_NewTRADER[[#This Row],[L_Sn]],Tab_NewTRADER[[#This Row],[N]])*(Tab_NewTRADER[[#This Row],[M]]-Tab_NewTRADER[[#This Row],[L_Sp]])*(1-Commission)*Tab_NewTRADER[[#This Row],[Scale]],                    TRUE,"")</f>
        <v/>
      </c>
      <c r="AV74" s="1163">
        <f ca="1">_xlfn.XLOOKUP(Tab_NewTRADER[[#This Row],[ClickTick]],TabCalc[Ticker],TabCalc[Ann%RevLB])</f>
        <v>0.8600898803400292</v>
      </c>
      <c r="AW74" s="1267">
        <f ca="1">_xlfn.XLOOKUP(Tab_NewTRADER[[#This Row],[ClickTick]],TabCalc[Ticker],TabCalc[Up20])</f>
        <v>0</v>
      </c>
      <c r="AX74" s="1175" t="str" cm="1">
        <f t="array" aca="1" ref="AX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4" s="825" t="str" cm="1">
        <f t="array" aca="1" ref="AY74" ca="1">_xlfn.IFS(         Tab_NewTRADER[[#This Row],[M_State]]=MDown,Tab_NewTRADER[[#This Row],[L_Bn]]*Tab_NewTRADER[[#This Row],[M]]*(-(Tab_NewTRADER[[#This Row],[L_Bp]]+Tab_NewTRADER[[#This Row],[M]])/Tab_NewTRADER[[#This Row],[M]])*(1-Commission)*Tab_NewTRADER[[#This Row],[Scale]],                               TRUE,"")</f>
        <v/>
      </c>
      <c r="AZ74" s="1174" t="str" cm="1">
        <f t="array" aca="1" ref="AZ74" ca="1">_xlfn.IFS(   Tab_NewTRADER[[#This Row],[M_State]]=MUp,Tab_NewTRADER[[#This Row],[TakeGain_A]]-Commission,        Tab_NewTRADER[[#This Row],[M_State]]=MDown,(Tab_NewTRADER[[#This Row],[A]]-Tab_NewTRADER[[#This Row],[M]])/Tab_NewTRADER[[#This Row],[M]]-Commission,                              TRUE,"")</f>
        <v/>
      </c>
      <c r="BA74" s="825" cm="1">
        <f t="array" aca="1" ref="BA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-99554.483599999992</v>
      </c>
      <c r="BB74" s="760" t="str" cm="1">
        <f t="array" aca="1" ref="BB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C74" s="736" t="str" cm="1">
        <f t="array" aca="1" ref="BC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74" s="765" cm="1">
        <f t="array" aca="1" ref="BD74" ca="1">_xlfn.IFS(Tab_NewTRADER[[#This Row],[M_State]]=Sale_Back,"",         Tab_NewTRADER[[#This Row],[M_State]]=MDown, (Tab_NewTRADER[[#This Row],[M]]-Tab_NewTRADER[[#This Row],[A]])/Tab_NewTRADER[[#This Row],[A]]*ComFactor,             TRUE, IFERROR((Tab_NewTRADER[[#This Row],[M]]-Tab_NewTRADER[[#This Row],[A]])/Tab_NewTRADER[[#This Row],[A]]*ComFactor,""))</f>
        <v>-0.37765249038366699</v>
      </c>
      <c r="BE74" s="762" cm="1">
        <f t="array" aca="1" ref="BE74" ca="1">_xlfn.IFS(               Tab_NewTRADER[[#This Row],[M_State]]=NoStock,(Tab_NewTRADER[[#This Row],[L_Sp]]-Tab_NewTRADER[[#This Row],[M]])/Tab_NewTRADER[[#This Row],[M]]-Commission,             Tab_NewTRADER[[#This Row],[A]]&lt;&gt;0,(Tab_NewTRADER[[#This Row],[A]]-Tab_NewTRADER[[#This Row],[M]])/Tab_NewTRADER[[#This Row],[M]]-Commission)</f>
        <v>0.60676507936507929</v>
      </c>
      <c r="BF74" s="324">
        <f ca="1">_xlfn.XLOOKUP(Tab_NewTRADER[[#This Row],[ClickTick]],TabCalc[Ticker],TabCalc[L_Sn])</f>
        <v>12000</v>
      </c>
      <c r="BG74" s="728">
        <f ca="1">_xlfn.XLOOKUP(Tab_NewTRADER[[#This Row],[ClickTick]],TabCalc[Ticker],TabCalc[L_Sp])</f>
        <v>1.91</v>
      </c>
      <c r="BH74" s="764">
        <f ca="1">-IFERROR((Tab_NewTRADER[[#This Row],[M]]-Tab_NewTRADER[[#This Row],[L_Sp]])/Tab_NewTRADER[[#This Row],[L_Sp]],0)</f>
        <v>0.28534031413612565</v>
      </c>
      <c r="BI74" s="729">
        <f ca="1">MIN(Tab_NewTRADER[[#This Row],[L_Sn]],Tab_NewTRADER[[#This Row],[N]])*(Tab_NewTRADER[[#This Row],[M]]-Tab_NewTRADER[[#This Row],[L_Sp]])*(1-Commission)*Tab_NewTRADER[[#This Row],[Scale]]</f>
        <v>-6522.9959999999992</v>
      </c>
      <c r="BJ74" s="692">
        <f ca="1">Tab_NewTRADER[[#This Row],[L_Sn]]*(Tab_NewTRADER[[#This Row],[Agiotage]]-Tab_NewTRADER[[#This Row],[M]])/(Tab_NewTRADER[[#This Row],[L_Bn]]*Tab_NewTRADER[[#This Row],[M]])</f>
        <v>-0.24326178593098721</v>
      </c>
      <c r="BK74" s="635">
        <f ca="1">IFERROR((Tab_NewTRADER[[#This Row],[M]]-Tab_NewTRADER[[#This Row],[A]])/Tab_NewTRADER[[#This Row],[A]],0)</f>
        <v>-0.37863694644442253</v>
      </c>
      <c r="BL74" s="638" t="str">
        <f ca="1">TEXT(_xlfn.XLOOKUP(Tab_NewTRADER[[#This Row],[ClickTick]],TabCalc[Ticker],TabCalc[NAfter]),"#,#0")&amp;" : "&amp;TEXT(_xlfn.XLOOKUP(Tab_NewTRADER[[#This Row],[ClickTick]],TabCalc[Ticker],TabCalc[NAfter])*(Tab_NewTRADER[[#This Row],[M]]-Tab_NewTRADER[[#This Row],[A]])*(1-Commission)*Tab_NewTRADER[[#This Row],[Scale]],"#,#0$")</f>
        <v>120,000 : -99,554$</v>
      </c>
      <c r="BM74" s="684">
        <f ca="1">_xlfn.XLOOKUP(Tab_NewTRADER[[#This Row],[ClickTick]],TabCalc[[#This Row],[Ticker]],TabCalc[[#This Row],[GL]])*(1-Commission)</f>
        <v>-280838.54268558358</v>
      </c>
      <c r="BN74" s="684"/>
      <c r="BO74" s="669" t="str">
        <f ca="1">Tab_NewTRADER[[#This Row],[ClickTick]]&amp;": "&amp;_xlfn.XLOOKUP(Tab_NewTRADER[[#This Row],[ClickTick]],TabCalc[Ticker],TabCalc[Pile?])</f>
        <v>BLNK: Pile</v>
      </c>
      <c r="BP74" s="351" t="s">
        <v>1997</v>
      </c>
      <c r="BQ74" s="755" t="str" cm="1">
        <f t="array" aca="1" ref="BQ74" ca="1">_xlfn.TEXTJOIN("",,INDEX({"M","A","Y"}, _xlfn.SORTBY({1,2,3}, -CHOOSE({1,2,3}, Tab_NewTRADER[[#This Row],[M]], Tab_NewTRADER[[#This Row],[A]], Tab_NewTRADER[[#This Row],[Agiotage]]))))</f>
        <v>AMY</v>
      </c>
      <c r="BR74" s="902" t="str" cm="1">
        <f t="array" aca="1" ref="BR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4" s="679" t="e">
        <f ca="1">Tab_NewTRADER[[#This Row],[L_Sn]]*Tab_NewTRADER[[#This Row],[L_Sp]]+Tab_NewTRADER[[#This Row],[SellMore]]*Tab_NewTRADER[[#This Row],[M]]</f>
        <v>#N/A</v>
      </c>
      <c r="BT74" s="679" t="e">
        <f ca="1">INDEX(
  INDEX(TabConsolid[], , _xlfn.XMATCH(Tab_NewTRADER[[#This Row],[ClickTick]]&amp;1, TabConsolid[#Headers])),
  MATCH(
    -Tab_NewTRADER[[#This Row],[M]],
    INDEX(TabConsolid[], , _xlfn.XMATCH(Tab_NewTRADER[[#This Row],[ClickTick]]&amp;2, TabConsolid[#Headers])),
    -1
  )
)</f>
        <v>#N/A</v>
      </c>
      <c r="BU74" s="679" cm="1">
        <f t="array" aca="1" ref="BU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V74" s="1144" t="e">
        <f ca="1">Tab_NewTRADER[[#This Row],[ReBuy]]/(Tab_NewTRADER[[#This Row],[L_Sn]]+Tab_NewTRADER[[#This Row],[SellMore]])</f>
        <v>#N/A</v>
      </c>
      <c r="BW74" s="687">
        <f ca="1">((_xlfn.XLOOKUP(Tab_NewTRADER[[#This Row],[ClickTick]],TabCalc[Ticker],TabCalc[NAfter])+Tab_NewTRADER[[#This Row],[L_Sn]])*(Tab_NewTRADER[[#This Row],[Agiotage]]-Tab_NewTRADER[[#This Row],[M]]))/(Tab_NewTRADER[[#This Row],[L_Sn]]*_xlfn.XLOOKUP(Tab_NewTRADER[[#This Row],[ClickTick]],TabCalc[Ticker],TabCalc[NAfter]))</f>
        <v>-1.0146043654871591E-4</v>
      </c>
      <c r="BX74" s="687">
        <f ca="1">(Tab_NewTRADER[[#This Row],[M]]-Tab_NewTRADER[[#This Row],[Agiotage]])/(Tab_NewTRADER[[#This Row],[M]]-Tab_NewTRADER[[#This Row],[A]])-1</f>
        <v>-2.3306844242122251</v>
      </c>
      <c r="BY74" s="1262">
        <f ca="1">_xlfn.XMATCH(Tab_NewTRADER[[#This Row],[ClickTick]]&amp;1, TabConsolid[#Headers])</f>
        <v>218</v>
      </c>
      <c r="BZ74" t="b">
        <f ca="1">IF(ABS(Tab_NewTRADER[[#This Row],[L_Bp]])&gt;=Tab_NewTRADER[[#This Row],[M]],"OK")</f>
        <v>0</v>
      </c>
    </row>
    <row r="75" spans="1:78"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+13,493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8.3%</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3,709/17,000=60,156</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12,967$</v>
      </c>
      <c r="G75" s="225" t="str">
        <f ca="1">IFERROR(TRUNC(_xlfn.XLOOKUP(Tab_NewTRADER[[#This Row],[ClickTick]],TabCalc[Ticker],ListLastSalep),2)&amp;"x"&amp;_xlfn.XLOOKUP(Tab_NewTRADER[[#This Row],[ClickTick]],TabCalc[Ticker],ListLastSalen)&amp;"=   "&amp;TEXT(-_xlfn.XLOOKUP(Tab_NewTRADER[[#This Row],[ClickTick]],TabCalc[Ticker],ListReverseB),"#,#0")&amp;"$","")</f>
        <v>15.86x5000=   1,790$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 = 0</v>
      </c>
      <c r="I75" s="226" t="str">
        <f ca="1">IFERROR(TRUNC(TabCalc[[#This Row],[L_S1p]],2)&amp;"x"&amp;TabCalc[[#This Row],[L_S1n]]&amp;"=   "&amp;TEXT(TabCalc[[#This Row],[ReverseB1]],"#,#0"),"")</f>
        <v>15.21x2000=   -2,016</v>
      </c>
      <c r="J75" s="295">
        <f ca="1">_xlfn.XLOOKUP(Tab_NewTRADER[[#This Row],[ClickTick]],TabCalc[Ticker],ListGravity)</f>
        <v>0.99412566284375392</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157314.6</v>
      </c>
      <c r="M75" s="323">
        <f ca="1">_xlfn.XLOOKUP(Tab_NewTRADER[[#This Row],[ClickTick]],TabCalc[Ticker],TabCalc[Agiotage])</f>
        <v>0.92243783340360397</v>
      </c>
      <c r="N75" s="324" cm="1">
        <f t="array" aca="1" ref="N75" ca="1">_xlfn.XLOOKUP(Tab_NewTRADER[[#This Row],[ClickTick]],ListTickers,Tab2RSIConventional[RSIConv20])</f>
        <v>82</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9.0652320107599244E-2</v>
      </c>
      <c r="S75" s="683">
        <f ca="1">_xlfn.XLOOKUP(Tab_NewTRADER[[#This Row],[ClickTick]],TabCalc[Ticker],TabCalc[Rev(MinStock)])*(1-Commission)</f>
        <v>13458.396952000006</v>
      </c>
      <c r="T75" s="782">
        <f ca="1">_xlfn.XLOOKUP(Tab_NewTRADER[[#This Row],[ClickTick]],TabCalc[Ticker],TabCalc[Agiotage])</f>
        <v>0.92243783340360397</v>
      </c>
      <c r="U75" s="747"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-2,754/-2,754=&gt;-0.7% / -0.7%</v>
      </c>
      <c r="V75" s="739" t="str">
        <f ca="1">_xlfn.XLOOKUP(Tab_NewTRADER[[#This Row],[ClickTick]],[1]!RTData[Ticker_Symbol],[1]!RTData[Currency])</f>
        <v>EUR</v>
      </c>
      <c r="W75" s="749">
        <f ca="1">_xlfn.XLOOKUP(Tab_NewTRADER[[#This Row],[ClickTick]],TabCalc[Ticker],TabCalc[M])</f>
        <v>16.218</v>
      </c>
      <c r="X75" s="1315"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-6.8589999999999996E-3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^38K / 276 K$</v>
      </c>
      <c r="AF75" s="1182"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75" s="1530" t="str">
        <f ca="1">TEXT(MIN(Tab_NewTRADER[[#This Row],[L_Bn]],Tab_NewTRADER[[#This Row],[N]]),"#,#0")&amp;" x "&amp;TEXT(Tab_NewTRADER[[#This Row],[L_Bp]],"#,#0.#0")</f>
        <v>10,010 x -14.87</v>
      </c>
      <c r="AH75" s="1530" t="str" cm="1">
        <f t="array" aca="1" ref="AH75" ca="1">_xlfn.IFS(Tab_NewTRADER[[#This Row],[M_State]]=Sale_Back,Tab_NewTRADER[[#This Row],[Sale_Back_$]], TRUE,"M = "&amp;Tab_NewTRADER[[#This Row],[M]])</f>
        <v>M = 16.218</v>
      </c>
      <c r="AI75" s="1433" cm="1">
        <f t="array" aca="1" ref="AI75" ca="1">IF(Tab_NewTRADER[[#This Row],[M_State]]=MUp,_xlfn.IFS(Tab_NewTRADER[[#This Row],[M_State]]=MUp,MIN(Tab_NewTRADER[[#This Row],[N]],Tab_NewTRADER[[#This Row],[L_Bn]])*(Tab_NewTRADER[[#This Row],[M]]-Tab_NewTRADER[[#This Row],[L_Sp]])*Tab_NewTRADER[[#This Row],[Scale]]*ComFactor, TRUE,0),0)</f>
        <v>3574.2626920000052</v>
      </c>
      <c r="AJ75" s="1433" cm="1">
        <f t="array" aca="1" ref="AJ75" ca="1">_xlfn.IFS(Tab_NewTRADER[[#This Row],[M_State]]=MUp,                 MIN(Tab_NewTRADER[[#This Row],[L_Sn]],Tab_NewTRADER[[#This Row],[N]])*(Tab_NewTRADER[[#This Row],[M]]-Tab_NewTRADER[[#This Row],[A]])*Tab_NewTRADER[[#This Row],[Scale]]*ComFactor, TRUE,0)</f>
        <v>6619.9491470588209</v>
      </c>
      <c r="AK75" s="1433" cm="1">
        <f t="array" aca="1" ref="AK75" ca="1">_xlfn.IFS(Tab_NewTRADER[[#This Row],[M_State]]=MUp,                  Tab_NewTRADER[[#This Row],[N]]*(Tab_NewTRADER[[#This Row],[M]]-Tab_NewTRADER[[#This Row],[A]])*Tab_NewTRADER[[#This Row],[Scale]]*ComFactor, TRUE,0)</f>
        <v>22507.827099999991</v>
      </c>
      <c r="AL75" s="1435" t="str">
        <f ca="1">TEXT(Tab_NewTRADER[[#This Row],[L_Sn]],"#,#0")&amp;" x "&amp;TEXT(Tab_NewTRADER[[#This Row],[L_Sp]],"#,#0.#0")</f>
        <v>5,000 x 15.86</v>
      </c>
      <c r="AM75" s="1465" t="str" cm="1">
        <f t="array" aca="1" ref="AM75" ca="1">_xlfn.IFS(Tab_NewTRADER[[#This Row],[M_State]]=RePurchaseGain,TEXT(-Tab_NewTRADER[[#This Row],[Buy_Back]],"#,#0")&amp;"       / "&amp;TEXT(Tab_NewTRADER[[#This Row],[Rev_Buy]],"#,#00.0)%"),TRUE,"M = "&amp;Tab_NewTRADER[[#This Row],[M]])</f>
        <v>M = 16.218</v>
      </c>
      <c r="AN75" s="1435" cm="1">
        <f t="array" aca="1" ref="AN75" ca="1">_xlfn.IFS(Tab_NewTRADER[[#This Row],[M_State]]=MDown,TEXT(Tab_NewTRADER[[#This Row],[L_Sn]]*(Tab_NewTRADER[[#This Row],[M]]-Tab_NewTRADER[[#This Row],[L_Sp]])*ComFactor,"#,#0")&amp;"       / "&amp;TEXT((TabTRADER[[#This Row],[M]]-TabTRADER[[#This Row],[L_Sp]])/TabTRADER[[#This Row],[M]],"#,#00.0)%"),TRUE,0)</f>
        <v>0</v>
      </c>
      <c r="AO75" s="1486" cm="1">
        <f t="array" aca="1" ref="AO75" ca="1">_xlfn.IFS(Tab_NewTRADER[[#This Row],[M_State]]=MDown,TEXT(Tab_NewTRADER[[#This Row],[N]]*(Tab_NewTRADER[[#This Row],[M]]-Tab_NewTRADER[[#This Row],[A]])*Tab_NewTRADER[[#This Row],[Scale]]*ComFactor,"#,#0")&amp;"       / "&amp;TEXT((TabTRADER[[#This Row],[M]]-TabTRADER[[#This Row],[L_Bp]])/TabTRADER[[#This Row],[M]],"#,#00.0%"),TRUE,0)</f>
        <v>0</v>
      </c>
      <c r="AP75" s="1435" t="str" cm="1">
        <f t="array" aca="1" ref="AP75" ca="1">_xlfn.IFS(Tab_NewTRADER[[#This Row],[M_State]]=MDown,TEXT(Tab_NewTRADER[[#This Row],[N]]*Tab_NewTRADER[[#This Row],[M]],"#,#0")&amp;" @ "&amp;TEXT(Tab_NewTRADER[[#This Row],[A]],"#,#0.#0"),TRUE,"M = "&amp; Tab_NewTRADER[[#This Row],[M]])</f>
        <v>M = 16.218</v>
      </c>
      <c r="AQ75" s="1165">
        <f ca="1">Tab_NewTRADER[[#This Row],[N]]*(Tab_NewTRADER[[#This Row],[M]]-Tab_NewTRADER[[#This Row],[A]])*(1-Commission)*Tab_NewTRADER[[#This Row],[Scale]]</f>
        <v>22507.827099999991</v>
      </c>
      <c r="AR75" s="1165">
        <f ca="1">Tab_NewTRADER[[#This Row],[M]]*Tab_NewTRADER[[#This Row],[N]]*(1-Commission)*Tab_NewTRADER[[#This Row],[Scale]]</f>
        <v>274989.16440000001</v>
      </c>
      <c r="AS75" s="1174" cm="1">
        <f t="array" aca="1" ref="AS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8.9146498274666697E-2</v>
      </c>
      <c r="AT75" s="1174" cm="1">
        <f t="array" aca="1" ref="AT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1.9474238500431652E-2</v>
      </c>
      <c r="AU75" s="825" cm="1">
        <f t="array" aca="1" ref="AU75" ca="1">_xlfn.IFS(   Tab_NewTRADER[[#This Row],[M_State]]=SellMorePercentGain,                     MIN(Tab_NewTRADER[[#This Row],[L_Sn]],Tab_NewTRADER[[#This Row],[N]])*(Tab_NewTRADER[[#This Row],[M]]-Tab_NewTRADER[[#This Row],[L_Sp]])*(1-Commission)*Tab_NewTRADER[[#This Row],[Scale]],                    TRUE,"")</f>
        <v>1785.3460000000027</v>
      </c>
      <c r="AV75" s="1314">
        <f ca="1">_xlfn.XLOOKUP(Tab_NewTRADER[[#This Row],[ClickTick]],TabCalc[Ticker],TabCalc[Ann%RevLB])</f>
        <v>0.53499729899566761</v>
      </c>
      <c r="AW75" s="1266">
        <f ca="1">_xlfn.XLOOKUP(Tab_NewTRADER[[#This Row],[ClickTick]],TabCalc[Ticker],TabCalc[Up20])</f>
        <v>0</v>
      </c>
      <c r="AX75" s="1175" t="str" cm="1">
        <f t="array" aca="1" ref="AX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75" s="825" t="str" cm="1">
        <f t="array" aca="1" ref="AY75" ca="1">_xlfn.IFS(         Tab_NewTRADER[[#This Row],[M_State]]=MDown,Tab_NewTRADER[[#This Row],[L_Bn]]*Tab_NewTRADER[[#This Row],[M]]*(-(Tab_NewTRADER[[#This Row],[L_Bp]]+Tab_NewTRADER[[#This Row],[M]])/Tab_NewTRADER[[#This Row],[M]])*(1-Commission)*Tab_NewTRADER[[#This Row],[Scale]],                               TRUE,"")</f>
        <v/>
      </c>
      <c r="AZ75" s="1174" cm="1">
        <f t="array" aca="1" ref="AZ75" ca="1">_xlfn.IFS(   Tab_NewTRADER[[#This Row],[M_State]]=MUp,Tab_NewTRADER[[#This Row],[TakeGain_A]]-Commission,        Tab_NewTRADER[[#This Row],[M_State]]=MDown,(Tab_NewTRADER[[#This Row],[A]]-Tab_NewTRADER[[#This Row],[M]])/Tab_NewTRADER[[#This Row],[M]]-Commission,                              TRUE,"")</f>
        <v>8.6546498274666692E-2</v>
      </c>
      <c r="BA75" s="760" cm="1">
        <f t="array" aca="1" ref="BA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24514.321069736634</v>
      </c>
      <c r="BB75" s="760" t="str" cm="1">
        <f t="array" aca="1" ref="BB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75" s="736" t="str" cm="1">
        <f t="array" aca="1" ref="BC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10,010x1.32</v>
      </c>
      <c r="BD75" s="765" cm="1">
        <f t="array" aca="1" ref="BD75" ca="1">_xlfn.IFS(Tab_NewTRADER[[#This Row],[M_State]]=Sale_Back,"",         Tab_NewTRADER[[#This Row],[M_State]]=MDown, (Tab_NewTRADER[[#This Row],[M]]-Tab_NewTRADER[[#This Row],[A]])/Tab_NewTRADER[[#This Row],[A]]*ComFactor,             TRUE, IFERROR((Tab_NewTRADER[[#This Row],[M]]-Tab_NewTRADER[[#This Row],[A]])/Tab_NewTRADER[[#This Row],[A]]*ComFactor,""))</f>
        <v>8.8914717379152561E-2</v>
      </c>
      <c r="BE75" s="762" cm="1">
        <f t="array" aca="1" ref="BE75" ca="1">_xlfn.IFS(               Tab_NewTRADER[[#This Row],[M_State]]=NoStock,(Tab_NewTRADER[[#This Row],[L_Sp]]-Tab_NewTRADER[[#This Row],[M]])/Tab_NewTRADER[[#This Row],[M]]-Commission,             Tab_NewTRADER[[#This Row],[A]]&lt;&gt;0,(Tab_NewTRADER[[#This Row],[A]]-Tab_NewTRADER[[#This Row],[M]])/Tab_NewTRADER[[#This Row],[M]]-Commission)</f>
        <v>-8.4449869063422611E-2</v>
      </c>
      <c r="BF75" s="324">
        <f ca="1">_xlfn.XLOOKUP(Tab_NewTRADER[[#This Row],[ClickTick]],TabCalc[Ticker],TabCalc[L_Sn])</f>
        <v>5000</v>
      </c>
      <c r="BG75" s="728">
        <f ca="1">_xlfn.XLOOKUP(Tab_NewTRADER[[#This Row],[ClickTick]],TabCalc[Ticker],TabCalc[L_Sp])</f>
        <v>15.86</v>
      </c>
      <c r="BH75" s="764">
        <f ca="1">-IFERROR((Tab_NewTRADER[[#This Row],[M]]-Tab_NewTRADER[[#This Row],[L_Sp]])/Tab_NewTRADER[[#This Row],[L_Sp]],0)</f>
        <v>-2.2572509457755394E-2</v>
      </c>
      <c r="BI75" s="729">
        <f ca="1">MIN(Tab_NewTRADER[[#This Row],[L_Sn]],Tab_NewTRADER[[#This Row],[N]])*(Tab_NewTRADER[[#This Row],[M]]-Tab_NewTRADER[[#This Row],[L_Sp]])*(1-Commission)*Tab_NewTRADER[[#This Row],[Scale]]</f>
        <v>1785.3460000000027</v>
      </c>
      <c r="BJ75" s="692">
        <f ca="1">Tab_NewTRADER[[#This Row],[L_Sn]]*(Tab_NewTRADER[[#This Row],[Agiotage]]-Tab_NewTRADER[[#This Row],[M]])/(Tab_NewTRADER[[#This Row],[L_Bn]]*Tab_NewTRADER[[#This Row],[M]])</f>
        <v>-0.47109020485607611</v>
      </c>
      <c r="BK75" s="635">
        <f ca="1">IFERROR((Tab_NewTRADER[[#This Row],[M]]-Tab_NewTRADER[[#This Row],[A]])/Tab_NewTRADER[[#This Row],[A]],0)</f>
        <v>8.9146498274666697E-2</v>
      </c>
      <c r="BL75" s="638" t="str">
        <f ca="1">TEXT(_xlfn.XLOOKUP(Tab_NewTRADER[[#This Row],[ClickTick]],TabCalc[Ticker],TabCalc[NAfter]),"#,#0")&amp;" : "&amp;TEXT(_xlfn.XLOOKUP(Tab_NewTRADER[[#This Row],[ClickTick]],TabCalc[Ticker],TabCalc[NAfter])*(Tab_NewTRADER[[#This Row],[M]]-Tab_NewTRADER[[#This Row],[A]])*(1-Commission)*Tab_NewTRADER[[#This Row],[Scale]],"#,#0$")</f>
        <v>17,000 : 22,508$</v>
      </c>
      <c r="BM75" s="684">
        <f ca="1">_xlfn.XLOOKUP(Tab_NewTRADER[[#This Row],[ClickTick]],TabCalc[[#This Row],[Ticker]],TabCalc[[#This Row],[GL]])*(1-Commission)</f>
        <v>37473.329357216731</v>
      </c>
      <c r="BN75" s="684"/>
      <c r="BO75" s="669" t="str">
        <f ca="1">Tab_NewTRADER[[#This Row],[ClickTick]]&amp;": "&amp;_xlfn.XLOOKUP(Tab_NewTRADER[[#This Row],[ClickTick]],TabCalc[Ticker],TabCalc[Pile?])</f>
        <v xml:space="preserve">ENI: </v>
      </c>
      <c r="BP75" s="351" t="s">
        <v>2008</v>
      </c>
      <c r="BQ75" s="755" t="str" cm="1">
        <f t="array" aca="1" ref="BQ75" ca="1">_xlfn.TEXTJOIN("",,INDEX({"M","A","Y"}, _xlfn.SORTBY({1,2,3}, -CHOOSE({1,2,3}, Tab_NewTRADER[[#This Row],[M]], Tab_NewTRADER[[#This Row],[A]], Tab_NewTRADER[[#This Row],[Agiotage]]))))</f>
        <v>MAY</v>
      </c>
      <c r="BR75" s="902" cm="1">
        <f t="array" aca="1" ref="BR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2.2074238500431654E-2</v>
      </c>
      <c r="BS75" s="679">
        <f ca="1">Tab_NewTRADER[[#This Row],[L_Sn]]*Tab_NewTRADER[[#This Row],[L_Sp]]+Tab_NewTRADER[[#This Row],[SellMore]]*Tab_NewTRADER[[#This Row],[M]]</f>
        <v>192663.82</v>
      </c>
      <c r="BT75" s="679">
        <f ca="1">INDEX(
  INDEX(TabConsolid[], , _xlfn.XMATCH(Tab_NewTRADER[[#This Row],[ClickTick]]&amp;1, TabConsolid[#Headers])),
  MATCH(
    -Tab_NewTRADER[[#This Row],[M]],
    INDEX(TabConsolid[], , _xlfn.XMATCH(Tab_NewTRADER[[#This Row],[ClickTick]]&amp;2, TabConsolid[#Headers])),
    -1
  )
)</f>
        <v>6990</v>
      </c>
      <c r="BU75" s="679" cm="1">
        <f t="array" aca="1" ref="BU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V75" s="1144">
        <f ca="1">Tab_NewTRADER[[#This Row],[ReBuy]]/(Tab_NewTRADER[[#This Row],[L_Sn]]+Tab_NewTRADER[[#This Row],[SellMore]])</f>
        <v>16.068708924103419</v>
      </c>
      <c r="BW75" s="687">
        <f ca="1">((_xlfn.XLOOKUP(Tab_NewTRADER[[#This Row],[ClickTick]],TabCalc[Ticker],TabCalc[NAfter])+Tab_NewTRADER[[#This Row],[L_Sn]])*(Tab_NewTRADER[[#This Row],[Agiotage]]-Tab_NewTRADER[[#This Row],[M]]))/(Tab_NewTRADER[[#This Row],[L_Sn]]*_xlfn.XLOOKUP(Tab_NewTRADER[[#This Row],[ClickTick]],TabCalc[Ticker],TabCalc[NAfter]))</f>
        <v>-3.9588513842955374E-3</v>
      </c>
      <c r="BX75" s="687">
        <f ca="1">(Tab_NewTRADER[[#This Row],[M]]-Tab_NewTRADER[[#This Row],[Agiotage]])/(Tab_NewTRADER[[#This Row],[M]]-Tab_NewTRADER[[#This Row],[A]])-1</f>
        <v>10.522591311552027</v>
      </c>
      <c r="BY75" s="1262">
        <f ca="1">_xlfn.XMATCH(Tab_NewTRADER[[#This Row],[ClickTick]]&amp;1, TabConsolid[#Headers])</f>
        <v>221</v>
      </c>
      <c r="BZ75" t="b">
        <f ca="1">IF(ABS(Tab_NewTRADER[[#This Row],[L_Bp]])&gt;=Tab_NewTRADER[[#This Row],[M]],"OK")</f>
        <v>0</v>
      </c>
    </row>
    <row r="76" spans="1:78"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+2,218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14,925</v>
      </c>
      <c r="F76" s="226" t="str">
        <f ca="1">TRUNC(TabCalc[[#This Row],[L_B1p]],2)&amp;"x"&amp;TabCalc[[#This Row],[L_B1n]]&amp;"=   "&amp;TEXT(TabCalc[[#This Row],[ReverseS1]],"#,#0")&amp;"$"</f>
        <v>-480.9x10000=   -1,880$</v>
      </c>
      <c r="G76" s="225" t="str">
        <f ca="1">IFERROR(TRUNC(_xlfn.XLOOKUP(Tab_NewTRADER[[#This Row],[ClickTick]],TabCalc[Ticker],ListLastSalep),2)&amp;"x"&amp;_xlfn.XLOOKUP(Tab_NewTRADER[[#This Row],[ClickTick]],TabCalc[Ticker],ListLastSalen)&amp;"=   "&amp;TEXT(-_xlfn.XLOOKUP(Tab_NewTRADER[[#This Row],[ClickTick]],TabCalc[Ticker],ListReverseB),"#,#0")&amp;"$","")</f>
        <v>495.6x10000=   -3,350$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7.2% = 149</v>
      </c>
      <c r="I76" s="226" t="str">
        <f ca="1">IFERROR(TRUNC(TabCalc[[#This Row],[L_S1p]],2)&amp;"x"&amp;TabCalc[[#This Row],[L_S1n]]&amp;"=   "&amp;TEXT(TabCalc[[#This Row],[ReverseB1]],"#,#0"),"")</f>
        <v>544.2x18000=   14,778</v>
      </c>
      <c r="J76" s="295">
        <f ca="1">_xlfn.XLOOKUP(Tab_NewTRADER[[#This Row],[ClickTick]],TabCalc[Ticker],ListGravity)</f>
        <v>1.3552261415278077</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48797.760000000002</v>
      </c>
      <c r="M76" s="323">
        <f ca="1">_xlfn.XLOOKUP(Tab_NewTRADER[[#This Row],[ClickTick]],TabCalc[Ticker],TabCalc[Agiotage])</f>
        <v>1.0172654070187122</v>
      </c>
      <c r="N76" s="324" cm="1">
        <f t="array" aca="1" ref="N76" ca="1">_xlfn.XLOOKUP(Tab_NewTRADER[[#This Row],[ClickTick]],ListTickers,Tab2RSIConventional[RSIConv20])</f>
        <v>47</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2.4589255227156898E-2</v>
      </c>
      <c r="S76" s="683">
        <f ca="1">_xlfn.XLOOKUP(Tab_NewTRADER[[#This Row],[ClickTick]],TabCalc[Ticker],TabCalc[Rev(MinStock)])*(1-Commission)</f>
        <v>2212.233200000006</v>
      </c>
      <c r="T76" s="782">
        <f ca="1">_xlfn.XLOOKUP(Tab_NewTRADER[[#This Row],[ClickTick]],TabCalc[Ticker],TabCalc[Agiotage])</f>
        <v>1.0172654070187122</v>
      </c>
      <c r="U76" s="747"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1,380/1,380=&gt;1.4% / 1.4%</v>
      </c>
      <c r="V76" s="739" t="str">
        <f ca="1">_xlfn.XLOOKUP(Tab_NewTRADER[[#This Row],[ClickTick]],[1]!RTData[Ticker_Symbol],[1]!RTData[Currency])</f>
        <v>GBp</v>
      </c>
      <c r="W76" s="749">
        <f ca="1">_xlfn.XLOOKUP(Tab_NewTRADER[[#This Row],[ClickTick]],TabCalc[Ticker],TabCalc[M])</f>
        <v>462.1</v>
      </c>
      <c r="X76" s="1315"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1.3822000000000001E-2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^30K / 139 K$</v>
      </c>
      <c r="AF76" s="1182"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76" s="1530" t="str">
        <f ca="1">TEXT(MIN(Tab_NewTRADER[[#This Row],[L_Bn]],Tab_NewTRADER[[#This Row],[N]]),"#,#0")&amp;" x "&amp;TEXT(Tab_NewTRADER[[#This Row],[L_Bp]],"#,#0.#0")</f>
        <v>20,000 x -451.01</v>
      </c>
      <c r="AH76" s="1530" t="str" cm="1">
        <f t="array" aca="1" ref="AH76" ca="1">_xlfn.IFS(Tab_NewTRADER[[#This Row],[M_State]]=Sale_Back,Tab_NewTRADER[[#This Row],[Sale_Back_$]], TRUE,"M = "&amp;Tab_NewTRADER[[#This Row],[M]])</f>
        <v>M = 462.1</v>
      </c>
      <c r="AI76" s="1433" cm="1">
        <f t="array" aca="1" ref="AI76" ca="1">IF(Tab_NewTRADER[[#This Row],[M_State]]=MUp,_xlfn.IFS(Tab_NewTRADER[[#This Row],[M_State]]=MUp,MIN(Tab_NewTRADER[[#This Row],[N]],Tab_NewTRADER[[#This Row],[L_Bn]])*(Tab_NewTRADER[[#This Row],[M]]-Tab_NewTRADER[[#This Row],[L_Sp]])*Tab_NewTRADER[[#This Row],[Scale]]*ComFactor, TRUE,0),0)</f>
        <v>0</v>
      </c>
      <c r="AJ76" s="1433" cm="1">
        <f t="array" aca="1" ref="AJ76" ca="1">_xlfn.IFS(Tab_NewTRADER[[#This Row],[M_State]]=MUp,                 MIN(Tab_NewTRADER[[#This Row],[L_Sn]],Tab_NewTRADER[[#This Row],[N]])*(Tab_NewTRADER[[#This Row],[M]]-Tab_NewTRADER[[#This Row],[A]])*Tab_NewTRADER[[#This Row],[Scale]]*ComFactor, TRUE,0)</f>
        <v>0</v>
      </c>
      <c r="AK76" s="1433" cm="1">
        <f t="array" aca="1" ref="AK76" ca="1">_xlfn.IFS(Tab_NewTRADER[[#This Row],[M_State]]=MUp,                  Tab_NewTRADER[[#This Row],[N]]*(Tab_NewTRADER[[#This Row],[M]]-Tab_NewTRADER[[#This Row],[A]])*Tab_NewTRADER[[#This Row],[Scale]]*ComFactor, TRUE,0)</f>
        <v>0</v>
      </c>
      <c r="AL76" s="1435" t="str">
        <f ca="1">TEXT(Tab_NewTRADER[[#This Row],[L_Sn]],"#,#0")&amp;" x "&amp;TEXT(Tab_NewTRADER[[#This Row],[L_Sp]],"#,#0.#0")</f>
        <v>10,000 x 495.60</v>
      </c>
      <c r="AM76" s="1465" t="str" cm="1">
        <f t="array" aca="1" ref="AM76" ca="1">_xlfn.IFS(Tab_NewTRADER[[#This Row],[M_State]]=RePurchaseGain,TEXT(-Tab_NewTRADER[[#This Row],[Buy_Back]],"#,#0")&amp;"       / "&amp;TEXT(Tab_NewTRADER[[#This Row],[Rev_Buy]],"#,#00.0)%"),TRUE,"M = "&amp;Tab_NewTRADER[[#This Row],[M]])</f>
        <v>3,341       / 06.8)%</v>
      </c>
      <c r="AN76" s="1435" cm="1">
        <f t="array" aca="1" ref="AN76" ca="1">_xlfn.IFS(Tab_NewTRADER[[#This Row],[M_State]]=MDown,TEXT(Tab_NewTRADER[[#This Row],[L_Sn]]*(Tab_NewTRADER[[#This Row],[M]]-Tab_NewTRADER[[#This Row],[L_Sp]])*ComFactor,"#,#0")&amp;"       / "&amp;TEXT((TabTRADER[[#This Row],[M]]-TabTRADER[[#This Row],[L_Sp]])/TabTRADER[[#This Row],[M]],"#,#00.0)%"),TRUE,0)</f>
        <v>0</v>
      </c>
      <c r="AO76" s="1486" cm="1">
        <f t="array" aca="1" ref="AO76" ca="1">_xlfn.IFS(Tab_NewTRADER[[#This Row],[M_State]]=MDown,TEXT(Tab_NewTRADER[[#This Row],[N]]*(Tab_NewTRADER[[#This Row],[M]]-Tab_NewTRADER[[#This Row],[A]])*Tab_NewTRADER[[#This Row],[Scale]]*ComFactor,"#,#0")&amp;"       / "&amp;TEXT((TabTRADER[[#This Row],[M]]-TabTRADER[[#This Row],[L_Bp]])/TabTRADER[[#This Row],[M]],"#,#00.0%"),TRUE,0)</f>
        <v>0</v>
      </c>
      <c r="AP76" s="1435" t="str" cm="1">
        <f t="array" aca="1" ref="AP76" ca="1">_xlfn.IFS(Tab_NewTRADER[[#This Row],[M_State]]=MDown,TEXT(Tab_NewTRADER[[#This Row],[N]]*Tab_NewTRADER[[#This Row],[M]],"#,#0")&amp;" @ "&amp;TEXT(Tab_NewTRADER[[#This Row],[A]],"#,#0.#0"),TRUE,"M = "&amp; Tab_NewTRADER[[#This Row],[M]])</f>
        <v>M = 462.1</v>
      </c>
      <c r="AQ76" s="1165">
        <f ca="1">Tab_NewTRADER[[#This Row],[N]]*(Tab_NewTRADER[[#This Row],[M]]-Tab_NewTRADER[[#This Row],[A]])*(1-Commission)*Tab_NewTRADER[[#This Row],[Scale]]</f>
        <v>337.12119999999953</v>
      </c>
      <c r="AR76" s="1165">
        <f ca="1">Tab_NewTRADER[[#This Row],[M]]*Tab_NewTRADER[[#This Row],[N]]*(1-Commission)*Tab_NewTRADER[[#This Row],[Scale]]</f>
        <v>138269.56200000001</v>
      </c>
      <c r="AS76" s="1174" cm="1">
        <f t="array" aca="1" ref="AS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6.7594834543987084E-2</v>
      </c>
      <c r="AT76" s="1174" t="str" cm="1">
        <f t="array" aca="1" ref="AT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6" s="825" t="str" cm="1">
        <f t="array" aca="1" ref="AU76" ca="1">_xlfn.IFS(   Tab_NewTRADER[[#This Row],[M_State]]=SellMorePercentGain,                     MIN(Tab_NewTRADER[[#This Row],[L_Sn]],Tab_NewTRADER[[#This Row],[N]])*(Tab_NewTRADER[[#This Row],[M]]-Tab_NewTRADER[[#This Row],[L_Sp]])*(1-Commission)*Tab_NewTRADER[[#This Row],[Scale]],                    TRUE,"")</f>
        <v/>
      </c>
      <c r="AV76" s="1163">
        <f ca="1">_xlfn.XLOOKUP(Tab_NewTRADER[[#This Row],[ClickTick]],TabCalc[Ticker],TabCalc[Ann%RevLB])</f>
        <v>0.14511691609469646</v>
      </c>
      <c r="AW76" s="1267">
        <f ca="1">_xlfn.XLOOKUP(Tab_NewTRADER[[#This Row],[ClickTick]],TabCalc[Ticker],TabCalc[Up20])</f>
        <v>0</v>
      </c>
      <c r="AX76" s="1175" t="str" cm="1">
        <f t="array" aca="1" ref="AX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6" s="825" t="str" cm="1">
        <f t="array" aca="1" ref="AY76" ca="1">_xlfn.IFS(         Tab_NewTRADER[[#This Row],[M_State]]=MDown,Tab_NewTRADER[[#This Row],[L_Bn]]*Tab_NewTRADER[[#This Row],[M]]*(-(Tab_NewTRADER[[#This Row],[L_Bp]]+Tab_NewTRADER[[#This Row],[M]])/Tab_NewTRADER[[#This Row],[M]])*(1-Commission)*Tab_NewTRADER[[#This Row],[Scale]],                               TRUE,"")</f>
        <v/>
      </c>
      <c r="AZ76" s="1174" t="str" cm="1">
        <f t="array" aca="1" ref="AZ76" ca="1">_xlfn.IFS(   Tab_NewTRADER[[#This Row],[M_State]]=MUp,Tab_NewTRADER[[#This Row],[TakeGain_A]]-Commission,        Tab_NewTRADER[[#This Row],[M_State]]=MDown,(Tab_NewTRADER[[#This Row],[A]]-Tab_NewTRADER[[#This Row],[M]])/Tab_NewTRADER[[#This Row],[M]]-Commission,                              TRUE,"")</f>
        <v/>
      </c>
      <c r="BA76" s="760" cm="1">
        <f t="array" aca="1" ref="BA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337.12119999999953</v>
      </c>
      <c r="BB76" s="760" t="str" cm="1">
        <f t="array" aca="1" ref="BB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C76" s="736" t="str" cm="1">
        <f t="array" aca="1" ref="BC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76" s="765" cm="1">
        <f t="array" aca="1" ref="BD76" ca="1">_xlfn.IFS(Tab_NewTRADER[[#This Row],[M_State]]=Sale_Back,"",         Tab_NewTRADER[[#This Row],[M_State]]=MDown, (Tab_NewTRADER[[#This Row],[M]]-Tab_NewTRADER[[#This Row],[A]])/Tab_NewTRADER[[#This Row],[A]]*ComFactor,             TRUE, IFERROR((Tab_NewTRADER[[#This Row],[M]]-Tab_NewTRADER[[#This Row],[A]])/Tab_NewTRADER[[#This Row],[A]]*ComFactor,""))</f>
        <v>2.4377491105776151E-3</v>
      </c>
      <c r="BE76" s="762" cm="1">
        <f t="array" aca="1" ref="BE76" ca="1">_xlfn.IFS(               Tab_NewTRADER[[#This Row],[M_State]]=NoStock,(Tab_NewTRADER[[#This Row],[L_Sp]]-Tab_NewTRADER[[#This Row],[M]])/Tab_NewTRADER[[#This Row],[M]]-Commission,             Tab_NewTRADER[[#This Row],[A]]&lt;&gt;0,(Tab_NewTRADER[[#This Row],[A]]-Tab_NewTRADER[[#This Row],[M]])/Tab_NewTRADER[[#This Row],[M]]-Commission)</f>
        <v>-5.0381447017240101E-3</v>
      </c>
      <c r="BF76" s="324">
        <f ca="1">_xlfn.XLOOKUP(Tab_NewTRADER[[#This Row],[ClickTick]],TabCalc[Ticker],TabCalc[L_Sn])</f>
        <v>10000</v>
      </c>
      <c r="BG76" s="728">
        <f ca="1">_xlfn.XLOOKUP(Tab_NewTRADER[[#This Row],[ClickTick]],TabCalc[Ticker],TabCalc[L_Sp])</f>
        <v>495.6</v>
      </c>
      <c r="BH76" s="764">
        <f ca="1">-IFERROR((Tab_NewTRADER[[#This Row],[M]]-Tab_NewTRADER[[#This Row],[L_Sp]])/Tab_NewTRADER[[#This Row],[L_Sp]],0)</f>
        <v>6.7594834543987084E-2</v>
      </c>
      <c r="BI76" s="729">
        <f ca="1">MIN(Tab_NewTRADER[[#This Row],[L_Sn]],Tab_NewTRADER[[#This Row],[N]])*(Tab_NewTRADER[[#This Row],[M]]-Tab_NewTRADER[[#This Row],[L_Sp]])*(1-Commission)*Tab_NewTRADER[[#This Row],[Scale]]</f>
        <v>-3341.29</v>
      </c>
      <c r="BJ76" s="692">
        <f ca="1">Tab_NewTRADER[[#This Row],[L_Sn]]*(Tab_NewTRADER[[#This Row],[Agiotage]]-Tab_NewTRADER[[#This Row],[M]])/(Tab_NewTRADER[[#This Row],[L_Bn]]*Tab_NewTRADER[[#This Row],[M]])</f>
        <v>-0.4988993016587116</v>
      </c>
      <c r="BK76" s="635">
        <f ca="1">IFERROR((Tab_NewTRADER[[#This Row],[M]]-Tab_NewTRADER[[#This Row],[A]])/Tab_NewTRADER[[#This Row],[A]],0)</f>
        <v>2.4441037804066724E-3</v>
      </c>
      <c r="BL76" s="638" t="str">
        <f ca="1">TEXT(_xlfn.XLOOKUP(Tab_NewTRADER[[#This Row],[ClickTick]],TabCalc[Ticker],TabCalc[NAfter]),"#,#0")&amp;" : "&amp;TEXT(_xlfn.XLOOKUP(Tab_NewTRADER[[#This Row],[ClickTick]],TabCalc[Ticker],TabCalc[NAfter])*(Tab_NewTRADER[[#This Row],[M]]-Tab_NewTRADER[[#This Row],[A]])*(1-Commission)*Tab_NewTRADER[[#This Row],[Scale]],"#,#0$")</f>
        <v>30,000 : 337$</v>
      </c>
      <c r="BM76" s="684">
        <f ca="1">_xlfn.XLOOKUP(Tab_NewTRADER[[#This Row],[ClickTick]],TabCalc[[#This Row],[Ticker]],TabCalc[[#This Row],[GL]])*(1-Commission)</f>
        <v>29960.193884835742</v>
      </c>
      <c r="BN76" s="684"/>
      <c r="BO76" s="669" t="str">
        <f ca="1">Tab_NewTRADER[[#This Row],[ClickTick]]&amp;": "&amp;_xlfn.XLOOKUP(Tab_NewTRADER[[#This Row],[ClickTick]],TabCalc[Ticker],TabCalc[Pile?])</f>
        <v xml:space="preserve">EZJ: </v>
      </c>
      <c r="BP76" s="351" t="s">
        <v>2009</v>
      </c>
      <c r="BQ76" s="755" t="str" cm="1">
        <f t="array" aca="1" ref="BQ76" ca="1">_xlfn.TEXTJOIN("",,INDEX({"M","A","Y"}, _xlfn.SORTBY({1,2,3}, -CHOOSE({1,2,3}, Tab_NewTRADER[[#This Row],[M]], Tab_NewTRADER[[#This Row],[A]], Tab_NewTRADER[[#This Row],[Agiotage]]))))</f>
        <v>MAY</v>
      </c>
      <c r="BR76" s="902" t="str" cm="1">
        <f t="array" aca="1" ref="BR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6" s="679">
        <f ca="1">Tab_NewTRADER[[#This Row],[L_Sn]]*Tab_NewTRADER[[#This Row],[L_Sp]]+Tab_NewTRADER[[#This Row],[SellMore]]*Tab_NewTRADER[[#This Row],[M]]</f>
        <v>14198000</v>
      </c>
      <c r="BT76" s="679">
        <f ca="1">INDEX(
  INDEX(TabConsolid[], , _xlfn.XMATCH(Tab_NewTRADER[[#This Row],[ClickTick]]&amp;1, TabConsolid[#Headers])),
  MATCH(
    -Tab_NewTRADER[[#This Row],[M]],
    INDEX(TabConsolid[], , _xlfn.XMATCH(Tab_NewTRADER[[#This Row],[ClickTick]]&amp;2, TabConsolid[#Headers])),
    -1
  )
)</f>
        <v>20000</v>
      </c>
      <c r="BU76" s="679" cm="1">
        <f t="array" aca="1" ref="BU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6" s="1144">
        <f ca="1">Tab_NewTRADER[[#This Row],[ReBuy]]/(Tab_NewTRADER[[#This Row],[L_Sn]]+Tab_NewTRADER[[#This Row],[SellMore]])</f>
        <v>473.26666666666665</v>
      </c>
      <c r="BW76" s="687">
        <f ca="1">((_xlfn.XLOOKUP(Tab_NewTRADER[[#This Row],[ClickTick]],TabCalc[Ticker],TabCalc[NAfter])+Tab_NewTRADER[[#This Row],[L_Sn]])*(Tab_NewTRADER[[#This Row],[Agiotage]]-Tab_NewTRADER[[#This Row],[M]]))/(Tab_NewTRADER[[#This Row],[L_Sn]]*_xlfn.XLOOKUP(Tab_NewTRADER[[#This Row],[ClickTick]],TabCalc[Ticker],TabCalc[NAfter]))</f>
        <v>-6.1477697945730832E-2</v>
      </c>
      <c r="BX76" s="687">
        <f ca="1">(Tab_NewTRADER[[#This Row],[M]]-Tab_NewTRADER[[#This Row],[Agiotage]])/(Tab_NewTRADER[[#This Row],[M]]-Tab_NewTRADER[[#This Row],[A]])-1</f>
        <v>408.24503070383008</v>
      </c>
      <c r="BY76" s="1262">
        <f ca="1">_xlfn.XMATCH(Tab_NewTRADER[[#This Row],[ClickTick]]&amp;1, TabConsolid[#Headers])</f>
        <v>224</v>
      </c>
      <c r="BZ76" t="b">
        <f ca="1">IF(ABS(Tab_NewTRADER[[#This Row],[L_Bp]])&gt;=Tab_NewTRADER[[#This Row],[M]],"OK")</f>
        <v>0</v>
      </c>
    </row>
    <row r="77" spans="1:78"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28.9%</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2,925$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-7.5% = 0</v>
      </c>
      <c r="I77" s="226" t="str">
        <f ca="1">IFERROR(TRUNC(TabCalc[[#This Row],[L_S1p]],2)&amp;"x"&amp;TabCalc[[#This Row],[L_S1n]]&amp;"=   "&amp;TEXT(TabCalc[[#This Row],[ReverseB1]],"#,#0"),"")</f>
        <v>11.41x2000=   -3,170</v>
      </c>
      <c r="J77" s="295">
        <f ca="1">_xlfn.XLOOKUP(Tab_NewTRADER[[#This Row],[ClickTick]],TabCalc[Ticker],ListGravity)</f>
        <v>0.94382454790303971</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0.14782518890528135</v>
      </c>
      <c r="N77" s="324" cm="1">
        <f t="array" aca="1" ref="N77" ca="1">_xlfn.XLOOKUP(Tab_NewTRADER[[#This Row],[ClickTick]],ListTickers,Tab2RSIConventional[RSIConv20])</f>
        <v>59</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0.40714672441797511</v>
      </c>
      <c r="S77" s="683">
        <f ca="1">_xlfn.XLOOKUP(Tab_NewTRADER[[#This Row],[ClickTick]],TabCalc[Ticker],TabCalc[Rev(MinStock)])*(1-Commission)</f>
        <v>0</v>
      </c>
      <c r="T77" s="782">
        <f ca="1">_xlfn.XLOOKUP(Tab_NewTRADER[[#This Row],[ClickTick]],TabCalc[Ticker],TabCalc[Agiotage])</f>
        <v>0.14782518890528135</v>
      </c>
      <c r="U77" s="747"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-0.2%</v>
      </c>
      <c r="V77" s="739" t="str">
        <f ca="1">_xlfn.XLOOKUP(Tab_NewTRADER[[#This Row],[ClickTick]],[1]!RTData[Ticker_Symbol],[1]!RTData[Currency])</f>
        <v>USD</v>
      </c>
      <c r="W77" s="749">
        <f ca="1">_xlfn.XLOOKUP(Tab_NewTRADER[[#This Row],[ClickTick]],TabCalc[Ticker],TabCalc[M])</f>
        <v>12.994999999999999</v>
      </c>
      <c r="X77" s="1315"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-1.92E-3</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F77" s="1182"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7" s="1530" t="str">
        <f ca="1">TEXT(MIN(Tab_NewTRADER[[#This Row],[L_Bn]],Tab_NewTRADER[[#This Row],[N]]),"#,#0")&amp;" x "&amp;TEXT(Tab_NewTRADER[[#This Row],[L_Bp]],"#,#0.#0")</f>
        <v>0 x -9.24</v>
      </c>
      <c r="AH77" s="1530" t="str" cm="1">
        <f t="array" aca="1" ref="AH77" ca="1">_xlfn.IFS(Tab_NewTRADER[[#This Row],[M_State]]=Sale_Back,Tab_NewTRADER[[#This Row],[Sale_Back_$]], TRUE,"M = "&amp;Tab_NewTRADER[[#This Row],[M]])</f>
        <v>M = 12.995</v>
      </c>
      <c r="AI77" s="1433" cm="1">
        <f t="array" aca="1" ref="AI77" ca="1">IF(Tab_NewTRADER[[#This Row],[M_State]]=MUp,_xlfn.IFS(Tab_NewTRADER[[#This Row],[M_State]]=MUp,MIN(Tab_NewTRADER[[#This Row],[N]],Tab_NewTRADER[[#This Row],[L_Bn]])*(Tab_NewTRADER[[#This Row],[M]]-Tab_NewTRADER[[#This Row],[L_Sp]])*Tab_NewTRADER[[#This Row],[Scale]]*ComFactor, TRUE,0),0)</f>
        <v>0</v>
      </c>
      <c r="AJ77" s="1433" cm="1">
        <f t="array" aca="1" ref="AJ77" ca="1">_xlfn.IFS(Tab_NewTRADER[[#This Row],[M_State]]=MUp,                 MIN(Tab_NewTRADER[[#This Row],[L_Sn]],Tab_NewTRADER[[#This Row],[N]])*(Tab_NewTRADER[[#This Row],[M]]-Tab_NewTRADER[[#This Row],[A]])*Tab_NewTRADER[[#This Row],[Scale]]*ComFactor, TRUE,0)</f>
        <v>0</v>
      </c>
      <c r="AK77" s="1433" cm="1">
        <f t="array" aca="1" ref="AK77" ca="1">_xlfn.IFS(Tab_NewTRADER[[#This Row],[M_State]]=MUp,                  Tab_NewTRADER[[#This Row],[N]]*(Tab_NewTRADER[[#This Row],[M]]-Tab_NewTRADER[[#This Row],[A]])*Tab_NewTRADER[[#This Row],[Scale]]*ComFactor, TRUE,0)</f>
        <v>0</v>
      </c>
      <c r="AL77" s="1435" t="str">
        <f ca="1">TEXT(Tab_NewTRADER[[#This Row],[L_Sn]],"#,#0")&amp;" x "&amp;TEXT(Tab_NewTRADER[[#This Row],[L_Sp]],"#,#0.#0")</f>
        <v>3,000 x 12.02</v>
      </c>
      <c r="AM77" s="1465" t="str" cm="1">
        <f t="array" aca="1" ref="AM77" ca="1">_xlfn.IFS(Tab_NewTRADER[[#This Row],[M_State]]=RePurchaseGain,TEXT(-Tab_NewTRADER[[#This Row],[Buy_Back]],"#,#0")&amp;"       / "&amp;TEXT(Tab_NewTRADER[[#This Row],[Rev_Buy]],"#,#00.0)%"),TRUE,"M = "&amp;Tab_NewTRADER[[#This Row],[M]])</f>
        <v>M = 12.995</v>
      </c>
      <c r="AN77" s="1435" cm="1">
        <f t="array" aca="1" ref="AN77" ca="1">_xlfn.IFS(Tab_NewTRADER[[#This Row],[M_State]]=MDown,TEXT(Tab_NewTRADER[[#This Row],[L_Sn]]*(Tab_NewTRADER[[#This Row],[M]]-Tab_NewTRADER[[#This Row],[L_Sp]])*ComFactor,"#,#0")&amp;"       / "&amp;TEXT((TabTRADER[[#This Row],[M]]-TabTRADER[[#This Row],[L_Sp]])/TabTRADER[[#This Row],[M]],"#,#00.0)%"),TRUE,0)</f>
        <v>0</v>
      </c>
      <c r="AO77" s="1486" cm="1">
        <f t="array" aca="1" ref="AO77" ca="1">_xlfn.IFS(Tab_NewTRADER[[#This Row],[M_State]]=MDown,TEXT(Tab_NewTRADER[[#This Row],[N]]*(Tab_NewTRADER[[#This Row],[M]]-Tab_NewTRADER[[#This Row],[A]])*Tab_NewTRADER[[#This Row],[Scale]]*ComFactor,"#,#0")&amp;"       / "&amp;TEXT((TabTRADER[[#This Row],[M]]-TabTRADER[[#This Row],[L_Bp]])/TabTRADER[[#This Row],[M]],"#,#00.0%"),TRUE,0)</f>
        <v>0</v>
      </c>
      <c r="AP77" s="1435" t="str" cm="1">
        <f t="array" aca="1" ref="AP77" ca="1">_xlfn.IFS(Tab_NewTRADER[[#This Row],[M_State]]=MDown,TEXT(Tab_NewTRADER[[#This Row],[N]]*Tab_NewTRADER[[#This Row],[M]],"#,#0")&amp;" @ "&amp;TEXT(Tab_NewTRADER[[#This Row],[A]],"#,#0.#0"),TRUE,"M = "&amp; Tab_NewTRADER[[#This Row],[M]])</f>
        <v>M = 12.995</v>
      </c>
      <c r="AQ77" s="1165">
        <f ca="1">Tab_NewTRADER[[#This Row],[N]]*(Tab_NewTRADER[[#This Row],[M]]-Tab_NewTRADER[[#This Row],[A]])*(1-Commission)*Tab_NewTRADER[[#This Row],[Scale]]</f>
        <v>0</v>
      </c>
      <c r="AR77" s="1165">
        <f ca="1">Tab_NewTRADER[[#This Row],[M]]*Tab_NewTRADER[[#This Row],[N]]*(1-Commission)*Tab_NewTRADER[[#This Row],[Scale]]</f>
        <v>0</v>
      </c>
      <c r="AS77" s="1174" t="str" cm="1">
        <f t="array" aca="1" ref="AS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77" s="1174" t="str" cm="1">
        <f t="array" aca="1" ref="AT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U77" s="825" t="str" cm="1">
        <f t="array" aca="1" ref="AU77" ca="1">_xlfn.IFS(   Tab_NewTRADER[[#This Row],[M_State]]=SellMorePercentGain,                     MIN(Tab_NewTRADER[[#This Row],[L_Sn]],Tab_NewTRADER[[#This Row],[N]])*(Tab_NewTRADER[[#This Row],[M]]-Tab_NewTRADER[[#This Row],[L_Sp]])*(1-Commission)*Tab_NewTRADER[[#This Row],[Scale]],                    TRUE,"")</f>
        <v/>
      </c>
      <c r="AV77" s="1163">
        <f ca="1">_xlfn.XLOOKUP(Tab_NewTRADER[[#This Row],[ClickTick]],TabCalc[Ticker],TabCalc[Ann%RevLB])</f>
        <v>0.53493730215500379</v>
      </c>
      <c r="AW77" s="1267">
        <f ca="1">_xlfn.XLOOKUP(Tab_NewTRADER[[#This Row],[ClickTick]],TabCalc[Ticker],TabCalc[Up20])</f>
        <v>0.25</v>
      </c>
      <c r="AX77" s="1175" t="str" cm="1">
        <f t="array" aca="1" ref="AX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77" s="825" t="str" cm="1">
        <f t="array" aca="1" ref="AY77" ca="1">_xlfn.IFS(         Tab_NewTRADER[[#This Row],[M_State]]=MDown,Tab_NewTRADER[[#This Row],[L_Bn]]*Tab_NewTRADER[[#This Row],[M]]*(-(Tab_NewTRADER[[#This Row],[L_Bp]]+Tab_NewTRADER[[#This Row],[M]])/Tab_NewTRADER[[#This Row],[M]])*(1-Commission)*Tab_NewTRADER[[#This Row],[Scale]],                               TRUE,"")</f>
        <v/>
      </c>
      <c r="AZ77" s="1174" t="str" cm="1">
        <f t="array" aca="1" ref="AZ77" ca="1">_xlfn.IFS(   Tab_NewTRADER[[#This Row],[M_State]]=MUp,Tab_NewTRADER[[#This Row],[TakeGain_A]]-Commission,        Tab_NewTRADER[[#This Row],[M_State]]=MDown,(Tab_NewTRADER[[#This Row],[A]]-Tab_NewTRADER[[#This Row],[M]])/Tab_NewTRADER[[#This Row],[M]]-Commission,                              TRUE,"")</f>
        <v/>
      </c>
      <c r="BA77" s="825" cm="1">
        <f t="array" aca="1" ref="BA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77" s="760" t="str" cm="1">
        <f t="array" aca="1" ref="BB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C77" s="736" t="str" cm="1">
        <f t="array" aca="1" ref="BC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0x12.99</v>
      </c>
      <c r="BD77" s="765" t="str" cm="1">
        <f t="array" aca="1" ref="BD77" ca="1">_xlfn.IFS(Tab_NewTRADER[[#This Row],[M_State]]=Sale_Back,"",         Tab_NewTRADER[[#This Row],[M_State]]=MDown, (Tab_NewTRADER[[#This Row],[M]]-Tab_NewTRADER[[#This Row],[A]])/Tab_NewTRADER[[#This Row],[A]]*ComFactor,             TRUE, IFERROR((Tab_NewTRADER[[#This Row],[M]]-Tab_NewTRADER[[#This Row],[A]])/Tab_NewTRADER[[#This Row],[A]]*ComFactor,""))</f>
        <v/>
      </c>
      <c r="BE77" s="762" cm="1">
        <f t="array" aca="1" ref="BE77" ca="1">_xlfn.IFS(               Tab_NewTRADER[[#This Row],[M_State]]=NoStock,(Tab_NewTRADER[[#This Row],[L_Sp]]-Tab_NewTRADER[[#This Row],[M]])/Tab_NewTRADER[[#This Row],[M]]-Commission,             Tab_NewTRADER[[#This Row],[A]]&lt;&gt;0,(Tab_NewTRADER[[#This Row],[A]]-Tab_NewTRADER[[#This Row],[M]])/Tab_NewTRADER[[#This Row],[M]]-Commission)</f>
        <v>-7.7628857252789521E-2</v>
      </c>
      <c r="BF77" s="324">
        <f ca="1">_xlfn.XLOOKUP(Tab_NewTRADER[[#This Row],[ClickTick]],TabCalc[Ticker],TabCalc[L_Sn])</f>
        <v>3000</v>
      </c>
      <c r="BG77" s="728">
        <f ca="1">_xlfn.XLOOKUP(Tab_NewTRADER[[#This Row],[ClickTick]],TabCalc[Ticker],TabCalc[L_Sp])</f>
        <v>12.02</v>
      </c>
      <c r="BH77" s="764">
        <f ca="1">-IFERROR((Tab_NewTRADER[[#This Row],[M]]-Tab_NewTRADER[[#This Row],[L_Sp]])/Tab_NewTRADER[[#This Row],[L_Sp]],0)</f>
        <v>-8.1114808652246226E-2</v>
      </c>
      <c r="BI77" s="729">
        <f ca="1">MIN(Tab_NewTRADER[[#This Row],[L_Sn]],Tab_NewTRADER[[#This Row],[N]])*(Tab_NewTRADER[[#This Row],[M]]-Tab_NewTRADER[[#This Row],[L_Sp]])*(1-Commission)*Tab_NewTRADER[[#This Row],[Scale]]</f>
        <v>0</v>
      </c>
      <c r="BJ77" s="692">
        <f ca="1">Tab_NewTRADER[[#This Row],[L_Sn]]*(Tab_NewTRADER[[#This Row],[Agiotage]]-Tab_NewTRADER[[#This Row],[M]])/(Tab_NewTRADER[[#This Row],[L_Bn]]*Tab_NewTRADER[[#This Row],[M]])</f>
        <v>-0.29658733692407974</v>
      </c>
      <c r="BK77" s="635">
        <f ca="1">IFERROR((Tab_NewTRADER[[#This Row],[M]]-Tab_NewTRADER[[#This Row],[A]])/Tab_NewTRADER[[#This Row],[A]],0)</f>
        <v>0</v>
      </c>
      <c r="BL77" s="638" t="str">
        <f ca="1">TEXT(_xlfn.XLOOKUP(Tab_NewTRADER[[#This Row],[ClickTick]],TabCalc[Ticker],TabCalc[NAfter]),"#,#0")&amp;" : "&amp;TEXT(_xlfn.XLOOKUP(Tab_NewTRADER[[#This Row],[ClickTick]],TabCalc[Ticker],TabCalc[NAfter])*(Tab_NewTRADER[[#This Row],[M]]-Tab_NewTRADER[[#This Row],[A]])*(1-Commission)*Tab_NewTRADER[[#This Row],[Scale]],"#,#0$")</f>
        <v>0 : 0$</v>
      </c>
      <c r="BM77" s="684">
        <f ca="1">_xlfn.XLOOKUP(Tab_NewTRADER[[#This Row],[ClickTick]],TabCalc[[#This Row],[Ticker]],TabCalc[[#This Row],[GL]])*(1-Commission)</f>
        <v>-12619.9146888</v>
      </c>
      <c r="BN77" s="684"/>
      <c r="BO77" s="669" t="str">
        <f ca="1">Tab_NewTRADER[[#This Row],[ClickTick]]&amp;": "&amp;_xlfn.XLOOKUP(Tab_NewTRADER[[#This Row],[ClickTick]],TabCalc[Ticker],TabCalc[Pile?])</f>
        <v>F: Pile</v>
      </c>
      <c r="BP77" s="351" t="s">
        <v>2014</v>
      </c>
      <c r="BQ77" s="755" t="str" cm="1">
        <f t="array" aca="1" ref="BQ77" ca="1">_xlfn.TEXTJOIN("",,INDEX({"M","A","Y"}, _xlfn.SORTBY({1,2,3}, -CHOOSE({1,2,3}, Tab_NewTRADER[[#This Row],[M]], Tab_NewTRADER[[#This Row],[A]], Tab_NewTRADER[[#This Row],[Agiotage]]))))</f>
        <v>MYA</v>
      </c>
      <c r="BR77" s="902" t="str" cm="1">
        <f t="array" aca="1" ref="BR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S77" s="679" t="e">
        <f ca="1">Tab_NewTRADER[[#This Row],[L_Sn]]*Tab_NewTRADER[[#This Row],[L_Sp]]+Tab_NewTRADER[[#This Row],[SellMore]]*Tab_NewTRADER[[#This Row],[M]]</f>
        <v>#N/A</v>
      </c>
      <c r="BT77" s="679" t="e">
        <f ca="1">INDEX(
  INDEX(TabConsolid[], , _xlfn.XMATCH(Tab_NewTRADER[[#This Row],[ClickTick]]&amp;1, TabConsolid[#Headers])),
  MATCH(
    -Tab_NewTRADER[[#This Row],[M]],
    INDEX(TabConsolid[], , _xlfn.XMATCH(Tab_NewTRADER[[#This Row],[ClickTick]]&amp;2, TabConsolid[#Headers])),
    -1
  )
)</f>
        <v>#N/A</v>
      </c>
      <c r="BU77" s="679" cm="1">
        <f t="array" aca="1" ref="BU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7" s="1144" t="e">
        <f ca="1">Tab_NewTRADER[[#This Row],[ReBuy]]/(Tab_NewTRADER[[#This Row],[L_Sn]]+Tab_NewTRADER[[#This Row],[SellMore]])</f>
        <v>#N/A</v>
      </c>
      <c r="BW77" s="687" t="e">
        <f ca="1">((_xlfn.XLOOKUP(Tab_NewTRADER[[#This Row],[ClickTick]],TabCalc[Ticker],TabCalc[NAfter])+Tab_NewTRADER[[#This Row],[L_Sn]])*(Tab_NewTRADER[[#This Row],[Agiotage]]-Tab_NewTRADER[[#This Row],[M]]))/(Tab_NewTRADER[[#This Row],[L_Sn]]*_xlfn.XLOOKUP(Tab_NewTRADER[[#This Row],[ClickTick]],TabCalc[Ticker],TabCalc[NAfter]))</f>
        <v>#DIV/0!</v>
      </c>
      <c r="BX77" s="687">
        <f ca="1">(Tab_NewTRADER[[#This Row],[M]]-Tab_NewTRADER[[#This Row],[Agiotage]])/(Tab_NewTRADER[[#This Row],[M]]-Tab_NewTRADER[[#This Row],[A]])-1</f>
        <v>-1.1375543586401027E-2</v>
      </c>
      <c r="BY77" s="1262">
        <f ca="1">_xlfn.XMATCH(Tab_NewTRADER[[#This Row],[ClickTick]]&amp;1, TabConsolid[#Headers])</f>
        <v>227</v>
      </c>
      <c r="BZ77" t="b">
        <f ca="1">IF(ABS(Tab_NewTRADER[[#This Row],[L_Bp]])&gt;=Tab_NewTRADER[[#This Row],[M]],"OK")</f>
        <v>0</v>
      </c>
    </row>
    <row r="78" spans="1:78"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49.1%</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51,440$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45.3% = 0</v>
      </c>
      <c r="I78" s="226" t="str">
        <f ca="1">IFERROR(TRUNC(TabCalc[[#This Row],[L_S1p]],2)&amp;"x"&amp;TabCalc[[#This Row],[L_S1n]]&amp;"=   "&amp;TEXT(TabCalc[[#This Row],[ReverseB1]],"#,#0"),"")</f>
        <v>23.05x2000=   -67,522</v>
      </c>
      <c r="J78" s="295">
        <f ca="1">_xlfn.XLOOKUP(Tab_NewTRADER[[#This Row],[ClickTick]],TabCalc[Ticker],ListGravity)</f>
        <v>1.1384391059486096</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1.1777482661130008</v>
      </c>
      <c r="N78" s="324" cm="1">
        <f t="array" aca="1" ref="N78" ca="1">_xlfn.XLOOKUP(Tab_NewTRADER[[#This Row],[ClickTick]],ListTickers,Tab2RSIConventional[RSIConv20])</f>
        <v>36</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0.96337249481686238</v>
      </c>
      <c r="S78" s="683">
        <f ca="1">_xlfn.XLOOKUP(Tab_NewTRADER[[#This Row],[ClickTick]],TabCalc[Ticker],TabCalc[Rev(MinStock)])*(1-Commission)</f>
        <v>0</v>
      </c>
      <c r="T78" s="782">
        <f ca="1">_xlfn.XLOOKUP(Tab_NewTRADER[[#This Row],[ClickTick]],TabCalc[Ticker],TabCalc[Agiotage])</f>
        <v>1.1777482661130008</v>
      </c>
      <c r="U78" s="747"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78" s="739" t="str">
        <f ca="1">_xlfn.XLOOKUP(Tab_NewTRADER[[#This Row],[ClickTick]],[1]!RTData[Ticker_Symbol],[1]!RTData[Currency])</f>
        <v>EUR</v>
      </c>
      <c r="W78" s="749">
        <f ca="1">_xlfn.XLOOKUP(Tab_NewTRADER[[#This Row],[ClickTick]],TabCalc[Ticker],TabCalc[M])</f>
        <v>56.82</v>
      </c>
      <c r="X78" s="1315"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6.0200000000000002E-3</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F78" s="1161"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8" s="1530" t="str">
        <f ca="1">TEXT(MIN(Tab_NewTRADER[[#This Row],[L_Bn]],Tab_NewTRADER[[#This Row],[N]]),"#,#0")&amp;" x "&amp;TEXT(Tab_NewTRADER[[#This Row],[L_Bp]],"#,#0.#0")</f>
        <v>0 x -28.94</v>
      </c>
      <c r="AH78" s="1530" t="str" cm="1">
        <f t="array" aca="1" ref="AH78" ca="1">_xlfn.IFS(Tab_NewTRADER[[#This Row],[M_State]]=Sale_Back,Tab_NewTRADER[[#This Row],[Sale_Back_$]], TRUE,"M = "&amp;Tab_NewTRADER[[#This Row],[M]])</f>
        <v>M = 56.82</v>
      </c>
      <c r="AI78" s="1433" cm="1">
        <f t="array" aca="1" ref="AI78" ca="1">IF(Tab_NewTRADER[[#This Row],[M_State]]=MUp,_xlfn.IFS(Tab_NewTRADER[[#This Row],[M_State]]=MUp,MIN(Tab_NewTRADER[[#This Row],[N]],Tab_NewTRADER[[#This Row],[L_Bn]])*(Tab_NewTRADER[[#This Row],[M]]-Tab_NewTRADER[[#This Row],[L_Sp]])*Tab_NewTRADER[[#This Row],[Scale]]*ComFactor, TRUE,0),0)</f>
        <v>0</v>
      </c>
      <c r="AJ78" s="1433" cm="1">
        <f t="array" aca="1" ref="AJ78" ca="1">_xlfn.IFS(Tab_NewTRADER[[#This Row],[M_State]]=MUp,                 MIN(Tab_NewTRADER[[#This Row],[L_Sn]],Tab_NewTRADER[[#This Row],[N]])*(Tab_NewTRADER[[#This Row],[M]]-Tab_NewTRADER[[#This Row],[A]])*Tab_NewTRADER[[#This Row],[Scale]]*ComFactor, TRUE,0)</f>
        <v>0</v>
      </c>
      <c r="AK78" s="1433" cm="1">
        <f t="array" aca="1" ref="AK78" ca="1">_xlfn.IFS(Tab_NewTRADER[[#This Row],[M_State]]=MUp,                  Tab_NewTRADER[[#This Row],[N]]*(Tab_NewTRADER[[#This Row],[M]]-Tab_NewTRADER[[#This Row],[A]])*Tab_NewTRADER[[#This Row],[Scale]]*ComFactor, TRUE,0)</f>
        <v>0</v>
      </c>
      <c r="AL78" s="1435" t="str">
        <f ca="1">TEXT(Tab_NewTRADER[[#This Row],[L_Sn]],"#,#0")&amp;" x "&amp;TEXT(Tab_NewTRADER[[#This Row],[L_Sp]],"#,#0.#0")</f>
        <v>2,000 x 31.10</v>
      </c>
      <c r="AM78" s="1465" t="str" cm="1">
        <f t="array" aca="1" ref="AM78" ca="1">_xlfn.IFS(Tab_NewTRADER[[#This Row],[M_State]]=RePurchaseGain,TEXT(-Tab_NewTRADER[[#This Row],[Buy_Back]],"#,#0")&amp;"       / "&amp;TEXT(Tab_NewTRADER[[#This Row],[Rev_Buy]],"#,#00.0)%"),TRUE,"M = "&amp;Tab_NewTRADER[[#This Row],[M]])</f>
        <v>M = 56.82</v>
      </c>
      <c r="AN78" s="1435" cm="1">
        <f t="array" aca="1" ref="AN78" ca="1">_xlfn.IFS(Tab_NewTRADER[[#This Row],[M_State]]=MDown,TEXT(Tab_NewTRADER[[#This Row],[L_Sn]]*(Tab_NewTRADER[[#This Row],[M]]-Tab_NewTRADER[[#This Row],[L_Sp]])*ComFactor,"#,#0")&amp;"       / "&amp;TEXT((TabTRADER[[#This Row],[M]]-TabTRADER[[#This Row],[L_Sp]])/TabTRADER[[#This Row],[M]],"#,#00.0)%"),TRUE,0)</f>
        <v>0</v>
      </c>
      <c r="AO78" s="1486" cm="1">
        <f t="array" aca="1" ref="AO78" ca="1">_xlfn.IFS(Tab_NewTRADER[[#This Row],[M_State]]=MDown,TEXT(Tab_NewTRADER[[#This Row],[N]]*(Tab_NewTRADER[[#This Row],[M]]-Tab_NewTRADER[[#This Row],[A]])*Tab_NewTRADER[[#This Row],[Scale]]*ComFactor,"#,#0")&amp;"       / "&amp;TEXT((TabTRADER[[#This Row],[M]]-TabTRADER[[#This Row],[L_Bp]])/TabTRADER[[#This Row],[M]],"#,#00.0%"),TRUE,0)</f>
        <v>0</v>
      </c>
      <c r="AP78" s="1435" t="str" cm="1">
        <f t="array" aca="1" ref="AP78" ca="1">_xlfn.IFS(Tab_NewTRADER[[#This Row],[M_State]]=MDown,TEXT(Tab_NewTRADER[[#This Row],[N]]*Tab_NewTRADER[[#This Row],[M]],"#,#0")&amp;" @ "&amp;TEXT(Tab_NewTRADER[[#This Row],[A]],"#,#0.#0"),TRUE,"M = "&amp; Tab_NewTRADER[[#This Row],[M]])</f>
        <v>M = 56.82</v>
      </c>
      <c r="AQ78" s="1165">
        <f ca="1">Tab_NewTRADER[[#This Row],[N]]*(Tab_NewTRADER[[#This Row],[M]]-Tab_NewTRADER[[#This Row],[A]])*(1-Commission)*Tab_NewTRADER[[#This Row],[Scale]]</f>
        <v>0</v>
      </c>
      <c r="AR78" s="1165">
        <f ca="1">Tab_NewTRADER[[#This Row],[M]]*Tab_NewTRADER[[#This Row],[N]]*(1-Commission)*Tab_NewTRADER[[#This Row],[Scale]]</f>
        <v>0</v>
      </c>
      <c r="AS78" s="1174" t="str" cm="1">
        <f t="array" aca="1" ref="AS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78" s="1174" t="str" cm="1">
        <f t="array" aca="1" ref="AT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8" s="825" t="str" cm="1">
        <f t="array" aca="1" ref="AU78" ca="1">_xlfn.IFS(   Tab_NewTRADER[[#This Row],[M_State]]=SellMorePercentGain,                     MIN(Tab_NewTRADER[[#This Row],[L_Sn]],Tab_NewTRADER[[#This Row],[N]])*(Tab_NewTRADER[[#This Row],[M]]-Tab_NewTRADER[[#This Row],[L_Sp]])*(1-Commission)*Tab_NewTRADER[[#This Row],[Scale]],                    TRUE,"")</f>
        <v/>
      </c>
      <c r="AV78" s="1163">
        <f ca="1">_xlfn.XLOOKUP(Tab_NewTRADER[[#This Row],[ClickTick]],TabCalc[Ticker],TabCalc[Ann%RevLB])</f>
        <v>1.1333794056668969</v>
      </c>
      <c r="AW78" s="1267">
        <f ca="1">_xlfn.XLOOKUP(Tab_NewTRADER[[#This Row],[ClickTick]],TabCalc[Ticker],TabCalc[Up20])</f>
        <v>0.38095238095238093</v>
      </c>
      <c r="AX78" s="1175" t="str" cm="1">
        <f t="array" aca="1" ref="AX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8" s="825" t="str" cm="1">
        <f t="array" aca="1" ref="AY78" ca="1">_xlfn.IFS(         Tab_NewTRADER[[#This Row],[M_State]]=MDown,Tab_NewTRADER[[#This Row],[L_Bn]]*Tab_NewTRADER[[#This Row],[M]]*(-(Tab_NewTRADER[[#This Row],[L_Bp]]+Tab_NewTRADER[[#This Row],[M]])/Tab_NewTRADER[[#This Row],[M]])*(1-Commission)*Tab_NewTRADER[[#This Row],[Scale]],                               TRUE,"")</f>
        <v/>
      </c>
      <c r="AZ78" s="1174" t="str" cm="1">
        <f t="array" aca="1" ref="AZ78" ca="1">_xlfn.IFS(   Tab_NewTRADER[[#This Row],[M_State]]=MUp,Tab_NewTRADER[[#This Row],[TakeGain_A]]-Commission,        Tab_NewTRADER[[#This Row],[M_State]]=MDown,(Tab_NewTRADER[[#This Row],[A]]-Tab_NewTRADER[[#This Row],[M]])/Tab_NewTRADER[[#This Row],[M]]-Commission,                              TRUE,"")</f>
        <v/>
      </c>
      <c r="BA78" s="825" cm="1">
        <f t="array" aca="1" ref="BA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78" s="760" t="str" cm="1">
        <f t="array" aca="1" ref="BB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C78" s="736" t="str" cm="1">
        <f t="array" aca="1" ref="BC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0x56.82</v>
      </c>
      <c r="BD78" s="765" t="str" cm="1">
        <f t="array" aca="1" ref="BD78" ca="1">_xlfn.IFS(Tab_NewTRADER[[#This Row],[M_State]]=Sale_Back,"",         Tab_NewTRADER[[#This Row],[M_State]]=MDown, (Tab_NewTRADER[[#This Row],[M]]-Tab_NewTRADER[[#This Row],[A]])/Tab_NewTRADER[[#This Row],[A]]*ComFactor,             TRUE, IFERROR((Tab_NewTRADER[[#This Row],[M]]-Tab_NewTRADER[[#This Row],[A]])/Tab_NewTRADER[[#This Row],[A]]*ComFactor,""))</f>
        <v/>
      </c>
      <c r="BE78" s="762" cm="1">
        <f t="array" aca="1" ref="BE78" ca="1">_xlfn.IFS(               Tab_NewTRADER[[#This Row],[M_State]]=NoStock,(Tab_NewTRADER[[#This Row],[L_Sp]]-Tab_NewTRADER[[#This Row],[M]])/Tab_NewTRADER[[#This Row],[M]]-Commission,             Tab_NewTRADER[[#This Row],[A]]&lt;&gt;0,(Tab_NewTRADER[[#This Row],[A]]-Tab_NewTRADER[[#This Row],[M]])/Tab_NewTRADER[[#This Row],[M]]-Commission)</f>
        <v>-0.45525751495952127</v>
      </c>
      <c r="BF78" s="324">
        <f ca="1">_xlfn.XLOOKUP(Tab_NewTRADER[[#This Row],[ClickTick]],TabCalc[Ticker],TabCalc[L_Sn])</f>
        <v>2000</v>
      </c>
      <c r="BG78" s="728">
        <f ca="1">_xlfn.XLOOKUP(Tab_NewTRADER[[#This Row],[ClickTick]],TabCalc[Ticker],TabCalc[L_Sp])</f>
        <v>31.1</v>
      </c>
      <c r="BH78" s="764">
        <f ca="1">-IFERROR((Tab_NewTRADER[[#This Row],[M]]-Tab_NewTRADER[[#This Row],[L_Sp]])/Tab_NewTRADER[[#This Row],[L_Sp]],0)</f>
        <v>-0.82700964630225071</v>
      </c>
      <c r="BI78" s="729">
        <f ca="1">MIN(Tab_NewTRADER[[#This Row],[L_Sn]],Tab_NewTRADER[[#This Row],[N]])*(Tab_NewTRADER[[#This Row],[M]]-Tab_NewTRADER[[#This Row],[L_Sp]])*(1-Commission)*Tab_NewTRADER[[#This Row],[Scale]]</f>
        <v>0</v>
      </c>
      <c r="BJ78" s="692">
        <f ca="1">Tab_NewTRADER[[#This Row],[L_Sn]]*(Tab_NewTRADER[[#This Row],[Agiotage]]-Tab_NewTRADER[[#This Row],[M]])/(Tab_NewTRADER[[#This Row],[L_Bn]]*Tab_NewTRADER[[#This Row],[M]])</f>
        <v>-0.97927229380300951</v>
      </c>
      <c r="BK78" s="635">
        <f ca="1">IFERROR((Tab_NewTRADER[[#This Row],[M]]-Tab_NewTRADER[[#This Row],[A]])/Tab_NewTRADER[[#This Row],[A]],0)</f>
        <v>0</v>
      </c>
      <c r="BL78" s="638" t="str">
        <f ca="1">TEXT(_xlfn.XLOOKUP(Tab_NewTRADER[[#This Row],[ClickTick]],TabCalc[Ticker],TabCalc[NAfter]),"#,#0")&amp;" : "&amp;TEXT(_xlfn.XLOOKUP(Tab_NewTRADER[[#This Row],[ClickTick]],TabCalc[Ticker],TabCalc[NAfter])*(Tab_NewTRADER[[#This Row],[M]]-Tab_NewTRADER[[#This Row],[A]])*(1-Commission)*Tab_NewTRADER[[#This Row],[Scale]],"#,#0$")</f>
        <v>0 : 0$</v>
      </c>
      <c r="BM78" s="684">
        <f ca="1">_xlfn.XLOOKUP(Tab_NewTRADER[[#This Row],[ClickTick]],TabCalc[[#This Row],[Ticker]],TabCalc[[#This Row],[GL]])*(1-Commission)</f>
        <v>43472.786121979188</v>
      </c>
      <c r="BN78" s="684"/>
      <c r="BO78" s="669" t="str">
        <f ca="1">Tab_NewTRADER[[#This Row],[ClickTick]]&amp;": "&amp;_xlfn.XLOOKUP(Tab_NewTRADER[[#This Row],[ClickTick]],TabCalc[Ticker],TabCalc[Pile?])</f>
        <v>GLE: Pile</v>
      </c>
      <c r="BP78" s="351" t="s">
        <v>2015</v>
      </c>
      <c r="BQ78" s="755" t="str" cm="1">
        <f t="array" aca="1" ref="BQ78" ca="1">_xlfn.TEXTJOIN("",,INDEX({"M","A","Y"}, _xlfn.SORTBY({1,2,3}, -CHOOSE({1,2,3}, Tab_NewTRADER[[#This Row],[M]], Tab_NewTRADER[[#This Row],[A]], Tab_NewTRADER[[#This Row],[Agiotage]]))))</f>
        <v>MYA</v>
      </c>
      <c r="BR78" s="902" t="str" cm="1">
        <f t="array" aca="1" ref="BR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8" s="679" t="e">
        <f ca="1">Tab_NewTRADER[[#This Row],[L_Sn]]*Tab_NewTRADER[[#This Row],[L_Sp]]+Tab_NewTRADER[[#This Row],[SellMore]]*Tab_NewTRADER[[#This Row],[M]]</f>
        <v>#N/A</v>
      </c>
      <c r="BT78" s="679" t="e">
        <f ca="1">INDEX(
  INDEX(TabConsolid[], , _xlfn.XMATCH(Tab_NewTRADER[[#This Row],[ClickTick]]&amp;1, TabConsolid[#Headers])),
  MATCH(
    -Tab_NewTRADER[[#This Row],[M]],
    INDEX(TabConsolid[], , _xlfn.XMATCH(Tab_NewTRADER[[#This Row],[ClickTick]]&amp;2, TabConsolid[#Headers])),
    -1
  )
)</f>
        <v>#N/A</v>
      </c>
      <c r="BU78" s="679" cm="1">
        <f t="array" aca="1" ref="BU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8" s="1144" t="e">
        <f ca="1">Tab_NewTRADER[[#This Row],[ReBuy]]/(Tab_NewTRADER[[#This Row],[L_Sn]]+Tab_NewTRADER[[#This Row],[SellMore]])</f>
        <v>#N/A</v>
      </c>
      <c r="BW78" s="687" t="e">
        <f ca="1">((_xlfn.XLOOKUP(Tab_NewTRADER[[#This Row],[ClickTick]],TabCalc[Ticker],TabCalc[NAfter])+Tab_NewTRADER[[#This Row],[L_Sn]])*(Tab_NewTRADER[[#This Row],[Agiotage]]-Tab_NewTRADER[[#This Row],[M]]))/(Tab_NewTRADER[[#This Row],[L_Sn]]*_xlfn.XLOOKUP(Tab_NewTRADER[[#This Row],[ClickTick]],TabCalc[Ticker],TabCalc[NAfter]))</f>
        <v>#DIV/0!</v>
      </c>
      <c r="BX78" s="687">
        <f ca="1">(Tab_NewTRADER[[#This Row],[M]]-Tab_NewTRADER[[#This Row],[Agiotage]])/(Tab_NewTRADER[[#This Row],[M]]-Tab_NewTRADER[[#This Row],[A]])-1</f>
        <v>-2.0727706196990492E-2</v>
      </c>
      <c r="BY78" s="1262">
        <f ca="1">_xlfn.XMATCH(Tab_NewTRADER[[#This Row],[ClickTick]]&amp;1, TabConsolid[#Headers])</f>
        <v>230</v>
      </c>
      <c r="BZ78" t="b">
        <f ca="1">IF(ABS(Tab_NewTRADER[[#This Row],[L_Bp]])&gt;=Tab_NewTRADER[[#This Row],[M]],"OK")</f>
        <v>0</v>
      </c>
    </row>
    <row r="79" spans="1:78"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-10,881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-24.7%</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-3,962$</v>
      </c>
      <c r="G79" s="225" t="str">
        <f ca="1">IFERROR(TRUNC(_xlfn.XLOOKUP(Tab_NewTRADER[[#This Row],[ClickTick]],TabCalc[Ticker],ListLastSalep),2)&amp;"x"&amp;_xlfn.XLOOKUP(Tab_NewTRADER[[#This Row],[ClickTick]],TabCalc[Ticker],ListLastSalen)&amp;"=   "&amp;TEXT(-_xlfn.XLOOKUP(Tab_NewTRADER[[#This Row],[ClickTick]],TabCalc[Ticker],ListReverseB),"#,#0")&amp;"$","")</f>
        <v>192.01x200=   -9,024$</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30.7% = 111</v>
      </c>
      <c r="I79" s="226" t="str">
        <f ca="1">IFERROR(TRUNC(TabCalc[[#This Row],[L_S1p]],2)&amp;"x"&amp;TabCalc[[#This Row],[L_S1n]]&amp;"=   "&amp;TEXT(TabCalc[[#This Row],[ReverseB1]],"#,#0"),"")</f>
        <v>189.91x600=   25,812</v>
      </c>
      <c r="J79" s="295">
        <f ca="1">_xlfn.XLOOKUP(Tab_NewTRADER[[#This Row],[ClickTick]],TabCalc[Ticker],ListGravity)</f>
        <v>1.4124215399278373</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51411.499999999993</v>
      </c>
      <c r="M79" s="323">
        <f ca="1">_xlfn.XLOOKUP(Tab_NewTRADER[[#This Row],[ClickTick]],TabCalc[Ticker],TabCalc[Agiotage])</f>
        <v>0.30248791926879282</v>
      </c>
      <c r="N79" s="324" cm="1">
        <f t="array" aca="1" ref="N79" ca="1">_xlfn.XLOOKUP(Tab_NewTRADER[[#This Row],[ClickTick]],ListTickers,Tab2RSIConventional[RSIConv20])</f>
        <v>26</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-0.19802358593579389</v>
      </c>
      <c r="S79" s="683">
        <f ca="1">_xlfn.XLOOKUP(Tab_NewTRADER[[#This Row],[ClickTick]],TabCalc[Ticker],TabCalc[Rev(MinStock)])*(1-Commission)</f>
        <v>-10852.709400000003</v>
      </c>
      <c r="T79" s="782">
        <f ca="1">_xlfn.XLOOKUP(Tab_NewTRADER[[#This Row],[ClickTick]],TabCalc[Ticker],TabCalc[Agiotage])</f>
        <v>0.30248791926879282</v>
      </c>
      <c r="U79" s="747"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2,601/2,601=&gt;3.1% / 3.1%</v>
      </c>
      <c r="V79" s="739" t="str">
        <f ca="1">_xlfn.XLOOKUP(Tab_NewTRADER[[#This Row],[ClickTick]],[1]!RTData[Ticker_Symbol],[1]!RTData[Currency])</f>
        <v>USD</v>
      </c>
      <c r="W79" s="749">
        <f ca="1">_xlfn.XLOOKUP(Tab_NewTRADER[[#This Row],[ClickTick]],TabCalc[Ticker],TabCalc[M])</f>
        <v>146.88999999999999</v>
      </c>
      <c r="X79" s="1315"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3.1095999999999999E-2</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132 K$</v>
      </c>
      <c r="AF79" s="1161"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9" s="1530" t="str">
        <f ca="1">TEXT(MIN(Tab_NewTRADER[[#This Row],[L_Bn]],Tab_NewTRADER[[#This Row],[N]]),"#,#0")&amp;" x "&amp;TEXT(Tab_NewTRADER[[#This Row],[L_Bp]],"#,#0.#0")</f>
        <v>300 x -183.16</v>
      </c>
      <c r="AH79" s="1530" t="str" cm="1">
        <f t="array" aca="1" ref="AH79" ca="1">_xlfn.IFS(Tab_NewTRADER[[#This Row],[M_State]]=Sale_Back,Tab_NewTRADER[[#This Row],[Sale_Back_$]], TRUE,"M = "&amp;Tab_NewTRADER[[#This Row],[M]])</f>
        <v>M = 146.89</v>
      </c>
      <c r="AI79" s="1433" cm="1">
        <f t="array" aca="1" ref="AI79" ca="1">IF(Tab_NewTRADER[[#This Row],[M_State]]=MUp,_xlfn.IFS(Tab_NewTRADER[[#This Row],[M_State]]=MUp,MIN(Tab_NewTRADER[[#This Row],[N]],Tab_NewTRADER[[#This Row],[L_Bn]])*(Tab_NewTRADER[[#This Row],[M]]-Tab_NewTRADER[[#This Row],[L_Sp]])*Tab_NewTRADER[[#This Row],[Scale]]*ComFactor, TRUE,0),0)</f>
        <v>0</v>
      </c>
      <c r="AJ79" s="1433" cm="1">
        <f t="array" aca="1" ref="AJ79" ca="1">_xlfn.IFS(Tab_NewTRADER[[#This Row],[M_State]]=MUp,                 MIN(Tab_NewTRADER[[#This Row],[L_Sn]],Tab_NewTRADER[[#This Row],[N]])*(Tab_NewTRADER[[#This Row],[M]]-Tab_NewTRADER[[#This Row],[A]])*Tab_NewTRADER[[#This Row],[Scale]]*ComFactor, TRUE,0)</f>
        <v>0</v>
      </c>
      <c r="AK79" s="1433" cm="1">
        <f t="array" aca="1" ref="AK79" ca="1">_xlfn.IFS(Tab_NewTRADER[[#This Row],[M_State]]=MUp,                  Tab_NewTRADER[[#This Row],[N]]*(Tab_NewTRADER[[#This Row],[M]]-Tab_NewTRADER[[#This Row],[A]])*Tab_NewTRADER[[#This Row],[Scale]]*ComFactor, TRUE,0)</f>
        <v>0</v>
      </c>
      <c r="AL79" s="1435" t="str">
        <f ca="1">TEXT(Tab_NewTRADER[[#This Row],[L_Sn]],"#,#0")&amp;" x "&amp;TEXT(Tab_NewTRADER[[#This Row],[L_Sp]],"#,#0.#0")</f>
        <v>200 x 192.01</v>
      </c>
      <c r="AM79" s="1465" t="str" cm="1">
        <f t="array" aca="1" ref="AM79" ca="1">_xlfn.IFS(Tab_NewTRADER[[#This Row],[M_State]]=RePurchaseGain,TEXT(-Tab_NewTRADER[[#This Row],[Buy_Back]],"#,#0")&amp;"       / "&amp;TEXT(Tab_NewTRADER[[#This Row],[Rev_Buy]],"#,#00.0)%"),TRUE,"M = "&amp;Tab_NewTRADER[[#This Row],[M]])</f>
        <v>M = 146.89</v>
      </c>
      <c r="AN79" s="1435" t="str" cm="1">
        <f t="array" aca="1" ref="AN79" ca="1">_xlfn.IFS(Tab_NewTRADER[[#This Row],[M_State]]=MDown,TEXT(Tab_NewTRADER[[#This Row],[L_Sn]]*(Tab_NewTRADER[[#This Row],[M]]-Tab_NewTRADER[[#This Row],[L_Sp]])*ComFactor,"#,#0")&amp;"       / "&amp;TEXT((TabTRADER[[#This Row],[M]]-TabTRADER[[#This Row],[L_Sp]])/TabTRADER[[#This Row],[M]],"#,#00.0)%"),TRUE,0)</f>
        <v>-9,001       / -30.7)%</v>
      </c>
      <c r="AO79" s="1486" t="str" cm="1">
        <f t="array" aca="1" ref="AO79" ca="1">_xlfn.IFS(Tab_NewTRADER[[#This Row],[M_State]]=MDown,TEXT(Tab_NewTRADER[[#This Row],[N]]*(Tab_NewTRADER[[#This Row],[M]]-Tab_NewTRADER[[#This Row],[A]])*Tab_NewTRADER[[#This Row],[Scale]]*ComFactor,"#,#0")&amp;"       / "&amp;TEXT((TabTRADER[[#This Row],[M]]-TabTRADER[[#This Row],[L_Bp]])/TabTRADER[[#This Row],[M]],"#,#00.0%"),TRUE,0)</f>
        <v>-30,563       / 224.7%</v>
      </c>
      <c r="AP79" s="1435" t="str" cm="1">
        <f t="array" aca="1" ref="AP79" ca="1">_xlfn.IFS(Tab_NewTRADER[[#This Row],[M_State]]=MDown,TEXT(Tab_NewTRADER[[#This Row],[N]]*Tab_NewTRADER[[#This Row],[M]],"#,#0")&amp;" @ "&amp;TEXT(Tab_NewTRADER[[#This Row],[A]],"#,#0.#0"),TRUE,"M = "&amp; Tab_NewTRADER[[#This Row],[M]])</f>
        <v>132,201 @ 180.94</v>
      </c>
      <c r="AQ79" s="1165">
        <f ca="1">Tab_NewTRADER[[#This Row],[N]]*(Tab_NewTRADER[[#This Row],[M]]-Tab_NewTRADER[[#This Row],[A]])*(1-Commission)*Tab_NewTRADER[[#This Row],[Scale]]</f>
        <v>-30563.328200000004</v>
      </c>
      <c r="AR79" s="1165">
        <f ca="1">Tab_NewTRADER[[#This Row],[M]]*Tab_NewTRADER[[#This Row],[N]]*(1-Commission)*Tab_NewTRADER[[#This Row],[Scale]]</f>
        <v>131857.27739999999</v>
      </c>
      <c r="AS79" s="1174" cm="1">
        <f t="array" aca="1" ref="AS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0.18817395789835675</v>
      </c>
      <c r="AT79" s="1174" cm="1">
        <f t="array" aca="1" ref="AT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0.2443194635441488</v>
      </c>
      <c r="AU79" s="825" t="str" cm="1">
        <f t="array" aca="1" ref="AU79" ca="1">_xlfn.IFS(   Tab_NewTRADER[[#This Row],[M_State]]=SellMorePercentGain,                     MIN(Tab_NewTRADER[[#This Row],[L_Sn]],Tab_NewTRADER[[#This Row],[N]])*(Tab_NewTRADER[[#This Row],[M]]-Tab_NewTRADER[[#This Row],[L_Sp]])*(1-Commission)*Tab_NewTRADER[[#This Row],[Scale]],                    TRUE,"")</f>
        <v/>
      </c>
      <c r="AV79" s="1180">
        <f ca="1">_xlfn.XLOOKUP(Tab_NewTRADER[[#This Row],[ClickTick]],TabCalc[Ticker],TabCalc[Ann%RevLB])</f>
        <v>-2.5460175334602071</v>
      </c>
      <c r="AW79" s="1267">
        <f ca="1">_xlfn.XLOOKUP(Tab_NewTRADER[[#This Row],[ClickTick]],TabCalc[Ticker],TabCalc[Up20])</f>
        <v>0</v>
      </c>
      <c r="AX79" s="1175" cm="1">
        <f t="array" aca="1" ref="AX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0.24691946354414879</v>
      </c>
      <c r="AY79" s="825" cm="1">
        <f t="array" aca="1" ref="AY79" ca="1">_xlfn.IFS(         Tab_NewTRADER[[#This Row],[M_State]]=MDown,Tab_NewTRADER[[#This Row],[L_Bn]]*Tab_NewTRADER[[#This Row],[M]]*(-(Tab_NewTRADER[[#This Row],[L_Bp]]+Tab_NewTRADER[[#This Row],[M]])/Tab_NewTRADER[[#This Row],[M]])*(1-Commission)*Tab_NewTRADER[[#This Row],[Scale]],                               TRUE,"")</f>
        <v>10852.709400000003</v>
      </c>
      <c r="AZ79" s="1174" cm="1">
        <f t="array" aca="1" ref="AZ79" ca="1">_xlfn.IFS(   Tab_NewTRADER[[#This Row],[M_State]]=MUp,Tab_NewTRADER[[#This Row],[TakeGain_A]]-Commission,        Tab_NewTRADER[[#This Row],[M_State]]=MDown,(Tab_NewTRADER[[#This Row],[A]]-Tab_NewTRADER[[#This Row],[M]])/Tab_NewTRADER[[#This Row],[M]]-Commission,                              TRUE,"")</f>
        <v>0.22919098493959961</v>
      </c>
      <c r="BA79" s="760" cm="1">
        <f t="array" aca="1" ref="BA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30563.328200000004</v>
      </c>
      <c r="BB79" s="760" t="str" cm="1">
        <f t="array" aca="1" ref="BB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C79" s="736" cm="1">
        <f t="array" aca="1" ref="BC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-36.270000000000003</v>
      </c>
      <c r="BD79" s="765" cm="1">
        <f t="array" aca="1" ref="BD79" ca="1">_xlfn.IFS(Tab_NewTRADER[[#This Row],[M_State]]=Sale_Back,"",         Tab_NewTRADER[[#This Row],[M_State]]=MDown, (Tab_NewTRADER[[#This Row],[M]]-Tab_NewTRADER[[#This Row],[A]])/Tab_NewTRADER[[#This Row],[A]]*ComFactor,             TRUE, IFERROR((Tab_NewTRADER[[#This Row],[M]]-Tab_NewTRADER[[#This Row],[A]])/Tab_NewTRADER[[#This Row],[A]]*ComFactor,""))</f>
        <v>-0.18768470560782102</v>
      </c>
      <c r="BE79" s="762" cm="1">
        <f t="array" aca="1" ref="BE79" ca="1">_xlfn.IFS(               Tab_NewTRADER[[#This Row],[M_State]]=NoStock,(Tab_NewTRADER[[#This Row],[L_Sp]]-Tab_NewTRADER[[#This Row],[M]])/Tab_NewTRADER[[#This Row],[M]]-Commission,             Tab_NewTRADER[[#This Row],[A]]&lt;&gt;0,(Tab_NewTRADER[[#This Row],[A]]-Tab_NewTRADER[[#This Row],[M]])/Tab_NewTRADER[[#This Row],[M]]-Commission)</f>
        <v>0.22919098493959961</v>
      </c>
      <c r="BF79" s="324">
        <f ca="1">_xlfn.XLOOKUP(Tab_NewTRADER[[#This Row],[ClickTick]],TabCalc[Ticker],TabCalc[L_Sn])</f>
        <v>200</v>
      </c>
      <c r="BG79" s="728">
        <f ca="1">_xlfn.XLOOKUP(Tab_NewTRADER[[#This Row],[ClickTick]],TabCalc[Ticker],TabCalc[L_Sp])</f>
        <v>192.01</v>
      </c>
      <c r="BH79" s="764">
        <f ca="1">-IFERROR((Tab_NewTRADER[[#This Row],[M]]-Tab_NewTRADER[[#This Row],[L_Sp]])/Tab_NewTRADER[[#This Row],[L_Sp]],0)</f>
        <v>0.23498776105411179</v>
      </c>
      <c r="BI79" s="729">
        <f ca="1">MIN(Tab_NewTRADER[[#This Row],[L_Sn]],Tab_NewTRADER[[#This Row],[N]])*(Tab_NewTRADER[[#This Row],[M]]-Tab_NewTRADER[[#This Row],[L_Sp]])*(1-Commission)*Tab_NewTRADER[[#This Row],[Scale]]</f>
        <v>-9000.5375999999997</v>
      </c>
      <c r="BJ79" s="692">
        <f ca="1">Tab_NewTRADER[[#This Row],[L_Sn]]*(Tab_NewTRADER[[#This Row],[Agiotage]]-Tab_NewTRADER[[#This Row],[M]])/(Tab_NewTRADER[[#This Row],[L_Bn]]*Tab_NewTRADER[[#This Row],[M]])</f>
        <v>-0.66529381206222893</v>
      </c>
      <c r="BK79" s="635">
        <f ca="1">IFERROR((Tab_NewTRADER[[#This Row],[M]]-Tab_NewTRADER[[#This Row],[A]])/Tab_NewTRADER[[#This Row],[A]],0)</f>
        <v>-0.18817395789835675</v>
      </c>
      <c r="BL79" s="638" t="str">
        <f ca="1">TEXT(_xlfn.XLOOKUP(Tab_NewTRADER[[#This Row],[ClickTick]],TabCalc[Ticker],TabCalc[NAfter]),"#,#0")&amp;" : "&amp;TEXT(_xlfn.XLOOKUP(Tab_NewTRADER[[#This Row],[ClickTick]],TabCalc[Ticker],TabCalc[NAfter])*(Tab_NewTRADER[[#This Row],[M]]-Tab_NewTRADER[[#This Row],[A]])*(1-Commission)*Tab_NewTRADER[[#This Row],[Scale]],"#,#0$")</f>
        <v>900 : -30,563$</v>
      </c>
      <c r="BM79" s="684">
        <f ca="1">_xlfn.XLOOKUP(Tab_NewTRADER[[#This Row],[ClickTick]],TabCalc[[#This Row],[Ticker]],TabCalc[[#This Row],[GL]])*(1-Commission)</f>
        <v>10466.116771014022</v>
      </c>
      <c r="BN79" s="684"/>
      <c r="BO79" s="669" t="str">
        <f ca="1">Tab_NewTRADER[[#This Row],[ClickTick]]&amp;": "&amp;_xlfn.XLOOKUP(Tab_NewTRADER[[#This Row],[ClickTick]],TabCalc[Ticker],TabCalc[Pile?])</f>
        <v xml:space="preserve">GNRC: </v>
      </c>
      <c r="BP79" s="351" t="s">
        <v>2016</v>
      </c>
      <c r="BQ79" s="755" t="str" cm="1">
        <f t="array" aca="1" ref="BQ79" ca="1">_xlfn.TEXTJOIN("",,INDEX({"M","A","Y"}, _xlfn.SORTBY({1,2,3}, -CHOOSE({1,2,3}, Tab_NewTRADER[[#This Row],[M]], Tab_NewTRADER[[#This Row],[A]], Tab_NewTRADER[[#This Row],[Agiotage]]))))</f>
        <v>AMY</v>
      </c>
      <c r="BR79" s="902" cm="1">
        <f t="array" aca="1" ref="BR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0.24691946354414879</v>
      </c>
      <c r="BS79" s="679" t="e">
        <f ca="1">Tab_NewTRADER[[#This Row],[L_Sn]]*Tab_NewTRADER[[#This Row],[L_Sp]]+Tab_NewTRADER[[#This Row],[SellMore]]*Tab_NewTRADER[[#This Row],[M]]</f>
        <v>#N/A</v>
      </c>
      <c r="BT79" s="679" t="e">
        <f ca="1">INDEX(
  INDEX(TabConsolid[], , _xlfn.XMATCH(Tab_NewTRADER[[#This Row],[ClickTick]]&amp;1, TabConsolid[#Headers])),
  MATCH(
    -Tab_NewTRADER[[#This Row],[M]],
    INDEX(TabConsolid[], , _xlfn.XMATCH(Tab_NewTRADER[[#This Row],[ClickTick]]&amp;2, TabConsolid[#Headers])),
    -1
  )
)</f>
        <v>#N/A</v>
      </c>
      <c r="BU79" s="679" cm="1">
        <f t="array" aca="1" ref="BU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79" s="1144" t="e">
        <f ca="1">Tab_NewTRADER[[#This Row],[ReBuy]]/(Tab_NewTRADER[[#This Row],[L_Sn]]+Tab_NewTRADER[[#This Row],[SellMore]])</f>
        <v>#N/A</v>
      </c>
      <c r="BW79" s="687">
        <f ca="1">((_xlfn.XLOOKUP(Tab_NewTRADER[[#This Row],[ClickTick]],TabCalc[Ticker],TabCalc[NAfter])+Tab_NewTRADER[[#This Row],[L_Sn]])*(Tab_NewTRADER[[#This Row],[Agiotage]]-Tab_NewTRADER[[#This Row],[M]]))/(Tab_NewTRADER[[#This Row],[L_Sn]]*_xlfn.XLOOKUP(Tab_NewTRADER[[#This Row],[ClickTick]],TabCalc[Ticker],TabCalc[NAfter]))</f>
        <v>-0.89581257382669055</v>
      </c>
      <c r="BX79" s="687">
        <f ca="1">(Tab_NewTRADER[[#This Row],[M]]-Tab_NewTRADER[[#This Row],[Agiotage]])/(Tab_NewTRADER[[#This Row],[M]]-Tab_NewTRADER[[#This Row],[A]])-1</f>
        <v>-5.305347416136085</v>
      </c>
      <c r="BY79" s="1262">
        <f ca="1">_xlfn.XMATCH(Tab_NewTRADER[[#This Row],[ClickTick]]&amp;1, TabConsolid[#Headers])</f>
        <v>233</v>
      </c>
      <c r="BZ79" t="str">
        <f ca="1">IF(ABS(Tab_NewTRADER[[#This Row],[L_Bp]])&gt;=Tab_NewTRADER[[#This Row],[M]],"OK")</f>
        <v>OK</v>
      </c>
    </row>
    <row r="80" spans="1:78"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28.1%</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14,899$</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-19.1% = 0</v>
      </c>
      <c r="I80" s="226" t="str">
        <f ca="1">IFERROR(TRUNC(TabCalc[[#This Row],[L_S1p]],2)&amp;"x"&amp;TabCalc[[#This Row],[L_S1n]]&amp;"=   "&amp;TEXT(TabCalc[[#This Row],[ReverseB1]],"#,#0"),"")</f>
        <v>495.03x100=   -28,586</v>
      </c>
      <c r="J80" s="295">
        <f ca="1">_xlfn.XLOOKUP(Tab_NewTRADER[[#This Row],[ClickTick]],TabCalc[Ticker],ListGravity)</f>
        <v>1.0268310517486456</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0.30271831547034872</v>
      </c>
      <c r="N80" s="324" cm="1">
        <f t="array" aca="1" ref="N80" ca="1">_xlfn.XLOOKUP(Tab_NewTRADER[[#This Row],[ClickTick]],ListTickers,Tab2RSIConventional[RSIConv20])</f>
        <v>57</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0.39046993286164655</v>
      </c>
      <c r="S80" s="683">
        <f ca="1">_xlfn.XLOOKUP(Tab_NewTRADER[[#This Row],[ClickTick]],TabCalc[Ticker],TabCalc[Rev(MinStock)])*(1-Commission)</f>
        <v>0</v>
      </c>
      <c r="T80" s="782">
        <f ca="1">_xlfn.XLOOKUP(Tab_NewTRADER[[#This Row],[ClickTick]],TabCalc[Ticker],TabCalc[Agiotage])</f>
        <v>0.30271831547034872</v>
      </c>
      <c r="U80" s="747"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80" s="739" t="str">
        <f ca="1">_xlfn.XLOOKUP(Tab_NewTRADER[[#This Row],[ClickTick]],[1]!RTData[Ticker_Symbol],[1]!RTData[Currency])</f>
        <v>USD</v>
      </c>
      <c r="W80" s="749">
        <f ca="1">_xlfn.XLOOKUP(Tab_NewTRADER[[#This Row],[ClickTick]],TabCalc[Ticker],TabCalc[M])</f>
        <v>780.89</v>
      </c>
      <c r="X80" s="1315"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5.9130000000000007E-3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F80" s="1182"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80" s="1530" t="str">
        <f ca="1">TEXT(MIN(Tab_NewTRADER[[#This Row],[L_Bn]],Tab_NewTRADER[[#This Row],[N]]),"#,#0")&amp;" x "&amp;TEXT(Tab_NewTRADER[[#This Row],[L_Bp]],"#,#0.#0")</f>
        <v>0 x -561.60</v>
      </c>
      <c r="AH80" s="1530" t="str" cm="1">
        <f t="array" aca="1" ref="AH80" ca="1">_xlfn.IFS(Tab_NewTRADER[[#This Row],[M_State]]=Sale_Back,Tab_NewTRADER[[#This Row],[Sale_Back_$]], TRUE,"M = "&amp;Tab_NewTRADER[[#This Row],[M]])</f>
        <v>M = 780.89</v>
      </c>
      <c r="AI80" s="1433" cm="1">
        <f t="array" aca="1" ref="AI80" ca="1">IF(Tab_NewTRADER[[#This Row],[M_State]]=MUp,_xlfn.IFS(Tab_NewTRADER[[#This Row],[M_State]]=MUp,MIN(Tab_NewTRADER[[#This Row],[N]],Tab_NewTRADER[[#This Row],[L_Bn]])*(Tab_NewTRADER[[#This Row],[M]]-Tab_NewTRADER[[#This Row],[L_Sp]])*Tab_NewTRADER[[#This Row],[Scale]]*ComFactor, TRUE,0),0)</f>
        <v>0</v>
      </c>
      <c r="AJ80" s="1433" cm="1">
        <f t="array" aca="1" ref="AJ80" ca="1">_xlfn.IFS(Tab_NewTRADER[[#This Row],[M_State]]=MUp,                 MIN(Tab_NewTRADER[[#This Row],[L_Sn]],Tab_NewTRADER[[#This Row],[N]])*(Tab_NewTRADER[[#This Row],[M]]-Tab_NewTRADER[[#This Row],[A]])*Tab_NewTRADER[[#This Row],[Scale]]*ComFactor, TRUE,0)</f>
        <v>0</v>
      </c>
      <c r="AK80" s="1433" cm="1">
        <f t="array" aca="1" ref="AK80" ca="1">_xlfn.IFS(Tab_NewTRADER[[#This Row],[M_State]]=MUp,                  Tab_NewTRADER[[#This Row],[N]]*(Tab_NewTRADER[[#This Row],[M]]-Tab_NewTRADER[[#This Row],[A]])*Tab_NewTRADER[[#This Row],[Scale]]*ComFactor, TRUE,0)</f>
        <v>0</v>
      </c>
      <c r="AL80" s="1435" t="str">
        <f ca="1">TEXT(Tab_NewTRADER[[#This Row],[L_Sn]],"#,#0")&amp;" x "&amp;TEXT(Tab_NewTRADER[[#This Row],[L_Sp]],"#,#0.#0")</f>
        <v>100 x 631.90</v>
      </c>
      <c r="AM80" s="1465" t="str" cm="1">
        <f t="array" aca="1" ref="AM80" ca="1">_xlfn.IFS(Tab_NewTRADER[[#This Row],[M_State]]=RePurchaseGain,TEXT(-Tab_NewTRADER[[#This Row],[Buy_Back]],"#,#0")&amp;"       / "&amp;TEXT(Tab_NewTRADER[[#This Row],[Rev_Buy]],"#,#00.0)%"),TRUE,"M = "&amp;Tab_NewTRADER[[#This Row],[M]])</f>
        <v>M = 780.89</v>
      </c>
      <c r="AN80" s="1435" cm="1">
        <f t="array" aca="1" ref="AN80" ca="1">_xlfn.IFS(Tab_NewTRADER[[#This Row],[M_State]]=MDown,TEXT(Tab_NewTRADER[[#This Row],[L_Sn]]*(Tab_NewTRADER[[#This Row],[M]]-Tab_NewTRADER[[#This Row],[L_Sp]])*ComFactor,"#,#0")&amp;"       / "&amp;TEXT((TabTRADER[[#This Row],[M]]-TabTRADER[[#This Row],[L_Sp]])/TabTRADER[[#This Row],[M]],"#,#00.0)%"),TRUE,0)</f>
        <v>0</v>
      </c>
      <c r="AO80" s="1486" cm="1">
        <f t="array" aca="1" ref="AO80" ca="1">_xlfn.IFS(Tab_NewTRADER[[#This Row],[M_State]]=MDown,TEXT(Tab_NewTRADER[[#This Row],[N]]*(Tab_NewTRADER[[#This Row],[M]]-Tab_NewTRADER[[#This Row],[A]])*Tab_NewTRADER[[#This Row],[Scale]]*ComFactor,"#,#0")&amp;"       / "&amp;TEXT((TabTRADER[[#This Row],[M]]-TabTRADER[[#This Row],[L_Bp]])/TabTRADER[[#This Row],[M]],"#,#00.0%"),TRUE,0)</f>
        <v>0</v>
      </c>
      <c r="AP80" s="1435" t="str" cm="1">
        <f t="array" aca="1" ref="AP80" ca="1">_xlfn.IFS(Tab_NewTRADER[[#This Row],[M_State]]=MDown,TEXT(Tab_NewTRADER[[#This Row],[N]]*Tab_NewTRADER[[#This Row],[M]],"#,#0")&amp;" @ "&amp;TEXT(Tab_NewTRADER[[#This Row],[A]],"#,#0.#0"),TRUE,"M = "&amp; Tab_NewTRADER[[#This Row],[M]])</f>
        <v>M = 780.89</v>
      </c>
      <c r="AQ80" s="1165">
        <f ca="1">Tab_NewTRADER[[#This Row],[N]]*(Tab_NewTRADER[[#This Row],[M]]-Tab_NewTRADER[[#This Row],[A]])*(1-Commission)*Tab_NewTRADER[[#This Row],[Scale]]</f>
        <v>0</v>
      </c>
      <c r="AR80" s="1165">
        <f ca="1">Tab_NewTRADER[[#This Row],[M]]*Tab_NewTRADER[[#This Row],[N]]*(1-Commission)*Tab_NewTRADER[[#This Row],[Scale]]</f>
        <v>0</v>
      </c>
      <c r="AS80" s="1174" t="str" cm="1">
        <f t="array" aca="1" ref="AS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80" s="1174" t="str" cm="1">
        <f t="array" aca="1" ref="AT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0" s="825" t="str" cm="1">
        <f t="array" aca="1" ref="AU80" ca="1">_xlfn.IFS(   Tab_NewTRADER[[#This Row],[M_State]]=SellMorePercentGain,                     MIN(Tab_NewTRADER[[#This Row],[L_Sn]],Tab_NewTRADER[[#This Row],[N]])*(Tab_NewTRADER[[#This Row],[M]]-Tab_NewTRADER[[#This Row],[L_Sp]])*(1-Commission)*Tab_NewTRADER[[#This Row],[Scale]],                    TRUE,"")</f>
        <v/>
      </c>
      <c r="AV80" s="1163">
        <f ca="1">_xlfn.XLOOKUP(Tab_NewTRADER[[#This Row],[ClickTick]],TabCalc[Ticker],TabCalc[Ann%RevLB])</f>
        <v>0.33953907205360573</v>
      </c>
      <c r="AW80" s="1267">
        <f ca="1">_xlfn.XLOOKUP(Tab_NewTRADER[[#This Row],[ClickTick]],TabCalc[Ticker],TabCalc[Up20])</f>
        <v>0.5714285714285714</v>
      </c>
      <c r="AX80" s="1175" t="str" cm="1">
        <f t="array" aca="1" ref="AX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0" s="825" t="str" cm="1">
        <f t="array" aca="1" ref="AY80" ca="1">_xlfn.IFS(         Tab_NewTRADER[[#This Row],[M_State]]=MDown,Tab_NewTRADER[[#This Row],[L_Bn]]*Tab_NewTRADER[[#This Row],[M]]*(-(Tab_NewTRADER[[#This Row],[L_Bp]]+Tab_NewTRADER[[#This Row],[M]])/Tab_NewTRADER[[#This Row],[M]])*(1-Commission)*Tab_NewTRADER[[#This Row],[Scale]],                               TRUE,"")</f>
        <v/>
      </c>
      <c r="AZ80" s="1174" t="str" cm="1">
        <f t="array" aca="1" ref="AZ80" ca="1">_xlfn.IFS(   Tab_NewTRADER[[#This Row],[M_State]]=MUp,Tab_NewTRADER[[#This Row],[TakeGain_A]]-Commission,        Tab_NewTRADER[[#This Row],[M_State]]=MDown,(Tab_NewTRADER[[#This Row],[A]]-Tab_NewTRADER[[#This Row],[M]])/Tab_NewTRADER[[#This Row],[M]]-Commission,                              TRUE,"")</f>
        <v/>
      </c>
      <c r="BA80" s="825" cm="1">
        <f t="array" aca="1" ref="BA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80" s="760" t="str" cm="1">
        <f t="array" aca="1" ref="BB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C80" s="736" t="str" cm="1">
        <f t="array" aca="1" ref="BC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0x780.89</v>
      </c>
      <c r="BD80" s="765" t="str" cm="1">
        <f t="array" aca="1" ref="BD80" ca="1">_xlfn.IFS(Tab_NewTRADER[[#This Row],[M_State]]=Sale_Back,"",         Tab_NewTRADER[[#This Row],[M_State]]=MDown, (Tab_NewTRADER[[#This Row],[M]]-Tab_NewTRADER[[#This Row],[A]])/Tab_NewTRADER[[#This Row],[A]]*ComFactor,             TRUE, IFERROR((Tab_NewTRADER[[#This Row],[M]]-Tab_NewTRADER[[#This Row],[A]])/Tab_NewTRADER[[#This Row],[A]]*ComFactor,""))</f>
        <v/>
      </c>
      <c r="BE80" s="762" cm="1">
        <f t="array" aca="1" ref="BE80" ca="1">_xlfn.IFS(               Tab_NewTRADER[[#This Row],[M_State]]=NoStock,(Tab_NewTRADER[[#This Row],[L_Sp]]-Tab_NewTRADER[[#This Row],[M]])/Tab_NewTRADER[[#This Row],[M]]-Commission,             Tab_NewTRADER[[#This Row],[A]]&lt;&gt;0,(Tab_NewTRADER[[#This Row],[A]]-Tab_NewTRADER[[#This Row],[M]])/Tab_NewTRADER[[#This Row],[M]]-Commission)</f>
        <v>-0.19339511839055437</v>
      </c>
      <c r="BF80" s="324">
        <f ca="1">_xlfn.XLOOKUP(Tab_NewTRADER[[#This Row],[ClickTick]],TabCalc[Ticker],TabCalc[L_Sn])</f>
        <v>100</v>
      </c>
      <c r="BG80" s="728">
        <f ca="1">_xlfn.XLOOKUP(Tab_NewTRADER[[#This Row],[ClickTick]],TabCalc[Ticker],TabCalc[L_Sp])</f>
        <v>631.9</v>
      </c>
      <c r="BH80" s="764">
        <f ca="1">-IFERROR((Tab_NewTRADER[[#This Row],[M]]-Tab_NewTRADER[[#This Row],[L_Sp]])/Tab_NewTRADER[[#This Row],[L_Sp]],0)</f>
        <v>-0.23578097800284858</v>
      </c>
      <c r="BI80" s="729">
        <f ca="1">MIN(Tab_NewTRADER[[#This Row],[L_Sn]],Tab_NewTRADER[[#This Row],[N]])*(Tab_NewTRADER[[#This Row],[M]]-Tab_NewTRADER[[#This Row],[L_Sp]])*(1-Commission)*Tab_NewTRADER[[#This Row],[Scale]]</f>
        <v>0</v>
      </c>
      <c r="BJ80" s="692">
        <f ca="1">Tab_NewTRADER[[#This Row],[L_Sn]]*(Tab_NewTRADER[[#This Row],[Agiotage]]-Tab_NewTRADER[[#This Row],[M]])/(Tab_NewTRADER[[#This Row],[L_Bn]]*Tab_NewTRADER[[#This Row],[M]])</f>
        <v>-0.99961234192335635</v>
      </c>
      <c r="BK80" s="635">
        <f ca="1">IFERROR((Tab_NewTRADER[[#This Row],[M]]-Tab_NewTRADER[[#This Row],[A]])/Tab_NewTRADER[[#This Row],[A]],0)</f>
        <v>0</v>
      </c>
      <c r="BL80" s="638" t="str">
        <f ca="1">TEXT(_xlfn.XLOOKUP(Tab_NewTRADER[[#This Row],[ClickTick]],TabCalc[Ticker],TabCalc[NAfter]),"#,#0")&amp;" : "&amp;TEXT(_xlfn.XLOOKUP(Tab_NewTRADER[[#This Row],[ClickTick]],TabCalc[Ticker],TabCalc[NAfter])*(Tab_NewTRADER[[#This Row],[M]]-Tab_NewTRADER[[#This Row],[A]])*(1-Commission)*Tab_NewTRADER[[#This Row],[Scale]],"#,#0$")</f>
        <v>0 : 0$</v>
      </c>
      <c r="BM80" s="684">
        <f ca="1">_xlfn.XLOOKUP(Tab_NewTRADER[[#This Row],[ClickTick]],TabCalc[[#This Row],[Ticker]],TabCalc[[#This Row],[GL]])*(1-Commission)</f>
        <v>45917.428596084377</v>
      </c>
      <c r="BN80" s="684"/>
      <c r="BO80" s="669" t="str">
        <f ca="1">Tab_NewTRADER[[#This Row],[ClickTick]]&amp;": "&amp;_xlfn.XLOOKUP(Tab_NewTRADER[[#This Row],[ClickTick]],TabCalc[Ticker],TabCalc[Pile?])</f>
        <v>GS: Pile</v>
      </c>
      <c r="BP80" s="351" t="s">
        <v>2017</v>
      </c>
      <c r="BQ80" s="755" t="str" cm="1">
        <f t="array" aca="1" ref="BQ80" ca="1">_xlfn.TEXTJOIN("",,INDEX({"M","A","Y"}, _xlfn.SORTBY({1,2,3}, -CHOOSE({1,2,3}, Tab_NewTRADER[[#This Row],[M]], Tab_NewTRADER[[#This Row],[A]], Tab_NewTRADER[[#This Row],[Agiotage]]))))</f>
        <v>MYA</v>
      </c>
      <c r="BR80" s="902" t="str" cm="1">
        <f t="array" aca="1" ref="BR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0" s="679" t="e">
        <f ca="1">Tab_NewTRADER[[#This Row],[L_Sn]]*Tab_NewTRADER[[#This Row],[L_Sp]]+Tab_NewTRADER[[#This Row],[SellMore]]*Tab_NewTRADER[[#This Row],[M]]</f>
        <v>#N/A</v>
      </c>
      <c r="BT80" s="679" t="e">
        <f ca="1">INDEX(
  INDEX(TabConsolid[], , _xlfn.XMATCH(Tab_NewTRADER[[#This Row],[ClickTick]]&amp;1, TabConsolid[#Headers])),
  MATCH(
    -Tab_NewTRADER[[#This Row],[M]],
    INDEX(TabConsolid[], , _xlfn.XMATCH(Tab_NewTRADER[[#This Row],[ClickTick]]&amp;2, TabConsolid[#Headers])),
    -1
  )
)</f>
        <v>#N/A</v>
      </c>
      <c r="BU80" s="679" cm="1">
        <f t="array" aca="1" ref="BU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0" s="1144" t="e">
        <f ca="1">Tab_NewTRADER[[#This Row],[ReBuy]]/(Tab_NewTRADER[[#This Row],[L_Sn]]+Tab_NewTRADER[[#This Row],[SellMore]])</f>
        <v>#N/A</v>
      </c>
      <c r="BW80" s="687" t="e">
        <f ca="1">((_xlfn.XLOOKUP(Tab_NewTRADER[[#This Row],[ClickTick]],TabCalc[Ticker],TabCalc[NAfter])+Tab_NewTRADER[[#This Row],[L_Sn]])*(Tab_NewTRADER[[#This Row],[Agiotage]]-Tab_NewTRADER[[#This Row],[M]]))/(Tab_NewTRADER[[#This Row],[L_Sn]]*_xlfn.XLOOKUP(Tab_NewTRADER[[#This Row],[ClickTick]],TabCalc[Ticker],TabCalc[NAfter]))</f>
        <v>#DIV/0!</v>
      </c>
      <c r="BX80" s="687">
        <f ca="1">(Tab_NewTRADER[[#This Row],[M]]-Tab_NewTRADER[[#This Row],[Agiotage]])/(Tab_NewTRADER[[#This Row],[M]]-Tab_NewTRADER[[#This Row],[A]])-1</f>
        <v>-3.8765807664375984E-4</v>
      </c>
      <c r="BY80" s="1262">
        <f ca="1">_xlfn.XMATCH(Tab_NewTRADER[[#This Row],[ClickTick]]&amp;1, TabConsolid[#Headers])</f>
        <v>236</v>
      </c>
      <c r="BZ80" t="b">
        <f ca="1">IF(ABS(Tab_NewTRADER[[#This Row],[L_Bp]])&gt;=Tab_NewTRADER[[#This Row],[M]],"OK")</f>
        <v>0</v>
      </c>
    </row>
    <row r="81" spans="1:78"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-53,581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-627.0%</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-21,784$</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2.8223075186272295</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9004.1570000000011</v>
      </c>
      <c r="M81" s="323">
        <f ca="1">_xlfn.XLOOKUP(Tab_NewTRADER[[#This Row],[ClickTick]],TabCalc[Ticker],TabCalc[Agiotage])</f>
        <v>0.3115700601485013</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-0.86245341614906834</v>
      </c>
      <c r="S81" s="683">
        <f ca="1">_xlfn.XLOOKUP(Tab_NewTRADER[[#This Row],[ClickTick]],TabCalc[Ticker],TabCalc[Rev(MinStock)])*(1-Commission)</f>
        <v>-53442.055844760005</v>
      </c>
      <c r="T81" s="782">
        <f ca="1">_xlfn.XLOOKUP(Tab_NewTRADER[[#This Row],[ClickTick]],TabCalc[Ticker],TabCalc[Agiotage])</f>
        <v>0.3115700601485013</v>
      </c>
      <c r="U81" s="747"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-220/-220=&gt;2.3% / 2.3%</v>
      </c>
      <c r="V81" s="739" t="str">
        <f ca="1">_xlfn.XLOOKUP(Tab_NewTRADER[[#This Row],[ClickTick]],[1]!RTData[Ticker_Symbol],[1]!RTData[Currency])</f>
        <v>USD</v>
      </c>
      <c r="W81" s="749">
        <f ca="1">_xlfn.XLOOKUP(Tab_NewTRADER[[#This Row],[ClickTick]],TabCalc[Ticker],TabCalc[M])</f>
        <v>0.88580000000000003</v>
      </c>
      <c r="X81" s="1315"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2.2745999999999999E-2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/14 K$</v>
      </c>
      <c r="AF81" s="1182"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1" s="1530" t="str">
        <f ca="1">TEXT(MIN(Tab_NewTRADER[[#This Row],[L_Bn]],Tab_NewTRADER[[#This Row],[N]]),"#,#0")&amp;" x "&amp;TEXT(Tab_NewTRADER[[#This Row],[L_Bp]],"#,#0.#0")</f>
        <v>9,647 x -6.44</v>
      </c>
      <c r="AH81" s="1530" t="str" cm="1">
        <f t="array" aca="1" ref="AH81" ca="1">_xlfn.IFS(Tab_NewTRADER[[#This Row],[M_State]]=Sale_Back,Tab_NewTRADER[[#This Row],[Sale_Back_$]], TRUE,"M = "&amp;Tab_NewTRADER[[#This Row],[M]])</f>
        <v>M = 0.8858</v>
      </c>
      <c r="AI81" s="1433" cm="1">
        <f t="array" aca="1" ref="AI81" ca="1">IF(Tab_NewTRADER[[#This Row],[M_State]]=MUp,_xlfn.IFS(Tab_NewTRADER[[#This Row],[M_State]]=MUp,MIN(Tab_NewTRADER[[#This Row],[N]],Tab_NewTRADER[[#This Row],[L_Bn]])*(Tab_NewTRADER[[#This Row],[M]]-Tab_NewTRADER[[#This Row],[L_Sp]])*Tab_NewTRADER[[#This Row],[Scale]]*ComFactor, TRUE,0),0)</f>
        <v>0</v>
      </c>
      <c r="AJ81" s="1433" cm="1">
        <f t="array" aca="1" ref="AJ81" ca="1">_xlfn.IFS(Tab_NewTRADER[[#This Row],[M_State]]=MUp,                 MIN(Tab_NewTRADER[[#This Row],[L_Sn]],Tab_NewTRADER[[#This Row],[N]])*(Tab_NewTRADER[[#This Row],[M]]-Tab_NewTRADER[[#This Row],[A]])*Tab_NewTRADER[[#This Row],[Scale]]*ComFactor, TRUE,0)</f>
        <v>0</v>
      </c>
      <c r="AK81" s="1433" cm="1">
        <f t="array" aca="1" ref="AK81" ca="1">_xlfn.IFS(Tab_NewTRADER[[#This Row],[M_State]]=MUp,                  Tab_NewTRADER[[#This Row],[N]]*(Tab_NewTRADER[[#This Row],[M]]-Tab_NewTRADER[[#This Row],[A]])*Tab_NewTRADER[[#This Row],[Scale]]*ComFactor, TRUE,0)</f>
        <v>0</v>
      </c>
      <c r="AL81" s="1435" t="str">
        <f ca="1">TEXT(Tab_NewTRADER[[#This Row],[L_Sn]],"#,#0")&amp;" x "&amp;TEXT(Tab_NewTRADER[[#This Row],[L_Sp]],"#,#0.#0")</f>
        <v>0 x 0.0</v>
      </c>
      <c r="AM81" s="1465" t="str" cm="1">
        <f t="array" aca="1" ref="AM81" ca="1">_xlfn.IFS(Tab_NewTRADER[[#This Row],[M_State]]=RePurchaseGain,TEXT(-Tab_NewTRADER[[#This Row],[Buy_Back]],"#,#0")&amp;"       / "&amp;TEXT(Tab_NewTRADER[[#This Row],[Rev_Buy]],"#,#00.0)%"),TRUE,"M = "&amp;Tab_NewTRADER[[#This Row],[M]])</f>
        <v>M = 0.8858</v>
      </c>
      <c r="AN81" s="1435" t="str" cm="1">
        <f t="array" aca="1" ref="AN81" ca="1">_xlfn.IFS(Tab_NewTRADER[[#This Row],[M_State]]=MDown,TEXT(Tab_NewTRADER[[#This Row],[L_Sn]]*(Tab_NewTRADER[[#This Row],[M]]-Tab_NewTRADER[[#This Row],[L_Sp]])*ComFactor,"#,#0")&amp;"       / "&amp;TEXT((TabTRADER[[#This Row],[M]]-TabTRADER[[#This Row],[L_Sp]])/TabTRADER[[#This Row],[M]],"#,#00.0)%"),TRUE,0)</f>
        <v>0       / 100.0)%</v>
      </c>
      <c r="AO81" s="1486" t="str" cm="1">
        <f t="array" aca="1" ref="AO81" ca="1">_xlfn.IFS(Tab_NewTRADER[[#This Row],[M_State]]=MDown,TEXT(Tab_NewTRADER[[#This Row],[N]]*(Tab_NewTRADER[[#This Row],[M]]-Tab_NewTRADER[[#This Row],[A]])*Tab_NewTRADER[[#This Row],[Scale]]*ComFactor,"#,#0")&amp;"       / "&amp;TEXT((TabTRADER[[#This Row],[M]]-TabTRADER[[#This Row],[L_Bp]])/TabTRADER[[#This Row],[M]],"#,#00.0%"),TRUE,0)</f>
        <v>-321,804       / 827.0%</v>
      </c>
      <c r="AP81" s="1435" t="str" cm="1">
        <f t="array" aca="1" ref="AP81" ca="1">_xlfn.IFS(Tab_NewTRADER[[#This Row],[M_State]]=MDown,TEXT(Tab_NewTRADER[[#This Row],[N]]*Tab_NewTRADER[[#This Row],[M]],"#,#0")&amp;" @ "&amp;TEXT(Tab_NewTRADER[[#This Row],[A]],"#,#0.#0"),TRUE,"M = "&amp; Tab_NewTRADER[[#This Row],[M]])</f>
        <v>13,746 @ 21.68</v>
      </c>
      <c r="AQ81" s="1165">
        <f ca="1">Tab_NewTRADER[[#This Row],[N]]*(Tab_NewTRADER[[#This Row],[M]]-Tab_NewTRADER[[#This Row],[A]])*(1-Commission)*Tab_NewTRADER[[#This Row],[Scale]]</f>
        <v>-321804.12381144002</v>
      </c>
      <c r="AR81" s="1165">
        <f ca="1">Tab_NewTRADER[[#This Row],[M]]*Tab_NewTRADER[[#This Row],[N]]*(1-Commission)*Tab_NewTRADER[[#This Row],[Scale]]</f>
        <v>13710.105204559999</v>
      </c>
      <c r="AS81" s="1174" cm="1">
        <f t="array" aca="1" ref="AS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0.95913703795880978</v>
      </c>
      <c r="AT81" s="1174" cm="1">
        <f t="array" aca="1" ref="AT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6.2676641679837442</v>
      </c>
      <c r="AU81" s="825" t="str" cm="1">
        <f t="array" aca="1" ref="AU81" ca="1">_xlfn.IFS(   Tab_NewTRADER[[#This Row],[M_State]]=SellMorePercentGain,                     MIN(Tab_NewTRADER[[#This Row],[L_Sn]],Tab_NewTRADER[[#This Row],[N]])*(Tab_NewTRADER[[#This Row],[M]]-Tab_NewTRADER[[#This Row],[L_Sp]])*(1-Commission)*Tab_NewTRADER[[#This Row],[Scale]],                    TRUE,"")</f>
        <v/>
      </c>
      <c r="AV81" s="1163">
        <f ca="1">_xlfn.XLOOKUP(Tab_NewTRADER[[#This Row],[ClickTick]],TabCalc[Ticker],TabCalc[Ann%RevLB])</f>
        <v>-1.0315057468892512</v>
      </c>
      <c r="AW81" s="1267">
        <f ca="1">_xlfn.XLOOKUP(Tab_NewTRADER[[#This Row],[ClickTick]],TabCalc[Ticker],TabCalc[Up20])</f>
        <v>0</v>
      </c>
      <c r="AX81" s="1175" cm="1">
        <f t="array" aca="1" ref="AX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6.2702641679837443</v>
      </c>
      <c r="AY81" s="825" cm="1">
        <f t="array" aca="1" ref="AY81" ca="1">_xlfn.IFS(         Tab_NewTRADER[[#This Row],[M_State]]=MDown,Tab_NewTRADER[[#This Row],[L_Bn]]*Tab_NewTRADER[[#This Row],[M]]*(-(Tab_NewTRADER[[#This Row],[L_Bp]]+Tab_NewTRADER[[#This Row],[M]])/Tab_NewTRADER[[#This Row],[M]])*(1-Commission)*Tab_NewTRADER[[#This Row],[Scale]],                               TRUE,"")</f>
        <v>53442.055844760012</v>
      </c>
      <c r="AZ81" s="1174" cm="1">
        <f t="array" aca="1" ref="AZ81" ca="1">_xlfn.IFS(   Tab_NewTRADER[[#This Row],[M_State]]=MUp,Tab_NewTRADER[[#This Row],[TakeGain_A]]-Commission,        Tab_NewTRADER[[#This Row],[M_State]]=MDown,(Tab_NewTRADER[[#This Row],[A]]-Tab_NewTRADER[[#This Row],[M]])/Tab_NewTRADER[[#This Row],[M]]-Commission,                              TRUE,"")</f>
        <v>23.469438982195957</v>
      </c>
      <c r="BA81" s="760" cm="1">
        <f t="array" aca="1" ref="BA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321804.12381144002</v>
      </c>
      <c r="BB81" s="760" t="str" cm="1">
        <f t="array" aca="1" ref="BB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C81" s="736" cm="1">
        <f t="array" aca="1" ref="BC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-5.55</v>
      </c>
      <c r="BD81" s="765" cm="1">
        <f t="array" aca="1" ref="BD81" ca="1">_xlfn.IFS(Tab_NewTRADER[[#This Row],[M_State]]=Sale_Back,"",         Tab_NewTRADER[[#This Row],[M_State]]=MDown, (Tab_NewTRADER[[#This Row],[M]]-Tab_NewTRADER[[#This Row],[A]])/Tab_NewTRADER[[#This Row],[A]]*ComFactor,             TRUE, IFERROR((Tab_NewTRADER[[#This Row],[M]]-Tab_NewTRADER[[#This Row],[A]])/Tab_NewTRADER[[#This Row],[A]]*ComFactor,""))</f>
        <v>-0.95664328166011681</v>
      </c>
      <c r="BE81" s="762" cm="1">
        <f t="array" aca="1" ref="BE81" ca="1">_xlfn.IFS(               Tab_NewTRADER[[#This Row],[M_State]]=NoStock,(Tab_NewTRADER[[#This Row],[L_Sp]]-Tab_NewTRADER[[#This Row],[M]])/Tab_NewTRADER[[#This Row],[M]]-Commission,             Tab_NewTRADER[[#This Row],[A]]&lt;&gt;0,(Tab_NewTRADER[[#This Row],[A]]-Tab_NewTRADER[[#This Row],[M]])/Tab_NewTRADER[[#This Row],[M]]-Commission)</f>
        <v>23.469438982195957</v>
      </c>
      <c r="BF81" s="324">
        <f ca="1">_xlfn.XLOOKUP(Tab_NewTRADER[[#This Row],[ClickTick]],TabCalc[Ticker],TabCalc[L_Sn])</f>
        <v>0</v>
      </c>
      <c r="BG81" s="728">
        <f ca="1">_xlfn.XLOOKUP(Tab_NewTRADER[[#This Row],[ClickTick]],TabCalc[Ticker],TabCalc[L_Sp])</f>
        <v>0</v>
      </c>
      <c r="BH81" s="764">
        <f ca="1">-IFERROR((Tab_NewTRADER[[#This Row],[M]]-Tab_NewTRADER[[#This Row],[L_Sp]])/Tab_NewTRADER[[#This Row],[L_Sp]],0)</f>
        <v>0</v>
      </c>
      <c r="BI81" s="729">
        <f ca="1">MIN(Tab_NewTRADER[[#This Row],[L_Sn]],Tab_NewTRADER[[#This Row],[N]])*(Tab_NewTRADER[[#This Row],[M]]-Tab_NewTRADER[[#This Row],[L_Sp]])*(1-Commission)*Tab_NewTRADER[[#This Row],[Scale]]</f>
        <v>0</v>
      </c>
      <c r="BJ81" s="692">
        <f ca="1">Tab_NewTRADER[[#This Row],[L_Sn]]*(Tab_NewTRADER[[#This Row],[Agiotage]]-Tab_NewTRADER[[#This Row],[M]])/(Tab_NewTRADER[[#This Row],[L_Bn]]*Tab_NewTRADER[[#This Row],[M]])</f>
        <v>0</v>
      </c>
      <c r="BK81" s="635">
        <f ca="1">IFERROR((Tab_NewTRADER[[#This Row],[M]]-Tab_NewTRADER[[#This Row],[A]])/Tab_NewTRADER[[#This Row],[A]],0)</f>
        <v>-0.95913703795880978</v>
      </c>
      <c r="BL81" s="638" t="str">
        <f ca="1">TEXT(_xlfn.XLOOKUP(Tab_NewTRADER[[#This Row],[ClickTick]],TabCalc[Ticker],TabCalc[NAfter]),"#,#0")&amp;" : "&amp;TEXT(_xlfn.XLOOKUP(Tab_NewTRADER[[#This Row],[ClickTick]],TabCalc[Ticker],TabCalc[NAfter])*(Tab_NewTRADER[[#This Row],[M]]-Tab_NewTRADER[[#This Row],[A]])*(1-Commission)*Tab_NewTRADER[[#This Row],[Scale]],"#,#0$")</f>
        <v>15,518 : -321,804$</v>
      </c>
      <c r="BM81" s="684">
        <f ca="1">_xlfn.XLOOKUP(Tab_NewTRADER[[#This Row],[ClickTick]],TabCalc[[#This Row],[Ticker]],TabCalc[[#This Row],[GL]])*(1-Commission)</f>
        <v>-322712.10708041338</v>
      </c>
      <c r="BN81" s="684"/>
      <c r="BO81" s="669" t="str">
        <f ca="1">Tab_NewTRADER[[#This Row],[ClickTick]]&amp;": "&amp;_xlfn.XLOOKUP(Tab_NewTRADER[[#This Row],[ClickTick]],TabCalc[Ticker],TabCalc[Pile?])</f>
        <v>LAZR: Pile</v>
      </c>
      <c r="BP81" s="351" t="s">
        <v>2018</v>
      </c>
      <c r="BQ81" s="755" t="str" cm="1">
        <f t="array" aca="1" ref="BQ81" ca="1">_xlfn.TEXTJOIN("",,INDEX({"M","A","Y"}, _xlfn.SORTBY({1,2,3}, -CHOOSE({1,2,3}, Tab_NewTRADER[[#This Row],[M]], Tab_NewTRADER[[#This Row],[A]], Tab_NewTRADER[[#This Row],[Agiotage]]))))</f>
        <v>AMY</v>
      </c>
      <c r="BR81" s="902" cm="1">
        <f t="array" aca="1" ref="BR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6.2702641679837443</v>
      </c>
      <c r="BS81" s="679" t="e">
        <f ca="1">Tab_NewTRADER[[#This Row],[L_Sn]]*Tab_NewTRADER[[#This Row],[L_Sp]]+Tab_NewTRADER[[#This Row],[SellMore]]*Tab_NewTRADER[[#This Row],[M]]</f>
        <v>#N/A</v>
      </c>
      <c r="BT81" s="679" t="e">
        <f ca="1">INDEX(
  INDEX(TabConsolid[], , _xlfn.XMATCH(Tab_NewTRADER[[#This Row],[ClickTick]]&amp;1, TabConsolid[#Headers])),
  MATCH(
    -Tab_NewTRADER[[#This Row],[M]],
    INDEX(TabConsolid[], , _xlfn.XMATCH(Tab_NewTRADER[[#This Row],[ClickTick]]&amp;2, TabConsolid[#Headers])),
    -1
  )
)</f>
        <v>#N/A</v>
      </c>
      <c r="BU81" s="679" cm="1">
        <f t="array" aca="1" ref="BU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81" s="1144" t="e">
        <f ca="1">Tab_NewTRADER[[#This Row],[ReBuy]]/(Tab_NewTRADER[[#This Row],[L_Sn]]+Tab_NewTRADER[[#This Row],[SellMore]])</f>
        <v>#N/A</v>
      </c>
      <c r="BW81" s="687" t="e">
        <f ca="1">((_xlfn.XLOOKUP(Tab_NewTRADER[[#This Row],[ClickTick]],TabCalc[Ticker],TabCalc[NAfter])+Tab_NewTRADER[[#This Row],[L_Sn]])*(Tab_NewTRADER[[#This Row],[Agiotage]]-Tab_NewTRADER[[#This Row],[M]]))/(Tab_NewTRADER[[#This Row],[L_Sn]]*_xlfn.XLOOKUP(Tab_NewTRADER[[#This Row],[ClickTick]],TabCalc[Ticker],TabCalc[NAfter]))</f>
        <v>#DIV/0!</v>
      </c>
      <c r="BX81" s="687">
        <f ca="1">(Tab_NewTRADER[[#This Row],[M]]-Tab_NewTRADER[[#This Row],[Agiotage]])/(Tab_NewTRADER[[#This Row],[M]]-Tab_NewTRADER[[#This Row],[A]])-1</f>
        <v>-1.0276184523703806</v>
      </c>
      <c r="BY81" s="1262">
        <f ca="1">_xlfn.XMATCH(Tab_NewTRADER[[#This Row],[ClickTick]]&amp;1, TabConsolid[#Headers])</f>
        <v>239</v>
      </c>
      <c r="BZ81" t="str">
        <f ca="1">IF(ABS(Tab_NewTRADER[[#This Row],[L_Bp]])&gt;=Tab_NewTRADER[[#This Row],[M]],"OK")</f>
        <v>OK</v>
      </c>
    </row>
    <row r="82" spans="1:78" ht="23" thickBot="1" x14ac:dyDescent="0.35">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+1,347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2,737</v>
      </c>
      <c r="F82" s="226" t="str">
        <f ca="1">TRUNC(TabCalc[[#This Row],[L_B1p]],2)&amp;"x"&amp;TabCalc[[#This Row],[L_B1n]]&amp;"=   "&amp;TEXT(TabCalc[[#This Row],[ReverseS1]],"#,#0")&amp;"$"</f>
        <v>-33.84x1200=   -2,424$</v>
      </c>
      <c r="G82" s="225" t="str">
        <f ca="1">IFERROR(TRUNC(_xlfn.XLOOKUP(Tab_NewTRADER[[#This Row],[ClickTick]],TabCalc[Ticker],ListLastSalep),2)&amp;"x"&amp;_xlfn.XLOOKUP(Tab_NewTRADER[[#This Row],[ClickTick]],TabCalc[Ticker],ListLastSalen)&amp;"=   "&amp;TEXT(-_xlfn.XLOOKUP(Tab_NewTRADER[[#This Row],[ClickTick]],TabCalc[Ticker],ListReverseB),"#,#0")&amp;"$","")</f>
        <v>33.64x1200=   -2,192$</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2,737</v>
      </c>
      <c r="I82" s="226" t="str">
        <f ca="1">IFERROR(TRUNC(TabCalc[[#This Row],[L_S1p]],2)&amp;"x"&amp;TabCalc[[#This Row],[L_S1n]]&amp;"=   "&amp;TEXT(TabCalc[[#This Row],[ReverseB1]],"#,#0"),"")</f>
        <v>28.54x2000=   -6,560</v>
      </c>
      <c r="J82" s="295">
        <f ca="1">_xlfn.XLOOKUP(Tab_NewTRADER[[#This Row],[ClickTick]],TabCalc[Ticker],ListGravity)</f>
        <v>1.0708258956631052</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0.20642376670487633</v>
      </c>
      <c r="N82" s="324" cm="1">
        <f t="array" aca="1" ref="N82" ca="1">_xlfn.XLOOKUP(Tab_NewTRADER[[#This Row],[ClickTick]],ListTickers,Tab2RSIConventional[RSIConv20])</f>
        <v>33</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3.6569872367040929E-2</v>
      </c>
      <c r="S82" s="683">
        <f ca="1">_xlfn.XLOOKUP(Tab_NewTRADER[[#This Row],[ClickTick]],TabCalc[Ticker],TabCalc[Rev(MinStock)])*(1-Commission)</f>
        <v>1343.6174880000024</v>
      </c>
      <c r="T82" s="782">
        <f ca="1">_xlfn.XLOOKUP(Tab_NewTRADER[[#This Row],[ClickTick]],TabCalc[Ticker],TabCalc[Agiotage])</f>
        <v>0.20642376670487633</v>
      </c>
      <c r="U82" s="747"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-636/-636=&gt;-0.4% / -0.4%</v>
      </c>
      <c r="V82" s="739" t="str">
        <f ca="1">_xlfn.XLOOKUP(Tab_NewTRADER[[#This Row],[ClickTick]],[1]!RTData[Ticker_Symbol],[1]!RTData[Currency])</f>
        <v>USD</v>
      </c>
      <c r="W82" s="749">
        <f ca="1">_xlfn.XLOOKUP(Tab_NewTRADER[[#This Row],[ClickTick]],TabCalc[Ticker],TabCalc[M])</f>
        <v>31.82</v>
      </c>
      <c r="X82" s="1315"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-4.3800000000000002E-3</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-20K /38 K$</v>
      </c>
      <c r="AF82" s="1182"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82" s="1530" t="str">
        <f ca="1">TEXT(MIN(Tab_NewTRADER[[#This Row],[L_Bn]],Tab_NewTRADER[[#This Row],[N]]),"#,#0")&amp;" x "&amp;TEXT(Tab_NewTRADER[[#This Row],[L_Bp]],"#,#0.#0")</f>
        <v>1,200 x -30.70</v>
      </c>
      <c r="AH82" s="1530" t="str" cm="1">
        <f t="array" aca="1" ref="AH82" ca="1">_xlfn.IFS(Tab_NewTRADER[[#This Row],[M_State]]=Sale_Back,Tab_NewTRADER[[#This Row],[Sale_Back_$]], TRUE,"M = "&amp;Tab_NewTRADER[[#This Row],[M]])</f>
        <v>M = 31.82</v>
      </c>
      <c r="AI82" s="1433" cm="1">
        <f t="array" aca="1" ref="AI82" ca="1">IF(Tab_NewTRADER[[#This Row],[M_State]]=MUp,_xlfn.IFS(Tab_NewTRADER[[#This Row],[M_State]]=MUp,MIN(Tab_NewTRADER[[#This Row],[N]],Tab_NewTRADER[[#This Row],[L_Bn]])*(Tab_NewTRADER[[#This Row],[M]]-Tab_NewTRADER[[#This Row],[L_Sp]])*Tab_NewTRADER[[#This Row],[Scale]]*ComFactor, TRUE,0),0)</f>
        <v>0</v>
      </c>
      <c r="AJ82" s="1433" cm="1">
        <f t="array" aca="1" ref="AJ82" ca="1">_xlfn.IFS(Tab_NewTRADER[[#This Row],[M_State]]=MUp,                 MIN(Tab_NewTRADER[[#This Row],[L_Sn]],Tab_NewTRADER[[#This Row],[N]])*(Tab_NewTRADER[[#This Row],[M]]-Tab_NewTRADER[[#This Row],[A]])*Tab_NewTRADER[[#This Row],[Scale]]*ComFactor, TRUE,0)</f>
        <v>0</v>
      </c>
      <c r="AK82" s="1433" cm="1">
        <f t="array" aca="1" ref="AK82" ca="1">_xlfn.IFS(Tab_NewTRADER[[#This Row],[M_State]]=MUp,                  Tab_NewTRADER[[#This Row],[N]]*(Tab_NewTRADER[[#This Row],[M]]-Tab_NewTRADER[[#This Row],[A]])*Tab_NewTRADER[[#This Row],[Scale]]*ComFactor, TRUE,0)</f>
        <v>0</v>
      </c>
      <c r="AL82" s="1435" t="str">
        <f ca="1">TEXT(Tab_NewTRADER[[#This Row],[L_Sn]],"#,#0")&amp;" x "&amp;TEXT(Tab_NewTRADER[[#This Row],[L_Sp]],"#,#0.#0")</f>
        <v>1,200 x 33.65</v>
      </c>
      <c r="AM82" s="1465" t="str" cm="1">
        <f t="array" aca="1" ref="AM82" ca="1">_xlfn.IFS(Tab_NewTRADER[[#This Row],[M_State]]=RePurchaseGain,TEXT(-Tab_NewTRADER[[#This Row],[Buy_Back]],"#,#0")&amp;"       / "&amp;TEXT(Tab_NewTRADER[[#This Row],[Rev_Buy]],"#,#00.0)%"),TRUE,"M = "&amp;Tab_NewTRADER[[#This Row],[M]])</f>
        <v>2,186       / 05.4)%</v>
      </c>
      <c r="AN82" s="1435" cm="1">
        <f t="array" aca="1" ref="AN82" ca="1">_xlfn.IFS(Tab_NewTRADER[[#This Row],[M_State]]=MDown,TEXT(Tab_NewTRADER[[#This Row],[L_Sn]]*(Tab_NewTRADER[[#This Row],[M]]-Tab_NewTRADER[[#This Row],[L_Sp]])*ComFactor,"#,#0")&amp;"       / "&amp;TEXT((TabTRADER[[#This Row],[M]]-TabTRADER[[#This Row],[L_Sp]])/TabTRADER[[#This Row],[M]],"#,#00.0)%"),TRUE,0)</f>
        <v>0</v>
      </c>
      <c r="AO82" s="1486" cm="1">
        <f t="array" aca="1" ref="AO82" ca="1">_xlfn.IFS(Tab_NewTRADER[[#This Row],[M_State]]=MDown,TEXT(Tab_NewTRADER[[#This Row],[N]]*(Tab_NewTRADER[[#This Row],[M]]-Tab_NewTRADER[[#This Row],[A]])*Tab_NewTRADER[[#This Row],[Scale]]*ComFactor,"#,#0")&amp;"       / "&amp;TEXT((TabTRADER[[#This Row],[M]]-TabTRADER[[#This Row],[L_Bp]])/TabTRADER[[#This Row],[M]],"#,#00.0%"),TRUE,0)</f>
        <v>0</v>
      </c>
      <c r="AP82" s="1435" t="str" cm="1">
        <f t="array" aca="1" ref="AP82" ca="1">_xlfn.IFS(Tab_NewTRADER[[#This Row],[M_State]]=MDown,TEXT(Tab_NewTRADER[[#This Row],[N]]*Tab_NewTRADER[[#This Row],[M]],"#,#0")&amp;" @ "&amp;TEXT(Tab_NewTRADER[[#This Row],[A]],"#,#0.#0"),TRUE,"M = "&amp; Tab_NewTRADER[[#This Row],[M]])</f>
        <v>M = 31.82</v>
      </c>
      <c r="AQ82" s="1165">
        <f ca="1">Tab_NewTRADER[[#This Row],[N]]*(Tab_NewTRADER[[#This Row],[M]]-Tab_NewTRADER[[#This Row],[A]])*(1-Commission)*Tab_NewTRADER[[#This Row],[Scale]]</f>
        <v>1343.6174880000024</v>
      </c>
      <c r="AR82" s="1165">
        <f ca="1">Tab_NewTRADER[[#This Row],[M]]*Tab_NewTRADER[[#This Row],[N]]*(1-Commission)*Tab_NewTRADER[[#This Row],[Scale]]</f>
        <v>38084.721599999997</v>
      </c>
      <c r="AS82" s="1174" cm="1">
        <f t="array" aca="1" ref="AS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5.4285695179516959E-2</v>
      </c>
      <c r="AT82" s="1174" t="str" cm="1">
        <f t="array" aca="1" ref="AT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2" s="825" t="str" cm="1">
        <f t="array" aca="1" ref="AU82" ca="1">_xlfn.IFS(   Tab_NewTRADER[[#This Row],[M_State]]=SellMorePercentGain,                     MIN(Tab_NewTRADER[[#This Row],[L_Sn]],Tab_NewTRADER[[#This Row],[N]])*(Tab_NewTRADER[[#This Row],[M]]-Tab_NewTRADER[[#This Row],[L_Sp]])*(1-Commission)*Tab_NewTRADER[[#This Row],[Scale]],                    TRUE,"")</f>
        <v/>
      </c>
      <c r="AV82" s="1163">
        <f ca="1">_xlfn.XLOOKUP(Tab_NewTRADER[[#This Row],[ClickTick]],TabCalc[Ticker],TabCalc[Ann%RevLB])</f>
        <v>4.508614401416005E-2</v>
      </c>
      <c r="AW82" s="1267">
        <f ca="1">_xlfn.XLOOKUP(Tab_NewTRADER[[#This Row],[ClickTick]],TabCalc[Ticker],TabCalc[Up20])</f>
        <v>0</v>
      </c>
      <c r="AX82" s="1175" t="str" cm="1">
        <f t="array" aca="1" ref="AX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2" s="825" t="str" cm="1">
        <f t="array" aca="1" ref="AY82" ca="1">_xlfn.IFS(         Tab_NewTRADER[[#This Row],[M_State]]=MDown,Tab_NewTRADER[[#This Row],[L_Bn]]*Tab_NewTRADER[[#This Row],[M]]*(-(Tab_NewTRADER[[#This Row],[L_Bp]]+Tab_NewTRADER[[#This Row],[M]])/Tab_NewTRADER[[#This Row],[M]])*(1-Commission)*Tab_NewTRADER[[#This Row],[Scale]],                               TRUE,"")</f>
        <v/>
      </c>
      <c r="AZ82" s="1174" t="str" cm="1">
        <f t="array" aca="1" ref="AZ82" ca="1">_xlfn.IFS(   Tab_NewTRADER[[#This Row],[M_State]]=MUp,Tab_NewTRADER[[#This Row],[TakeGain_A]]-Commission,        Tab_NewTRADER[[#This Row],[M_State]]=MDown,(Tab_NewTRADER[[#This Row],[A]]-Tab_NewTRADER[[#This Row],[M]])/Tab_NewTRADER[[#This Row],[M]]-Commission,                              TRUE,"")</f>
        <v/>
      </c>
      <c r="BA82" s="825" cm="1">
        <f t="array" aca="1" ref="BA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1343.6174880000024</v>
      </c>
      <c r="BB82" s="760" t="str" cm="1">
        <f t="array" aca="1" ref="BB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C82" s="736" t="str" cm="1">
        <f t="array" aca="1" ref="BC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82" s="765" cm="1">
        <f t="array" aca="1" ref="BD82" ca="1">_xlfn.IFS(Tab_NewTRADER[[#This Row],[M_State]]=Sale_Back,"",         Tab_NewTRADER[[#This Row],[M_State]]=MDown, (Tab_NewTRADER[[#This Row],[M]]-Tab_NewTRADER[[#This Row],[A]])/Tab_NewTRADER[[#This Row],[A]]*ComFactor,             TRUE, IFERROR((Tab_NewTRADER[[#This Row],[M]]-Tab_NewTRADER[[#This Row],[A]])/Tab_NewTRADER[[#This Row],[A]]*ComFactor,""))</f>
        <v>3.6474790698886622E-2</v>
      </c>
      <c r="BE82" s="762" cm="1">
        <f t="array" aca="1" ref="BE82" ca="1">_xlfn.IFS(               Tab_NewTRADER[[#This Row],[M_State]]=NoStock,(Tab_NewTRADER[[#This Row],[L_Sp]]-Tab_NewTRADER[[#This Row],[M]])/Tab_NewTRADER[[#This Row],[M]]-Commission,             Tab_NewTRADER[[#This Row],[A]]&lt;&gt;0,(Tab_NewTRADER[[#This Row],[A]]-Tab_NewTRADER[[#This Row],[M]])/Tab_NewTRADER[[#This Row],[M]]-Commission)</f>
        <v>-3.7879698302954179E-2</v>
      </c>
      <c r="BF82" s="324">
        <f ca="1">_xlfn.XLOOKUP(Tab_NewTRADER[[#This Row],[ClickTick]],TabCalc[Ticker],TabCalc[L_Sn])</f>
        <v>1200</v>
      </c>
      <c r="BG82" s="728">
        <f ca="1">_xlfn.XLOOKUP(Tab_NewTRADER[[#This Row],[ClickTick]],TabCalc[Ticker],TabCalc[L_Sp])</f>
        <v>33.646524999999997</v>
      </c>
      <c r="BH82" s="764">
        <f ca="1">-IFERROR((Tab_NewTRADER[[#This Row],[M]]-Tab_NewTRADER[[#This Row],[L_Sp]])/Tab_NewTRADER[[#This Row],[L_Sp]],0)</f>
        <v>5.4285695179516959E-2</v>
      </c>
      <c r="BI82" s="729">
        <f ca="1">MIN(Tab_NewTRADER[[#This Row],[L_Sn]],Tab_NewTRADER[[#This Row],[N]])*(Tab_NewTRADER[[#This Row],[M]]-Tab_NewTRADER[[#This Row],[L_Sp]])*(1-Commission)*Tab_NewTRADER[[#This Row],[Scale]]</f>
        <v>-2186.1312419999958</v>
      </c>
      <c r="BJ82" s="692">
        <f ca="1">Tab_NewTRADER[[#This Row],[L_Sn]]*(Tab_NewTRADER[[#This Row],[Agiotage]]-Tab_NewTRADER[[#This Row],[M]])/(Tab_NewTRADER[[#This Row],[L_Bn]]*Tab_NewTRADER[[#This Row],[M]])</f>
        <v>-0.99351276660261223</v>
      </c>
      <c r="BK82" s="635">
        <f ca="1">IFERROR((Tab_NewTRADER[[#This Row],[M]]-Tab_NewTRADER[[#This Row],[A]])/Tab_NewTRADER[[#This Row],[A]],0)</f>
        <v>3.6569872367040929E-2</v>
      </c>
      <c r="BL82" s="638" t="str">
        <f ca="1">TEXT(_xlfn.XLOOKUP(Tab_NewTRADER[[#This Row],[ClickTick]],TabCalc[Ticker],TabCalc[NAfter]),"#,#0")&amp;" : "&amp;TEXT(_xlfn.XLOOKUP(Tab_NewTRADER[[#This Row],[ClickTick]],TabCalc[Ticker],TabCalc[NAfter])*(Tab_NewTRADER[[#This Row],[M]]-Tab_NewTRADER[[#This Row],[A]])*(1-Commission)*Tab_NewTRADER[[#This Row],[Scale]],"#,#0$")</f>
        <v>1,200 : 1,344$</v>
      </c>
      <c r="BM82" s="684">
        <f ca="1">_xlfn.XLOOKUP(Tab_NewTRADER[[#This Row],[ClickTick]],TabCalc[[#This Row],[Ticker]],TabCalc[[#This Row],[GL]])*(1-Commission)</f>
        <v>-19814.357945118001</v>
      </c>
      <c r="BN82" s="684"/>
      <c r="BO82" s="669" t="str">
        <f ca="1">Tab_NewTRADER[[#This Row],[ClickTick]]&amp;": "&amp;_xlfn.XLOOKUP(Tab_NewTRADER[[#This Row],[ClickTick]],TabCalc[Ticker],TabCalc[Pile?])</f>
        <v xml:space="preserve">LUV: </v>
      </c>
      <c r="BP82" s="351" t="s">
        <v>2019</v>
      </c>
      <c r="BQ82" s="755" t="str" cm="1">
        <f t="array" aca="1" ref="BQ82" ca="1">_xlfn.TEXTJOIN("",,INDEX({"M","A","Y"}, _xlfn.SORTBY({1,2,3}, -CHOOSE({1,2,3}, Tab_NewTRADER[[#This Row],[M]], Tab_NewTRADER[[#This Row],[A]], Tab_NewTRADER[[#This Row],[Agiotage]]))))</f>
        <v>MAY</v>
      </c>
      <c r="BR82" s="902" t="str" cm="1">
        <f t="array" aca="1" ref="BR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2" s="679">
        <f ca="1">Tab_NewTRADER[[#This Row],[L_Sn]]*Tab_NewTRADER[[#This Row],[L_Sp]]+Tab_NewTRADER[[#This Row],[SellMore]]*Tab_NewTRADER[[#This Row],[M]]</f>
        <v>78559.829999999987</v>
      </c>
      <c r="BT82" s="679">
        <f ca="1">INDEX(
  INDEX(TabConsolid[], , _xlfn.XMATCH(Tab_NewTRADER[[#This Row],[ClickTick]]&amp;1, TabConsolid[#Headers])),
  MATCH(
    -Tab_NewTRADER[[#This Row],[M]],
    INDEX(TabConsolid[], , _xlfn.XMATCH(Tab_NewTRADER[[#This Row],[ClickTick]]&amp;2, TabConsolid[#Headers])),
    -1
  )
)</f>
        <v>1200</v>
      </c>
      <c r="BU82" s="679" cm="1">
        <f t="array" aca="1" ref="BU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2" s="1144">
        <f ca="1">Tab_NewTRADER[[#This Row],[ReBuy]]/(Tab_NewTRADER[[#This Row],[L_Sn]]+Tab_NewTRADER[[#This Row],[SellMore]])</f>
        <v>32.733262499999995</v>
      </c>
      <c r="BW82" s="687">
        <f ca="1">((_xlfn.XLOOKUP(Tab_NewTRADER[[#This Row],[ClickTick]],TabCalc[Ticker],TabCalc[NAfter])+Tab_NewTRADER[[#This Row],[L_Sn]])*(Tab_NewTRADER[[#This Row],[Agiotage]]-Tab_NewTRADER[[#This Row],[M]]))/(Tab_NewTRADER[[#This Row],[L_Sn]]*_xlfn.XLOOKUP(Tab_NewTRADER[[#This Row],[ClickTick]],TabCalc[Ticker],TabCalc[NAfter]))</f>
        <v>-5.2689293722158539E-2</v>
      </c>
      <c r="BX82" s="687">
        <f ca="1">(Tab_NewTRADER[[#This Row],[M]]-Tab_NewTRADER[[#This Row],[Agiotage]])/(Tab_NewTRADER[[#This Row],[M]]-Tab_NewTRADER[[#This Row],[A]])-1</f>
        <v>27.161033523334282</v>
      </c>
      <c r="BY82" s="1262">
        <f ca="1">_xlfn.XMATCH(Tab_NewTRADER[[#This Row],[ClickTick]]&amp;1, TabConsolid[#Headers])</f>
        <v>242</v>
      </c>
      <c r="BZ82" t="b">
        <f ca="1">IF(ABS(Tab_NewTRADER[[#This Row],[L_Bp]])&gt;=Tab_NewTRADER[[#This Row],[M]],"OK")</f>
        <v>0</v>
      </c>
    </row>
    <row r="83" spans="1:78" ht="23" hidden="1" thickBot="1" x14ac:dyDescent="0.35">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-3,981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-7.6%</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-4,145$</v>
      </c>
      <c r="G83" s="225" t="str">
        <f ca="1">IFERROR(TRUNC(_xlfn.XLOOKUP(Tab_NewTRADER[[#This Row],[ClickTick]],TabCalc[Ticker],ListLastSalep),2)&amp;"x"&amp;_xlfn.XLOOKUP(Tab_NewTRADER[[#This Row],[ClickTick]],TabCalc[Ticker],ListLastSalen)&amp;"=   "&amp;TEXT(-_xlfn.XLOOKUP(Tab_NewTRADER[[#This Row],[ClickTick]],TabCalc[Ticker],ListReverseB),"#,#0")&amp;"$","")</f>
        <v>592.68x100=   -6,660$</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12.7% = 75</v>
      </c>
      <c r="I83" s="226" t="str">
        <f ca="1">IFERROR(TRUNC(TabCalc[[#This Row],[L_S1p]],2)&amp;"x"&amp;TabCalc[[#This Row],[L_S1n]]&amp;"=   "&amp;TEXT(TabCalc[[#This Row],[ReverseB1]],"#,#0"),"")</f>
        <v>546.67x100=   2,059</v>
      </c>
      <c r="J83" s="295">
        <f ca="1">_xlfn.XLOOKUP(Tab_NewTRADER[[#This Row],[ClickTick]],TabCalc[Ticker],ListGravity)</f>
        <v>1.2454428725532591</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0.37491543836259045</v>
      </c>
      <c r="N83" s="324" cm="1">
        <f t="array" aca="1" ref="N83" ca="1">_xlfn.XLOOKUP(Tab_NewTRADER[[#This Row],[ClickTick]],ListTickers,Tab2RSIConventional[RSIConv20])</f>
        <v>27</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-7.0344943363551224E-2</v>
      </c>
      <c r="S83" s="683">
        <f ca="1">_xlfn.XLOOKUP(Tab_NewTRADER[[#This Row],[ClickTick]],TabCalc[Ticker],TabCalc[Rev(MinStock)])*(1-Commission)</f>
        <v>-3970.4000500000002</v>
      </c>
      <c r="T83" s="782">
        <f ca="1">_xlfn.XLOOKUP(Tab_NewTRADER[[#This Row],[ClickTick]],TabCalc[Ticker],TabCalc[Agiotage])</f>
        <v>0.37491543836259045</v>
      </c>
      <c r="U83" s="747"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-443/-443=&gt;-0.3% / -0.3%</v>
      </c>
      <c r="V83" s="739" t="str">
        <f ca="1">_xlfn.XLOOKUP(Tab_NewTRADER[[#This Row],[ClickTick]],[1]!RTData[Ticker_Symbol],[1]!RTData[Currency])</f>
        <v>USD</v>
      </c>
      <c r="W83" s="749">
        <f ca="1">_xlfn.XLOOKUP(Tab_NewTRADER[[#This Row],[ClickTick]],TabCalc[Ticker],TabCalc[M])</f>
        <v>526.08249999999998</v>
      </c>
      <c r="X83" s="1315"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-2.8379999999999998E-3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^42K / 105 K$</v>
      </c>
      <c r="AF83" s="1182"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3" s="1530" t="str">
        <f ca="1">TEXT(MIN(Tab_NewTRADER[[#This Row],[L_Bn]],Tab_NewTRADER[[#This Row],[N]]),"#,#0")&amp;" x "&amp;TEXT(Tab_NewTRADER[[#This Row],[L_Bp]],"#,#0.#0")</f>
        <v>100 x -565.89</v>
      </c>
      <c r="AH83" s="1530" t="str" cm="1">
        <f t="array" aca="1" ref="AH83" ca="1">_xlfn.IFS(Tab_NewTRADER[[#This Row],[M_State]]=Sale_Back,Tab_NewTRADER[[#This Row],[Sale_Back_$]], TRUE,"M = "&amp;Tab_NewTRADER[[#This Row],[M]])</f>
        <v>M = 526.0825</v>
      </c>
      <c r="AI83" s="1433" cm="1">
        <f t="array" aca="1" ref="AI83" ca="1">IF(Tab_NewTRADER[[#This Row],[M_State]]=MUp,_xlfn.IFS(Tab_NewTRADER[[#This Row],[M_State]]=MUp,MIN(Tab_NewTRADER[[#This Row],[N]],Tab_NewTRADER[[#This Row],[L_Bn]])*(Tab_NewTRADER[[#This Row],[M]]-Tab_NewTRADER[[#This Row],[L_Sp]])*Tab_NewTRADER[[#This Row],[Scale]]*ComFactor, TRUE,0),0)</f>
        <v>0</v>
      </c>
      <c r="AJ83" s="1433" cm="1">
        <f t="array" aca="1" ref="AJ83" ca="1">_xlfn.IFS(Tab_NewTRADER[[#This Row],[M_State]]=MUp,                 MIN(Tab_NewTRADER[[#This Row],[L_Sn]],Tab_NewTRADER[[#This Row],[N]])*(Tab_NewTRADER[[#This Row],[M]]-Tab_NewTRADER[[#This Row],[A]])*Tab_NewTRADER[[#This Row],[Scale]]*ComFactor, TRUE,0)</f>
        <v>0</v>
      </c>
      <c r="AK83" s="1433" cm="1">
        <f t="array" aca="1" ref="AK83" ca="1">_xlfn.IFS(Tab_NewTRADER[[#This Row],[M_State]]=MUp,                  Tab_NewTRADER[[#This Row],[N]]*(Tab_NewTRADER[[#This Row],[M]]-Tab_NewTRADER[[#This Row],[A]])*Tab_NewTRADER[[#This Row],[Scale]]*ComFactor, TRUE,0)</f>
        <v>0</v>
      </c>
      <c r="AL83" s="1435" t="str">
        <f ca="1">TEXT(Tab_NewTRADER[[#This Row],[L_Sn]],"#,#0")&amp;" x "&amp;TEXT(Tab_NewTRADER[[#This Row],[L_Sp]],"#,#0.#0")</f>
        <v>100 x 592.68</v>
      </c>
      <c r="AM83" s="1465" t="str" cm="1">
        <f t="array" aca="1" ref="AM83" ca="1">_xlfn.IFS(Tab_NewTRADER[[#This Row],[M_State]]=RePurchaseGain,TEXT(-Tab_NewTRADER[[#This Row],[Buy_Back]],"#,#0")&amp;"       / "&amp;TEXT(Tab_NewTRADER[[#This Row],[Rev_Buy]],"#,#00.0)%"),TRUE,"M = "&amp;Tab_NewTRADER[[#This Row],[M]])</f>
        <v>M = 526.0825</v>
      </c>
      <c r="AN83" s="1435" t="str" cm="1">
        <f t="array" aca="1" ref="AN83" ca="1">_xlfn.IFS(Tab_NewTRADER[[#This Row],[M_State]]=MDown,TEXT(Tab_NewTRADER[[#This Row],[L_Sn]]*(Tab_NewTRADER[[#This Row],[M]]-Tab_NewTRADER[[#This Row],[L_Sp]])*ComFactor,"#,#0")&amp;"       / "&amp;TEXT((TabTRADER[[#This Row],[M]]-TabTRADER[[#This Row],[L_Sp]])/TabTRADER[[#This Row],[M]],"#,#00.0)%"),TRUE,0)</f>
        <v>-6,642       / -12.7)%</v>
      </c>
      <c r="AO83" s="1486" t="str" cm="1">
        <f t="array" aca="1" ref="AO83" ca="1">_xlfn.IFS(Tab_NewTRADER[[#This Row],[M_State]]=MDown,TEXT(Tab_NewTRADER[[#This Row],[N]]*(Tab_NewTRADER[[#This Row],[M]]-Tab_NewTRADER[[#This Row],[A]])*Tab_NewTRADER[[#This Row],[Scale]]*ComFactor,"#,#0")&amp;"       / "&amp;TEXT((TabTRADER[[#This Row],[M]]-TabTRADER[[#This Row],[L_Bp]])/TabTRADER[[#This Row],[M]],"#,#00.0%"),TRUE,0)</f>
        <v>-6,038       / 207.6%</v>
      </c>
      <c r="AP83" s="1435" t="str" cm="1">
        <f t="array" aca="1" ref="AP83" ca="1">_xlfn.IFS(Tab_NewTRADER[[#This Row],[M_State]]=MDown,TEXT(Tab_NewTRADER[[#This Row],[N]]*Tab_NewTRADER[[#This Row],[M]],"#,#0")&amp;" @ "&amp;TEXT(Tab_NewTRADER[[#This Row],[A]],"#,#0.#0"),TRUE,"M = "&amp; Tab_NewTRADER[[#This Row],[M]])</f>
        <v>105,217 @ 556.35</v>
      </c>
      <c r="AQ83" s="1165">
        <f ca="1">Tab_NewTRADER[[#This Row],[N]]*(Tab_NewTRADER[[#This Row],[M]]-Tab_NewTRADER[[#This Row],[A]])*(1-Commission)*Tab_NewTRADER[[#This Row],[Scale]]</f>
        <v>-6037.7609000000075</v>
      </c>
      <c r="AR83" s="1165">
        <f ca="1">Tab_NewTRADER[[#This Row],[M]]*Tab_NewTRADER[[#This Row],[N]]*(1-Commission)*Tab_NewTRADER[[#This Row],[Scale]]</f>
        <v>104942.9371</v>
      </c>
      <c r="AS83" s="1174" cm="1">
        <f t="array" aca="1" ref="AS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5.4403702705131736E-2</v>
      </c>
      <c r="AT83" s="1174" cm="1">
        <f t="array" aca="1" ref="AT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7.3067789747805714E-2</v>
      </c>
      <c r="AU83" s="825" t="str" cm="1">
        <f t="array" aca="1" ref="AU83" ca="1">_xlfn.IFS(   Tab_NewTRADER[[#This Row],[M_State]]=SellMorePercentGain,                     MIN(Tab_NewTRADER[[#This Row],[L_Sn]],Tab_NewTRADER[[#This Row],[N]])*(Tab_NewTRADER[[#This Row],[M]]-Tab_NewTRADER[[#This Row],[L_Sp]])*(1-Commission)*Tab_NewTRADER[[#This Row],[Scale]],                    TRUE,"")</f>
        <v/>
      </c>
      <c r="AV83" s="1163">
        <f ca="1">_xlfn.XLOOKUP(Tab_NewTRADER[[#This Row],[ClickTick]],TabCalc[Ticker],TabCalc[Ann%RevLB])</f>
        <v>-0.45221749305140074</v>
      </c>
      <c r="AW83" s="1267">
        <f ca="1">_xlfn.XLOOKUP(Tab_NewTRADER[[#This Row],[ClickTick]],TabCalc[Ticker],TabCalc[Up20])</f>
        <v>0</v>
      </c>
      <c r="AX83" s="1175" cm="1">
        <f t="array" aca="1" ref="AX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7.5667789747805719E-2</v>
      </c>
      <c r="AY83" s="825" cm="1">
        <f t="array" aca="1" ref="AY83" ca="1">_xlfn.IFS(         Tab_NewTRADER[[#This Row],[M_State]]=MDown,Tab_NewTRADER[[#This Row],[L_Bn]]*Tab_NewTRADER[[#This Row],[M]]*(-(Tab_NewTRADER[[#This Row],[L_Bp]]+Tab_NewTRADER[[#This Row],[M]])/Tab_NewTRADER[[#This Row],[M]])*(1-Commission)*Tab_NewTRADER[[#This Row],[Scale]],                               TRUE,"")</f>
        <v>3970.4000500000002</v>
      </c>
      <c r="AZ83" s="1174" cm="1">
        <f t="array" aca="1" ref="AZ83" ca="1">_xlfn.IFS(   Tab_NewTRADER[[#This Row],[M_State]]=MUp,Tab_NewTRADER[[#This Row],[TakeGain_A]]-Commission,        Tab_NewTRADER[[#This Row],[M_State]]=MDown,(Tab_NewTRADER[[#This Row],[A]]-Tab_NewTRADER[[#This Row],[M]])/Tab_NewTRADER[[#This Row],[M]]-Commission,                              TRUE,"")</f>
        <v>5.4933751835501164E-2</v>
      </c>
      <c r="BA83" s="825" cm="1">
        <f t="array" aca="1" ref="BA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6037.7609000000075</v>
      </c>
      <c r="BB83" s="760" t="str" cm="1">
        <f t="array" aca="1" ref="BB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C83" s="736" cm="1">
        <f t="array" aca="1" ref="BC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-39.799999999999997</v>
      </c>
      <c r="BD83" s="765" cm="1">
        <f t="array" aca="1" ref="BD83" ca="1">_xlfn.IFS(Tab_NewTRADER[[#This Row],[M_State]]=Sale_Back,"",         Tab_NewTRADER[[#This Row],[M_State]]=MDown, (Tab_NewTRADER[[#This Row],[M]]-Tab_NewTRADER[[#This Row],[A]])/Tab_NewTRADER[[#This Row],[A]]*ComFactor,             TRUE, IFERROR((Tab_NewTRADER[[#This Row],[M]]-Tab_NewTRADER[[#This Row],[A]])/Tab_NewTRADER[[#This Row],[A]]*ComFactor,""))</f>
        <v>-5.4262253078098392E-2</v>
      </c>
      <c r="BE83" s="762" cm="1">
        <f t="array" aca="1" ref="BE83" ca="1">_xlfn.IFS(               Tab_NewTRADER[[#This Row],[M_State]]=NoStock,(Tab_NewTRADER[[#This Row],[L_Sp]]-Tab_NewTRADER[[#This Row],[M]])/Tab_NewTRADER[[#This Row],[M]]-Commission,             Tab_NewTRADER[[#This Row],[A]]&lt;&gt;0,(Tab_NewTRADER[[#This Row],[A]]-Tab_NewTRADER[[#This Row],[M]])/Tab_NewTRADER[[#This Row],[M]]-Commission)</f>
        <v>5.4933751835501164E-2</v>
      </c>
      <c r="BF83" s="324">
        <f ca="1">_xlfn.XLOOKUP(Tab_NewTRADER[[#This Row],[ClickTick]],TabCalc[Ticker],TabCalc[L_Sn])</f>
        <v>100</v>
      </c>
      <c r="BG83" s="728">
        <f ca="1">_xlfn.XLOOKUP(Tab_NewTRADER[[#This Row],[ClickTick]],TabCalc[Ticker],TabCalc[L_Sp])</f>
        <v>592.67999999999995</v>
      </c>
      <c r="BH83" s="764">
        <f ca="1">-IFERROR((Tab_NewTRADER[[#This Row],[M]]-Tab_NewTRADER[[#This Row],[L_Sp]])/Tab_NewTRADER[[#This Row],[L_Sp]],0)</f>
        <v>0.11236670716069376</v>
      </c>
      <c r="BI83" s="729">
        <f ca="1">MIN(Tab_NewTRADER[[#This Row],[L_Sn]],Tab_NewTRADER[[#This Row],[N]])*(Tab_NewTRADER[[#This Row],[M]]-Tab_NewTRADER[[#This Row],[L_Sp]])*(1-Commission)*Tab_NewTRADER[[#This Row],[Scale]]</f>
        <v>-6642.4346499999965</v>
      </c>
      <c r="BJ83" s="692">
        <f ca="1">Tab_NewTRADER[[#This Row],[L_Sn]]*(Tab_NewTRADER[[#This Row],[Agiotage]]-Tab_NewTRADER[[#This Row],[M]])/(Tab_NewTRADER[[#This Row],[L_Bn]]*Tab_NewTRADER[[#This Row],[M]])</f>
        <v>-0.99928734478268599</v>
      </c>
      <c r="BK83" s="635">
        <f ca="1">IFERROR((Tab_NewTRADER[[#This Row],[M]]-Tab_NewTRADER[[#This Row],[A]])/Tab_NewTRADER[[#This Row],[A]],0)</f>
        <v>-5.4403702705131736E-2</v>
      </c>
      <c r="BL83" s="638" t="str">
        <f ca="1">TEXT(_xlfn.XLOOKUP(Tab_NewTRADER[[#This Row],[ClickTick]],TabCalc[Ticker],TabCalc[NAfter]),"#,#0")&amp;" : "&amp;TEXT(_xlfn.XLOOKUP(Tab_NewTRADER[[#This Row],[ClickTick]],TabCalc[Ticker],TabCalc[NAfter])*(Tab_NewTRADER[[#This Row],[M]]-Tab_NewTRADER[[#This Row],[A]])*(1-Commission)*Tab_NewTRADER[[#This Row],[Scale]],"#,#0$")</f>
        <v>200 : -6,038$</v>
      </c>
      <c r="BM83" s="684">
        <f ca="1">_xlfn.XLOOKUP(Tab_NewTRADER[[#This Row],[ClickTick]],TabCalc[[#This Row],[Ticker]],TabCalc[[#This Row],[GL]])*(1-Commission)</f>
        <v>42020.267979169148</v>
      </c>
      <c r="BN83" s="684"/>
      <c r="BO83" s="669" t="str">
        <f ca="1">Tab_NewTRADER[[#This Row],[ClickTick]]&amp;": "&amp;_xlfn.XLOOKUP(Tab_NewTRADER[[#This Row],[ClickTick]],TabCalc[Ticker],TabCalc[Pile?])</f>
        <v>MA: Pile</v>
      </c>
      <c r="BP83" s="351" t="s">
        <v>2020</v>
      </c>
      <c r="BQ83" s="755" t="str" cm="1">
        <f t="array" aca="1" ref="BQ83" ca="1">_xlfn.TEXTJOIN("",,INDEX({"M","A","Y"}, _xlfn.SORTBY({1,2,3}, -CHOOSE({1,2,3}, Tab_NewTRADER[[#This Row],[M]], Tab_NewTRADER[[#This Row],[A]], Tab_NewTRADER[[#This Row],[Agiotage]]))))</f>
        <v>AMY</v>
      </c>
      <c r="BR83" s="902" cm="1">
        <f t="array" aca="1" ref="BR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7.5667789747805719E-2</v>
      </c>
      <c r="BS83" s="679" t="e">
        <f ca="1">Tab_NewTRADER[[#This Row],[L_Sn]]*Tab_NewTRADER[[#This Row],[L_Sp]]+Tab_NewTRADER[[#This Row],[SellMore]]*Tab_NewTRADER[[#This Row],[M]]</f>
        <v>#N/A</v>
      </c>
      <c r="BT83" s="679" t="e">
        <f ca="1">INDEX(
  INDEX(TabConsolid[], , _xlfn.XMATCH(Tab_NewTRADER[[#This Row],[ClickTick]]&amp;1, TabConsolid[#Headers])),
  MATCH(
    -Tab_NewTRADER[[#This Row],[M]],
    INDEX(TabConsolid[], , _xlfn.XMATCH(Tab_NewTRADER[[#This Row],[ClickTick]]&amp;2, TabConsolid[#Headers])),
    -1
  )
)</f>
        <v>#N/A</v>
      </c>
      <c r="BU83" s="679" cm="1">
        <f t="array" aca="1" ref="BU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V83" s="1144" t="e">
        <f ca="1">Tab_NewTRADER[[#This Row],[ReBuy]]/(Tab_NewTRADER[[#This Row],[L_Sn]]+Tab_NewTRADER[[#This Row],[SellMore]])</f>
        <v>#N/A</v>
      </c>
      <c r="BW83" s="687">
        <f ca="1">((_xlfn.XLOOKUP(Tab_NewTRADER[[#This Row],[ClickTick]],TabCalc[Ticker],TabCalc[NAfter])+Tab_NewTRADER[[#This Row],[L_Sn]])*(Tab_NewTRADER[[#This Row],[Agiotage]]-Tab_NewTRADER[[#This Row],[M]]))/(Tab_NewTRADER[[#This Row],[L_Sn]]*_xlfn.XLOOKUP(Tab_NewTRADER[[#This Row],[ClickTick]],TabCalc[Ticker],TabCalc[NAfter]))</f>
        <v>-7.8856137684245606</v>
      </c>
      <c r="BX83" s="687">
        <f ca="1">(Tab_NewTRADER[[#This Row],[M]]-Tab_NewTRADER[[#This Row],[Agiotage]])/(Tab_NewTRADER[[#This Row],[M]]-Tab_NewTRADER[[#This Row],[A]])-1</f>
        <v>-18.368715108999314</v>
      </c>
      <c r="BY83" s="1262">
        <f ca="1">_xlfn.XMATCH(Tab_NewTRADER[[#This Row],[ClickTick]]&amp;1, TabConsolid[#Headers])</f>
        <v>245</v>
      </c>
      <c r="BZ83" t="str">
        <f ca="1">IF(ABS(Tab_NewTRADER[[#This Row],[L_Bp]])&gt;=Tab_NewTRADER[[#This Row],[M]],"OK")</f>
        <v>OK</v>
      </c>
    </row>
    <row r="84" spans="1:78" ht="23" hidden="1" thickBot="1" x14ac:dyDescent="0.35">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0x1100=    +7,033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-15,092$</v>
      </c>
      <c r="G84" s="225" t="str">
        <f ca="1">IFERROR(TRUNC(_xlfn.XLOOKUP(Tab_NewTRADER[[#This Row],[ClickTick]],TabCalc[Ticker],ListLastSalep),2)&amp;"x"&amp;_xlfn.XLOOKUP(Tab_NewTRADER[[#This Row],[ClickTick]],TabCalc[Ticker],ListLastSalen)&amp;"=   "&amp;TEXT(-_xlfn.XLOOKUP(Tab_NewTRADER[[#This Row],[ClickTick]],TabCalc[Ticker],ListReverseB),"#,#0")&amp;"$","")</f>
        <v>20.85x1000=   -14,455$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226.0% = 346</v>
      </c>
      <c r="I84" s="226" t="str">
        <f ca="1">IFERROR(TRUNC(TabCalc[[#This Row],[L_S1p]],2)&amp;"x"&amp;TabCalc[[#This Row],[L_S1n]]&amp;"=   "&amp;TEXT(TabCalc[[#This Row],[ReverseB1]],"#,#0"),"")</f>
        <v>14.95x2700=   23,099</v>
      </c>
      <c r="J84" s="295">
        <f ca="1">_xlfn.XLOOKUP(Tab_NewTRADER[[#This Row],[ClickTick]],TabCalc[Ticker],ListGravity)</f>
        <v>1.9722439405785772</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11511</v>
      </c>
      <c r="M84" s="323">
        <f ca="1">_xlfn.XLOOKUP(Tab_NewTRADER[[#This Row],[ClickTick]],TabCalc[Ticker],TabCalc[Agiotage])</f>
        <v>0.72210564714953263</v>
      </c>
      <c r="N84" s="324" cm="1">
        <f t="array" aca="1" ref="N84" ca="1">_xlfn.XLOOKUP(Tab_NewTRADER[[#This Row],[ClickTick]],ListTickers,Tab2RSIConventional[RSIConv20])</f>
        <v>26</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6393.9999999999991</v>
      </c>
      <c r="S84" s="683">
        <f ca="1">_xlfn.XLOOKUP(Tab_NewTRADER[[#This Row],[ClickTick]],TabCalc[Ticker],TabCalc[Rev(MinStock)])*(1-Commission)</f>
        <v>7015.1131599999981</v>
      </c>
      <c r="T84" s="782">
        <f ca="1">_xlfn.XLOOKUP(Tab_NewTRADER[[#This Row],[ClickTick]],TabCalc[Ticker],TabCalc[Agiotage])</f>
        <v>0.72210564714953263</v>
      </c>
      <c r="U84" s="747"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-968/-968=&gt;-2.7% / -2.7%</v>
      </c>
      <c r="V84" s="739" t="str">
        <f ca="1">_xlfn.XLOOKUP(Tab_NewTRADER[[#This Row],[ClickTick]],[1]!RTData[Ticker_Symbol],[1]!RTData[Currency])</f>
        <v>USD</v>
      </c>
      <c r="W84" s="749">
        <f ca="1">_xlfn.XLOOKUP(Tab_NewTRADER[[#This Row],[ClickTick]],TabCalc[Ticker],TabCalc[M])</f>
        <v>6.3949999999999996</v>
      </c>
      <c r="X84" s="1315"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9.7487999999999992</v>
      </c>
      <c r="AB84" s="817" cm="1">
        <f t="array" aca="1" ref="AB84" ca="1">_xlfn.XLOOKUP(Tab_NewTRADER[[#This Row],[ClickTick]],ListTickers,Tab1ChangePercent[Change%19])</f>
        <v>-2.6636000000000003E-2</v>
      </c>
      <c r="AC84" s="768">
        <f ca="1">_xlfn.XLOOKUP(Tab_NewTRADER[[#This Row],[ClickTick]],TabCalc[Ticker],TabCalc[NAfter])</f>
        <v>4500</v>
      </c>
      <c r="AD84" s="768">
        <f ca="1">_xlfn.XLOOKUP(Tab_NewTRADER[[#This Row],[ClickTick]],TabCalc[Ticker],TabCalc[Nbegin])</f>
        <v>2700</v>
      </c>
      <c r="AE8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-55K /29 K$</v>
      </c>
      <c r="AF84" s="1182"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4" s="1530" t="str">
        <f ca="1">TEXT(MIN(Tab_NewTRADER[[#This Row],[L_Bn]],Tab_NewTRADER[[#This Row],[N]]),"#,#0")&amp;" x "&amp;TEXT(Tab_NewTRADER[[#This Row],[L_Bp]],"#,#0.#0")</f>
        <v>1,100 x 0.0</v>
      </c>
      <c r="AH84" s="1530" cm="1">
        <f t="array" aca="1" ref="AH84" ca="1">_xlfn.IFS(Tab_NewTRADER[[#This Row],[M_State]]=Sale_Back,Tab_NewTRADER[[#This Row],[Sale_Back_$]], TRUE,"M = "&amp;Tab_NewTRADER[[#This Row],[M]])</f>
        <v>7015.1131599999981</v>
      </c>
      <c r="AI84" s="1433" cm="1">
        <f t="array" aca="1" ref="AI84" ca="1">IF(Tab_NewTRADER[[#This Row],[M_State]]=MUp,_xlfn.IFS(Tab_NewTRADER[[#This Row],[M_State]]=MUp,MIN(Tab_NewTRADER[[#This Row],[N]],Tab_NewTRADER[[#This Row],[L_Bn]])*(Tab_NewTRADER[[#This Row],[M]]-Tab_NewTRADER[[#This Row],[L_Sp]])*Tab_NewTRADER[[#This Row],[Scale]]*ComFactor, TRUE,0),0)</f>
        <v>0</v>
      </c>
      <c r="AJ84" s="1433" cm="1">
        <f t="array" aca="1" ref="AJ84" ca="1">_xlfn.IFS(Tab_NewTRADER[[#This Row],[M_State]]=MUp,                 MIN(Tab_NewTRADER[[#This Row],[L_Sn]],Tab_NewTRADER[[#This Row],[N]])*(Tab_NewTRADER[[#This Row],[M]]-Tab_NewTRADER[[#This Row],[A]])*Tab_NewTRADER[[#This Row],[Scale]]*ComFactor, TRUE,0)</f>
        <v>0</v>
      </c>
      <c r="AK84" s="1433" cm="1">
        <f t="array" aca="1" ref="AK84" ca="1">_xlfn.IFS(Tab_NewTRADER[[#This Row],[M_State]]=MUp,                  Tab_NewTRADER[[#This Row],[N]]*(Tab_NewTRADER[[#This Row],[M]]-Tab_NewTRADER[[#This Row],[A]])*Tab_NewTRADER[[#This Row],[Scale]]*ComFactor, TRUE,0)</f>
        <v>0</v>
      </c>
      <c r="AL84" s="1435" t="str">
        <f ca="1">TEXT(Tab_NewTRADER[[#This Row],[L_Sn]],"#,#0")&amp;" x "&amp;TEXT(Tab_NewTRADER[[#This Row],[L_Sp]],"#,#0.#0")</f>
        <v>1,000 x 20.85</v>
      </c>
      <c r="AM84" s="1465" t="str" cm="1">
        <f t="array" aca="1" ref="AM84" ca="1">_xlfn.IFS(Tab_NewTRADER[[#This Row],[M_State]]=RePurchaseGain,TEXT(-Tab_NewTRADER[[#This Row],[Buy_Back]],"#,#0")&amp;"       / "&amp;TEXT(Tab_NewTRADER[[#This Row],[Rev_Buy]],"#,#00.0)%"),TRUE,"M = "&amp;Tab_NewTRADER[[#This Row],[M]])</f>
        <v>M = 6.395</v>
      </c>
      <c r="AN84" s="1435" cm="1">
        <f t="array" aca="1" ref="AN84" ca="1">_xlfn.IFS(Tab_NewTRADER[[#This Row],[M_State]]=MDown,TEXT(Tab_NewTRADER[[#This Row],[L_Sn]]*(Tab_NewTRADER[[#This Row],[M]]-Tab_NewTRADER[[#This Row],[L_Sp]])*ComFactor,"#,#0")&amp;"       / "&amp;TEXT((TabTRADER[[#This Row],[M]]-TabTRADER[[#This Row],[L_Sp]])/TabTRADER[[#This Row],[M]],"#,#00.0)%"),TRUE,0)</f>
        <v>0</v>
      </c>
      <c r="AO84" s="1486" cm="1">
        <f t="array" aca="1" ref="AO84" ca="1">_xlfn.IFS(Tab_NewTRADER[[#This Row],[M_State]]=MDown,TEXT(Tab_NewTRADER[[#This Row],[N]]*(Tab_NewTRADER[[#This Row],[M]]-Tab_NewTRADER[[#This Row],[A]])*Tab_NewTRADER[[#This Row],[Scale]]*ComFactor,"#,#0")&amp;"       / "&amp;TEXT((TabTRADER[[#This Row],[M]]-TabTRADER[[#This Row],[L_Bp]])/TabTRADER[[#This Row],[M]],"#,#00.0%"),TRUE,0)</f>
        <v>0</v>
      </c>
      <c r="AP84" s="1435" t="str" cm="1">
        <f t="array" aca="1" ref="AP84" ca="1">_xlfn.IFS(Tab_NewTRADER[[#This Row],[M_State]]=MDown,TEXT(Tab_NewTRADER[[#This Row],[N]]*Tab_NewTRADER[[#This Row],[M]],"#,#0")&amp;" @ "&amp;TEXT(Tab_NewTRADER[[#This Row],[A]],"#,#0.#0"),TRUE,"M = "&amp; Tab_NewTRADER[[#This Row],[M]])</f>
        <v>M = 6.395</v>
      </c>
      <c r="AQ84" s="1165">
        <f ca="1">Tab_NewTRADER[[#This Row],[N]]*(Tab_NewTRADER[[#This Row],[M]]-Tab_NewTRADER[[#This Row],[A]])*(1-Commission)*Tab_NewTRADER[[#This Row],[Scale]]</f>
        <v>-15052.860539999998</v>
      </c>
      <c r="AR84" s="1165">
        <f ca="1">Tab_NewTRADER[[#This Row],[M]]*Tab_NewTRADER[[#This Row],[N]]*(1-Commission)*Tab_NewTRADER[[#This Row],[Scale]]</f>
        <v>28702.678499999995</v>
      </c>
      <c r="AS84" s="1174" cm="1">
        <f t="array" aca="1" ref="AS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6393.9999999999991</v>
      </c>
      <c r="AT84" s="1174" t="str" cm="1">
        <f t="array" aca="1" ref="AT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4" s="825" t="str" cm="1">
        <f t="array" aca="1" ref="AU84" ca="1">_xlfn.IFS(   Tab_NewTRADER[[#This Row],[M_State]]=SellMorePercentGain,                     MIN(Tab_NewTRADER[[#This Row],[L_Sn]],Tab_NewTRADER[[#This Row],[N]])*(Tab_NewTRADER[[#This Row],[M]]-Tab_NewTRADER[[#This Row],[L_Sp]])*(1-Commission)*Tab_NewTRADER[[#This Row],[Scale]],                    TRUE,"")</f>
        <v/>
      </c>
      <c r="AV84" s="1163">
        <f ca="1">_xlfn.XLOOKUP(Tab_NewTRADER[[#This Row],[ClickTick]],TabCalc[Ticker],TabCalc[Ann%RevLB])</f>
        <v>24229.894736842103</v>
      </c>
      <c r="AW84" s="1267">
        <f ca="1">_xlfn.XLOOKUP(Tab_NewTRADER[[#This Row],[ClickTick]],TabCalc[Ticker],TabCalc[Up20])</f>
        <v>0</v>
      </c>
      <c r="AX84" s="1175" t="str" cm="1">
        <f t="array" aca="1" ref="AX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4" s="825" t="str" cm="1">
        <f t="array" aca="1" ref="AY84" ca="1">_xlfn.IFS(         Tab_NewTRADER[[#This Row],[M_State]]=MDown,Tab_NewTRADER[[#This Row],[L_Bn]]*Tab_NewTRADER[[#This Row],[M]]*(-(Tab_NewTRADER[[#This Row],[L_Bp]]+Tab_NewTRADER[[#This Row],[M]])/Tab_NewTRADER[[#This Row],[M]])*(1-Commission)*Tab_NewTRADER[[#This Row],[Scale]],                               TRUE,"")</f>
        <v/>
      </c>
      <c r="AZ84" s="1174" t="str" cm="1">
        <f t="array" aca="1" ref="AZ84" ca="1">_xlfn.IFS(   Tab_NewTRADER[[#This Row],[M_State]]=MUp,Tab_NewTRADER[[#This Row],[TakeGain_A]]-Commission,        Tab_NewTRADER[[#This Row],[M_State]]=MDown,(Tab_NewTRADER[[#This Row],[A]]-Tab_NewTRADER[[#This Row],[M]])/Tab_NewTRADER[[#This Row],[M]]-Commission,                              TRUE,"")</f>
        <v/>
      </c>
      <c r="BA84" s="825" cm="1">
        <f t="array" aca="1" ref="BA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-9874.3479354689789</v>
      </c>
      <c r="BB84" s="760" t="str" cm="1">
        <f t="array" aca="1" ref="BB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C84" s="736" t="str" cm="1">
        <f t="array" aca="1" ref="BC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84" s="765" t="str" cm="1">
        <f t="array" aca="1" ref="BD84" ca="1">_xlfn.IFS(Tab_NewTRADER[[#This Row],[M_State]]=Sale_Back,"",         Tab_NewTRADER[[#This Row],[M_State]]=MDown, (Tab_NewTRADER[[#This Row],[M]]-Tab_NewTRADER[[#This Row],[A]])/Tab_NewTRADER[[#This Row],[A]]*ComFactor,             TRUE, IFERROR((Tab_NewTRADER[[#This Row],[M]]-Tab_NewTRADER[[#This Row],[A]])/Tab_NewTRADER[[#This Row],[A]]*ComFactor,""))</f>
        <v/>
      </c>
      <c r="BE84" s="762" cm="1">
        <f t="array" aca="1" ref="BE84" ca="1">_xlfn.IFS(               Tab_NewTRADER[[#This Row],[M_State]]=NoStock,(Tab_NewTRADER[[#This Row],[L_Sp]]-Tab_NewTRADER[[#This Row],[M]])/Tab_NewTRADER[[#This Row],[M]]-Commission,             Tab_NewTRADER[[#This Row],[A]]&lt;&gt;0,(Tab_NewTRADER[[#This Row],[A]]-Tab_NewTRADER[[#This Row],[M]])/Tab_NewTRADER[[#This Row],[M]]-Commission)</f>
        <v>0.52184096950742764</v>
      </c>
      <c r="BF84" s="324">
        <f ca="1">_xlfn.XLOOKUP(Tab_NewTRADER[[#This Row],[ClickTick]],TabCalc[Ticker],TabCalc[L_Sn])</f>
        <v>1000</v>
      </c>
      <c r="BG84" s="728">
        <f ca="1">_xlfn.XLOOKUP(Tab_NewTRADER[[#This Row],[ClickTick]],TabCalc[Ticker],TabCalc[L_Sp])</f>
        <v>20.85</v>
      </c>
      <c r="BH84" s="764">
        <f ca="1">-IFERROR((Tab_NewTRADER[[#This Row],[M]]-Tab_NewTRADER[[#This Row],[L_Sp]])/Tab_NewTRADER[[#This Row],[L_Sp]],0)</f>
        <v>0.69328537170263793</v>
      </c>
      <c r="BI84" s="729">
        <f ca="1">MIN(Tab_NewTRADER[[#This Row],[L_Sn]],Tab_NewTRADER[[#This Row],[N]])*(Tab_NewTRADER[[#This Row],[M]]-Tab_NewTRADER[[#This Row],[L_Sp]])*(1-Commission)*Tab_NewTRADER[[#This Row],[Scale]]</f>
        <v>-14417.417000000001</v>
      </c>
      <c r="BJ84" s="692">
        <f ca="1">Tab_NewTRADER[[#This Row],[L_Sn]]*(Tab_NewTRADER[[#This Row],[Agiotage]]-Tab_NewTRADER[[#This Row],[M]])/(Tab_NewTRADER[[#This Row],[L_Bn]]*Tab_NewTRADER[[#This Row],[M]])</f>
        <v>-0.80643888731970537</v>
      </c>
      <c r="BK84" s="635">
        <f ca="1">IFERROR((Tab_NewTRADER[[#This Row],[M]]-Tab_NewTRADER[[#This Row],[A]])/Tab_NewTRADER[[#This Row],[A]],0)</f>
        <v>-0.34402182832758904</v>
      </c>
      <c r="BL84" s="638" t="str">
        <f ca="1">TEXT(_xlfn.XLOOKUP(Tab_NewTRADER[[#This Row],[ClickTick]],TabCalc[Ticker],TabCalc[NAfter]),"#,#0")&amp;" : "&amp;TEXT(_xlfn.XLOOKUP(Tab_NewTRADER[[#This Row],[ClickTick]],TabCalc[Ticker],TabCalc[NAfter])*(Tab_NewTRADER[[#This Row],[M]]-Tab_NewTRADER[[#This Row],[A]])*(1-Commission)*Tab_NewTRADER[[#This Row],[Scale]],"#,#0$")</f>
        <v>4,500 : -15,053$</v>
      </c>
      <c r="BM84" s="684">
        <f ca="1">_xlfn.XLOOKUP(Tab_NewTRADER[[#This Row],[ClickTick]],TabCalc[[#This Row],[Ticker]],TabCalc[[#This Row],[GL]])*(1-Commission)</f>
        <v>-54725.084993087978</v>
      </c>
      <c r="BN84" s="684"/>
      <c r="BO84" s="669" t="str">
        <f ca="1">Tab_NewTRADER[[#This Row],[ClickTick]]&amp;": "&amp;_xlfn.XLOOKUP(Tab_NewTRADER[[#This Row],[ClickTick]],TabCalc[Ticker],TabCalc[Pile?])</f>
        <v xml:space="preserve">NVAX: </v>
      </c>
      <c r="BP84" s="351" t="s">
        <v>2021</v>
      </c>
      <c r="BQ84" s="755" t="str" cm="1">
        <f t="array" aca="1" ref="BQ84" ca="1">_xlfn.TEXTJOIN("",,INDEX({"M","A","Y"}, _xlfn.SORTBY({1,2,3}, -CHOOSE({1,2,3}, Tab_NewTRADER[[#This Row],[M]], Tab_NewTRADER[[#This Row],[A]], Tab_NewTRADER[[#This Row],[Agiotage]]))))</f>
        <v>AMY</v>
      </c>
      <c r="BR84" s="902" t="str" cm="1">
        <f t="array" aca="1" ref="BR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4" s="679" t="e">
        <f ca="1">Tab_NewTRADER[[#This Row],[L_Sn]]*Tab_NewTRADER[[#This Row],[L_Sp]]+Tab_NewTRADER[[#This Row],[SellMore]]*Tab_NewTRADER[[#This Row],[M]]</f>
        <v>#N/A</v>
      </c>
      <c r="BT84" s="679" t="e">
        <f ca="1">INDEX(
  INDEX(TabConsolid[], , _xlfn.XMATCH(Tab_NewTRADER[[#This Row],[ClickTick]]&amp;1, TabConsolid[#Headers])),
  MATCH(
    -Tab_NewTRADER[[#This Row],[M]],
    INDEX(TabConsolid[], , _xlfn.XMATCH(Tab_NewTRADER[[#This Row],[ClickTick]]&amp;2, TabConsolid[#Headers])),
    -1
  )
)</f>
        <v>#N/A</v>
      </c>
      <c r="BU84" s="679" cm="1">
        <f t="array" aca="1" ref="BU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4" s="1144" t="e">
        <f ca="1">Tab_NewTRADER[[#This Row],[ReBuy]]/(Tab_NewTRADER[[#This Row],[L_Sn]]+Tab_NewTRADER[[#This Row],[SellMore]])</f>
        <v>#N/A</v>
      </c>
      <c r="BW84" s="687">
        <f ca="1">((_xlfn.XLOOKUP(Tab_NewTRADER[[#This Row],[ClickTick]],TabCalc[Ticker],TabCalc[NAfter])+Tab_NewTRADER[[#This Row],[L_Sn]])*(Tab_NewTRADER[[#This Row],[Agiotage]]-Tab_NewTRADER[[#This Row],[M]]))/(Tab_NewTRADER[[#This Row],[L_Sn]]*_xlfn.XLOOKUP(Tab_NewTRADER[[#This Row],[ClickTick]],TabCalc[Ticker],TabCalc[NAfter]))</f>
        <v>-6.9335375423727925E-3</v>
      </c>
      <c r="BX84" s="687">
        <f ca="1">(Tab_NewTRADER[[#This Row],[M]]-Tab_NewTRADER[[#This Row],[Agiotage]])/(Tab_NewTRADER[[#This Row],[M]]-Tab_NewTRADER[[#This Row],[A]])-1</f>
        <v>-2.6914826026747174</v>
      </c>
      <c r="BY84" s="1262">
        <f ca="1">_xlfn.XMATCH(Tab_NewTRADER[[#This Row],[ClickTick]]&amp;1, TabConsolid[#Headers])</f>
        <v>248</v>
      </c>
      <c r="BZ84" t="b">
        <f ca="1">IF(ABS(Tab_NewTRADER[[#This Row],[L_Bp]])&gt;=Tab_NewTRADER[[#This Row],[M]],"OK")</f>
        <v>0</v>
      </c>
    </row>
    <row r="85" spans="1:78" ht="23" hidden="1" thickBot="1" x14ac:dyDescent="0.35">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22.7%</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9,532$</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18.8% = 0</v>
      </c>
      <c r="I85" s="226" t="str">
        <f ca="1">IFERROR(TRUNC(TabCalc[[#This Row],[L_S1p]],2)&amp;"x"&amp;TabCalc[[#This Row],[L_S1n]]&amp;"=   "&amp;TEXT(TabCalc[[#This Row],[ReverseB1]],"#,#0"),"")</f>
        <v>99.4x1000=   -27,440</v>
      </c>
      <c r="J85" s="295">
        <f ca="1">_xlfn.XLOOKUP(Tab_NewTRADER[[#This Row],[ClickTick]],TabCalc[Ticker],ListGravity)</f>
        <v>1.0048407442447176</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0.44179256424314578</v>
      </c>
      <c r="N85" s="324" cm="1">
        <f t="array" aca="1" ref="N85" ca="1">_xlfn.XLOOKUP(Tab_NewTRADER[[#This Row],[ClickTick]],ListTickers,Tab2RSIConventional[RSIConv20])</f>
        <v>21</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0.29381043698233306</v>
      </c>
      <c r="S85" s="683">
        <f ca="1">_xlfn.XLOOKUP(Tab_NewTRADER[[#This Row],[ClickTick]],TabCalc[Ticker],TabCalc[Rev(MinStock)])*(1-Commission)</f>
        <v>0</v>
      </c>
      <c r="T85" s="782">
        <f ca="1">_xlfn.XLOOKUP(Tab_NewTRADER[[#This Row],[ClickTick]],TabCalc[Ticker],TabCalc[Agiotage])</f>
        <v>0.44179256424314578</v>
      </c>
      <c r="U85" s="747"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0/0=&gt;-0.9% / -0.9%</v>
      </c>
      <c r="V85" s="739" t="str">
        <f ca="1">_xlfn.XLOOKUP(Tab_NewTRADER[[#This Row],[ClickTick]],[1]!RTData[Ticker_Symbol],[1]!RTData[Currency])</f>
        <v>USD</v>
      </c>
      <c r="W85" s="749">
        <f ca="1">_xlfn.XLOOKUP(Tab_NewTRADER[[#This Row],[ClickTick]],TabCalc[Ticker],TabCalc[M])</f>
        <v>126.84</v>
      </c>
      <c r="X85" s="1315"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-9.1400000000000006E-3</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F85" s="1161"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85" s="1530" t="str">
        <f ca="1">TEXT(MIN(Tab_NewTRADER[[#This Row],[L_Bn]],Tab_NewTRADER[[#This Row],[N]]),"#,#0")&amp;" x "&amp;TEXT(Tab_NewTRADER[[#This Row],[L_Bp]],"#,#0.#0")</f>
        <v>0 x -98.04</v>
      </c>
      <c r="AH85" s="1530" t="str" cm="1">
        <f t="array" aca="1" ref="AH85" ca="1">_xlfn.IFS(Tab_NewTRADER[[#This Row],[M_State]]=Sale_Back,Tab_NewTRADER[[#This Row],[Sale_Back_$]], TRUE,"M = "&amp;Tab_NewTRADER[[#This Row],[M]])</f>
        <v>M = 126.84</v>
      </c>
      <c r="AI85" s="1433" cm="1">
        <f t="array" aca="1" ref="AI85" ca="1">IF(Tab_NewTRADER[[#This Row],[M_State]]=MUp,_xlfn.IFS(Tab_NewTRADER[[#This Row],[M_State]]=MUp,MIN(Tab_NewTRADER[[#This Row],[N]],Tab_NewTRADER[[#This Row],[L_Bn]])*(Tab_NewTRADER[[#This Row],[M]]-Tab_NewTRADER[[#This Row],[L_Sp]])*Tab_NewTRADER[[#This Row],[Scale]]*ComFactor, TRUE,0),0)</f>
        <v>0</v>
      </c>
      <c r="AJ85" s="1433" cm="1">
        <f t="array" aca="1" ref="AJ85" ca="1">_xlfn.IFS(Tab_NewTRADER[[#This Row],[M_State]]=MUp,                 MIN(Tab_NewTRADER[[#This Row],[L_Sn]],Tab_NewTRADER[[#This Row],[N]])*(Tab_NewTRADER[[#This Row],[M]]-Tab_NewTRADER[[#This Row],[A]])*Tab_NewTRADER[[#This Row],[Scale]]*ComFactor, TRUE,0)</f>
        <v>0</v>
      </c>
      <c r="AK85" s="1433" cm="1">
        <f t="array" aca="1" ref="AK85" ca="1">_xlfn.IFS(Tab_NewTRADER[[#This Row],[M_State]]=MUp,                  Tab_NewTRADER[[#This Row],[N]]*(Tab_NewTRADER[[#This Row],[M]]-Tab_NewTRADER[[#This Row],[A]])*Tab_NewTRADER[[#This Row],[Scale]]*ComFactor, TRUE,0)</f>
        <v>0</v>
      </c>
      <c r="AL85" s="1435" t="str">
        <f ca="1">TEXT(Tab_NewTRADER[[#This Row],[L_Sn]],"#,#0")&amp;" x "&amp;TEXT(Tab_NewTRADER[[#This Row],[L_Sp]],"#,#0.#0")</f>
        <v>400 x 103.01</v>
      </c>
      <c r="AM85" s="1465" t="str" cm="1">
        <f t="array" aca="1" ref="AM85" ca="1">_xlfn.IFS(Tab_NewTRADER[[#This Row],[M_State]]=RePurchaseGain,TEXT(-Tab_NewTRADER[[#This Row],[Buy_Back]],"#,#0")&amp;"       / "&amp;TEXT(Tab_NewTRADER[[#This Row],[Rev_Buy]],"#,#00.0)%"),TRUE,"M = "&amp;Tab_NewTRADER[[#This Row],[M]])</f>
        <v>M = 126.84</v>
      </c>
      <c r="AN85" s="1435" cm="1">
        <f t="array" aca="1" ref="AN85" ca="1">_xlfn.IFS(Tab_NewTRADER[[#This Row],[M_State]]=MDown,TEXT(Tab_NewTRADER[[#This Row],[L_Sn]]*(Tab_NewTRADER[[#This Row],[M]]-Tab_NewTRADER[[#This Row],[L_Sp]])*ComFactor,"#,#0")&amp;"       / "&amp;TEXT((TabTRADER[[#This Row],[M]]-TabTRADER[[#This Row],[L_Sp]])/TabTRADER[[#This Row],[M]],"#,#00.0)%"),TRUE,0)</f>
        <v>0</v>
      </c>
      <c r="AO85" s="1486" cm="1">
        <f t="array" aca="1" ref="AO85" ca="1">_xlfn.IFS(Tab_NewTRADER[[#This Row],[M_State]]=MDown,TEXT(Tab_NewTRADER[[#This Row],[N]]*(Tab_NewTRADER[[#This Row],[M]]-Tab_NewTRADER[[#This Row],[A]])*Tab_NewTRADER[[#This Row],[Scale]]*ComFactor,"#,#0")&amp;"       / "&amp;TEXT((TabTRADER[[#This Row],[M]]-TabTRADER[[#This Row],[L_Bp]])/TabTRADER[[#This Row],[M]],"#,#00.0%"),TRUE,0)</f>
        <v>0</v>
      </c>
      <c r="AP85" s="1435" t="str" cm="1">
        <f t="array" aca="1" ref="AP85" ca="1">_xlfn.IFS(Tab_NewTRADER[[#This Row],[M_State]]=MDown,TEXT(Tab_NewTRADER[[#This Row],[N]]*Tab_NewTRADER[[#This Row],[M]],"#,#0")&amp;" @ "&amp;TEXT(Tab_NewTRADER[[#This Row],[A]],"#,#0.#0"),TRUE,"M = "&amp; Tab_NewTRADER[[#This Row],[M]])</f>
        <v>M = 126.84</v>
      </c>
      <c r="AQ85" s="1165">
        <f ca="1">Tab_NewTRADER[[#This Row],[N]]*(Tab_NewTRADER[[#This Row],[M]]-Tab_NewTRADER[[#This Row],[A]])*(1-Commission)*Tab_NewTRADER[[#This Row],[Scale]]</f>
        <v>0</v>
      </c>
      <c r="AR85" s="1165">
        <f ca="1">Tab_NewTRADER[[#This Row],[M]]*Tab_NewTRADER[[#This Row],[N]]*(1-Commission)*Tab_NewTRADER[[#This Row],[Scale]]</f>
        <v>0</v>
      </c>
      <c r="AS85" s="1174" t="str" cm="1">
        <f t="array" aca="1" ref="AS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85" s="1174" t="str" cm="1">
        <f t="array" aca="1" ref="AT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5" s="825" t="str" cm="1">
        <f t="array" aca="1" ref="AU85" ca="1">_xlfn.IFS(   Tab_NewTRADER[[#This Row],[M_State]]=SellMorePercentGain,                     MIN(Tab_NewTRADER[[#This Row],[L_Sn]],Tab_NewTRADER[[#This Row],[N]])*(Tab_NewTRADER[[#This Row],[M]]-Tab_NewTRADER[[#This Row],[L_Sp]])*(1-Commission)*Tab_NewTRADER[[#This Row],[Scale]],                    TRUE,"")</f>
        <v/>
      </c>
      <c r="AV85" s="1163">
        <f ca="1">_xlfn.XLOOKUP(Tab_NewTRADER[[#This Row],[ClickTick]],TabCalc[Ticker],TabCalc[Ann%RevLB])</f>
        <v>0.33366484956984194</v>
      </c>
      <c r="AW85" s="1267">
        <f ca="1">_xlfn.XLOOKUP(Tab_NewTRADER[[#This Row],[ClickTick]],TabCalc[Ticker],TabCalc[Up20])</f>
        <v>0</v>
      </c>
      <c r="AX85" s="1175" t="str" cm="1">
        <f t="array" aca="1" ref="AX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5" s="825" t="str" cm="1">
        <f t="array" aca="1" ref="AY85" ca="1">_xlfn.IFS(         Tab_NewTRADER[[#This Row],[M_State]]=MDown,Tab_NewTRADER[[#This Row],[L_Bn]]*Tab_NewTRADER[[#This Row],[M]]*(-(Tab_NewTRADER[[#This Row],[L_Bp]]+Tab_NewTRADER[[#This Row],[M]])/Tab_NewTRADER[[#This Row],[M]])*(1-Commission)*Tab_NewTRADER[[#This Row],[Scale]],                               TRUE,"")</f>
        <v/>
      </c>
      <c r="AZ85" s="1174" t="str" cm="1">
        <f t="array" aca="1" ref="AZ85" ca="1">_xlfn.IFS(   Tab_NewTRADER[[#This Row],[M_State]]=MUp,Tab_NewTRADER[[#This Row],[TakeGain_A]]-Commission,        Tab_NewTRADER[[#This Row],[M_State]]=MDown,(Tab_NewTRADER[[#This Row],[A]]-Tab_NewTRADER[[#This Row],[M]])/Tab_NewTRADER[[#This Row],[M]]-Commission,                              TRUE,"")</f>
        <v/>
      </c>
      <c r="BA85" s="825" cm="1">
        <f t="array" aca="1" ref="BA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85" s="760" t="str" cm="1">
        <f t="array" aca="1" ref="BB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C85" s="736" t="str" cm="1">
        <f t="array" aca="1" ref="BC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0x126.84</v>
      </c>
      <c r="BD85" s="765" t="str" cm="1">
        <f t="array" aca="1" ref="BD85" ca="1">_xlfn.IFS(Tab_NewTRADER[[#This Row],[M_State]]=Sale_Back,"",         Tab_NewTRADER[[#This Row],[M_State]]=MDown, (Tab_NewTRADER[[#This Row],[M]]-Tab_NewTRADER[[#This Row],[A]])/Tab_NewTRADER[[#This Row],[A]]*ComFactor,             TRUE, IFERROR((Tab_NewTRADER[[#This Row],[M]]-Tab_NewTRADER[[#This Row],[A]])/Tab_NewTRADER[[#This Row],[A]]*ComFactor,""))</f>
        <v/>
      </c>
      <c r="BE85" s="762" cm="1">
        <f t="array" aca="1" ref="BE85" ca="1">_xlfn.IFS(               Tab_NewTRADER[[#This Row],[M_State]]=NoStock,(Tab_NewTRADER[[#This Row],[L_Sp]]-Tab_NewTRADER[[#This Row],[M]])/Tab_NewTRADER[[#This Row],[M]]-Commission,             Tab_NewTRADER[[#This Row],[A]]&lt;&gt;0,(Tab_NewTRADER[[#This Row],[A]]-Tab_NewTRADER[[#This Row],[M]])/Tab_NewTRADER[[#This Row],[M]]-Commission)</f>
        <v>-0.19047054556922113</v>
      </c>
      <c r="BF85" s="324">
        <f ca="1">_xlfn.XLOOKUP(Tab_NewTRADER[[#This Row],[ClickTick]],TabCalc[Ticker],TabCalc[L_Sn])</f>
        <v>400</v>
      </c>
      <c r="BG85" s="728">
        <f ca="1">_xlfn.XLOOKUP(Tab_NewTRADER[[#This Row],[ClickTick]],TabCalc[Ticker],TabCalc[L_Sp])</f>
        <v>103.01049999999999</v>
      </c>
      <c r="BH85" s="764">
        <f ca="1">-IFERROR((Tab_NewTRADER[[#This Row],[M]]-Tab_NewTRADER[[#This Row],[L_Sp]])/Tab_NewTRADER[[#This Row],[L_Sp]],0)</f>
        <v>-0.23133078666737869</v>
      </c>
      <c r="BI85" s="729">
        <f ca="1">MIN(Tab_NewTRADER[[#This Row],[L_Sn]],Tab_NewTRADER[[#This Row],[N]])*(Tab_NewTRADER[[#This Row],[M]]-Tab_NewTRADER[[#This Row],[L_Sp]])*(1-Commission)*Tab_NewTRADER[[#This Row],[Scale]]</f>
        <v>0</v>
      </c>
      <c r="BJ85" s="692">
        <f ca="1">Tab_NewTRADER[[#This Row],[L_Sn]]*(Tab_NewTRADER[[#This Row],[Agiotage]]-Tab_NewTRADER[[#This Row],[M]])/(Tab_NewTRADER[[#This Row],[L_Bn]]*Tab_NewTRADER[[#This Row],[M]])</f>
        <v>-0.39860677210897782</v>
      </c>
      <c r="BK85" s="635">
        <f ca="1">IFERROR((Tab_NewTRADER[[#This Row],[M]]-Tab_NewTRADER[[#This Row],[A]])/Tab_NewTRADER[[#This Row],[A]],0)</f>
        <v>0</v>
      </c>
      <c r="BL85" s="638" t="str">
        <f ca="1">TEXT(_xlfn.XLOOKUP(Tab_NewTRADER[[#This Row],[ClickTick]],TabCalc[Ticker],TabCalc[NAfter]),"#,#0")&amp;" : "&amp;TEXT(_xlfn.XLOOKUP(Tab_NewTRADER[[#This Row],[ClickTick]],TabCalc[Ticker],TabCalc[NAfter])*(Tab_NewTRADER[[#This Row],[M]]-Tab_NewTRADER[[#This Row],[A]])*(1-Commission)*Tab_NewTRADER[[#This Row],[Scale]],"#,#0$")</f>
        <v>0 : 0$</v>
      </c>
      <c r="BM85" s="684">
        <f ca="1">_xlfn.XLOOKUP(Tab_NewTRADER[[#This Row],[ClickTick]],TabCalc[[#This Row],[Ticker]],TabCalc[[#This Row],[GL]])*(1-Commission)</f>
        <v>13562.702215513225</v>
      </c>
      <c r="BN85" s="684"/>
      <c r="BO85" s="669" t="str">
        <f ca="1">Tab_NewTRADER[[#This Row],[ClickTick]]&amp;": "&amp;_xlfn.XLOOKUP(Tab_NewTRADER[[#This Row],[ClickTick]],TabCalc[Ticker],TabCalc[Pile?])</f>
        <v xml:space="preserve">NVS: </v>
      </c>
      <c r="BP85" s="351" t="s">
        <v>2022</v>
      </c>
      <c r="BQ85" s="755" t="str" cm="1">
        <f t="array" aca="1" ref="BQ85" ca="1">_xlfn.TEXTJOIN("",,INDEX({"M","A","Y"}, _xlfn.SORTBY({1,2,3}, -CHOOSE({1,2,3}, Tab_NewTRADER[[#This Row],[M]], Tab_NewTRADER[[#This Row],[A]], Tab_NewTRADER[[#This Row],[Agiotage]]))))</f>
        <v>MYA</v>
      </c>
      <c r="BR85" s="902" t="str" cm="1">
        <f t="array" aca="1" ref="BR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5" s="679" t="e">
        <f ca="1">Tab_NewTRADER[[#This Row],[L_Sn]]*Tab_NewTRADER[[#This Row],[L_Sp]]+Tab_NewTRADER[[#This Row],[SellMore]]*Tab_NewTRADER[[#This Row],[M]]</f>
        <v>#N/A</v>
      </c>
      <c r="BT85" s="679" t="e">
        <f ca="1">INDEX(
  INDEX(TabConsolid[], , _xlfn.XMATCH(Tab_NewTRADER[[#This Row],[ClickTick]]&amp;1, TabConsolid[#Headers])),
  MATCH(
    -Tab_NewTRADER[[#This Row],[M]],
    INDEX(TabConsolid[], , _xlfn.XMATCH(Tab_NewTRADER[[#This Row],[ClickTick]]&amp;2, TabConsolid[#Headers])),
    -1
  )
)</f>
        <v>#N/A</v>
      </c>
      <c r="BU85" s="679" cm="1">
        <f t="array" aca="1" ref="BU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5" s="1144" t="e">
        <f ca="1">Tab_NewTRADER[[#This Row],[ReBuy]]/(Tab_NewTRADER[[#This Row],[L_Sn]]+Tab_NewTRADER[[#This Row],[SellMore]])</f>
        <v>#N/A</v>
      </c>
      <c r="BW85" s="687" t="e">
        <f ca="1">((_xlfn.XLOOKUP(Tab_NewTRADER[[#This Row],[ClickTick]],TabCalc[Ticker],TabCalc[NAfter])+Tab_NewTRADER[[#This Row],[L_Sn]])*(Tab_NewTRADER[[#This Row],[Agiotage]]-Tab_NewTRADER[[#This Row],[M]]))/(Tab_NewTRADER[[#This Row],[L_Sn]]*_xlfn.XLOOKUP(Tab_NewTRADER[[#This Row],[ClickTick]],TabCalc[Ticker],TabCalc[NAfter]))</f>
        <v>#DIV/0!</v>
      </c>
      <c r="BX85" s="687">
        <f ca="1">(Tab_NewTRADER[[#This Row],[M]]-Tab_NewTRADER[[#This Row],[Agiotage]])/(Tab_NewTRADER[[#This Row],[M]]-Tab_NewTRADER[[#This Row],[A]])-1</f>
        <v>-3.4830697275555211E-3</v>
      </c>
      <c r="BY85" s="1262">
        <f ca="1">_xlfn.XMATCH(Tab_NewTRADER[[#This Row],[ClickTick]]&amp;1, TabConsolid[#Headers])</f>
        <v>251</v>
      </c>
      <c r="BZ85" t="b">
        <f ca="1">IF(ABS(Tab_NewTRADER[[#This Row],[L_Bp]])&gt;=Tab_NewTRADER[[#This Row],[M]],"OK")</f>
        <v>0</v>
      </c>
    </row>
    <row r="86" spans="1:78" ht="23" hidden="1" thickBot="1" x14ac:dyDescent="0.35">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+42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0.3%</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4,800$</v>
      </c>
      <c r="G86" s="225" t="str">
        <f ca="1">IFERROR(TRUNC(_xlfn.XLOOKUP(Tab_NewTRADER[[#This Row],[ClickTick]],TabCalc[Ticker],ListLastSalep),2)&amp;"x"&amp;_xlfn.XLOOKUP(Tab_NewTRADER[[#This Row],[ClickTick]],TabCalc[Ticker],ListLastSalen)&amp;"=   "&amp;TEXT(-_xlfn.XLOOKUP(Tab_NewTRADER[[#This Row],[ClickTick]],TabCalc[Ticker],ListReverseB),"#,#0")&amp;"$","")</f>
        <v>12.03x2000=   3,500$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12.7% = 0</v>
      </c>
      <c r="I86" s="226" t="str">
        <f ca="1">IFERROR(TRUNC(TabCalc[[#This Row],[L_S1p]],2)&amp;"x"&amp;TabCalc[[#This Row],[L_S1n]]&amp;"=   "&amp;TEXT(TabCalc[[#This Row],[ReverseB1]],"#,#0"),"")</f>
        <v>11.84x2000=   -3,870</v>
      </c>
      <c r="J86" s="295">
        <f ca="1">_xlfn.XLOOKUP(Tab_NewTRADER[[#This Row],[ClickTick]],TabCalc[Ticker],ListGravity)</f>
        <v>1.1119172714078376</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1.2898279166741773</v>
      </c>
      <c r="N86" s="324" cm="1">
        <f t="array" aca="1" ref="N86" ca="1">_xlfn.XLOOKUP(Tab_NewTRADER[[#This Row],[ClickTick]],ListTickers,Tab2RSIConventional[RSIConv20])</f>
        <v>34</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2.5463805020007379E-3</v>
      </c>
      <c r="S86" s="683">
        <f ca="1">_xlfn.XLOOKUP(Tab_NewTRADER[[#This Row],[ClickTick]],TabCalc[Ticker],TabCalc[Rev(MinStock)])*(1-Commission)</f>
        <v>41.890800000000169</v>
      </c>
      <c r="T86" s="782">
        <f ca="1">_xlfn.XLOOKUP(Tab_NewTRADER[[#This Row],[ClickTick]],TabCalc[Ticker],TabCalc[Agiotage])</f>
        <v>1.2898279166741773</v>
      </c>
      <c r="U86" s="747"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-258/-258=&gt;-1.3% / -1.3%</v>
      </c>
      <c r="V86" s="739" t="str">
        <f ca="1">_xlfn.XLOOKUP(Tab_NewTRADER[[#This Row],[ClickTick]],[1]!RTData[Ticker_Symbol],[1]!RTData[Currency])</f>
        <v>EUR</v>
      </c>
      <c r="W86" s="749">
        <f ca="1">_xlfn.XLOOKUP(Tab_NewTRADER[[#This Row],[ClickTick]],TabCalc[Ticker],TabCalc[M])</f>
        <v>13.78</v>
      </c>
      <c r="X86" s="1315"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-1.2894000000000001E-2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F86" s="1182"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6" s="1530" t="str">
        <f ca="1">TEXT(MIN(Tab_NewTRADER[[#This Row],[L_Bn]],Tab_NewTRADER[[#This Row],[N]]),"#,#0")&amp;" x "&amp;TEXT(Tab_NewTRADER[[#This Row],[L_Bp]],"#,#0.#0")</f>
        <v>1,200 x -13.75</v>
      </c>
      <c r="AH86" s="1530" cm="1">
        <f t="array" aca="1" ref="AH86" ca="1">_xlfn.IFS(Tab_NewTRADER[[#This Row],[M_State]]=Sale_Back,Tab_NewTRADER[[#This Row],[Sale_Back_$]], TRUE,"M = "&amp;Tab_NewTRADER[[#This Row],[M]])</f>
        <v>41.890800000000169</v>
      </c>
      <c r="AI86" s="1434" cm="1">
        <f t="array" aca="1" ref="AI86" ca="1">IF(Tab_NewTRADER[[#This Row],[M_State]]=MUp,_xlfn.IFS(Tab_NewTRADER[[#This Row],[M_State]]=MUp,MIN(Tab_NewTRADER[[#This Row],[N]],Tab_NewTRADER[[#This Row],[L_Bn]])*(Tab_NewTRADER[[#This Row],[M]]-Tab_NewTRADER[[#This Row],[L_Sp]])*Tab_NewTRADER[[#This Row],[Scale]]*ComFactor, TRUE,0),0)</f>
        <v>0</v>
      </c>
      <c r="AJ86" s="1434" cm="1">
        <f t="array" aca="1" ref="AJ86" ca="1">_xlfn.IFS(Tab_NewTRADER[[#This Row],[M_State]]=MUp,                 MIN(Tab_NewTRADER[[#This Row],[L_Sn]],Tab_NewTRADER[[#This Row],[N]])*(Tab_NewTRADER[[#This Row],[M]]-Tab_NewTRADER[[#This Row],[A]])*Tab_NewTRADER[[#This Row],[Scale]]*ComFactor, TRUE,0)</f>
        <v>0</v>
      </c>
      <c r="AK86" s="1434" cm="1">
        <f t="array" aca="1" ref="AK86" ca="1">_xlfn.IFS(Tab_NewTRADER[[#This Row],[M_State]]=MUp,                  Tab_NewTRADER[[#This Row],[N]]*(Tab_NewTRADER[[#This Row],[M]]-Tab_NewTRADER[[#This Row],[A]])*Tab_NewTRADER[[#This Row],[Scale]]*ComFactor, TRUE,0)</f>
        <v>0</v>
      </c>
      <c r="AL86" s="1435" t="str">
        <f ca="1">TEXT(Tab_NewTRADER[[#This Row],[L_Sn]],"#,#0")&amp;" x "&amp;TEXT(Tab_NewTRADER[[#This Row],[L_Sp]],"#,#0.#0")</f>
        <v>2,000 x 12.03</v>
      </c>
      <c r="AM86" s="1465" t="str" cm="1">
        <f t="array" aca="1" ref="AM86" ca="1">_xlfn.IFS(Tab_NewTRADER[[#This Row],[M_State]]=RePurchaseGain,TEXT(-Tab_NewTRADER[[#This Row],[Buy_Back]],"#,#0")&amp;"       / "&amp;TEXT(Tab_NewTRADER[[#This Row],[Rev_Buy]],"#,#00.0)%"),TRUE,"M = "&amp;Tab_NewTRADER[[#This Row],[M]])</f>
        <v>M = 13.78</v>
      </c>
      <c r="AN86" s="1435" cm="1">
        <f t="array" aca="1" ref="AN86" ca="1">_xlfn.IFS(Tab_NewTRADER[[#This Row],[M_State]]=MDown,TEXT(Tab_NewTRADER[[#This Row],[L_Sn]]*(Tab_NewTRADER[[#This Row],[M]]-Tab_NewTRADER[[#This Row],[L_Sp]])*ComFactor,"#,#0")&amp;"       / "&amp;TEXT((TabTRADER[[#This Row],[M]]-TabTRADER[[#This Row],[L_Sp]])/TabTRADER[[#This Row],[M]],"#,#00.0)%"),TRUE,0)</f>
        <v>0</v>
      </c>
      <c r="AO86" s="1486" cm="1">
        <f t="array" aca="1" ref="AO86" ca="1">_xlfn.IFS(Tab_NewTRADER[[#This Row],[M_State]]=MDown,TEXT(Tab_NewTRADER[[#This Row],[N]]*(Tab_NewTRADER[[#This Row],[M]]-Tab_NewTRADER[[#This Row],[A]])*Tab_NewTRADER[[#This Row],[Scale]]*ComFactor,"#,#0")&amp;"       / "&amp;TEXT((TabTRADER[[#This Row],[M]]-TabTRADER[[#This Row],[L_Bp]])/TabTRADER[[#This Row],[M]],"#,#00.0%"),TRUE,0)</f>
        <v>0</v>
      </c>
      <c r="AP86" s="1435" t="str" cm="1">
        <f t="array" aca="1" ref="AP86" ca="1">_xlfn.IFS(Tab_NewTRADER[[#This Row],[M_State]]=MDown,TEXT(Tab_NewTRADER[[#This Row],[N]]*Tab_NewTRADER[[#This Row],[M]],"#,#0")&amp;" @ "&amp;TEXT(Tab_NewTRADER[[#This Row],[A]],"#,#0.#0"),TRUE,"M = "&amp; Tab_NewTRADER[[#This Row],[M]])</f>
        <v>M = 13.78</v>
      </c>
      <c r="AQ86" s="1165">
        <f ca="1">Tab_NewTRADER[[#This Row],[N]]*(Tab_NewTRADER[[#This Row],[M]]-Tab_NewTRADER[[#This Row],[A]])*(1-Commission)*Tab_NewTRADER[[#This Row],[Scale]]</f>
        <v>41.890800000000169</v>
      </c>
      <c r="AR86" s="1165">
        <f ca="1">Tab_NewTRADER[[#This Row],[M]]*Tab_NewTRADER[[#This Row],[N]]*(1-Commission)*Tab_NewTRADER[[#This Row],[Scale]]</f>
        <v>16493.006399999998</v>
      </c>
      <c r="AS86" s="1174" cm="1">
        <f t="array" aca="1" ref="AS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2.5463805020007379E-3</v>
      </c>
      <c r="AT86" s="1174" t="str" cm="1">
        <f t="array" aca="1" ref="AT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6" s="825" t="str" cm="1">
        <f t="array" aca="1" ref="AU86" ca="1">_xlfn.IFS(   Tab_NewTRADER[[#This Row],[M_State]]=SellMorePercentGain,                     MIN(Tab_NewTRADER[[#This Row],[L_Sn]],Tab_NewTRADER[[#This Row],[N]])*(Tab_NewTRADER[[#This Row],[M]]-Tab_NewTRADER[[#This Row],[L_Sp]])*(1-Commission)*Tab_NewTRADER[[#This Row],[Scale]],                    TRUE,"")</f>
        <v/>
      </c>
      <c r="AV86" s="1163">
        <f ca="1">_xlfn.XLOOKUP(Tab_NewTRADER[[#This Row],[ClickTick]],TabCalc[Ticker],TabCalc[Ann%RevLB])</f>
        <v>1.5027819356069928E-2</v>
      </c>
      <c r="AW86" s="1267">
        <f ca="1">_xlfn.XLOOKUP(Tab_NewTRADER[[#This Row],[ClickTick]],TabCalc[Ticker],TabCalc[Up20])</f>
        <v>0</v>
      </c>
      <c r="AX86" s="1175" t="str" cm="1">
        <f t="array" aca="1" ref="AX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6" s="825" t="str" cm="1">
        <f t="array" aca="1" ref="AY86" ca="1">_xlfn.IFS(         Tab_NewTRADER[[#This Row],[M_State]]=MDown,Tab_NewTRADER[[#This Row],[L_Bn]]*Tab_NewTRADER[[#This Row],[M]]*(-(Tab_NewTRADER[[#This Row],[L_Bp]]+Tab_NewTRADER[[#This Row],[M]])/Tab_NewTRADER[[#This Row],[M]])*(1-Commission)*Tab_NewTRADER[[#This Row],[Scale]],                               TRUE,"")</f>
        <v/>
      </c>
      <c r="AZ86" s="1174" t="str" cm="1">
        <f t="array" aca="1" ref="AZ86" ca="1">_xlfn.IFS(   Tab_NewTRADER[[#This Row],[M_State]]=MUp,Tab_NewTRADER[[#This Row],[TakeGain_A]]-Commission,        Tab_NewTRADER[[#This Row],[M_State]]=MDown,(Tab_NewTRADER[[#This Row],[A]]-Tab_NewTRADER[[#This Row],[M]])/Tab_NewTRADER[[#This Row],[M]]-Commission,                              TRUE,"")</f>
        <v/>
      </c>
      <c r="BA86" s="760" cm="1">
        <f t="array" aca="1" ref="BA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41.99746991633338</v>
      </c>
      <c r="BB86" s="760" t="str" cm="1">
        <f t="array" aca="1" ref="BB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C86" s="736" t="str" cm="1">
        <f t="array" aca="1" ref="BC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86" s="765" t="str" cm="1">
        <f t="array" aca="1" ref="BD86" ca="1">_xlfn.IFS(Tab_NewTRADER[[#This Row],[M_State]]=Sale_Back,"",         Tab_NewTRADER[[#This Row],[M_State]]=MDown, (Tab_NewTRADER[[#This Row],[M]]-Tab_NewTRADER[[#This Row],[A]])/Tab_NewTRADER[[#This Row],[A]]*ComFactor,             TRUE, IFERROR((Tab_NewTRADER[[#This Row],[M]]-Tab_NewTRADER[[#This Row],[A]])/Tab_NewTRADER[[#This Row],[A]]*ComFactor,""))</f>
        <v/>
      </c>
      <c r="BE86" s="762" cm="1">
        <f t="array" aca="1" ref="BE86" ca="1">_xlfn.IFS(               Tab_NewTRADER[[#This Row],[M_State]]=NoStock,(Tab_NewTRADER[[#This Row],[L_Sp]]-Tab_NewTRADER[[#This Row],[M]])/Tab_NewTRADER[[#This Row],[M]]-Commission,             Tab_NewTRADER[[#This Row],[A]]&lt;&gt;0,(Tab_NewTRADER[[#This Row],[A]]-Tab_NewTRADER[[#This Row],[M]])/Tab_NewTRADER[[#This Row],[M]]-Commission)</f>
        <v>-5.1399129172714185E-3</v>
      </c>
      <c r="BF86" s="324">
        <f ca="1">_xlfn.XLOOKUP(Tab_NewTRADER[[#This Row],[ClickTick]],TabCalc[Ticker],TabCalc[L_Sn])</f>
        <v>2000</v>
      </c>
      <c r="BG86" s="728">
        <f ca="1">_xlfn.XLOOKUP(Tab_NewTRADER[[#This Row],[ClickTick]],TabCalc[Ticker],TabCalc[L_Sp])</f>
        <v>12.03</v>
      </c>
      <c r="BH86" s="764">
        <f ca="1">-IFERROR((Tab_NewTRADER[[#This Row],[M]]-Tab_NewTRADER[[#This Row],[L_Sp]])/Tab_NewTRADER[[#This Row],[L_Sp]],0)</f>
        <v>-0.14546965918536992</v>
      </c>
      <c r="BI86" s="729">
        <f ca="1">MIN(Tab_NewTRADER[[#This Row],[L_Sn]],Tab_NewTRADER[[#This Row],[N]])*(Tab_NewTRADER[[#This Row],[M]]-Tab_NewTRADER[[#This Row],[L_Sp]])*(1-Commission)*Tab_NewTRADER[[#This Row],[Scale]]</f>
        <v>2094.54</v>
      </c>
      <c r="BJ86" s="692">
        <f ca="1">Tab_NewTRADER[[#This Row],[L_Sn]]*(Tab_NewTRADER[[#This Row],[Agiotage]]-Tab_NewTRADER[[#This Row],[M]])/(Tab_NewTRADER[[#This Row],[L_Bn]]*Tab_NewTRADER[[#This Row],[M]])</f>
        <v>-1.5106642577800946</v>
      </c>
      <c r="BK86" s="635">
        <f ca="1">IFERROR((Tab_NewTRADER[[#This Row],[M]]-Tab_NewTRADER[[#This Row],[A]])/Tab_NewTRADER[[#This Row],[A]],0)</f>
        <v>2.5463805020007379E-3</v>
      </c>
      <c r="BL86" s="638" t="str">
        <f ca="1">TEXT(_xlfn.XLOOKUP(Tab_NewTRADER[[#This Row],[ClickTick]],TabCalc[Ticker],TabCalc[NAfter]),"#,#0")&amp;" : "&amp;TEXT(_xlfn.XLOOKUP(Tab_NewTRADER[[#This Row],[ClickTick]],TabCalc[Ticker],TabCalc[NAfter])*(Tab_NewTRADER[[#This Row],[M]]-Tab_NewTRADER[[#This Row],[A]])*(1-Commission)*Tab_NewTRADER[[#This Row],[Scale]],"#,#0$")</f>
        <v>1,200 : 42$</v>
      </c>
      <c r="BM86" s="684">
        <f ca="1">_xlfn.XLOOKUP(Tab_NewTRADER[[#This Row],[ClickTick]],TabCalc[[#This Row],[Ticker]],TabCalc[[#This Row],[GL]])*(1-Commission)</f>
        <v>5921.3957580480101</v>
      </c>
      <c r="BN86" s="684"/>
      <c r="BO86" s="669" t="str">
        <f ca="1">Tab_NewTRADER[[#This Row],[ClickTick]]&amp;": "&amp;_xlfn.XLOOKUP(Tab_NewTRADER[[#This Row],[ClickTick]],TabCalc[Ticker],TabCalc[Pile?])</f>
        <v>ORA: Pile</v>
      </c>
      <c r="BP86" s="351" t="s">
        <v>2023</v>
      </c>
      <c r="BQ86" s="755" t="str" cm="1">
        <f t="array" aca="1" ref="BQ86" ca="1">_xlfn.TEXTJOIN("",,INDEX({"M","A","Y"}, _xlfn.SORTBY({1,2,3}, -CHOOSE({1,2,3}, Tab_NewTRADER[[#This Row],[M]], Tab_NewTRADER[[#This Row],[A]], Tab_NewTRADER[[#This Row],[Agiotage]]))))</f>
        <v>MAY</v>
      </c>
      <c r="BR86" s="902" t="str" cm="1">
        <f t="array" aca="1" ref="BR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6" s="679">
        <f ca="1">Tab_NewTRADER[[#This Row],[L_Sn]]*Tab_NewTRADER[[#This Row],[L_Sp]]+Tab_NewTRADER[[#This Row],[SellMore]]*Tab_NewTRADER[[#This Row],[M]]</f>
        <v>40596</v>
      </c>
      <c r="BT86" s="679">
        <f ca="1">INDEX(
  INDEX(TabConsolid[], , _xlfn.XMATCH(Tab_NewTRADER[[#This Row],[ClickTick]]&amp;1, TabConsolid[#Headers])),
  MATCH(
    -Tab_NewTRADER[[#This Row],[M]],
    INDEX(TabConsolid[], , _xlfn.XMATCH(Tab_NewTRADER[[#This Row],[ClickTick]]&amp;2, TabConsolid[#Headers])),
    -1
  )
)</f>
        <v>1200</v>
      </c>
      <c r="BU86" s="679" cm="1">
        <f t="array" aca="1" ref="BU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6" s="1144">
        <f ca="1">Tab_NewTRADER[[#This Row],[ReBuy]]/(Tab_NewTRADER[[#This Row],[L_Sn]]+Tab_NewTRADER[[#This Row],[SellMore]])</f>
        <v>12.686249999999999</v>
      </c>
      <c r="BW86" s="687">
        <f ca="1">((_xlfn.XLOOKUP(Tab_NewTRADER[[#This Row],[ClickTick]],TabCalc[Ticker],TabCalc[NAfter])+Tab_NewTRADER[[#This Row],[L_Sn]])*(Tab_NewTRADER[[#This Row],[Agiotage]]-Tab_NewTRADER[[#This Row],[M]]))/(Tab_NewTRADER[[#This Row],[L_Sn]]*_xlfn.XLOOKUP(Tab_NewTRADER[[#This Row],[ClickTick]],TabCalc[Ticker],TabCalc[NAfter]))</f>
        <v>-1.6653562777767764E-2</v>
      </c>
      <c r="BX86" s="687">
        <f ca="1">(Tab_NewTRADER[[#This Row],[M]]-Tab_NewTRADER[[#This Row],[Agiotage]])/(Tab_NewTRADER[[#This Row],[M]]-Tab_NewTRADER[[#This Row],[A]])-1</f>
        <v>355.86205952359347</v>
      </c>
      <c r="BY86" s="1262">
        <f ca="1">_xlfn.XMATCH(Tab_NewTRADER[[#This Row],[ClickTick]]&amp;1, TabConsolid[#Headers])</f>
        <v>254</v>
      </c>
      <c r="BZ86" t="b">
        <f ca="1">IF(ABS(Tab_NewTRADER[[#This Row],[L_Bp]])&gt;=Tab_NewTRADER[[#This Row],[M]],"OK")</f>
        <v>0</v>
      </c>
    </row>
    <row r="87" spans="1:78" ht="23" hidden="1" thickBot="1" x14ac:dyDescent="0.35">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-5,755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-13.9%</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-5,945$</v>
      </c>
      <c r="G87" s="225" t="str">
        <f ca="1">IFERROR(TRUNC(_xlfn.XLOOKUP(Tab_NewTRADER[[#This Row],[ClickTick]],TabCalc[Ticker],ListLastSalep),2)&amp;"x"&amp;_xlfn.XLOOKUP(Tab_NewTRADER[[#This Row],[ClickTick]],TabCalc[Ticker],ListLastSalen)&amp;"=   "&amp;TEXT(-_xlfn.XLOOKUP(Tab_NewTRADER[[#This Row],[ClickTick]],TabCalc[Ticker],ListReverseB),"#,#0")&amp;"$","")</f>
        <v>51.86x1000=   -10,375$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25.0% = 482</v>
      </c>
      <c r="I87" s="226" t="str">
        <f ca="1">IFERROR(TRUNC(TabCalc[[#This Row],[L_S1p]],2)&amp;"x"&amp;TabCalc[[#This Row],[L_S1n]]&amp;"=   "&amp;TEXT(TabCalc[[#This Row],[ReverseB1]],"#,#0"),"")</f>
        <v>62.9x2000=   42,830</v>
      </c>
      <c r="J87" s="295">
        <f ca="1">_xlfn.XLOOKUP(Tab_NewTRADER[[#This Row],[ClickTick]],TabCalc[Ticker],ListGravity)</f>
        <v>1.2031587320718333</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120306.5</v>
      </c>
      <c r="M87" s="323">
        <f ca="1">_xlfn.XLOOKUP(Tab_NewTRADER[[#This Row],[ClickTick]],TabCalc[Ticker],TabCalc[Agiotage])</f>
        <v>0.35175595594262754</v>
      </c>
      <c r="N87" s="324" cm="1">
        <f t="array" aca="1" ref="N87" ca="1">_xlfn.XLOOKUP(Tab_NewTRADER[[#This Row],[ClickTick]],ListTickers,Tab2RSIConventional[RSIConv20])</f>
        <v>58</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-0.12182472480948353</v>
      </c>
      <c r="S87" s="683">
        <f ca="1">_xlfn.XLOOKUP(Tab_NewTRADER[[#This Row],[ClickTick]],TabCalc[Ticker],TabCalc[Rev(MinStock)])*(1-Commission)</f>
        <v>-5740.0370000000021</v>
      </c>
      <c r="T87" s="782">
        <f ca="1">_xlfn.XLOOKUP(Tab_NewTRADER[[#This Row],[ClickTick]],TabCalc[Ticker],TabCalc[Agiotage])</f>
        <v>0.35175595594262754</v>
      </c>
      <c r="U87" s="747"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300/300=&gt;-2.4% / -2.4%</v>
      </c>
      <c r="V87" s="739" t="str">
        <f ca="1">_xlfn.XLOOKUP(Tab_NewTRADER[[#This Row],[ClickTick]],[1]!RTData[Ticker_Symbol],[1]!RTData[Currency])</f>
        <v>USD</v>
      </c>
      <c r="W87" s="749">
        <f ca="1">_xlfn.XLOOKUP(Tab_NewTRADER[[#This Row],[ClickTick]],TabCalc[Ticker],TabCalc[M])</f>
        <v>41.484999999999999</v>
      </c>
      <c r="X87" s="1315"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-2.4340999999999998E-2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-69K /166 K$</v>
      </c>
      <c r="AF87" s="1161"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7" s="1530" t="str">
        <f ca="1">TEXT(MIN(Tab_NewTRADER[[#This Row],[L_Bn]],Tab_NewTRADER[[#This Row],[N]]),"#,#0")&amp;" x "&amp;TEXT(Tab_NewTRADER[[#This Row],[L_Bp]],"#,#0.#0")</f>
        <v>1,000 x -47.24</v>
      </c>
      <c r="AH87" s="1530" t="str" cm="1">
        <f t="array" aca="1" ref="AH87" ca="1">_xlfn.IFS(Tab_NewTRADER[[#This Row],[M_State]]=Sale_Back,Tab_NewTRADER[[#This Row],[Sale_Back_$]], TRUE,"M = "&amp;Tab_NewTRADER[[#This Row],[M]])</f>
        <v>M = 41.485</v>
      </c>
      <c r="AI87" s="1433" cm="1">
        <f t="array" aca="1" ref="AI87" ca="1">IF(Tab_NewTRADER[[#This Row],[M_State]]=MUp,_xlfn.IFS(Tab_NewTRADER[[#This Row],[M_State]]=MUp,MIN(Tab_NewTRADER[[#This Row],[N]],Tab_NewTRADER[[#This Row],[L_Bn]])*(Tab_NewTRADER[[#This Row],[M]]-Tab_NewTRADER[[#This Row],[L_Sp]])*Tab_NewTRADER[[#This Row],[Scale]]*ComFactor, TRUE,0),0)</f>
        <v>0</v>
      </c>
      <c r="AJ87" s="1433" cm="1">
        <f t="array" aca="1" ref="AJ87" ca="1">_xlfn.IFS(Tab_NewTRADER[[#This Row],[M_State]]=MUp,                 MIN(Tab_NewTRADER[[#This Row],[L_Sn]],Tab_NewTRADER[[#This Row],[N]])*(Tab_NewTRADER[[#This Row],[M]]-Tab_NewTRADER[[#This Row],[A]])*Tab_NewTRADER[[#This Row],[Scale]]*ComFactor, TRUE,0)</f>
        <v>0</v>
      </c>
      <c r="AK87" s="1433" cm="1">
        <f t="array" aca="1" ref="AK87" ca="1">_xlfn.IFS(Tab_NewTRADER[[#This Row],[M_State]]=MUp,                  Tab_NewTRADER[[#This Row],[N]]*(Tab_NewTRADER[[#This Row],[M]]-Tab_NewTRADER[[#This Row],[A]])*Tab_NewTRADER[[#This Row],[Scale]]*ComFactor, TRUE,0)</f>
        <v>0</v>
      </c>
      <c r="AL87" s="1435" t="str">
        <f ca="1">TEXT(Tab_NewTRADER[[#This Row],[L_Sn]],"#,#0")&amp;" x "&amp;TEXT(Tab_NewTRADER[[#This Row],[L_Sp]],"#,#0.#0")</f>
        <v>1,000 x 51.86</v>
      </c>
      <c r="AM87" s="1465" t="str" cm="1">
        <f t="array" aca="1" ref="AM87" ca="1">_xlfn.IFS(Tab_NewTRADER[[#This Row],[M_State]]=RePurchaseGain,TEXT(-Tab_NewTRADER[[#This Row],[Buy_Back]],"#,#0")&amp;"       / "&amp;TEXT(Tab_NewTRADER[[#This Row],[Rev_Buy]],"#,#00.0)%"),TRUE,"M = "&amp;Tab_NewTRADER[[#This Row],[M]])</f>
        <v>M = 41.485</v>
      </c>
      <c r="AN87" s="1435" t="str" cm="1">
        <f t="array" aca="1" ref="AN87" ca="1">_xlfn.IFS(Tab_NewTRADER[[#This Row],[M_State]]=MDown,TEXT(Tab_NewTRADER[[#This Row],[L_Sn]]*(Tab_NewTRADER[[#This Row],[M]]-Tab_NewTRADER[[#This Row],[L_Sp]])*ComFactor,"#,#0")&amp;"       / "&amp;TEXT((TabTRADER[[#This Row],[M]]-TabTRADER[[#This Row],[L_Sp]])/TabTRADER[[#This Row],[M]],"#,#00.0)%"),TRUE,0)</f>
        <v>-10,348       / -25.0)%</v>
      </c>
      <c r="AO87" s="1486" t="str" cm="1">
        <f t="array" aca="1" ref="AO87" ca="1">_xlfn.IFS(Tab_NewTRADER[[#This Row],[M_State]]=MDown,TEXT(Tab_NewTRADER[[#This Row],[N]]*(Tab_NewTRADER[[#This Row],[M]]-Tab_NewTRADER[[#This Row],[A]])*Tab_NewTRADER[[#This Row],[Scale]]*ComFactor,"#,#0")&amp;"       / "&amp;TEXT((TabTRADER[[#This Row],[M]]-TabTRADER[[#This Row],[L_Bp]])/TabTRADER[[#This Row],[M]],"#,#00.0%"),TRUE,0)</f>
        <v>-51,264       / 213.9%</v>
      </c>
      <c r="AP87" s="1435" t="str" cm="1">
        <f t="array" aca="1" ref="AP87" ca="1">_xlfn.IFS(Tab_NewTRADER[[#This Row],[M_State]]=MDown,TEXT(Tab_NewTRADER[[#This Row],[N]]*Tab_NewTRADER[[#This Row],[M]],"#,#0")&amp;" @ "&amp;TEXT(Tab_NewTRADER[[#This Row],[A]],"#,#0.#0"),TRUE,"M = "&amp; Tab_NewTRADER[[#This Row],[M]])</f>
        <v>165,940 @ 54.33</v>
      </c>
      <c r="AQ87" s="1165">
        <f ca="1">Tab_NewTRADER[[#This Row],[N]]*(Tab_NewTRADER[[#This Row],[M]]-Tab_NewTRADER[[#This Row],[A]])*(1-Commission)*Tab_NewTRADER[[#This Row],[Scale]]</f>
        <v>-51264.265459999995</v>
      </c>
      <c r="AR87" s="1165">
        <f ca="1">Tab_NewTRADER[[#This Row],[M]]*Tab_NewTRADER[[#This Row],[N]]*(1-Commission)*Tab_NewTRADER[[#This Row],[Scale]]</f>
        <v>165508.55599999998</v>
      </c>
      <c r="AS87" s="1174" cm="1">
        <f t="array" aca="1" ref="AS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0.23648843574912612</v>
      </c>
      <c r="AT87" s="1174" cm="1">
        <f t="array" aca="1" ref="AT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0.13612484030372432</v>
      </c>
      <c r="AU87" s="825" t="str" cm="1">
        <f t="array" aca="1" ref="AU87" ca="1">_xlfn.IFS(   Tab_NewTRADER[[#This Row],[M_State]]=SellMorePercentGain,                     MIN(Tab_NewTRADER[[#This Row],[L_Sn]],Tab_NewTRADER[[#This Row],[N]])*(Tab_NewTRADER[[#This Row],[M]]-Tab_NewTRADER[[#This Row],[L_Sp]])*(1-Commission)*Tab_NewTRADER[[#This Row],[Scale]],                    TRUE,"")</f>
        <v/>
      </c>
      <c r="AV87" s="1163">
        <f ca="1">_xlfn.XLOOKUP(Tab_NewTRADER[[#This Row],[ClickTick]],TabCalc[Ticker],TabCalc[Ann%RevLB])</f>
        <v>-0.17755830336604886</v>
      </c>
      <c r="AW87" s="1163">
        <f ca="1">_xlfn.XLOOKUP(Tab_NewTRADER[[#This Row],[ClickTick]],TabCalc[Ticker],TabCalc[Up20])</f>
        <v>0</v>
      </c>
      <c r="AX87" s="1175" cm="1">
        <f t="array" aca="1" ref="AX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0.13872484030372431</v>
      </c>
      <c r="AY87" s="825" cm="1">
        <f t="array" aca="1" ref="AY87" ca="1">_xlfn.IFS(         Tab_NewTRADER[[#This Row],[M_State]]=MDown,Tab_NewTRADER[[#This Row],[L_Bn]]*Tab_NewTRADER[[#This Row],[M]]*(-(Tab_NewTRADER[[#This Row],[L_Bp]]+Tab_NewTRADER[[#This Row],[M]])/Tab_NewTRADER[[#This Row],[M]])*(1-Commission)*Tab_NewTRADER[[#This Row],[Scale]],                               TRUE,"")</f>
        <v>5740.0370000000021</v>
      </c>
      <c r="AZ87" s="1174" cm="1">
        <f t="array" aca="1" ref="AZ87" ca="1">_xlfn.IFS(   Tab_NewTRADER[[#This Row],[M_State]]=MUp,Tab_NewTRADER[[#This Row],[TakeGain_A]]-Commission,        Tab_NewTRADER[[#This Row],[M_State]]=MDown,(Tab_NewTRADER[[#This Row],[A]]-Tab_NewTRADER[[#This Row],[M]])/Tab_NewTRADER[[#This Row],[M]]-Commission,                              TRUE,"")</f>
        <v>0.30713785705676749</v>
      </c>
      <c r="BA87" s="825" cm="1">
        <f t="array" aca="1" ref="BA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51264.265459999995</v>
      </c>
      <c r="BB87" s="760" t="str" cm="1">
        <f t="array" aca="1" ref="BB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87" s="736" cm="1">
        <f t="array" aca="1" ref="BC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-5.75</v>
      </c>
      <c r="BD87" s="765" cm="1">
        <f t="array" aca="1" ref="BD87" ca="1">_xlfn.IFS(Tab_NewTRADER[[#This Row],[M_State]]=Sale_Back,"",         Tab_NewTRADER[[#This Row],[M_State]]=MDown, (Tab_NewTRADER[[#This Row],[M]]-Tab_NewTRADER[[#This Row],[A]])/Tab_NewTRADER[[#This Row],[A]]*ComFactor,             TRUE, IFERROR((Tab_NewTRADER[[#This Row],[M]]-Tab_NewTRADER[[#This Row],[A]])/Tab_NewTRADER[[#This Row],[A]]*ComFactor,""))</f>
        <v>-0.23587356581617838</v>
      </c>
      <c r="BE87" s="762" cm="1">
        <f t="array" aca="1" ref="BE87" ca="1">_xlfn.IFS(               Tab_NewTRADER[[#This Row],[M_State]]=NoStock,(Tab_NewTRADER[[#This Row],[L_Sp]]-Tab_NewTRADER[[#This Row],[M]])/Tab_NewTRADER[[#This Row],[M]]-Commission,             Tab_NewTRADER[[#This Row],[A]]&lt;&gt;0,(Tab_NewTRADER[[#This Row],[A]]-Tab_NewTRADER[[#This Row],[M]])/Tab_NewTRADER[[#This Row],[M]]-Commission)</f>
        <v>0.30713785705676749</v>
      </c>
      <c r="BF87" s="324">
        <f ca="1">_xlfn.XLOOKUP(Tab_NewTRADER[[#This Row],[ClickTick]],TabCalc[Ticker],TabCalc[L_Sn])</f>
        <v>1000</v>
      </c>
      <c r="BG87" s="728">
        <f ca="1">_xlfn.XLOOKUP(Tab_NewTRADER[[#This Row],[ClickTick]],TabCalc[Ticker],TabCalc[L_Sp])</f>
        <v>51.86</v>
      </c>
      <c r="BH87" s="764">
        <f ca="1">-IFERROR((Tab_NewTRADER[[#This Row],[M]]-Tab_NewTRADER[[#This Row],[L_Sp]])/Tab_NewTRADER[[#This Row],[L_Sp]],0)</f>
        <v>0.20005784805244892</v>
      </c>
      <c r="BI87" s="729">
        <f ca="1">MIN(Tab_NewTRADER[[#This Row],[L_Sn]],Tab_NewTRADER[[#This Row],[N]])*(Tab_NewTRADER[[#This Row],[M]]-Tab_NewTRADER[[#This Row],[L_Sp]])*(1-Commission)*Tab_NewTRADER[[#This Row],[Scale]]</f>
        <v>-10348.025</v>
      </c>
      <c r="BJ87" s="692">
        <f ca="1">Tab_NewTRADER[[#This Row],[L_Sn]]*(Tab_NewTRADER[[#This Row],[Agiotage]]-Tab_NewTRADER[[#This Row],[M]])/(Tab_NewTRADER[[#This Row],[L_Bn]]*Tab_NewTRADER[[#This Row],[M]])</f>
        <v>-0.99152088812962202</v>
      </c>
      <c r="BK87" s="635">
        <f ca="1">IFERROR((Tab_NewTRADER[[#This Row],[M]]-Tab_NewTRADER[[#This Row],[A]])/Tab_NewTRADER[[#This Row],[A]],0)</f>
        <v>-0.23648843574912612</v>
      </c>
      <c r="BL87" s="638" t="str">
        <f ca="1">TEXT(_xlfn.XLOOKUP(Tab_NewTRADER[[#This Row],[ClickTick]],TabCalc[Ticker],TabCalc[NAfter]),"#,#0")&amp;" : "&amp;TEXT(_xlfn.XLOOKUP(Tab_NewTRADER[[#This Row],[ClickTick]],TabCalc[Ticker],TabCalc[NAfter])*(Tab_NewTRADER[[#This Row],[M]]-Tab_NewTRADER[[#This Row],[A]])*(1-Commission)*Tab_NewTRADER[[#This Row],[Scale]],"#,#0$")</f>
        <v>4,000 : -51,264$</v>
      </c>
      <c r="BM87" s="684">
        <f ca="1">_xlfn.XLOOKUP(Tab_NewTRADER[[#This Row],[ClickTick]],TabCalc[[#This Row],[Ticker]],TabCalc[[#This Row],[GL]])*(1-Commission)</f>
        <v>-69239.008250336221</v>
      </c>
      <c r="BN87" s="684"/>
      <c r="BO87" s="669" t="str">
        <f ca="1">Tab_NewTRADER[[#This Row],[ClickTick]]&amp;": "&amp;_xlfn.XLOOKUP(Tab_NewTRADER[[#This Row],[ClickTick]],TabCalc[Ticker],TabCalc[Pile?])</f>
        <v>OXY: Pile</v>
      </c>
      <c r="BP87" s="351" t="s">
        <v>2024</v>
      </c>
      <c r="BQ87" s="755" t="str" cm="1">
        <f t="array" aca="1" ref="BQ87" ca="1">_xlfn.TEXTJOIN("",,INDEX({"M","A","Y"}, _xlfn.SORTBY({1,2,3}, -CHOOSE({1,2,3}, Tab_NewTRADER[[#This Row],[M]], Tab_NewTRADER[[#This Row],[A]], Tab_NewTRADER[[#This Row],[Agiotage]]))))</f>
        <v>AMY</v>
      </c>
      <c r="BR87" s="902" cm="1">
        <f t="array" aca="1" ref="BR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0.13872484030372431</v>
      </c>
      <c r="BS87" s="679" t="e">
        <f ca="1">Tab_NewTRADER[[#This Row],[L_Sn]]*Tab_NewTRADER[[#This Row],[L_Sp]]+Tab_NewTRADER[[#This Row],[SellMore]]*Tab_NewTRADER[[#This Row],[M]]</f>
        <v>#N/A</v>
      </c>
      <c r="BT87" s="679" t="e">
        <f ca="1">INDEX(
  INDEX(TabConsolid[], , _xlfn.XMATCH(Tab_NewTRADER[[#This Row],[ClickTick]]&amp;1, TabConsolid[#Headers])),
  MATCH(
    -Tab_NewTRADER[[#This Row],[M]],
    INDEX(TabConsolid[], , _xlfn.XMATCH(Tab_NewTRADER[[#This Row],[ClickTick]]&amp;2, TabConsolid[#Headers])),
    -1
  )
)</f>
        <v>#N/A</v>
      </c>
      <c r="BU87" s="679" cm="1">
        <f t="array" aca="1" ref="BU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V87" s="1144" t="e">
        <f ca="1">Tab_NewTRADER[[#This Row],[ReBuy]]/(Tab_NewTRADER[[#This Row],[L_Sn]]+Tab_NewTRADER[[#This Row],[SellMore]])</f>
        <v>#N/A</v>
      </c>
      <c r="BW87" s="687">
        <f ca="1">((_xlfn.XLOOKUP(Tab_NewTRADER[[#This Row],[ClickTick]],TabCalc[Ticker],TabCalc[NAfter])+Tab_NewTRADER[[#This Row],[L_Sn]])*(Tab_NewTRADER[[#This Row],[Agiotage]]-Tab_NewTRADER[[#This Row],[M]]))/(Tab_NewTRADER[[#This Row],[L_Sn]]*_xlfn.XLOOKUP(Tab_NewTRADER[[#This Row],[ClickTick]],TabCalc[Ticker],TabCalc[NAfter]))</f>
        <v>-5.1416555055071714E-2</v>
      </c>
      <c r="BX87" s="687">
        <f ca="1">(Tab_NewTRADER[[#This Row],[M]]-Tab_NewTRADER[[#This Row],[Agiotage]])/(Tab_NewTRADER[[#This Row],[M]]-Tab_NewTRADER[[#This Row],[A]])-1</f>
        <v>-4.2011614516591047</v>
      </c>
      <c r="BY87" s="1262">
        <f ca="1">_xlfn.XMATCH(Tab_NewTRADER[[#This Row],[ClickTick]]&amp;1, TabConsolid[#Headers])</f>
        <v>257</v>
      </c>
      <c r="BZ87" t="str">
        <f ca="1">IF(ABS(Tab_NewTRADER[[#This Row],[L_Bp]])&gt;=Tab_NewTRADER[[#This Row],[M]],"OK")</f>
        <v>OK</v>
      </c>
    </row>
    <row r="88" spans="1:78" ht="23" hidden="1" thickBot="1" x14ac:dyDescent="0.35">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+120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0.3%</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1,023</v>
      </c>
      <c r="F88" s="226" t="str">
        <f ca="1">TRUNC(TabCalc[[#This Row],[L_B1p]],2)&amp;"x"&amp;TabCalc[[#This Row],[L_B1n]]&amp;"=   "&amp;TEXT(TabCalc[[#This Row],[ReverseS1]],"#,#0")&amp;"$"</f>
        <v>-27.92x2000=   -4,656$</v>
      </c>
      <c r="G88" s="225" t="str">
        <f ca="1">IFERROR(TRUNC(_xlfn.XLOOKUP(Tab_NewTRADER[[#This Row],[ClickTick]],TabCalc[Ticker],ListLastSalep),2)&amp;"x"&amp;_xlfn.XLOOKUP(Tab_NewTRADER[[#This Row],[ClickTick]],TabCalc[Ticker],ListLastSalen)&amp;"=   "&amp;TEXT(-_xlfn.XLOOKUP(Tab_NewTRADER[[#This Row],[ClickTick]],TabCalc[Ticker],ListReverseB),"#,#0")&amp;"$","")</f>
        <v>29.9x2010=   -9,823$</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19.5% = 1,023</v>
      </c>
      <c r="I88" s="226" t="str">
        <f ca="1">IFERROR(TRUNC(TabCalc[[#This Row],[L_S1p]],2)&amp;"x"&amp;TabCalc[[#This Row],[L_S1n]]&amp;"=   "&amp;TEXT(TabCalc[[#This Row],[ReverseB1]],"#,#0"),"")</f>
        <v>28.22x1990=   6,388</v>
      </c>
      <c r="J88" s="295">
        <f ca="1">_xlfn.XLOOKUP(Tab_NewTRADER[[#This Row],[ClickTick]],TabCalc[Ticker],ListGravity)</f>
        <v>1.1493863681790926</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7504.5</v>
      </c>
      <c r="M88" s="323">
        <f ca="1">_xlfn.XLOOKUP(Tab_NewTRADER[[#This Row],[ClickTick]],TabCalc[Ticker],TabCalc[Agiotage])</f>
        <v>0.27609049062415064</v>
      </c>
      <c r="N88" s="324" cm="1">
        <f t="array" aca="1" ref="N88" ca="1">_xlfn.XLOOKUP(Tab_NewTRADER[[#This Row],[ClickTick]],ListTickers,Tab2RSIConventional[RSIConv20])</f>
        <v>34</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3.0072173215717436E-3</v>
      </c>
      <c r="S88" s="683">
        <f ca="1">_xlfn.XLOOKUP(Tab_NewTRADER[[#This Row],[ClickTick]],TabCalc[Ticker],TabCalc[Rev(MinStock)])*(1-Commission)</f>
        <v>119.68799999999887</v>
      </c>
      <c r="T88" s="782">
        <f ca="1">_xlfn.XLOOKUP(Tab_NewTRADER[[#This Row],[ClickTick]],TabCalc[Ticker],TabCalc[Agiotage])</f>
        <v>0.27609049062415064</v>
      </c>
      <c r="U88" s="747"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-552/-552=&gt;-1.7% / -1.7%</v>
      </c>
      <c r="V88" s="739" t="str">
        <f ca="1">_xlfn.XLOOKUP(Tab_NewTRADER[[#This Row],[ClickTick]],[1]!RTData[Ticker_Symbol],[1]!RTData[Currency])</f>
        <v>USD</v>
      </c>
      <c r="W88" s="749">
        <f ca="1">_xlfn.XLOOKUP(Tab_NewTRADER[[#This Row],[ClickTick]],TabCalc[Ticker],TabCalc[M])</f>
        <v>25.015000000000001</v>
      </c>
      <c r="X88" s="1315"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-1.7092E-2</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/40 K$</v>
      </c>
      <c r="AF88" s="1161"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8" s="1530" t="str">
        <f ca="1">TEXT(MIN(Tab_NewTRADER[[#This Row],[L_Bn]],Tab_NewTRADER[[#This Row],[N]]),"#,#0")&amp;" x "&amp;TEXT(Tab_NewTRADER[[#This Row],[L_Bp]],"#,#0.#0")</f>
        <v>1,600 x -24.94</v>
      </c>
      <c r="AH88" s="1530" cm="1">
        <f t="array" aca="1" ref="AH88" ca="1">_xlfn.IFS(Tab_NewTRADER[[#This Row],[M_State]]=Sale_Back,Tab_NewTRADER[[#This Row],[Sale_Back_$]], TRUE,"M = "&amp;Tab_NewTRADER[[#This Row],[M]])</f>
        <v>119.68799999999887</v>
      </c>
      <c r="AI88" s="1433" cm="1">
        <f t="array" aca="1" ref="AI88" ca="1">IF(Tab_NewTRADER[[#This Row],[M_State]]=MUp,_xlfn.IFS(Tab_NewTRADER[[#This Row],[M_State]]=MUp,MIN(Tab_NewTRADER[[#This Row],[N]],Tab_NewTRADER[[#This Row],[L_Bn]])*(Tab_NewTRADER[[#This Row],[M]]-Tab_NewTRADER[[#This Row],[L_Sp]])*Tab_NewTRADER[[#This Row],[Scale]]*ComFactor, TRUE,0),0)</f>
        <v>0</v>
      </c>
      <c r="AJ88" s="1433" cm="1">
        <f t="array" aca="1" ref="AJ88" ca="1">_xlfn.IFS(Tab_NewTRADER[[#This Row],[M_State]]=MUp,                 MIN(Tab_NewTRADER[[#This Row],[L_Sn]],Tab_NewTRADER[[#This Row],[N]])*(Tab_NewTRADER[[#This Row],[M]]-Tab_NewTRADER[[#This Row],[A]])*Tab_NewTRADER[[#This Row],[Scale]]*ComFactor, TRUE,0)</f>
        <v>0</v>
      </c>
      <c r="AK88" s="1433" cm="1">
        <f t="array" aca="1" ref="AK88" ca="1">_xlfn.IFS(Tab_NewTRADER[[#This Row],[M_State]]=MUp,                  Tab_NewTRADER[[#This Row],[N]]*(Tab_NewTRADER[[#This Row],[M]]-Tab_NewTRADER[[#This Row],[A]])*Tab_NewTRADER[[#This Row],[Scale]]*ComFactor, TRUE,0)</f>
        <v>0</v>
      </c>
      <c r="AL88" s="1435" t="str">
        <f ca="1">TEXT(Tab_NewTRADER[[#This Row],[L_Sn]],"#,#0")&amp;" x "&amp;TEXT(Tab_NewTRADER[[#This Row],[L_Sp]],"#,#0.#0")</f>
        <v>2,010 x 29.90</v>
      </c>
      <c r="AM88" s="1465" t="str" cm="1">
        <f t="array" aca="1" ref="AM88" ca="1">_xlfn.IFS(Tab_NewTRADER[[#This Row],[M_State]]=RePurchaseGain,TEXT(-Tab_NewTRADER[[#This Row],[Buy_Back]],"#,#0")&amp;"       / "&amp;TEXT(Tab_NewTRADER[[#This Row],[Rev_Buy]],"#,#00.0)%"),TRUE,"M = "&amp;Tab_NewTRADER[[#This Row],[M]])</f>
        <v>M = 25.015</v>
      </c>
      <c r="AN88" s="1435" cm="1">
        <f t="array" aca="1" ref="AN88" ca="1">_xlfn.IFS(Tab_NewTRADER[[#This Row],[M_State]]=MDown,TEXT(Tab_NewTRADER[[#This Row],[L_Sn]]*(Tab_NewTRADER[[#This Row],[M]]-Tab_NewTRADER[[#This Row],[L_Sp]])*ComFactor,"#,#0")&amp;"       / "&amp;TEXT((TabTRADER[[#This Row],[M]]-TabTRADER[[#This Row],[L_Sp]])/TabTRADER[[#This Row],[M]],"#,#00.0)%"),TRUE,0)</f>
        <v>0</v>
      </c>
      <c r="AO88" s="1486" cm="1">
        <f t="array" aca="1" ref="AO88" ca="1">_xlfn.IFS(Tab_NewTRADER[[#This Row],[M_State]]=MDown,TEXT(Tab_NewTRADER[[#This Row],[N]]*(Tab_NewTRADER[[#This Row],[M]]-Tab_NewTRADER[[#This Row],[A]])*Tab_NewTRADER[[#This Row],[Scale]]*ComFactor,"#,#0")&amp;"       / "&amp;TEXT((TabTRADER[[#This Row],[M]]-TabTRADER[[#This Row],[L_Bp]])/TabTRADER[[#This Row],[M]],"#,#00.0%"),TRUE,0)</f>
        <v>0</v>
      </c>
      <c r="AP88" s="1435" t="str" cm="1">
        <f t="array" aca="1" ref="AP88" ca="1">_xlfn.IFS(Tab_NewTRADER[[#This Row],[M_State]]=MDown,TEXT(Tab_NewTRADER[[#This Row],[N]]*Tab_NewTRADER[[#This Row],[M]],"#,#0")&amp;" @ "&amp;TEXT(Tab_NewTRADER[[#This Row],[A]],"#,#0.#0"),TRUE,"M = "&amp; Tab_NewTRADER[[#This Row],[M]])</f>
        <v>M = 25.015</v>
      </c>
      <c r="AQ88" s="1165">
        <f ca="1">Tab_NewTRADER[[#This Row],[N]]*(Tab_NewTRADER[[#This Row],[M]]-Tab_NewTRADER[[#This Row],[A]])*(1-Commission)*Tab_NewTRADER[[#This Row],[Scale]]</f>
        <v>119.68799999999887</v>
      </c>
      <c r="AR88" s="1165">
        <f ca="1">Tab_NewTRADER[[#This Row],[M]]*Tab_NewTRADER[[#This Row],[N]]*(1-Commission)*Tab_NewTRADER[[#This Row],[Scale]]</f>
        <v>39919.937599999997</v>
      </c>
      <c r="AS88" s="1174" cm="1">
        <f t="array" aca="1" ref="AS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3.0072173215717436E-3</v>
      </c>
      <c r="AT88" s="1174" t="str" cm="1">
        <f t="array" aca="1" ref="AT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8" s="825" t="str" cm="1">
        <f t="array" aca="1" ref="AU88" ca="1">_xlfn.IFS(   Tab_NewTRADER[[#This Row],[M_State]]=SellMorePercentGain,                     MIN(Tab_NewTRADER[[#This Row],[L_Sn]],Tab_NewTRADER[[#This Row],[N]])*(Tab_NewTRADER[[#This Row],[M]]-Tab_NewTRADER[[#This Row],[L_Sp]])*(1-Commission)*Tab_NewTRADER[[#This Row],[Scale]],                    TRUE,"")</f>
        <v/>
      </c>
      <c r="AV88" s="1163">
        <f ca="1">_xlfn.XLOOKUP(Tab_NewTRADER[[#This Row],[ClickTick]],TabCalc[Ticker],TabCalc[Ann%RevLB])</f>
        <v>2.9823642858562748E-3</v>
      </c>
      <c r="AW88" s="1163">
        <f ca="1">_xlfn.XLOOKUP(Tab_NewTRADER[[#This Row],[ClickTick]],TabCalc[Ticker],TabCalc[Up20])</f>
        <v>0</v>
      </c>
      <c r="AX88" s="1175" t="str" cm="1">
        <f t="array" aca="1" ref="AX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8" s="825" t="str" cm="1">
        <f t="array" aca="1" ref="AY88" ca="1">_xlfn.IFS(         Tab_NewTRADER[[#This Row],[M_State]]=MDown,Tab_NewTRADER[[#This Row],[L_Bn]]*Tab_NewTRADER[[#This Row],[M]]*(-(Tab_NewTRADER[[#This Row],[L_Bp]]+Tab_NewTRADER[[#This Row],[M]])/Tab_NewTRADER[[#This Row],[M]])*(1-Commission)*Tab_NewTRADER[[#This Row],[Scale]],                               TRUE,"")</f>
        <v/>
      </c>
      <c r="AZ88" s="1174" t="str" cm="1">
        <f t="array" aca="1" ref="AZ88" ca="1">_xlfn.IFS(   Tab_NewTRADER[[#This Row],[M_State]]=MUp,Tab_NewTRADER[[#This Row],[TakeGain_A]]-Commission,        Tab_NewTRADER[[#This Row],[M_State]]=MDown,(Tab_NewTRADER[[#This Row],[A]]-Tab_NewTRADER[[#This Row],[M]])/Tab_NewTRADER[[#This Row],[M]]-Commission,                              TRUE,"")</f>
        <v/>
      </c>
      <c r="BA88" s="760" cm="1">
        <f t="array" aca="1" ref="BA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120.04792782678312</v>
      </c>
      <c r="BB88" s="760" t="str" cm="1">
        <f t="array" aca="1" ref="BB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C88" s="736" t="str" cm="1">
        <f t="array" aca="1" ref="BC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88" s="765" t="str" cm="1">
        <f t="array" aca="1" ref="BD88" ca="1">_xlfn.IFS(Tab_NewTRADER[[#This Row],[M_State]]=Sale_Back,"",         Tab_NewTRADER[[#This Row],[M_State]]=MDown, (Tab_NewTRADER[[#This Row],[M]]-Tab_NewTRADER[[#This Row],[A]])/Tab_NewTRADER[[#This Row],[A]]*ComFactor,             TRUE, IFERROR((Tab_NewTRADER[[#This Row],[M]]-Tab_NewTRADER[[#This Row],[A]])/Tab_NewTRADER[[#This Row],[A]]*ComFactor,""))</f>
        <v/>
      </c>
      <c r="BE88" s="762" cm="1">
        <f t="array" aca="1" ref="BE88" ca="1">_xlfn.IFS(               Tab_NewTRADER[[#This Row],[M_State]]=NoStock,(Tab_NewTRADER[[#This Row],[L_Sp]]-Tab_NewTRADER[[#This Row],[M]])/Tab_NewTRADER[[#This Row],[M]]-Commission,             Tab_NewTRADER[[#This Row],[A]]&lt;&gt;0,(Tab_NewTRADER[[#This Row],[A]]-Tab_NewTRADER[[#This Row],[M]])/Tab_NewTRADER[[#This Row],[M]]-Commission)</f>
        <v>-5.5982010793523603E-3</v>
      </c>
      <c r="BF88" s="324">
        <f ca="1">_xlfn.XLOOKUP(Tab_NewTRADER[[#This Row],[ClickTick]],TabCalc[Ticker],TabCalc[L_Sn])</f>
        <v>2010</v>
      </c>
      <c r="BG88" s="728">
        <f ca="1">_xlfn.XLOOKUP(Tab_NewTRADER[[#This Row],[ClickTick]],TabCalc[Ticker],TabCalc[L_Sp])</f>
        <v>29.902200000000001</v>
      </c>
      <c r="BH88" s="764">
        <f ca="1">-IFERROR((Tab_NewTRADER[[#This Row],[M]]-Tab_NewTRADER[[#This Row],[L_Sp]])/Tab_NewTRADER[[#This Row],[L_Sp]],0)</f>
        <v>0.16343947936941094</v>
      </c>
      <c r="BI88" s="729">
        <f ca="1">MIN(Tab_NewTRADER[[#This Row],[L_Sn]],Tab_NewTRADER[[#This Row],[N]])*(Tab_NewTRADER[[#This Row],[M]]-Tab_NewTRADER[[#This Row],[L_Sp]])*(1-Commission)*Tab_NewTRADER[[#This Row],[Scale]]</f>
        <v>-7799.1892479999997</v>
      </c>
      <c r="BJ88" s="692">
        <f ca="1">Tab_NewTRADER[[#This Row],[L_Sn]]*(Tab_NewTRADER[[#This Row],[Agiotage]]-Tab_NewTRADER[[#This Row],[M]])/(Tab_NewTRADER[[#This Row],[L_Bn]]*Tab_NewTRADER[[#This Row],[M]])</f>
        <v>-1.2423847719829466</v>
      </c>
      <c r="BK88" s="635">
        <f ca="1">IFERROR((Tab_NewTRADER[[#This Row],[M]]-Tab_NewTRADER[[#This Row],[A]])/Tab_NewTRADER[[#This Row],[A]],0)</f>
        <v>3.0072173215717436E-3</v>
      </c>
      <c r="BL88" s="638" t="str">
        <f ca="1">TEXT(_xlfn.XLOOKUP(Tab_NewTRADER[[#This Row],[ClickTick]],TabCalc[Ticker],TabCalc[NAfter]),"#,#0")&amp;" : "&amp;TEXT(_xlfn.XLOOKUP(Tab_NewTRADER[[#This Row],[ClickTick]],TabCalc[Ticker],TabCalc[NAfter])*(Tab_NewTRADER[[#This Row],[M]]-Tab_NewTRADER[[#This Row],[A]])*(1-Commission)*Tab_NewTRADER[[#This Row],[Scale]],"#,#0$")</f>
        <v>1,600 : 120$</v>
      </c>
      <c r="BM88" s="684">
        <f ca="1">_xlfn.XLOOKUP(Tab_NewTRADER[[#This Row],[ClickTick]],TabCalc[[#This Row],[Ticker]],TabCalc[[#This Row],[GL]])*(1-Commission)</f>
        <v>-8136.6080749527227</v>
      </c>
      <c r="BN88" s="684"/>
      <c r="BO88" s="669" t="str">
        <f ca="1">Tab_NewTRADER[[#This Row],[ClickTick]]&amp;": "&amp;_xlfn.XLOOKUP(Tab_NewTRADER[[#This Row],[ClickTick]],TabCalc[Ticker],TabCalc[Pile?])</f>
        <v xml:space="preserve">PFE: </v>
      </c>
      <c r="BP88" s="351" t="s">
        <v>2029</v>
      </c>
      <c r="BQ88" s="755" t="str" cm="1">
        <f t="array" aca="1" ref="BQ88" ca="1">_xlfn.TEXTJOIN("",,INDEX({"M","A","Y"}, _xlfn.SORTBY({1,2,3}, -CHOOSE({1,2,3}, Tab_NewTRADER[[#This Row],[M]], Tab_NewTRADER[[#This Row],[A]], Tab_NewTRADER[[#This Row],[Agiotage]]))))</f>
        <v>MAY</v>
      </c>
      <c r="BR88" s="902" t="str" cm="1">
        <f t="array" aca="1" ref="BR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8" s="679">
        <f ca="1">Tab_NewTRADER[[#This Row],[L_Sn]]*Tab_NewTRADER[[#This Row],[L_Sp]]+Tab_NewTRADER[[#This Row],[SellMore]]*Tab_NewTRADER[[#This Row],[M]]</f>
        <v>100127.42199999999</v>
      </c>
      <c r="BT88" s="679">
        <f ca="1">INDEX(
  INDEX(TabConsolid[], , _xlfn.XMATCH(Tab_NewTRADER[[#This Row],[ClickTick]]&amp;1, TabConsolid[#Headers])),
  MATCH(
    -Tab_NewTRADER[[#This Row],[M]],
    INDEX(TabConsolid[], , _xlfn.XMATCH(Tab_NewTRADER[[#This Row],[ClickTick]]&amp;2, TabConsolid[#Headers])),
    -1
  )
)</f>
        <v>1600</v>
      </c>
      <c r="BU88" s="679" cm="1">
        <f t="array" aca="1" ref="BU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8" s="1144">
        <f ca="1">Tab_NewTRADER[[#This Row],[ReBuy]]/(Tab_NewTRADER[[#This Row],[L_Sn]]+Tab_NewTRADER[[#This Row],[SellMore]])</f>
        <v>27.736127977839331</v>
      </c>
      <c r="BW88" s="687">
        <f ca="1">((_xlfn.XLOOKUP(Tab_NewTRADER[[#This Row],[ClickTick]],TabCalc[Ticker],TabCalc[NAfter])+Tab_NewTRADER[[#This Row],[L_Sn]])*(Tab_NewTRADER[[#This Row],[Agiotage]]-Tab_NewTRADER[[#This Row],[M]]))/(Tab_NewTRADER[[#This Row],[L_Sn]]*_xlfn.XLOOKUP(Tab_NewTRADER[[#This Row],[ClickTick]],TabCalc[Ticker],TabCalc[NAfter]))</f>
        <v>-2.7769733622153861E-2</v>
      </c>
      <c r="BX88" s="687">
        <f ca="1">(Tab_NewTRADER[[#This Row],[M]]-Tab_NewTRADER[[#This Row],[Agiotage]])/(Tab_NewTRADER[[#This Row],[M]]-Tab_NewTRADER[[#This Row],[A]])-1</f>
        <v>328.85212679168114</v>
      </c>
      <c r="BY88" s="1262">
        <f ca="1">_xlfn.XMATCH(Tab_NewTRADER[[#This Row],[ClickTick]]&amp;1, TabConsolid[#Headers])</f>
        <v>260</v>
      </c>
      <c r="BZ88" t="b">
        <f ca="1">IF(ABS(Tab_NewTRADER[[#This Row],[L_Bp]])&gt;=Tab_NewTRADER[[#This Row],[M]],"OK")</f>
        <v>0</v>
      </c>
    </row>
    <row r="89" spans="1:78" ht="23" hidden="1"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+9,295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17.5%</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6,993/43,000=28,636</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26,375$</v>
      </c>
      <c r="G89" s="225" t="str">
        <f ca="1">IFERROR(TRUNC(_xlfn.XLOOKUP(Tab_NewTRADER[[#This Row],[ClickTick]],TabCalc[Ticker],ListLastSalep),2)&amp;"x"&amp;_xlfn.XLOOKUP(Tab_NewTRADER[[#This Row],[ClickTick]],TabCalc[Ticker],ListLastSalen)&amp;"=   "&amp;TEXT(-_xlfn.XLOOKUP(Tab_NewTRADER[[#This Row],[ClickTick]],TabCalc[Ticker],ListReverseB),"#,#0")&amp;"$","")</f>
        <v>3.95x5000=   700$</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0</v>
      </c>
      <c r="I89" s="226" t="str">
        <f ca="1">IFERROR(TRUNC(TabCalc[[#This Row],[L_S1p]],2)&amp;"x"&amp;TabCalc[[#This Row],[L_S1n]]&amp;"=   "&amp;TEXT(TabCalc[[#This Row],[ReverseB1]],"#,#0"),"")</f>
        <v>5.83x3000=   5,215</v>
      </c>
      <c r="J89" s="295">
        <f ca="1">_xlfn.XLOOKUP(Tab_NewTRADER[[#This Row],[ClickTick]],TabCalc[Ticker],ListGravity)</f>
        <v>0.96553113553113556</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147420</v>
      </c>
      <c r="M89" s="323">
        <f ca="1">_xlfn.XLOOKUP(Tab_NewTRADER[[#This Row],[ClickTick]],TabCalc[Ticker],TabCalc[Agiotage])</f>
        <v>0.28714308244093012</v>
      </c>
      <c r="N89" s="324" cm="1">
        <f t="array" aca="1" ref="N89" ca="1">_xlfn.XLOOKUP(Tab_NewTRADER[[#This Row],[ClickTick]],ListTickers,Tab2RSIConventional[RSIConv20])</f>
        <v>78</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0.21153846153846151</v>
      </c>
      <c r="S89" s="683">
        <f ca="1">_xlfn.XLOOKUP(Tab_NewTRADER[[#This Row],[ClickTick]],TabCalc[Ticker],TabCalc[Rev(MinStock)])*(1-Commission)</f>
        <v>9270.8329999999969</v>
      </c>
      <c r="T89" s="782">
        <f ca="1">_xlfn.XLOOKUP(Tab_NewTRADER[[#This Row],[ClickTick]],TabCalc[Ticker],TabCalc[Agiotage])</f>
        <v>0.28714308244093012</v>
      </c>
      <c r="U89" s="747"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3,440/3,440=&gt;-0.8% / -0.8%</v>
      </c>
      <c r="V89" s="739" t="str">
        <f ca="1">_xlfn.XLOOKUP(Tab_NewTRADER[[#This Row],[ClickTick]],[1]!RTData[Ticker_Symbol],[1]!RTData[Currency])</f>
        <v>USD</v>
      </c>
      <c r="W89" s="749">
        <f ca="1">_xlfn.XLOOKUP(Tab_NewTRADER[[#This Row],[ClickTick]],TabCalc[Ticker],TabCalc[M])</f>
        <v>4.0949999999999998</v>
      </c>
      <c r="X89" s="1315"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-8.4749999999999999E-3</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^33K / 176 K$</v>
      </c>
      <c r="AF89" s="1450"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89" s="1531" t="str">
        <f ca="1">TEXT(MIN(Tab_NewTRADER[[#This Row],[L_Bn]],Tab_NewTRADER[[#This Row],[N]]),"#,#0")&amp;" x "&amp;TEXT(Tab_NewTRADER[[#This Row],[L_Bp]],"#,#0.#0")</f>
        <v>13,000 x -3.38</v>
      </c>
      <c r="AH89" s="1532" t="str" cm="1">
        <f t="array" aca="1" ref="AH89" ca="1">_xlfn.IFS(Tab_NewTRADER[[#This Row],[M_State]]=Sale_Back,Tab_NewTRADER[[#This Row],[Sale_Back_$]], TRUE,"M = "&amp;Tab_NewTRADER[[#This Row],[M]])</f>
        <v>M = 4.095</v>
      </c>
      <c r="AI89" s="1455" cm="1">
        <f t="array" aca="1" ref="AI89" ca="1">IF(Tab_NewTRADER[[#This Row],[M_State]]=MUp,_xlfn.IFS(Tab_NewTRADER[[#This Row],[M_State]]=MUp,MIN(Tab_NewTRADER[[#This Row],[N]],Tab_NewTRADER[[#This Row],[L_Bn]])*(Tab_NewTRADER[[#This Row],[M]]-Tab_NewTRADER[[#This Row],[L_Sp]])*Tab_NewTRADER[[#This Row],[Scale]]*ComFactor, TRUE,0),0)</f>
        <v>1815.2679999999959</v>
      </c>
      <c r="AJ89" s="1459" cm="1">
        <f t="array" aca="1" ref="AJ89" ca="1">_xlfn.IFS(Tab_NewTRADER[[#This Row],[M_State]]=MUp,                 MIN(Tab_NewTRADER[[#This Row],[L_Sn]],Tab_NewTRADER[[#This Row],[N]])*(Tab_NewTRADER[[#This Row],[M]]-Tab_NewTRADER[[#This Row],[A]])*Tab_NewTRADER[[#This Row],[Scale]]*ComFactor, TRUE,0)</f>
        <v>3991.3396511627884</v>
      </c>
      <c r="AK89" s="1459" cm="1">
        <f t="array" aca="1" ref="AK89" ca="1">_xlfn.IFS(Tab_NewTRADER[[#This Row],[M_State]]=MUp,                  Tab_NewTRADER[[#This Row],[N]]*(Tab_NewTRADER[[#This Row],[M]]-Tab_NewTRADER[[#This Row],[A]])*Tab_NewTRADER[[#This Row],[Scale]]*ComFactor, TRUE,0)</f>
        <v>34325.520999999986</v>
      </c>
      <c r="AL89" s="1452" t="str">
        <f ca="1">TEXT(Tab_NewTRADER[[#This Row],[L_Sn]],"#,#0")&amp;" x "&amp;TEXT(Tab_NewTRADER[[#This Row],[L_Sp]],"#,#0.#0")</f>
        <v>5,000 x 3.96</v>
      </c>
      <c r="AM89" s="1465" t="str" cm="1">
        <f t="array" aca="1" ref="AM89" ca="1">_xlfn.IFS(Tab_NewTRADER[[#This Row],[M_State]]=RePurchaseGain,TEXT(-Tab_NewTRADER[[#This Row],[Buy_Back]],"#,#0")&amp;"       / "&amp;TEXT(Tab_NewTRADER[[#This Row],[Rev_Buy]],"#,#00.0)%"),TRUE,"M = "&amp;Tab_NewTRADER[[#This Row],[M]])</f>
        <v>M = 4.095</v>
      </c>
      <c r="AN89" s="1435" cm="1">
        <f t="array" aca="1" ref="AN89" ca="1">_xlfn.IFS(Tab_NewTRADER[[#This Row],[M_State]]=MDown,TEXT(Tab_NewTRADER[[#This Row],[L_Sn]]*(Tab_NewTRADER[[#This Row],[M]]-Tab_NewTRADER[[#This Row],[L_Sp]])*ComFactor,"#,#0")&amp;"       / "&amp;TEXT((TabTRADER[[#This Row],[M]]-TabTRADER[[#This Row],[L_Sp]])/TabTRADER[[#This Row],[M]],"#,#00.0)%"),TRUE,0)</f>
        <v>0</v>
      </c>
      <c r="AO89" s="1486" cm="1">
        <f t="array" aca="1" ref="AO89" ca="1">_xlfn.IFS(Tab_NewTRADER[[#This Row],[M_State]]=MDown,TEXT(Tab_NewTRADER[[#This Row],[N]]*(Tab_NewTRADER[[#This Row],[M]]-Tab_NewTRADER[[#This Row],[A]])*Tab_NewTRADER[[#This Row],[Scale]]*ComFactor,"#,#0")&amp;"       / "&amp;TEXT((TabTRADER[[#This Row],[M]]-TabTRADER[[#This Row],[L_Bp]])/TabTRADER[[#This Row],[M]],"#,#00.0%"),TRUE,0)</f>
        <v>0</v>
      </c>
      <c r="AP89" s="1435" t="str" cm="1">
        <f t="array" aca="1" ref="AP89" ca="1">_xlfn.IFS(Tab_NewTRADER[[#This Row],[M_State]]=MDown,TEXT(Tab_NewTRADER[[#This Row],[N]]*Tab_NewTRADER[[#This Row],[M]],"#,#0")&amp;" @ "&amp;TEXT(Tab_NewTRADER[[#This Row],[A]],"#,#0.#0"),TRUE,"M = "&amp; Tab_NewTRADER[[#This Row],[M]])</f>
        <v>M = 4.095</v>
      </c>
      <c r="AQ89" s="1165">
        <f ca="1">Tab_NewTRADER[[#This Row],[N]]*(Tab_NewTRADER[[#This Row],[M]]-Tab_NewTRADER[[#This Row],[A]])*(1-Commission)*Tab_NewTRADER[[#This Row],[Scale]]</f>
        <v>34325.520999999986</v>
      </c>
      <c r="AR89" s="1165">
        <f ca="1">Tab_NewTRADER[[#This Row],[M]]*Tab_NewTRADER[[#This Row],[N]]*(1-Commission)*Tab_NewTRADER[[#This Row],[Scale]]</f>
        <v>175627.179</v>
      </c>
      <c r="AS89" s="1174" cm="1">
        <f t="array" aca="1" ref="AS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0.24292369591303722</v>
      </c>
      <c r="AT89" s="1174" cm="1">
        <f t="array" aca="1" ref="AT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3.1588034188034117E-2</v>
      </c>
      <c r="AU89" s="825" cm="1">
        <f t="array" aca="1" ref="AU89" ca="1">_xlfn.IFS(   Tab_NewTRADER[[#This Row],[M_State]]=SellMorePercentGain,                     MIN(Tab_NewTRADER[[#This Row],[L_Sn]],Tab_NewTRADER[[#This Row],[N]])*(Tab_NewTRADER[[#This Row],[M]]-Tab_NewTRADER[[#This Row],[L_Sp]])*(1-Commission)*Tab_NewTRADER[[#This Row],[Scale]],                    TRUE,"")</f>
        <v>698.17999999999836</v>
      </c>
      <c r="AV89" s="1163">
        <f ca="1">_xlfn.XLOOKUP(Tab_NewTRADER[[#This Row],[ClickTick]],TabCalc[Ticker],TabCalc[Ann%RevLB])</f>
        <v>1.312997347480106</v>
      </c>
      <c r="AW89" s="1267">
        <f ca="1">_xlfn.XLOOKUP(Tab_NewTRADER[[#This Row],[ClickTick]],TabCalc[Ticker],TabCalc[Up20])</f>
        <v>0</v>
      </c>
      <c r="AX89" s="1175" t="str" cm="1">
        <f t="array" aca="1" ref="AX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89" s="825" t="str" cm="1">
        <f t="array" aca="1" ref="AY89" ca="1">_xlfn.IFS(         Tab_NewTRADER[[#This Row],[M_State]]=MDown,Tab_NewTRADER[[#This Row],[L_Bn]]*Tab_NewTRADER[[#This Row],[M]]*(-(Tab_NewTRADER[[#This Row],[L_Bp]]+Tab_NewTRADER[[#This Row],[M]])/Tab_NewTRADER[[#This Row],[M]])*(1-Commission)*Tab_NewTRADER[[#This Row],[Scale]],                               TRUE,"")</f>
        <v/>
      </c>
      <c r="AZ89" s="1174" cm="1">
        <f t="array" aca="1" ref="AZ89" ca="1">_xlfn.IFS(   Tab_NewTRADER[[#This Row],[M_State]]=MUp,Tab_NewTRADER[[#This Row],[TakeGain_A]]-Commission,        Tab_NewTRADER[[#This Row],[M_State]]=MDown,(Tab_NewTRADER[[#This Row],[A]]-Tab_NewTRADER[[#This Row],[M]])/Tab_NewTRADER[[#This Row],[M]]-Commission,                              TRUE,"")</f>
        <v>0.24032369591303723</v>
      </c>
      <c r="BA89" s="760" cm="1">
        <f t="array" aca="1" ref="BA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42664.003425460549</v>
      </c>
      <c r="BB89" s="760" t="str" cm="1">
        <f t="array" aca="1" ref="BB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-1.0%</v>
      </c>
      <c r="BC89" s="736" t="str" cm="1">
        <f t="array" aca="1" ref="BC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13,000x0.8</v>
      </c>
      <c r="BD89" s="765" cm="1">
        <f t="array" aca="1" ref="BD89" ca="1">_xlfn.IFS(Tab_NewTRADER[[#This Row],[M_State]]=Sale_Back,"",         Tab_NewTRADER[[#This Row],[M_State]]=MDown, (Tab_NewTRADER[[#This Row],[M]]-Tab_NewTRADER[[#This Row],[A]])/Tab_NewTRADER[[#This Row],[A]]*ComFactor,             TRUE, IFERROR((Tab_NewTRADER[[#This Row],[M]]-Tab_NewTRADER[[#This Row],[A]])/Tab_NewTRADER[[#This Row],[A]]*ComFactor,""))</f>
        <v>0.2422920943036633</v>
      </c>
      <c r="BE89" s="762" cm="1">
        <f t="array" aca="1" ref="BE89" ca="1">_xlfn.IFS(               Tab_NewTRADER[[#This Row],[M_State]]=NoStock,(Tab_NewTRADER[[#This Row],[L_Sp]]-Tab_NewTRADER[[#This Row],[M]])/Tab_NewTRADER[[#This Row],[M]]-Commission,             Tab_NewTRADER[[#This Row],[A]]&lt;&gt;0,(Tab_NewTRADER[[#This Row],[A]]-Tab_NewTRADER[[#This Row],[M]])/Tab_NewTRADER[[#This Row],[M]]-Commission)</f>
        <v>-0.19804538149189302</v>
      </c>
      <c r="BF89" s="324">
        <f ca="1">_xlfn.XLOOKUP(Tab_NewTRADER[[#This Row],[ClickTick]],TabCalc[Ticker],TabCalc[L_Sn])</f>
        <v>5000</v>
      </c>
      <c r="BG89" s="728">
        <f ca="1">_xlfn.XLOOKUP(Tab_NewTRADER[[#This Row],[ClickTick]],TabCalc[Ticker],TabCalc[L_Sp])</f>
        <v>3.9550000000000001</v>
      </c>
      <c r="BH89" s="764">
        <f ca="1">-IFERROR((Tab_NewTRADER[[#This Row],[M]]-Tab_NewTRADER[[#This Row],[L_Sp]])/Tab_NewTRADER[[#This Row],[L_Sp]],0)</f>
        <v>-3.5398230088495491E-2</v>
      </c>
      <c r="BI89" s="729">
        <f ca="1">MIN(Tab_NewTRADER[[#This Row],[L_Sn]],Tab_NewTRADER[[#This Row],[N]])*(Tab_NewTRADER[[#This Row],[M]]-Tab_NewTRADER[[#This Row],[L_Sp]])*(1-Commission)*Tab_NewTRADER[[#This Row],[Scale]]</f>
        <v>698.17999999999836</v>
      </c>
      <c r="BJ89" s="692">
        <f ca="1">Tab_NewTRADER[[#This Row],[L_Sn]]*(Tab_NewTRADER[[#This Row],[Agiotage]]-Tab_NewTRADER[[#This Row],[M]])/(Tab_NewTRADER[[#This Row],[L_Bn]]*Tab_NewTRADER[[#This Row],[M]])</f>
        <v>-0.3576459958259669</v>
      </c>
      <c r="BK89" s="635">
        <f ca="1">IFERROR((Tab_NewTRADER[[#This Row],[M]]-Tab_NewTRADER[[#This Row],[A]])/Tab_NewTRADER[[#This Row],[A]],0)</f>
        <v>0.24292369591303722</v>
      </c>
      <c r="BL89" s="638" t="str">
        <f ca="1">TEXT(_xlfn.XLOOKUP(Tab_NewTRADER[[#This Row],[ClickTick]],TabCalc[Ticker],TabCalc[NAfter]),"#,#0")&amp;" : "&amp;TEXT(_xlfn.XLOOKUP(Tab_NewTRADER[[#This Row],[ClickTick]],TabCalc[Ticker],TabCalc[NAfter])*(Tab_NewTRADER[[#This Row],[M]]-Tab_NewTRADER[[#This Row],[A]])*(1-Commission)*Tab_NewTRADER[[#This Row],[Scale]],"#,#0$")</f>
        <v>43,000 : 34,326$</v>
      </c>
      <c r="BM89" s="684">
        <f ca="1">_xlfn.XLOOKUP(Tab_NewTRADER[[#This Row],[ClickTick]],TabCalc[[#This Row],[Ticker]],TabCalc[[#This Row],[GL]])*(1-Commission)</f>
        <v>33121.608591924021</v>
      </c>
      <c r="BN89" s="684"/>
      <c r="BO89" s="669" t="str">
        <f ca="1">Tab_NewTRADER[[#This Row],[ClickTick]]&amp;": "&amp;_xlfn.XLOOKUP(Tab_NewTRADER[[#This Row],[ClickTick]],TabCalc[Ticker],TabCalc[Pile?])</f>
        <v xml:space="preserve">RIG: </v>
      </c>
      <c r="BP89" s="351" t="s">
        <v>2030</v>
      </c>
      <c r="BQ89" s="755" t="str" cm="1">
        <f t="array" aca="1" ref="BQ89" ca="1">_xlfn.TEXTJOIN("",,INDEX({"M","A","Y"}, _xlfn.SORTBY({1,2,3}, -CHOOSE({1,2,3}, Tab_NewTRADER[[#This Row],[M]], Tab_NewTRADER[[#This Row],[A]], Tab_NewTRADER[[#This Row],[Agiotage]]))))</f>
        <v>MAY</v>
      </c>
      <c r="BR89" s="902" cm="1">
        <f t="array" aca="1" ref="BR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3.4188034188034115E-2</v>
      </c>
      <c r="BS89" s="679">
        <f ca="1">Tab_NewTRADER[[#This Row],[L_Sn]]*Tab_NewTRADER[[#This Row],[L_Sp]]+Tab_NewTRADER[[#This Row],[SellMore]]*Tab_NewTRADER[[#This Row],[M]]</f>
        <v>32060</v>
      </c>
      <c r="BT89" s="679">
        <f ca="1">INDEX(
  INDEX(TabConsolid[], , _xlfn.XMATCH(Tab_NewTRADER[[#This Row],[ClickTick]]&amp;1, TabConsolid[#Headers])),
  MATCH(
    -Tab_NewTRADER[[#This Row],[M]],
    INDEX(TabConsolid[], , _xlfn.XMATCH(Tab_NewTRADER[[#This Row],[ClickTick]]&amp;2, TabConsolid[#Headers])),
    -1
  )
)</f>
        <v>3000</v>
      </c>
      <c r="BU89" s="679" cm="1">
        <f t="array" aca="1" ref="BU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V89" s="1144">
        <f ca="1">Tab_NewTRADER[[#This Row],[ReBuy]]/(Tab_NewTRADER[[#This Row],[L_Sn]]+Tab_NewTRADER[[#This Row],[SellMore]])</f>
        <v>4.0075000000000003</v>
      </c>
      <c r="BW89" s="687">
        <f ca="1">((_xlfn.XLOOKUP(Tab_NewTRADER[[#This Row],[ClickTick]],TabCalc[Ticker],TabCalc[NAfter])+Tab_NewTRADER[[#This Row],[L_Sn]])*(Tab_NewTRADER[[#This Row],[Agiotage]]-Tab_NewTRADER[[#This Row],[M]]))/(Tab_NewTRADER[[#This Row],[L_Sn]]*_xlfn.XLOOKUP(Tab_NewTRADER[[#This Row],[ClickTick]],TabCalc[Ticker],TabCalc[NAfter]))</f>
        <v>-8.5012619554807143E-4</v>
      </c>
      <c r="BX89" s="687">
        <f ca="1">(Tab_NewTRADER[[#This Row],[M]]-Tab_NewTRADER[[#This Row],[Agiotage]])/(Tab_NewTRADER[[#This Row],[M]]-Tab_NewTRADER[[#This Row],[A]])-1</f>
        <v>3.7577465481633032</v>
      </c>
      <c r="BY89" s="1262">
        <f ca="1">_xlfn.XMATCH(Tab_NewTRADER[[#This Row],[ClickTick]]&amp;1, TabConsolid[#Headers])</f>
        <v>263</v>
      </c>
      <c r="BZ89" t="b">
        <f ca="1">IF(ABS(Tab_NewTRADER[[#This Row],[L_Bp]])&gt;=Tab_NewTRADER[[#This Row],[M]],"OK")</f>
        <v>0</v>
      </c>
    </row>
    <row r="90" spans="1:78" ht="23" hidden="1" thickBot="1" x14ac:dyDescent="0.35">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16,080$</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-8.2% = 0</v>
      </c>
      <c r="I90" s="226" t="str">
        <f ca="1">IFERROR(TRUNC(TabCalc[[#This Row],[L_S1p]],2)&amp;"x"&amp;TabCalc[[#This Row],[L_S1n]]&amp;"=   "&amp;TEXT(TabCalc[[#This Row],[ReverseB1]],"#,#0"),"")</f>
        <v>33.25x1300=   -7,573</v>
      </c>
      <c r="J90" s="295">
        <f ca="1">_xlfn.XLOOKUP(Tab_NewTRADER[[#This Row],[ClickTick]],TabCalc[Ticker],ListGravity)</f>
        <v>1.0598955854126677</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0.23248882465633719</v>
      </c>
      <c r="N90" s="324" cm="1">
        <f t="array" aca="1" ref="N90" ca="1">_xlfn.XLOOKUP(Tab_NewTRADER[[#This Row],[ClickTick]],ListTickers,Tab2RSIConventional[RSIConv20])</f>
        <v>58</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6.2135252017581438E-2</v>
      </c>
      <c r="S90" s="683">
        <f ca="1">_xlfn.XLOOKUP(Tab_NewTRADER[[#This Row],[ClickTick]],TabCalc[Ticker],TabCalc[Rev(MinStock)])*(1-Commission)</f>
        <v>0</v>
      </c>
      <c r="T90" s="782">
        <f ca="1">_xlfn.XLOOKUP(Tab_NewTRADER[[#This Row],[ClickTick]],TabCalc[Ticker],TabCalc[Agiotage])</f>
        <v>0.23248882465633719</v>
      </c>
      <c r="U90" s="747"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0.1%</v>
      </c>
      <c r="V90" s="739" t="str">
        <f ca="1">_xlfn.XLOOKUP(Tab_NewTRADER[[#This Row],[ClickTick]],[1]!RTData[Ticker_Symbol],[1]!RTData[Currency])</f>
        <v>USD</v>
      </c>
      <c r="W90" s="749">
        <f ca="1">_xlfn.XLOOKUP(Tab_NewTRADER[[#This Row],[ClickTick]],TabCalc[Ticker],TabCalc[M])</f>
        <v>39.075000000000003</v>
      </c>
      <c r="X90" s="1315"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1.1529999999999999E-3</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F90" s="1182"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90" s="1530" t="str">
        <f ca="1">TEXT(MIN(Tab_NewTRADER[[#This Row],[L_Bn]],Tab_NewTRADER[[#This Row],[N]]),"#,#0")&amp;" x "&amp;TEXT(Tab_NewTRADER[[#This Row],[L_Bp]],"#,#0.#0")</f>
        <v>0 x -36.79</v>
      </c>
      <c r="AH90" s="1530" t="str" cm="1">
        <f t="array" aca="1" ref="AH90" ca="1">_xlfn.IFS(Tab_NewTRADER[[#This Row],[M_State]]=Sale_Back,Tab_NewTRADER[[#This Row],[Sale_Back_$]], TRUE,"M = "&amp;Tab_NewTRADER[[#This Row],[M]])</f>
        <v>M = 39.075</v>
      </c>
      <c r="AI90" s="1433" cm="1">
        <f t="array" aca="1" ref="AI90" ca="1">IF(Tab_NewTRADER[[#This Row],[M_State]]=MUp,_xlfn.IFS(Tab_NewTRADER[[#This Row],[M_State]]=MUp,MIN(Tab_NewTRADER[[#This Row],[N]],Tab_NewTRADER[[#This Row],[L_Bn]])*(Tab_NewTRADER[[#This Row],[M]]-Tab_NewTRADER[[#This Row],[L_Sp]])*Tab_NewTRADER[[#This Row],[Scale]]*ComFactor, TRUE,0),0)</f>
        <v>0</v>
      </c>
      <c r="AJ90" s="1433" cm="1">
        <f t="array" aca="1" ref="AJ90" ca="1">_xlfn.IFS(Tab_NewTRADER[[#This Row],[M_State]]=MUp,                 MIN(Tab_NewTRADER[[#This Row],[L_Sn]],Tab_NewTRADER[[#This Row],[N]])*(Tab_NewTRADER[[#This Row],[M]]-Tab_NewTRADER[[#This Row],[A]])*Tab_NewTRADER[[#This Row],[Scale]]*ComFactor, TRUE,0)</f>
        <v>0</v>
      </c>
      <c r="AK90" s="1433" cm="1">
        <f t="array" aca="1" ref="AK90" ca="1">_xlfn.IFS(Tab_NewTRADER[[#This Row],[M_State]]=MUp,                  Tab_NewTRADER[[#This Row],[N]]*(Tab_NewTRADER[[#This Row],[M]]-Tab_NewTRADER[[#This Row],[A]])*Tab_NewTRADER[[#This Row],[Scale]]*ComFactor, TRUE,0)</f>
        <v>0</v>
      </c>
      <c r="AL90" s="1435" t="str">
        <f ca="1">TEXT(Tab_NewTRADER[[#This Row],[L_Sn]],"#,#0")&amp;" x "&amp;TEXT(Tab_NewTRADER[[#This Row],[L_Sp]],"#,#0.#0")</f>
        <v>5,000 x 35.86</v>
      </c>
      <c r="AM90" s="1465" t="str" cm="1">
        <f t="array" aca="1" ref="AM90" ca="1">_xlfn.IFS(Tab_NewTRADER[[#This Row],[M_State]]=RePurchaseGain,TEXT(-Tab_NewTRADER[[#This Row],[Buy_Back]],"#,#0")&amp;"       / "&amp;TEXT(Tab_NewTRADER[[#This Row],[Rev_Buy]],"#,#00.0)%"),TRUE,"M = "&amp;Tab_NewTRADER[[#This Row],[M]])</f>
        <v>M = 39.075</v>
      </c>
      <c r="AN90" s="1435" cm="1">
        <f t="array" aca="1" ref="AN90" ca="1">_xlfn.IFS(Tab_NewTRADER[[#This Row],[M_State]]=MDown,TEXT(Tab_NewTRADER[[#This Row],[L_Sn]]*(Tab_NewTRADER[[#This Row],[M]]-Tab_NewTRADER[[#This Row],[L_Sp]])*ComFactor,"#,#0")&amp;"       / "&amp;TEXT((TabTRADER[[#This Row],[M]]-TabTRADER[[#This Row],[L_Sp]])/TabTRADER[[#This Row],[M]],"#,#00.0)%"),TRUE,0)</f>
        <v>0</v>
      </c>
      <c r="AO90" s="1486" cm="1">
        <f t="array" aca="1" ref="AO90" ca="1">_xlfn.IFS(Tab_NewTRADER[[#This Row],[M_State]]=MDown,TEXT(Tab_NewTRADER[[#This Row],[N]]*(Tab_NewTRADER[[#This Row],[M]]-Tab_NewTRADER[[#This Row],[A]])*Tab_NewTRADER[[#This Row],[Scale]]*ComFactor,"#,#0")&amp;"       / "&amp;TEXT((TabTRADER[[#This Row],[M]]-TabTRADER[[#This Row],[L_Bp]])/TabTRADER[[#This Row],[M]],"#,#00.0%"),TRUE,0)</f>
        <v>0</v>
      </c>
      <c r="AP90" s="1435" t="str" cm="1">
        <f t="array" aca="1" ref="AP90" ca="1">_xlfn.IFS(Tab_NewTRADER[[#This Row],[M_State]]=MDown,TEXT(Tab_NewTRADER[[#This Row],[N]]*Tab_NewTRADER[[#This Row],[M]],"#,#0")&amp;" @ "&amp;TEXT(Tab_NewTRADER[[#This Row],[A]],"#,#0.#0"),TRUE,"M = "&amp; Tab_NewTRADER[[#This Row],[M]])</f>
        <v>M = 39.075</v>
      </c>
      <c r="AQ90" s="1165">
        <f ca="1">Tab_NewTRADER[[#This Row],[N]]*(Tab_NewTRADER[[#This Row],[M]]-Tab_NewTRADER[[#This Row],[A]])*(1-Commission)*Tab_NewTRADER[[#This Row],[Scale]]</f>
        <v>0</v>
      </c>
      <c r="AR90" s="1165">
        <f ca="1">Tab_NewTRADER[[#This Row],[M]]*Tab_NewTRADER[[#This Row],[N]]*(1-Commission)*Tab_NewTRADER[[#This Row],[Scale]]</f>
        <v>0</v>
      </c>
      <c r="AS90" s="1174" t="str" cm="1">
        <f t="array" aca="1" ref="AS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90" s="1174" t="str" cm="1">
        <f t="array" aca="1" ref="AT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90" s="825" t="str" cm="1">
        <f t="array" aca="1" ref="AU90" ca="1">_xlfn.IFS(   Tab_NewTRADER[[#This Row],[M_State]]=SellMorePercentGain,                     MIN(Tab_NewTRADER[[#This Row],[L_Sn]],Tab_NewTRADER[[#This Row],[N]])*(Tab_NewTRADER[[#This Row],[M]]-Tab_NewTRADER[[#This Row],[L_Sp]])*(1-Commission)*Tab_NewTRADER[[#This Row],[Scale]],                    TRUE,"")</f>
        <v/>
      </c>
      <c r="AV90" s="1180">
        <f ca="1">_xlfn.XLOOKUP(Tab_NewTRADER[[#This Row],[ClickTick]],TabCalc[Ticker],TabCalc[Ann%RevLB])</f>
        <v>6.903916890842382E-2</v>
      </c>
      <c r="AW90" s="1266">
        <f ca="1">_xlfn.XLOOKUP(Tab_NewTRADER[[#This Row],[ClickTick]],TabCalc[Ticker],TabCalc[Up20])</f>
        <v>0.5</v>
      </c>
      <c r="AX90" s="1175" t="str" cm="1">
        <f t="array" aca="1" ref="AX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0" s="825" t="str" cm="1">
        <f t="array" aca="1" ref="AY90" ca="1">_xlfn.IFS(         Tab_NewTRADER[[#This Row],[M_State]]=MDown,Tab_NewTRADER[[#This Row],[L_Bn]]*Tab_NewTRADER[[#This Row],[M]]*(-(Tab_NewTRADER[[#This Row],[L_Bp]]+Tab_NewTRADER[[#This Row],[M]])/Tab_NewTRADER[[#This Row],[M]])*(1-Commission)*Tab_NewTRADER[[#This Row],[Scale]],                               TRUE,"")</f>
        <v/>
      </c>
      <c r="AZ90" s="1174" t="str" cm="1">
        <f t="array" aca="1" ref="AZ90" ca="1">_xlfn.IFS(   Tab_NewTRADER[[#This Row],[M_State]]=MUp,Tab_NewTRADER[[#This Row],[TakeGain_A]]-Commission,        Tab_NewTRADER[[#This Row],[M_State]]=MDown,(Tab_NewTRADER[[#This Row],[A]]-Tab_NewTRADER[[#This Row],[M]])/Tab_NewTRADER[[#This Row],[M]]-Commission,                              TRUE,"")</f>
        <v/>
      </c>
      <c r="BA90" s="825" cm="1">
        <f t="array" aca="1" ref="BA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90" s="760" t="str" cm="1">
        <f t="array" aca="1" ref="BB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C90" s="736" t="str" cm="1">
        <f t="array" aca="1" ref="BC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0x39.07</v>
      </c>
      <c r="BD90" s="765" t="str" cm="1">
        <f t="array" aca="1" ref="BD90" ca="1">_xlfn.IFS(Tab_NewTRADER[[#This Row],[M_State]]=Sale_Back,"",         Tab_NewTRADER[[#This Row],[M_State]]=MDown, (Tab_NewTRADER[[#This Row],[M]]-Tab_NewTRADER[[#This Row],[A]])/Tab_NewTRADER[[#This Row],[A]]*ComFactor,             TRUE, IFERROR((Tab_NewTRADER[[#This Row],[M]]-Tab_NewTRADER[[#This Row],[A]])/Tab_NewTRADER[[#This Row],[A]]*ComFactor,""))</f>
        <v/>
      </c>
      <c r="BE90" s="762" cm="1">
        <f t="array" aca="1" ref="BE90" ca="1">_xlfn.IFS(               Tab_NewTRADER[[#This Row],[M_State]]=NoStock,(Tab_NewTRADER[[#This Row],[L_Sp]]-Tab_NewTRADER[[#This Row],[M]])/Tab_NewTRADER[[#This Row],[M]]-Commission,             Tab_NewTRADER[[#This Row],[A]]&lt;&gt;0,(Tab_NewTRADER[[#This Row],[A]]-Tab_NewTRADER[[#This Row],[M]])/Tab_NewTRADER[[#This Row],[M]]-Commission)</f>
        <v>-8.4903262955854153E-2</v>
      </c>
      <c r="BF90" s="324">
        <f ca="1">_xlfn.XLOOKUP(Tab_NewTRADER[[#This Row],[ClickTick]],TabCalc[Ticker],TabCalc[L_Sn])</f>
        <v>5000</v>
      </c>
      <c r="BG90" s="728">
        <f ca="1">_xlfn.XLOOKUP(Tab_NewTRADER[[#This Row],[ClickTick]],TabCalc[Ticker],TabCalc[L_Sp])</f>
        <v>35.859000000000002</v>
      </c>
      <c r="BH90" s="764">
        <f ca="1">-IFERROR((Tab_NewTRADER[[#This Row],[M]]-Tab_NewTRADER[[#This Row],[L_Sp]])/Tab_NewTRADER[[#This Row],[L_Sp]],0)</f>
        <v>-8.9684598008868091E-2</v>
      </c>
      <c r="BI90" s="729">
        <f ca="1">MIN(Tab_NewTRADER[[#This Row],[L_Sn]],Tab_NewTRADER[[#This Row],[N]])*(Tab_NewTRADER[[#This Row],[M]]-Tab_NewTRADER[[#This Row],[L_Sp]])*(1-Commission)*Tab_NewTRADER[[#This Row],[Scale]]</f>
        <v>0</v>
      </c>
      <c r="BJ90" s="692">
        <f ca="1">Tab_NewTRADER[[#This Row],[L_Sn]]*(Tab_NewTRADER[[#This Row],[Agiotage]]-Tab_NewTRADER[[#This Row],[M]])/(Tab_NewTRADER[[#This Row],[L_Bn]]*Tab_NewTRADER[[#This Row],[M]])</f>
        <v>-2.1609786739738892</v>
      </c>
      <c r="BK90" s="635">
        <f ca="1">IFERROR((Tab_NewTRADER[[#This Row],[M]]-Tab_NewTRADER[[#This Row],[A]])/Tab_NewTRADER[[#This Row],[A]],0)</f>
        <v>0</v>
      </c>
      <c r="BL90" s="638" t="str">
        <f ca="1">TEXT(_xlfn.XLOOKUP(Tab_NewTRADER[[#This Row],[ClickTick]],TabCalc[Ticker],TabCalc[NAfter]),"#,#0")&amp;" : "&amp;TEXT(_xlfn.XLOOKUP(Tab_NewTRADER[[#This Row],[ClickTick]],TabCalc[Ticker],TabCalc[NAfter])*(Tab_NewTRADER[[#This Row],[M]]-Tab_NewTRADER[[#This Row],[A]])*(1-Commission)*Tab_NewTRADER[[#This Row],[Scale]],"#,#0$")</f>
        <v>0 : 0$</v>
      </c>
      <c r="BM90" s="684">
        <f ca="1">_xlfn.XLOOKUP(Tab_NewTRADER[[#This Row],[ClickTick]],TabCalc[[#This Row],[Ticker]],TabCalc[[#This Row],[GL]])*(1-Commission)</f>
        <v>9803.4037285427712</v>
      </c>
      <c r="BN90" s="684"/>
      <c r="BO90" s="669" t="str">
        <f ca="1">Tab_NewTRADER[[#This Row],[ClickTick]]&amp;": "&amp;_xlfn.XLOOKUP(Tab_NewTRADER[[#This Row],[ClickTick]],TabCalc[Ticker],TabCalc[Pile?])</f>
        <v>RRC: Pile</v>
      </c>
      <c r="BP90" s="351" t="s">
        <v>2031</v>
      </c>
      <c r="BQ90" s="755" t="str" cm="1">
        <f t="array" aca="1" ref="BQ90" ca="1">_xlfn.TEXTJOIN("",,INDEX({"M","A","Y"}, _xlfn.SORTBY({1,2,3}, -CHOOSE({1,2,3}, Tab_NewTRADER[[#This Row],[M]], Tab_NewTRADER[[#This Row],[A]], Tab_NewTRADER[[#This Row],[Agiotage]]))))</f>
        <v>MYA</v>
      </c>
      <c r="BR90" s="902" t="str" cm="1">
        <f t="array" aca="1" ref="BR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90" s="679" t="e">
        <f ca="1">Tab_NewTRADER[[#This Row],[L_Sn]]*Tab_NewTRADER[[#This Row],[L_Sp]]+Tab_NewTRADER[[#This Row],[SellMore]]*Tab_NewTRADER[[#This Row],[M]]</f>
        <v>#N/A</v>
      </c>
      <c r="BT90" s="679" t="e">
        <f ca="1">INDEX(
  INDEX(TabConsolid[], , _xlfn.XMATCH(Tab_NewTRADER[[#This Row],[ClickTick]]&amp;1, TabConsolid[#Headers])),
  MATCH(
    -Tab_NewTRADER[[#This Row],[M]],
    INDEX(TabConsolid[], , _xlfn.XMATCH(Tab_NewTRADER[[#This Row],[ClickTick]]&amp;2, TabConsolid[#Headers])),
    -1
  )
)</f>
        <v>#N/A</v>
      </c>
      <c r="BU90" s="679" cm="1">
        <f t="array" aca="1" ref="BU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90" s="1144" t="e">
        <f ca="1">Tab_NewTRADER[[#This Row],[ReBuy]]/(Tab_NewTRADER[[#This Row],[L_Sn]]+Tab_NewTRADER[[#This Row],[SellMore]])</f>
        <v>#N/A</v>
      </c>
      <c r="BW90" s="687" t="e">
        <f ca="1">((_xlfn.XLOOKUP(Tab_NewTRADER[[#This Row],[ClickTick]],TabCalc[Ticker],TabCalc[NAfter])+Tab_NewTRADER[[#This Row],[L_Sn]])*(Tab_NewTRADER[[#This Row],[Agiotage]]-Tab_NewTRADER[[#This Row],[M]]))/(Tab_NewTRADER[[#This Row],[L_Sn]]*_xlfn.XLOOKUP(Tab_NewTRADER[[#This Row],[ClickTick]],TabCalc[Ticker],TabCalc[NAfter]))</f>
        <v>#DIV/0!</v>
      </c>
      <c r="BX90" s="687">
        <f ca="1">(Tab_NewTRADER[[#This Row],[M]]-Tab_NewTRADER[[#This Row],[Agiotage]])/(Tab_NewTRADER[[#This Row],[M]]-Tab_NewTRADER[[#This Row],[A]])-1</f>
        <v>-5.9498099720111108E-3</v>
      </c>
      <c r="BY90" s="1262">
        <f ca="1">_xlfn.XMATCH(Tab_NewTRADER[[#This Row],[ClickTick]]&amp;1, TabConsolid[#Headers])</f>
        <v>266</v>
      </c>
      <c r="BZ90" t="b">
        <f ca="1">IF(ABS(Tab_NewTRADER[[#This Row],[L_Bp]])&gt;=Tab_NewTRADER[[#This Row],[M]],"OK")</f>
        <v>0</v>
      </c>
    </row>
    <row r="91" spans="1:78" ht="23" hidden="1"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-11,667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-33.8%</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-1,587$</v>
      </c>
      <c r="G91" s="225" t="str">
        <f ca="1">IFERROR(TRUNC(_xlfn.XLOOKUP(Tab_NewTRADER[[#This Row],[ClickTick]],TabCalc[Ticker],ListLastSalep),2)&amp;"x"&amp;_xlfn.XLOOKUP(Tab_NewTRADER[[#This Row],[ClickTick]],TabCalc[Ticker],ListLastSalen)&amp;"=   "&amp;TEXT(-_xlfn.XLOOKUP(Tab_NewTRADER[[#This Row],[ClickTick]],TabCalc[Ticker],ListReverseB),"#,#0")&amp;"$","")</f>
        <v>61.26x2000=   -7,530$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 = 1,328</v>
      </c>
      <c r="I91" s="226" t="str">
        <f ca="1">IFERROR(TRUNC(TabCalc[[#This Row],[L_S1p]],2)&amp;"x"&amp;TabCalc[[#This Row],[L_S1n]]&amp;"=   "&amp;TEXT(TabCalc[[#This Row],[ReverseB1]],"#,#0"),"")</f>
        <v>67.82x1500=   15,488</v>
      </c>
      <c r="J91" s="295">
        <f ca="1">_xlfn.XLOOKUP(Tab_NewTRADER[[#This Row],[ClickTick]],TabCalc[Ticker],ListGravity)</f>
        <v>1.5393557700669624</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8624.25</v>
      </c>
      <c r="M91" s="323">
        <f ca="1">_xlfn.XLOOKUP(Tab_NewTRADER[[#This Row],[ClickTick]],TabCalc[Ticker],TabCalc[Agiotage])</f>
        <v>0.63831835430216688</v>
      </c>
      <c r="N91" s="324" cm="1">
        <f t="array" aca="1" ref="N91" ca="1">_xlfn.XLOOKUP(Tab_NewTRADER[[#This Row],[ClickTick]],ListTickers,Tab2RSIConventional[RSIConv20])</f>
        <v>22</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-0.25272939953210294</v>
      </c>
      <c r="S91" s="683">
        <f ca="1">_xlfn.XLOOKUP(Tab_NewTRADER[[#This Row],[ClickTick]],TabCalc[Ticker],TabCalc[Rev(MinStock)])*(1-Commission)</f>
        <v>-11636.665799999999</v>
      </c>
      <c r="T91" s="782">
        <f ca="1">_xlfn.XLOOKUP(Tab_NewTRADER[[#This Row],[ClickTick]],TabCalc[Ticker],TabCalc[Agiotage])</f>
        <v>0.63831835430216688</v>
      </c>
      <c r="U91" s="747"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-663/-663=&gt;-0.3% / -0.3%</v>
      </c>
      <c r="V91" s="739" t="str">
        <f ca="1">_xlfn.XLOOKUP(Tab_NewTRADER[[#This Row],[ClickTick]],[1]!RTData[Ticker_Symbol],[1]!RTData[Currency])</f>
        <v>USD</v>
      </c>
      <c r="W91" s="749">
        <f ca="1">_xlfn.XLOOKUP(Tab_NewTRADER[[#This Row],[ClickTick]],TabCalc[Ticker],TabCalc[M])</f>
        <v>57.494999999999997</v>
      </c>
      <c r="X91" s="1315"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-2.516E-3</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-174K /34 K$</v>
      </c>
      <c r="AF91" s="1161"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91" s="1530" t="str">
        <f ca="1">TEXT(MIN(Tab_NewTRADER[[#This Row],[L_Bn]],Tab_NewTRADER[[#This Row],[N]]),"#,#0")&amp;" x "&amp;TEXT(Tab_NewTRADER[[#This Row],[L_Bp]],"#,#0.#0")</f>
        <v>600 x -76.94</v>
      </c>
      <c r="AH91" s="1530" t="str" cm="1">
        <f t="array" aca="1" ref="AH91" ca="1">_xlfn.IFS(Tab_NewTRADER[[#This Row],[M_State]]=Sale_Back,Tab_NewTRADER[[#This Row],[Sale_Back_$]], TRUE,"M = "&amp;Tab_NewTRADER[[#This Row],[M]])</f>
        <v>M = 57.495</v>
      </c>
      <c r="AI91" s="1433" cm="1">
        <f t="array" aca="1" ref="AI91" ca="1">IF(Tab_NewTRADER[[#This Row],[M_State]]=MUp,_xlfn.IFS(Tab_NewTRADER[[#This Row],[M_State]]=MUp,MIN(Tab_NewTRADER[[#This Row],[N]],Tab_NewTRADER[[#This Row],[L_Bn]])*(Tab_NewTRADER[[#This Row],[M]]-Tab_NewTRADER[[#This Row],[L_Sp]])*Tab_NewTRADER[[#This Row],[Scale]]*ComFactor, TRUE,0),0)</f>
        <v>0</v>
      </c>
      <c r="AJ91" s="1433" cm="1">
        <f t="array" aca="1" ref="AJ91" ca="1">_xlfn.IFS(Tab_NewTRADER[[#This Row],[M_State]]=MUp,                 MIN(Tab_NewTRADER[[#This Row],[L_Sn]],Tab_NewTRADER[[#This Row],[N]])*(Tab_NewTRADER[[#This Row],[M]]-Tab_NewTRADER[[#This Row],[A]])*Tab_NewTRADER[[#This Row],[Scale]]*ComFactor, TRUE,0)</f>
        <v>0</v>
      </c>
      <c r="AK91" s="1433" cm="1">
        <f t="array" aca="1" ref="AK91" ca="1">_xlfn.IFS(Tab_NewTRADER[[#This Row],[M_State]]=MUp,                  Tab_NewTRADER[[#This Row],[N]]*(Tab_NewTRADER[[#This Row],[M]]-Tab_NewTRADER[[#This Row],[A]])*Tab_NewTRADER[[#This Row],[Scale]]*ComFactor, TRUE,0)</f>
        <v>0</v>
      </c>
      <c r="AL91" s="1435" t="str">
        <f ca="1">TEXT(Tab_NewTRADER[[#This Row],[L_Sn]],"#,#0")&amp;" x "&amp;TEXT(Tab_NewTRADER[[#This Row],[L_Sp]],"#,#0.#0")</f>
        <v>2,000 x 61.26</v>
      </c>
      <c r="AM91" s="1465" t="str" cm="1">
        <f t="array" aca="1" ref="AM91" ca="1">_xlfn.IFS(Tab_NewTRADER[[#This Row],[M_State]]=RePurchaseGain,TEXT(-Tab_NewTRADER[[#This Row],[Buy_Back]],"#,#0")&amp;"       / "&amp;TEXT(Tab_NewTRADER[[#This Row],[Rev_Buy]],"#,#00.0)%"),TRUE,"M = "&amp;Tab_NewTRADER[[#This Row],[M]])</f>
        <v>M = 57.495</v>
      </c>
      <c r="AN91" s="1435" t="str" cm="1">
        <f t="array" aca="1" ref="AN91" ca="1">_xlfn.IFS(Tab_NewTRADER[[#This Row],[M_State]]=MDown,TEXT(Tab_NewTRADER[[#This Row],[L_Sn]]*(Tab_NewTRADER[[#This Row],[M]]-Tab_NewTRADER[[#This Row],[L_Sp]])*ComFactor,"#,#0")&amp;"       / "&amp;TEXT((TabTRADER[[#This Row],[M]]-TabTRADER[[#This Row],[L_Sp]])/TabTRADER[[#This Row],[M]],"#,#00.0)%"),TRUE,0)</f>
        <v>-7,510       / -06.5)%</v>
      </c>
      <c r="AO91" s="1486" t="str" cm="1">
        <f t="array" aca="1" ref="AO91" ca="1">_xlfn.IFS(Tab_NewTRADER[[#This Row],[M_State]]=MDown,TEXT(Tab_NewTRADER[[#This Row],[N]]*(Tab_NewTRADER[[#This Row],[M]]-Tab_NewTRADER[[#This Row],[A]])*Tab_NewTRADER[[#This Row],[Scale]]*ComFactor,"#,#0")&amp;"       / "&amp;TEXT((TabTRADER[[#This Row],[M]]-TabTRADER[[#This Row],[L_Bp]])/TabTRADER[[#This Row],[M]],"#,#00.0%"),TRUE,0)</f>
        <v>-11,637       / 233.8%</v>
      </c>
      <c r="AP91" s="1435" t="str" cm="1">
        <f t="array" aca="1" ref="AP91" ca="1">_xlfn.IFS(Tab_NewTRADER[[#This Row],[M_State]]=MDown,TEXT(Tab_NewTRADER[[#This Row],[N]]*Tab_NewTRADER[[#This Row],[M]],"#,#0")&amp;" @ "&amp;TEXT(Tab_NewTRADER[[#This Row],[A]],"#,#0.#0"),TRUE,"M = "&amp; Tab_NewTRADER[[#This Row],[M]])</f>
        <v>34,497 @ 76.94</v>
      </c>
      <c r="AQ91" s="1165">
        <f ca="1">Tab_NewTRADER[[#This Row],[N]]*(Tab_NewTRADER[[#This Row],[M]]-Tab_NewTRADER[[#This Row],[A]])*(1-Commission)*Tab_NewTRADER[[#This Row],[Scale]]</f>
        <v>-11636.665799999999</v>
      </c>
      <c r="AR91" s="1165">
        <f ca="1">Tab_NewTRADER[[#This Row],[M]]*Tab_NewTRADER[[#This Row],[N]]*(1-Commission)*Tab_NewTRADER[[#This Row],[Scale]]</f>
        <v>34407.307799999995</v>
      </c>
      <c r="AS91" s="1174" cm="1">
        <f t="array" aca="1" ref="AS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0.25272939953210294</v>
      </c>
      <c r="AT91" s="1174" cm="1">
        <f t="array" aca="1" ref="AT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0.33560332202800247</v>
      </c>
      <c r="AU91" s="825" t="str" cm="1">
        <f t="array" aca="1" ref="AU91" ca="1">_xlfn.IFS(   Tab_NewTRADER[[#This Row],[M_State]]=SellMorePercentGain,                     MIN(Tab_NewTRADER[[#This Row],[L_Sn]],Tab_NewTRADER[[#This Row],[N]])*(Tab_NewTRADER[[#This Row],[M]]-Tab_NewTRADER[[#This Row],[L_Sp]])*(1-Commission)*Tab_NewTRADER[[#This Row],[Scale]],                    TRUE,"")</f>
        <v/>
      </c>
      <c r="AV91" s="1163">
        <f ca="1">_xlfn.XLOOKUP(Tab_NewTRADER[[#This Row],[ClickTick]],TabCalc[Ticker],TabCalc[Ann%RevLB])</f>
        <v>-1.4915177677304436</v>
      </c>
      <c r="AW91" s="1267">
        <f ca="1">_xlfn.XLOOKUP(Tab_NewTRADER[[#This Row],[ClickTick]],TabCalc[Ticker],TabCalc[Up20])</f>
        <v>0</v>
      </c>
      <c r="AX91" s="1175" cm="1">
        <f t="array" aca="1" ref="AX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0.33820332202800246</v>
      </c>
      <c r="AY91" s="825" cm="1">
        <f t="array" aca="1" ref="AY91" ca="1">_xlfn.IFS(         Tab_NewTRADER[[#This Row],[M_State]]=MDown,Tab_NewTRADER[[#This Row],[L_Bn]]*Tab_NewTRADER[[#This Row],[M]]*(-(Tab_NewTRADER[[#This Row],[L_Bp]]+Tab_NewTRADER[[#This Row],[M]])/Tab_NewTRADER[[#This Row],[M]])*(1-Commission)*Tab_NewTRADER[[#This Row],[Scale]],                               TRUE,"")</f>
        <v>11636.665800000001</v>
      </c>
      <c r="AZ91" s="1174" cm="1">
        <f t="array" aca="1" ref="AZ91" ca="1">_xlfn.IFS(   Tab_NewTRADER[[#This Row],[M_State]]=MUp,Tab_NewTRADER[[#This Row],[TakeGain_A]]-Commission,        Tab_NewTRADER[[#This Row],[M_State]]=MDown,(Tab_NewTRADER[[#This Row],[A]]-Tab_NewTRADER[[#This Row],[M]])/Tab_NewTRADER[[#This Row],[M]]-Commission,                              TRUE,"")</f>
        <v>0.33560332202800247</v>
      </c>
      <c r="BA91" s="760" cm="1">
        <f t="array" aca="1" ref="BA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11636.665799999999</v>
      </c>
      <c r="BB91" s="760" t="str" cm="1">
        <f t="array" aca="1" ref="BB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C91" s="736" cm="1">
        <f t="array" aca="1" ref="BC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-19.440000000000001</v>
      </c>
      <c r="BD91" s="765" cm="1">
        <f t="array" aca="1" ref="BD91" ca="1">_xlfn.IFS(Tab_NewTRADER[[#This Row],[M_State]]=Sale_Back,"",         Tab_NewTRADER[[#This Row],[M_State]]=MDown, (Tab_NewTRADER[[#This Row],[M]]-Tab_NewTRADER[[#This Row],[A]])/Tab_NewTRADER[[#This Row],[A]]*ComFactor,             TRUE, IFERROR((Tab_NewTRADER[[#This Row],[M]]-Tab_NewTRADER[[#This Row],[A]])/Tab_NewTRADER[[#This Row],[A]]*ComFactor,""))</f>
        <v>-0.25207230309331946</v>
      </c>
      <c r="BE91" s="762" cm="1">
        <f t="array" aca="1" ref="BE91" ca="1">_xlfn.IFS(               Tab_NewTRADER[[#This Row],[M_State]]=NoStock,(Tab_NewTRADER[[#This Row],[L_Sp]]-Tab_NewTRADER[[#This Row],[M]])/Tab_NewTRADER[[#This Row],[M]]-Commission,             Tab_NewTRADER[[#This Row],[A]]&lt;&gt;0,(Tab_NewTRADER[[#This Row],[A]]-Tab_NewTRADER[[#This Row],[M]])/Tab_NewTRADER[[#This Row],[M]]-Commission)</f>
        <v>0.33560332202800247</v>
      </c>
      <c r="BF91" s="324">
        <f ca="1">_xlfn.XLOOKUP(Tab_NewTRADER[[#This Row],[ClickTick]],TabCalc[Ticker],TabCalc[L_Sn])</f>
        <v>2000</v>
      </c>
      <c r="BG91" s="728">
        <f ca="1">_xlfn.XLOOKUP(Tab_NewTRADER[[#This Row],[ClickTick]],TabCalc[Ticker],TabCalc[L_Sp])</f>
        <v>61.26</v>
      </c>
      <c r="BH91" s="764">
        <f ca="1">-IFERROR((Tab_NewTRADER[[#This Row],[M]]-Tab_NewTRADER[[#This Row],[L_Sp]])/Tab_NewTRADER[[#This Row],[L_Sp]],0)</f>
        <v>6.1459353574926552E-2</v>
      </c>
      <c r="BI91" s="729">
        <f ca="1">MIN(Tab_NewTRADER[[#This Row],[L_Sn]],Tab_NewTRADER[[#This Row],[N]])*(Tab_NewTRADER[[#This Row],[M]]-Tab_NewTRADER[[#This Row],[L_Sp]])*(1-Commission)*Tab_NewTRADER[[#This Row],[Scale]]</f>
        <v>-2253.1266000000005</v>
      </c>
      <c r="BJ91" s="692">
        <f ca="1">Tab_NewTRADER[[#This Row],[L_Sn]]*(Tab_NewTRADER[[#This Row],[Agiotage]]-Tab_NewTRADER[[#This Row],[M]])/(Tab_NewTRADER[[#This Row],[L_Bn]]*Tab_NewTRADER[[#This Row],[M]])</f>
        <v>-3.2963261527493888</v>
      </c>
      <c r="BK91" s="635">
        <f ca="1">IFERROR((Tab_NewTRADER[[#This Row],[M]]-Tab_NewTRADER[[#This Row],[A]])/Tab_NewTRADER[[#This Row],[A]],0)</f>
        <v>-0.25272939953210294</v>
      </c>
      <c r="BL91" s="638" t="str">
        <f ca="1">TEXT(_xlfn.XLOOKUP(Tab_NewTRADER[[#This Row],[ClickTick]],TabCalc[Ticker],TabCalc[NAfter]),"#,#0")&amp;" : "&amp;TEXT(_xlfn.XLOOKUP(Tab_NewTRADER[[#This Row],[ClickTick]],TabCalc[Ticker],TabCalc[NAfter])*(Tab_NewTRADER[[#This Row],[M]]-Tab_NewTRADER[[#This Row],[A]])*(1-Commission)*Tab_NewTRADER[[#This Row],[Scale]],"#,#0$")</f>
        <v>600 : -11,637$</v>
      </c>
      <c r="BM91" s="684">
        <f ca="1">_xlfn.XLOOKUP(Tab_NewTRADER[[#This Row],[ClickTick]],TabCalc[[#This Row],[Ticker]],TabCalc[[#This Row],[GL]])*(1-Commission)</f>
        <v>-173327.64750723599</v>
      </c>
      <c r="BN91" s="684"/>
      <c r="BO91" s="669" t="str">
        <f ca="1">Tab_NewTRADER[[#This Row],[ClickTick]]&amp;": "&amp;_xlfn.XLOOKUP(Tab_NewTRADER[[#This Row],[ClickTick]],TabCalc[Ticker],TabCalc[Pile?])</f>
        <v>XYZ: Pile</v>
      </c>
      <c r="BP91" s="351" t="s">
        <v>2032</v>
      </c>
      <c r="BQ91" s="755" t="str" cm="1">
        <f t="array" aca="1" ref="BQ91" ca="1">_xlfn.TEXTJOIN("",,INDEX({"M","A","Y"}, _xlfn.SORTBY({1,2,3}, -CHOOSE({1,2,3}, Tab_NewTRADER[[#This Row],[M]], Tab_NewTRADER[[#This Row],[A]], Tab_NewTRADER[[#This Row],[Agiotage]]))))</f>
        <v>AMY</v>
      </c>
      <c r="BR91" s="902" cm="1">
        <f t="array" aca="1" ref="BR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0.33820332202800246</v>
      </c>
      <c r="BS91" s="679" t="e">
        <f ca="1">Tab_NewTRADER[[#This Row],[L_Sn]]*Tab_NewTRADER[[#This Row],[L_Sp]]+Tab_NewTRADER[[#This Row],[SellMore]]*Tab_NewTRADER[[#This Row],[M]]</f>
        <v>#N/A</v>
      </c>
      <c r="BT91" s="679" t="e">
        <f ca="1">INDEX(
  INDEX(TabConsolid[], , _xlfn.XMATCH(Tab_NewTRADER[[#This Row],[ClickTick]]&amp;1, TabConsolid[#Headers])),
  MATCH(
    -Tab_NewTRADER[[#This Row],[M]],
    INDEX(TabConsolid[], , _xlfn.XMATCH(Tab_NewTRADER[[#This Row],[ClickTick]]&amp;2, TabConsolid[#Headers])),
    -1
  )
)</f>
        <v>#N/A</v>
      </c>
      <c r="BU91" s="679" cm="1">
        <f t="array" aca="1" ref="BU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91" s="1144" t="e">
        <f ca="1">Tab_NewTRADER[[#This Row],[ReBuy]]/(Tab_NewTRADER[[#This Row],[L_Sn]]+Tab_NewTRADER[[#This Row],[SellMore]])</f>
        <v>#N/A</v>
      </c>
      <c r="BW91" s="687">
        <f ca="1">((_xlfn.XLOOKUP(Tab_NewTRADER[[#This Row],[ClickTick]],TabCalc[Ticker],TabCalc[NAfter])+Tab_NewTRADER[[#This Row],[L_Sn]])*(Tab_NewTRADER[[#This Row],[Agiotage]]-Tab_NewTRADER[[#This Row],[M]]))/(Tab_NewTRADER[[#This Row],[L_Sn]]*_xlfn.XLOOKUP(Tab_NewTRADER[[#This Row],[ClickTick]],TabCalc[Ticker],TabCalc[NAfter]))</f>
        <v>-0.12318947689901198</v>
      </c>
      <c r="BX91" s="687">
        <f ca="1">(Tab_NewTRADER[[#This Row],[M]]-Tab_NewTRADER[[#This Row],[Agiotage]])/(Tab_NewTRADER[[#This Row],[M]]-Tab_NewTRADER[[#This Row],[A]])-1</f>
        <v>-3.9239743710824291</v>
      </c>
      <c r="BY91" s="1262">
        <f ca="1">_xlfn.XMATCH(Tab_NewTRADER[[#This Row],[ClickTick]]&amp;1, TabConsolid[#Headers])</f>
        <v>269</v>
      </c>
      <c r="BZ91" t="str">
        <f ca="1">IF(ABS(Tab_NewTRADER[[#This Row],[L_Bp]])&gt;=Tab_NewTRADER[[#This Row],[M]],"OK")</f>
        <v>OK</v>
      </c>
    </row>
    <row r="92" spans="1:78"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-2,298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456</v>
      </c>
      <c r="F92" s="226" t="str">
        <f ca="1">TRUNC(TabCalc[[#This Row],[L_B1p]],2)&amp;"x"&amp;TabCalc[[#This Row],[L_B1n]]&amp;"=   "&amp;TEXT(TabCalc[[#This Row],[ReverseS1]],"#,#0")&amp;"$"</f>
        <v>-152.18x1000=   41,400$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-10,960$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456</v>
      </c>
      <c r="I92" s="226" t="str">
        <f ca="1">IFERROR(TRUNC(TabCalc[[#This Row],[L_S1p]],2)&amp;"x"&amp;TabCalc[[#This Row],[L_S1n]]&amp;"=   "&amp;TEXT(TabCalc[[#This Row],[ReverseB1]],"#,#0"),"")</f>
        <v>194.28x250=   175</v>
      </c>
      <c r="J92" s="295">
        <f ca="1">_xlfn.XLOOKUP(Tab_NewTRADER[[#This Row],[ClickTick]],TabCalc[Ticker],ListGravity)</f>
        <v>1.18617135034611</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0.33936913170887295</v>
      </c>
      <c r="N92" s="324" cm="1">
        <f t="array" aca="1" ref="N92" ca="1">_xlfn.XLOOKUP(Tab_NewTRADER[[#This Row],[ClickTick]],ListTickers,Tab2RSIConventional[RSIConv20])</f>
        <v>58</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-3.8064003180282233E-2</v>
      </c>
      <c r="S92" s="683">
        <f ca="1">_xlfn.XLOOKUP(Tab_NewTRADER[[#This Row],[ClickTick]],TabCalc[Ticker],TabCalc[Rev(MinStock)])*(1-Commission)</f>
        <v>-2292.0251999999991</v>
      </c>
      <c r="T92" s="782">
        <f ca="1">_xlfn.XLOOKUP(Tab_NewTRADER[[#This Row],[ClickTick]],TabCalc[Ticker],TabCalc[Agiotage])</f>
        <v>0.33936913170887295</v>
      </c>
      <c r="U92" s="747"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1,478/1,478=&gt;0.3% / 0.3%</v>
      </c>
      <c r="V92" s="739" t="str">
        <f ca="1">_xlfn.XLOOKUP(Tab_NewTRADER[[#This Row],[ClickTick]],[1]!RTData[Ticker_Symbol],[1]!RTData[Currency])</f>
        <v>USD</v>
      </c>
      <c r="W92" s="749">
        <f ca="1">_xlfn.XLOOKUP(Tab_NewTRADER[[#This Row],[ClickTick]],TabCalc[Ticker],TabCalc[M])</f>
        <v>193.58</v>
      </c>
      <c r="X92" s="1315"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3.0049999999999999E-3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^283K / 290 K$</v>
      </c>
      <c r="AF92" s="1161"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92" s="1530" t="str">
        <f ca="1">TEXT(MIN(Tab_NewTRADER[[#This Row],[L_Bn]],Tab_NewTRADER[[#This Row],[N]]),"#,#0")&amp;" x "&amp;TEXT(Tab_NewTRADER[[#This Row],[L_Bp]],"#,#0.#0")</f>
        <v>300 x -201.24</v>
      </c>
      <c r="AH92" s="1530" t="str" cm="1">
        <f t="array" aca="1" ref="AH92" ca="1">_xlfn.IFS(Tab_NewTRADER[[#This Row],[M_State]]=Sale_Back,Tab_NewTRADER[[#This Row],[Sale_Back_$]], TRUE,"M = "&amp;Tab_NewTRADER[[#This Row],[M]])</f>
        <v>M = 193.58</v>
      </c>
      <c r="AI92" s="1433" cm="1">
        <f t="array" aca="1" ref="AI92" ca="1">IF(Tab_NewTRADER[[#This Row],[M_State]]=MUp,_xlfn.IFS(Tab_NewTRADER[[#This Row],[M_State]]=MUp,MIN(Tab_NewTRADER[[#This Row],[N]],Tab_NewTRADER[[#This Row],[L_Bn]])*(Tab_NewTRADER[[#This Row],[M]]-Tab_NewTRADER[[#This Row],[L_Sp]])*Tab_NewTRADER[[#This Row],[Scale]]*ComFactor, TRUE,0),0)</f>
        <v>0</v>
      </c>
      <c r="AJ92" s="1433" cm="1">
        <f t="array" aca="1" ref="AJ92" ca="1">_xlfn.IFS(Tab_NewTRADER[[#This Row],[M_State]]=MUp,                 MIN(Tab_NewTRADER[[#This Row],[L_Sn]],Tab_NewTRADER[[#This Row],[N]])*(Tab_NewTRADER[[#This Row],[M]]-Tab_NewTRADER[[#This Row],[A]])*Tab_NewTRADER[[#This Row],[Scale]]*ComFactor, TRUE,0)</f>
        <v>0</v>
      </c>
      <c r="AK92" s="1433" cm="1">
        <f t="array" aca="1" ref="AK92" ca="1">_xlfn.IFS(Tab_NewTRADER[[#This Row],[M_State]]=MUp,                  Tab_NewTRADER[[#This Row],[N]]*(Tab_NewTRADER[[#This Row],[M]]-Tab_NewTRADER[[#This Row],[A]])*Tab_NewTRADER[[#This Row],[Scale]]*ComFactor, TRUE,0)</f>
        <v>0</v>
      </c>
      <c r="AL92" s="1435" t="str">
        <f ca="1">TEXT(Tab_NewTRADER[[#This Row],[L_Sn]],"#,#0")&amp;" x "&amp;TEXT(Tab_NewTRADER[[#This Row],[L_Sp]],"#,#0.#0")</f>
        <v>1,000 x 204.54</v>
      </c>
      <c r="AM92" s="1465" t="str" cm="1">
        <f t="array" aca="1" ref="AM92" ca="1">_xlfn.IFS(Tab_NewTRADER[[#This Row],[M_State]]=RePurchaseGain,TEXT(-Tab_NewTRADER[[#This Row],[Buy_Back]],"#,#0")&amp;"       / "&amp;TEXT(Tab_NewTRADER[[#This Row],[Rev_Buy]],"#,#00.0)%"),TRUE,"M = "&amp;Tab_NewTRADER[[#This Row],[M]])</f>
        <v>M = 193.58</v>
      </c>
      <c r="AN92" s="1435" t="str" cm="1">
        <f t="array" aca="1" ref="AN92" ca="1">_xlfn.IFS(Tab_NewTRADER[[#This Row],[M_State]]=MDown,TEXT(Tab_NewTRADER[[#This Row],[L_Sn]]*(Tab_NewTRADER[[#This Row],[M]]-Tab_NewTRADER[[#This Row],[L_Sp]])*ComFactor,"#,#0")&amp;"       / "&amp;TEXT((TabTRADER[[#This Row],[M]]-TabTRADER[[#This Row],[L_Sp]])/TabTRADER[[#This Row],[M]],"#,#00.0)%"),TRUE,0)</f>
        <v>-10,932       / -05.7)%</v>
      </c>
      <c r="AO92" s="1486" t="str" cm="1">
        <f t="array" aca="1" ref="AO92" ca="1">_xlfn.IFS(Tab_NewTRADER[[#This Row],[M_State]]=MDown,TEXT(Tab_NewTRADER[[#This Row],[N]]*(Tab_NewTRADER[[#This Row],[M]]-Tab_NewTRADER[[#This Row],[A]])*Tab_NewTRADER[[#This Row],[Scale]]*ComFactor,"#,#0")&amp;"       / "&amp;TEXT((TabTRADER[[#This Row],[M]]-TabTRADER[[#This Row],[L_Bp]])/TabTRADER[[#This Row],[M]],"#,#00.0%"),TRUE,0)</f>
        <v>49,519       / 204.0%</v>
      </c>
      <c r="AP92" s="1435" t="str" cm="1">
        <f t="array" aca="1" ref="AP92" ca="1">_xlfn.IFS(Tab_NewTRADER[[#This Row],[M_State]]=MDown,TEXT(Tab_NewTRADER[[#This Row],[N]]*Tab_NewTRADER[[#This Row],[M]],"#,#0")&amp;" @ "&amp;TEXT(Tab_NewTRADER[[#This Row],[A]],"#,#0.#0"),TRUE,"M = "&amp; Tab_NewTRADER[[#This Row],[M]])</f>
        <v>290,370 @ 160.48</v>
      </c>
      <c r="AQ92" s="1165">
        <f ca="1">Tab_NewTRADER[[#This Row],[N]]*(Tab_NewTRADER[[#This Row],[M]]-Tab_NewTRADER[[#This Row],[A]])*(1-Commission)*Tab_NewTRADER[[#This Row],[Scale]]</f>
        <v>49519.029901000016</v>
      </c>
      <c r="AR92" s="1165">
        <f ca="1">Tab_NewTRADER[[#This Row],[M]]*Tab_NewTRADER[[#This Row],[N]]*(1-Commission)*Tab_NewTRADER[[#This Row],[Scale]]</f>
        <v>289615.038</v>
      </c>
      <c r="AS92" s="1174" cm="1">
        <f t="array" aca="1" ref="AS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-0.20624678557996509</v>
      </c>
      <c r="AT92" s="1174" cm="1">
        <f t="array" aca="1" ref="AT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3.6970203533422855E-2</v>
      </c>
      <c r="AU92" s="825" t="str" cm="1">
        <f t="array" aca="1" ref="AU92" ca="1">_xlfn.IFS(   Tab_NewTRADER[[#This Row],[M_State]]=SellMorePercentGain,                     MIN(Tab_NewTRADER[[#This Row],[L_Sn]],Tab_NewTRADER[[#This Row],[N]])*(Tab_NewTRADER[[#This Row],[M]]-Tab_NewTRADER[[#This Row],[L_Sp]])*(1-Commission)*Tab_NewTRADER[[#This Row],[Scale]],                    TRUE,"")</f>
        <v/>
      </c>
      <c r="AV92" s="1163">
        <f ca="1">_xlfn.XLOOKUP(Tab_NewTRADER[[#This Row],[ClickTick]],TabCalc[Ticker],TabCalc[Ann%RevLB])</f>
        <v>-0.32626288440241913</v>
      </c>
      <c r="AW92" s="1163">
        <f ca="1">_xlfn.XLOOKUP(Tab_NewTRADER[[#This Row],[ClickTick]],TabCalc[Ticker],TabCalc[Up20])</f>
        <v>0</v>
      </c>
      <c r="AX92" s="1175" cm="1">
        <f t="array" aca="1" ref="AX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3.9570203533422853E-2</v>
      </c>
      <c r="AY92" s="825" cm="1">
        <f t="array" aca="1" ref="AY92" ca="1">_xlfn.IFS(         Tab_NewTRADER[[#This Row],[M_State]]=MDown,Tab_NewTRADER[[#This Row],[L_Bn]]*Tab_NewTRADER[[#This Row],[M]]*(-(Tab_NewTRADER[[#This Row],[L_Bp]]+Tab_NewTRADER[[#This Row],[M]])/Tab_NewTRADER[[#This Row],[M]])*(1-Commission)*Tab_NewTRADER[[#This Row],[Scale]],                               TRUE,"")</f>
        <v>2292.0251999999991</v>
      </c>
      <c r="AZ92" s="1174" cm="1">
        <f t="array" aca="1" ref="AZ92" ca="1">_xlfn.IFS(   Tab_NewTRADER[[#This Row],[M_State]]=MUp,Tab_NewTRADER[[#This Row],[TakeGain_A]]-Commission,        Tab_NewTRADER[[#This Row],[M_State]]=MDown,(Tab_NewTRADER[[#This Row],[A]]-Tab_NewTRADER[[#This Row],[M]])/Tab_NewTRADER[[#This Row],[M]]-Commission,                              TRUE,"")</f>
        <v>-0.17358224678858014</v>
      </c>
      <c r="BA92" s="760" cm="1">
        <f t="array" aca="1" ref="BA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-49519.029901000016</v>
      </c>
      <c r="BB92" s="760" t="str" cm="1">
        <f t="array" aca="1" ref="BB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C92" s="736" cm="1">
        <f t="array" aca="1" ref="BC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-7.66</v>
      </c>
      <c r="BD92" s="765" cm="1">
        <f t="array" aca="1" ref="BD92" ca="1">_xlfn.IFS(Tab_NewTRADER[[#This Row],[M_State]]=Sale_Back,"",         Tab_NewTRADER[[#This Row],[M_State]]=MDown, (Tab_NewTRADER[[#This Row],[M]]-Tab_NewTRADER[[#This Row],[A]])/Tab_NewTRADER[[#This Row],[A]]*ComFactor,             TRUE, IFERROR((Tab_NewTRADER[[#This Row],[M]]-Tab_NewTRADER[[#This Row],[A]])/Tab_NewTRADER[[#This Row],[A]]*ComFactor,""))</f>
        <v>0.20571054393745716</v>
      </c>
      <c r="BE92" s="762" cm="1">
        <f t="array" aca="1" ref="BE92" ca="1">_xlfn.IFS(               Tab_NewTRADER[[#This Row],[M_State]]=NoStock,(Tab_NewTRADER[[#This Row],[L_Sp]]-Tab_NewTRADER[[#This Row],[M]])/Tab_NewTRADER[[#This Row],[M]]-Commission,             Tab_NewTRADER[[#This Row],[A]]&lt;&gt;0,(Tab_NewTRADER[[#This Row],[A]]-Tab_NewTRADER[[#This Row],[M]])/Tab_NewTRADER[[#This Row],[M]]-Commission)</f>
        <v>-0.17358224678858014</v>
      </c>
      <c r="BF92" s="324">
        <f ca="1">_xlfn.XLOOKUP(Tab_NewTRADER[[#This Row],[ClickTick]],TabCalc[Ticker],TabCalc[L_Sn])</f>
        <v>1000</v>
      </c>
      <c r="BG92" s="728">
        <f ca="1">_xlfn.XLOOKUP(Tab_NewTRADER[[#This Row],[ClickTick]],TabCalc[Ticker],TabCalc[L_Sp])</f>
        <v>204.54</v>
      </c>
      <c r="BH92" s="764">
        <f ca="1">-IFERROR((Tab_NewTRADER[[#This Row],[M]]-Tab_NewTRADER[[#This Row],[L_Sp]])/Tab_NewTRADER[[#This Row],[L_Sp]],0)</f>
        <v>5.358365111958531E-2</v>
      </c>
      <c r="BI92" s="729">
        <f ca="1">MIN(Tab_NewTRADER[[#This Row],[L_Sn]],Tab_NewTRADER[[#This Row],[N]])*(Tab_NewTRADER[[#This Row],[M]]-Tab_NewTRADER[[#This Row],[L_Sp]])*(1-Commission)*Tab_NewTRADER[[#This Row],[Scale]]</f>
        <v>-10931.503999999979</v>
      </c>
      <c r="BJ92" s="692">
        <f ca="1">Tab_NewTRADER[[#This Row],[L_Sn]]*(Tab_NewTRADER[[#This Row],[Agiotage]]-Tab_NewTRADER[[#This Row],[M]])/(Tab_NewTRADER[[#This Row],[L_Bn]]*Tab_NewTRADER[[#This Row],[M]])</f>
        <v>-3.3274895972085807</v>
      </c>
      <c r="BK92" s="635">
        <f ca="1">IFERROR((Tab_NewTRADER[[#This Row],[M]]-Tab_NewTRADER[[#This Row],[A]])/Tab_NewTRADER[[#This Row],[A]],0)</f>
        <v>0.20624678557996509</v>
      </c>
      <c r="BL92" s="638" t="str">
        <f ca="1">TEXT(_xlfn.XLOOKUP(Tab_NewTRADER[[#This Row],[ClickTick]],TabCalc[Ticker],TabCalc[NAfter]),"#,#0")&amp;" : "&amp;TEXT(_xlfn.XLOOKUP(Tab_NewTRADER[[#This Row],[ClickTick]],TabCalc[Ticker],TabCalc[NAfter])*(Tab_NewTRADER[[#This Row],[M]]-Tab_NewTRADER[[#This Row],[A]])*(1-Commission)*Tab_NewTRADER[[#This Row],[Scale]],"#,#0$")</f>
        <v>1,500 : 49,519$</v>
      </c>
      <c r="BM92" s="684">
        <f ca="1">_xlfn.XLOOKUP(Tab_NewTRADER[[#This Row],[ClickTick]],TabCalc[[#This Row],[Ticker]],TabCalc[[#This Row],[GL]])*(1-Commission)</f>
        <v>282027.93310006754</v>
      </c>
      <c r="BN92" s="684"/>
      <c r="BO92" s="669" t="str">
        <f ca="1">Tab_NewTRADER[[#This Row],[ClickTick]]&amp;": "&amp;_xlfn.XLOOKUP(Tab_NewTRADER[[#This Row],[ClickTick]],TabCalc[Ticker],TabCalc[Pile?])</f>
        <v>THC: Pile</v>
      </c>
      <c r="BP92" s="351" t="s">
        <v>2033</v>
      </c>
      <c r="BQ92" s="755" t="str" cm="1">
        <f t="array" aca="1" ref="BQ92" ca="1">_xlfn.TEXTJOIN("",,INDEX({"M","A","Y"}, _xlfn.SORTBY({1,2,3}, -CHOOSE({1,2,3}, Tab_NewTRADER[[#This Row],[M]], Tab_NewTRADER[[#This Row],[A]], Tab_NewTRADER[[#This Row],[Agiotage]]))))</f>
        <v>MAY</v>
      </c>
      <c r="BR92" s="902" cm="1">
        <f t="array" aca="1" ref="BR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3.9570203533422853E-2</v>
      </c>
      <c r="BS92" s="679">
        <f ca="1">Tab_NewTRADER[[#This Row],[L_Sn]]*Tab_NewTRADER[[#This Row],[L_Sp]]+Tab_NewTRADER[[#This Row],[SellMore]]*Tab_NewTRADER[[#This Row],[M]]</f>
        <v>398120</v>
      </c>
      <c r="BT92" s="679">
        <f ca="1">INDEX(
  INDEX(TabConsolid[], , _xlfn.XMATCH(Tab_NewTRADER[[#This Row],[ClickTick]]&amp;1, TabConsolid[#Headers])),
  MATCH(
    -Tab_NewTRADER[[#This Row],[M]],
    INDEX(TabConsolid[], , _xlfn.XMATCH(Tab_NewTRADER[[#This Row],[ClickTick]]&amp;2, TabConsolid[#Headers])),
    -1
  )
)</f>
        <v>1000</v>
      </c>
      <c r="BU92" s="679" cm="1">
        <f t="array" aca="1" ref="BU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V92" s="1144">
        <f ca="1">Tab_NewTRADER[[#This Row],[ReBuy]]/(Tab_NewTRADER[[#This Row],[L_Sn]]+Tab_NewTRADER[[#This Row],[SellMore]])</f>
        <v>199.06</v>
      </c>
      <c r="BW92" s="687">
        <f ca="1">((_xlfn.XLOOKUP(Tab_NewTRADER[[#This Row],[ClickTick]],TabCalc[Ticker],TabCalc[NAfter])+Tab_NewTRADER[[#This Row],[L_Sn]])*(Tab_NewTRADER[[#This Row],[Agiotage]]-Tab_NewTRADER[[#This Row],[M]]))/(Tab_NewTRADER[[#This Row],[L_Sn]]*_xlfn.XLOOKUP(Tab_NewTRADER[[#This Row],[ClickTick]],TabCalc[Ticker],TabCalc[NAfter]))</f>
        <v>-0.32206771811381857</v>
      </c>
      <c r="BX92" s="687">
        <f ca="1">(Tab_NewTRADER[[#This Row],[M]]-Tab_NewTRADER[[#This Row],[Agiotage]])/(Tab_NewTRADER[[#This Row],[M]]-Tab_NewTRADER[[#This Row],[A]])-1</f>
        <v>4.8383071804928868</v>
      </c>
      <c r="BY92" s="1262">
        <f ca="1">_xlfn.XMATCH(Tab_NewTRADER[[#This Row],[ClickTick]]&amp;1, TabConsolid[#Headers])</f>
        <v>272</v>
      </c>
      <c r="BZ92" t="str">
        <f ca="1">IF(ABS(Tab_NewTRADER[[#This Row],[L_Bp]])&gt;=Tab_NewTRADER[[#This Row],[M]],"OK")</f>
        <v>OK</v>
      </c>
    </row>
    <row r="93" spans="1:78" ht="23" hidden="1"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15"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F93" s="1450"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93" s="1531" t="str">
        <f ca="1">TEXT(MIN(Tab_NewTRADER[[#This Row],[L_Bn]],Tab_NewTRADER[[#This Row],[N]]),"#,#0")&amp;" x "&amp;TEXT(Tab_NewTRADER[[#This Row],[L_Bp]],"#,#0.#0")</f>
        <v>10 x -30.96</v>
      </c>
      <c r="AH93" s="1532" t="str" cm="1">
        <f t="array" aca="1" ref="AH93" ca="1">_xlfn.IFS(Tab_NewTRADER[[#This Row],[M_State]]=Sale_Back,Tab_NewTRADER[[#This Row],[Sale_Back_$]], TRUE,"M = "&amp;Tab_NewTRADER[[#This Row],[M]])</f>
        <v>M = 54.84</v>
      </c>
      <c r="AI93" s="1455" cm="1">
        <f t="array" aca="1" ref="AI93" ca="1">IF(Tab_NewTRADER[[#This Row],[M_State]]=MUp,_xlfn.IFS(Tab_NewTRADER[[#This Row],[M_State]]=MUp,MIN(Tab_NewTRADER[[#This Row],[N]],Tab_NewTRADER[[#This Row],[L_Bn]])*(Tab_NewTRADER[[#This Row],[M]]-Tab_NewTRADER[[#This Row],[L_Sp]])*Tab_NewTRADER[[#This Row],[Scale]]*ComFactor, TRUE,0),0)</f>
        <v>187.11224000000004</v>
      </c>
      <c r="AJ93" s="1459" cm="1">
        <f t="array" aca="1" ref="AJ93" ca="1">_xlfn.IFS(Tab_NewTRADER[[#This Row],[M_State]]=MUp,                 MIN(Tab_NewTRADER[[#This Row],[L_Sn]],Tab_NewTRADER[[#This Row],[N]])*(Tab_NewTRADER[[#This Row],[M]]-Tab_NewTRADER[[#This Row],[A]])*Tab_NewTRADER[[#This Row],[Scale]]*ComFactor, TRUE,0)</f>
        <v>238.20698735600007</v>
      </c>
      <c r="AK93" s="1459" cm="1">
        <f t="array" aca="1" ref="AK93" ca="1">_xlfn.IFS(Tab_NewTRADER[[#This Row],[M_State]]=MUp,                  Tab_NewTRADER[[#This Row],[N]]*(Tab_NewTRADER[[#This Row],[M]]-Tab_NewTRADER[[#This Row],[A]])*Tab_NewTRADER[[#This Row],[Scale]]*ComFactor, TRUE,0)</f>
        <v>238.20698735600007</v>
      </c>
      <c r="AL93" s="1452" t="str">
        <f ca="1">TEXT(Tab_NewTRADER[[#This Row],[L_Sn]],"#,#0")&amp;" x "&amp;TEXT(Tab_NewTRADER[[#This Row],[L_Sp]],"#,#0.#0")</f>
        <v>1,590 x 36.08</v>
      </c>
      <c r="AM93" s="1465" t="str" cm="1">
        <f t="array" aca="1" ref="AM93" ca="1">_xlfn.IFS(Tab_NewTRADER[[#This Row],[M_State]]=RePurchaseGain,TEXT(-Tab_NewTRADER[[#This Row],[Buy_Back]],"#,#0")&amp;"       / "&amp;TEXT(Tab_NewTRADER[[#This Row],[Rev_Buy]],"#,#00.0)%"),TRUE,"M = "&amp;Tab_NewTRADER[[#This Row],[M]])</f>
        <v>M = 54.84</v>
      </c>
      <c r="AN93" s="1435" cm="1">
        <f t="array" aca="1" ref="AN93" ca="1">_xlfn.IFS(Tab_NewTRADER[[#This Row],[M_State]]=MDown,TEXT(Tab_NewTRADER[[#This Row],[L_Sn]]*(Tab_NewTRADER[[#This Row],[M]]-Tab_NewTRADER[[#This Row],[L_Sp]])*ComFactor,"#,#0")&amp;"       / "&amp;TEXT((TabTRADER[[#This Row],[M]]-TabTRADER[[#This Row],[L_Sp]])/TabTRADER[[#This Row],[M]],"#,#00.0)%"),TRUE,0)</f>
        <v>0</v>
      </c>
      <c r="AO93" s="1486" cm="1">
        <f t="array" aca="1" ref="AO93" ca="1">_xlfn.IFS(Tab_NewTRADER[[#This Row],[M_State]]=MDown,TEXT(Tab_NewTRADER[[#This Row],[N]]*(Tab_NewTRADER[[#This Row],[M]]-Tab_NewTRADER[[#This Row],[A]])*Tab_NewTRADER[[#This Row],[Scale]]*ComFactor,"#,#0")&amp;"       / "&amp;TEXT((TabTRADER[[#This Row],[M]]-TabTRADER[[#This Row],[L_Bp]])/TabTRADER[[#This Row],[M]],"#,#00.0%"),TRUE,0)</f>
        <v>0</v>
      </c>
      <c r="AP93" s="1435" t="str" cm="1">
        <f t="array" aca="1" ref="AP93" ca="1">_xlfn.IFS(Tab_NewTRADER[[#This Row],[M_State]]=MDown,TEXT(Tab_NewTRADER[[#This Row],[N]]*Tab_NewTRADER[[#This Row],[M]],"#,#0")&amp;" @ "&amp;TEXT(Tab_NewTRADER[[#This Row],[A]],"#,#0.#0"),TRUE,"M = "&amp; Tab_NewTRADER[[#This Row],[M]])</f>
        <v>M = 54.84</v>
      </c>
      <c r="AQ93" s="1165">
        <f ca="1">Tab_NewTRADER[[#This Row],[N]]*(Tab_NewTRADER[[#This Row],[M]]-Tab_NewTRADER[[#This Row],[A]])*(1-Commission)*Tab_NewTRADER[[#This Row],[Scale]]</f>
        <v>238.20698735600007</v>
      </c>
      <c r="AR93" s="1165">
        <f ca="1">Tab_NewTRADER[[#This Row],[M]]*Tab_NewTRADER[[#This Row],[N]]*(1-Commission)*Tab_NewTRADER[[#This Row],[Scale]]</f>
        <v>546.9741600000001</v>
      </c>
      <c r="AS93" s="1174" cm="1">
        <f t="array" aca="1" ref="AS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0.77147769730898874</v>
      </c>
      <c r="AT93" s="1174" cm="1">
        <f t="array" aca="1" ref="AT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0.33948606856309271</v>
      </c>
      <c r="AU93" s="825" cm="1">
        <f t="array" aca="1" ref="AU93" ca="1">_xlfn.IFS(   Tab_NewTRADER[[#This Row],[M_State]]=SellMorePercentGain,                     MIN(Tab_NewTRADER[[#This Row],[L_Sn]],Tab_NewTRADER[[#This Row],[N]])*(Tab_NewTRADER[[#This Row],[M]]-Tab_NewTRADER[[#This Row],[L_Sp]])*(1-Commission)*Tab_NewTRADER[[#This Row],[Scale]],                    TRUE,"")</f>
        <v>187.11224000000004</v>
      </c>
      <c r="AV93" s="1163">
        <f ca="1">_xlfn.XLOOKUP(Tab_NewTRADER[[#This Row],[ClickTick]],TabCalc[Ticker],TabCalc[Ann%RevLB])</f>
        <v>0.86791240947261206</v>
      </c>
      <c r="AW93" s="1267">
        <f ca="1">_xlfn.XLOOKUP(Tab_NewTRADER[[#This Row],[ClickTick]],TabCalc[Ticker],TabCalc[Up20])</f>
        <v>0</v>
      </c>
      <c r="AX93" s="1175" t="str" cm="1">
        <f t="array" aca="1" ref="AX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3" s="825" t="str" cm="1">
        <f t="array" aca="1" ref="AY93" ca="1">_xlfn.IFS(         Tab_NewTRADER[[#This Row],[M_State]]=MDown,Tab_NewTRADER[[#This Row],[L_Bn]]*Tab_NewTRADER[[#This Row],[M]]*(-(Tab_NewTRADER[[#This Row],[L_Bp]]+Tab_NewTRADER[[#This Row],[M]])/Tab_NewTRADER[[#This Row],[M]])*(1-Commission)*Tab_NewTRADER[[#This Row],[Scale]],                               TRUE,"")</f>
        <v/>
      </c>
      <c r="AZ93" s="1174" cm="1">
        <f t="array" aca="1" ref="AZ93" ca="1">_xlfn.IFS(   Tab_NewTRADER[[#This Row],[M_State]]=MUp,Tab_NewTRADER[[#This Row],[TakeGain_A]]-Commission,        Tab_NewTRADER[[#This Row],[M_State]]=MDown,(Tab_NewTRADER[[#This Row],[A]]-Tab_NewTRADER[[#This Row],[M]])/Tab_NewTRADER[[#This Row],[M]]-Commission,                              TRUE,"")</f>
        <v>0.76887769730898869</v>
      </c>
      <c r="BA93" s="760" cm="1">
        <f t="array" aca="1" ref="BA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421.97836544431846</v>
      </c>
      <c r="BB93" s="760" t="str" cm="1">
        <f t="array" aca="1" ref="BB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C93" s="736" t="str" cm="1">
        <f t="array" aca="1" ref="BC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D93" s="765" cm="1">
        <f t="array" aca="1" ref="BD93" ca="1">_xlfn.IFS(Tab_NewTRADER[[#This Row],[M_State]]=Sale_Back,"",         Tab_NewTRADER[[#This Row],[M_State]]=MDown, (Tab_NewTRADER[[#This Row],[M]]-Tab_NewTRADER[[#This Row],[A]])/Tab_NewTRADER[[#This Row],[A]]*ComFactor,             TRUE, IFERROR((Tab_NewTRADER[[#This Row],[M]]-Tab_NewTRADER[[#This Row],[A]])/Tab_NewTRADER[[#This Row],[A]]*ComFactor,""))</f>
        <v>0.76947185529598539</v>
      </c>
      <c r="BE93" s="762" cm="1">
        <f t="array" aca="1" ref="BE93" ca="1">_xlfn.IFS(               Tab_NewTRADER[[#This Row],[M_State]]=NoStock,(Tab_NewTRADER[[#This Row],[L_Sp]]-Tab_NewTRADER[[#This Row],[M]])/Tab_NewTRADER[[#This Row],[M]]-Commission,             Tab_NewTRADER[[#This Row],[A]]&lt;&gt;0,(Tab_NewTRADER[[#This Row],[A]]-Tab_NewTRADER[[#This Row],[M]])/Tab_NewTRADER[[#This Row],[M]]-Commission)</f>
        <v>-0.43809952589350848</v>
      </c>
      <c r="BF93" s="324">
        <f ca="1">_xlfn.XLOOKUP(Tab_NewTRADER[[#This Row],[ClickTick]],TabCalc[Ticker],TabCalc[L_Sn])</f>
        <v>1590</v>
      </c>
      <c r="BG93" s="728">
        <f ca="1">_xlfn.XLOOKUP(Tab_NewTRADER[[#This Row],[ClickTick]],TabCalc[Ticker],TabCalc[L_Sp])</f>
        <v>36.08</v>
      </c>
      <c r="BH93" s="764">
        <f ca="1">-IFERROR((Tab_NewTRADER[[#This Row],[M]]-Tab_NewTRADER[[#This Row],[L_Sp]])/Tab_NewTRADER[[#This Row],[L_Sp]],0)</f>
        <v>-0.51995565410199573</v>
      </c>
      <c r="BI93" s="729">
        <f ca="1">MIN(Tab_NewTRADER[[#This Row],[L_Sn]],Tab_NewTRADER[[#This Row],[N]])*(Tab_NewTRADER[[#This Row],[M]]-Tab_NewTRADER[[#This Row],[L_Sp]])*(1-Commission)*Tab_NewTRADER[[#This Row],[Scale]]</f>
        <v>187.11224000000004</v>
      </c>
      <c r="BJ93" s="692">
        <f ca="1">Tab_NewTRADER[[#This Row],[L_Sn]]*(Tab_NewTRADER[[#This Row],[Agiotage]]-Tab_NewTRADER[[#This Row],[M]])/(Tab_NewTRADER[[#This Row],[L_Bn]]*Tab_NewTRADER[[#This Row],[M]])</f>
        <v>-0.88333217234264982</v>
      </c>
      <c r="BK93" s="635">
        <f ca="1">IFERROR((Tab_NewTRADER[[#This Row],[M]]-Tab_NewTRADER[[#This Row],[A]])/Tab_NewTRADER[[#This Row],[A]],0)</f>
        <v>0.77147769730898874</v>
      </c>
      <c r="BL93" s="638" t="str">
        <f ca="1">TEXT(_xlfn.XLOOKUP(Tab_NewTRADER[[#This Row],[ClickTick]],TabCalc[Ticker],TabCalc[NAfter]),"#,#0")&amp;" : "&amp;TEXT(_xlfn.XLOOKUP(Tab_NewTRADER[[#This Row],[ClickTick]],TabCalc[Ticker],TabCalc[NAfter])*(Tab_NewTRADER[[#This Row],[M]]-Tab_NewTRADER[[#This Row],[A]])*(1-Commission)*Tab_NewTRADER[[#This Row],[Scale]],"#,#0$")</f>
        <v>10 : 238$</v>
      </c>
      <c r="BM93" s="684">
        <f ca="1">_xlfn.XLOOKUP(Tab_NewTRADER[[#This Row],[ClickTick]],TabCalc[[#This Row],[Ticker]],TabCalc[[#This Row],[GL]])*(1-Commission)</f>
        <v>60204.857927549718</v>
      </c>
      <c r="BN93" s="684"/>
      <c r="BO93" s="669" t="str">
        <f ca="1">Tab_NewTRADER[[#This Row],[ClickTick]]&amp;": "&amp;_xlfn.XLOOKUP(Tab_NewTRADER[[#This Row],[ClickTick]],TabCalc[Ticker],TabCalc[Pile?])</f>
        <v>X: Pile</v>
      </c>
      <c r="BP93" s="351" t="s">
        <v>2034</v>
      </c>
      <c r="BQ93" s="755" t="str" cm="1">
        <f t="array" aca="1" ref="BQ93" ca="1">_xlfn.TEXTJOIN("",,INDEX({"M","A","Y"}, _xlfn.SORTBY({1,2,3}, -CHOOSE({1,2,3}, Tab_NewTRADER[[#This Row],[M]], Tab_NewTRADER[[#This Row],[A]], Tab_NewTRADER[[#This Row],[Agiotage]]))))</f>
        <v>MAY</v>
      </c>
      <c r="BR93" s="902" cm="1">
        <f t="array" aca="1" ref="BR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0.3420860685630927</v>
      </c>
      <c r="BS93" s="679">
        <f ca="1">Tab_NewTRADER[[#This Row],[L_Sn]]*Tab_NewTRADER[[#This Row],[L_Sp]]+Tab_NewTRADER[[#This Row],[SellMore]]*Tab_NewTRADER[[#This Row],[M]]</f>
        <v>57915.6</v>
      </c>
      <c r="BT93" s="679">
        <f ca="1">INDEX(
  INDEX(TabConsolid[], , _xlfn.XMATCH(Tab_NewTRADER[[#This Row],[ClickTick]]&amp;1, TabConsolid[#Headers])),
  MATCH(
    -Tab_NewTRADER[[#This Row],[M]],
    INDEX(TabConsolid[], , _xlfn.XMATCH(Tab_NewTRADER[[#This Row],[ClickTick]]&amp;2, TabConsolid[#Headers])),
    -1
  )
)</f>
        <v>10</v>
      </c>
      <c r="BU93" s="679" cm="1">
        <f t="array" aca="1" ref="BU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V93" s="1144">
        <f ca="1">Tab_NewTRADER[[#This Row],[ReBuy]]/(Tab_NewTRADER[[#This Row],[L_Sn]]+Tab_NewTRADER[[#This Row],[SellMore]])</f>
        <v>36.197249999999997</v>
      </c>
      <c r="BW93" s="687">
        <f ca="1">((_xlfn.XLOOKUP(Tab_NewTRADER[[#This Row],[ClickTick]],TabCalc[Ticker],TabCalc[NAfter])+Tab_NewTRADER[[#This Row],[L_Sn]])*(Tab_NewTRADER[[#This Row],[Agiotage]]-Tab_NewTRADER[[#This Row],[M]]))/(Tab_NewTRADER[[#This Row],[L_Sn]]*_xlfn.XLOOKUP(Tab_NewTRADER[[#This Row],[ClickTick]],TabCalc[Ticker],TabCalc[NAfter]))</f>
        <v>-5.5184833129251309</v>
      </c>
      <c r="BX93" s="687">
        <f ca="1">(Tab_NewTRADER[[#This Row],[M]]-Tab_NewTRADER[[#This Row],[Agiotage]])/(Tab_NewTRADER[[#This Row],[M]]-Tab_NewTRADER[[#This Row],[A]])-1</f>
        <v>1.2962107332246582</v>
      </c>
      <c r="BY93" s="1262">
        <f ca="1">_xlfn.XMATCH(Tab_NewTRADER[[#This Row],[ClickTick]]&amp;1, TabConsolid[#Headers])</f>
        <v>275</v>
      </c>
      <c r="BZ93" t="b">
        <f ca="1">IF(ABS(Tab_NewTRADER[[#This Row],[L_Bp]])&gt;=Tab_NewTRADER[[#This Row],[M]],"OK")</f>
        <v>0</v>
      </c>
    </row>
    <row r="94" spans="1:78"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+341,168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45.3%</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1,130/77,100=11,034</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32</v>
      </c>
      <c r="O94" s="703" t="str">
        <f ca="1">TEXT(_xlfn.XLOOKUP(Tab_NewTRADER[[#This Row],[ClickTick]],TabCalc[Ticker],TabCalc[Nbegin]),"#,#0")&amp;": "&amp;_xlfn.XLOOKUP(Tab_NewTRADER[[#This Row],[ClickTick]],TabCalc[Ticker],TabCalc[Pile?])</f>
        <v>77,100: Pile</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0.82865168539325862</v>
      </c>
      <c r="S94" s="683">
        <f ca="1">_xlfn.XLOOKUP(Tab_NewTRADER[[#This Row],[ClickTick]],TabCalc[Ticker],TabCalc[Rev(MinStock)])*(1-Commission)</f>
        <v>340280.46450000006</v>
      </c>
      <c r="T94" s="782">
        <f ca="1">_xlfn.XLOOKUP(Tab_NewTRADER[[#This Row],[ClickTick]],TabCalc[Ticker],TabCalc[Agiotage])</f>
        <v>1</v>
      </c>
      <c r="U94" s="747"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-2,544/-2,544=&gt;0.7% / 0.7%</v>
      </c>
      <c r="V94" s="739" t="str">
        <f ca="1">_xlfn.XLOOKUP(Tab_NewTRADER[[#This Row],[ClickTick]],[1]!RTData[Ticker_Symbol],[1]!RTData[Currency])</f>
        <v>USD</v>
      </c>
      <c r="W94" s="749">
        <f ca="1">_xlfn.XLOOKUP(Tab_NewTRADER[[#This Row],[ClickTick]],TabCalc[Ticker],TabCalc[M])</f>
        <v>9.7650000000000006</v>
      </c>
      <c r="X94" s="1315"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6.7010000000000004E-3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^338K / 753 K$</v>
      </c>
      <c r="AF94" s="1182"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94" s="1530" t="str">
        <f ca="1">TEXT(MIN(Tab_NewTRADER[[#This Row],[L_Bn]],Tab_NewTRADER[[#This Row],[N]]),"#,#0")&amp;" x "&amp;TEXT(Tab_NewTRADER[[#This Row],[L_Bp]],"#,#0.#0")</f>
        <v>77,100 x -5.34</v>
      </c>
      <c r="AH94" s="1530" cm="1">
        <f t="array" aca="1" ref="AH94" ca="1">_xlfn.IFS(Tab_NewTRADER[[#This Row],[M_State]]=Sale_Back,Tab_NewTRADER[[#This Row],[Sale_Back_$]], TRUE,"M = "&amp;Tab_NewTRADER[[#This Row],[M]])</f>
        <v>340280.46450000006</v>
      </c>
      <c r="AI94" s="1433" cm="1">
        <f t="array" aca="1" ref="AI94" ca="1">IF(Tab_NewTRADER[[#This Row],[M_State]]=MUp,_xlfn.IFS(Tab_NewTRADER[[#This Row],[M_State]]=MUp,MIN(Tab_NewTRADER[[#This Row],[N]],Tab_NewTRADER[[#This Row],[L_Bn]])*(Tab_NewTRADER[[#This Row],[M]]-Tab_NewTRADER[[#This Row],[L_Sp]])*Tab_NewTRADER[[#This Row],[Scale]]*ComFactor, TRUE,0),0)</f>
        <v>0</v>
      </c>
      <c r="AJ94" s="1433" cm="1">
        <f t="array" aca="1" ref="AJ94" ca="1">_xlfn.IFS(Tab_NewTRADER[[#This Row],[M_State]]=MUp,                 MIN(Tab_NewTRADER[[#This Row],[L_Sn]],Tab_NewTRADER[[#This Row],[N]])*(Tab_NewTRADER[[#This Row],[M]]-Tab_NewTRADER[[#This Row],[A]])*Tab_NewTRADER[[#This Row],[Scale]]*ComFactor, TRUE,0)</f>
        <v>0</v>
      </c>
      <c r="AK94" s="1433" cm="1">
        <f t="array" aca="1" ref="AK94" ca="1">_xlfn.IFS(Tab_NewTRADER[[#This Row],[M_State]]=MUp,                  Tab_NewTRADER[[#This Row],[N]]*(Tab_NewTRADER[[#This Row],[M]]-Tab_NewTRADER[[#This Row],[A]])*Tab_NewTRADER[[#This Row],[Scale]]*ComFactor, TRUE,0)</f>
        <v>0</v>
      </c>
      <c r="AL94" s="1435" t="str">
        <f ca="1">TEXT(Tab_NewTRADER[[#This Row],[L_Sn]],"#,#0")&amp;" x "&amp;TEXT(Tab_NewTRADER[[#This Row],[L_Sp]],"#,#0.#0")</f>
        <v>0 x 0.0</v>
      </c>
      <c r="AM94" s="1465" t="str" cm="1">
        <f t="array" aca="1" ref="AM94" ca="1">_xlfn.IFS(Tab_NewTRADER[[#This Row],[M_State]]=RePurchaseGain,TEXT(-Tab_NewTRADER[[#This Row],[Buy_Back]],"#,#0")&amp;"       / "&amp;TEXT(Tab_NewTRADER[[#This Row],[Rev_Buy]],"#,#00.0)%"),TRUE,"M = "&amp;Tab_NewTRADER[[#This Row],[M]])</f>
        <v>M = 9.765</v>
      </c>
      <c r="AN94" s="1435" cm="1">
        <f t="array" aca="1" ref="AN94" ca="1">_xlfn.IFS(Tab_NewTRADER[[#This Row],[M_State]]=MDown,TEXT(Tab_NewTRADER[[#This Row],[L_Sn]]*(Tab_NewTRADER[[#This Row],[M]]-Tab_NewTRADER[[#This Row],[L_Sp]])*ComFactor,"#,#0")&amp;"       / "&amp;TEXT((TabTRADER[[#This Row],[M]]-TabTRADER[[#This Row],[L_Sp]])/TabTRADER[[#This Row],[M]],"#,#00.0)%"),TRUE,0)</f>
        <v>0</v>
      </c>
      <c r="AO94" s="1486" cm="1">
        <f t="array" aca="1" ref="AO94" ca="1">_xlfn.IFS(Tab_NewTRADER[[#This Row],[M_State]]=MDown,TEXT(Tab_NewTRADER[[#This Row],[N]]*(Tab_NewTRADER[[#This Row],[M]]-Tab_NewTRADER[[#This Row],[A]])*Tab_NewTRADER[[#This Row],[Scale]]*ComFactor,"#,#0")&amp;"       / "&amp;TEXT((TabTRADER[[#This Row],[M]]-TabTRADER[[#This Row],[L_Bp]])/TabTRADER[[#This Row],[M]],"#,#00.0%"),TRUE,0)</f>
        <v>0</v>
      </c>
      <c r="AP94" s="1435" t="str" cm="1">
        <f t="array" aca="1" ref="AP94" ca="1">_xlfn.IFS(Tab_NewTRADER[[#This Row],[M_State]]=MDown,TEXT(Tab_NewTRADER[[#This Row],[N]]*Tab_NewTRADER[[#This Row],[M]],"#,#0")&amp;" @ "&amp;TEXT(Tab_NewTRADER[[#This Row],[A]],"#,#0.#0"),TRUE,"M = "&amp; Tab_NewTRADER[[#This Row],[M]])</f>
        <v>M = 9.765</v>
      </c>
      <c r="AQ94" s="1165">
        <f ca="1">Tab_NewTRADER[[#This Row],[N]]*(Tab_NewTRADER[[#This Row],[M]]-Tab_NewTRADER[[#This Row],[A]])*(1-Commission)*Tab_NewTRADER[[#This Row],[Scale]]</f>
        <v>340280.46450000006</v>
      </c>
      <c r="AR94" s="1165">
        <f ca="1">Tab_NewTRADER[[#This Row],[M]]*Tab_NewTRADER[[#This Row],[N]]*(1-Commission)*Tab_NewTRADER[[#This Row],[Scale]]</f>
        <v>750924.00809999998</v>
      </c>
      <c r="AS94" s="1174" cm="1">
        <f t="array" aca="1" ref="AS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0.82865168539325862</v>
      </c>
      <c r="AT94" s="1174" t="str" cm="1">
        <f t="array" aca="1" ref="AT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94" s="825" t="str" cm="1">
        <f t="array" aca="1" ref="AU94" ca="1">_xlfn.IFS(   Tab_NewTRADER[[#This Row],[M_State]]=SellMorePercentGain,                     MIN(Tab_NewTRADER[[#This Row],[L_Sn]],Tab_NewTRADER[[#This Row],[N]])*(Tab_NewTRADER[[#This Row],[M]]-Tab_NewTRADER[[#This Row],[L_Sp]])*(1-Commission)*Tab_NewTRADER[[#This Row],[Scale]],                    TRUE,"")</f>
        <v/>
      </c>
      <c r="AV94" s="1163">
        <f ca="1">_xlfn.XLOOKUP(Tab_NewTRADER[[#This Row],[ClickTick]],TabCalc[Ticker],TabCalc[Ann%RevLB])</f>
        <v>0.23415589226183134</v>
      </c>
      <c r="AW94" s="1267">
        <f ca="1">_xlfn.XLOOKUP(Tab_NewTRADER[[#This Row],[ClickTick]],TabCalc[Ticker],TabCalc[Up20])</f>
        <v>0</v>
      </c>
      <c r="AX94" s="1175" t="str" cm="1">
        <f t="array" aca="1" ref="AX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4" s="825" t="str" cm="1">
        <f t="array" aca="1" ref="AY94" ca="1">_xlfn.IFS(         Tab_NewTRADER[[#This Row],[M_State]]=MDown,Tab_NewTRADER[[#This Row],[L_Bn]]*Tab_NewTRADER[[#This Row],[M]]*(-(Tab_NewTRADER[[#This Row],[L_Bp]]+Tab_NewTRADER[[#This Row],[M]])/Tab_NewTRADER[[#This Row],[M]])*(1-Commission)*Tab_NewTRADER[[#This Row],[Scale]],                               TRUE,"")</f>
        <v/>
      </c>
      <c r="AZ94" s="1174" t="str" cm="1">
        <f t="array" aca="1" ref="AZ94" ca="1">_xlfn.IFS(   Tab_NewTRADER[[#This Row],[M_State]]=MUp,Tab_NewTRADER[[#This Row],[TakeGain_A]]-Commission,        Tab_NewTRADER[[#This Row],[M_State]]=MDown,(Tab_NewTRADER[[#This Row],[A]]-Tab_NewTRADER[[#This Row],[M]])/Tab_NewTRADER[[#This Row],[M]]-Commission,                              TRUE,"")</f>
        <v/>
      </c>
      <c r="BA94" s="825" cm="1">
        <f t="array" aca="1" ref="BA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622254.44491432596</v>
      </c>
      <c r="BB94" s="760" t="str" cm="1">
        <f t="array" aca="1" ref="BB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C94" s="736" t="str" cm="1">
        <f t="array" aca="1" ref="BC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94" s="765" t="str" cm="1">
        <f t="array" aca="1" ref="BD94" ca="1">_xlfn.IFS(Tab_NewTRADER[[#This Row],[M_State]]=Sale_Back,"",         Tab_NewTRADER[[#This Row],[M_State]]=MDown, (Tab_NewTRADER[[#This Row],[M]]-Tab_NewTRADER[[#This Row],[A]])/Tab_NewTRADER[[#This Row],[A]]*ComFactor,             TRUE, IFERROR((Tab_NewTRADER[[#This Row],[M]]-Tab_NewTRADER[[#This Row],[A]])/Tab_NewTRADER[[#This Row],[A]]*ComFactor,""))</f>
        <v/>
      </c>
      <c r="BE94" s="762" cm="1">
        <f t="array" aca="1" ref="BE94" ca="1">_xlfn.IFS(               Tab_NewTRADER[[#This Row],[M_State]]=NoStock,(Tab_NewTRADER[[#This Row],[L_Sp]]-Tab_NewTRADER[[#This Row],[M]])/Tab_NewTRADER[[#This Row],[M]]-Commission,             Tab_NewTRADER[[#This Row],[A]]&lt;&gt;0,(Tab_NewTRADER[[#This Row],[A]]-Tab_NewTRADER[[#This Row],[M]])/Tab_NewTRADER[[#This Row],[M]]-Commission)</f>
        <v>-0.45574900153609837</v>
      </c>
      <c r="BF94" s="324">
        <f ca="1">_xlfn.XLOOKUP(Tab_NewTRADER[[#This Row],[ClickTick]],TabCalc[Ticker],TabCalc[L_Sn])</f>
        <v>0</v>
      </c>
      <c r="BG94" s="728">
        <f ca="1">_xlfn.XLOOKUP(Tab_NewTRADER[[#This Row],[ClickTick]],TabCalc[Ticker],TabCalc[L_Sp])</f>
        <v>0</v>
      </c>
      <c r="BH94" s="764">
        <f ca="1">-IFERROR((Tab_NewTRADER[[#This Row],[M]]-Tab_NewTRADER[[#This Row],[L_Sp]])/Tab_NewTRADER[[#This Row],[L_Sp]],0)</f>
        <v>0</v>
      </c>
      <c r="BI94" s="729">
        <f ca="1">MIN(Tab_NewTRADER[[#This Row],[L_Sn]],Tab_NewTRADER[[#This Row],[N]])*(Tab_NewTRADER[[#This Row],[M]]-Tab_NewTRADER[[#This Row],[L_Sp]])*(1-Commission)*Tab_NewTRADER[[#This Row],[Scale]]</f>
        <v>0</v>
      </c>
      <c r="BJ94" s="692">
        <f ca="1">Tab_NewTRADER[[#This Row],[L_Sn]]*(Tab_NewTRADER[[#This Row],[Agiotage]]-Tab_NewTRADER[[#This Row],[M]])/(Tab_NewTRADER[[#This Row],[L_Bn]]*Tab_NewTRADER[[#This Row],[M]])</f>
        <v>0</v>
      </c>
      <c r="BK94" s="635">
        <f ca="1">IFERROR((Tab_NewTRADER[[#This Row],[M]]-Tab_NewTRADER[[#This Row],[A]])/Tab_NewTRADER[[#This Row],[A]],0)</f>
        <v>0.82865168539325862</v>
      </c>
      <c r="BL94" s="638" t="str">
        <f ca="1">TEXT(_xlfn.XLOOKUP(Tab_NewTRADER[[#This Row],[ClickTick]],TabCalc[Ticker],TabCalc[NAfter]),"#,#0")&amp;" : "&amp;TEXT(_xlfn.XLOOKUP(Tab_NewTRADER[[#This Row],[ClickTick]],TabCalc[Ticker],TabCalc[NAfter])*(Tab_NewTRADER[[#This Row],[M]]-Tab_NewTRADER[[#This Row],[A]])*(1-Commission)*Tab_NewTRADER[[#This Row],[Scale]],"#,#0$")</f>
        <v>77,100 : 340,280$</v>
      </c>
      <c r="BM94" s="684">
        <f ca="1">_xlfn.XLOOKUP(Tab_NewTRADER[[#This Row],[ClickTick]],TabCalc[[#This Row],[Ticker]],TabCalc[[#This Row],[GL]])*(1-Commission)</f>
        <v>337260.38886557997</v>
      </c>
      <c r="BN94" s="684"/>
      <c r="BO94" s="669" t="str">
        <f ca="1">Tab_NewTRADER[[#This Row],[ClickTick]]&amp;": "&amp;_xlfn.XLOOKUP(Tab_NewTRADER[[#This Row],[ClickTick]],TabCalc[Ticker],TabCalc[Pile?])</f>
        <v>LOCK: Pile</v>
      </c>
      <c r="BP94" s="351" t="s">
        <v>2035</v>
      </c>
      <c r="BQ94" s="755" t="str" cm="1">
        <f t="array" aca="1" ref="BQ94" ca="1">_xlfn.TEXTJOIN("",,INDEX({"M","A","Y"}, _xlfn.SORTBY({1,2,3}, -CHOOSE({1,2,3}, Tab_NewTRADER[[#This Row],[M]], Tab_NewTRADER[[#This Row],[A]], Tab_NewTRADER[[#This Row],[Agiotage]]))))</f>
        <v>MAY</v>
      </c>
      <c r="BR94" s="902" t="str" cm="1">
        <f t="array" aca="1" ref="BR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94" s="679">
        <f ca="1">Tab_NewTRADER[[#This Row],[L_Sn]]*Tab_NewTRADER[[#This Row],[L_Sp]]+Tab_NewTRADER[[#This Row],[SellMore]]*Tab_NewTRADER[[#This Row],[M]]</f>
        <v>752881.5</v>
      </c>
      <c r="BT94" s="679">
        <f ca="1">INDEX(
  INDEX(TabConsolid[], , _xlfn.XMATCH(Tab_NewTRADER[[#This Row],[ClickTick]]&amp;1, TabConsolid[#Headers])),
  MATCH(
    -Tab_NewTRADER[[#This Row],[M]],
    INDEX(TabConsolid[], , _xlfn.XMATCH(Tab_NewTRADER[[#This Row],[ClickTick]]&amp;2, TabConsolid[#Headers])),
    -1
  )
)</f>
        <v>77100</v>
      </c>
      <c r="BU94" s="679" cm="1">
        <f t="array" aca="1" ref="BU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94" s="1144">
        <f ca="1">Tab_NewTRADER[[#This Row],[ReBuy]]/(Tab_NewTRADER[[#This Row],[L_Sn]]+Tab_NewTRADER[[#This Row],[SellMore]])</f>
        <v>9.7650000000000006</v>
      </c>
      <c r="BW94" s="687" t="e">
        <f ca="1">((_xlfn.XLOOKUP(Tab_NewTRADER[[#This Row],[ClickTick]],TabCalc[Ticker],TabCalc[NAfter])+Tab_NewTRADER[[#This Row],[L_Sn]])*(Tab_NewTRADER[[#This Row],[Agiotage]]-Tab_NewTRADER[[#This Row],[M]]))/(Tab_NewTRADER[[#This Row],[L_Sn]]*_xlfn.XLOOKUP(Tab_NewTRADER[[#This Row],[ClickTick]],TabCalc[Ticker],TabCalc[NAfter]))</f>
        <v>#DIV/0!</v>
      </c>
      <c r="BX94" s="687">
        <f ca="1">(Tab_NewTRADER[[#This Row],[M]]-Tab_NewTRADER[[#This Row],[Agiotage]])/(Tab_NewTRADER[[#This Row],[M]]-Tab_NewTRADER[[#This Row],[A]])-1</f>
        <v>0.98079096045197711</v>
      </c>
      <c r="BY94" s="1262">
        <f ca="1">_xlfn.XMATCH(Tab_NewTRADER[[#This Row],[ClickTick]]&amp;1, TabConsolid[#Headers])</f>
        <v>278</v>
      </c>
      <c r="BZ94" t="b">
        <f ca="1">IF(ABS(Tab_NewTRADER[[#This Row],[L_Bp]])&gt;=Tab_NewTRADER[[#This Row],[M]],"OK")</f>
        <v>0</v>
      </c>
    </row>
    <row r="95" spans="1:78"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+32,572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18.4%</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31/200=27,220</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17,520$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-6.6% = 0</v>
      </c>
      <c r="I95" s="226" t="str">
        <f ca="1">IFERROR(TRUNC(TabCalc[[#This Row],[L_S1p]],2)&amp;"x"&amp;TabCalc[[#This Row],[L_S1n]]&amp;"=   "&amp;TEXT(TabCalc[[#This Row],[ReverseB1]],"#,#0"),"")</f>
        <v>0x0=   0</v>
      </c>
      <c r="J95" s="295">
        <f ca="1">_xlfn.XLOOKUP(Tab_NewTRADER[[#This Row],[ClickTick]],TabCalc[Ticker],ListGravity)</f>
        <v>1.0623767877284007</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1.0213644846396783</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0.2250255616657916</v>
      </c>
      <c r="S95" s="683">
        <f ca="1">_xlfn.XLOOKUP(Tab_NewTRADER[[#This Row],[ClickTick]],TabCalc[Ticker],TabCalc[Rev(MinStock)])*(1-Commission)</f>
        <v>32487.312800000003</v>
      </c>
      <c r="T95" s="782">
        <f ca="1">_xlfn.XLOOKUP(Tab_NewTRADER[[#This Row],[ClickTick]],TabCalc[Ticker],TabCalc[Agiotage])</f>
        <v>1.0213644846396783</v>
      </c>
      <c r="U95" s="747"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5,100/5,100=&gt;2.4% / 2.4%</v>
      </c>
      <c r="V95" s="739" t="str">
        <f ca="1">_xlfn.XLOOKUP(Tab_NewTRADER[[#This Row],[ClickTick]],[1]!RTData[Ticker_Symbol],[1]!RTData[Currency])</f>
        <v>EUR</v>
      </c>
      <c r="W95" s="749">
        <f ca="1">_xlfn.XLOOKUP(Tab_NewTRADER[[#This Row],[ClickTick]],TabCalc[Ticker],TabCalc[M])</f>
        <v>886.6</v>
      </c>
      <c r="X95" s="1315"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2.4260999999999998E-2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177 K$</v>
      </c>
      <c r="AF95" s="1332"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95" s="1530" t="str">
        <f ca="1">TEXT(MIN(Tab_NewTRADER[[#This Row],[L_Bn]],Tab_NewTRADER[[#This Row],[N]]),"#,#0")&amp;" x "&amp;TEXT(Tab_NewTRADER[[#This Row],[L_Bp]],"#,#0.#0")</f>
        <v>200 x -723.74</v>
      </c>
      <c r="AH95" s="1530" t="str" cm="1">
        <f t="array" aca="1" ref="AH95" ca="1">_xlfn.IFS(Tab_NewTRADER[[#This Row],[M_State]]=Sale_Back,Tab_NewTRADER[[#This Row],[Sale_Back_$]], TRUE,"M = "&amp;Tab_NewTRADER[[#This Row],[M]])</f>
        <v>M = 886.6</v>
      </c>
      <c r="AI95" s="1433" cm="1">
        <f t="array" aca="1" ref="AI95" ca="1">IF(Tab_NewTRADER[[#This Row],[M_State]]=MUp,_xlfn.IFS(Tab_NewTRADER[[#This Row],[M_State]]=MUp,MIN(Tab_NewTRADER[[#This Row],[N]],Tab_NewTRADER[[#This Row],[L_Bn]])*(Tab_NewTRADER[[#This Row],[M]]-Tab_NewTRADER[[#This Row],[L_Sp]])*Tab_NewTRADER[[#This Row],[Scale]]*ComFactor, TRUE,0),0)</f>
        <v>11649.631999999996</v>
      </c>
      <c r="AJ95" s="1433" cm="1">
        <f t="array" aca="1" ref="AJ95" ca="1">_xlfn.IFS(Tab_NewTRADER[[#This Row],[M_State]]=MUp,                 MIN(Tab_NewTRADER[[#This Row],[L_Sn]],Tab_NewTRADER[[#This Row],[N]])*(Tab_NewTRADER[[#This Row],[M]]-Tab_NewTRADER[[#This Row],[A]])*Tab_NewTRADER[[#This Row],[Scale]]*ComFactor, TRUE,0)</f>
        <v>32487.312800000003</v>
      </c>
      <c r="AK95" s="1433" cm="1">
        <f t="array" aca="1" ref="AK95" ca="1">_xlfn.IFS(Tab_NewTRADER[[#This Row],[M_State]]=MUp,                  Tab_NewTRADER[[#This Row],[N]]*(Tab_NewTRADER[[#This Row],[M]]-Tab_NewTRADER[[#This Row],[A]])*Tab_NewTRADER[[#This Row],[Scale]]*ComFactor, TRUE,0)</f>
        <v>32487.312800000003</v>
      </c>
      <c r="AL95" s="1435" t="str">
        <f ca="1">TEXT(Tab_NewTRADER[[#This Row],[L_Sn]],"#,#0")&amp;" x "&amp;TEXT(Tab_NewTRADER[[#This Row],[L_Sp]],"#,#0.#0")</f>
        <v>300 x 828.20</v>
      </c>
      <c r="AM95" s="1465" t="str" cm="1">
        <f t="array" aca="1" ref="AM95" ca="1">_xlfn.IFS(Tab_NewTRADER[[#This Row],[M_State]]=RePurchaseGain,TEXT(-Tab_NewTRADER[[#This Row],[Buy_Back]],"#,#0")&amp;"       / "&amp;TEXT(Tab_NewTRADER[[#This Row],[Rev_Buy]],"#,#00.0)%"),TRUE,"M = "&amp;Tab_NewTRADER[[#This Row],[M]])</f>
        <v>M = 886.6</v>
      </c>
      <c r="AN95" s="1435" cm="1">
        <f t="array" aca="1" ref="AN95" ca="1">_xlfn.IFS(Tab_NewTRADER[[#This Row],[M_State]]=MDown,TEXT(Tab_NewTRADER[[#This Row],[L_Sn]]*(Tab_NewTRADER[[#This Row],[M]]-Tab_NewTRADER[[#This Row],[L_Sp]])*ComFactor,"#,#0")&amp;"       / "&amp;TEXT((TabTRADER[[#This Row],[M]]-TabTRADER[[#This Row],[L_Sp]])/TabTRADER[[#This Row],[M]],"#,#00.0)%"),TRUE,0)</f>
        <v>0</v>
      </c>
      <c r="AO95" s="1486" cm="1">
        <f t="array" aca="1" ref="AO95" ca="1">_xlfn.IFS(Tab_NewTRADER[[#This Row],[M_State]]=MDown,TEXT(Tab_NewTRADER[[#This Row],[N]]*(Tab_NewTRADER[[#This Row],[M]]-Tab_NewTRADER[[#This Row],[A]])*Tab_NewTRADER[[#This Row],[Scale]]*ComFactor,"#,#0")&amp;"       / "&amp;TEXT((TabTRADER[[#This Row],[M]]-TabTRADER[[#This Row],[L_Bp]])/TabTRADER[[#This Row],[M]],"#,#00.0%"),TRUE,0)</f>
        <v>0</v>
      </c>
      <c r="AP95" s="1435" t="str" cm="1">
        <f t="array" aca="1" ref="AP95" ca="1">_xlfn.IFS(Tab_NewTRADER[[#This Row],[M_State]]=MDown,TEXT(Tab_NewTRADER[[#This Row],[N]]*Tab_NewTRADER[[#This Row],[M]],"#,#0")&amp;" @ "&amp;TEXT(Tab_NewTRADER[[#This Row],[A]],"#,#0.#0"),TRUE,"M = "&amp; Tab_NewTRADER[[#This Row],[M]])</f>
        <v>M = 886.6</v>
      </c>
      <c r="AQ95" s="1165">
        <f ca="1">Tab_NewTRADER[[#This Row],[N]]*(Tab_NewTRADER[[#This Row],[M]]-Tab_NewTRADER[[#This Row],[A]])*(1-Commission)*Tab_NewTRADER[[#This Row],[Scale]]</f>
        <v>32487.312800000003</v>
      </c>
      <c r="AR95" s="1165">
        <f ca="1">Tab_NewTRADER[[#This Row],[M]]*Tab_NewTRADER[[#This Row],[N]]*(1-Commission)*Tab_NewTRADER[[#This Row],[Scale]]</f>
        <v>176858.96799999999</v>
      </c>
      <c r="AS95" s="1174" cm="1">
        <f t="array" aca="1" ref="AS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0.2250255616657916</v>
      </c>
      <c r="AT95" s="1174" cm="1">
        <f t="array" aca="1" ref="AT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6.3269614256711001E-2</v>
      </c>
      <c r="AU95" s="825" cm="1">
        <f t="array" aca="1" ref="AU95" ca="1">_xlfn.IFS(   Tab_NewTRADER[[#This Row],[M_State]]=SellMorePercentGain,                     MIN(Tab_NewTRADER[[#This Row],[L_Sn]],Tab_NewTRADER[[#This Row],[N]])*(Tab_NewTRADER[[#This Row],[M]]-Tab_NewTRADER[[#This Row],[L_Sp]])*(1-Commission)*Tab_NewTRADER[[#This Row],[Scale]],                    TRUE,"")</f>
        <v>11649.631999999996</v>
      </c>
      <c r="AV95" s="1163">
        <f ca="1">_xlfn.XLOOKUP(Tab_NewTRADER[[#This Row],[ClickTick]],TabCalc[Ticker],TabCalc[Ann%RevLB])</f>
        <v>0.26216570291160185</v>
      </c>
      <c r="AW95" s="1267">
        <f ca="1">_xlfn.XLOOKUP(Tab_NewTRADER[[#This Row],[ClickTick]],TabCalc[Ticker],TabCalc[Up20])</f>
        <v>0</v>
      </c>
      <c r="AX95" s="1175" t="str" cm="1">
        <f t="array" aca="1" ref="AX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5" s="825" t="str" cm="1">
        <f t="array" aca="1" ref="AY95" ca="1">_xlfn.IFS(         Tab_NewTRADER[[#This Row],[M_State]]=MDown,Tab_NewTRADER[[#This Row],[L_Bn]]*Tab_NewTRADER[[#This Row],[M]]*(-(Tab_NewTRADER[[#This Row],[L_Bp]]+Tab_NewTRADER[[#This Row],[M]])/Tab_NewTRADER[[#This Row],[M]])*(1-Commission)*Tab_NewTRADER[[#This Row],[Scale]],                               TRUE,"")</f>
        <v/>
      </c>
      <c r="AZ95" s="1174" cm="1">
        <f t="array" aca="1" ref="AZ95" ca="1">_xlfn.IFS(   Tab_NewTRADER[[#This Row],[M_State]]=MUp,Tab_NewTRADER[[#This Row],[TakeGain_A]]-Commission,        Tab_NewTRADER[[#This Row],[M_State]]=MDown,(Tab_NewTRADER[[#This Row],[A]]-Tab_NewTRADER[[#This Row],[M]])/Tab_NewTRADER[[#This Row],[M]]-Commission,                              TRUE,"")</f>
        <v>0.22242556166579161</v>
      </c>
      <c r="BA95" s="825" cm="1">
        <f t="array" aca="1" ref="BA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39797.788609832263</v>
      </c>
      <c r="BB95" s="760" t="str" cm="1">
        <f t="array" aca="1" ref="BB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-0.6%</v>
      </c>
      <c r="BC95" s="737" t="str" cm="1">
        <f t="array" aca="1" ref="BC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200x162.86</v>
      </c>
      <c r="BD95" s="765" cm="1">
        <f t="array" aca="1" ref="BD95" ca="1">_xlfn.IFS(Tab_NewTRADER[[#This Row],[M_State]]=Sale_Back,"",         Tab_NewTRADER[[#This Row],[M_State]]=MDown, (Tab_NewTRADER[[#This Row],[M]]-Tab_NewTRADER[[#This Row],[A]])/Tab_NewTRADER[[#This Row],[A]]*ComFactor,             TRUE, IFERROR((Tab_NewTRADER[[#This Row],[M]]-Tab_NewTRADER[[#This Row],[A]])/Tab_NewTRADER[[#This Row],[A]]*ComFactor,""))</f>
        <v>0.22444049520546053</v>
      </c>
      <c r="BE95" s="763" cm="1">
        <f t="array" aca="1" ref="BE95" ca="1">_xlfn.IFS(               Tab_NewTRADER[[#This Row],[M_State]]=NoStock,(Tab_NewTRADER[[#This Row],[L_Sp]]-Tab_NewTRADER[[#This Row],[M]])/Tab_NewTRADER[[#This Row],[M]]-Commission,             Tab_NewTRADER[[#This Row],[A]]&lt;&gt;0,(Tab_NewTRADER[[#This Row],[A]]-Tab_NewTRADER[[#This Row],[M]])/Tab_NewTRADER[[#This Row],[M]]-Commission)</f>
        <v>-0.18629050304534175</v>
      </c>
      <c r="BF95" s="324">
        <f ca="1">_xlfn.XLOOKUP(Tab_NewTRADER[[#This Row],[ClickTick]],TabCalc[Ticker],TabCalc[L_Sn])</f>
        <v>300</v>
      </c>
      <c r="BG95" s="728">
        <f ca="1">_xlfn.XLOOKUP(Tab_NewTRADER[[#This Row],[ClickTick]],TabCalc[Ticker],TabCalc[L_Sp])</f>
        <v>828.2</v>
      </c>
      <c r="BH95" s="764">
        <f ca="1">-IFERROR((Tab_NewTRADER[[#This Row],[M]]-Tab_NewTRADER[[#This Row],[L_Sp]])/Tab_NewTRADER[[#This Row],[L_Sp]],0)</f>
        <v>-7.0514368510021699E-2</v>
      </c>
      <c r="BI95" s="729">
        <f ca="1">MIN(Tab_NewTRADER[[#This Row],[L_Sn]],Tab_NewTRADER[[#This Row],[N]])*(Tab_NewTRADER[[#This Row],[M]]-Tab_NewTRADER[[#This Row],[L_Sp]])*(1-Commission)*Tab_NewTRADER[[#This Row],[Scale]]</f>
        <v>11649.631999999996</v>
      </c>
      <c r="BJ95" s="692">
        <f ca="1">Tab_NewTRADER[[#This Row],[L_Sn]]*(Tab_NewTRADER[[#This Row],[Agiotage]]-Tab_NewTRADER[[#This Row],[M]])/(Tab_NewTRADER[[#This Row],[L_Bn]]*Tab_NewTRADER[[#This Row],[M]])</f>
        <v>-0.59930879913062962</v>
      </c>
      <c r="BK95" s="635">
        <f ca="1">IFERROR((Tab_NewTRADER[[#This Row],[M]]-Tab_NewTRADER[[#This Row],[A]])/Tab_NewTRADER[[#This Row],[A]],0)</f>
        <v>0.2250255616657916</v>
      </c>
      <c r="BL95" s="638" t="str">
        <f ca="1">TEXT(_xlfn.XLOOKUP(Tab_NewTRADER[[#This Row],[ClickTick]],TabCalc[Ticker],TabCalc[NAfter]),"#,#0")&amp;" : "&amp;TEXT(_xlfn.XLOOKUP(Tab_NewTRADER[[#This Row],[ClickTick]],TabCalc[Ticker],TabCalc[NAfter])*(Tab_NewTRADER[[#This Row],[M]]-Tab_NewTRADER[[#This Row],[A]])*(1-Commission)*Tab_NewTRADER[[#This Row],[Scale]],"#,#0$")</f>
        <v>200 : 32,487$</v>
      </c>
      <c r="BM95" s="684">
        <f ca="1">_xlfn.XLOOKUP(Tab_NewTRADER[[#This Row],[ClickTick]],TabCalc[[#This Row],[Ticker]],TabCalc[[#This Row],[GL]])*(1-Commission)</f>
        <v>62989.901334799993</v>
      </c>
      <c r="BN95" s="684"/>
      <c r="BO95" s="669" t="str">
        <f ca="1">Tab_NewTRADER[[#This Row],[ClickTick]]&amp;": "&amp;_xlfn.XLOOKUP(Tab_NewTRADER[[#This Row],[ClickTick]],TabCalc[Ticker],TabCalc[Pile?])</f>
        <v>JBASML: Pile</v>
      </c>
      <c r="BP95" s="352" t="s">
        <v>2036</v>
      </c>
      <c r="BQ95" s="755" t="str" cm="1">
        <f t="array" aca="1" ref="BQ95" ca="1">_xlfn.TEXTJOIN("",,INDEX({"M","A","Y"}, _xlfn.SORTBY({1,2,3}, -CHOOSE({1,2,3}, Tab_NewTRADER[[#This Row],[M]], Tab_NewTRADER[[#This Row],[A]], Tab_NewTRADER[[#This Row],[Agiotage]]))))</f>
        <v>MAY</v>
      </c>
      <c r="BR95" s="902" cm="1">
        <f t="array" aca="1" ref="BR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6.5869614256711007E-2</v>
      </c>
      <c r="BS95" s="679">
        <f ca="1">Tab_NewTRADER[[#This Row],[L_Sn]]*Tab_NewTRADER[[#This Row],[L_Sp]]+Tab_NewTRADER[[#This Row],[SellMore]]*Tab_NewTRADER[[#This Row],[M]]</f>
        <v>425780</v>
      </c>
      <c r="BT95" s="679">
        <f ca="1">INDEX(
  INDEX(TabConsolid[], , _xlfn.XMATCH(Tab_NewTRADER[[#This Row],[ClickTick]]&amp;1, TabConsolid[#Headers])),
  MATCH(
    -Tab_NewTRADER[[#This Row],[M]],
    INDEX(TabConsolid[], , _xlfn.XMATCH(Tab_NewTRADER[[#This Row],[ClickTick]]&amp;2, TabConsolid[#Headers])),
    -1
  )
)</f>
        <v>200</v>
      </c>
      <c r="BU95" s="679" cm="1">
        <f t="array" aca="1" ref="BU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95" s="1144">
        <f ca="1">Tab_NewTRADER[[#This Row],[ReBuy]]/(Tab_NewTRADER[[#This Row],[L_Sn]]+Tab_NewTRADER[[#This Row],[SellMore]])</f>
        <v>851.56</v>
      </c>
      <c r="BW95" s="687">
        <f ca="1">((_xlfn.XLOOKUP(Tab_NewTRADER[[#This Row],[ClickTick]],TabCalc[Ticker],TabCalc[NAfter])+Tab_NewTRADER[[#This Row],[L_Sn]])*(Tab_NewTRADER[[#This Row],[Agiotage]]-Tab_NewTRADER[[#This Row],[M]]))/(Tab_NewTRADER[[#This Row],[L_Sn]]*_xlfn.XLOOKUP(Tab_NewTRADER[[#This Row],[ClickTick]],TabCalc[Ticker],TabCalc[NAfter]))</f>
        <v>-7.3798219626280037</v>
      </c>
      <c r="BX95" s="687">
        <f ca="1">(Tab_NewTRADER[[#This Row],[M]]-Tab_NewTRADER[[#This Row],[Agiotage]])/(Tab_NewTRADER[[#This Row],[M]]-Tab_NewTRADER[[#This Row],[A]])-1</f>
        <v>4.4376681537231999</v>
      </c>
      <c r="BY95" s="1262">
        <f ca="1">_xlfn.XMATCH(Tab_NewTRADER[[#This Row],[ClickTick]]&amp;1, TabConsolid[#Headers])</f>
        <v>281</v>
      </c>
      <c r="BZ95" t="b">
        <f ca="1">IF(ABS(Tab_NewTRADER[[#This Row],[L_Bp]])&gt;=Tab_NewTRADER[[#This Row],[M]],"OK")</f>
        <v>0</v>
      </c>
    </row>
    <row r="96" spans="1:78"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+450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6,098</v>
      </c>
      <c r="F96" s="1110" t="str">
        <f ca="1">TRUNC(TabCalc[[#This Row],[L_B1p]],2)&amp;"x"&amp;TabCalc[[#This Row],[L_B1n]]&amp;"=   "&amp;TEXT(TabCalc[[#This Row],[ReverseS1]],"#,#0")&amp;"$"</f>
        <v>-14.82x5000=   2,400$</v>
      </c>
      <c r="G96" s="225" t="str">
        <f ca="1">IFERROR(TRUNC(_xlfn.XLOOKUP(Tab_NewTRADER[[#This Row],[ClickTick]],TabCalc[Ticker],ListLastSalep),2)&amp;"x"&amp;_xlfn.XLOOKUP(Tab_NewTRADER[[#This Row],[ClickTick]],TabCalc[Ticker],ListLastSalen)&amp;"=   "&amp;TEXT(-_xlfn.XLOOKUP(Tab_NewTRADER[[#This Row],[ClickTick]],TabCalc[Ticker],ListReverseB),"#,#0")&amp;"$","")</f>
        <v>16.12x3000=   -2,460$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5.4% = 6,098</v>
      </c>
      <c r="I96" s="226" t="str">
        <f ca="1">IFERROR(TRUNC(TabCalc[[#This Row],[L_S1p]],2)&amp;"x"&amp;TabCalc[[#This Row],[L_S1n]]&amp;"=   "&amp;TEXT(TabCalc[[#This Row],[ReverseB1]],"#,#0"),"")</f>
        <v>15.96x12000=   7,920</v>
      </c>
      <c r="J96" s="295">
        <f ca="1">_xlfn.XLOOKUP(Tab_NewTRADER[[#This Row],[ClickTick]],TabCalc[Ticker],ListGravity)</f>
        <v>1.1058555555555554</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3.4286087467618696E-4</v>
      </c>
      <c r="N96" s="324" cm="1">
        <f t="array" aca="1" ref="N96" ca="1">_xlfn.XLOOKUP(Tab_NewTRADER[[#This Row],[ClickTick]],ListTickers,Tab2RSIConventional[RSIConv20])</f>
        <v>38</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9.9009900990099237E-3</v>
      </c>
      <c r="S96" s="683">
        <f ca="1">_xlfn.XLOOKUP(Tab_NewTRADER[[#This Row],[ClickTick]],TabCalc[Ticker],TabCalc[Rev(MinStock)])*(1-Commission)</f>
        <v>448.83000000000106</v>
      </c>
      <c r="T96" s="1329">
        <f ca="1">_xlfn.XLOOKUP(Tab_NewTRADER[[#This Row],[ClickTick]],TabCalc[Ticker],TabCalc[Agiotage])</f>
        <v>3.4286087467618696E-4</v>
      </c>
      <c r="U96" s="1116"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-315/-315=&gt;-0.3% / -0.3%</v>
      </c>
      <c r="V96" s="1331" t="str">
        <f ca="1">_xlfn.XLOOKUP(Tab_NewTRADER[[#This Row],[ClickTick]],[1]!RTData[Ticker_Symbol],[1]!RTData[Currency])</f>
        <v>EUR</v>
      </c>
      <c r="W96" s="749">
        <f ca="1">_xlfn.XLOOKUP(Tab_NewTRADER[[#This Row],[ClickTick]],TabCalc[Ticker],TabCalc[M])</f>
        <v>15.3</v>
      </c>
      <c r="X96" s="1315"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14.453216142857142</v>
      </c>
      <c r="AB96" s="817" cm="1">
        <f t="array" aca="1" ref="AB96" ca="1">_xlfn.XLOOKUP(Tab_NewTRADER[[#This Row],[ClickTick]],ListTickers,Tab1ChangePercent[Change%19])</f>
        <v>-2.6079999999999996E-3</v>
      </c>
      <c r="AC96" s="768">
        <f ca="1">_xlfn.XLOOKUP(Tab_NewTRADER[[#This Row],[ClickTick]],TabCalc[Ticker],TabCalc[NAfter])</f>
        <v>21000</v>
      </c>
      <c r="AD96" s="768">
        <f ca="1">_xlfn.XLOOKUP(Tab_NewTRADER[[#This Row],[ClickTick]],TabCalc[Ticker],TabCalc[Nbegin])</f>
        <v>50000</v>
      </c>
      <c r="AE96" s="111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^304K / 321 K$</v>
      </c>
      <c r="AF96" s="1332"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96" s="1530" t="str">
        <f ca="1">TEXT(MIN(Tab_NewTRADER[[#This Row],[L_Bn]],Tab_NewTRADER[[#This Row],[N]]),"#,#0")&amp;" x "&amp;TEXT(Tab_NewTRADER[[#This Row],[L_Bp]],"#,#0.#0")</f>
        <v>3,000 x -15.15</v>
      </c>
      <c r="AH96" s="1530" cm="1">
        <f t="array" aca="1" ref="AH96" ca="1">_xlfn.IFS(Tab_NewTRADER[[#This Row],[M_State]]=Sale_Back,Tab_NewTRADER[[#This Row],[Sale_Back_$]], TRUE,"M = "&amp;Tab_NewTRADER[[#This Row],[M]])</f>
        <v>448.83000000000106</v>
      </c>
      <c r="AI96" s="1434" cm="1">
        <f t="array" aca="1" ref="AI96" ca="1">IF(Tab_NewTRADER[[#This Row],[M_State]]=MUp,_xlfn.IFS(Tab_NewTRADER[[#This Row],[M_State]]=MUp,MIN(Tab_NewTRADER[[#This Row],[N]],Tab_NewTRADER[[#This Row],[L_Bn]])*(Tab_NewTRADER[[#This Row],[M]]-Tab_NewTRADER[[#This Row],[L_Sp]])*Tab_NewTRADER[[#This Row],[Scale]]*ComFactor, TRUE,0),0)</f>
        <v>0</v>
      </c>
      <c r="AJ96" s="1434" cm="1">
        <f t="array" aca="1" ref="AJ96" ca="1">_xlfn.IFS(Tab_NewTRADER[[#This Row],[M_State]]=MUp,                 MIN(Tab_NewTRADER[[#This Row],[L_Sn]],Tab_NewTRADER[[#This Row],[N]])*(Tab_NewTRADER[[#This Row],[M]]-Tab_NewTRADER[[#This Row],[A]])*Tab_NewTRADER[[#This Row],[Scale]]*ComFactor, TRUE,0)</f>
        <v>0</v>
      </c>
      <c r="AK96" s="1434" cm="1">
        <f t="array" aca="1" ref="AK96" ca="1">_xlfn.IFS(Tab_NewTRADER[[#This Row],[M_State]]=MUp,                  Tab_NewTRADER[[#This Row],[N]]*(Tab_NewTRADER[[#This Row],[M]]-Tab_NewTRADER[[#This Row],[A]])*Tab_NewTRADER[[#This Row],[Scale]]*ComFactor, TRUE,0)</f>
        <v>0</v>
      </c>
      <c r="AL96" s="1435" t="str">
        <f ca="1">TEXT(Tab_NewTRADER[[#This Row],[L_Sn]],"#,#0")&amp;" x "&amp;TEXT(Tab_NewTRADER[[#This Row],[L_Sp]],"#,#0.#0")</f>
        <v>3,000 x 16.12</v>
      </c>
      <c r="AM96" s="1465" t="str" cm="1">
        <f t="array" aca="1" ref="AM96" ca="1">_xlfn.IFS(Tab_NewTRADER[[#This Row],[M_State]]=RePurchaseGain,TEXT(-Tab_NewTRADER[[#This Row],[Buy_Back]],"#,#0")&amp;"       / "&amp;TEXT(Tab_NewTRADER[[#This Row],[Rev_Buy]],"#,#00.0)%"),TRUE,"M = "&amp;Tab_NewTRADER[[#This Row],[M]])</f>
        <v>M = 15.3</v>
      </c>
      <c r="AN96" s="1435" cm="1">
        <f t="array" aca="1" ref="AN96" ca="1">_xlfn.IFS(Tab_NewTRADER[[#This Row],[M_State]]=MDown,TEXT(Tab_NewTRADER[[#This Row],[L_Sn]]*(Tab_NewTRADER[[#This Row],[M]]-Tab_NewTRADER[[#This Row],[L_Sp]])*ComFactor,"#,#0")&amp;"       / "&amp;TEXT((TabTRADER[[#This Row],[M]]-TabTRADER[[#This Row],[L_Sp]])/TabTRADER[[#This Row],[M]],"#,#00.0)%"),TRUE,0)</f>
        <v>0</v>
      </c>
      <c r="AO96" s="1486" cm="1">
        <f t="array" aca="1" ref="AO96" ca="1">_xlfn.IFS(Tab_NewTRADER[[#This Row],[M_State]]=MDown,TEXT(Tab_NewTRADER[[#This Row],[N]]*(Tab_NewTRADER[[#This Row],[M]]-Tab_NewTRADER[[#This Row],[A]])*Tab_NewTRADER[[#This Row],[Scale]]*ComFactor,"#,#0")&amp;"       / "&amp;TEXT((TabTRADER[[#This Row],[M]]-TabTRADER[[#This Row],[L_Bp]])/TabTRADER[[#This Row],[M]],"#,#00.0%"),TRUE,0)</f>
        <v>0</v>
      </c>
      <c r="AP96" s="1435" t="str" cm="1">
        <f t="array" aca="1" ref="AP96" ca="1">_xlfn.IFS(Tab_NewTRADER[[#This Row],[M_State]]=MDown,TEXT(Tab_NewTRADER[[#This Row],[N]]*Tab_NewTRADER[[#This Row],[M]],"#,#0")&amp;" @ "&amp;TEXT(Tab_NewTRADER[[#This Row],[A]],"#,#0.#0"),TRUE,"M = "&amp; Tab_NewTRADER[[#This Row],[M]])</f>
        <v>M = 15.3</v>
      </c>
      <c r="AQ96" s="1165">
        <f ca="1">Tab_NewTRADER[[#This Row],[N]]*(Tab_NewTRADER[[#This Row],[M]]-Tab_NewTRADER[[#This Row],[A]])*(1-Commission)*Tab_NewTRADER[[#This Row],[Scale]]</f>
        <v>17736.226601400023</v>
      </c>
      <c r="AR96" s="1165">
        <f ca="1">Tab_NewTRADER[[#This Row],[M]]*Tab_NewTRADER[[#This Row],[N]]*(1-Commission)*Tab_NewTRADER[[#This Row],[Scale]]</f>
        <v>320464.62</v>
      </c>
      <c r="AS96" s="1174" cm="1">
        <f t="array" aca="1" ref="AS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9.9009900990099237E-3</v>
      </c>
      <c r="AT96" s="1174" t="str" cm="1">
        <f t="array" aca="1" ref="AT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96" s="825" t="str" cm="1">
        <f t="array" aca="1" ref="AU96" ca="1">_xlfn.IFS(   Tab_NewTRADER[[#This Row],[M_State]]=SellMorePercentGain,                     MIN(Tab_NewTRADER[[#This Row],[L_Sn]],Tab_NewTRADER[[#This Row],[N]])*(Tab_NewTRADER[[#This Row],[M]]-Tab_NewTRADER[[#This Row],[L_Sp]])*(1-Commission)*Tab_NewTRADER[[#This Row],[Scale]],                    TRUE,"")</f>
        <v/>
      </c>
      <c r="AV96" s="1163">
        <f ca="1">_xlfn.XLOOKUP(Tab_NewTRADER[[#This Row],[ClickTick]],TabCalc[Ticker],TabCalc[Ann%RevLB])</f>
        <v>0.59405940594059536</v>
      </c>
      <c r="AW96" s="1267">
        <f ca="1">_xlfn.XLOOKUP(Tab_NewTRADER[[#This Row],[ClickTick]],TabCalc[Ticker],TabCalc[Up20])</f>
        <v>0</v>
      </c>
      <c r="AX96" s="1334" t="str" cm="1">
        <f t="array" aca="1" ref="AX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6" s="825" t="str" cm="1">
        <f t="array" aca="1" ref="AY96" ca="1">_xlfn.IFS(         Tab_NewTRADER[[#This Row],[M_State]]=MDown,Tab_NewTRADER[[#This Row],[L_Bn]]*Tab_NewTRADER[[#This Row],[M]]*(-(Tab_NewTRADER[[#This Row],[L_Bp]]+Tab_NewTRADER[[#This Row],[M]])/Tab_NewTRADER[[#This Row],[M]])*(1-Commission)*Tab_NewTRADER[[#This Row],[Scale]],                               TRUE,"")</f>
        <v/>
      </c>
      <c r="AZ96" s="1174" t="str" cm="1">
        <f t="array" aca="1" ref="AZ96" ca="1">_xlfn.IFS(   Tab_NewTRADER[[#This Row],[M_State]]=MUp,Tab_NewTRADER[[#This Row],[TakeGain_A]]-Commission,        Tab_NewTRADER[[#This Row],[M_State]]=MDown,(Tab_NewTRADER[[#This Row],[A]]-Tab_NewTRADER[[#This Row],[M]])/Tab_NewTRADER[[#This Row],[M]]-Commission,                              TRUE,"")</f>
        <v/>
      </c>
      <c r="BA96" s="760" cm="1">
        <f t="array" aca="1" ref="BA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18775.355209472185</v>
      </c>
      <c r="BB96" s="760" t="str" cm="1">
        <f t="array" aca="1" ref="BB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C96" s="736" t="str" cm="1">
        <f t="array" aca="1" ref="BC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96" s="1121" t="str" cm="1">
        <f t="array" aca="1" ref="BD96" ca="1">_xlfn.IFS(Tab_NewTRADER[[#This Row],[M_State]]=Sale_Back,"",         Tab_NewTRADER[[#This Row],[M_State]]=MDown, (Tab_NewTRADER[[#This Row],[M]]-Tab_NewTRADER[[#This Row],[A]])/Tab_NewTRADER[[#This Row],[A]]*ComFactor,             TRUE, IFERROR((Tab_NewTRADER[[#This Row],[M]]-Tab_NewTRADER[[#This Row],[A]])/Tab_NewTRADER[[#This Row],[A]]*ComFactor,""))</f>
        <v/>
      </c>
      <c r="BE96" s="762" cm="1">
        <f t="array" aca="1" ref="BE96" ca="1">_xlfn.IFS(               Tab_NewTRADER[[#This Row],[M_State]]=NoStock,(Tab_NewTRADER[[#This Row],[L_Sp]]-Tab_NewTRADER[[#This Row],[M]])/Tab_NewTRADER[[#This Row],[M]]-Commission,             Tab_NewTRADER[[#This Row],[A]]&lt;&gt;0,(Tab_NewTRADER[[#This Row],[A]]-Tab_NewTRADER[[#This Row],[M]])/Tab_NewTRADER[[#This Row],[M]]-Commission)</f>
        <v>-5.7945350140056091E-2</v>
      </c>
      <c r="BF96" s="1336">
        <f ca="1">_xlfn.XLOOKUP(Tab_NewTRADER[[#This Row],[ClickTick]],TabCalc[Ticker],TabCalc[L_Sn])</f>
        <v>3000</v>
      </c>
      <c r="BG96" s="728">
        <f ca="1">_xlfn.XLOOKUP(Tab_NewTRADER[[#This Row],[ClickTick]],TabCalc[Ticker],TabCalc[L_Sp])</f>
        <v>16.12</v>
      </c>
      <c r="BH96" s="764">
        <f ca="1">-IFERROR((Tab_NewTRADER[[#This Row],[M]]-Tab_NewTRADER[[#This Row],[L_Sp]])/Tab_NewTRADER[[#This Row],[L_Sp]],0)</f>
        <v>5.0868486352357335E-2</v>
      </c>
      <c r="BI96" s="729">
        <f ca="1">MIN(Tab_NewTRADER[[#This Row],[L_Sn]],Tab_NewTRADER[[#This Row],[N]])*(Tab_NewTRADER[[#This Row],[M]]-Tab_NewTRADER[[#This Row],[L_Sp]])*(1-Commission)*Tab_NewTRADER[[#This Row],[Scale]]</f>
        <v>-2453.6040000000007</v>
      </c>
      <c r="BJ96" s="692">
        <f ca="1">Tab_NewTRADER[[#This Row],[L_Sn]]*(Tab_NewTRADER[[#This Row],[Agiotage]]-Tab_NewTRADER[[#This Row],[M]])/(Tab_NewTRADER[[#This Row],[L_Bn]]*Tab_NewTRADER[[#This Row],[M]])</f>
        <v>-0.99997759079250481</v>
      </c>
      <c r="BK96" s="635">
        <f ca="1">IFERROR((Tab_NewTRADER[[#This Row],[M]]-Tab_NewTRADER[[#This Row],[A]])/Tab_NewTRADER[[#This Row],[A]],0)</f>
        <v>5.858791903290974E-2</v>
      </c>
      <c r="BL96" s="638" t="str">
        <f ca="1">TEXT(_xlfn.XLOOKUP(Tab_NewTRADER[[#This Row],[ClickTick]],TabCalc[Ticker],TabCalc[NAfter]),"#,#0")&amp;" : "&amp;TEXT(_xlfn.XLOOKUP(Tab_NewTRADER[[#This Row],[ClickTick]],TabCalc[Ticker],TabCalc[NAfter])*(Tab_NewTRADER[[#This Row],[M]]-Tab_NewTRADER[[#This Row],[A]])*(1-Commission)*Tab_NewTRADER[[#This Row],[Scale]],"#,#0$")</f>
        <v>21,000 : 17,736$</v>
      </c>
      <c r="BM96" s="684">
        <f ca="1">_xlfn.XLOOKUP(Tab_NewTRADER[[#This Row],[ClickTick]],TabCalc[[#This Row],[Ticker]],TabCalc[[#This Row],[GL]])*(1-Commission)</f>
        <v>303334.54315557808</v>
      </c>
      <c r="BN96" s="684"/>
      <c r="BO96" s="669" t="str">
        <f ca="1">Tab_NewTRADER[[#This Row],[ClickTick]]&amp;": "&amp;_xlfn.XLOOKUP(Tab_NewTRADER[[#This Row],[ClickTick]],TabCalc[Ticker],TabCalc[Pile?])</f>
        <v>JBEOAN: Pile</v>
      </c>
      <c r="BP96" s="351" t="s">
        <v>2037</v>
      </c>
      <c r="BQ96" s="1338" t="str" cm="1">
        <f t="array" aca="1" ref="BQ96" ca="1">_xlfn.TEXTJOIN("",,INDEX({"M","A","Y"}, _xlfn.SORTBY({1,2,3}, -CHOOSE({1,2,3}, Tab_NewTRADER[[#This Row],[M]], Tab_NewTRADER[[#This Row],[A]], Tab_NewTRADER[[#This Row],[Agiotage]]))))</f>
        <v>MAY</v>
      </c>
      <c r="BR96" s="902" t="str" cm="1">
        <f t="array" aca="1" ref="BR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96" s="679">
        <f ca="1">Tab_NewTRADER[[#This Row],[L_Sn]]*Tab_NewTRADER[[#This Row],[L_Sp]]+Tab_NewTRADER[[#This Row],[SellMore]]*Tab_NewTRADER[[#This Row],[M]]</f>
        <v>94260</v>
      </c>
      <c r="BT96" s="679">
        <f ca="1">INDEX(
  INDEX(TabConsolid[], , _xlfn.XMATCH(Tab_NewTRADER[[#This Row],[ClickTick]]&amp;1, TabConsolid[#Headers])),
  MATCH(
    -Tab_NewTRADER[[#This Row],[M]],
    INDEX(TabConsolid[], , _xlfn.XMATCH(Tab_NewTRADER[[#This Row],[ClickTick]]&amp;2, TabConsolid[#Headers])),
    -1
  )
)</f>
        <v>3000</v>
      </c>
      <c r="BU96" s="679" cm="1">
        <f t="array" aca="1" ref="BU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V96" s="1144">
        <f ca="1">Tab_NewTRADER[[#This Row],[ReBuy]]/(Tab_NewTRADER[[#This Row],[L_Sn]]+Tab_NewTRADER[[#This Row],[SellMore]])</f>
        <v>15.71</v>
      </c>
      <c r="BW96" s="687">
        <f ca="1">((_xlfn.XLOOKUP(Tab_NewTRADER[[#This Row],[ClickTick]],TabCalc[Ticker],TabCalc[NAfter])+Tab_NewTRADER[[#This Row],[L_Sn]])*(Tab_NewTRADER[[#This Row],[Agiotage]]-Tab_NewTRADER[[#This Row],[M]]))/(Tab_NewTRADER[[#This Row],[L_Sn]]*_xlfn.XLOOKUP(Tab_NewTRADER[[#This Row],[ClickTick]],TabCalc[Ticker],TabCalc[NAfter]))</f>
        <v>-5.8284408149048856E-3</v>
      </c>
      <c r="BX96" s="687">
        <f ca="1">(Tab_NewTRADER[[#This Row],[M]]-Tab_NewTRADER[[#This Row],[Agiotage]])/(Tab_NewTRADER[[#This Row],[M]]-Tab_NewTRADER[[#This Row],[A]])-1</f>
        <v>17.067960330217026</v>
      </c>
      <c r="BY96" s="1262">
        <f ca="1">_xlfn.XMATCH(Tab_NewTRADER[[#This Row],[ClickTick]]&amp;1, TabConsolid[#Headers])</f>
        <v>284</v>
      </c>
    </row>
    <row r="97" spans="1:77" ht="28" thickBot="1" x14ac:dyDescent="0.4">
      <c r="A97" s="224" t="s">
        <v>1086</v>
      </c>
      <c r="B97" s="1512"/>
      <c r="C97" s="1513"/>
      <c r="D97" s="671"/>
      <c r="E97" s="752"/>
      <c r="F97" s="1512"/>
      <c r="G97" s="1514"/>
      <c r="H97" s="1513"/>
      <c r="I97" s="1515"/>
      <c r="J97" s="1513"/>
      <c r="K97" s="1513"/>
      <c r="L97" s="672"/>
      <c r="M97" s="1513"/>
      <c r="N97" s="1516"/>
      <c r="O97" s="703"/>
      <c r="P97" s="857"/>
      <c r="Q97" s="855"/>
      <c r="R97" s="1517"/>
      <c r="S97" s="702">
        <f ca="1">SUBTOTAL(109,Tab_NewTRADER[Sale_Back_$])</f>
        <v>22560.808987999975</v>
      </c>
      <c r="T97" s="786"/>
      <c r="U97" s="697">
        <f ca="1">SUBTOTAL(109,Tab_NewTRADER[SncOpenYest%])</f>
        <v>0</v>
      </c>
      <c r="V97" s="740"/>
      <c r="W97" s="1057"/>
      <c r="X97" s="1316"/>
      <c r="Y97" s="804"/>
      <c r="Z97" s="860"/>
      <c r="AA97" s="1"/>
      <c r="AB97" s="1"/>
      <c r="AC97" s="767"/>
      <c r="AD97" s="767"/>
      <c r="AE97" s="844"/>
      <c r="AF97" s="1162"/>
      <c r="AG97" s="1537"/>
      <c r="AH97" s="1538">
        <f ca="1">SUBTOTAL(109,Tab_NewTRADER[Re-Sale])</f>
        <v>0</v>
      </c>
      <c r="AI97" s="1527">
        <f ca="1">SUBTOTAL(109,Tab_NewTRADER[MUP-n*p])</f>
        <v>0</v>
      </c>
      <c r="AJ97" s="1527">
        <f ca="1">SUBTOTAL(109,Tab_NewTRADER[MUP-n*(M-A)])</f>
        <v>0</v>
      </c>
      <c r="AK97" s="1527">
        <f ca="1">SUBTOTAL(109,Tab_NewTRADER[MUP-N*(M-A)2])</f>
        <v>0</v>
      </c>
      <c r="AL97" s="1342"/>
      <c r="AM97" s="1528">
        <f ca="1">SUBTOTAL(103,Tab_NewTRADER[Re-Buy])</f>
        <v>16</v>
      </c>
      <c r="AN97" s="1529">
        <f ca="1">SUBTOTAL(109,Tab_NewTRADER[MLower_Lnp])</f>
        <v>0</v>
      </c>
      <c r="AO97" s="761">
        <f ca="1">SUBTOTAL(109,Tab_NewTRADER[Mdown_nA])</f>
        <v>0</v>
      </c>
      <c r="AP97" s="1529">
        <f ca="1">SUBTOTAL(109,Tab_NewTRADER[Buy+N*A])</f>
        <v>0</v>
      </c>
      <c r="AQ97" s="925">
        <f ca="1">SUBTOTAL(109,Tab_NewTRADER[GL_NA])</f>
        <v>505583.45041715808</v>
      </c>
      <c r="AR97" s="925">
        <f ca="1">SUBTOTAL(109,Tab_NewTRADER[M_VALUE])</f>
        <v>8091763.6815139987</v>
      </c>
      <c r="AS97" s="761"/>
      <c r="AT97" s="922"/>
      <c r="AU97" s="925">
        <f ca="1">SUBTOTAL(109,Tab_NewTRADER[vs.LS$])</f>
        <v>0</v>
      </c>
      <c r="AV97" s="1270"/>
      <c r="AW97" s="1270"/>
      <c r="AX97" s="761"/>
      <c r="AY97" s="925">
        <f ca="1">SUBTOTAL(109,Tab_NewTRADER[vs.LB$])</f>
        <v>0</v>
      </c>
      <c r="AZ97" s="761"/>
      <c r="BA97" s="761"/>
      <c r="BB97" s="761"/>
      <c r="BC97" s="738"/>
      <c r="BD97" s="819">
        <f ca="1">SUBTOTAL(109,Tab_NewTRADER[SellMore(/A)])</f>
        <v>-0.34130398015867958</v>
      </c>
      <c r="BE97" s="820">
        <f ca="1">SUBTOTAL(109,Tab_NewTRADER[BuyMore])</f>
        <v>3.0490485864028534</v>
      </c>
      <c r="BF97" s="1516"/>
      <c r="BG97" s="682"/>
      <c r="BH97" s="1518"/>
      <c r="BI97" s="730">
        <f ca="1">SUBTOTAL(109,Tab_NewTRADER[Buy_Back])</f>
        <v>-82610.712144260033</v>
      </c>
      <c r="BJ97" s="693">
        <f ca="1">SUBTOTAL(104,Tab_NewTRADER[Rev_B@Y])</f>
        <v>-2.2473068984628006E-2</v>
      </c>
      <c r="BK97" s="1513"/>
      <c r="BL97" s="674"/>
      <c r="BM97" s="685">
        <f ca="1">SUBTOTAL(109,Tab_NewTRADER[GL_Total])</f>
        <v>877628.43841077317</v>
      </c>
      <c r="BN97" s="685"/>
      <c r="BO97" s="673"/>
      <c r="BP97" s="1519">
        <f>SUBTOTAL(103,Tab_NewTRADER[Status])</f>
        <v>15</v>
      </c>
      <c r="BQ97" s="757"/>
      <c r="BR97" s="903"/>
      <c r="BV97" s="195"/>
      <c r="BY97" s="82"/>
    </row>
    <row r="98" spans="1:77"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Q98" s="1344"/>
      <c r="AR98" s="1343"/>
      <c r="AS98" s="1343"/>
      <c r="AU98" s="798"/>
      <c r="AV98" s="798"/>
      <c r="AW98" s="798"/>
      <c r="AX98" s="798"/>
      <c r="AY98" s="798"/>
      <c r="AZ98" s="798"/>
      <c r="BA98" s="798"/>
      <c r="BB98" s="798"/>
      <c r="BC98" s="327"/>
      <c r="BD98" s="329"/>
      <c r="BE98" s="330"/>
      <c r="BF98" s="807">
        <f ca="1">SUM(Tab_NewTRADER[SellMore(/A)])</f>
        <v>-2.5039719440042929</v>
      </c>
      <c r="BG98" s="808">
        <f ca="1">SUM(Tab_NewTRADER[BuyMore])</f>
        <v>58.745404510309207</v>
      </c>
      <c r="BH98" s="670"/>
      <c r="BI98" s="311"/>
    </row>
    <row r="99" spans="1:77"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P99" s="1346" t="s">
        <v>2731</v>
      </c>
      <c r="AQ99" s="502" t="s">
        <v>2730</v>
      </c>
      <c r="AR99" s="1345">
        <f ca="1">Tab_NewTRADER[[#Totals],[GL_NA]]/Tab_NewTRADER[[#Totals],[M_VALUE]]</f>
        <v>6.2481242695234217E-2</v>
      </c>
      <c r="AS99" s="941"/>
      <c r="AV99" s="93">
        <f ca="1">SUM(AU3:AU96)</f>
        <v>69772.982350999999</v>
      </c>
      <c r="AW99" s="93"/>
      <c r="AX99" s="93"/>
      <c r="AY99" s="93"/>
      <c r="AZ99" s="93"/>
      <c r="BB99" s="93">
        <f ca="1">SUM(BA3:BA96)</f>
        <v>3411214.7568379738</v>
      </c>
    </row>
    <row r="100" spans="1:77"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S100" s="941"/>
    </row>
    <row r="101" spans="1:77"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66" t="s">
        <v>2571</v>
      </c>
      <c r="AF101" s="1244"/>
      <c r="AO101" s="941" t="s">
        <v>2729</v>
      </c>
      <c r="AP101" s="1347">
        <f ca="1">SUM(Tab_NewTRADER[Mdown_nA])</f>
        <v>0</v>
      </c>
      <c r="AQ101" s="1348">
        <f ca="1">SUM(AQ3:AQ96)</f>
        <v>349058.07937611133</v>
      </c>
      <c r="AR101" s="1349">
        <f ca="1">SUM(AR3:AR96)</f>
        <v>33228601.015867561</v>
      </c>
    </row>
    <row r="102" spans="1:77"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67" t="s">
        <v>1134</v>
      </c>
      <c r="X102" s="1168">
        <f ca="1">COUNTIFS(Tab_NewTRADER[Cur], "EUR", Tab_NewTRADER[ClickTick], "?*")</f>
        <v>22</v>
      </c>
      <c r="AP102" s="19"/>
      <c r="AQ102" s="1350">
        <f ca="1">Tab_NewTRADER[[#Totals],[GL_NA]]/AQ101</f>
        <v>1.4484221402948536</v>
      </c>
      <c r="AR102" s="1351">
        <f ca="1">Tab_NewTRADER[[#Totals],[M_VALUE]]/AR101</f>
        <v>0.24351803669525424</v>
      </c>
      <c r="BB102" s="900"/>
      <c r="BE102" s="900"/>
      <c r="BI102" s="409" cm="1">
        <f t="array" ref="BI102">_xlfn.LAMBDA(_xlpm.x, _xlpm.x+1)(5)</f>
        <v>6</v>
      </c>
    </row>
    <row r="103" spans="1:77"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69" t="s">
        <v>1445</v>
      </c>
      <c r="X103" s="1170">
        <f ca="1">COUNTIFS(Tab_NewTRADER[Cur], "GBp", Tab_NewTRADER[ClickTick], "?*")</f>
        <v>4</v>
      </c>
    </row>
    <row r="104" spans="1:77"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69" t="s">
        <v>1131</v>
      </c>
      <c r="X104" s="1170">
        <f ca="1">COUNTIFS(Tab_NewTRADER[Cur], "USD", Tab_NewTRADER[ClickTick], "?*")</f>
        <v>67</v>
      </c>
      <c r="AL104" s="1256" t="str">
        <f>Sale_Back</f>
        <v>Sale Back</v>
      </c>
    </row>
    <row r="105" spans="1:77"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71" t="s">
        <v>1133</v>
      </c>
      <c r="X105" s="1172">
        <f ca="1">COUNTIFS(Tab_NewTRADER[Cur], "CHF", Tab_NewTRADER[ClickTick], "?*")</f>
        <v>1</v>
      </c>
      <c r="AF105" s="1244"/>
      <c r="AK105" s="1432"/>
      <c r="AL105" s="1255" t="str">
        <f>MUp</f>
        <v>M Higher</v>
      </c>
    </row>
    <row r="106" spans="1:77"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44"/>
      <c r="AL106" s="1254" t="str">
        <f>SeeDelta</f>
        <v>See Rev%</v>
      </c>
    </row>
    <row r="107" spans="1:77"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row>
    <row r="108" spans="1:77"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44"/>
      <c r="AL108" s="1253" t="str">
        <f>RePurchaseGain</f>
        <v>Buy Back</v>
      </c>
    </row>
    <row r="109" spans="1:77"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44"/>
      <c r="AL109" s="1252" t="str">
        <f>MDown</f>
        <v>M Lower</v>
      </c>
    </row>
    <row r="110" spans="1:77"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44"/>
      <c r="AL110" s="1247" t="str">
        <f>MgtY</f>
        <v>Buy:@M&gt;@Y?</v>
      </c>
    </row>
    <row r="111" spans="1:77"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L111" s="1248">
        <f>Trader!AD108</f>
        <v>0</v>
      </c>
      <c r="AX111" t="s">
        <v>2574</v>
      </c>
      <c r="AY111" s="82">
        <f>BankCheck!Q7</f>
        <v>-28.24</v>
      </c>
    </row>
    <row r="112" spans="1:77"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L112" s="1251" t="str">
        <f>NoStock</f>
        <v>No Stock</v>
      </c>
      <c r="AX112" t="s">
        <v>2575</v>
      </c>
      <c r="AY112" s="82">
        <f>BankCheck!Q43</f>
        <v>405410.4</v>
      </c>
    </row>
    <row r="113" spans="1:5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X113" t="s">
        <v>2576</v>
      </c>
      <c r="AY113" s="82">
        <f>BankCheck!Q60</f>
        <v>269330.03000000003</v>
      </c>
    </row>
    <row r="114" spans="1:5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I114" s="1467" t="str">
        <f>Trader!AD110</f>
        <v>Commission</v>
      </c>
      <c r="AJ114" s="1523"/>
      <c r="AK114" s="1466"/>
      <c r="AL114" s="1250">
        <f>Commission</f>
        <v>2.5999999999999999E-3</v>
      </c>
      <c r="AY114" s="1178">
        <f>SUM(AY111:AY113)</f>
        <v>674712.19000000006</v>
      </c>
    </row>
    <row r="115" spans="1:5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I115" s="1468" t="s">
        <v>2675</v>
      </c>
      <c r="AJ115" s="13"/>
      <c r="AK115" s="13"/>
      <c r="AL115" s="1257">
        <f>ComFactor</f>
        <v>0.99739999999999995</v>
      </c>
      <c r="AY115" s="1177">
        <f ca="1">AY114/[1]ExtEntry!$B$99</f>
        <v>585281.21963913948</v>
      </c>
    </row>
    <row r="116" spans="1:5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51" ht="23" thickBot="1" x14ac:dyDescent="0.35">
      <c r="A117" s="327"/>
      <c r="B117" s="328"/>
      <c r="C117" s="328"/>
      <c r="D117" s="328"/>
      <c r="E117" s="327"/>
      <c r="F117" s="303"/>
      <c r="G117" s="312"/>
      <c r="H117" s="312"/>
      <c r="I117" s="631"/>
      <c r="J117" s="632"/>
      <c r="K117" s="1"/>
      <c r="L117" s="1"/>
      <c r="M117" s="594"/>
      <c r="AE117" s="1"/>
    </row>
    <row r="118" spans="1:51" ht="23" thickBot="1" x14ac:dyDescent="0.35">
      <c r="A118" s="327"/>
      <c r="B118" s="328"/>
      <c r="C118" s="328"/>
      <c r="D118" s="328"/>
      <c r="E118" s="327"/>
      <c r="F118" s="303"/>
      <c r="G118" s="312"/>
      <c r="H118" s="312"/>
      <c r="I118" s="631"/>
      <c r="J118" s="632"/>
      <c r="K118" s="1"/>
      <c r="L118" s="1"/>
      <c r="M118" s="594"/>
    </row>
    <row r="119" spans="1:51" ht="23" thickBot="1" x14ac:dyDescent="0.35">
      <c r="A119" s="327"/>
      <c r="B119" s="328"/>
      <c r="C119" s="328"/>
      <c r="D119" s="328"/>
      <c r="E119" s="327"/>
      <c r="F119" s="303"/>
      <c r="G119" s="312"/>
      <c r="H119" s="312"/>
      <c r="I119" s="631"/>
      <c r="J119" s="632"/>
      <c r="K119" s="1"/>
      <c r="L119" s="1"/>
      <c r="M119" s="594"/>
    </row>
    <row r="120" spans="1:51" ht="23" thickBot="1" x14ac:dyDescent="0.35">
      <c r="A120" s="327"/>
      <c r="B120" s="328"/>
      <c r="C120" s="328"/>
      <c r="D120" s="328"/>
      <c r="E120" s="327"/>
      <c r="F120" s="303"/>
      <c r="G120" s="312"/>
      <c r="H120" s="312"/>
      <c r="I120" s="631"/>
      <c r="J120" s="632"/>
      <c r="K120" s="1"/>
      <c r="L120" s="1"/>
      <c r="M120" s="594"/>
    </row>
    <row r="121" spans="1:51" ht="23" thickBot="1" x14ac:dyDescent="0.35">
      <c r="A121" s="327"/>
      <c r="B121" s="328"/>
      <c r="C121" s="328"/>
      <c r="D121" s="328"/>
      <c r="E121" s="327"/>
      <c r="F121" s="303"/>
      <c r="G121" s="312"/>
      <c r="H121" s="312"/>
      <c r="I121" s="631"/>
      <c r="J121" s="632"/>
      <c r="K121" s="1"/>
      <c r="L121" s="1"/>
      <c r="M121" s="594"/>
    </row>
    <row r="122" spans="1:51" ht="23" thickBot="1" x14ac:dyDescent="0.35">
      <c r="A122" s="327"/>
      <c r="B122" s="328"/>
      <c r="C122" s="328"/>
      <c r="D122" s="328"/>
      <c r="E122" s="327"/>
      <c r="F122" s="303"/>
      <c r="G122" s="312"/>
      <c r="H122" s="312"/>
      <c r="I122" s="631"/>
      <c r="J122" s="632"/>
      <c r="K122" s="1"/>
      <c r="L122" s="1"/>
      <c r="M122" s="594"/>
    </row>
    <row r="123" spans="1:51" ht="23" thickBot="1" x14ac:dyDescent="0.35">
      <c r="A123" s="327"/>
      <c r="B123" s="328"/>
      <c r="C123" s="328"/>
      <c r="D123" s="328"/>
      <c r="E123" s="327"/>
      <c r="F123" s="303"/>
      <c r="G123" s="312"/>
      <c r="H123" s="312"/>
      <c r="I123" s="631"/>
      <c r="J123" s="632"/>
      <c r="K123" s="1"/>
      <c r="L123" s="1"/>
      <c r="M123" s="594"/>
    </row>
    <row r="124" spans="1:51" ht="23" thickBot="1" x14ac:dyDescent="0.35">
      <c r="A124" s="327"/>
      <c r="B124" s="328"/>
      <c r="C124" s="328"/>
      <c r="D124" s="328"/>
      <c r="E124" s="327"/>
      <c r="F124" s="303"/>
      <c r="G124" s="312"/>
      <c r="H124" s="312"/>
      <c r="I124" s="631"/>
      <c r="J124" s="632"/>
      <c r="K124" s="1"/>
      <c r="L124" s="1"/>
      <c r="M124" s="594"/>
    </row>
    <row r="125" spans="1:51" ht="23" thickBot="1" x14ac:dyDescent="0.35">
      <c r="A125" s="327"/>
      <c r="B125" s="328"/>
      <c r="C125" s="328"/>
      <c r="D125" s="328"/>
      <c r="E125" s="327"/>
      <c r="F125" s="303"/>
      <c r="G125" s="312"/>
      <c r="H125" s="312"/>
      <c r="I125" s="631"/>
      <c r="J125" s="632"/>
      <c r="K125" s="1"/>
      <c r="L125" s="1"/>
      <c r="M125" s="594"/>
    </row>
    <row r="126" spans="1:51" ht="23" thickBot="1" x14ac:dyDescent="0.35">
      <c r="A126" s="327"/>
      <c r="B126" s="328"/>
      <c r="C126" s="328"/>
      <c r="D126" s="328"/>
      <c r="E126" s="327"/>
      <c r="F126" s="303"/>
      <c r="G126" s="312"/>
      <c r="H126" s="312"/>
      <c r="I126" s="631"/>
      <c r="J126" s="632"/>
      <c r="K126" s="1"/>
      <c r="L126" s="1"/>
      <c r="M126" s="594"/>
    </row>
    <row r="127" spans="1:51" ht="23" thickBot="1" x14ac:dyDescent="0.35">
      <c r="A127" s="327"/>
      <c r="B127" s="328"/>
      <c r="C127" s="328"/>
      <c r="D127" s="328"/>
      <c r="E127" s="327"/>
      <c r="F127" s="303"/>
      <c r="G127" s="312"/>
      <c r="H127" s="312"/>
      <c r="I127" s="631"/>
      <c r="J127" s="632"/>
      <c r="K127" s="1"/>
      <c r="L127" s="1"/>
      <c r="M127" s="594"/>
    </row>
    <row r="128" spans="1:5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8">
    <mergeCell ref="BG1:BJ1"/>
    <mergeCell ref="P1:S1"/>
    <mergeCell ref="AU1:AV1"/>
    <mergeCell ref="AY1:AZ1"/>
    <mergeCell ref="BA1:BB1"/>
    <mergeCell ref="BD1:BF1"/>
    <mergeCell ref="AG1:AK1"/>
    <mergeCell ref="AL1:AP1"/>
  </mergeCells>
  <phoneticPr fontId="48" type="noConversion"/>
  <conditionalFormatting sqref="G3:I96">
    <cfRule type="containsText" dxfId="712" priority="108" operator="containsText" text="x0">
      <formula>NOT(ISERROR(SEARCH("x0",G3)))</formula>
    </cfRule>
    <cfRule type="containsText" dxfId="711" priority="129" operator="containsText" text=" -">
      <formula>NOT(ISERROR(SEARCH(" -",G3)))</formula>
    </cfRule>
  </conditionalFormatting>
  <conditionalFormatting sqref="I3:I96">
    <cfRule type="containsText" dxfId="710" priority="128" operator="containsText" text=" -">
      <formula>NOT(ISERROR(SEARCH(" -",I3)))</formula>
    </cfRule>
  </conditionalFormatting>
  <conditionalFormatting sqref="M7:M89">
    <cfRule type="colorScale" priority="127">
      <colorScale>
        <cfvo type="min"/>
        <cfvo type="percentile" val="50"/>
        <cfvo type="max"/>
        <color rgb="FFF8696B"/>
        <color rgb="FFFFEB84"/>
        <color rgb="FF63BE7B"/>
      </colorScale>
    </cfRule>
  </conditionalFormatting>
  <conditionalFormatting sqref="B3:B96">
    <cfRule type="containsText" dxfId="709" priority="125" operator="containsText" text=" 0">
      <formula>NOT(ISERROR(SEARCH(" 0",B3)))</formula>
    </cfRule>
  </conditionalFormatting>
  <conditionalFormatting sqref="B3:B96">
    <cfRule type="containsText" dxfId="708" priority="126" operator="containsText" text=" -">
      <formula>NOT(ISERROR(SEARCH(" -",B3)))</formula>
    </cfRule>
  </conditionalFormatting>
  <conditionalFormatting sqref="H3:I96">
    <cfRule type="containsText" dxfId="707" priority="121" operator="containsText" text="Free">
      <formula>NOT(ISERROR(SEARCH("Free",H3)))</formula>
    </cfRule>
    <cfRule type="containsText" dxfId="706" priority="122" operator="containsText" text="Buy">
      <formula>NOT(ISERROR(SEARCH("Buy",H3)))</formula>
    </cfRule>
    <cfRule type="containsText" dxfId="705" priority="123" operator="containsText" text="Refill">
      <formula>NOT(ISERROR(SEARCH("Refill",H3)))</formula>
    </cfRule>
    <cfRule type="containsText" dxfId="704" priority="124" operator="containsText" text="S_more">
      <formula>NOT(ISERROR(SEARCH("S_more",H3)))</formula>
    </cfRule>
  </conditionalFormatting>
  <conditionalFormatting sqref="D98 C2:C96">
    <cfRule type="containsText" dxfId="703" priority="117" operator="containsText" text="Free">
      <formula>NOT(ISERROR(SEARCH("Free",C2)))</formula>
    </cfRule>
    <cfRule type="containsText" dxfId="702" priority="118" operator="containsText" text="Sell">
      <formula>NOT(ISERROR(SEARCH("Sell",C2)))</formula>
    </cfRule>
    <cfRule type="containsText" dxfId="701" priority="119" operator="containsText" text="Re-Sell">
      <formula>NOT(ISERROR(SEARCH("Re-Sell",C2)))</formula>
    </cfRule>
    <cfRule type="containsText" dxfId="700" priority="120" operator="containsText" text="B_more">
      <formula>NOT(ISERROR(SEARCH("B_more",C2)))</formula>
    </cfRule>
  </conditionalFormatting>
  <conditionalFormatting sqref="N98 E3:E96">
    <cfRule type="containsText" dxfId="699" priority="106" operator="containsText" text="Free">
      <formula>NOT(ISERROR(SEARCH("Free",E3)))</formula>
    </cfRule>
    <cfRule type="containsText" dxfId="698" priority="112" operator="containsText" text="M&lt;min">
      <formula>NOT(ISERROR(SEARCH("M&lt;min",E3)))</formula>
    </cfRule>
    <cfRule type="containsText" dxfId="697" priority="113" operator="containsText" text="A&lt;M">
      <formula>NOT(ISERROR(SEARCH("A&lt;M",E3)))</formula>
    </cfRule>
    <cfRule type="containsText" dxfId="696" priority="114" operator="containsText" text="M&gt;Last Sale">
      <formula>NOT(ISERROR(SEARCH("M&gt;Last Sale",E3)))</formula>
    </cfRule>
    <cfRule type="containsText" dxfId="695" priority="115" operator="containsText" text="M&gt;Y">
      <formula>NOT(ISERROR(SEARCH("M&gt;Y",E3)))</formula>
    </cfRule>
  </conditionalFormatting>
  <conditionalFormatting sqref="C3:C96">
    <cfRule type="expression" dxfId="694" priority="109">
      <formula>#REF!=0</formula>
    </cfRule>
  </conditionalFormatting>
  <conditionalFormatting sqref="N98 E3:E96">
    <cfRule type="containsText" dxfId="693" priority="111" operator="containsText" text="A&gt;M">
      <formula>NOT(ISERROR(SEARCH("A&gt;M",E3)))</formula>
    </cfRule>
  </conditionalFormatting>
  <conditionalFormatting sqref="BP2:BT96">
    <cfRule type="containsText" dxfId="692" priority="105" operator="containsText" text="Trade">
      <formula>NOT(ISERROR(SEARCH("Trade",BP2)))</formula>
    </cfRule>
  </conditionalFormatting>
  <conditionalFormatting sqref="D3:E96">
    <cfRule type="expression" dxfId="691" priority="130">
      <formula>#REF!=0</formula>
    </cfRule>
    <cfRule type="expression" dxfId="690" priority="131">
      <formula>LEFT(#REF!,5)="Trade"</formula>
    </cfRule>
  </conditionalFormatting>
  <conditionalFormatting sqref="BK30:BK95 M3:N96">
    <cfRule type="colorScale" priority="132">
      <colorScale>
        <cfvo type="min"/>
        <cfvo type="percentile" val="50"/>
        <cfvo type="max"/>
        <color rgb="FFF8696B"/>
        <color rgb="FFFFEB84"/>
        <color rgb="FF63BE7B"/>
      </colorScale>
    </cfRule>
  </conditionalFormatting>
  <conditionalFormatting sqref="BK30:BK95 N3:N96">
    <cfRule type="colorScale" priority="133">
      <colorScale>
        <cfvo type="min"/>
        <cfvo type="percentile" val="50"/>
        <cfvo type="max"/>
        <color rgb="FFF8696B"/>
        <color rgb="FFFFEB84"/>
        <color rgb="FF63BE7B"/>
      </colorScale>
    </cfRule>
  </conditionalFormatting>
  <conditionalFormatting sqref="BK3:BK96">
    <cfRule type="cellIs" dxfId="689" priority="102" operator="greaterThan">
      <formula>0</formula>
    </cfRule>
    <cfRule type="cellIs" dxfId="688" priority="103" operator="lessThan">
      <formula>0</formula>
    </cfRule>
  </conditionalFormatting>
  <conditionalFormatting sqref="BO3:BO96">
    <cfRule type="containsText" dxfId="687" priority="101" operator="containsText" text="Pile">
      <formula>NOT(ISERROR(SEARCH("Pile",BO3)))</formula>
    </cfRule>
  </conditionalFormatting>
  <conditionalFormatting sqref="BV97:BY97">
    <cfRule type="expression" dxfId="686" priority="100">
      <formula>$BQ98&gt;=$BP98</formula>
    </cfRule>
  </conditionalFormatting>
  <conditionalFormatting sqref="BV2:BX3 BW4:BX94 BV4:BV96 BY2:BY94">
    <cfRule type="expression" dxfId="685" priority="134">
      <formula>$BV3&gt;=$BU3</formula>
    </cfRule>
  </conditionalFormatting>
  <conditionalFormatting sqref="U97">
    <cfRule type="cellIs" dxfId="684" priority="99" operator="lessThan">
      <formula>"/ -"</formula>
    </cfRule>
  </conditionalFormatting>
  <conditionalFormatting sqref="S2:S97">
    <cfRule type="cellIs" dxfId="683" priority="97" operator="lessThan">
      <formula>-1000</formula>
    </cfRule>
    <cfRule type="cellIs" dxfId="682" priority="98" operator="greaterThan">
      <formula>1000</formula>
    </cfRule>
  </conditionalFormatting>
  <conditionalFormatting sqref="O3:O96">
    <cfRule type="containsText" dxfId="681" priority="96" operator="containsText" text="Pile">
      <formula>NOT(ISERROR(SEARCH("Pile",O3)))</formula>
    </cfRule>
  </conditionalFormatting>
  <conditionalFormatting sqref="BJ3:BJ96">
    <cfRule type="cellIs" dxfId="680" priority="93" operator="lessThan">
      <formula>0</formula>
    </cfRule>
    <cfRule type="expression" dxfId="679" priority="135">
      <formula>AND($BJ3&gt;50%,$BJ3&lt;100%)</formula>
    </cfRule>
    <cfRule type="cellIs" dxfId="678" priority="136" operator="greaterThan">
      <formula>1</formula>
    </cfRule>
  </conditionalFormatting>
  <conditionalFormatting sqref="U3:U96">
    <cfRule type="containsText" dxfId="677" priority="13" operator="containsText" text="/ -">
      <formula>NOT(ISERROR(SEARCH("/ -",U3)))</formula>
    </cfRule>
    <cfRule type="containsText" dxfId="676" priority="91" operator="containsText" text="&gt;-">
      <formula>NOT(ISERROR(SEARCH("&gt;-",U3)))</formula>
    </cfRule>
  </conditionalFormatting>
  <conditionalFormatting sqref="BU2:BU96">
    <cfRule type="containsText" dxfId="675" priority="89" operator="containsText" text="Trade">
      <formula>NOT(ISERROR(SEARCH("Trade",BU2)))</formula>
    </cfRule>
  </conditionalFormatting>
  <conditionalFormatting sqref="AL104">
    <cfRule type="containsText" dxfId="674" priority="84" operator="containsText" text="More">
      <formula>NOT(ISERROR(SEARCH("More",AL104)))</formula>
    </cfRule>
    <cfRule type="containsText" dxfId="673" priority="85" operator="containsText" text="Up">
      <formula>NOT(ISERROR(SEARCH("Up",AL104)))</formula>
    </cfRule>
    <cfRule type="containsText" dxfId="672" priority="86" operator="containsText" text="Down">
      <formula>NOT(ISERROR(SEARCH("Down",AL104)))</formula>
    </cfRule>
  </conditionalFormatting>
  <conditionalFormatting sqref="AL104">
    <cfRule type="containsText" dxfId="671" priority="87" operator="containsText" text="Buy">
      <formula>NOT(ISERROR(SEARCH("Buy",AL104)))</formula>
    </cfRule>
    <cfRule type="containsText" dxfId="670" priority="88" operator="containsText" text="Sell">
      <formula>NOT(ISERROR(SEARCH("Sell",AL104)))</formula>
    </cfRule>
  </conditionalFormatting>
  <conditionalFormatting sqref="AL105">
    <cfRule type="containsText" dxfId="669" priority="79" operator="containsText" text="More">
      <formula>NOT(ISERROR(SEARCH("More",AL105)))</formula>
    </cfRule>
    <cfRule type="containsText" dxfId="668" priority="80" operator="containsText" text="Up">
      <formula>NOT(ISERROR(SEARCH("Up",AL105)))</formula>
    </cfRule>
    <cfRule type="containsText" dxfId="667" priority="81" operator="containsText" text="Down">
      <formula>NOT(ISERROR(SEARCH("Down",AL105)))</formula>
    </cfRule>
  </conditionalFormatting>
  <conditionalFormatting sqref="AL105">
    <cfRule type="containsText" dxfId="666" priority="82" operator="containsText" text="Buy">
      <formula>NOT(ISERROR(SEARCH("Buy",AL105)))</formula>
    </cfRule>
    <cfRule type="containsText" dxfId="665" priority="83" operator="containsText" text="Sell">
      <formula>NOT(ISERROR(SEARCH("Sell",AL105)))</formula>
    </cfRule>
  </conditionalFormatting>
  <conditionalFormatting sqref="AL108">
    <cfRule type="containsText" dxfId="664" priority="74" operator="containsText" text="More">
      <formula>NOT(ISERROR(SEARCH("More",AL108)))</formula>
    </cfRule>
    <cfRule type="containsText" dxfId="663" priority="75" operator="containsText" text="Up">
      <formula>NOT(ISERROR(SEARCH("Up",AL108)))</formula>
    </cfRule>
    <cfRule type="containsText" dxfId="662" priority="76" operator="containsText" text="Down">
      <formula>NOT(ISERROR(SEARCH("Down",AL108)))</formula>
    </cfRule>
  </conditionalFormatting>
  <conditionalFormatting sqref="AL108">
    <cfRule type="containsText" dxfId="661" priority="77" operator="containsText" text="Buy">
      <formula>NOT(ISERROR(SEARCH("Buy",AL108)))</formula>
    </cfRule>
    <cfRule type="containsText" dxfId="660" priority="78" operator="containsText" text="Sell">
      <formula>NOT(ISERROR(SEARCH("Sell",AL108)))</formula>
    </cfRule>
  </conditionalFormatting>
  <conditionalFormatting sqref="AL109">
    <cfRule type="containsText" dxfId="659" priority="69" operator="containsText" text="More">
      <formula>NOT(ISERROR(SEARCH("More",AL109)))</formula>
    </cfRule>
    <cfRule type="containsText" dxfId="658" priority="70" operator="containsText" text="Up">
      <formula>NOT(ISERROR(SEARCH("Up",AL109)))</formula>
    </cfRule>
    <cfRule type="containsText" dxfId="657" priority="71" operator="containsText" text="Down">
      <formula>NOT(ISERROR(SEARCH("Down",AL109)))</formula>
    </cfRule>
  </conditionalFormatting>
  <conditionalFormatting sqref="AL109">
    <cfRule type="containsText" dxfId="656" priority="72" operator="containsText" text="Buy">
      <formula>NOT(ISERROR(SEARCH("Buy",AL109)))</formula>
    </cfRule>
    <cfRule type="containsText" dxfId="655" priority="73" operator="containsText" text="Sell">
      <formula>NOT(ISERROR(SEARCH("Sell",AL109)))</formula>
    </cfRule>
  </conditionalFormatting>
  <conditionalFormatting sqref="BE3:BE96">
    <cfRule type="containsText" dxfId="654" priority="64" operator="containsText" text="More">
      <formula>NOT(ISERROR(SEARCH("More",BE3)))</formula>
    </cfRule>
    <cfRule type="containsText" dxfId="653" priority="65" operator="containsText" text="Up">
      <formula>NOT(ISERROR(SEARCH("Up",BE3)))</formula>
    </cfRule>
    <cfRule type="containsText" dxfId="652" priority="66" operator="containsText" text="Down">
      <formula>NOT(ISERROR(SEARCH("Down",BE3)))</formula>
    </cfRule>
  </conditionalFormatting>
  <conditionalFormatting sqref="BE3:BE96">
    <cfRule type="containsText" dxfId="651" priority="67" operator="containsText" text="Buy">
      <formula>NOT(ISERROR(SEARCH("Buy",BE3)))</formula>
    </cfRule>
    <cfRule type="containsText" dxfId="650" priority="68" operator="containsText" text="Sell">
      <formula>NOT(ISERROR(SEARCH("Sell",BE3)))</formula>
    </cfRule>
  </conditionalFormatting>
  <conditionalFormatting sqref="Y3:Y96">
    <cfRule type="expression" dxfId="649" priority="58">
      <formula>AND(Y3&lt;&gt;0,Y3&lt;MIN(W3,AA3))</formula>
    </cfRule>
    <cfRule type="expression" dxfId="648" priority="63">
      <formula>AND(Y3&lt;&gt;0,Y3&lt;W3,Y3&gt;AA3)</formula>
    </cfRule>
  </conditionalFormatting>
  <conditionalFormatting sqref="T3:T96">
    <cfRule type="expression" dxfId="647" priority="137" stopIfTrue="1">
      <formula>$T3&gt;MAX(ABS($AA3),$W3)</formula>
    </cfRule>
    <cfRule type="expression" dxfId="646" priority="138" stopIfTrue="1">
      <formula>$T3&gt;AND(MAX(ABS($AA3),$W3),ABS($AA3)&lt;$W3)</formula>
    </cfRule>
  </conditionalFormatting>
  <conditionalFormatting sqref="T3:T96">
    <cfRule type="expression" dxfId="645" priority="139" stopIfTrue="1">
      <formula>AND($T3&lt;=MIN(ABS($AA3),$W3),ABS($AA3)&gt;$W3,$W3&lt;=0)</formula>
    </cfRule>
    <cfRule type="expression" dxfId="644" priority="140" stopIfTrue="1">
      <formula>AND($T3&lt;=MIN(ABS($AA3),$W3),ABS($AA3)&lt;$W3,$W3&lt;=0)</formula>
    </cfRule>
  </conditionalFormatting>
  <conditionalFormatting sqref="W3:W96">
    <cfRule type="expression" dxfId="643" priority="141">
      <formula>W3&gt;MAX(AA3,Y3)</formula>
    </cfRule>
    <cfRule type="expression" dxfId="642" priority="142">
      <formula>AND(W3&gt;MAX(Y3,AA3), AA3&lt;Y3)</formula>
    </cfRule>
    <cfRule type="expression" dxfId="641" priority="143" stopIfTrue="1">
      <formula>AND(W3&gt;MAX(Y3,AA3), AA3&gt;Y3)</formula>
    </cfRule>
    <cfRule type="expression" dxfId="640" priority="144">
      <formula>AND(W3&lt;MIN(Y3,AA3),AA3&lt;Y3)</formula>
    </cfRule>
    <cfRule type="expression" dxfId="639" priority="145">
      <formula>AND(W3&gt;Y3,AA3&gt;MAX(Y3,W3))</formula>
    </cfRule>
  </conditionalFormatting>
  <conditionalFormatting sqref="BC3:BC96">
    <cfRule type="containsText" dxfId="638" priority="60" operator="containsText" text="No">
      <formula>NOT(ISERROR(SEARCH("No",BC3)))</formula>
    </cfRule>
    <cfRule type="containsText" dxfId="637" priority="61" operator="containsText" text="M&lt;">
      <formula>NOT(ISERROR(SEARCH("M&lt;",BC3)))</formula>
    </cfRule>
    <cfRule type="containsText" dxfId="636" priority="62" operator="containsText" text="M&gt;">
      <formula>NOT(ISERROR(SEARCH("M&gt;",BC3)))</formula>
    </cfRule>
  </conditionalFormatting>
  <conditionalFormatting sqref="AA3:AA96">
    <cfRule type="expression" dxfId="635" priority="59">
      <formula>$AA3&lt;MIN($W3,$Y3)</formula>
    </cfRule>
  </conditionalFormatting>
  <conditionalFormatting sqref="AT2:AT97">
    <cfRule type="containsText" dxfId="634" priority="57" operator="containsText" text="Don't">
      <formula>NOT(ISERROR(SEARCH("Don't",AT2)))</formula>
    </cfRule>
  </conditionalFormatting>
  <conditionalFormatting sqref="AW2:AW97">
    <cfRule type="cellIs" dxfId="633" priority="56" operator="lessThan">
      <formula>0.5</formula>
    </cfRule>
  </conditionalFormatting>
  <conditionalFormatting sqref="AV2:AV96">
    <cfRule type="cellIs" dxfId="632" priority="55" operator="lessThan">
      <formula>0</formula>
    </cfRule>
  </conditionalFormatting>
  <conditionalFormatting sqref="X1:X97">
    <cfRule type="containsText" dxfId="631" priority="54" operator="containsText" text="WBA">
      <formula>NOT(ISERROR(SEARCH("WBA",X1)))</formula>
    </cfRule>
  </conditionalFormatting>
  <conditionalFormatting sqref="BW95:BY95">
    <cfRule type="expression" dxfId="630" priority="146">
      <formula>$BV97&gt;=$BU97</formula>
    </cfRule>
  </conditionalFormatting>
  <conditionalFormatting sqref="X96">
    <cfRule type="expression" dxfId="629" priority="53">
      <formula>AND(ROW()&gt;2, ROW()=SelRowNum)</formula>
    </cfRule>
  </conditionalFormatting>
  <conditionalFormatting sqref="X96">
    <cfRule type="expression" dxfId="628" priority="52">
      <formula>AND(ROW()&gt;2, ROW()=SelRowNum)</formula>
    </cfRule>
  </conditionalFormatting>
  <conditionalFormatting sqref="BG96">
    <cfRule type="expression" dxfId="627" priority="51">
      <formula>AND(ROW()&gt;2, ROW()=SelRowNum)</formula>
    </cfRule>
  </conditionalFormatting>
  <conditionalFormatting sqref="AT96">
    <cfRule type="expression" dxfId="626" priority="50">
      <formula>AND(ROW()&gt;2, ROW()=SelRowNum)</formula>
    </cfRule>
  </conditionalFormatting>
  <conditionalFormatting sqref="AF96">
    <cfRule type="expression" dxfId="625" priority="49">
      <formula>AND(ROW()&gt;2, ROW()=SelRowNum)</formula>
    </cfRule>
  </conditionalFormatting>
  <conditionalFormatting sqref="AV96">
    <cfRule type="expression" dxfId="624" priority="48">
      <formula>AND(ROW()&gt;2, ROW()=SelRowNum)</formula>
    </cfRule>
  </conditionalFormatting>
  <conditionalFormatting sqref="AQ3:AR78">
    <cfRule type="containsText" priority="42" operator="containsText" text="&quot;&quot;">
      <formula>NOT(ISERROR(SEARCH("""""",AQ3)))</formula>
    </cfRule>
  </conditionalFormatting>
  <conditionalFormatting sqref="AW46">
    <cfRule type="cellIs" dxfId="623" priority="41" operator="lessThan">
      <formula>0</formula>
    </cfRule>
  </conditionalFormatting>
  <conditionalFormatting sqref="AM97:AN97 AP3:AP97">
    <cfRule type="cellIs" dxfId="622" priority="15" operator="greaterThan">
      <formula>0</formula>
    </cfRule>
    <cfRule type="cellIs" dxfId="621" priority="17" operator="lessThan">
      <formula>0</formula>
    </cfRule>
  </conditionalFormatting>
  <conditionalFormatting sqref="AN7:AN96 AP7:AP96">
    <cfRule type="cellIs" dxfId="620" priority="16" operator="greaterThan">
      <formula>0</formula>
    </cfRule>
  </conditionalFormatting>
  <conditionalFormatting sqref="AN3:AN96 AP3:AP96">
    <cfRule type="cellIs" dxfId="619" priority="14" operator="greaterThan">
      <formula>0</formula>
    </cfRule>
  </conditionalFormatting>
  <conditionalFormatting sqref="AE3:AE96">
    <cfRule type="containsText" dxfId="618" priority="94" operator="containsText" text="Trade">
      <formula>NOT(ISERROR(SEARCH("Trade",AE3)))</formula>
    </cfRule>
    <cfRule type="containsText" dxfId="617" priority="95" operator="containsText" text="Pile ^">
      <formula>NOT(ISERROR(SEARCH("Pile ^",AE3)))</formula>
    </cfRule>
  </conditionalFormatting>
  <conditionalFormatting sqref="AD3:AD96">
    <cfRule type="cellIs" dxfId="616" priority="9" operator="greaterThan">
      <formula>$AC3</formula>
    </cfRule>
    <cfRule type="cellIs" dxfId="615" priority="10" operator="equal">
      <formula>$AC3</formula>
    </cfRule>
    <cfRule type="cellIs" dxfId="614" priority="11" operator="lessThan">
      <formula>$AC3</formula>
    </cfRule>
  </conditionalFormatting>
  <conditionalFormatting sqref="AY3:BA96 AS3:AU96">
    <cfRule type="expression" dxfId="613" priority="3093">
      <formula>$AF3=$AL$105</formula>
    </cfRule>
  </conditionalFormatting>
  <conditionalFormatting sqref="AS3:AS78 AQ79:AS96">
    <cfRule type="expression" dxfId="612" priority="3095">
      <formula>$AF3=$AL$108</formula>
    </cfRule>
  </conditionalFormatting>
  <conditionalFormatting sqref="AY3:BA96 AS3:AU78 AQ79:AU96">
    <cfRule type="expression" dxfId="611" priority="3097">
      <formula>$AF3=$AL$109</formula>
    </cfRule>
  </conditionalFormatting>
  <conditionalFormatting sqref="AM3:AN96 AP3:AP96">
    <cfRule type="expression" dxfId="610" priority="3101">
      <formula>$AF3=$AL$108</formula>
    </cfRule>
    <cfRule type="expression" dxfId="609" priority="3102">
      <formula>$AF3=$AL$109</formula>
    </cfRule>
  </conditionalFormatting>
  <conditionalFormatting sqref="AL3:AL96 AM97:AN97 AP3:AP97">
    <cfRule type="expression" dxfId="608" priority="3103">
      <formula>$AF3=$AL$104</formula>
    </cfRule>
    <cfRule type="expression" dxfId="607" priority="3104">
      <formula>$AF3=$AL$105</formula>
    </cfRule>
  </conditionalFormatting>
  <conditionalFormatting sqref="AF3:AF96">
    <cfRule type="expression" dxfId="606" priority="3105">
      <formula>$AF3=$AL$109</formula>
    </cfRule>
    <cfRule type="expression" dxfId="605" priority="3106">
      <formula>$AF3=$AL$105</formula>
    </cfRule>
    <cfRule type="expression" dxfId="604" priority="3107">
      <formula>$AF3=$AL$108</formula>
    </cfRule>
    <cfRule type="expression" dxfId="603" priority="3108">
      <formula>$AF3=$AL$104</formula>
    </cfRule>
  </conditionalFormatting>
  <conditionalFormatting sqref="AO3:AP96">
    <cfRule type="expression" dxfId="602" priority="5">
      <formula>$W3&gt;$AA3</formula>
    </cfRule>
  </conditionalFormatting>
  <hyperlinks>
    <hyperlink ref="AP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0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1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6" operator="containsText" id="{F33C8B8C-F9BA-4A49-AF73-4EBC0AB90D5A}">
            <xm:f>NOT(ISERROR(SEARCH("-",C2)))</xm:f>
            <xm:f>"-"</xm:f>
            <x14:dxf>
              <font>
                <color rgb="FF9C0006"/>
              </font>
              <fill>
                <patternFill>
                  <bgColor rgb="FFFFC7CE"/>
                </patternFill>
              </fill>
            </x14:dxf>
          </x14:cfRule>
          <xm:sqref>D98 C2:C96 BL3:BL96</xm:sqref>
        </x14:conditionalFormatting>
        <x14:conditionalFormatting xmlns:xm="http://schemas.microsoft.com/office/excel/2006/main">
          <x14:cfRule type="containsText" priority="104" operator="containsText" id="{A8819879-52D7-6948-91EE-FE5AA54B6B83}">
            <xm:f>NOT(ISERROR(SEARCH("-",BP2)))</xm:f>
            <xm:f>"-"</xm:f>
            <x14:dxf>
              <font>
                <color rgb="FF9C0006"/>
              </font>
              <fill>
                <patternFill>
                  <bgColor rgb="FFFFC7CE"/>
                </patternFill>
              </fill>
            </x14:dxf>
          </x14:cfRule>
          <xm:sqref>BP2:BP96</xm:sqref>
        </x14:conditionalFormatting>
        <x14:conditionalFormatting xmlns:xm="http://schemas.microsoft.com/office/excel/2006/main">
          <x14:cfRule type="containsText" priority="90" operator="containsText" id="{4203D104-6D11-CF48-BEED-0682AF57FA96}">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43" operator="containsText" id="{0D8719F9-5859-D84F-94C6-59C710AFDC1C}">
            <xm:f>NOT(ISERROR(SEARCH("-",AQ3)))</xm:f>
            <xm:f>"-"</xm:f>
            <x14:dxf>
              <fill>
                <patternFill>
                  <bgColor theme="9" tint="0.39994506668294322"/>
                </patternFill>
              </fill>
            </x14:dxf>
          </x14:cfRule>
          <xm:sqref>AQ3:AR78</xm:sqref>
        </x14:conditionalFormatting>
        <x14:conditionalFormatting xmlns:xm="http://schemas.microsoft.com/office/excel/2006/main">
          <x14:cfRule type="containsText" priority="92"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7"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8" id="{52DE5BD5-95DC-9040-92DA-315BFE1A67C9}">
            <xm:f>AND($AD3&lt;$AC3,Calc!$BL2&lt;0)</xm:f>
            <x14:dxf>
              <font>
                <color rgb="FF9C0006"/>
              </font>
              <fill>
                <patternFill>
                  <bgColor rgb="FFFFC7CE"/>
                </patternFill>
              </fill>
            </x14:dxf>
          </x14:cfRule>
          <xm:sqref>AD3</xm:sqref>
        </x14:conditionalFormatting>
        <x14:conditionalFormatting xmlns:xm="http://schemas.microsoft.com/office/excel/2006/main">
          <x14:cfRule type="containsText" priority="6" operator="containsText" id="{D73784E4-C707-844A-909E-E46673A60420}">
            <xm:f>NOT(ISERROR(SEARCH("-",AO3)))</xm:f>
            <xm:f>"-"</xm:f>
            <x14:dxf>
              <font>
                <color rgb="FF9C0006"/>
              </font>
              <fill>
                <patternFill>
                  <bgColor rgb="FFFFC7CE"/>
                </patternFill>
              </fill>
            </x14:dxf>
          </x14:cfRule>
          <xm:sqref>AO3:AO96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AX76" activePane="bottomRight" state="frozen"/>
      <selection activeCell="Z112" sqref="Z112"/>
      <selection pane="topRight" activeCell="Z112" sqref="Z112"/>
      <selection pane="bottomLeft" activeCell="Z112" sqref="Z112"/>
      <selection pane="bottomRight" activeCell="BK82" sqref="BK82"/>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66" t="s">
        <v>2501</v>
      </c>
      <c r="N1" s="1505" t="s">
        <v>2502</v>
      </c>
      <c r="O1" s="1506"/>
      <c r="P1" s="1506"/>
      <c r="Q1" s="1506"/>
      <c r="R1" s="1506"/>
      <c r="S1" s="1506"/>
      <c r="T1" s="1507"/>
      <c r="Y1"/>
      <c r="Z1" s="230" t="s">
        <v>1056</v>
      </c>
      <c r="AA1" s="231"/>
      <c r="AB1" s="231"/>
      <c r="AC1" s="231"/>
      <c r="AD1" s="951" t="s">
        <v>1067</v>
      </c>
      <c r="AE1" s="951"/>
      <c r="AF1" s="951"/>
      <c r="AG1" s="952"/>
      <c r="AH1" s="232" t="s">
        <v>1116</v>
      </c>
      <c r="AI1" s="233"/>
      <c r="AJ1" s="234"/>
      <c r="AK1" s="233"/>
      <c r="AL1" s="953" t="s">
        <v>1115</v>
      </c>
      <c r="AM1" s="953"/>
      <c r="AN1" s="953"/>
      <c r="AO1" s="953"/>
      <c r="AP1" s="1160" t="s">
        <v>182</v>
      </c>
      <c r="AQ1" s="1059" t="s">
        <v>2171</v>
      </c>
      <c r="AR1" s="1058" t="s">
        <v>2496</v>
      </c>
      <c r="AS1" s="1060"/>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0" t="s">
        <v>2302</v>
      </c>
      <c r="O2" s="890" t="s">
        <v>2405</v>
      </c>
      <c r="P2" s="890" t="s">
        <v>2354</v>
      </c>
      <c r="Q2" s="890" t="s">
        <v>2303</v>
      </c>
      <c r="R2" s="890" t="s">
        <v>2406</v>
      </c>
      <c r="S2" s="890" t="s">
        <v>2400</v>
      </c>
      <c r="T2" s="890" t="s">
        <v>2399</v>
      </c>
      <c r="U2" s="890" t="s">
        <v>2476</v>
      </c>
      <c r="V2" s="890" t="s">
        <v>2477</v>
      </c>
      <c r="W2" s="890" t="s">
        <v>2482</v>
      </c>
      <c r="X2" s="890"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1" t="s">
        <v>1687</v>
      </c>
      <c r="AP2" s="974" t="s">
        <v>2569</v>
      </c>
      <c r="AQ2" s="975" t="s">
        <v>2418</v>
      </c>
      <c r="AR2" s="975" t="s">
        <v>2419</v>
      </c>
      <c r="AS2" s="976" t="s">
        <v>702</v>
      </c>
      <c r="AT2" s="200" t="s">
        <v>1459</v>
      </c>
      <c r="AU2" s="200" t="s">
        <v>1458</v>
      </c>
      <c r="AV2" s="200" t="s">
        <v>1113</v>
      </c>
      <c r="AW2" s="200" t="s">
        <v>1529</v>
      </c>
      <c r="AX2" s="304" t="s">
        <v>1282</v>
      </c>
      <c r="AY2" s="966" t="s">
        <v>1887</v>
      </c>
      <c r="AZ2" s="33" t="s">
        <v>932</v>
      </c>
      <c r="BA2" s="33" t="s">
        <v>1061</v>
      </c>
      <c r="BB2" s="33" t="s">
        <v>544</v>
      </c>
      <c r="BC2" s="646" t="s">
        <v>1888</v>
      </c>
      <c r="BD2" s="160" t="s">
        <v>1886</v>
      </c>
      <c r="BE2" s="647" t="s">
        <v>2752</v>
      </c>
      <c r="BF2" s="652" t="s">
        <v>1898</v>
      </c>
      <c r="BG2" s="651" t="s">
        <v>1899</v>
      </c>
      <c r="BH2" s="653" t="s">
        <v>1900</v>
      </c>
      <c r="BI2" s="157" t="s">
        <v>1903</v>
      </c>
      <c r="BJ2" s="157" t="s">
        <v>1901</v>
      </c>
      <c r="BK2" s="157" t="s">
        <v>1870</v>
      </c>
      <c r="BL2" s="395" t="s">
        <v>945</v>
      </c>
      <c r="BM2" s="395" t="s">
        <v>2688</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2751</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88" t="s">
        <v>2417</v>
      </c>
      <c r="DC2" s="989" t="s">
        <v>2445</v>
      </c>
      <c r="DD2" s="989" t="s">
        <v>2534</v>
      </c>
      <c r="DE2" s="1361" t="s">
        <v>188</v>
      </c>
      <c r="DF2" s="1361" t="s">
        <v>187</v>
      </c>
      <c r="DI2" s="1" t="s">
        <v>2748</v>
      </c>
      <c r="DJ2" s="1" t="s">
        <v>2750</v>
      </c>
      <c r="DL2" s="1" t="s">
        <v>2747</v>
      </c>
      <c r="DM2" s="1" t="s">
        <v>2749</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42">
        <f ca="1">_xlfn.XLOOKUP(TabCalc[[#This Row],[Ticker]],DQ$3:DQ$96,DS$3:DS$96)</f>
        <v>-107.46</v>
      </c>
      <c r="E3" s="121">
        <f t="shared" ref="E3:E36" ca="1" si="0">SUMPRODUCT(C3,D3,B3)</f>
        <v>-537300</v>
      </c>
      <c r="F3" s="82">
        <f ca="1">TabCalc[[#This Row],[NAfter]]*TabCalc[[#This Row],[M]]*TabCalc[[#This Row],[Scale]]</f>
        <v>2565284.9999999995</v>
      </c>
      <c r="G3" s="82">
        <f ca="1">IFERROR(TabCalc[[#This Row],[SB]]-TabCalc[[#This Row],[SST]],TabCalc[[#This Row],[SB]])</f>
        <v>9500</v>
      </c>
      <c r="H3" s="532" t="str">
        <f ca="1">[1]!RTData[[#This Row],[Ticker_Symbol]]</f>
        <v>AAPL</v>
      </c>
      <c r="I3" s="383">
        <f ca="1">_xlfn.XLOOKUP(TabCalc[[#This Row],[Ticker]],[1]!RTData[Ticker_Symbol],[1]!RTData[M-Price])</f>
        <v>270.02999999999997</v>
      </c>
      <c r="J3" s="382">
        <v>212.01869578947367</v>
      </c>
      <c r="K3" s="381">
        <f ca="1">_xlfn.XLOOKUP(TabCalc[[#This Row],[Ticker]],[1]!RTData[Ticker_Symbol],[1]!RTData[1YT])</f>
        <v>276.43097</v>
      </c>
      <c r="L3" s="382">
        <f ca="1">IF(OR(TabCalc[[#This Row],[NAfter]]=0,TabCalc[[#This Row],[EfCost]]&gt;0),0,TabCalc[[#This Row],[EfCost]]/TabCalc[[#This Row],[NAfter]]/TabCalc[[#This Row],[Scale]])</f>
        <v>-149.11164542368417</v>
      </c>
      <c r="M3" s="732">
        <f ca="1">_xlfn.XLOOKUP(TabCalc[[#This Row],[Ticker]],[1]!RTData[Ticker_Symbol],[1]!RTData[Change%])</f>
        <v>9.6839999999999999E-3</v>
      </c>
      <c r="N3" s="1065">
        <v>0</v>
      </c>
      <c r="O3" s="892">
        <f>TabCalc[[#This Row],[Up20]]-1+TabCalc[[#This Row],[Up20]]</f>
        <v>-1</v>
      </c>
      <c r="P3" s="892">
        <f>TabCalc[[#This Row],[Up20]]-TabCalc[[#This Row],[Up150]]</f>
        <v>-0.5</v>
      </c>
      <c r="Q3" s="892">
        <v>0.5</v>
      </c>
      <c r="R3" s="892">
        <f>TabCalc[[#This Row],[Up150]]-1+TabCalc[[#This Row],[Up150]]</f>
        <v>0</v>
      </c>
      <c r="S3" s="892">
        <f>IFERROR(SUMPRODUCT(DataShift!F1497:Z1497,DataShift!AB704:AV704)/SQRT(SUMPRODUCT(DataShift!F1497:Z1497,DataShift!F1497:Z1497)*SUMPRODUCT(DataShift!AB704:AV704,DataShift!AB704:AV704)),0)</f>
        <v>0</v>
      </c>
      <c r="T3" s="892">
        <f ca="1">IFERROR(SUMPRODUCT(DataShift!F1497:Z1497,DataShift!F704:Z704)/SQRT(SUMPRODUCT(DataShift!F1497:Z1497,DataShift!F1497:Z1497)*SUMPRODUCT(DataShift!F704:Z704,DataShift!F704:Z704)),0)</f>
        <v>0</v>
      </c>
      <c r="U3" s="1004">
        <v>9500</v>
      </c>
      <c r="V3" s="1004">
        <v>0</v>
      </c>
      <c r="W3" s="1004">
        <v>0</v>
      </c>
      <c r="X3" s="892"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4301.9999999999927</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20798.999999999996</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5.0000000000238742</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-3224.9999999999945</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2"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43034.999999999534</v>
      </c>
      <c r="AQ3" s="334">
        <f ca="1">_xlfn.LET(_xlpm.MVToday,DataShift!AV505,         _xlpm.MVY,DataShift!AU505,        _xlpm.MVYY, DataShift!AT505,                                IF(_xlpm.MVToday=_xlpm.MVY,_xlpm.MVY-_xlpm.MVYY,_xlpm.MVToday-_xlpm.MVY))</f>
        <v>24604.999999999534</v>
      </c>
      <c r="AR3" s="334">
        <f ca="1">_xlfn.LET(_xlpm.MVToday,DataShift!AV505,         _xlpm.MVY,DataShift!AU505,        _xlpm.MVYY, DataShift!AT505,         _xlpm.MVYYY, DataShift!AS505,                      IF(_xlpm.MVToday=_xlpm.MVY,      _xlpm.MVYY-_xlpm.MVYYY,          _xlpm.MVY-_xlpm.MVYY))</f>
        <v>-47215.000000000466</v>
      </c>
      <c r="AS3" s="977">
        <f ca="1">TabCalc[[#This Row],[Y]]/TabCalc[[#This Row],[M]]</f>
        <v>1.0237046624449135</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-3.5134895092843771E-3</v>
      </c>
      <c r="AY3" s="82">
        <f t="shared" ref="AY3:AY36" ca="1" si="1">IF(G3&lt;C3,C3-G3,0)</f>
        <v>0</v>
      </c>
      <c r="AZ3" s="90">
        <f ca="1">_xlfn.XLOOKUP(TabCalc[[#This Row],[Ticker]],[1]!RTData[Ticker_Symbol],[1]!RTData[V/VA])</f>
        <v>0.30565067320598954</v>
      </c>
      <c r="BA3" s="90" t="str" cm="1">
        <f t="array" aca="1" ref="BA3" ca="1">IFERROR(_xlfn.IFS(TabCalc[[#This Row],[Cur]]="USD",Timer!F$27,                TabCalc[[#This Row],[Cur]]="EUR",Timer!F$18,                  TabCalc[[#This Row],[Cur]]="GBP",Timer!F$12,                          TabCalc[[#This Row],[Cur]]="CAD",Timer!F$27,                TabCalc[[#This Row],[Cur]]="JPY",Timer!F$31,                      TabCalc[[#This Row],[Cur]]="CHF",Timer!F$18),"Timing")</f>
        <v>Closed</v>
      </c>
      <c r="BB3" s="90">
        <f ca="1">IF(ISNUMBER(TabCalc[[#This Row],[TimeEX]]),TabCalc[[#This Row],[V/VA]]/TabCalc[[#This Row],[TimeEX]],TabCalc[[#This Row],[V/VA]])</f>
        <v>0.30565067320598954</v>
      </c>
      <c r="BC3" s="87" cm="1">
        <f t="array" aca="1" ref="BC3" ca="1">INDEX(TabReg[], 1, _xlfn.XMATCH(TabCalc[[#This Row],[Ticker]]&amp;1, TabReg[#Headers], 0))</f>
        <v>5000</v>
      </c>
      <c r="BD3" s="159">
        <f ca="1">TabCalc[[#This Row],[Nbegin]]*TabCalc[[#This Row],[M]]*TabCalc[[#This Row],[Scale]]+TabCalc[[#This Row],[ValueBegin]]</f>
        <v>812849.99999999977</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-877863.65152499964</v>
      </c>
      <c r="BH3" s="336">
        <f ca="1">TabCalc[[#This Row],[M_V]]+TabCalc[[#This Row],[ValueBegin]]</f>
        <v>2027984.9999999995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K3" s="159" cm="1">
        <f t="array" aca="1" ref="BK3" ca="1">SUMPRODUCT(ISNUMBER(INDIRECT("TabReg["&amp;TabCalc[[#This Row],[Ticker]]&amp;"2]"))* INDIRECT("TabReg["&amp;TabCalc[[#This Row],[Ticker]]&amp;"1]") * INDIRECT("TabReg["&amp;TabCalc[[#This Row],[Ticker]]&amp;"2]") )*TabCalc[[#This Row],[Scale]]*(1+Commission)</f>
        <v>-1416560.6315249996</v>
      </c>
      <c r="BL3" s="159">
        <f ca="1">TabCalc[[#This Row],[M_V]]*(1-Commission)+TabCalc[[#This Row],[EfCost]]</f>
        <v>1142054.627475</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45980.727273888282</v>
      </c>
      <c r="BT3" s="175">
        <f ca="1">(TabCalc[[#This Row],[ValueBegin]]+(TabCalc[[#This Row],[M]]-TabCalc[[#This Row],[A]])*TabCalc[[#This Row],[NAfter]])*TabCalc[[#This Row],[Scale]]</f>
        <v>13807.389999999898</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551107.3899999999</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499999.99999761255</v>
      </c>
      <c r="CV3" s="404">
        <f ca="1">IF(TabCalc[[#This Row],[ntoBuy]]*TabCalc[[#This Row],[M]]&lt;=0,0,TabCalc[[#This Row],[ntoBuy]]*TabCalc[[#This Row],[M]])</f>
        <v>135014999.99935532</v>
      </c>
      <c r="CW3" s="404">
        <f ca="1">IF(TabCalc[[#This Row],[M]]&gt;ABS(TabCalc[[#This Row],[L_Bp]]),MIN(TabCalc[[#This Row],[NAfter]],DesiredSaleGain/(TabCalc[[#This Row],[M]]+TabCalc[[#This Row],[L_Bp]])),0)/TabCalc[[#This Row],[Scale]]</f>
        <v>232.45002324500274</v>
      </c>
      <c r="CX3" s="405">
        <f ca="1">TabCalc[[#This Row],[ntoSell]]*TabCalc[[#This Row],[M]]</f>
        <v>62768.479776848086</v>
      </c>
      <c r="CY3" s="398">
        <f ca="1">_xlfn.LET(_xlpm.nToSell,IF(TabCalc[[#This Row],[M]]-TabCalc[[#This Row],[A]]&lt;=0,"",INT(DesiredSaleGain/(TabCalc[[#This Row],[M]]-IF(TabCalc[[#This Row],[E]]&gt;0,0,TabCalc[[#This Row],[A]])))),IF(_xlpm.nToSell&lt;=TabCalc[[#This Row],[NAfter]],_xlpm.nToSell,0))</f>
        <v>86</v>
      </c>
      <c r="CZ3" s="336">
        <f ca="1">IFERROR(TabCalc[[#This Row],[NMA]]*TabCalc[[#This Row],[M]],"")</f>
        <v>23222.579999999998</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551107.3899999999</v>
      </c>
      <c r="DB3" s="90">
        <f ca="1">IFERROR((TabCalc[[#This Row],[M]]+TabCalc[[#This Row],[L_Bp]])/ABS(TabCalc[[#This Row],[L_Bp]])/(TODAY()-TabCalc[[#This Row],[L_Bdate]])*360,"")</f>
        <v>0.84213136361856644</v>
      </c>
      <c r="DC3" s="310">
        <f ca="1">MEDIAN(DataShift!F704:Z704)</f>
        <v>2.0210000000000002E-3</v>
      </c>
      <c r="DD3" s="310" t="e"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 s="87">
        <f ca="1">TabCalc[[#This Row],[Nbegin]]*TabCalc[[#This Row],[Scale]]*TabCalc[[#This Row],[M]]</f>
        <v>1350149.9999999998</v>
      </c>
      <c r="DF3" s="87" cm="1">
        <f t="array" aca="1" ref="DF3" ca="1">SUMPRODUCT(ISNUMBER(INDIRECT("TabReg["&amp;TabCalc[[#This Row],[Ticker]]&amp;"2]"))* INDIRECT("TabReg["&amp;TabCalc[[#This Row],[Ticker]]&amp;"1]") * INDIRECT("TabReg["&amp;TabCalc[[#This Row],[Ticker]]&amp;"2]") )*TabCalc[[#This Row],[Scale]]</f>
        <v>-1412887.1249999998</v>
      </c>
      <c r="DI3" s="1362" cm="1">
        <f t="array" aca="1" ref="DI3:DI96" ca="1">_xlfn._xlws.SORT(TabCalc[[#Data],[Column1]],,-1)</f>
        <v>5202000</v>
      </c>
      <c r="DJ3" s="90">
        <f t="shared" ref="DJ3:DJ34" ca="1" si="2">DN3/ABS(DL3)</f>
        <v>0.37905129768767193</v>
      </c>
      <c r="DK3" t="str">
        <f ca="1">_xlfn.XLOOKUP(DI3,TabCalc[Column1],TabCalc[Ticker])</f>
        <v>EOAN</v>
      </c>
      <c r="DL3" s="1362">
        <f ca="1">_xlfn.XLOOKUP(DK3,TabCalc[Ticker],TabCalc[ValueBegin])</f>
        <v>-3053200</v>
      </c>
      <c r="DM3" s="1362">
        <f ca="1">_xlfn.XLOOKUP(DK3,TabCalc[Ticker],TabCalc[M_V])</f>
        <v>229500</v>
      </c>
      <c r="DN3" s="1362">
        <f ca="1">_xlfn.XLOOKUP(DK3,TabCalc[Ticker],TabCalc[GL])</f>
        <v>1157319.4220999999</v>
      </c>
      <c r="DO3" s="90"/>
      <c r="DP3" s="90"/>
      <c r="DQ3" s="88" t="s">
        <v>0</v>
      </c>
      <c r="DR3" s="81">
        <v>5000</v>
      </c>
      <c r="DS3" s="315">
        <v>-107.46</v>
      </c>
      <c r="DU3" s="82">
        <v>2700400</v>
      </c>
      <c r="DV3" s="82">
        <f ca="1">DU3-TabCalc[[#This Row],[M_V]]</f>
        <v>135115.00000000047</v>
      </c>
    </row>
    <row r="4" spans="1:126" x14ac:dyDescent="0.3">
      <c r="A4" s="120" t="str">
        <f ca="1">_xlfn.XLOOKUP(TabCalc[[#This Row],[Ticker]],[1]!RTData[Ticker_Symbol],[1]!RTData[Currency])</f>
        <v>USD</v>
      </c>
      <c r="B4" s="121">
        <f ca="1">IF(TabCalc[[#This Row],[Cur]]="GBP",0.01,1)</f>
        <v>1</v>
      </c>
      <c r="C4" s="82">
        <f ca="1">_xlfn.XLOOKUP(TabCalc[[#This Row],[Ticker]],DQ$3:DQ$96,DR$3:DR$96)</f>
        <v>9000</v>
      </c>
      <c r="D4" s="1142">
        <f ca="1">_xlfn.XLOOKUP(TabCalc[[#This Row],[Ticker]],DQ$3:DQ$96,DS$3:DS$96)</f>
        <v>-9.8365559999999999</v>
      </c>
      <c r="E4" s="121">
        <f t="shared" ca="1" si="0"/>
        <v>-88529.004000000001</v>
      </c>
      <c r="F4" s="82">
        <f ca="1">TabCalc[[#This Row],[NAfter]]*TabCalc[[#This Row],[M]]*TabCalc[[#This Row],[Scale]]</f>
        <v>61300</v>
      </c>
      <c r="G4" s="82">
        <f ca="1">IFERROR(TabCalc[[#This Row],[SB]]-TabCalc[[#This Row],[SST]],TabCalc[[#This Row],[SB]])</f>
        <v>5000</v>
      </c>
      <c r="H4" s="532" t="str">
        <f ca="1">[1]!RTData[[#This Row],[Ticker_Symbol]]</f>
        <v>ADEA</v>
      </c>
      <c r="I4" s="383">
        <f ca="1">_xlfn.XLOOKUP(TabCalc[[#This Row],[Ticker]],[1]!RTData[Ticker_Symbol],[1]!RTData[M-Price])</f>
        <v>12.26</v>
      </c>
      <c r="J4" s="382">
        <v>13.074779999999999</v>
      </c>
      <c r="K4" s="381">
        <f ca="1">_xlfn.XLOOKUP(TabCalc[[#This Row],[Ticker]],[1]!RTData[Ticker_Symbol],[1]!RTData[1YT])</f>
        <v>20.66667</v>
      </c>
      <c r="L4" s="382">
        <f ca="1">IF(OR(TabCalc[[#This Row],[NAfter]]=0,TabCalc[[#This Row],[EfCost]]&gt;0),0,TabCalc[[#This Row],[EfCost]]/TabCalc[[#This Row],[NAfter]]/TabCalc[[#This Row],[Scale]])</f>
        <v>-5.9321646342093572</v>
      </c>
      <c r="M4" s="732">
        <f ca="1">_xlfn.XLOOKUP(TabCalc[[#This Row],[Ticker]],[1]!RTData[Ticker_Symbol],[1]!RTData[Change%])</f>
        <v>-7.2870000000000001E-3</v>
      </c>
      <c r="N4" s="1065">
        <v>0</v>
      </c>
      <c r="O4" s="892">
        <f>TabCalc[[#This Row],[Up20]]-1+TabCalc[[#This Row],[Up20]]</f>
        <v>-1</v>
      </c>
      <c r="P4" s="892">
        <f>TabCalc[[#This Row],[Up20]]-TabCalc[[#This Row],[Up150]]</f>
        <v>-0.36363636363636365</v>
      </c>
      <c r="Q4" s="892">
        <v>0.36363636363636365</v>
      </c>
      <c r="R4" s="892">
        <f>TabCalc[[#This Row],[Up150]]-1+TabCalc[[#This Row],[Up150]]</f>
        <v>-0.27272727272727271</v>
      </c>
      <c r="S4" s="892">
        <f>IFERROR(SUMPRODUCT(DataShift!F1498:Z1498,DataShift!AB705:AV705)/SQRT(SUMPRODUCT(DataShift!F1498:Z1498,DataShift!F1498:Z1498)*SUMPRODUCT(DataShift!AB705:AV705,DataShift!AB705:AV705)),0)</f>
        <v>0</v>
      </c>
      <c r="T4" s="892">
        <f ca="1">IFERROR(SUMPRODUCT(DataShift!F1498:Z1498,DataShift!F705:Z705)/SQRT(SUMPRODUCT(DataShift!F1498:Z1498,DataShift!F1498:Z1498)*SUMPRODUCT(DataShift!F705:Z705,DataShift!F705:Z705)),0)</f>
        <v>0</v>
      </c>
      <c r="U4" s="1004">
        <v>0</v>
      </c>
      <c r="V4" s="1004">
        <v>5000</v>
      </c>
      <c r="W4" s="1004">
        <v>0</v>
      </c>
      <c r="X4" s="892"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-378.1</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-2127.9999999999995</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4600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13185.900000000005</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-650</v>
      </c>
      <c r="AQ4" s="334">
        <f ca="1">_xlfn.LET(_xlpm.MVToday,DataShift!AV506,         _xlpm.MVY,DataShift!AU506,        _xlpm.MVYY, DataShift!AT506,                                IF(_xlpm.MVToday=_xlpm.MVY,_xlpm.MVY-_xlpm.MVYY,_xlpm.MVToday-_xlpm.MVY))</f>
        <v>-450</v>
      </c>
      <c r="AR4" s="334">
        <f ca="1">_xlfn.LET(_xlpm.MVToday,DataShift!AV506,         _xlpm.MVY,DataShift!AU506,        _xlpm.MVYY, DataShift!AT506,         _xlpm.MVYYY, DataShift!AS506,                      IF(_xlpm.MVToday=_xlpm.MVY,      _xlpm.MVYY-_xlpm.MVYYY,          _xlpm.MVY-_xlpm.MVYY))</f>
        <v>-2550</v>
      </c>
      <c r="AS4" s="977">
        <f ca="1">TabCalc[[#This Row],[Y]]/TabCalc[[#This Row],[M]]</f>
        <v>1.6856990212071779</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-2.3448281765709735</v>
      </c>
      <c r="AY4" s="82">
        <f t="shared" ca="1" si="1"/>
        <v>4000</v>
      </c>
      <c r="AZ4" s="90">
        <f ca="1">_xlfn.XLOOKUP(TabCalc[[#This Row],[Ticker]],[1]!RTData[Ticker_Symbol],[1]!RTData[V/VA])</f>
        <v>0.26803017315275157</v>
      </c>
      <c r="BA4" s="90" t="str" cm="1">
        <f t="array" aca="1" ref="BA4" ca="1">IFERROR(_xlfn.IFS(TabCalc[[#This Row],[Cur]]="USD",Timer!F$27,                TabCalc[[#This Row],[Cur]]="EUR",Timer!F$18,                  TabCalc[[#This Row],[Cur]]="GBP",Timer!F$12,                          TabCalc[[#This Row],[Cur]]="CAD",Timer!F$27,                TabCalc[[#This Row],[Cur]]="JPY",Timer!F$31,                      TabCalc[[#This Row],[Cur]]="CHF",Timer!F$18),"Timing")</f>
        <v>Closed</v>
      </c>
      <c r="BB4" s="90">
        <f ca="1">IF(ISNUMBER(TabCalc[[#This Row],[TimeEX]]),TabCalc[[#This Row],[V/VA]]/TabCalc[[#This Row],[TimeEX]],TabCalc[[#This Row],[V/VA]])</f>
        <v>0.26803017315275157</v>
      </c>
      <c r="BC4" s="87" cm="1">
        <f t="array" aca="1" ref="BC4" ca="1">INDEX(TabReg[], 1, _xlfn.XMATCH(TabCalc[[#This Row],[Ticker]]&amp;1, TabReg[#Headers], 0))</f>
        <v>9000</v>
      </c>
      <c r="BD4" s="159">
        <f ca="1">TabCalc[[#This Row],[Nbegin]]*TabCalc[[#This Row],[M]]*TabCalc[[#This Row],[Scale]]+TabCalc[[#This Row],[ValueBegin]]</f>
        <v>21810.995999999999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-27229.004000000001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K4" s="159" cm="1">
        <f t="array" aca="1" ref="BK4" ca="1">SUMPRODUCT(ISNUMBER(INDIRECT("TabReg["&amp;TabCalc[[#This Row],[Ticker]]&amp;"2]"))* INDIRECT("TabReg["&amp;TabCalc[[#This Row],[Ticker]]&amp;"1]") * INDIRECT("TabReg["&amp;TabCalc[[#This Row],[Ticker]]&amp;"2]") )*TabCalc[[#This Row],[Scale]]*(1+Commission)</f>
        <v>-29660.823171046788</v>
      </c>
      <c r="BL4" s="159">
        <f ca="1">TabCalc[[#This Row],[M_V]]*(1-Commission)+TabCalc[[#This Row],[EfCost]]</f>
        <v>31479.796828953207</v>
      </c>
      <c r="BM4" s="159">
        <f ca="1">IF(        OR( TabCalc[[#This Row],[GL]]&gt;ABS(TabCalc[[#This Row],[EfCost]]),TabCalc[[#This Row],[NAfter]]=0),             TabCalc[[#This Row],[GL]],     0)</f>
        <v>31479.796828953207</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8.78</v>
      </c>
      <c r="BR4" s="174" t="str">
        <f ca="1">IF(TabCalc[[#This Row],[EfCost]]+TabCalc[[#This Row],[M_V]]&lt;TabCalc[[#This Row],[NoT_GL]],"Pile","")</f>
        <v/>
      </c>
      <c r="BS4" s="165">
        <f ca="1">_xlfn.XLOOKUP(TabCalc[[#This Row],[Ticker]],[1]!RTData[Ticker_Symbol],[1]!RTData[Last trade time])</f>
        <v>45980.727346041407</v>
      </c>
      <c r="BT4" s="175">
        <f ca="1">(TabCalc[[#This Row],[ValueBegin]]+(TabCalc[[#This Row],[M]]-TabCalc[[#This Row],[A]])*TabCalc[[#This Row],[NAfter]])*TabCalc[[#This Row],[Scale]]</f>
        <v>-92602.903999999995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-4073.8999999999946</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1086.9565217391305</v>
      </c>
      <c r="CV4" s="404">
        <f ca="1">IF(TabCalc[[#This Row],[ntoBuy]]*TabCalc[[#This Row],[M]]&lt;=0,0,TabCalc[[#This Row],[ntoBuy]]*TabCalc[[#This Row],[M]])</f>
        <v>13326.08695652174</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-4073.8999999999946</v>
      </c>
      <c r="DB4" s="90">
        <f ca="1">IFERROR((TabCalc[[#This Row],[M]]+TabCalc[[#This Row],[L_Bp]])/ABS(TabCalc[[#This Row],[L_Bp]])/(TODAY()-TabCalc[[#This Row],[L_Bdate]])*360,"")</f>
        <v>-0.40218947368421054</v>
      </c>
      <c r="DC4" s="310">
        <f ca="1">MEDIAN(DataShift!F705:Z705)</f>
        <v>-2.9729999999999999E-3</v>
      </c>
      <c r="DD4" s="310" t="e"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 s="87">
        <f ca="1">TabCalc[[#This Row],[Nbegin]]*TabCalc[[#This Row],[Scale]]*TabCalc[[#This Row],[M]]</f>
        <v>110340</v>
      </c>
      <c r="DF4" s="87" cm="1">
        <f t="array" aca="1" ref="DF4" ca="1">SUMPRODUCT(ISNUMBER(INDIRECT("TabReg["&amp;TabCalc[[#This Row],[Ticker]]&amp;"2]"))* INDIRECT("TabReg["&amp;TabCalc[[#This Row],[Ticker]]&amp;"1]") * INDIRECT("TabReg["&amp;TabCalc[[#This Row],[Ticker]]&amp;"2]") )*TabCalc[[#This Row],[Scale]]</f>
        <v>-29583.90501799999</v>
      </c>
      <c r="DI4" s="1362">
        <f ca="1"/>
        <v>4865900</v>
      </c>
      <c r="DJ4" s="90">
        <f t="shared" ca="1" si="2"/>
        <v>3.6398897190519524</v>
      </c>
      <c r="DK4" t="str">
        <f ca="1">_xlfn.XLOOKUP(DI4,TabCalc[Column1],TabCalc[Ticker])</f>
        <v>MSFT</v>
      </c>
      <c r="DL4" s="1362">
        <f ca="1">_xlfn.XLOOKUP(DK4,TabCalc[Ticker],TabCalc[ValueBegin])</f>
        <v>-1054800</v>
      </c>
      <c r="DM4" s="1362">
        <f ca="1">_xlfn.XLOOKUP(DK4,TabCalc[Ticker],TabCalc[M_V])</f>
        <v>4768582</v>
      </c>
      <c r="DN4" s="1362">
        <f ca="1">_xlfn.XLOOKUP(DK4,TabCalc[Ticker],TabCalc[GL])</f>
        <v>3839355.6756559992</v>
      </c>
      <c r="DO4" s="90"/>
      <c r="DP4" s="90"/>
      <c r="DQ4" s="88" t="s">
        <v>1</v>
      </c>
      <c r="DR4" s="82">
        <v>9000</v>
      </c>
      <c r="DS4" s="315">
        <v>-9.8365559999999999</v>
      </c>
      <c r="DU4" s="82">
        <v>63750</v>
      </c>
      <c r="DV4" s="82">
        <f ca="1">DU4-TabCalc[[#This Row],[M_V]]</f>
        <v>2450</v>
      </c>
    </row>
    <row r="5" spans="1:126" x14ac:dyDescent="0.3">
      <c r="A5" s="120" t="str">
        <f ca="1">_xlfn.XLOOKUP(TabCalc[[#This Row],[Ticker]],[1]!RTData[Ticker_Symbol],[1]!RTData[Currency])</f>
        <v>GBp</v>
      </c>
      <c r="B5" s="120">
        <f ca="1">IF(TabCalc[[#This Row],[Cur]]="GBP",0.01,1)</f>
        <v>0.01</v>
      </c>
      <c r="C5" s="82">
        <f ca="1">_xlfn.XLOOKUP(TabCalc[[#This Row],[Ticker]],DQ$3:DQ$96,DR$3:DR$96)</f>
        <v>400000</v>
      </c>
      <c r="D5" s="1142">
        <f ca="1">_xlfn.XLOOKUP(TabCalc[[#This Row],[Ticker]],DQ$3:DQ$96,DS$3:DS$96)</f>
        <v>-40.441576750000003</v>
      </c>
      <c r="E5" s="121">
        <f t="shared" ca="1" si="0"/>
        <v>-161766.307</v>
      </c>
      <c r="F5" s="82">
        <f ca="1">TabCalc[[#This Row],[NAfter]]*TabCalc[[#This Row],[M]]*TabCalc[[#This Row],[Scale]]</f>
        <v>369000</v>
      </c>
      <c r="G5" s="82">
        <f ca="1">IFERROR(TabCalc[[#This Row],[SB]]-TabCalc[[#This Row],[SST]],TabCalc[[#This Row],[SB]])</f>
        <v>820000</v>
      </c>
      <c r="H5" s="532" t="str">
        <f ca="1">[1]!RTData[[#This Row],[Ticker_Symbol]]</f>
        <v>AET</v>
      </c>
      <c r="I5" s="383">
        <f ca="1">_xlfn.XLOOKUP(TabCalc[[#This Row],[Ticker]],[1]!RTData[Ticker_Symbol],[1]!RTData[M-Price])</f>
        <v>45</v>
      </c>
      <c r="J5" s="382">
        <v>49.237027903292685</v>
      </c>
      <c r="K5" s="381">
        <f ca="1">_xlfn.XLOOKUP(TabCalc[[#This Row],[Ticker]],[1]!RTData[Ticker_Symbol],[1]!RTData[1YT])</f>
        <v>96.66</v>
      </c>
      <c r="L5" s="382">
        <f ca="1">IF(OR(TabCalc[[#This Row],[NAfter]]=0,TabCalc[[#This Row],[EfCost]]&gt;0),0,TabCalc[[#This Row],[EfCost]]/TabCalc[[#This Row],[NAfter]]/TabCalc[[#This Row],[Scale]])</f>
        <v>-41.90880664635344</v>
      </c>
      <c r="M5" s="732">
        <f ca="1">_xlfn.XLOOKUP(TabCalc[[#This Row],[Ticker]],[1]!RTData[Ticker_Symbol],[1]!RTData[Change%])</f>
        <v>0</v>
      </c>
      <c r="N5" s="1065">
        <v>0</v>
      </c>
      <c r="O5" s="892">
        <f>TabCalc[[#This Row],[Up20]]-1+TabCalc[[#This Row],[Up20]]</f>
        <v>-1</v>
      </c>
      <c r="P5" s="892">
        <f>TabCalc[[#This Row],[Up20]]-TabCalc[[#This Row],[Up150]]</f>
        <v>-0.375</v>
      </c>
      <c r="Q5" s="892">
        <v>0.375</v>
      </c>
      <c r="R5" s="892">
        <f>TabCalc[[#This Row],[Up150]]-1+TabCalc[[#This Row],[Up150]]</f>
        <v>-0.25</v>
      </c>
      <c r="S5" s="892">
        <f>IFERROR(SUMPRODUCT(DataShift!F1499:Z1499,DataShift!AB706:AV706)/SQRT(SUMPRODUCT(DataShift!F1499:Z1499,DataShift!F1499:Z1499)*SUMPRODUCT(DataShift!AB706:AV706,DataShift!AB706:AV706)),0)</f>
        <v>0</v>
      </c>
      <c r="T5" s="892">
        <f ca="1">IFERROR(SUMPRODUCT(DataShift!F1499:Z1499,DataShift!F706:Z706)/SQRT(SUMPRODUCT(DataShift!F1499:Z1499,DataShift!F1499:Z1499)*SUMPRODUCT(DataShift!F706:Z706,DataShift!F706:Z706)),0)</f>
        <v>0</v>
      </c>
      <c r="U5" s="1004">
        <v>43000</v>
      </c>
      <c r="V5" s="1004">
        <v>777000</v>
      </c>
      <c r="W5" s="1004">
        <v>0</v>
      </c>
      <c r="X5" s="892"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-60.000000000000149</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-79.999999999999716</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1401.9999999999998</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7757.9999999999982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-13120</v>
      </c>
      <c r="AQ5" s="334">
        <f ca="1">_xlfn.LET(_xlpm.MVToday,DataShift!AV507,         _xlpm.MVY,DataShift!AU507,        _xlpm.MVYY, DataShift!AT507,                                IF(_xlpm.MVToday=_xlpm.MVY,_xlpm.MVY-_xlpm.MVYY,_xlpm.MVToday-_xlpm.MVY))</f>
        <v>0</v>
      </c>
      <c r="AR5" s="334">
        <f ca="1">_xlfn.LET(_xlpm.MVToday,DataShift!AV507,         _xlpm.MVY,DataShift!AU507,        _xlpm.MVYY, DataShift!AT507,         _xlpm.MVYYY, DataShift!AS507,                      IF(_xlpm.MVToday=_xlpm.MVY,      _xlpm.MVYY-_xlpm.MVYYY,          _xlpm.MVY-_xlpm.MVYY))</f>
        <v>-1640</v>
      </c>
      <c r="AS5" s="977">
        <f ca="1">TabCalc[[#This Row],[Y]]/TabCalc[[#This Row],[M]]</f>
        <v>2.1480000000000001</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-31.695959329608932</v>
      </c>
      <c r="AY5" s="82">
        <f t="shared" ca="1" si="1"/>
        <v>0</v>
      </c>
      <c r="AZ5" s="90">
        <f ca="1">_xlfn.XLOOKUP(TabCalc[[#This Row],[Ticker]],[1]!RTData[Ticker_Symbol],[1]!RTData[V/VA])</f>
        <v>1.831612965464017</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1.831612965464017</v>
      </c>
      <c r="BC5" s="87" cm="1">
        <f t="array" aca="1" ref="BC5" ca="1">INDEX(TabReg[], 1, _xlfn.XMATCH(TabCalc[[#This Row],[Ticker]]&amp;1, TabReg[#Headers], 0))</f>
        <v>400000</v>
      </c>
      <c r="BD5" s="159">
        <f ca="1">TabCalc[[#This Row],[Nbegin]]*TabCalc[[#This Row],[M]]*TabCalc[[#This Row],[Scale]]+TabCalc[[#This Row],[ValueBegin]]</f>
        <v>18233.692999999999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-181465.31510189822</v>
      </c>
      <c r="BH5" s="336">
        <f ca="1">TabCalc[[#This Row],[M_V]]+TabCalc[[#This Row],[ValueBegin]]</f>
        <v>207233.693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K5" s="159" cm="1">
        <f t="array" aca="1" ref="BK5" ca="1">SUMPRODUCT(ISNUMBER(INDIRECT("TabReg["&amp;TabCalc[[#This Row],[Ticker]]&amp;"2]"))* INDIRECT("TabReg["&amp;TabCalc[[#This Row],[Ticker]]&amp;"1]") * INDIRECT("TabReg["&amp;TabCalc[[#This Row],[Ticker]]&amp;"2]") )*TabCalc[[#This Row],[Scale]]*(1+Commission)</f>
        <v>-343652.2145000982</v>
      </c>
      <c r="BL5" s="159">
        <f ca="1">TabCalc[[#This Row],[M_V]]*(1-Commission)+TabCalc[[#This Row],[EfCost]]</f>
        <v>24388.385499901779</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66.4</v>
      </c>
      <c r="BR5" s="174" t="str">
        <f ca="1">IF(TabCalc[[#This Row],[EfCost]]+TabCalc[[#This Row],[M_V]]&lt;TabCalc[[#This Row],[NoT_GL]],"Pile","")</f>
        <v/>
      </c>
      <c r="BS5" s="165">
        <f ca="1">_xlfn.XLOOKUP(TabCalc[[#This Row],[Ticker]],[1]!RTData[Ticker_Symbol],[1]!RTData[Last trade time])</f>
        <v>45980.691934432813</v>
      </c>
      <c r="BT5" s="175">
        <f ca="1">(TabCalc[[#This Row],[ValueBegin]]+(TabCalc[[#This Row],[M]]-TabCalc[[#This Row],[A]])*TabCalc[[#This Row],[NAfter]])*TabCalc[[#This Row],[Scale]]</f>
        <v>-36361.291877000018</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-3474362.8807000015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713.2667617689018</v>
      </c>
      <c r="CV5" s="404">
        <f ca="1">IF(TabCalc[[#This Row],[ntoBuy]]*TabCalc[[#This Row],[M]]&lt;=0,0,TabCalc[[#This Row],[ntoBuy]]*TabCalc[[#This Row],[M]])</f>
        <v>32097.00427960058</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-34743.628807000016</v>
      </c>
      <c r="DB5" s="90">
        <f ca="1">IFERROR((TabCalc[[#This Row],[M]]+TabCalc[[#This Row],[L_Bp]])/ABS(TabCalc[[#This Row],[L_Bp]])/(TODAY()-TabCalc[[#This Row],[L_Bdate]])*360,"")</f>
        <v>-0.1214574898785428</v>
      </c>
      <c r="DC5" s="310">
        <f ca="1">MEDIAN(DataShift!F706:Z706)</f>
        <v>0</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180000</v>
      </c>
      <c r="DF5" s="87" cm="1">
        <f t="array" aca="1" ref="DF5" ca="1">SUMPRODUCT(ISNUMBER(INDIRECT("TabReg["&amp;TabCalc[[#This Row],[Ticker]]&amp;"2]"))* INDIRECT("TabReg["&amp;TabCalc[[#This Row],[Ticker]]&amp;"1]") * INDIRECT("TabReg["&amp;TabCalc[[#This Row],[Ticker]]&amp;"2]") )*TabCalc[[#This Row],[Scale]]</f>
        <v>-342761.03580700001</v>
      </c>
      <c r="DI5" s="87">
        <f ca="1"/>
        <v>1888000</v>
      </c>
      <c r="DJ5" s="90">
        <f t="shared" ca="1" si="2"/>
        <v>1.4624450303623695</v>
      </c>
      <c r="DK5" t="str">
        <f ca="1">_xlfn.XLOOKUP(DI5,TabCalc[Column1],TabCalc[Ticker])</f>
        <v>IAG</v>
      </c>
      <c r="DL5" s="87">
        <f ca="1">_xlfn.XLOOKUP(DK5,TabCalc[Ticker],TabCalc[ValueBegin])</f>
        <v>-785000</v>
      </c>
      <c r="DM5" s="87">
        <f ca="1">_xlfn.XLOOKUP(DK5,TabCalc[Ticker],TabCalc[M_V])</f>
        <v>377600</v>
      </c>
      <c r="DN5" s="87">
        <f ca="1">_xlfn.XLOOKUP(DK5,TabCalc[Ticker],TabCalc[GL])</f>
        <v>1148019.3488344601</v>
      </c>
      <c r="DO5" s="90"/>
      <c r="DP5" s="90"/>
      <c r="DQ5" s="88" t="s">
        <v>2</v>
      </c>
      <c r="DR5" s="82">
        <v>400000</v>
      </c>
      <c r="DS5" s="315">
        <v>-40.441576750000003</v>
      </c>
      <c r="DU5" s="82">
        <v>369000</v>
      </c>
      <c r="DV5" s="82">
        <f ca="1">DU5-TabCalc[[#This Row],[M_V]]</f>
        <v>0</v>
      </c>
    </row>
    <row r="6" spans="1:126" x14ac:dyDescent="0.3">
      <c r="A6" s="120" t="str">
        <f ca="1">_xlfn.XLOOKUP(TabCalc[[#This Row],[Ticker]],[1]!RTData[Ticker_Symbol],[1]!RTData[Currency])</f>
        <v>USD</v>
      </c>
      <c r="B6" s="121">
        <f ca="1">IF(TabCalc[[#This Row],[Cur]]="GBP",0.01,1)</f>
        <v>1</v>
      </c>
      <c r="C6" s="82">
        <f ca="1">_xlfn.XLOOKUP(TabCalc[[#This Row],[Ticker]],DQ$3:DQ$96,DR$3:DR$96)</f>
        <v>8000</v>
      </c>
      <c r="D6" s="1142">
        <f ca="1">_xlfn.XLOOKUP(TabCalc[[#This Row],[Ticker]],DQ$3:DQ$96,DS$3:DS$96)</f>
        <v>-132.55000000000001</v>
      </c>
      <c r="E6" s="121">
        <f t="shared" ca="1" si="0"/>
        <v>-1060400</v>
      </c>
      <c r="F6" s="82">
        <f ca="1">TabCalc[[#This Row],[NAfter]]*TabCalc[[#This Row],[M]]*TabCalc[[#This Row],[Scale]]</f>
        <v>2654184</v>
      </c>
      <c r="G6" s="82">
        <f ca="1">IFERROR(TabCalc[[#This Row],[SB]]-TabCalc[[#This Row],[SST]],TabCalc[[#This Row],[SB]])</f>
        <v>12000</v>
      </c>
      <c r="H6" s="532" t="str">
        <f ca="1">[1]!RTData[[#This Row],[Ticker_Symbol]]</f>
        <v>AMZN</v>
      </c>
      <c r="I6" s="383">
        <f ca="1">_xlfn.XLOOKUP(TabCalc[[#This Row],[Ticker]],[1]!RTData[Ticker_Symbol],[1]!RTData[M-Price])</f>
        <v>221.18199999999999</v>
      </c>
      <c r="J6" s="382">
        <v>203.15856500000001</v>
      </c>
      <c r="K6" s="381">
        <f ca="1">_xlfn.XLOOKUP(TabCalc[[#This Row],[Ticker]],[1]!RTData[Ticker_Symbol],[1]!RTData[1YT])</f>
        <v>288.42410000000001</v>
      </c>
      <c r="L6" s="382">
        <f ca="1">IF(OR(TabCalc[[#This Row],[NAfter]]=0,TabCalc[[#This Row],[EfCost]]&gt;0),0,TabCalc[[#This Row],[EfCost]]/TabCalc[[#This Row],[NAfter]]/TabCalc[[#This Row],[Scale]])</f>
        <v>-163.95553058099998</v>
      </c>
      <c r="M6" s="732">
        <f ca="1">_xlfn.XLOOKUP(TabCalc[[#This Row],[Ticker]],[1]!RTData[Ticker_Symbol],[1]!RTData[Change%])</f>
        <v>-6.1470000000000006E-3</v>
      </c>
      <c r="N6" s="1065">
        <v>0</v>
      </c>
      <c r="O6" s="892">
        <f>TabCalc[[#This Row],[Up20]]-1+TabCalc[[#This Row],[Up20]]</f>
        <v>-1</v>
      </c>
      <c r="P6" s="892">
        <f>TabCalc[[#This Row],[Up20]]-TabCalc[[#This Row],[Up150]]</f>
        <v>-0.44444444444444442</v>
      </c>
      <c r="Q6" s="892">
        <v>0.44444444444444442</v>
      </c>
      <c r="R6" s="892">
        <f>TabCalc[[#This Row],[Up150]]-1+TabCalc[[#This Row],[Up150]]</f>
        <v>-0.11111111111111116</v>
      </c>
      <c r="S6" s="892">
        <f>IFERROR(SUMPRODUCT(DataShift!F1500:Z1500,DataShift!AB707:AV707)/SQRT(SUMPRODUCT(DataShift!F1500:Z1500,DataShift!F1500:Z1500)*SUMPRODUCT(DataShift!AB707:AV707,DataShift!AB707:AV707)),0)</f>
        <v>0</v>
      </c>
      <c r="T6" s="892">
        <f ca="1">IFERROR(SUMPRODUCT(DataShift!F1500:Z1500,DataShift!F707:Z707)/SQRT(SUMPRODUCT(DataShift!F1500:Z1500,DataShift!F1500:Z1500)*SUMPRODUCT(DataShift!F707:Z707,DataShift!F707:Z707)),0)</f>
        <v>0</v>
      </c>
      <c r="U6" s="1004">
        <v>9800</v>
      </c>
      <c r="V6" s="1004">
        <v>2200</v>
      </c>
      <c r="W6" s="1004">
        <v>0</v>
      </c>
      <c r="X6" s="892" t="str">
        <f ca="1">IF(TabCalc[[#This Row],[EfCost]]+TabCalc[[#This Row],[M_V]]&lt;TabCalc[[#This Row],[NoT_GL]],"Pile","")</f>
        <v>Pile</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12323.999999999956</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4100.9999999999991</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66.599999999999682</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6529.0000000000109</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-28896</v>
      </c>
      <c r="AQ6" s="334">
        <f ca="1">_xlfn.LET(_xlpm.MVToday,DataShift!AV508,         _xlpm.MVY,DataShift!AU508,        _xlpm.MVYY, DataShift!AT508,                                IF(_xlpm.MVToday=_xlpm.MVY,_xlpm.MVY-_xlpm.MVYY,_xlpm.MVToday-_xlpm.MVY))</f>
        <v>-16416</v>
      </c>
      <c r="AR6" s="334">
        <f ca="1">_xlfn.LET(_xlpm.MVToday,DataShift!AV508,         _xlpm.MVY,DataShift!AU508,        _xlpm.MVYY, DataShift!AT508,         _xlpm.MVYYY, DataShift!AS508,                      IF(_xlpm.MVToday=_xlpm.MVY,      _xlpm.MVYY-_xlpm.MVYYY,          _xlpm.MVY-_xlpm.MVYY))</f>
        <v>-145680</v>
      </c>
      <c r="AS6" s="977">
        <f ca="1">TabCalc[[#This Row],[Y]]/TabCalc[[#This Row],[M]]</f>
        <v>1.3040125326654068</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-4.7658731368822291</v>
      </c>
      <c r="AY6" s="82">
        <f t="shared" ca="1" si="1"/>
        <v>0</v>
      </c>
      <c r="AZ6" s="90">
        <f ca="1">_xlfn.XLOOKUP(TabCalc[[#This Row],[Ticker]],[1]!RTData[Ticker_Symbol],[1]!RTData[V/VA])</f>
        <v>0.55227376593669197</v>
      </c>
      <c r="BA6" s="90" t="str" cm="1">
        <f t="array" aca="1" ref="BA6" ca="1">IFERROR(_xlfn.IFS(TabCalc[[#This Row],[Cur]]="USD",Timer!F$27,                TabCalc[[#This Row],[Cur]]="EUR",Timer!F$18,                  TabCalc[[#This Row],[Cur]]="GBP",Timer!F$12,                          TabCalc[[#This Row],[Cur]]="CAD",Timer!F$27,                TabCalc[[#This Row],[Cur]]="JPY",Timer!F$31,                      TabCalc[[#This Row],[Cur]]="CHF",Timer!F$18),"Timing")</f>
        <v>Closed</v>
      </c>
      <c r="BB6" s="90">
        <f ca="1">IF(ISNUMBER(TabCalc[[#This Row],[TimeEX]]),TabCalc[[#This Row],[V/VA]]/TabCalc[[#This Row],[TimeEX]],TabCalc[[#This Row],[V/VA]])</f>
        <v>0.55227376593669197</v>
      </c>
      <c r="BC6" s="87" cm="1">
        <f t="array" aca="1" ref="BC6" ca="1">INDEX(TabReg[], 1, _xlfn.XMATCH(TabCalc[[#This Row],[Ticker]]&amp;1, TabReg[#Headers], 0))</f>
        <v>8000</v>
      </c>
      <c r="BD6" s="159">
        <f ca="1">TabCalc[[#This Row],[Nbegin]]*TabCalc[[#This Row],[M]]*TabCalc[[#This Row],[Scale]]+TabCalc[[#This Row],[ValueBegin]]</f>
        <v>709056</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-904309.32697199984</v>
      </c>
      <c r="BH6" s="336">
        <f ca="1">TabCalc[[#This Row],[M_V]]+TabCalc[[#This Row],[ValueBegin]]</f>
        <v>1593784</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K6" s="159" cm="1">
        <f t="array" aca="1" ref="BK6" ca="1">SUMPRODUCT(ISNUMBER(INDIRECT("TabReg["&amp;TabCalc[[#This Row],[Ticker]]&amp;"2]"))* INDIRECT("TabReg["&amp;TabCalc[[#This Row],[Ticker]]&amp;"1]") * INDIRECT("TabReg["&amp;TabCalc[[#This Row],[Ticker]]&amp;"2]") )*TabCalc[[#This Row],[Scale]]*(1+Commission)</f>
        <v>-1967466.3669719999</v>
      </c>
      <c r="BL6" s="159">
        <f ca="1">TabCalc[[#This Row],[M_V]]*(1-Commission)+TabCalc[[#This Row],[EfCost]]</f>
        <v>679816.75462799985</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273.12</v>
      </c>
      <c r="BR6" s="174" t="str">
        <f ca="1">IF(TabCalc[[#This Row],[EfCost]]+TabCalc[[#This Row],[M_V]]&lt;TabCalc[[#This Row],[NoT_GL]],"Pile","")</f>
        <v>Pile</v>
      </c>
      <c r="BS6" s="165">
        <f ca="1">_xlfn.XLOOKUP(TabCalc[[#This Row],[Ticker]],[1]!RTData[Ticker_Symbol],[1]!RTData[Last trade time])</f>
        <v>45980.727355751565</v>
      </c>
      <c r="BT6" s="175">
        <f ca="1">(TabCalc[[#This Row],[ValueBegin]]+(TabCalc[[#This Row],[M]]-TabCalc[[#This Row],[A]])*TabCalc[[#This Row],[NAfter]])*TabCalc[[#This Row],[Scale]]</f>
        <v>-844118.78000000026</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216281.21999999974</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15015.015015015088</v>
      </c>
      <c r="CV6" s="404">
        <f ca="1">IF(TabCalc[[#This Row],[ntoBuy]]*TabCalc[[#This Row],[M]]&lt;=0,0,TabCalc[[#This Row],[ntoBuy]]*TabCalc[[#This Row],[M]])</f>
        <v>3321051.0510510667</v>
      </c>
      <c r="CW6" s="404">
        <f ca="1">IF(TabCalc[[#This Row],[M]]&gt;ABS(TabCalc[[#This Row],[L_Bp]]),MIN(TabCalc[[#This Row],[NAfter]],DesiredSaleGain/(TabCalc[[#This Row],[M]]+TabCalc[[#This Row],[L_Bp]])),0)/TabCalc[[#This Row],[Scale]]</f>
        <v>811.42486205777641</v>
      </c>
      <c r="CX6" s="405">
        <f ca="1">TabCalc[[#This Row],[ntoSell]]*TabCalc[[#This Row],[M]]</f>
        <v>179472.57383966309</v>
      </c>
      <c r="CY6" s="398">
        <f ca="1">_xlfn.LET(_xlpm.nToSell,IF(TabCalc[[#This Row],[M]]-TabCalc[[#This Row],[A]]&lt;=0,"",INT(DesiredSaleGain/(TabCalc[[#This Row],[M]]-IF(TabCalc[[#This Row],[E]]&gt;0,0,TabCalc[[#This Row],[A]])))),IF(_xlpm.nToSell&lt;=TabCalc[[#This Row],[NAfter]],_xlpm.nToSell,0))</f>
        <v>277</v>
      </c>
      <c r="CZ6" s="336">
        <f ca="1">IFERROR(TabCalc[[#This Row],[NMA]]*TabCalc[[#This Row],[M]],"")</f>
        <v>61267.413999999997</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216281.21999999974</v>
      </c>
      <c r="DB6" s="90">
        <f ca="1">IFERROR((TabCalc[[#This Row],[M]]+TabCalc[[#This Row],[L_Bp]])/ABS(TabCalc[[#This Row],[L_Bp]])/(TODAY()-TabCalc[[#This Row],[L_Bdate]])*360,"")</f>
        <v>9.3789161261954149E-2</v>
      </c>
      <c r="DC6" s="310">
        <f ca="1">MEDIAN(DataShift!F707:Z707)</f>
        <v>-6.1470000000000006E-3</v>
      </c>
      <c r="DD6" s="310" t="e"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 s="87">
        <f ca="1">TabCalc[[#This Row],[Nbegin]]*TabCalc[[#This Row],[Scale]]*TabCalc[[#This Row],[M]]</f>
        <v>1769456</v>
      </c>
      <c r="DF6" s="87" cm="1">
        <f t="array" aca="1" ref="DF6" ca="1">SUMPRODUCT(ISNUMBER(INDIRECT("TabReg["&amp;TabCalc[[#This Row],[Ticker]]&amp;"2]"))* INDIRECT("TabReg["&amp;TabCalc[[#This Row],[Ticker]]&amp;"1]") * INDIRECT("TabReg["&amp;TabCalc[[#This Row],[Ticker]]&amp;"2]") )*TabCalc[[#This Row],[Scale]]</f>
        <v>-1962364.22</v>
      </c>
      <c r="DI6" s="87">
        <f ca="1"/>
        <v>1769456</v>
      </c>
      <c r="DJ6" s="90">
        <f t="shared" ca="1" si="2"/>
        <v>0.64109463846473014</v>
      </c>
      <c r="DK6" t="str">
        <f ca="1">_xlfn.XLOOKUP(DI6,TabCalc[Column1],TabCalc[Ticker])</f>
        <v>AMZN</v>
      </c>
      <c r="DL6" s="87">
        <f ca="1">_xlfn.XLOOKUP(DK6,TabCalc[Ticker],TabCalc[ValueBegin])</f>
        <v>-1060400</v>
      </c>
      <c r="DM6" s="87">
        <f ca="1">_xlfn.XLOOKUP(DK6,TabCalc[Ticker],TabCalc[M_V])</f>
        <v>2654184</v>
      </c>
      <c r="DN6" s="87">
        <f ca="1">_xlfn.XLOOKUP(DK6,TabCalc[Ticker],TabCalc[GL])</f>
        <v>679816.75462799985</v>
      </c>
      <c r="DO6" s="90"/>
      <c r="DP6" s="90"/>
      <c r="DQ6" s="88" t="s">
        <v>3</v>
      </c>
      <c r="DR6" s="81">
        <v>8000</v>
      </c>
      <c r="DS6" s="315">
        <v>-132.55000000000001</v>
      </c>
      <c r="DU6" s="82">
        <v>2991840</v>
      </c>
      <c r="DV6" s="82">
        <f ca="1">DU6-TabCalc[[#This Row],[M_V]]</f>
        <v>337656</v>
      </c>
    </row>
    <row r="7" spans="1:126" x14ac:dyDescent="0.3">
      <c r="A7" s="120" t="str">
        <f ca="1">_xlfn.XLOOKUP(TabCalc[[#This Row],[Ticker]],[1]!RTData[Ticker_Symbol],[1]!RTData[Currency])</f>
        <v>EUR</v>
      </c>
      <c r="B7" s="121">
        <f ca="1">IF(TabCalc[[#This Row],[Cur]]="GBP",0.01,1)</f>
        <v>1</v>
      </c>
      <c r="C7" s="82">
        <f ca="1">_xlfn.XLOOKUP(TabCalc[[#This Row],[Ticker]],DQ$3:DQ$96,DR$3:DR$96)</f>
        <v>2448050</v>
      </c>
      <c r="D7" s="1142">
        <f ca="1">_xlfn.XLOOKUP(TabCalc[[#This Row],[Ticker]],DQ$3:DQ$96,DS$3:DS$96)</f>
        <v>-1.1677472432195899</v>
      </c>
      <c r="E7" s="121">
        <f t="shared" ca="1" si="0"/>
        <v>-2858703.6387637169</v>
      </c>
      <c r="F7" s="82">
        <f ca="1">TabCalc[[#This Row],[NAfter]]*TabCalc[[#This Row],[M]]*TabCalc[[#This Row],[Scale]]</f>
        <v>1740639.9999999998</v>
      </c>
      <c r="G7" s="82">
        <f ca="1">IFERROR(TabCalc[[#This Row],[SB]]-TabCalc[[#This Row],[SST]],TabCalc[[#This Row],[SB]])</f>
        <v>2530000</v>
      </c>
      <c r="H7" s="532" t="str">
        <f ca="1">[1]!RTData[[#This Row],[Ticker_Symbol]]</f>
        <v>ALDNE</v>
      </c>
      <c r="I7" s="383">
        <f ca="1">_xlfn.XLOOKUP(TabCalc[[#This Row],[Ticker]],[1]!RTData[Ticker_Symbol],[1]!RTData[M-Price])</f>
        <v>0.68799999999999994</v>
      </c>
      <c r="J7" s="382">
        <v>1.1669648384441569</v>
      </c>
      <c r="K7" s="381">
        <f ca="1">_xlfn.XLOOKUP(TabCalc[[#This Row],[Ticker]],[1]!RTData[Ticker_Symbol],[1]!RTData[1YT])</f>
        <v>1.5333300000000001</v>
      </c>
      <c r="L7" s="382">
        <f ca="1">IF(OR(TabCalc[[#This Row],[NAfter]]=0,TabCalc[[#This Row],[EfCost]]&gt;0),0,TabCalc[[#This Row],[EfCost]]/TabCalc[[#This Row],[NAfter]]/TabCalc[[#This Row],[Scale]])</f>
        <v>-1.1699989470241117</v>
      </c>
      <c r="M7" s="732">
        <f ca="1">_xlfn.XLOOKUP(TabCalc[[#This Row],[Ticker]],[1]!RTData[Ticker_Symbol],[1]!RTData[Change%])</f>
        <v>1.1765000000000001E-2</v>
      </c>
      <c r="N7" s="1065">
        <v>0</v>
      </c>
      <c r="O7" s="892">
        <f>TabCalc[[#This Row],[Up20]]-1+TabCalc[[#This Row],[Up20]]</f>
        <v>-1</v>
      </c>
      <c r="P7" s="892">
        <f>TabCalc[[#This Row],[Up20]]-TabCalc[[#This Row],[Up150]]</f>
        <v>0</v>
      </c>
      <c r="Q7" s="892">
        <v>0</v>
      </c>
      <c r="R7" s="892">
        <f>TabCalc[[#This Row],[Up150]]-1+TabCalc[[#This Row],[Up150]]</f>
        <v>-1</v>
      </c>
      <c r="S7" s="892">
        <f>IFERROR(SUMPRODUCT(DataShift!F1501:Z1501,DataShift!AB708:AV708)/SQRT(SUMPRODUCT(DataShift!F1501:Z1501,DataShift!F1501:Z1501)*SUMPRODUCT(DataShift!AB708:AV708,DataShift!AB708:AV708)),0)</f>
        <v>0</v>
      </c>
      <c r="T7" s="892">
        <f ca="1">IFERROR(SUMPRODUCT(DataShift!F1501:Z1501,DataShift!F708:Z708)/SQRT(SUMPRODUCT(DataShift!F1501:Z1501,DataShift!F1501:Z1501)*SUMPRODUCT(DataShift!F708:Z708,DataShift!F708:Z708)),0)</f>
        <v>0</v>
      </c>
      <c r="U7" s="1004">
        <v>0</v>
      </c>
      <c r="V7" s="1004">
        <v>2530000</v>
      </c>
      <c r="W7" s="1004">
        <v>0</v>
      </c>
      <c r="X7" s="892"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-3630.0000000000014</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-7680</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15179.999999999534</v>
      </c>
      <c r="AQ7" s="334">
        <f ca="1">_xlfn.LET(_xlpm.MVToday,DataShift!AV509,         _xlpm.MVY,DataShift!AU509,        _xlpm.MVYY, DataShift!AT509,                                IF(_xlpm.MVToday=_xlpm.MVY,_xlpm.MVY-_xlpm.MVYY,_xlpm.MVToday-_xlpm.MVY))</f>
        <v>45539.999999999767</v>
      </c>
      <c r="AR7" s="334">
        <f ca="1">_xlfn.LET(_xlpm.MVToday,DataShift!AV509,         _xlpm.MVY,DataShift!AU509,        _xlpm.MVYY, DataShift!AT509,         _xlpm.MVYYY, DataShift!AS509,                      IF(_xlpm.MVToday=_xlpm.MVY,      _xlpm.MVYY-_xlpm.MVYYY,          _xlpm.MVY-_xlpm.MVYY))</f>
        <v>10120</v>
      </c>
      <c r="AS7" s="977">
        <f ca="1">TabCalc[[#This Row],[Y]]/TabCalc[[#This Row],[M]]</f>
        <v>2.2286773255813959</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-0.57260452384398253</v>
      </c>
      <c r="AY7" s="82">
        <f t="shared" ca="1" si="1"/>
        <v>0</v>
      </c>
      <c r="AZ7" s="90">
        <f ca="1">_xlfn.XLOOKUP(TabCalc[[#This Row],[Ticker]],[1]!RTData[Ticker_Symbol],[1]!RTData[V/VA])</f>
        <v>0.55366568914956016</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0.55366568914956016</v>
      </c>
      <c r="BC7" s="87" cm="1">
        <f t="array" aca="1" ref="BC7" ca="1">INDEX(TabReg[], 1, _xlfn.XMATCH(TabCalc[[#This Row],[Ticker]]&amp;1, TabReg[#Headers], 0))</f>
        <v>2448050</v>
      </c>
      <c r="BD7" s="159">
        <f ca="1">TabCalc[[#This Row],[Nbegin]]*TabCalc[[#This Row],[M]]*TabCalc[[#This Row],[Scale]]+TabCalc[[#This Row],[ValueBegin]]</f>
        <v>-1174445.238763717</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-93961.067746500019</v>
      </c>
      <c r="BH7" s="336">
        <f ca="1">TabCalc[[#This Row],[M_V]]+TabCalc[[#This Row],[ValueBegin]]</f>
        <v>-1118063.6387637171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7" s="159" cm="1">
        <f t="array" aca="1" ref="BK7" ca="1">SUMPRODUCT(ISNUMBER(INDIRECT("TabReg["&amp;TabCalc[[#This Row],[Ticker]]&amp;"2]"))* INDIRECT("TabReg["&amp;TabCalc[[#This Row],[Ticker]]&amp;"1]") * INDIRECT("TabReg["&amp;TabCalc[[#This Row],[Ticker]]&amp;"2]") )*TabCalc[[#This Row],[Scale]]*(1+Commission)</f>
        <v>-2960097.3359710025</v>
      </c>
      <c r="BL7" s="159">
        <f ca="1">TabCalc[[#This Row],[M_V]]*(1-Commission)+TabCalc[[#This Row],[EfCost]]</f>
        <v>-1223982.9999710028</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45980.708333333336</v>
      </c>
      <c r="BT7" s="175">
        <f ca="1">(TabCalc[[#This Row],[ValueBegin]]+(TabCalc[[#This Row],[M]]-TabCalc[[#This Row],[A]])*TabCalc[[#This Row],[NAfter]])*TabCalc[[#This Row],[Scale]]</f>
        <v>-4070484.6800274337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-1211781.041263717</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-1211781.041263717</v>
      </c>
      <c r="DB7" s="90">
        <f ca="1">IFERROR((TabCalc[[#This Row],[M]]+TabCalc[[#This Row],[L_Bp]])/ABS(TabCalc[[#This Row],[L_Bp]])/(TODAY()-TabCalc[[#This Row],[L_Bdate]])*360,"")</f>
        <v>-0.38080251770259654</v>
      </c>
      <c r="DC7" s="310">
        <f ca="1">MEDIAN(DataShift!F708:Z708)</f>
        <v>-2.3809999999999999E-3</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1684258.4</v>
      </c>
      <c r="DF7" s="87" cm="1">
        <f t="array" aca="1" ref="DF7" ca="1">SUMPRODUCT(ISNUMBER(INDIRECT("TabReg["&amp;TabCalc[[#This Row],[Ticker]]&amp;"2]"))* INDIRECT("TabReg["&amp;TabCalc[[#This Row],[Ticker]]&amp;"1]") * INDIRECT("TabReg["&amp;TabCalc[[#This Row],[Ticker]]&amp;"2]") )*TabCalc[[#This Row],[Scale]]</f>
        <v>-2952421.0412637168</v>
      </c>
      <c r="DI7" s="87">
        <f ca="1"/>
        <v>1684258.4</v>
      </c>
      <c r="DJ7" s="90">
        <f t="shared" ca="1" si="2"/>
        <v>-0.42816015741328473</v>
      </c>
      <c r="DK7" t="str">
        <f ca="1">_xlfn.XLOOKUP(DI7,TabCalc[Column1],TabCalc[Ticker])</f>
        <v>ALDNE</v>
      </c>
      <c r="DL7" s="87">
        <f ca="1">_xlfn.XLOOKUP(DK7,TabCalc[Ticker],TabCalc[ValueBegin])</f>
        <v>-2858703.6387637169</v>
      </c>
      <c r="DM7" s="87">
        <f ca="1">_xlfn.XLOOKUP(DK7,TabCalc[Ticker],TabCalc[M_V])</f>
        <v>1740639.9999999998</v>
      </c>
      <c r="DN7" s="87">
        <f ca="1">_xlfn.XLOOKUP(DK7,TabCalc[Ticker],TabCalc[GL])</f>
        <v>-1223982.9999710028</v>
      </c>
      <c r="DO7" s="90"/>
      <c r="DP7" s="90"/>
      <c r="DQ7" s="88" t="s">
        <v>4</v>
      </c>
      <c r="DR7" s="81">
        <v>2448050</v>
      </c>
      <c r="DS7" s="315">
        <v>-1.1677472432195899</v>
      </c>
      <c r="DU7" s="82">
        <v>1993640</v>
      </c>
      <c r="DV7" s="82">
        <f ca="1">DU7-TabCalc[[#This Row],[M_V]]</f>
        <v>253000.00000000023</v>
      </c>
    </row>
    <row r="8" spans="1:126" x14ac:dyDescent="0.3">
      <c r="A8" s="120" t="str">
        <f ca="1">_xlfn.XLOOKUP(TabCalc[[#This Row],[Ticker]],[1]!RTData[Ticker_Symbol],[1]!RTData[Currency])</f>
        <v>EUR</v>
      </c>
      <c r="B8" s="121">
        <f ca="1">IF(TabCalc[[#This Row],[Cur]]="GBP",0.01,1)</f>
        <v>1</v>
      </c>
      <c r="C8" s="82">
        <f ca="1">_xlfn.XLOOKUP(TabCalc[[#This Row],[Ticker]],DQ$3:DQ$96,DR$3:DR$96)</f>
        <v>500</v>
      </c>
      <c r="D8" s="1142">
        <f ca="1">_xlfn.XLOOKUP(TabCalc[[#This Row],[Ticker]],DQ$3:DQ$96,DS$3:DS$96)</f>
        <v>-896.1</v>
      </c>
      <c r="E8" s="121">
        <f t="shared" ca="1" si="0"/>
        <v>-448050</v>
      </c>
      <c r="F8" s="82">
        <f ca="1">TabCalc[[#This Row],[NAfter]]*TabCalc[[#This Row],[M]]*TabCalc[[#This Row],[Scale]]</f>
        <v>3103100</v>
      </c>
      <c r="G8" s="82">
        <f ca="1">IFERROR(TabCalc[[#This Row],[SB]]-TabCalc[[#This Row],[SST]],TabCalc[[#This Row],[SB]])</f>
        <v>3500</v>
      </c>
      <c r="H8" s="532" t="str">
        <f ca="1">[1]!RTData[[#This Row],[Ticker_Symbol]]</f>
        <v>ASML</v>
      </c>
      <c r="I8" s="383">
        <f ca="1">_xlfn.XLOOKUP(TabCalc[[#This Row],[Ticker]],[1]!RTData[Ticker_Symbol],[1]!RTData[M-Price])</f>
        <v>886.6</v>
      </c>
      <c r="J8" s="382">
        <v>655.73235294117649</v>
      </c>
      <c r="K8" s="381">
        <f ca="1">_xlfn.XLOOKUP(TabCalc[[#This Row],[Ticker]],[1]!RTData[Ticker_Symbol],[1]!RTData[1YT])</f>
        <v>941.90326000000005</v>
      </c>
      <c r="L8" s="382">
        <f ca="1">IF(OR(TabCalc[[#This Row],[NAfter]]=0,TabCalc[[#This Row],[EfCost]]&gt;0),0,TabCalc[[#This Row],[EfCost]]/TabCalc[[#This Row],[NAfter]]/TabCalc[[#This Row],[Scale]])</f>
        <v>-652.17674511257133</v>
      </c>
      <c r="M8" s="732">
        <f ca="1">_xlfn.XLOOKUP(TabCalc[[#This Row],[Ticker]],[1]!RTData[Ticker_Symbol],[1]!RTData[Change%])</f>
        <v>2.4260999999999998E-2</v>
      </c>
      <c r="N8" s="1065">
        <v>0</v>
      </c>
      <c r="O8" s="892">
        <f>TabCalc[[#This Row],[Up20]]-1+TabCalc[[#This Row],[Up20]]</f>
        <v>-1</v>
      </c>
      <c r="P8" s="892">
        <f>TabCalc[[#This Row],[Up20]]-TabCalc[[#This Row],[Up150]]</f>
        <v>-0.5625</v>
      </c>
      <c r="Q8" s="892">
        <v>0.5625</v>
      </c>
      <c r="R8" s="892">
        <f>TabCalc[[#This Row],[Up150]]-1+TabCalc[[#This Row],[Up150]]</f>
        <v>0.125</v>
      </c>
      <c r="S8" s="892">
        <f ca="1">IFERROR(SUMPRODUCT(DataShift!F1502:Z1502,DataShift!AB709:AV709)/SQRT(SUMPRODUCT(DataShift!F1502:Z1502,DataShift!F1502:Z1502)*SUMPRODUCT(DataShift!AB709:AV709,DataShift!AB709:AV709)),0)</f>
        <v>-0.78265447819847123</v>
      </c>
      <c r="T8" s="892">
        <f ca="1">IFERROR(SUMPRODUCT(DataShift!F1502:Z1502,DataShift!F709:Z709)/SQRT(SUMPRODUCT(DataShift!F1502:Z1502,DataShift!F1502:Z1502)*SUMPRODUCT(DataShift!F709:Z709,DataShift!F709:Z709)),0)</f>
        <v>-2.0783616086931595E-2</v>
      </c>
      <c r="U8" s="1004">
        <v>3400</v>
      </c>
      <c r="V8" s="1004">
        <v>0</v>
      </c>
      <c r="W8" s="1004">
        <v>0</v>
      </c>
      <c r="X8" s="892"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-10.000000000002274</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14540.000000000009</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10.000000000002274</v>
      </c>
      <c r="AI8" s="208" cm="1">
        <f t="array" aca="1" ref="AI8" ca="1">IFERROR(_xlfn.XLOOKUP(TabCalc[[#This Row],[L_Sp]],INDIRECT("TabReg["&amp;TabCalc[[#This Row],[Ticker]]&amp;"2]"),INDIRECT("TabReg["&amp;TabCalc[[#This Row],[Ticker]]&amp;"]")),0)</f>
        <v>45973</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886.7</v>
      </c>
      <c r="AL8" s="212">
        <f ca="1">IFERROR(TabCalc[[#This Row],[L_S1n]]*(TabCalc[[#This Row],[L_S1p]]-TabCalc[[#This Row],[M]])*TabCalc[[#This Row],[Scale]],0)</f>
        <v>2364.9999999999977</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89250</v>
      </c>
      <c r="AQ8" s="334">
        <f ca="1">_xlfn.LET(_xlpm.MVToday,DataShift!AV510,         _xlpm.MVY,DataShift!AU510,        _xlpm.MVYY, DataShift!AT510,                                IF(_xlpm.MVToday=_xlpm.MVY,_xlpm.MVY-_xlpm.MVYY,_xlpm.MVToday-_xlpm.MVY))</f>
        <v>95200</v>
      </c>
      <c r="AR8" s="334">
        <f ca="1">_xlfn.LET(_xlpm.MVToday,DataShift!AV510,         _xlpm.MVY,DataShift!AU510,        _xlpm.MVYY, DataShift!AT510,         _xlpm.MVYYY, DataShift!AS510,                      IF(_xlpm.MVToday=_xlpm.MVY,      _xlpm.MVYY-_xlpm.MVYYY,          _xlpm.MVY-_xlpm.MVYY))</f>
        <v>385600</v>
      </c>
      <c r="AS8" s="977">
        <f ca="1">TabCalc[[#This Row],[Y]]/TabCalc[[#This Row],[M]]</f>
        <v>1.0623767877284007</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3000</v>
      </c>
      <c r="AX8" s="305">
        <f ca="1">IFERROR((TabCalc[[#This Row],[M]]-TabCalc[[#This Row],[Y]])*(TabCalc[[#This Row],[M]]-TabCalc[[#This Row],[Y]])*(TabCalc[[#This Row],[M]]-TabCalc[[#This Row],[Y]])/(TabCalc[[#This Row],[Y]]*TabCalc[[#This Row],[M]]),"")</f>
        <v>-0.20254343505758401</v>
      </c>
      <c r="AY8" s="82">
        <f t="shared" ca="1" si="1"/>
        <v>0</v>
      </c>
      <c r="AZ8" s="90">
        <f ca="1">_xlfn.XLOOKUP(TabCalc[[#This Row],[Ticker]],[1]!RTData[Ticker_Symbol],[1]!RTData[V/VA])</f>
        <v>1.0213644846396783</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1.0213644846396783</v>
      </c>
      <c r="BC8" s="87" cm="1">
        <f t="array" aca="1" ref="BC8" ca="1">INDEX(TabReg[], 1, _xlfn.XMATCH(TabCalc[[#This Row],[Ticker]]&amp;1, TabReg[#Headers], 0))</f>
        <v>500</v>
      </c>
      <c r="BD8" s="159">
        <f ca="1">TabCalc[[#This Row],[Nbegin]]*TabCalc[[#This Row],[M]]*TabCalc[[#This Row],[Scale]]+TabCalc[[#This Row],[ValueBegin]]</f>
        <v>-4750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-1833403.6778939997</v>
      </c>
      <c r="BH8" s="336">
        <f ca="1">TabCalc[[#This Row],[M_V]]+TabCalc[[#This Row],[ValueBegin]]</f>
        <v>2655050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4755707.238793999</v>
      </c>
      <c r="BK8" s="159" cm="1">
        <f t="array" aca="1" ref="BK8" ca="1">SUMPRODUCT(ISNUMBER(INDIRECT("TabReg["&amp;TabCalc[[#This Row],[Ticker]]&amp;"2]"))* INDIRECT("TabReg["&amp;TabCalc[[#This Row],[Ticker]]&amp;"1]") * INDIRECT("TabReg["&amp;TabCalc[[#This Row],[Ticker]]&amp;"2]") )*TabCalc[[#This Row],[Scale]]*(1+Commission)</f>
        <v>-2282618.6078939997</v>
      </c>
      <c r="BL8" s="159">
        <f ca="1">TabCalc[[#This Row],[M_V]]*(1-Commission)+TabCalc[[#This Row],[EfCost]]</f>
        <v>812413.33210600028</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6100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1086.92</v>
      </c>
      <c r="BR8" s="174" t="str">
        <f ca="1">IF(TabCalc[[#This Row],[EfCost]]+TabCalc[[#This Row],[M_V]]&lt;TabCalc[[#This Row],[NoT_GL]],"Pile","")</f>
        <v/>
      </c>
      <c r="BS8" s="165">
        <f ca="1">_xlfn.XLOOKUP(TabCalc[[#This Row],[Ticker]],[1]!RTData[Ticker_Symbol],[1]!RTData[Last trade time])</f>
        <v>45980.708333333336</v>
      </c>
      <c r="BT8" s="175">
        <f ca="1">(TabCalc[[#This Row],[ValueBegin]]+(TabCalc[[#This Row],[M]]-TabCalc[[#This Row],[A]])*TabCalc[[#This Row],[NAfter]])*TabCalc[[#This Row],[Scale]]</f>
        <v>359986.76470588241</v>
      </c>
      <c r="BU8" s="187" cm="1">
        <f t="array" aca="1" ref="BU8" ca="1">_xlfn.XLOOKUP(TabCalc[[#This Row],[Ticker]],TabReg[[#Headers],[AAPL]:[UnknownX28]],Reg!B$72:KF$72)+3</f>
        <v>59</v>
      </c>
      <c r="BV8" s="188" cm="1">
        <f t="array" aca="1" ref="BV8" ca="1">_xlfn.XLOOKUP(TabCalc[[#This Row],[Ticker]],TabReg[[#Headers],[AAPL]:[UnknownX28]],Reg!B$73:KF$73)+2</f>
        <v>18</v>
      </c>
      <c r="BW8" s="189">
        <f ca="1">IFERROR(MAX(TabCalc[[#This Row],[Max_SD]],TabCalc[[#This Row],[Max_PD]]),0)</f>
        <v>45975</v>
      </c>
      <c r="BX8" s="189" t="str" cm="1">
        <f t="array" aca="1" ref="BX8" ca="1">_xlfn.LET(_xlpm.LAST_T,TabCalc[[#This Row],[L_TP]],_xlfn.IFS(_xlpm.LAST_T&lt;0,"Purchase",_xlpm.LAST_T&gt;0,"Sale"))</f>
        <v>Purchase</v>
      </c>
      <c r="BY8" s="188" cm="1">
        <f t="array" aca="1" ref="BY8" ca="1">INDEX(Reg!$A$1:$KF$73,TabCalc[[#This Row],[L_I1]],TabCalc[[#This Row],[L_I2]])</f>
        <v>100</v>
      </c>
      <c r="BZ8" s="190" cm="1">
        <f t="array" aca="1" ref="BZ8" ca="1">INDEX(Reg!$A$1:$KF$73,TabCalc[[#This Row],[L_I1]],TabCalc[[#This Row],[L_I2]]+1)</f>
        <v>-886.7</v>
      </c>
      <c r="CA8" s="159">
        <f ca="1">TabCalc[[#This Row],[NAfter]]*(TabCalc[[#This Row],[M]]-IF(TabCalc[[#This Row],[E]]&gt;0,0,TabCalc[[#This Row],[A]]))</f>
        <v>808036.76470588241</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45973</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49999.999999988635</v>
      </c>
      <c r="CV8" s="404">
        <f ca="1">IF(TabCalc[[#This Row],[ntoBuy]]*TabCalc[[#This Row],[M]]&lt;=0,0,TabCalc[[#This Row],[ntoBuy]]*TabCalc[[#This Row],[M]])</f>
        <v>44329999.999989927</v>
      </c>
      <c r="CW8" s="404">
        <f ca="1">IF(TabCalc[[#This Row],[M]]&gt;ABS(TabCalc[[#This Row],[L_Bp]]),MIN(TabCalc[[#This Row],[NAfter]],DesiredSaleGain/(TabCalc[[#This Row],[M]]+TabCalc[[#This Row],[L_Bp]])),0)/TabCalc[[#This Row],[Scale]]</f>
        <v>0</v>
      </c>
      <c r="CX8" s="405">
        <f ca="1">TabCalc[[#This Row],[ntoSell]]*TabCalc[[#This Row],[M]]</f>
        <v>0</v>
      </c>
      <c r="CY8" s="398">
        <f ca="1">_xlfn.LET(_xlpm.nToSell,IF(TabCalc[[#This Row],[M]]-TabCalc[[#This Row],[A]]&lt;=0,"",INT(DesiredSaleGain/(TabCalc[[#This Row],[M]]-IF(TabCalc[[#This Row],[E]]&gt;0,0,TabCalc[[#This Row],[A]])))),IF(_xlpm.nToSell&lt;=TabCalc[[#This Row],[NAfter]],_xlpm.nToSell,0))</f>
        <v>21</v>
      </c>
      <c r="CZ8" s="336">
        <f ca="1">IFERROR(TabCalc[[#This Row],[NMA]]*TabCalc[[#This Row],[M]],"")</f>
        <v>18618.600000000002</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808036.76470588241</v>
      </c>
      <c r="DB8" s="90">
        <f ca="1">IFERROR((TabCalc[[#This Row],[M]]+TabCalc[[#This Row],[L_Bp]])/ABS(TabCalc[[#This Row],[L_Bp]])/(TODAY()-TabCalc[[#This Row],[L_Bdate]])*360,"")</f>
        <v>-8.1199954888932415E-3</v>
      </c>
      <c r="DC8" s="310">
        <f ca="1">MEDIAN(DataShift!F709:Z709)</f>
        <v>9.9279999999999985E-4</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443300</v>
      </c>
      <c r="DF8" s="87" cm="1">
        <f t="array" aca="1" ref="DF8" ca="1">SUMPRODUCT(ISNUMBER(INDIRECT("TabReg["&amp;TabCalc[[#This Row],[Ticker]]&amp;"2]"))* INDIRECT("TabReg["&amp;TabCalc[[#This Row],[Ticker]]&amp;"1]") * INDIRECT("TabReg["&amp;TabCalc[[#This Row],[Ticker]]&amp;"2]") )*TabCalc[[#This Row],[Scale]]</f>
        <v>-2276699.19</v>
      </c>
      <c r="DI8" s="87">
        <f ca="1"/>
        <v>1350149.9999999998</v>
      </c>
      <c r="DJ8" s="90">
        <f t="shared" ca="1" si="2"/>
        <v>2.1255436952819653</v>
      </c>
      <c r="DK8" t="str">
        <f ca="1">_xlfn.XLOOKUP(DI8,TabCalc[Column1],TabCalc[Ticker])</f>
        <v>AAPL</v>
      </c>
      <c r="DL8" s="87">
        <f ca="1">_xlfn.XLOOKUP(DK8,TabCalc[Ticker],TabCalc[ValueBegin])</f>
        <v>-537300</v>
      </c>
      <c r="DM8" s="87">
        <f ca="1">_xlfn.XLOOKUP(DK8,TabCalc[Ticker],TabCalc[M_V])</f>
        <v>2565284.9999999995</v>
      </c>
      <c r="DN8" s="87">
        <f ca="1">_xlfn.XLOOKUP(DK8,TabCalc[Ticker],TabCalc[GL])</f>
        <v>1142054.627475</v>
      </c>
      <c r="DO8" s="90"/>
      <c r="DP8" s="90"/>
      <c r="DQ8" s="88" t="s">
        <v>5</v>
      </c>
      <c r="DR8" s="81">
        <v>5000</v>
      </c>
      <c r="DS8" s="315">
        <v>-54.11</v>
      </c>
      <c r="DU8" s="82">
        <v>3304800</v>
      </c>
      <c r="DV8" s="82">
        <f ca="1">DU8-TabCalc[[#This Row],[M_V]]</f>
        <v>201700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69594</v>
      </c>
      <c r="G9" s="82">
        <f ca="1">IFERROR(TabCalc[[#This Row],[SB]]-TabCalc[[#This Row],[SST]],TabCalc[[#This Row],[SB]])</f>
        <v>200</v>
      </c>
      <c r="H9" s="1083" t="str">
        <f ca="1">[1]!RTData[[#This Row],[Ticker_Symbol]]</f>
        <v>AVGO</v>
      </c>
      <c r="I9" s="1084">
        <f ca="1">_xlfn.XLOOKUP(TabCalc[[#This Row],[Ticker]],[1]!RTData[Ticker_Symbol],[1]!RTData[M-Price])</f>
        <v>347.97</v>
      </c>
      <c r="J9" s="1082">
        <v>270.73302081750001</v>
      </c>
      <c r="K9" s="381">
        <f ca="1">_xlfn.XLOOKUP(TabCalc[[#This Row],[Ticker]],[1]!RTData[Ticker_Symbol],[1]!RTData[1YT])</f>
        <v>392.38164999999998</v>
      </c>
      <c r="L9" s="1082">
        <f ca="1">IF(OR(TabCalc[[#This Row],[NAfter]]=0,TabCalc[[#This Row],[EfCost]]&gt;0),0,TabCalc[[#This Row],[EfCost]]/TabCalc[[#This Row],[NAfter]]/TabCalc[[#This Row],[Scale]])</f>
        <v>0</v>
      </c>
      <c r="M9" s="1085">
        <f ca="1">_xlfn.XLOOKUP(TabCalc[[#This Row],[Ticker]],[1]!RTData[Ticker_Symbol],[1]!RTData[Change%])</f>
        <v>2.1937999999999999E-2</v>
      </c>
      <c r="N9" s="1086">
        <v>0</v>
      </c>
      <c r="O9" s="1087">
        <f>TabCalc[[#This Row],[Up20]]-1+TabCalc[[#This Row],[Up20]]</f>
        <v>-1</v>
      </c>
      <c r="P9" s="1087">
        <f>TabCalc[[#This Row],[Up20]]-TabCalc[[#This Row],[Up150]]</f>
        <v>-0.36842105263157893</v>
      </c>
      <c r="Q9" s="1087">
        <v>0.36842105263157893</v>
      </c>
      <c r="R9" s="1087">
        <f>TabCalc[[#This Row],[Up150]]-1+TabCalc[[#This Row],[Up150]]</f>
        <v>-0.26315789473684209</v>
      </c>
      <c r="S9" s="1087">
        <f ca="1">IFERROR(SUMPRODUCT(DataShift!F1503:Z1503,DataShift!AB710:AV710)/SQRT(SUMPRODUCT(DataShift!F1503:Z1503,DataShift!F1503:Z1503)*SUMPRODUCT(DataShift!AB710:AV710,DataShift!AB710:AV710)),0)</f>
        <v>-0.56175917095031558</v>
      </c>
      <c r="T9" s="1087">
        <f ca="1">IFERROR(SUMPRODUCT(DataShift!F1503:Z1503,DataShift!F711:Z711)/SQRT(SUMPRODUCT(DataShift!F1503:Z1503,DataShift!F1503:Z1503)*SUMPRODUCT(DataShift!F711:Z711,DataShift!F711:Z711)),0)</f>
        <v>-7.586324896781961E-2</v>
      </c>
      <c r="U9" s="1088">
        <v>400</v>
      </c>
      <c r="V9" s="1088">
        <v>0</v>
      </c>
      <c r="W9" s="1088">
        <v>0</v>
      </c>
      <c r="X9" s="1087" t="str">
        <f ca="1">IF(TabCalc[[#This Row],[EfCost]]+TabCalc[[#This Row],[M_V]]&lt;TabCalc[[#This Row],[NoT_GL]],"Pile","")</f>
        <v/>
      </c>
      <c r="Y9"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90">
        <f ca="1">MIN(TabCalc[[#This Row],[L_Bn]],TabCalc[[#This Row],[NAfter]])*(TabCalc[[#This Row],[M]]+TabCalc[[#This Row],[L_Bp]])*TabCalc[[#This Row],[Scale]]</f>
        <v>3268.0000000000064</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28908.833340000008</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-1130.0000000000068</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-300.80000000000837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1454</v>
      </c>
      <c r="AQ9" s="334">
        <f ca="1">_xlfn.LET(_xlpm.MVToday,DataShift!AV511,         _xlpm.MVY,DataShift!AU512,        _xlpm.MVYY, DataShift!AT512,                                IF(_xlpm.MVToday=_xlpm.MVY,_xlpm.MVY-_xlpm.MVYY,_xlpm.MVToday-_xlpm.MVY))</f>
        <v>25108.949999999997</v>
      </c>
      <c r="AR9" s="334">
        <f ca="1">_xlfn.LET(_xlpm.MVToday,DataShift!AV511,         _xlpm.MVY,DataShift!AU512,        _xlpm.MVYY, DataShift!AT512,         _xlpm.MVYYY, DataShift!AS512,                      IF(_xlpm.MVToday=_xlpm.MVY,      _xlpm.MVYY-_xlpm.MVYYY,          _xlpm.MVY-_xlpm.MVYY))</f>
        <v>-289.94999999999709</v>
      </c>
      <c r="AS9" s="977">
        <f ca="1">TabCalc[[#This Row],[Y]]/TabCalc[[#This Row],[M]]</f>
        <v>1.1276306865534385</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10</v>
      </c>
      <c r="AX9" s="305">
        <f ca="1">IFERROR((TabCalc[[#This Row],[M]]-TabCalc[[#This Row],[Y]])*(TabCalc[[#This Row],[M]]-TabCalc[[#This Row],[Y]])*(TabCalc[[#This Row],[M]]-TabCalc[[#This Row],[Y]])/(TabCalc[[#This Row],[Y]]*TabCalc[[#This Row],[M]]),"")</f>
        <v>-0.64156436485802759</v>
      </c>
      <c r="AY9" s="82">
        <f ca="1">IF(G9&lt;C9,C9-G9,0)</f>
        <v>0</v>
      </c>
      <c r="AZ9" s="90">
        <f ca="1">_xlfn.XLOOKUP(TabCalc[[#This Row],[Ticker]],[1]!RTData[Ticker_Symbol],[1]!RTData[V/VA])</f>
        <v>0.51410314470649965</v>
      </c>
      <c r="BA9" s="90" t="str" cm="1">
        <f t="array" aca="1" ref="BA9" ca="1">IFERROR(_xlfn.IFS(TabCalc[[#This Row],[Cur]]="USD",Timer!F$27,                TabCalc[[#This Row],[Cur]]="EUR",Timer!F$18,                  TabCalc[[#This Row],[Cur]]="GBP",Timer!F$12,                          TabCalc[[#This Row],[Cur]]="CAD",Timer!F$27,                TabCalc[[#This Row],[Cur]]="JPY",Timer!F$31,                      TabCalc[[#This Row],[Cur]]="CHF",Timer!F$18),"Timing")</f>
        <v>Closed</v>
      </c>
      <c r="BB9" s="90">
        <f ca="1">IF(ISNUMBER(TabCalc[[#This Row],[TimeEX]]),TabCalc[[#This Row],[V/VA]]/TabCalc[[#This Row],[TimeEX]],TabCalc[[#This Row],[V/VA]])</f>
        <v>0.51410314470649965</v>
      </c>
      <c r="BC9" s="87" cm="1">
        <f t="array" aca="1" ref="BC9" ca="1">INDEX(TabReg[], 1, _xlfn.XMATCH(TabCalc[[#This Row],[Ticker]]&amp;1, TabReg[#Headers], 0))</f>
        <v>190</v>
      </c>
      <c r="BD9" s="159">
        <f ca="1">TabCalc[[#This Row],[Nbegin]]*TabCalc[[#This Row],[M]]*TabCalc[[#This Row],[Scale]]+TabCalc[[#This Row],[ValueBegin]]</f>
        <v>45280.549200000009</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48760.249200000006</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K9" s="159" cm="1">
        <f t="array" aca="1" ref="BK9" ca="1">SUMPRODUCT(ISNUMBER(INDIRECT("TabReg["&amp;TabCalc[[#This Row],[Ticker]]&amp;"2]"))* INDIRECT("TabReg["&amp;TabCalc[[#This Row],[Ticker]]&amp;"1]") * INDIRECT("TabReg["&amp;TabCalc[[#This Row],[Ticker]]&amp;"2]") )*TabCalc[[#This Row],[Scale]]*(1+Commission)</f>
        <v>1026.0359835407685</v>
      </c>
      <c r="BL9" s="159">
        <f ca="1">TabCalc[[#This Row],[M_V]]*(1-Commission)+TabCalc[[#This Row],[EfCost]]</f>
        <v>70439.091583540765</v>
      </c>
      <c r="BM9" s="159">
        <f ca="1">IF(        OR( TabCalc[[#This Row],[GL]]&gt;ABS(TabCalc[[#This Row],[EfCost]]),TabCalc[[#This Row],[NAfter]]=0),             TabCalc[[#This Row],[GL]],     0)</f>
        <v>70439.091583540765</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45980.727384606253</v>
      </c>
      <c r="BT9" s="175">
        <f ca="1">(TabCalc[[#This Row],[ValueBegin]]+(TabCalc[[#This Row],[M]]-TabCalc[[#This Row],[A]])*TabCalc[[#This Row],[NAfter]])*TabCalc[[#This Row],[Scale]]</f>
        <v>-5386.3549634999945</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45978</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15447.395836500003</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200</v>
      </c>
      <c r="CX9" s="405">
        <f ca="1">TabCalc[[#This Row],[ntoSell]]*TabCalc[[#This Row],[M]]</f>
        <v>69594</v>
      </c>
      <c r="CY9" s="398">
        <f ca="1">_xlfn.LET(_xlpm.nToSell,IF(TabCalc[[#This Row],[M]]-TabCalc[[#This Row],[A]]&lt;=0,"",INT(DesiredSaleGain/(TabCalc[[#This Row],[M]]-IF(TabCalc[[#This Row],[E]]&gt;0,0,TabCalc[[#This Row],[A]])))),IF(_xlpm.nToSell&lt;=TabCalc[[#This Row],[NAfter]],_xlpm.nToSell,0))</f>
        <v>64</v>
      </c>
      <c r="CZ9" s="1091">
        <f ca="1">IFERROR(TabCalc[[#This Row],[NMA]]*TabCalc[[#This Row],[M]],"")</f>
        <v>22270.080000000002</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15447.395836500003</v>
      </c>
      <c r="DB9" s="90">
        <f ca="1">IFERROR((TabCalc[[#This Row],[M]]+TabCalc[[#This Row],[L_Bp]])/ABS(TabCalc[[#This Row],[L_Bp]])/(TODAY()-TabCalc[[#This Row],[L_Bdate]])*360,"")</f>
        <v>0.44344600910653525</v>
      </c>
      <c r="DC9" s="310">
        <f ca="1">MEDIAN(DataShift!F711:Z711)</f>
        <v>1.338E-3</v>
      </c>
      <c r="DD9" s="310" t="e"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 s="87">
        <f ca="1">TabCalc[[#This Row],[Nbegin]]*TabCalc[[#This Row],[Scale]]*TabCalc[[#This Row],[M]]</f>
        <v>66114.3</v>
      </c>
      <c r="DF9" s="87" cm="1">
        <f t="array" aca="1" ref="DF9" ca="1">SUMPRODUCT(ISNUMBER(INDIRECT("TabReg["&amp;TabCalc[[#This Row],[Ticker]]&amp;"2]"))* INDIRECT("TabReg["&amp;TabCalc[[#This Row],[Ticker]]&amp;"1]") * INDIRECT("TabReg["&amp;TabCalc[[#This Row],[Ticker]]&amp;"2]") )*TabCalc[[#This Row],[Scale]]</f>
        <v>1023.3752079999686</v>
      </c>
      <c r="DI9" s="87">
        <f ca="1"/>
        <v>1313925</v>
      </c>
      <c r="DJ9" s="90">
        <f t="shared" ca="1" si="2"/>
        <v>4.4125403610339351</v>
      </c>
      <c r="DK9" t="str">
        <f ca="1">_xlfn.XLOOKUP(DI9,TabCalc[Column1],TabCalc[Ticker])</f>
        <v>NEM</v>
      </c>
      <c r="DL9" s="87">
        <f ca="1">_xlfn.XLOOKUP(DK9,TabCalc[Ticker],TabCalc[ValueBegin])</f>
        <v>-286571.39999999997</v>
      </c>
      <c r="DM9" s="87">
        <f ca="1">_xlfn.XLOOKUP(DK9,TabCalc[Ticker],TabCalc[M_V])</f>
        <v>1751900</v>
      </c>
      <c r="DN9" s="87">
        <f ca="1">_xlfn.XLOOKUP(DK9,TabCalc[Ticker],TabCalc[GL])</f>
        <v>1264507.868818</v>
      </c>
      <c r="DO9" s="90"/>
      <c r="DP9" s="90"/>
      <c r="DQ9" s="88" t="s">
        <v>6</v>
      </c>
      <c r="DR9" s="81">
        <v>10000</v>
      </c>
      <c r="DS9" s="315">
        <v>-2.69</v>
      </c>
      <c r="DU9" s="82">
        <v>140776</v>
      </c>
      <c r="DV9" s="82">
        <f ca="1">DU9-TabCalc[[#This Row],[M_V]]</f>
        <v>71182</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44485.05</v>
      </c>
      <c r="G10" s="82">
        <f ca="1">IFERROR(TabCalc[[#This Row],[SB]]-TabCalc[[#This Row],[SST]],TabCalc[[#This Row],[SB]])</f>
        <v>500</v>
      </c>
      <c r="H10" s="1083" t="str">
        <f ca="1">[1]!RTData[[#This Row],[Ticker_Symbol]]</f>
        <v>AZN</v>
      </c>
      <c r="I10" s="1084">
        <f ca="1">_xlfn.XLOOKUP(TabCalc[[#This Row],[Ticker]],[1]!RTData[Ticker_Symbol],[1]!RTData[M-Price])</f>
        <v>88.970100000000002</v>
      </c>
      <c r="J10" s="1082">
        <v>69.84</v>
      </c>
      <c r="K10" s="381">
        <f ca="1">_xlfn.XLOOKUP(TabCalc[[#This Row],[Ticker]],[1]!RTData[Ticker_Symbol],[1]!RTData[1YT])</f>
        <v>93.25273</v>
      </c>
      <c r="L10" s="1082">
        <f ca="1">IF(OR(TabCalc[[#This Row],[NAfter]]=0,TabCalc[[#This Row],[EfCost]]&gt;0),0,TabCalc[[#This Row],[EfCost]]/TabCalc[[#This Row],[NAfter]]/TabCalc[[#This Row],[Scale]])</f>
        <v>0</v>
      </c>
      <c r="M10" s="1085">
        <f ca="1">_xlfn.XLOOKUP(TabCalc[[#This Row],[Ticker]],[1]!RTData[Ticker_Symbol],[1]!RTData[Change%])</f>
        <v>-6.4759999999999991E-3</v>
      </c>
      <c r="N10" s="1086">
        <v>0</v>
      </c>
      <c r="O10" s="1087">
        <f>TabCalc[[#This Row],[Up20]]-1+TabCalc[[#This Row],[Up20]]</f>
        <v>-1</v>
      </c>
      <c r="P10" s="1087">
        <f>TabCalc[[#This Row],[Up20]]-TabCalc[[#This Row],[Up150]]</f>
        <v>0</v>
      </c>
      <c r="Q10" s="1087">
        <v>0</v>
      </c>
      <c r="R10" s="1087">
        <f>TabCalc[[#This Row],[Up150]]-1+TabCalc[[#This Row],[Up150]]</f>
        <v>-1</v>
      </c>
      <c r="S10" s="1087">
        <f ca="1">IFERROR(SUMPRODUCT(DataShift!F1504:Z1504,DataShift!AB711:AV711)/SQRT(SUMPRODUCT(DataShift!F1504:Z1504,DataShift!F1504:Z1504)*SUMPRODUCT(DataShift!AB711:AV711,DataShift!AB711:AV711)),0)</f>
        <v>-0.91424802813519301</v>
      </c>
      <c r="T10" s="1087">
        <f ca="1">IFERROR(SUMPRODUCT(DataShift!F1504:Z1504,DataShift!F712:Z712)/SQRT(SUMPRODUCT(DataShift!F1504:Z1504,DataShift!F1504:Z1504)*SUMPRODUCT(DataShift!F712:Z712,DataShift!F712:Z712)),0)</f>
        <v>0.13920656751672345</v>
      </c>
      <c r="U10" s="1088">
        <v>500</v>
      </c>
      <c r="V10" s="1088">
        <v>0</v>
      </c>
      <c r="W10" s="1088">
        <v>0</v>
      </c>
      <c r="X10" s="1087" t="str">
        <f ca="1">IF(TabCalc[[#This Row],[EfCost]]+TabCalc[[#This Row],[M_V]]&lt;TabCalc[[#This Row],[NoT_GL]],"Pile","")</f>
        <v>Pile</v>
      </c>
      <c r="Y10"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90">
        <f ca="1">MIN(TabCalc[[#This Row],[L_Bn]],TabCalc[[#This Row],[NAfter]])*(TabCalc[[#This Row],[M]]+TabCalc[[#This Row],[L_Bp]])*TabCalc[[#This Row],[Scale]]</f>
        <v>9565.0499999999993</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5650.05</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-1375.0500000000015</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-18920.199999999993</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-274.94999999999709</v>
      </c>
      <c r="AQ10" s="334">
        <f ca="1">_xlfn.LET(_xlpm.MVToday,DataShift!AV512,         _xlpm.MVY,DataShift!AU513,        _xlpm.MVYY, DataShift!AT513,                                IF(_xlpm.MVToday=_xlpm.MVY,_xlpm.MVY-_xlpm.MVYY,_xlpm.MVToday-_xlpm.MVY))</f>
        <v>-12354.949999999997</v>
      </c>
      <c r="AR10" s="334">
        <f ca="1">_xlfn.LET(_xlpm.MVToday,DataShift!AV512,         _xlpm.MVY,DataShift!AU513,        _xlpm.MVYY, DataShift!AT513,         _xlpm.MVYYY, DataShift!AS513,                      IF(_xlpm.MVToday=_xlpm.MVY,      _xlpm.MVYY-_xlpm.MVYYY,          _xlpm.MVY-_xlpm.MVYY))</f>
        <v>-960</v>
      </c>
      <c r="AS10" s="977">
        <f ca="1">TabCalc[[#This Row],[Y]]/TabCalc[[#This Row],[M]]</f>
        <v>1.0481356096036758</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-9.4672976465681787E-3</v>
      </c>
      <c r="AY10" s="82">
        <f ca="1">IF(G10&lt;C10,C10-G10,0)</f>
        <v>4500</v>
      </c>
      <c r="AZ10" s="90">
        <f ca="1">_xlfn.XLOOKUP(TabCalc[[#This Row],[Ticker]],[1]!RTData[Ticker_Symbol],[1]!RTData[V/VA])</f>
        <v>0.83565875907624187</v>
      </c>
      <c r="BA10" s="90" t="str" cm="1">
        <f t="array" aca="1" ref="BA10" ca="1">IFERROR(_xlfn.IFS(TabCalc[[#This Row],[Cur]]="USD",Timer!F$27,                TabCalc[[#This Row],[Cur]]="EUR",Timer!F$18,                  TabCalc[[#This Row],[Cur]]="GBP",Timer!F$12,                          TabCalc[[#This Row],[Cur]]="CAD",Timer!F$27,                TabCalc[[#This Row],[Cur]]="JPY",Timer!F$31,                      TabCalc[[#This Row],[Cur]]="CHF",Timer!F$18),"Timing")</f>
        <v>Closed</v>
      </c>
      <c r="BB10" s="90">
        <f ca="1">IF(ISNUMBER(TabCalc[[#This Row],[TimeEX]]),TabCalc[[#This Row],[V/VA]]/TabCalc[[#This Row],[TimeEX]],TabCalc[[#This Row],[V/VA]])</f>
        <v>0.83565875907624187</v>
      </c>
      <c r="BC10" s="87" cm="1">
        <f t="array" aca="1" ref="BC10" ca="1">INDEX(TabReg[], 1, _xlfn.XMATCH(TabCalc[[#This Row],[Ticker]]&amp;1, TabReg[#Headers], 0))</f>
        <v>5000</v>
      </c>
      <c r="BD10" s="159">
        <f ca="1">TabCalc[[#This Row],[Nbegin]]*TabCalc[[#This Row],[M]]*TabCalc[[#This Row],[Scale]]+TabCalc[[#This Row],[ValueBegin]]</f>
        <v>174300.5</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-226064.95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K10" s="159" cm="1">
        <f t="array" aca="1" ref="BK10" ca="1">SUMPRODUCT(ISNUMBER(INDIRECT("TabReg["&amp;TabCalc[[#This Row],[Ticker]]&amp;"2]"))* INDIRECT("TabReg["&amp;TabCalc[[#This Row],[Ticker]]&amp;"1]") * INDIRECT("TabReg["&amp;TabCalc[[#This Row],[Ticker]]&amp;"2]") )*TabCalc[[#This Row],[Scale]]*(1+Commission)</f>
        <v>108616.06943999996</v>
      </c>
      <c r="BL10" s="159">
        <f ca="1">TabCalc[[#This Row],[M_V]]*(1-Commission)+TabCalc[[#This Row],[EfCost]]</f>
        <v>152985.45830999996</v>
      </c>
      <c r="BM10" s="159">
        <f ca="1">IF(        OR( TabCalc[[#This Row],[GL]]&gt;ABS(TabCalc[[#This Row],[EfCost]]),TabCalc[[#This Row],[NAfter]]=0),             TabCalc[[#This Row],[GL]],     0)</f>
        <v>152985.45830999996</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45980.727326828128</v>
      </c>
      <c r="BT10" s="175">
        <f ca="1">(TabCalc[[#This Row],[ValueBegin]]+(TabCalc[[#This Row],[M]]-TabCalc[[#This Row],[A]])*TabCalc[[#This Row],[NAfter]])*TabCalc[[#This Row],[Scale]]</f>
        <v>-260984.95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9565.0499999999993</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261.36821030731676</v>
      </c>
      <c r="CX10" s="405">
        <f ca="1">TabCalc[[#This Row],[ntoSell]]*TabCalc[[#This Row],[M]]</f>
        <v>23253.955807863003</v>
      </c>
      <c r="CY10" s="398">
        <f ca="1">_xlfn.LET(_xlpm.nToSell,IF(TabCalc[[#This Row],[M]]-TabCalc[[#This Row],[A]]&lt;=0,"",INT(DesiredSaleGain/(TabCalc[[#This Row],[M]]-IF(TabCalc[[#This Row],[E]]&gt;0,0,TabCalc[[#This Row],[A]])))),IF(_xlpm.nToSell&lt;=TabCalc[[#This Row],[NAfter]],_xlpm.nToSell,0))</f>
        <v>261</v>
      </c>
      <c r="CZ10" s="1091">
        <f ca="1">IFERROR(TabCalc[[#This Row],[NMA]]*TabCalc[[#This Row],[M]],"")</f>
        <v>23221.196100000001</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9565.0499999999993</v>
      </c>
      <c r="DB10" s="90">
        <f ca="1">IFERROR((TabCalc[[#This Row],[M]]+TabCalc[[#This Row],[L_Bp]])/ABS(TabCalc[[#This Row],[L_Bp]])/(TODAY()-TabCalc[[#This Row],[L_Bdate]])*360,"")</f>
        <v>0.64874186109603904</v>
      </c>
      <c r="DC10" s="310">
        <f ca="1">MEDIAN(DataShift!F712:Z712)</f>
        <v>-1.5015000000000001E-2</v>
      </c>
      <c r="DD10" s="310" t="e"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0" s="87">
        <f ca="1">TabCalc[[#This Row],[Nbegin]]*TabCalc[[#This Row],[Scale]]*TabCalc[[#This Row],[M]]</f>
        <v>444850.5</v>
      </c>
      <c r="DF10" s="87" cm="1">
        <f t="array" aca="1" ref="DF10" ca="1">SUMPRODUCT(ISNUMBER(INDIRECT("TabReg["&amp;TabCalc[[#This Row],[Ticker]]&amp;"2]"))* INDIRECT("TabReg["&amp;TabCalc[[#This Row],[Ticker]]&amp;"1]") * INDIRECT("TabReg["&amp;TabCalc[[#This Row],[Ticker]]&amp;"2]") )*TabCalc[[#This Row],[Scale]]</f>
        <v>108334.39999999997</v>
      </c>
      <c r="DI10" s="87">
        <f ca="1"/>
        <v>1311900</v>
      </c>
      <c r="DJ10" s="90">
        <f t="shared" ca="1" si="2"/>
        <v>3.5898113607033273E-2</v>
      </c>
      <c r="DK10" t="str">
        <f ca="1">_xlfn.XLOOKUP(DI10,TabCalc[Column1],TabCalc[Ticker])</f>
        <v>RWE</v>
      </c>
      <c r="DL10" s="87">
        <f ca="1">_xlfn.XLOOKUP(DK10,TabCalc[Ticker],TabCalc[ValueBegin])</f>
        <v>-1014062.0399999999</v>
      </c>
      <c r="DM10" s="87">
        <f ca="1">_xlfn.XLOOKUP(DK10,TabCalc[Ticker],TabCalc[M_V])</f>
        <v>2186.5</v>
      </c>
      <c r="DN10" s="87">
        <f ca="1">_xlfn.XLOOKUP(DK10,TabCalc[Ticker],TabCalc[GL])</f>
        <v>36402.914316499919</v>
      </c>
      <c r="DO10" s="90"/>
      <c r="DP10" s="90"/>
      <c r="DQ10" s="88" t="s">
        <v>7</v>
      </c>
      <c r="DR10" s="81">
        <v>15000</v>
      </c>
      <c r="DS10" s="315">
        <v>-6.9032</v>
      </c>
      <c r="DU10" s="82">
        <v>41015</v>
      </c>
      <c r="DV10" s="82">
        <f ca="1">DU10-TabCalc[[#This Row],[M_V]]</f>
        <v>-3470.0500000000029</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42">
        <f ca="1">_xlfn.XLOOKUP(TabCalc[[#This Row],[Ticker]],DQ$3:DQ$96,DS$3:DS$96)</f>
        <v>-2.69</v>
      </c>
      <c r="E11" s="121">
        <f t="shared" ca="1" si="0"/>
        <v>-26900</v>
      </c>
      <c r="F11" s="82">
        <f ca="1">TabCalc[[#This Row],[NAfter]]*TabCalc[[#This Row],[M]]*TabCalc[[#This Row],[Scale]]</f>
        <v>56840</v>
      </c>
      <c r="G11" s="82">
        <f ca="1">IFERROR(TabCalc[[#This Row],[SB]]-TabCalc[[#This Row],[SST]],TabCalc[[#This Row],[SB]])</f>
        <v>20000</v>
      </c>
      <c r="H11" s="532" t="str">
        <f ca="1">[1]!RTData[[#This Row],[Ticker_Symbol]]</f>
        <v>BLDP</v>
      </c>
      <c r="I11" s="383">
        <f ca="1">_xlfn.XLOOKUP(TabCalc[[#This Row],[Ticker]],[1]!RTData[Ticker_Symbol],[1]!RTData[M-Price])</f>
        <v>2.8420000000000001</v>
      </c>
      <c r="J11" s="382">
        <v>2.1440000000000001</v>
      </c>
      <c r="K11" s="381">
        <f ca="1">_xlfn.XLOOKUP(TabCalc[[#This Row],[Ticker]],[1]!RTData[Ticker_Symbol],[1]!RTData[1YT])</f>
        <v>2.75</v>
      </c>
      <c r="L11" s="382">
        <f ca="1">IF(OR(TabCalc[[#This Row],[NAfter]]=0,TabCalc[[#This Row],[EfCost]]&gt;0),0,TabCalc[[#This Row],[EfCost]]/TabCalc[[#This Row],[NAfter]]/TabCalc[[#This Row],[Scale]])</f>
        <v>-1.5883096459500003</v>
      </c>
      <c r="M11" s="732">
        <f ca="1">_xlfn.XLOOKUP(TabCalc[[#This Row],[Ticker]],[1]!RTData[Ticker_Symbol],[1]!RTData[Change%])</f>
        <v>-1.6608999999999999E-2</v>
      </c>
      <c r="N11" s="1065">
        <v>0</v>
      </c>
      <c r="O11" s="892">
        <f>TabCalc[[#This Row],[Up20]]-1+TabCalc[[#This Row],[Up20]]</f>
        <v>-1</v>
      </c>
      <c r="P11" s="892">
        <f>TabCalc[[#This Row],[Up20]]-TabCalc[[#This Row],[Up150]]</f>
        <v>-0.5</v>
      </c>
      <c r="Q11" s="892">
        <v>0.5</v>
      </c>
      <c r="R11" s="892">
        <f>TabCalc[[#This Row],[Up150]]-1+TabCalc[[#This Row],[Up150]]</f>
        <v>0</v>
      </c>
      <c r="S11" s="892">
        <f ca="1">IFERROR(SUMPRODUCT(DataShift!F1503:Z1503,DataShift!AB710:AV710)/SQRT(SUMPRODUCT(DataShift!F1503:Z1503,DataShift!F1503:Z1503)*SUMPRODUCT(DataShift!AB710:AV710,DataShift!AB710:AV710)),0)</f>
        <v>-0.56175917095031558</v>
      </c>
      <c r="T11" s="892">
        <f ca="1">IFERROR(SUMPRODUCT(DataShift!F1503:Z1503,DataShift!F711:Z711)/SQRT(SUMPRODUCT(DataShift!F1503:Z1503,DataShift!F1503:Z1503)*SUMPRODUCT(DataShift!F711:Z711,DataShift!F711:Z711)),0)</f>
        <v>-7.586324896781961E-2</v>
      </c>
      <c r="U11" s="1004">
        <v>20000</v>
      </c>
      <c r="V11" s="1004">
        <v>0</v>
      </c>
      <c r="W11" s="1004">
        <v>0</v>
      </c>
      <c r="X11" s="892"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-48.000000000000043</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10120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3048.5999999999985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-8820.0000000000018</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-360</v>
      </c>
      <c r="AQ11" s="334">
        <f ca="1">_xlfn.LET(_xlpm.MVToday,DataShift!AV511,         _xlpm.MVY,DataShift!AU512,        _xlpm.MVYY, DataShift!AT512,                                IF(_xlpm.MVToday=_xlpm.MVY,_xlpm.MVY-_xlpm.MVYY,_xlpm.MVToday-_xlpm.MVY))</f>
        <v>25108.949999999997</v>
      </c>
      <c r="AR11" s="334">
        <f ca="1">_xlfn.LET(_xlpm.MVToday,DataShift!AV511,         _xlpm.MVY,DataShift!AU512,        _xlpm.MVYY, DataShift!AT512,         _xlpm.MVYYY, DataShift!AS512,                      IF(_xlpm.MVToday=_xlpm.MVY,      _xlpm.MVYY-_xlpm.MVYYY,          _xlpm.MVY-_xlpm.MVYY))</f>
        <v>-289.94999999999709</v>
      </c>
      <c r="AS11" s="977">
        <f ca="1">TabCalc[[#This Row],[Y]]/TabCalc[[#This Row],[M]]</f>
        <v>0.96762843068261783</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9.9633804619026558E-5</v>
      </c>
      <c r="AY11" s="82">
        <f t="shared" ca="1" si="1"/>
        <v>0</v>
      </c>
      <c r="AZ11" s="90">
        <f ca="1">_xlfn.XLOOKUP(TabCalc[[#This Row],[Ticker]],[1]!RTData[Ticker_Symbol],[1]!RTData[V/VA])</f>
        <v>0.20414935791775768</v>
      </c>
      <c r="BA11" s="90" t="str" cm="1">
        <f t="array" aca="1" ref="BA11" ca="1">IFERROR(_xlfn.IFS(TabCalc[[#This Row],[Cur]]="USD",Timer!F$27,                TabCalc[[#This Row],[Cur]]="EUR",Timer!F$18,                  TabCalc[[#This Row],[Cur]]="GBP",Timer!F$12,                          TabCalc[[#This Row],[Cur]]="CAD",Timer!F$27,                TabCalc[[#This Row],[Cur]]="JPY",Timer!F$31,                      TabCalc[[#This Row],[Cur]]="CHF",Timer!F$18),"Timing")</f>
        <v>Closed</v>
      </c>
      <c r="BB11" s="90">
        <f ca="1">IF(ISNUMBER(TabCalc[[#This Row],[TimeEX]]),TabCalc[[#This Row],[V/VA]]/TabCalc[[#This Row],[TimeEX]],TabCalc[[#This Row],[V/VA]])</f>
        <v>0.20414935791775768</v>
      </c>
      <c r="BC11" s="87" cm="1">
        <f t="array" aca="1" ref="BC11" ca="1">INDEX(TabReg[], 1, _xlfn.XMATCH(TabCalc[[#This Row],[Ticker]]&amp;1, TabReg[#Headers], 0))</f>
        <v>10000</v>
      </c>
      <c r="BD11" s="159">
        <f ca="1">TabCalc[[#This Row],[Nbegin]]*TabCalc[[#This Row],[M]]*TabCalc[[#This Row],[Scale]]+TabCalc[[#This Row],[ValueBegin]]</f>
        <v>1520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-4796.2529190000096</v>
      </c>
      <c r="BH11" s="336">
        <f ca="1">TabCalc[[#This Row],[M_V]]+TabCalc[[#This Row],[ValueBegin]]</f>
        <v>29940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K11" s="159" cm="1">
        <f t="array" aca="1" ref="BK11" ca="1">SUMPRODUCT(ISNUMBER(INDIRECT("TabReg["&amp;TabCalc[[#This Row],[Ticker]]&amp;"2]"))* INDIRECT("TabReg["&amp;TabCalc[[#This Row],[Ticker]]&amp;"1]") * INDIRECT("TabReg["&amp;TabCalc[[#This Row],[Ticker]]&amp;"2]") )*TabCalc[[#This Row],[Scale]]*(1+Commission)</f>
        <v>-31766.192919000008</v>
      </c>
      <c r="BL11" s="159">
        <f ca="1">TabCalc[[#This Row],[M_V]]*(1-Commission)+TabCalc[[#This Row],[EfCost]]</f>
        <v>24926.023080999992</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2.49</v>
      </c>
      <c r="BR11" s="174" t="str">
        <f ca="1">IF(TabCalc[[#This Row],[EfCost]]+TabCalc[[#This Row],[M_V]]&lt;TabCalc[[#This Row],[NoT_GL]],"Pile","")</f>
        <v/>
      </c>
      <c r="BS11" s="165">
        <f ca="1">_xlfn.XLOOKUP(TabCalc[[#This Row],[Ticker]],[1]!RTData[Ticker_Symbol],[1]!RTData[Last trade time])</f>
        <v>45980.727314385935</v>
      </c>
      <c r="BT11" s="175">
        <f ca="1">(TabCalc[[#This Row],[ValueBegin]]+(TabCalc[[#This Row],[M]]-TabCalc[[#This Row],[A]])*TabCalc[[#This Row],[NAfter]])*TabCalc[[#This Row],[Scale]]</f>
        <v>-12940.000000000002</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13959.999999999998</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9840.5825624877034</v>
      </c>
      <c r="CV11" s="404">
        <f ca="1">IF(TabCalc[[#This Row],[ntoBuy]]*TabCalc[[#This Row],[M]]&lt;=0,0,TabCalc[[#This Row],[ntoBuy]]*TabCalc[[#This Row],[M]])</f>
        <v>27966.935642590055</v>
      </c>
      <c r="CW11" s="404">
        <f ca="1">IF(TabCalc[[#This Row],[M]]&gt;ABS(TabCalc[[#This Row],[L_Bp]]),MIN(TabCalc[[#This Row],[NAfter]],DesiredSaleGain/(TabCalc[[#This Row],[M]]+TabCalc[[#This Row],[L_Bp]])),0)/TabCalc[[#This Row],[Scale]]</f>
        <v>0</v>
      </c>
      <c r="CX11" s="405">
        <f ca="1">TabCalc[[#This Row],[ntoSell]]*TabCalc[[#This Row],[M]]</f>
        <v>0</v>
      </c>
      <c r="CY11" s="398">
        <f ca="1">_xlfn.LET(_xlpm.nToSell,IF(TabCalc[[#This Row],[M]]-TabCalc[[#This Row],[A]]&lt;=0,"",INT(DesiredSaleGain/(TabCalc[[#This Row],[M]]-IF(TabCalc[[#This Row],[E]]&gt;0,0,TabCalc[[#This Row],[A]])))),IF(_xlpm.nToSell&lt;=TabCalc[[#This Row],[NAfter]],_xlpm.nToSell,0))</f>
        <v>7163</v>
      </c>
      <c r="CZ11" s="336">
        <f ca="1">IFERROR(TabCalc[[#This Row],[NMA]]*TabCalc[[#This Row],[M]],"")</f>
        <v>20357.245999999999</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13959.999999999998</v>
      </c>
      <c r="DB11" s="90">
        <f ca="1">IFERROR((TabCalc[[#This Row],[M]]+TabCalc[[#This Row],[L_Bp]])/ABS(TabCalc[[#This Row],[L_Bp]])/(TODAY()-TabCalc[[#This Row],[L_Bdate]])*360,"")</f>
        <v>-3.1978680879413751E-3</v>
      </c>
      <c r="DC11" s="310">
        <f ca="1">MEDIAN(DataShift!F711:Z711)</f>
        <v>1.338E-3</v>
      </c>
      <c r="DD11" s="310" t="e"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1" s="87">
        <f ca="1">TabCalc[[#This Row],[Nbegin]]*TabCalc[[#This Row],[Scale]]*TabCalc[[#This Row],[M]]</f>
        <v>28420</v>
      </c>
      <c r="DF11" s="87" cm="1">
        <f t="array" aca="1" ref="DF11" ca="1">SUMPRODUCT(ISNUMBER(INDIRECT("TabReg["&amp;TabCalc[[#This Row],[Ticker]]&amp;"2]"))* INDIRECT("TabReg["&amp;TabCalc[[#This Row],[Ticker]]&amp;"1]") * INDIRECT("TabReg["&amp;TabCalc[[#This Row],[Ticker]]&amp;"2]") )*TabCalc[[#This Row],[Scale]]</f>
        <v>-31683.81500000001</v>
      </c>
      <c r="DI11" s="87">
        <f ca="1"/>
        <v>1184000</v>
      </c>
      <c r="DJ11" s="90">
        <f t="shared" ca="1" si="2"/>
        <v>0.11892724097373453</v>
      </c>
      <c r="DK11" t="str">
        <f ca="1">_xlfn.XLOOKUP(DI11,TabCalc[Column1],TabCalc[Ticker])</f>
        <v>VONN</v>
      </c>
      <c r="DL11" s="87">
        <f ca="1">_xlfn.XLOOKUP(DK11,TabCalc[Ticker],TabCalc[ValueBegin])</f>
        <v>-1126036.29</v>
      </c>
      <c r="DM11" s="87">
        <f ca="1">_xlfn.XLOOKUP(DK11,TabCalc[Ticker],TabCalc[M_V])</f>
        <v>1136640</v>
      </c>
      <c r="DN11" s="87">
        <f ca="1">_xlfn.XLOOKUP(DK11,TabCalc[Ticker],TabCalc[GL])</f>
        <v>133916.38920600002</v>
      </c>
      <c r="DO11" s="90"/>
      <c r="DP11" s="90"/>
      <c r="DQ11" s="88" t="s">
        <v>8</v>
      </c>
      <c r="DR11" s="81">
        <v>100</v>
      </c>
      <c r="DS11" s="315">
        <v>-49.07</v>
      </c>
      <c r="DU11" s="82">
        <v>67400</v>
      </c>
      <c r="DV11" s="82">
        <f ca="1">DU11-TabCalc[[#This Row],[M_V]]</f>
        <v>10560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42">
        <f ca="1">_xlfn.XLOOKUP(TabCalc[[#This Row],[Ticker]],DQ$3:DQ$96,DS$3:DS$96)</f>
        <v>-6.9032</v>
      </c>
      <c r="E12" s="121">
        <f t="shared" ca="1" si="0"/>
        <v>-103548</v>
      </c>
      <c r="F12" s="82">
        <f ca="1">TabCalc[[#This Row],[NAfter]]*TabCalc[[#This Row],[M]]*TabCalc[[#This Row],[Scale]]</f>
        <v>27687.5</v>
      </c>
      <c r="G12" s="82">
        <f ca="1">IFERROR(TabCalc[[#This Row],[SB]]-TabCalc[[#This Row],[SST]],TabCalc[[#This Row],[SB]])</f>
        <v>12500</v>
      </c>
      <c r="H12" s="532" t="str">
        <f ca="1">[1]!RTData[[#This Row],[Ticker_Symbol]]</f>
        <v>BMRA</v>
      </c>
      <c r="I12" s="383">
        <f ca="1">_xlfn.XLOOKUP(TabCalc[[#This Row],[Ticker]],[1]!RTData[Ticker_Symbol],[1]!RTData[M-Price])</f>
        <v>2.2149999999999999</v>
      </c>
      <c r="J12" s="382">
        <v>12.7196</v>
      </c>
      <c r="K12" s="381">
        <f ca="1">_xlfn.XLOOKUP(TabCalc[[#This Row],[Ticker]],[1]!RTData[Ticker_Symbol],[1]!RTData[1YT])</f>
        <v>0</v>
      </c>
      <c r="L12" s="382">
        <f ca="1">IF(OR(TabCalc[[#This Row],[NAfter]]=0,TabCalc[[#This Row],[EfCost]]&gt;0),0,TabCalc[[#This Row],[EfCost]]/TabCalc[[#This Row],[NAfter]]/TabCalc[[#This Row],[Scale]])</f>
        <v>-12.75267096</v>
      </c>
      <c r="M12" s="732">
        <f ca="1">_xlfn.XLOOKUP(TabCalc[[#This Row],[Ticker]],[1]!RTData[Ticker_Symbol],[1]!RTData[Change%])</f>
        <v>-1.5556E-2</v>
      </c>
      <c r="N12" s="1065">
        <v>0.66666666666666663</v>
      </c>
      <c r="O12" s="892">
        <f>TabCalc[[#This Row],[Up20]]-1+TabCalc[[#This Row],[Up20]]</f>
        <v>0.33333333333333326</v>
      </c>
      <c r="P12" s="892">
        <f>TabCalc[[#This Row],[Up20]]-TabCalc[[#This Row],[Up150]]</f>
        <v>0</v>
      </c>
      <c r="Q12" s="892">
        <v>0.66666666666666663</v>
      </c>
      <c r="R12" s="892">
        <f>TabCalc[[#This Row],[Up150]]-1+TabCalc[[#This Row],[Up150]]</f>
        <v>0.33333333333333326</v>
      </c>
      <c r="S12" s="892">
        <f ca="1">IFERROR(SUMPRODUCT(DataShift!F1504:Z1504,DataShift!AB711:AV711)/SQRT(SUMPRODUCT(DataShift!F1504:Z1504,DataShift!F1504:Z1504)*SUMPRODUCT(DataShift!AB711:AV711,DataShift!AB711:AV711)),0)</f>
        <v>-0.91424802813519301</v>
      </c>
      <c r="T12" s="892">
        <f ca="1">IFERROR(SUMPRODUCT(DataShift!F1504:Z1504,DataShift!F712:Z712)/SQRT(SUMPRODUCT(DataShift!F1504:Z1504,DataShift!F1504:Z1504)*SUMPRODUCT(DataShift!F712:Z712,DataShift!F712:Z712)),0)</f>
        <v>0.13920656751672345</v>
      </c>
      <c r="U12" s="1004">
        <v>0</v>
      </c>
      <c r="V12" s="1004">
        <v>12500</v>
      </c>
      <c r="W12" s="1004">
        <v>0</v>
      </c>
      <c r="X12" s="892"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-71,782 = $ -158,998</v>
      </c>
      <c r="Z12" s="211">
        <f ca="1">MIN(TabCalc[[#This Row],[L_Bn]],TabCalc[[#This Row],[NAfter]])*(TabCalc[[#This Row],[M]]+TabCalc[[#This Row],[L_Bp]])*TabCalc[[#This Row],[Scale]]</f>
        <v>-131307.5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-562.49999999999636</v>
      </c>
      <c r="AQ12" s="334">
        <f ca="1">_xlfn.LET(_xlpm.MVToday,DataShift!AV512,         _xlpm.MVY,DataShift!AU513,        _xlpm.MVYY, DataShift!AT513,                                IF(_xlpm.MVToday=_xlpm.MVY,_xlpm.MVY-_xlpm.MVYY,_xlpm.MVToday-_xlpm.MVY))</f>
        <v>-12354.949999999997</v>
      </c>
      <c r="AR12" s="334">
        <f ca="1">_xlfn.LET(_xlpm.MVToday,DataShift!AV512,         _xlpm.MVY,DataShift!AU513,        _xlpm.MVYY, DataShift!AT513,         _xlpm.MVYYY, DataShift!AS513,                      IF(_xlpm.MVToday=_xlpm.MVY,      _xlpm.MVYY-_xlpm.MVYYY,          _xlpm.MVY-_xlpm.MVYY))</f>
        <v>-960</v>
      </c>
      <c r="AS12" s="977">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1.6497235143042414E-2</v>
      </c>
      <c r="BA12" s="90" t="str" cm="1">
        <f t="array" aca="1" ref="BA12" ca="1">IFERROR(_xlfn.IFS(TabCalc[[#This Row],[Cur]]="USD",Timer!F$27,                TabCalc[[#This Row],[Cur]]="EUR",Timer!F$18,                  TabCalc[[#This Row],[Cur]]="GBP",Timer!F$12,                          TabCalc[[#This Row],[Cur]]="CAD",Timer!F$27,                TabCalc[[#This Row],[Cur]]="JPY",Timer!F$31,                      TabCalc[[#This Row],[Cur]]="CHF",Timer!F$18),"Timing")</f>
        <v>Closed</v>
      </c>
      <c r="BB12" s="90">
        <f ca="1">IF(ISNUMBER(TabCalc[[#This Row],[TimeEX]]),TabCalc[[#This Row],[V/VA]]/TabCalc[[#This Row],[TimeEX]],TabCalc[[#This Row],[V/VA]])</f>
        <v>1.6497235143042414E-2</v>
      </c>
      <c r="BC12" s="87" cm="1">
        <f t="array" aca="1" ref="BC12" ca="1">INDEX(TabReg[], 1, _xlfn.XMATCH(TabCalc[[#This Row],[Ticker]]&amp;1, TabReg[#Headers], 0))</f>
        <v>12500</v>
      </c>
      <c r="BD12" s="159">
        <f ca="1">TabCalc[[#This Row],[Nbegin]]*TabCalc[[#This Row],[M]]*TabCalc[[#This Row],[Scale]]+TabCalc[[#This Row],[ValueBegin]]</f>
        <v>-70323</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-55591.162199999992</v>
      </c>
      <c r="BH12" s="336">
        <f ca="1">TabCalc[[#This Row],[M_V]]+TabCalc[[#This Row],[ValueBegin]]</f>
        <v>-75860.5</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12" s="159" cm="1">
        <f t="array" aca="1" ref="BK12" ca="1">SUMPRODUCT(ISNUMBER(INDIRECT("TabReg["&amp;TabCalc[[#This Row],[Ticker]]&amp;"2]"))* INDIRECT("TabReg["&amp;TabCalc[[#This Row],[Ticker]]&amp;"1]") * INDIRECT("TabReg["&amp;TabCalc[[#This Row],[Ticker]]&amp;"2]") )*TabCalc[[#This Row],[Scale]]*(1+Commission)</f>
        <v>-159408.38699999999</v>
      </c>
      <c r="BL12" s="159">
        <f ca="1">TabCalc[[#This Row],[M_V]]*(1-Commission)+TabCalc[[#This Row],[EfCost]]</f>
        <v>-131792.87449999998</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45980.719461457811</v>
      </c>
      <c r="BT12" s="175">
        <f ca="1">(TabCalc[[#This Row],[ValueBegin]]+(TabCalc[[#This Row],[M]]-TabCalc[[#This Row],[A]])*TabCalc[[#This Row],[NAfter]])*TabCalc[[#This Row],[Scale]]</f>
        <v>-234855.5</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-131307.5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-131307.5</v>
      </c>
      <c r="DB12" s="90">
        <f ca="1">IFERROR((TabCalc[[#This Row],[M]]+TabCalc[[#This Row],[L_Bp]])/ABS(TabCalc[[#This Row],[L_Bp]])/(TODAY()-TabCalc[[#This Row],[L_Bdate]])*360,"")</f>
        <v>-5.4692669122628497E-2</v>
      </c>
      <c r="DC12" s="310">
        <f ca="1">MEDIAN(DataShift!F712:Z712)</f>
        <v>-1.5015000000000001E-2</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33225</v>
      </c>
      <c r="DF12" s="87" cm="1">
        <f t="array" aca="1" ref="DF12" ca="1">SUMPRODUCT(ISNUMBER(INDIRECT("TabReg["&amp;TabCalc[[#This Row],[Ticker]]&amp;"2]"))* INDIRECT("TabReg["&amp;TabCalc[[#This Row],[Ticker]]&amp;"1]") * INDIRECT("TabReg["&amp;TabCalc[[#This Row],[Ticker]]&amp;"2]") )*TabCalc[[#This Row],[Scale]]</f>
        <v>-158995</v>
      </c>
      <c r="DI12" s="87">
        <f ca="1"/>
        <v>765000</v>
      </c>
      <c r="DJ12" s="90">
        <f t="shared" ca="1" si="2"/>
        <v>0.67433540765986699</v>
      </c>
      <c r="DK12" t="str">
        <f ca="1">_xlfn.XLOOKUP(DI12,TabCalc[Column1],TabCalc[Ticker])</f>
        <v>JBEOAN</v>
      </c>
      <c r="DL12" s="87">
        <f ca="1">_xlfn.XLOOKUP(DK12,TabCalc[Ticker],TabCalc[ValueBegin])</f>
        <v>-451000</v>
      </c>
      <c r="DM12" s="87">
        <f ca="1">_xlfn.XLOOKUP(DK12,TabCalc[Ticker],TabCalc[M_V])</f>
        <v>321300</v>
      </c>
      <c r="DN12" s="87">
        <f ca="1">_xlfn.XLOOKUP(DK12,TabCalc[Ticker],TabCalc[GL])</f>
        <v>304125.26885460003</v>
      </c>
      <c r="DO12" s="90"/>
      <c r="DP12" s="90"/>
      <c r="DQ12" s="88" t="s">
        <v>9</v>
      </c>
      <c r="DR12" s="81">
        <v>5000</v>
      </c>
      <c r="DS12" s="315">
        <v>-39.770000000000003</v>
      </c>
      <c r="DU12" s="82">
        <v>31000</v>
      </c>
      <c r="DV12" s="82">
        <f ca="1">DU12-TabCalc[[#This Row],[M_V]]</f>
        <v>3312.5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42">
        <f ca="1">_xlfn.XLOOKUP(TabCalc[[#This Row],[Ticker]],DQ$3:DQ$96,DS$3:DS$96)</f>
        <v>-49.07</v>
      </c>
      <c r="E13" s="121">
        <f t="shared" ca="1" si="0"/>
        <v>-4907</v>
      </c>
      <c r="F13" s="82">
        <f ca="1">TabCalc[[#This Row],[NAfter]]*TabCalc[[#This Row],[M]]*TabCalc[[#This Row],[Scale]]</f>
        <v>10458</v>
      </c>
      <c r="G13" s="82">
        <f ca="1">IFERROR(TabCalc[[#This Row],[SB]]-TabCalc[[#This Row],[SST]],TabCalc[[#This Row],[SB]])</f>
        <v>105</v>
      </c>
      <c r="H13" s="532" t="str">
        <f ca="1">[1]!RTData[[#This Row],[Ticker_Symbol]]</f>
        <v>C</v>
      </c>
      <c r="I13" s="383">
        <f ca="1">_xlfn.XLOOKUP(TabCalc[[#This Row],[Ticker]],[1]!RTData[Ticker_Symbol],[1]!RTData[M-Price])</f>
        <v>99.6</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1.3019000000000001E-2</v>
      </c>
      <c r="N13" s="1065">
        <v>0</v>
      </c>
      <c r="O13" s="892">
        <f>TabCalc[[#This Row],[Up20]]-1+TabCalc[[#This Row],[Up20]]</f>
        <v>-1</v>
      </c>
      <c r="P13" s="892">
        <f>TabCalc[[#This Row],[Up20]]-TabCalc[[#This Row],[Up150]]</f>
        <v>-0.7142857142857143</v>
      </c>
      <c r="Q13" s="892">
        <v>0.7142857142857143</v>
      </c>
      <c r="R13" s="892">
        <f>TabCalc[[#This Row],[Up150]]-1+TabCalc[[#This Row],[Up150]]</f>
        <v>0.4285714285714286</v>
      </c>
      <c r="S13" s="892">
        <f ca="1">IFERROR(SUMPRODUCT(DataShift!F1505:Z1505,DataShift!AB712:AV712)/SQRT(SUMPRODUCT(DataShift!F1505:Z1505,DataShift!F1505:Z1505)*SUMPRODUCT(DataShift!AB712:AV712,DataShift!AB712:AV712)),0)</f>
        <v>-0.8705880414715178</v>
      </c>
      <c r="T13" s="892">
        <f ca="1">IFERROR(SUMPRODUCT(DataShift!F1505:Z1505,DataShift!F713:Z713)/SQRT(SUMPRODUCT(DataShift!F1505:Z1505,DataShift!F1505:Z1505)*SUMPRODUCT(DataShift!F713:Z713,DataShift!F713:Z713)),0)</f>
        <v>0.2974067251554427</v>
      </c>
      <c r="U13" s="1004">
        <v>5</v>
      </c>
      <c r="V13" s="1004">
        <v>100</v>
      </c>
      <c r="W13" s="1004">
        <v>0</v>
      </c>
      <c r="X13" s="892"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-133.00000000000125</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3869.2499999999995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-211.37499999999946</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-8464.9999999999964</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140.69999999999891</v>
      </c>
      <c r="AQ13" s="334">
        <f ca="1">_xlfn.LET(_xlpm.MVToday,DataShift!AV513,         _xlpm.MVY,DataShift!AU514,        _xlpm.MVYY, DataShift!AT514,                                IF(_xlpm.MVToday=_xlpm.MVY,_xlpm.MVY-_xlpm.MVYY,_xlpm.MVToday-_xlpm.MVY))</f>
        <v>29152.5</v>
      </c>
      <c r="AR13" s="334">
        <f ca="1">_xlfn.LET(_xlpm.MVToday,DataShift!AV513,         _xlpm.MVY,DataShift!AU514,        _xlpm.MVYY, DataShift!AT514,         _xlpm.MVYYY, DataShift!AS514,                      IF(_xlpm.MVToday=_xlpm.MVY,      _xlpm.MVYY-_xlpm.MVYYY,          _xlpm.MVY-_xlpm.MVYY))</f>
        <v>-437.5</v>
      </c>
      <c r="AS13" s="977">
        <f ca="1">TabCalc[[#This Row],[Y]]/TabCalc[[#This Row],[M]]</f>
        <v>1.1421877510040161</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-0.25067348276984358</v>
      </c>
      <c r="AY13" s="82">
        <f t="shared" ca="1" si="1"/>
        <v>0</v>
      </c>
      <c r="AZ13" s="90">
        <f ca="1">_xlfn.XLOOKUP(TabCalc[[#This Row],[Ticker]],[1]!RTData[Ticker_Symbol],[1]!RTData[V/VA])</f>
        <v>0.30231117846724859</v>
      </c>
      <c r="BA13" s="90" t="str" cm="1">
        <f t="array" aca="1" ref="BA13" ca="1">IFERROR(_xlfn.IFS(TabCalc[[#This Row],[Cur]]="USD",Timer!F$27,                TabCalc[[#This Row],[Cur]]="EUR",Timer!F$18,                  TabCalc[[#This Row],[Cur]]="GBP",Timer!F$12,                          TabCalc[[#This Row],[Cur]]="CAD",Timer!F$27,                TabCalc[[#This Row],[Cur]]="JPY",Timer!F$31,                      TabCalc[[#This Row],[Cur]]="CHF",Timer!F$18),"Timing")</f>
        <v>Closed</v>
      </c>
      <c r="BB13" s="90">
        <f ca="1">IF(ISNUMBER(TabCalc[[#This Row],[TimeEX]]),TabCalc[[#This Row],[V/VA]]/TabCalc[[#This Row],[TimeEX]],TabCalc[[#This Row],[V/VA]])</f>
        <v>0.30231117846724859</v>
      </c>
      <c r="BC13" s="87" cm="1">
        <f t="array" aca="1" ref="BC13" ca="1">INDEX(TabReg[], 1, _xlfn.XMATCH(TabCalc[[#This Row],[Ticker]]&amp;1, TabReg[#Headers], 0))</f>
        <v>100</v>
      </c>
      <c r="BD13" s="159">
        <f ca="1">TabCalc[[#This Row],[Nbegin]]*TabCalc[[#This Row],[M]]*TabCalc[[#This Row],[Scale]]+TabCalc[[#This Row],[ValueBegin]]</f>
        <v>5053</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5551</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K13" s="159" cm="1">
        <f t="array" aca="1" ref="BK13" ca="1">SUMPRODUCT(ISNUMBER(INDIRECT("TabReg["&amp;TabCalc[[#This Row],[Ticker]]&amp;"2]"))* INDIRECT("TabReg["&amp;TabCalc[[#This Row],[Ticker]]&amp;"1]") * INDIRECT("TabReg["&amp;TabCalc[[#This Row],[Ticker]]&amp;"2]") )*TabCalc[[#This Row],[Scale]]*(1+Commission)</f>
        <v>29984.121549000003</v>
      </c>
      <c r="BL13" s="159">
        <f ca="1">TabCalc[[#This Row],[M_V]]*(1-Commission)+TabCalc[[#This Row],[EfCost]]</f>
        <v>40414.930749000006</v>
      </c>
      <c r="BM13" s="159">
        <f ca="1">IF(        OR( TabCalc[[#This Row],[GL]]&gt;ABS(TabCalc[[#This Row],[EfCost]]),TabCalc[[#This Row],[NAfter]]=0),             TabCalc[[#This Row],[GL]],     0)</f>
        <v>40414.930749000006</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45980.727282267966</v>
      </c>
      <c r="BT13" s="175">
        <f ca="1">(TabCalc[[#This Row],[ValueBegin]]+(TabCalc[[#This Row],[M]]-TabCalc[[#This Row],[A]])*TabCalc[[#This Row],[NAfter]])*TabCalc[[#This Row],[Scale]]</f>
        <v>-4855.7500000000009</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51.249999999998792</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51.249999999998792</v>
      </c>
      <c r="DB13" s="90">
        <f ca="1">IFERROR((TabCalc[[#This Row],[M]]+TabCalc[[#This Row],[L_Bp]])/ABS(TabCalc[[#This Row],[L_Bp]])/(TODAY()-TabCalc[[#This Row],[L_Bdate]])*360,"")</f>
        <v>-0.3162587932230288</v>
      </c>
      <c r="DC13" s="310">
        <f ca="1">MEDIAN(DataShift!F713:Z713)</f>
        <v>-1.0135E-2</v>
      </c>
      <c r="DD13" s="310" t="e"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3" s="87">
        <f ca="1">TabCalc[[#This Row],[Nbegin]]*TabCalc[[#This Row],[Scale]]*TabCalc[[#This Row],[M]]</f>
        <v>9960</v>
      </c>
      <c r="DF13" s="87" cm="1">
        <f t="array" aca="1" ref="DF13" ca="1">SUMPRODUCT(ISNUMBER(INDIRECT("TabReg["&amp;TabCalc[[#This Row],[Ticker]]&amp;"2]"))* INDIRECT("TabReg["&amp;TabCalc[[#This Row],[Ticker]]&amp;"1]") * INDIRECT("TabReg["&amp;TabCalc[[#This Row],[Ticker]]&amp;"2]") )*TabCalc[[#This Row],[Scale]]</f>
        <v>29906.365000000005</v>
      </c>
      <c r="DI13" s="87">
        <f ca="1"/>
        <v>755200</v>
      </c>
      <c r="DJ13" s="90">
        <f t="shared" ca="1" si="2"/>
        <v>0.53607391265060234</v>
      </c>
      <c r="DK13" t="str">
        <f ca="1">_xlfn.XLOOKUP(DI13,TabCalc[Column1],TabCalc[Ticker])</f>
        <v>SAFIAG</v>
      </c>
      <c r="DL13" s="87">
        <f ca="1">_xlfn.XLOOKUP(DK13,TabCalc[Ticker],TabCalc[ValueBegin])</f>
        <v>-332000</v>
      </c>
      <c r="DM13" s="87">
        <f ca="1">_xlfn.XLOOKUP(DK13,TabCalc[Ticker],TabCalc[M_V])</f>
        <v>0</v>
      </c>
      <c r="DN13" s="87">
        <f ca="1">_xlfn.XLOOKUP(DK13,TabCalc[Ticker],TabCalc[GL])</f>
        <v>177976.53899999999</v>
      </c>
      <c r="DO13" s="90"/>
      <c r="DP13" s="90"/>
      <c r="DQ13" s="88" t="s">
        <v>10</v>
      </c>
      <c r="DR13" s="81">
        <v>2000</v>
      </c>
      <c r="DS13" s="315">
        <v>-108.31</v>
      </c>
      <c r="DU13" s="82">
        <v>505.09999999999997</v>
      </c>
      <c r="DV13" s="82">
        <f ca="1">DU13-TabCalc[[#This Row],[M_V]]</f>
        <v>-9952.9</v>
      </c>
    </row>
    <row r="14" spans="1:126" x14ac:dyDescent="0.3">
      <c r="A14" s="120" t="str">
        <f ca="1">_xlfn.XLOOKUP(TabCalc[[#This Row],[Ticker]],[1]!RTData[Ticker_Symbol],[1]!RTData[Currency])</f>
        <v>USD</v>
      </c>
      <c r="B14" s="121">
        <f ca="1">IF(TabCalc[[#This Row],[Cur]]="GBP",0.01,1)</f>
        <v>1</v>
      </c>
      <c r="C14" s="82">
        <f ca="1">_xlfn.XLOOKUP(TabCalc[[#This Row],[Ticker]],DQ$3:DQ$96,DR$3:DR$96)</f>
        <v>5000</v>
      </c>
      <c r="D14" s="1142">
        <f ca="1">_xlfn.XLOOKUP(TabCalc[[#This Row],[Ticker]],DQ$3:DQ$96,DS$3:DS$96)</f>
        <v>-39.770000000000003</v>
      </c>
      <c r="E14" s="121">
        <f t="shared" ca="1" si="0"/>
        <v>-198850.00000000003</v>
      </c>
      <c r="F14" s="82">
        <f ca="1">TabCalc[[#This Row],[NAfter]]*TabCalc[[#This Row],[M]]*TabCalc[[#This Row],[Scale]]</f>
        <v>78273.600000000006</v>
      </c>
      <c r="G14" s="82">
        <f ca="1">IFERROR(TabCalc[[#This Row],[SB]]-TabCalc[[#This Row],[SST]],TabCalc[[#This Row],[SB]])</f>
        <v>1000</v>
      </c>
      <c r="H14" s="532" t="str">
        <f ca="1">[1]!RTData[[#This Row],[Ticker_Symbol]]</f>
        <v>CSCO</v>
      </c>
      <c r="I14" s="383">
        <f ca="1">_xlfn.XLOOKUP(TabCalc[[#This Row],[Ticker]],[1]!RTData[Ticker_Symbol],[1]!RTData[M-Price])</f>
        <v>78.273600000000002</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1.1679E-2</v>
      </c>
      <c r="N14" s="1065">
        <v>0</v>
      </c>
      <c r="O14" s="892">
        <f>TabCalc[[#This Row],[Up20]]-1+TabCalc[[#This Row],[Up20]]</f>
        <v>-1</v>
      </c>
      <c r="P14" s="892">
        <f>TabCalc[[#This Row],[Up20]]-TabCalc[[#This Row],[Up150]]</f>
        <v>-0.25</v>
      </c>
      <c r="Q14" s="892">
        <v>0.25</v>
      </c>
      <c r="R14" s="892">
        <f>TabCalc[[#This Row],[Up150]]-1+TabCalc[[#This Row],[Up150]]</f>
        <v>-0.5</v>
      </c>
      <c r="S14" s="892">
        <f ca="1">IFERROR(SUMPRODUCT(DataShift!F1506:Z1506,DataShift!AB713:AV713)/SQRT(SUMPRODUCT(DataShift!F1506:Z1506,DataShift!F1506:Z1506)*SUMPRODUCT(DataShift!AB713:AV713,DataShift!AB713:AV713)),0)</f>
        <v>-0.7746948738093512</v>
      </c>
      <c r="T14" s="892">
        <f ca="1">IFERROR(SUMPRODUCT(DataShift!F1506:Z1506,DataShift!F714:Z714)/SQRT(SUMPRODUCT(DataShift!F1506:Z1506,DataShift!F1506:Z1506)*SUMPRODUCT(DataShift!F714:Z714,DataShift!F714:Z714)),0)</f>
        <v>8.5829166536721083E-2</v>
      </c>
      <c r="U14" s="1004">
        <v>1000</v>
      </c>
      <c r="V14" s="1004">
        <v>0</v>
      </c>
      <c r="W14" s="1004">
        <v>0</v>
      </c>
      <c r="X14" s="892"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11073.599999999999</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19338.599999999999</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-8933.5999999999985</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-9953.6000000000095</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1023.6000000000058</v>
      </c>
      <c r="AQ14" s="334">
        <f ca="1">_xlfn.LET(_xlpm.MVToday,DataShift!AV514,         _xlpm.MVY,DataShift!AU515,        _xlpm.MVYY, DataShift!AT515,                                IF(_xlpm.MVToday=_xlpm.MVY,_xlpm.MVY-_xlpm.MVYY,_xlpm.MVToday-_xlpm.MVY))</f>
        <v>17229.5</v>
      </c>
      <c r="AR14" s="334">
        <f ca="1">_xlfn.LET(_xlpm.MVToday,DataShift!AV514,         _xlpm.MVY,DataShift!AU515,        _xlpm.MVYY, DataShift!AT515,         _xlpm.MVYYY, DataShift!AS515,                      IF(_xlpm.MVToday=_xlpm.MVY,      _xlpm.MVYY-_xlpm.MVYYY,          _xlpm.MVY-_xlpm.MVYY))</f>
        <v>134.40000000000146</v>
      </c>
      <c r="AS14" s="977">
        <f ca="1">TabCalc[[#This Row],[Y]]/TabCalc[[#This Row],[M]]</f>
        <v>0.97467025919339334</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1.3051181566929072E-3</v>
      </c>
      <c r="AY14" s="82">
        <f t="shared" ca="1" si="1"/>
        <v>4000</v>
      </c>
      <c r="AZ14" s="90">
        <f ca="1">_xlfn.XLOOKUP(TabCalc[[#This Row],[Ticker]],[1]!RTData[Ticker_Symbol],[1]!RTData[V/VA])</f>
        <v>0.40983121293491032</v>
      </c>
      <c r="BA14" s="90" t="str" cm="1">
        <f t="array" aca="1" ref="BA14" ca="1">IFERROR(_xlfn.IFS(TabCalc[[#This Row],[Cur]]="USD",Timer!F$27,                TabCalc[[#This Row],[Cur]]="EUR",Timer!F$18,                  TabCalc[[#This Row],[Cur]]="GBP",Timer!F$12,                          TabCalc[[#This Row],[Cur]]="CAD",Timer!F$27,                TabCalc[[#This Row],[Cur]]="JPY",Timer!F$31,                      TabCalc[[#This Row],[Cur]]="CHF",Timer!F$18),"Timing")</f>
        <v>Closed</v>
      </c>
      <c r="BB14" s="90">
        <f ca="1">IF(ISNUMBER(TabCalc[[#This Row],[TimeEX]]),TabCalc[[#This Row],[V/VA]]/TabCalc[[#This Row],[TimeEX]],TabCalc[[#This Row],[V/VA]])</f>
        <v>0.40983121293491032</v>
      </c>
      <c r="BC14" s="87" cm="1">
        <f t="array" aca="1" ref="BC14" ca="1">INDEX(TabReg[], 1, _xlfn.XMATCH(TabCalc[[#This Row],[Ticker]]&amp;1, TabReg[#Headers], 0))</f>
        <v>5000</v>
      </c>
      <c r="BD14" s="159">
        <f ca="1">TabCalc[[#This Row],[Nbegin]]*TabCalc[[#This Row],[M]]*TabCalc[[#This Row],[Scale]]+TabCalc[[#This Row],[ValueBegin]]</f>
        <v>192517.99999999997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-120576.40000000002</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K14" s="159" cm="1">
        <f t="array" aca="1" ref="BK14" ca="1">SUMPRODUCT(ISNUMBER(INDIRECT("TabReg["&amp;TabCalc[[#This Row],[Ticker]]&amp;"2]"))* INDIRECT("TabReg["&amp;TabCalc[[#This Row],[Ticker]]&amp;"1]") * INDIRECT("TabReg["&amp;TabCalc[[#This Row],[Ticker]]&amp;"2]") )*TabCalc[[#This Row],[Scale]]*(1+Commission)</f>
        <v>60796.511009999958</v>
      </c>
      <c r="BL14" s="159">
        <f ca="1">TabCalc[[#This Row],[M_V]]*(1-Commission)+TabCalc[[#This Row],[EfCost]]</f>
        <v>138866.59964999996</v>
      </c>
      <c r="BM14" s="159">
        <f ca="1">IF(        OR( TabCalc[[#This Row],[GL]]&gt;ABS(TabCalc[[#This Row],[EfCost]]),TabCalc[[#This Row],[NAfter]]=0),             TabCalc[[#This Row],[GL]],     0)</f>
        <v>138866.59964999996</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45980.727344305466</v>
      </c>
      <c r="BT14" s="175">
        <f ca="1">(TabCalc[[#This Row],[ValueBegin]]+(TabCalc[[#This Row],[M]]-TabCalc[[#This Row],[A]])*TabCalc[[#This Row],[NAfter]])*TabCalc[[#This Row],[Scale]]</f>
        <v>-187776.40000000002</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11073.599999999999</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451.52434619274675</v>
      </c>
      <c r="CX14" s="405">
        <f ca="1">TabCalc[[#This Row],[ntoSell]]*TabCalc[[#This Row],[M]]</f>
        <v>35342.436064152585</v>
      </c>
      <c r="CY14" s="398">
        <f ca="1">_xlfn.LET(_xlpm.nToSell,IF(TabCalc[[#This Row],[M]]-TabCalc[[#This Row],[A]]&lt;=0,"",INT(DesiredSaleGain/(TabCalc[[#This Row],[M]]-IF(TabCalc[[#This Row],[E]]&gt;0,0,TabCalc[[#This Row],[A]])))),IF(_xlpm.nToSell&lt;=TabCalc[[#This Row],[NAfter]],_xlpm.nToSell,0))</f>
        <v>451</v>
      </c>
      <c r="CZ14" s="336">
        <f ca="1">IFERROR(TabCalc[[#This Row],[NMA]]*TabCalc[[#This Row],[M]],"")</f>
        <v>35301.393600000003</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11073.599999999999</v>
      </c>
      <c r="DB14" s="90">
        <f ca="1">IFERROR((TabCalc[[#This Row],[M]]+TabCalc[[#This Row],[L_Bp]])/ABS(TabCalc[[#This Row],[L_Bp]])/(TODAY()-TabCalc[[#This Row],[L_Bdate]])*360,"")</f>
        <v>1.0985714285714285</v>
      </c>
      <c r="DC14" s="310">
        <f ca="1">MEDIAN(DataShift!F714:Z714)</f>
        <v>3.738E-3</v>
      </c>
      <c r="DD14" s="310" t="e"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4" s="87">
        <f ca="1">TabCalc[[#This Row],[Nbegin]]*TabCalc[[#This Row],[Scale]]*TabCalc[[#This Row],[M]]</f>
        <v>391368</v>
      </c>
      <c r="DF14" s="87" cm="1">
        <f t="array" aca="1" ref="DF14" ca="1">SUMPRODUCT(ISNUMBER(INDIRECT("TabReg["&amp;TabCalc[[#This Row],[Ticker]]&amp;"2]"))* INDIRECT("TabReg["&amp;TabCalc[[#This Row],[Ticker]]&amp;"1]") * INDIRECT("TabReg["&amp;TabCalc[[#This Row],[Ticker]]&amp;"2]") )*TabCalc[[#This Row],[Scale]]</f>
        <v>60638.849999999962</v>
      </c>
      <c r="DI14" s="87">
        <f ca="1"/>
        <v>752881.5</v>
      </c>
      <c r="DJ14" s="90">
        <f t="shared" ca="1" si="2"/>
        <v>0.82129719101123599</v>
      </c>
      <c r="DK14" t="str">
        <f ca="1">_xlfn.XLOOKUP(DI14,TabCalc[Column1],TabCalc[Ticker])</f>
        <v>LOCK</v>
      </c>
      <c r="DL14" s="87">
        <f ca="1">_xlfn.XLOOKUP(DK14,TabCalc[Ticker],TabCalc[ValueBegin])</f>
        <v>-411714</v>
      </c>
      <c r="DM14" s="87">
        <f ca="1">_xlfn.XLOOKUP(DK14,TabCalc[Ticker],TabCalc[M_V])</f>
        <v>752881.5</v>
      </c>
      <c r="DN14" s="87">
        <f ca="1">_xlfn.XLOOKUP(DK14,TabCalc[Ticker],TabCalc[GL])</f>
        <v>338139.55170000001</v>
      </c>
      <c r="DO14" s="90"/>
      <c r="DP14" s="90"/>
      <c r="DQ14" s="88" t="s">
        <v>11</v>
      </c>
      <c r="DR14" s="82">
        <v>40000</v>
      </c>
      <c r="DS14" s="315">
        <v>-10.359875000000001</v>
      </c>
      <c r="DU14" s="82">
        <v>72320</v>
      </c>
      <c r="DV14" s="82">
        <f ca="1">DU14-TabCalc[[#This Row],[M_V]]</f>
        <v>-5953.6000000000058</v>
      </c>
    </row>
    <row r="15" spans="1:126" x14ac:dyDescent="0.3">
      <c r="A15" s="120" t="str">
        <f ca="1">_xlfn.XLOOKUP(TabCalc[[#This Row],[Ticker]],[1]!RTData[Ticker_Symbol],[1]!RTData[Currency])</f>
        <v>USD</v>
      </c>
      <c r="B15" s="121">
        <f ca="1">IF(TabCalc[[#This Row],[Cur]]="GBP",0.01,1)</f>
        <v>1</v>
      </c>
      <c r="C15" s="82">
        <f ca="1">_xlfn.XLOOKUP(TabCalc[[#This Row],[Ticker]],DQ$3:DQ$96,DR$3:DR$96)</f>
        <v>2000</v>
      </c>
      <c r="D15" s="1142">
        <f ca="1">_xlfn.XLOOKUP(TabCalc[[#This Row],[Ticker]],DQ$3:DQ$96,DS$3:DS$96)</f>
        <v>-108.31</v>
      </c>
      <c r="E15" s="121">
        <f t="shared" ca="1" si="0"/>
        <v>-216620</v>
      </c>
      <c r="F15" s="82">
        <f ca="1">TabCalc[[#This Row],[NAfter]]*TabCalc[[#This Row],[M]]*TabCalc[[#This Row],[Scale]]</f>
        <v>76.42</v>
      </c>
      <c r="G15" s="82">
        <f ca="1">IFERROR(TabCalc[[#This Row],[SB]]-TabCalc[[#This Row],[SST]],TabCalc[[#This Row],[SB]])</f>
        <v>1</v>
      </c>
      <c r="H15" s="532" t="str">
        <f ca="1">[1]!RTData[[#This Row],[Ticker_Symbol]]</f>
        <v>CVS</v>
      </c>
      <c r="I15" s="383">
        <f ca="1">_xlfn.XLOOKUP(TabCalc[[#This Row],[Ticker]],[1]!RTData[Ticker_Symbol],[1]!RTData[M-Price])</f>
        <v>76.42</v>
      </c>
      <c r="J15" s="382">
        <v>56.056190000000001</v>
      </c>
      <c r="K15" s="381">
        <f ca="1">_xlfn.XLOOKUP(TabCalc[[#This Row],[Ticker]],[1]!RTData[Ticker_Symbol],[1]!RTData[1YT])</f>
        <v>90.48</v>
      </c>
      <c r="L15" s="382">
        <f ca="1">IF(OR(TabCalc[[#This Row],[NAfter]]=0,TabCalc[[#This Row],[EfCost]]&gt;0),0,TabCalc[[#This Row],[EfCost]]/TabCalc[[#This Row],[NAfter]]/TabCalc[[#This Row],[Scale]])</f>
        <v>-44640.328868999997</v>
      </c>
      <c r="M15" s="732">
        <f ca="1">_xlfn.XLOOKUP(TabCalc[[#This Row],[Ticker]],[1]!RTData[Ticker_Symbol],[1]!RTData[Change%])</f>
        <v>-1.9501999999999999E-2</v>
      </c>
      <c r="N15" s="1065">
        <v>0</v>
      </c>
      <c r="O15" s="892">
        <f>TabCalc[[#This Row],[Up20]]-1+TabCalc[[#This Row],[Up20]]</f>
        <v>-1</v>
      </c>
      <c r="P15" s="892">
        <f>TabCalc[[#This Row],[Up20]]-TabCalc[[#This Row],[Up150]]</f>
        <v>-0.5</v>
      </c>
      <c r="Q15" s="892">
        <v>0.5</v>
      </c>
      <c r="R15" s="892">
        <f>TabCalc[[#This Row],[Up150]]-1+TabCalc[[#This Row],[Up150]]</f>
        <v>0</v>
      </c>
      <c r="S15" s="892">
        <f ca="1">IFERROR(SUMPRODUCT(DataShift!F1507:Z1507,DataShift!AB714:AV714)/SQRT(SUMPRODUCT(DataShift!F1507:Z1507,DataShift!F1507:Z1507)*SUMPRODUCT(DataShift!AB714:AV714,DataShift!AB714:AV714)),0)</f>
        <v>-0.40944405626967006</v>
      </c>
      <c r="T15" s="892">
        <f ca="1">IFERROR(SUMPRODUCT(DataShift!F1507:Z1507,DataShift!F715:Z715)/SQRT(SUMPRODUCT(DataShift!F1507:Z1507,DataShift!F1507:Z1507)*SUMPRODUCT(DataShift!F715:Z715,DataShift!F715:Z715)),0)</f>
        <v>-7.2161592173330666E-2</v>
      </c>
      <c r="U15" s="1004">
        <v>1</v>
      </c>
      <c r="V15" s="1004">
        <v>0</v>
      </c>
      <c r="W15" s="1004">
        <v>0</v>
      </c>
      <c r="X15" s="892"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20.363810000000001</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30.18</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-432.01499999999987</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-10263.750000000002</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-1.4849999999999994</v>
      </c>
      <c r="AQ15" s="334">
        <f ca="1">_xlfn.LET(_xlpm.MVToday,DataShift!AV515,         _xlpm.MVY,DataShift!AU516,        _xlpm.MVYY, DataShift!AT516,                                IF(_xlpm.MVToday=_xlpm.MVY,_xlpm.MVY-_xlpm.MVYY,_xlpm.MVToday-_xlpm.MVY))</f>
        <v>-67815.600000000006</v>
      </c>
      <c r="AR15" s="334">
        <f ca="1">_xlfn.LET(_xlpm.MVToday,DataShift!AV515,         _xlpm.MVY,DataShift!AU516,        _xlpm.MVYY, DataShift!AT516,         _xlpm.MVYYY, DataShift!AS516,                      IF(_xlpm.MVToday=_xlpm.MVY,      _xlpm.MVYY-_xlpm.MVYYY,          _xlpm.MVY-_xlpm.MVYY))</f>
        <v>903.60000000000582</v>
      </c>
      <c r="AS15" s="977">
        <f ca="1">TabCalc[[#This Row],[Y]]/TabCalc[[#This Row],[M]]</f>
        <v>1.1839832504579952</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-0.40197249436602756</v>
      </c>
      <c r="AY15" s="82">
        <f t="shared" ca="1" si="1"/>
        <v>1999</v>
      </c>
      <c r="AZ15" s="90">
        <f ca="1">_xlfn.XLOOKUP(TabCalc[[#This Row],[Ticker]],[1]!RTData[Ticker_Symbol],[1]!RTData[V/VA])</f>
        <v>0.28707137293814855</v>
      </c>
      <c r="BA15" s="90" t="str" cm="1">
        <f t="array" aca="1" ref="BA15" ca="1">IFERROR(_xlfn.IFS(TabCalc[[#This Row],[Cur]]="USD",Timer!F$27,                TabCalc[[#This Row],[Cur]]="EUR",Timer!F$18,                  TabCalc[[#This Row],[Cur]]="GBP",Timer!F$12,                          TabCalc[[#This Row],[Cur]]="CAD",Timer!F$27,                TabCalc[[#This Row],[Cur]]="JPY",Timer!F$31,                      TabCalc[[#This Row],[Cur]]="CHF",Timer!F$18),"Timing")</f>
        <v>Closed</v>
      </c>
      <c r="BB15" s="90">
        <f ca="1">IF(ISNUMBER(TabCalc[[#This Row],[TimeEX]]),TabCalc[[#This Row],[V/VA]]/TabCalc[[#This Row],[TimeEX]],TabCalc[[#This Row],[V/VA]])</f>
        <v>0.28707137293814855</v>
      </c>
      <c r="BC15" s="87" cm="1">
        <f t="array" aca="1" ref="BC15" ca="1">INDEX(TabReg[], 1, _xlfn.XMATCH(TabCalc[[#This Row],[Ticker]]&amp;1, TabReg[#Headers], 0))</f>
        <v>2000</v>
      </c>
      <c r="BD15" s="159">
        <f ca="1">TabCalc[[#This Row],[Nbegin]]*TabCalc[[#This Row],[M]]*TabCalc[[#This Row],[Scale]]+TabCalc[[#This Row],[ValueBegin]]</f>
        <v>-63780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-216543.58</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K15" s="159" cm="1">
        <f t="array" aca="1" ref="BK15" ca="1">SUMPRODUCT(ISNUMBER(INDIRECT("TabReg["&amp;TabCalc[[#This Row],[Ticker]]&amp;"2]"))* INDIRECT("TabReg["&amp;TabCalc[[#This Row],[Ticker]]&amp;"1]") * INDIRECT("TabReg["&amp;TabCalc[[#This Row],[Ticker]]&amp;"2]") )*TabCalc[[#This Row],[Scale]]*(1+Commission)</f>
        <v>-44640.328868999997</v>
      </c>
      <c r="BL15" s="159">
        <f ca="1">TabCalc[[#This Row],[M_V]]*(1-Commission)+TabCalc[[#This Row],[EfCost]]</f>
        <v>-44564.107560999997</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45980.727293332813</v>
      </c>
      <c r="BT15" s="175">
        <f ca="1">(TabCalc[[#This Row],[ValueBegin]]+(TabCalc[[#This Row],[M]]-TabCalc[[#This Row],[A]])*TabCalc[[#This Row],[NAfter]])*TabCalc[[#This Row],[Scale]]</f>
        <v>-216599.63618999999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20.363810000000001</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76.42</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20.363810000000001</v>
      </c>
      <c r="DB15" s="90">
        <f ca="1">IFERROR((TabCalc[[#This Row],[M]]+TabCalc[[#This Row],[L_Bp]])/ABS(TabCalc[[#This Row],[L_Bp]])/(TODAY()-TabCalc[[#This Row],[L_Bdate]])*360,"")</f>
        <v>0.44182089339189745</v>
      </c>
      <c r="DC15" s="310">
        <f ca="1">MEDIAN(DataShift!F715:Z715)</f>
        <v>5.1229999999999999E-3</v>
      </c>
      <c r="DD15" s="310" t="e"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5" s="87">
        <f ca="1">TabCalc[[#This Row],[Nbegin]]*TabCalc[[#This Row],[Scale]]*TabCalc[[#This Row],[M]]</f>
        <v>152840</v>
      </c>
      <c r="DF15" s="87" cm="1">
        <f t="array" aca="1" ref="DF15" ca="1">SUMPRODUCT(ISNUMBER(INDIRECT("TabReg["&amp;TabCalc[[#This Row],[Ticker]]&amp;"2]"))* INDIRECT("TabReg["&amp;TabCalc[[#This Row],[Ticker]]&amp;"1]") * INDIRECT("TabReg["&amp;TabCalc[[#This Row],[Ticker]]&amp;"2]") )*TabCalc[[#This Row],[Scale]]</f>
        <v>-44524.565000000002</v>
      </c>
      <c r="DI15" s="87">
        <f ca="1"/>
        <v>568200</v>
      </c>
      <c r="DJ15" s="90">
        <f t="shared" ca="1" si="2"/>
        <v>0.40854141199258126</v>
      </c>
      <c r="DK15" t="str">
        <f ca="1">_xlfn.XLOOKUP(DI15,TabCalc[Column1],TabCalc[Ticker])</f>
        <v>MVEGLE</v>
      </c>
      <c r="DL15" s="87">
        <f ca="1">_xlfn.XLOOKUP(DK15,TabCalc[Ticker],TabCalc[ValueBegin])</f>
        <v>-243167</v>
      </c>
      <c r="DM15" s="87">
        <f ca="1">_xlfn.XLOOKUP(DK15,TabCalc[Ticker],TabCalc[M_V])</f>
        <v>397740</v>
      </c>
      <c r="DN15" s="87">
        <f ca="1">_xlfn.XLOOKUP(DK15,TabCalc[Ticker],TabCalc[GL])</f>
        <v>99343.789530000009</v>
      </c>
      <c r="DO15" s="90"/>
      <c r="DP15" s="90"/>
      <c r="DQ15" s="88" t="s">
        <v>12</v>
      </c>
      <c r="DR15" s="81">
        <v>350</v>
      </c>
      <c r="DS15" s="315">
        <v>-170.71425714285715</v>
      </c>
      <c r="DU15" s="82">
        <v>78.084999999999994</v>
      </c>
      <c r="DV15" s="82">
        <f ca="1">DU15-TabCalc[[#This Row],[M_V]]</f>
        <v>1.664999999999992</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42">
        <f ca="1">_xlfn.XLOOKUP(TabCalc[[#This Row],[Ticker]],DQ$3:DQ$96,DS$3:DS$96)</f>
        <v>-10.359875000000001</v>
      </c>
      <c r="E16" s="121">
        <f t="shared" ca="1" si="0"/>
        <v>-414395</v>
      </c>
      <c r="F16" s="82">
        <f ca="1">TabCalc[[#This Row],[NAfter]]*TabCalc[[#This Row],[M]]*TabCalc[[#This Row],[Scale]]</f>
        <v>173825</v>
      </c>
      <c r="G16" s="82">
        <f ca="1">IFERROR(TabCalc[[#This Row],[SB]]-TabCalc[[#This Row],[SST]],TabCalc[[#This Row],[SB]])</f>
        <v>85000</v>
      </c>
      <c r="H16" s="532" t="str">
        <f ca="1">[1]!RTData[[#This Row],[Ticker_Symbol]]</f>
        <v>DDD</v>
      </c>
      <c r="I16" s="383">
        <f ca="1">_xlfn.XLOOKUP(TabCalc[[#This Row],[Ticker]],[1]!RTData[Ticker_Symbol],[1]!RTData[M-Price])</f>
        <v>2.0449999999999999</v>
      </c>
      <c r="J16" s="382">
        <v>2.9870588235294115</v>
      </c>
      <c r="K16" s="381">
        <f ca="1">_xlfn.XLOOKUP(TabCalc[[#This Row],[Ticker]],[1]!RTData[Ticker_Symbol],[1]!RTData[1YT])</f>
        <v>3.25</v>
      </c>
      <c r="L16" s="382">
        <f ca="1">IF(OR(TabCalc[[#This Row],[NAfter]]=0,TabCalc[[#This Row],[EfCost]]&gt;0),0,TabCalc[[#This Row],[EfCost]]/TabCalc[[#This Row],[NAfter]]/TabCalc[[#This Row],[Scale]])</f>
        <v>-6.0464387964705884</v>
      </c>
      <c r="M16" s="732">
        <f ca="1">_xlfn.XLOOKUP(TabCalc[[#This Row],[Ticker]],[1]!RTData[Ticker_Symbol],[1]!RTData[Change%])</f>
        <v>-1.6827000000000002E-2</v>
      </c>
      <c r="N16" s="1065">
        <v>0</v>
      </c>
      <c r="O16" s="892">
        <f>TabCalc[[#This Row],[Up20]]-1+TabCalc[[#This Row],[Up20]]</f>
        <v>-1</v>
      </c>
      <c r="P16" s="892">
        <f>TabCalc[[#This Row],[Up20]]-TabCalc[[#This Row],[Up150]]</f>
        <v>-0.37037037037037035</v>
      </c>
      <c r="Q16" s="892">
        <v>0.37037037037037035</v>
      </c>
      <c r="R16" s="892">
        <f>TabCalc[[#This Row],[Up150]]-1+TabCalc[[#This Row],[Up150]]</f>
        <v>-0.2592592592592593</v>
      </c>
      <c r="S16" s="892">
        <f ca="1">IFERROR(SUMPRODUCT(DataShift!F1508:Z1508,DataShift!AB715:AV715)/SQRT(SUMPRODUCT(DataShift!F1508:Z1508,DataShift!F1508:Z1508)*SUMPRODUCT(DataShift!AB715:AV715,DataShift!AB715:AV715)),0)</f>
        <v>-0.64929764394036604</v>
      </c>
      <c r="T16" s="892">
        <f ca="1">IFERROR(SUMPRODUCT(DataShift!F1508:Z1508,DataShift!F716:Z716)/SQRT(SUMPRODUCT(DataShift!F1508:Z1508,DataShift!F1508:Z1508)*SUMPRODUCT(DataShift!F716:Z716,DataShift!F716:Z716)),0)</f>
        <v>4.8143322668374065E-3</v>
      </c>
      <c r="U16" s="1004">
        <v>20000</v>
      </c>
      <c r="V16" s="1004">
        <v>65000</v>
      </c>
      <c r="W16" s="1004">
        <v>0</v>
      </c>
      <c r="X16" s="892"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2700</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-24225.000000000004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11050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5175.0000000000009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-4675</v>
      </c>
      <c r="AQ16" s="334">
        <f ca="1">_xlfn.LET(_xlpm.MVToday,DataShift!AV516,         _xlpm.MVY,DataShift!AU517,        _xlpm.MVYY, DataShift!AT517,                                IF(_xlpm.MVToday=_xlpm.MVY,_xlpm.MVY-_xlpm.MVYY,_xlpm.MVToday-_xlpm.MVY))</f>
        <v>78197.180000000008</v>
      </c>
      <c r="AR16" s="334">
        <f ca="1">_xlfn.LET(_xlpm.MVToday,DataShift!AV516,         _xlpm.MVY,DataShift!AU517,        _xlpm.MVYY, DataShift!AT517,         _xlpm.MVYYY, DataShift!AS517,                      IF(_xlpm.MVToday=_xlpm.MVY,      _xlpm.MVYY-_xlpm.MVYYY,          _xlpm.MVY-_xlpm.MVYY))</f>
        <v>-1.519999999999996</v>
      </c>
      <c r="AS16" s="977">
        <f ca="1">TabCalc[[#This Row],[Y]]/TabCalc[[#This Row],[M]]</f>
        <v>1.5892420537897312</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-0.2632597517397029</v>
      </c>
      <c r="AY16" s="82">
        <f t="shared" ca="1" si="1"/>
        <v>0</v>
      </c>
      <c r="AZ16" s="90">
        <f ca="1">_xlfn.XLOOKUP(TabCalc[[#This Row],[Ticker]],[1]!RTData[Ticker_Symbol],[1]!RTData[V/VA])</f>
        <v>0.20013259900261549</v>
      </c>
      <c r="BA16" s="90" t="str" cm="1">
        <f t="array" aca="1" ref="BA16" ca="1">IFERROR(_xlfn.IFS(TabCalc[[#This Row],[Cur]]="USD",Timer!F$27,                TabCalc[[#This Row],[Cur]]="EUR",Timer!F$18,                  TabCalc[[#This Row],[Cur]]="GBP",Timer!F$12,                          TabCalc[[#This Row],[Cur]]="CAD",Timer!F$27,                TabCalc[[#This Row],[Cur]]="JPY",Timer!F$31,                      TabCalc[[#This Row],[Cur]]="CHF",Timer!F$18),"Timing")</f>
        <v>Closed</v>
      </c>
      <c r="BB16" s="90">
        <f ca="1">IF(ISNUMBER(TabCalc[[#This Row],[TimeEX]]),TabCalc[[#This Row],[V/VA]]/TabCalc[[#This Row],[TimeEX]],TabCalc[[#This Row],[V/VA]])</f>
        <v>0.20013259900261549</v>
      </c>
      <c r="BC16" s="87" cm="1">
        <f t="array" aca="1" ref="BC16" ca="1">INDEX(TabReg[], 1, _xlfn.XMATCH(TabCalc[[#This Row],[Ticker]]&amp;1, TabReg[#Headers], 0))</f>
        <v>40000</v>
      </c>
      <c r="BD16" s="159">
        <f ca="1">TabCalc[[#This Row],[Nbegin]]*TabCalc[[#This Row],[M]]*TabCalc[[#This Row],[Scale]]+TabCalc[[#This Row],[ValueBegin]]</f>
        <v>-332595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-98474.870700000029</v>
      </c>
      <c r="BH16" s="336">
        <f ca="1">TabCalc[[#This Row],[M_V]]+TabCalc[[#This Row],[ValueBegin]]</f>
        <v>-240570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K16" s="159" cm="1">
        <f t="array" aca="1" ref="BK16" ca="1">SUMPRODUCT(ISNUMBER(INDIRECT("TabReg["&amp;TabCalc[[#This Row],[Ticker]]&amp;"2]"))* INDIRECT("TabReg["&amp;TabCalc[[#This Row],[Ticker]]&amp;"1]") * INDIRECT("TabReg["&amp;TabCalc[[#This Row],[Ticker]]&amp;"2]") )*TabCalc[[#This Row],[Scale]]*(1+Commission)</f>
        <v>-513947.2977</v>
      </c>
      <c r="BL16" s="159">
        <f ca="1">TabCalc[[#This Row],[M_V]]*(1-Commission)+TabCalc[[#This Row],[EfCost]]</f>
        <v>-340574.2427</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8.53</v>
      </c>
      <c r="BR16" s="174" t="str">
        <f ca="1">IF(TabCalc[[#This Row],[EfCost]]+TabCalc[[#This Row],[M_V]]&lt;TabCalc[[#This Row],[NoT_GL]],"Pile","")</f>
        <v>Pile</v>
      </c>
      <c r="BS16" s="165">
        <f ca="1">_xlfn.XLOOKUP(TabCalc[[#This Row],[Ticker]],[1]!RTData[Ticker_Symbol],[1]!RTData[Last trade time])</f>
        <v>45980.727311353905</v>
      </c>
      <c r="BT16" s="175">
        <f ca="1">(TabCalc[[#This Row],[ValueBegin]]+(TabCalc[[#This Row],[M]]-TabCalc[[#This Row],[A]])*TabCalc[[#This Row],[NAfter]])*TabCalc[[#This Row],[Scale]]</f>
        <v>-494470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-80074.999999999985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4524.8868778280548</v>
      </c>
      <c r="CV16" s="404">
        <f ca="1">IF(TabCalc[[#This Row],[ntoBuy]]*TabCalc[[#This Row],[M]]&lt;=0,0,TabCalc[[#This Row],[ntoBuy]]*TabCalc[[#This Row],[M]])</f>
        <v>9253.3936651583717</v>
      </c>
      <c r="CW16" s="404">
        <f ca="1">IF(TabCalc[[#This Row],[M]]&gt;ABS(TabCalc[[#This Row],[L_Bp]]),MIN(TabCalc[[#This Row],[NAfter]],DesiredSaleGain/(TabCalc[[#This Row],[M]]+TabCalc[[#This Row],[L_Bp]])),0)/TabCalc[[#This Row],[Scale]]</f>
        <v>37037.037037037036</v>
      </c>
      <c r="CX16" s="405">
        <f ca="1">TabCalc[[#This Row],[ntoSell]]*TabCalc[[#This Row],[M]]</f>
        <v>75740.74074074073</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-80074.999999999985</v>
      </c>
      <c r="DB16" s="90">
        <f ca="1">IFERROR((TabCalc[[#This Row],[M]]+TabCalc[[#This Row],[L_Bp]])/ABS(TabCalc[[#This Row],[L_Bp]])/(TODAY()-TabCalc[[#This Row],[L_Bdate]])*360,"")</f>
        <v>0.13392119041058143</v>
      </c>
      <c r="DC16" s="310">
        <f ca="1">MEDIAN(DataShift!F716:Z716)</f>
        <v>-8.4830000000000007E-4</v>
      </c>
      <c r="DD16" s="310" t="e"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6" s="87">
        <f ca="1">TabCalc[[#This Row],[Nbegin]]*TabCalc[[#This Row],[Scale]]*TabCalc[[#This Row],[M]]</f>
        <v>81800</v>
      </c>
      <c r="DF16" s="87" cm="1">
        <f t="array" aca="1" ref="DF16" ca="1">SUMPRODUCT(ISNUMBER(INDIRECT("TabReg["&amp;TabCalc[[#This Row],[Ticker]]&amp;"2]"))* INDIRECT("TabReg["&amp;TabCalc[[#This Row],[Ticker]]&amp;"1]") * INDIRECT("TabReg["&amp;TabCalc[[#This Row],[Ticker]]&amp;"2]") )*TabCalc[[#This Row],[Scale]]</f>
        <v>-512614.5</v>
      </c>
      <c r="DI16" s="87">
        <f ca="1"/>
        <v>558980</v>
      </c>
      <c r="DJ16" s="90">
        <f t="shared" ca="1" si="2"/>
        <v>4.3527167959859998</v>
      </c>
      <c r="DK16" t="str">
        <f ca="1">_xlfn.XLOOKUP(DI16,TabCalc[Column1],TabCalc[Ticker])</f>
        <v>TSM</v>
      </c>
      <c r="DL16" s="87">
        <f ca="1">_xlfn.XLOOKUP(DK16,TabCalc[Ticker],TabCalc[ValueBegin])</f>
        <v>-200000</v>
      </c>
      <c r="DM16" s="87">
        <f ca="1">_xlfn.XLOOKUP(DK16,TabCalc[Ticker],TabCalc[M_V])</f>
        <v>1257705</v>
      </c>
      <c r="DN16" s="87">
        <f ca="1">_xlfn.XLOOKUP(DK16,TabCalc[Ticker],TabCalc[GL])</f>
        <v>870543.35919720004</v>
      </c>
      <c r="DO16" s="90"/>
      <c r="DP16" s="90"/>
      <c r="DQ16" s="88" t="s">
        <v>13</v>
      </c>
      <c r="DR16" s="81">
        <v>250</v>
      </c>
      <c r="DS16" s="315">
        <v>-1</v>
      </c>
      <c r="DU16" s="82">
        <v>223125</v>
      </c>
      <c r="DV16" s="82">
        <f ca="1">DU16-TabCalc[[#This Row],[M_V]]</f>
        <v>49300</v>
      </c>
    </row>
    <row r="17" spans="1:126" x14ac:dyDescent="0.3">
      <c r="A17" s="120" t="str">
        <f ca="1">_xlfn.XLOOKUP(TabCalc[[#This Row],[Ticker]],[1]!RTData[Ticker_Symbol],[1]!RTData[Currency])</f>
        <v>USD</v>
      </c>
      <c r="B17" s="121">
        <f ca="1">IF(TabCalc[[#This Row],[Cur]]="GBP",0.01,1)</f>
        <v>1</v>
      </c>
      <c r="C17" s="82">
        <f ca="1">_xlfn.XLOOKUP(TabCalc[[#This Row],[Ticker]],DQ$3:DQ$96,DR$3:DR$96)</f>
        <v>350</v>
      </c>
      <c r="D17" s="1142">
        <f ca="1">_xlfn.XLOOKUP(TabCalc[[#This Row],[Ticker]],DQ$3:DQ$96,DS$3:DS$96)</f>
        <v>-170.71425714285715</v>
      </c>
      <c r="E17" s="121">
        <f t="shared" ca="1" si="0"/>
        <v>-59749.990000000005</v>
      </c>
      <c r="F17" s="82">
        <f ca="1">TabCalc[[#This Row],[NAfter]]*TabCalc[[#This Row],[M]]*TabCalc[[#This Row],[Scale]]</f>
        <v>105300</v>
      </c>
      <c r="G17" s="82">
        <f ca="1">IFERROR(TabCalc[[#This Row],[SB]]-TabCalc[[#This Row],[SST]],TabCalc[[#This Row],[SB]])</f>
        <v>1000</v>
      </c>
      <c r="H17" s="532" t="str">
        <f ca="1">[1]!RTData[[#This Row],[Ticker_Symbol]]</f>
        <v>DIS</v>
      </c>
      <c r="I17" s="383">
        <f ca="1">_xlfn.XLOOKUP(TabCalc[[#This Row],[Ticker]],[1]!RTData[Ticker_Symbol],[1]!RTData[M-Price])</f>
        <v>105.3</v>
      </c>
      <c r="J17" s="382">
        <v>114.574</v>
      </c>
      <c r="K17" s="381">
        <f ca="1">_xlfn.XLOOKUP(TabCalc[[#This Row],[Ticker]],[1]!RTData[Ticker_Symbol],[1]!RTData[1YT])</f>
        <v>134.07239999999999</v>
      </c>
      <c r="L17" s="382">
        <f ca="1">IF(OR(TabCalc[[#This Row],[NAfter]]=0,TabCalc[[#This Row],[EfCost]]&gt;0),0,TabCalc[[#This Row],[EfCost]]/TabCalc[[#This Row],[NAfter]]/TabCalc[[#This Row],[Scale]])</f>
        <v>-91.935925531200041</v>
      </c>
      <c r="M17" s="732">
        <f ca="1">_xlfn.XLOOKUP(TabCalc[[#This Row],[Ticker]],[1]!RTData[Ticker_Symbol],[1]!RTData[Change%])</f>
        <v>-9.221E-3</v>
      </c>
      <c r="N17" s="1065">
        <v>0</v>
      </c>
      <c r="O17" s="892">
        <f>TabCalc[[#This Row],[Up20]]-1+TabCalc[[#This Row],[Up20]]</f>
        <v>-1</v>
      </c>
      <c r="P17" s="892">
        <f>TabCalc[[#This Row],[Up20]]-TabCalc[[#This Row],[Up150]]</f>
        <v>-0.8</v>
      </c>
      <c r="Q17" s="892">
        <v>0.8</v>
      </c>
      <c r="R17" s="892">
        <f>TabCalc[[#This Row],[Up150]]-1+TabCalc[[#This Row],[Up150]]</f>
        <v>0.60000000000000009</v>
      </c>
      <c r="S17" s="892">
        <f ca="1">IFERROR(SUMPRODUCT(DataShift!F1509:Z1509,DataShift!AB716:AV716)/SQRT(SUMPRODUCT(DataShift!F1509:Z1509,DataShift!F1509:Z1509)*SUMPRODUCT(DataShift!AB716:AV716,DataShift!AB716:AV716)),0)</f>
        <v>-0.8300291599553703</v>
      </c>
      <c r="T17" s="892">
        <f ca="1">IFERROR(SUMPRODUCT(DataShift!F1509:Z1509,DataShift!F717:Z717)/SQRT(SUMPRODUCT(DataShift!F1509:Z1509,DataShift!F1509:Z1509)*SUMPRODUCT(DataShift!F717:Z717,DataShift!F717:Z717)),0)</f>
        <v>0.22717217885980248</v>
      </c>
      <c r="U17" s="1004">
        <v>200</v>
      </c>
      <c r="V17" s="1004">
        <v>800</v>
      </c>
      <c r="W17" s="1004">
        <v>0</v>
      </c>
      <c r="X17" s="892"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-8477.9999999999964</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-3184.0000000000032</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11263.999999999998</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4840.0000000000036</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-765</v>
      </c>
      <c r="AQ17" s="334">
        <f ca="1">_xlfn.LET(_xlpm.MVToday,DataShift!AV517,         _xlpm.MVY,DataShift!AU518,        _xlpm.MVYY, DataShift!AT518,                                IF(_xlpm.MVToday=_xlpm.MVY,_xlpm.MVY-_xlpm.MVYY,_xlpm.MVToday-_xlpm.MVY))</f>
        <v>-173748.58</v>
      </c>
      <c r="AR17" s="334">
        <f ca="1">_xlfn.LET(_xlpm.MVToday,DataShift!AV517,         _xlpm.MVY,DataShift!AU518,        _xlpm.MVYY, DataShift!AT518,         _xlpm.MVYYY, DataShift!AS518,                      IF(_xlpm.MVToday=_xlpm.MVY,      _xlpm.MVYY-_xlpm.MVYYY,          _xlpm.MVY-_xlpm.MVYY))</f>
        <v>-2975</v>
      </c>
      <c r="AS17" s="977">
        <f ca="1">TabCalc[[#This Row],[Y]]/TabCalc[[#This Row],[M]]</f>
        <v>1.2732421652421653</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-1.6871764823990454</v>
      </c>
      <c r="AY17" s="82">
        <f t="shared" ca="1" si="1"/>
        <v>0</v>
      </c>
      <c r="AZ17" s="90">
        <f ca="1">_xlfn.XLOOKUP(TabCalc[[#This Row],[Ticker]],[1]!RTData[Ticker_Symbol],[1]!RTData[V/VA])</f>
        <v>0.43204780109496366</v>
      </c>
      <c r="BA17" s="90" t="str" cm="1">
        <f t="array" aca="1" ref="BA17" ca="1">IFERROR(_xlfn.IFS(TabCalc[[#This Row],[Cur]]="USD",Timer!F$27,                TabCalc[[#This Row],[Cur]]="EUR",Timer!F$18,                  TabCalc[[#This Row],[Cur]]="GBP",Timer!F$12,                          TabCalc[[#This Row],[Cur]]="CAD",Timer!F$27,                TabCalc[[#This Row],[Cur]]="JPY",Timer!F$31,                      TabCalc[[#This Row],[Cur]]="CHF",Timer!F$18),"Timing")</f>
        <v>Closed</v>
      </c>
      <c r="BB17" s="90">
        <f ca="1">IF(ISNUMBER(TabCalc[[#This Row],[TimeEX]]),TabCalc[[#This Row],[V/VA]]/TabCalc[[#This Row],[TimeEX]],TabCalc[[#This Row],[V/VA]])</f>
        <v>0.43204780109496366</v>
      </c>
      <c r="BC17" s="87" cm="1">
        <f t="array" aca="1" ref="BC17" ca="1">INDEX(TabReg[], 1, _xlfn.XMATCH(TabCalc[[#This Row],[Ticker]]&amp;1, TabReg[#Headers], 0))</f>
        <v>350</v>
      </c>
      <c r="BD17" s="159">
        <f ca="1">TabCalc[[#This Row],[Nbegin]]*TabCalc[[#This Row],[M]]*TabCalc[[#This Row],[Scale]]+TabCalc[[#This Row],[ValueBegin]]</f>
        <v>-22894.990000000005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-32030.585557200044</v>
      </c>
      <c r="BH17" s="336">
        <f ca="1">TabCalc[[#This Row],[M_V]]+TabCalc[[#This Row],[ValueBegin]]</f>
        <v>45550.009999999995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K17" s="159" cm="1">
        <f t="array" aca="1" ref="BK17" ca="1">SUMPRODUCT(ISNUMBER(INDIRECT("TabReg["&amp;TabCalc[[#This Row],[Ticker]]&amp;"2]"))* INDIRECT("TabReg["&amp;TabCalc[[#This Row],[Ticker]]&amp;"1]") * INDIRECT("TabReg["&amp;TabCalc[[#This Row],[Ticker]]&amp;"2]") )*TabCalc[[#This Row],[Scale]]*(1+Commission)</f>
        <v>-91935.925531200046</v>
      </c>
      <c r="BL17" s="159">
        <f ca="1">TabCalc[[#This Row],[M_V]]*(1-Commission)+TabCalc[[#This Row],[EfCost]]</f>
        <v>13090.294468799955</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146.68</v>
      </c>
      <c r="BR17" s="174" t="str">
        <f ca="1">IF(TabCalc[[#This Row],[EfCost]]+TabCalc[[#This Row],[M_V]]&lt;TabCalc[[#This Row],[NoT_GL]],"Pile","")</f>
        <v/>
      </c>
      <c r="BS17" s="165">
        <f ca="1">_xlfn.XLOOKUP(TabCalc[[#This Row],[Ticker]],[1]!RTData[Ticker_Symbol],[1]!RTData[Last trade time])</f>
        <v>45980.72734399297</v>
      </c>
      <c r="BT17" s="175">
        <f ca="1">(TabCalc[[#This Row],[ValueBegin]]+(TabCalc[[#This Row],[M]]-TabCalc[[#This Row],[A]])*TabCalc[[#This Row],[NAfter]])*TabCalc[[#This Row],[Scale]]</f>
        <v>-69023.990000000005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-9274</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355.11363636363643</v>
      </c>
      <c r="CV17" s="404">
        <f ca="1">IF(TabCalc[[#This Row],[ntoBuy]]*TabCalc[[#This Row],[M]]&lt;=0,0,TabCalc[[#This Row],[ntoBuy]]*TabCalc[[#This Row],[M]])</f>
        <v>37393.465909090912</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-9274</v>
      </c>
      <c r="DB17" s="90">
        <f ca="1">IFERROR((TabCalc[[#This Row],[M]]+TabCalc[[#This Row],[L_Bp]])/ABS(TabCalc[[#This Row],[L_Bp]])/(TODAY()-TabCalc[[#This Row],[L_Bdate]])*360,"")</f>
        <v>-0.47025542890423477</v>
      </c>
      <c r="DC17" s="310">
        <f ca="1">MEDIAN(DataShift!F717:Z717)</f>
        <v>-1.1110999999999999E-2</v>
      </c>
      <c r="DD17" s="310" t="e"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7" s="87">
        <f ca="1">TabCalc[[#This Row],[Nbegin]]*TabCalc[[#This Row],[Scale]]*TabCalc[[#This Row],[M]]</f>
        <v>36855</v>
      </c>
      <c r="DF17" s="87" cm="1">
        <f t="array" aca="1" ref="DF17" ca="1">SUMPRODUCT(ISNUMBER(INDIRECT("TabReg["&amp;TabCalc[[#This Row],[Ticker]]&amp;"2]"))* INDIRECT("TabReg["&amp;TabCalc[[#This Row],[Ticker]]&amp;"1]") * INDIRECT("TabReg["&amp;TabCalc[[#This Row],[Ticker]]&amp;"2]") )*TabCalc[[#This Row],[Scale]]</f>
        <v>-91697.512000000046</v>
      </c>
      <c r="DI17" s="87">
        <f ca="1"/>
        <v>444850.5</v>
      </c>
      <c r="DJ17" s="90">
        <f t="shared" ca="1" si="2"/>
        <v>0.56546094367030109</v>
      </c>
      <c r="DK17" t="str">
        <f ca="1">_xlfn.XLOOKUP(DI17,TabCalc[Column1],TabCalc[Ticker])</f>
        <v>AZN</v>
      </c>
      <c r="DL17" s="87">
        <f ca="1">_xlfn.XLOOKUP(DK17,TabCalc[Ticker],TabCalc[ValueBegin])</f>
        <v>-270550</v>
      </c>
      <c r="DM17" s="87">
        <f ca="1">_xlfn.XLOOKUP(DK17,TabCalc[Ticker],TabCalc[M_V])</f>
        <v>44485.05</v>
      </c>
      <c r="DN17" s="87">
        <f ca="1">_xlfn.XLOOKUP(DK17,TabCalc[Ticker],TabCalc[GL])</f>
        <v>152985.45830999996</v>
      </c>
      <c r="DO17" s="90"/>
      <c r="DP17" s="90"/>
      <c r="DQ17" s="88" t="s">
        <v>14</v>
      </c>
      <c r="DR17" s="81">
        <v>1000</v>
      </c>
      <c r="DS17" s="315">
        <v>-80.2</v>
      </c>
      <c r="DU17" s="82">
        <v>111470</v>
      </c>
      <c r="DV17" s="82">
        <f ca="1">DU17-TabCalc[[#This Row],[M_V]]</f>
        <v>6170</v>
      </c>
    </row>
    <row r="18" spans="1:126" x14ac:dyDescent="0.3">
      <c r="A18" s="120" t="str">
        <f ca="1">_xlfn.XLOOKUP(TabCalc[[#This Row],[Ticker]],[1]!RTData[Ticker_Symbol],[1]!RTData[Currency])</f>
        <v>EUR</v>
      </c>
      <c r="B18" s="121">
        <f ca="1">IF(TabCalc[[#This Row],[Cur]]="GBP",0.01,1)</f>
        <v>1</v>
      </c>
      <c r="C18" s="82">
        <f ca="1">_xlfn.XLOOKUP(TabCalc[[#This Row],[Ticker]],DQ$3:DQ$96,DR$3:DR$96)</f>
        <v>250</v>
      </c>
      <c r="D18" s="1142">
        <f ca="1">_xlfn.XLOOKUP(TabCalc[[#This Row],[Ticker]],DQ$3:DQ$96,DS$3:DS$96)</f>
        <v>-1</v>
      </c>
      <c r="E18" s="121">
        <f t="shared" ca="1" si="0"/>
        <v>-250</v>
      </c>
      <c r="F18" s="82">
        <f ca="1">TabCalc[[#This Row],[NAfter]]*TabCalc[[#This Row],[M]]*TabCalc[[#This Row],[Scale]]</f>
        <v>93520</v>
      </c>
      <c r="G18" s="82">
        <f ca="1">IFERROR(TabCalc[[#This Row],[SB]]-TabCalc[[#This Row],[SST]],TabCalc[[#This Row],[SB]])</f>
        <v>4000</v>
      </c>
      <c r="H18" s="532" t="str">
        <f ca="1">[1]!RTData[[#This Row],[Ticker_Symbol]]</f>
        <v>DSY</v>
      </c>
      <c r="I18" s="383">
        <f ca="1">_xlfn.XLOOKUP(TabCalc[[#This Row],[Ticker]],[1]!RTData[Ticker_Symbol],[1]!RTData[M-Price])</f>
        <v>23.38</v>
      </c>
      <c r="J18" s="382">
        <v>30.072500000000002</v>
      </c>
      <c r="K18" s="381">
        <f ca="1">_xlfn.XLOOKUP(TabCalc[[#This Row],[Ticker]],[1]!RTData[Ticker_Symbol],[1]!RTData[1YT])</f>
        <v>31.877780000000001</v>
      </c>
      <c r="L18" s="382">
        <f ca="1">IF(OR(TabCalc[[#This Row],[NAfter]]=0,TabCalc[[#This Row],[EfCost]]&gt;0),0,TabCalc[[#This Row],[EfCost]]/TabCalc[[#This Row],[NAfter]]/TabCalc[[#This Row],[Scale]])</f>
        <v>-26.530698934800014</v>
      </c>
      <c r="M18" s="732">
        <f ca="1">_xlfn.XLOOKUP(TabCalc[[#This Row],[Ticker]],[1]!RTData[Ticker_Symbol],[1]!RTData[Change%])</f>
        <v>8.6280000000000003E-3</v>
      </c>
      <c r="N18" s="1065">
        <v>0</v>
      </c>
      <c r="O18" s="892">
        <f>TabCalc[[#This Row],[Up20]]-1+TabCalc[[#This Row],[Up20]]</f>
        <v>-1</v>
      </c>
      <c r="P18" s="892">
        <f>TabCalc[[#This Row],[Up20]]-TabCalc[[#This Row],[Up150]]</f>
        <v>-0.4</v>
      </c>
      <c r="Q18" s="892">
        <v>0.4</v>
      </c>
      <c r="R18" s="892">
        <f>TabCalc[[#This Row],[Up150]]-1+TabCalc[[#This Row],[Up150]]</f>
        <v>-0.19999999999999996</v>
      </c>
      <c r="S18" s="892">
        <f ca="1">IFERROR(SUMPRODUCT(DataShift!F1510:Z1510,DataShift!AB717:AV717)/SQRT(SUMPRODUCT(DataShift!F1510:Z1510,DataShift!F1510:Z1510)*SUMPRODUCT(DataShift!AB717:AV717,DataShift!AB717:AV717)),0)</f>
        <v>-0.8421973381529636</v>
      </c>
      <c r="T18" s="892">
        <f ca="1">IFERROR(SUMPRODUCT(DataShift!F1510:Z1510,DataShift!F718:Z718)/SQRT(SUMPRODUCT(DataShift!F1510:Z1510,DataShift!F1510:Z1510)*SUMPRODUCT(DataShift!F718:Z718,DataShift!F718:Z718)),0)</f>
        <v>0.15869891790018403</v>
      </c>
      <c r="U18" s="1004">
        <v>0</v>
      </c>
      <c r="V18" s="1004">
        <v>4000</v>
      </c>
      <c r="W18" s="1004">
        <v>0</v>
      </c>
      <c r="X18" s="892"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-6520.0000000000027</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-3785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11520.000000000004</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7654.9999999999991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720</v>
      </c>
      <c r="AQ18" s="334">
        <f ca="1">_xlfn.LET(_xlpm.MVToday,DataShift!AV518,         _xlpm.MVY,DataShift!AU519,        _xlpm.MVYY, DataShift!AT519,                                IF(_xlpm.MVToday=_xlpm.MVY,_xlpm.MVY-_xlpm.MVYY,_xlpm.MVToday-_xlpm.MVY))</f>
        <v>68525</v>
      </c>
      <c r="AR18" s="334">
        <f ca="1">_xlfn.LET(_xlpm.MVToday,DataShift!AV518,         _xlpm.MVY,DataShift!AU519,        _xlpm.MVYY, DataShift!AT519,         _xlpm.MVYYY, DataShift!AS519,                      IF(_xlpm.MVToday=_xlpm.MVY,      _xlpm.MVYY-_xlpm.MVYYY,          _xlpm.MVY-_xlpm.MVYY))</f>
        <v>-980</v>
      </c>
      <c r="AS18" s="977">
        <f ca="1">TabCalc[[#This Row],[Y]]/TabCalc[[#This Row],[M]]</f>
        <v>1.363463644140291</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-0.82334883302728135</v>
      </c>
      <c r="AY18" s="82">
        <f t="shared" ca="1" si="1"/>
        <v>0</v>
      </c>
      <c r="AZ18" s="90">
        <f ca="1">_xlfn.XLOOKUP(TabCalc[[#This Row],[Ticker]],[1]!RTData[Ticker_Symbol],[1]!RTData[V/VA])</f>
        <v>1.4375302511891848</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1.4375302511891848</v>
      </c>
      <c r="BC18" s="87" cm="1">
        <f t="array" aca="1" ref="BC18" ca="1">INDEX(TabReg[], 1, _xlfn.XMATCH(TabCalc[[#This Row],[Ticker]]&amp;1, TabReg[#Headers], 0))</f>
        <v>250</v>
      </c>
      <c r="BD18" s="159">
        <f ca="1">TabCalc[[#This Row],[Nbegin]]*TabCalc[[#This Row],[M]]*TabCalc[[#This Row],[Scale]]+TabCalc[[#This Row],[ValueBegin]]</f>
        <v>5595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-105872.14573920006</v>
      </c>
      <c r="BH18" s="336">
        <f ca="1">TabCalc[[#This Row],[M_V]]+TabCalc[[#This Row],[ValueBegin]]</f>
        <v>93270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K18" s="159" cm="1">
        <f t="array" aca="1" ref="BK18" ca="1">SUMPRODUCT(ISNUMBER(INDIRECT("TabReg["&amp;TabCalc[[#This Row],[Ticker]]&amp;"2]"))* INDIRECT("TabReg["&amp;TabCalc[[#This Row],[Ticker]]&amp;"1]") * INDIRECT("TabReg["&amp;TabCalc[[#This Row],[Ticker]]&amp;"2]") )*TabCalc[[#This Row],[Scale]]*(1+Commission)</f>
        <v>-106122.79573920005</v>
      </c>
      <c r="BL18" s="159">
        <f ca="1">TabCalc[[#This Row],[M_V]]*(1-Commission)+TabCalc[[#This Row],[EfCost]]</f>
        <v>-12845.947739200055</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40.86</v>
      </c>
      <c r="BR18" s="174" t="str">
        <f ca="1">IF(TabCalc[[#This Row],[EfCost]]+TabCalc[[#This Row],[M_V]]&lt;TabCalc[[#This Row],[NoT_GL]],"Pile","")</f>
        <v>Pile</v>
      </c>
      <c r="BS18" s="165">
        <f ca="1">_xlfn.XLOOKUP(TabCalc[[#This Row],[Ticker]],[1]!RTData[Ticker_Symbol],[1]!RTData[Last trade time])</f>
        <v>45980.708333333336</v>
      </c>
      <c r="BT18" s="175">
        <f ca="1">(TabCalc[[#This Row],[ValueBegin]]+(TabCalc[[#This Row],[M]]-TabCalc[[#This Row],[A]])*TabCalc[[#This Row],[NAfter]])*TabCalc[[#This Row],[Scale]]</f>
        <v>-27020.000000000011</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-26770.000000000011</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868.05555555555532</v>
      </c>
      <c r="CV18" s="404">
        <f ca="1">IF(TabCalc[[#This Row],[ntoBuy]]*TabCalc[[#This Row],[M]]&lt;=0,0,TabCalc[[#This Row],[ntoBuy]]*TabCalc[[#This Row],[M]])</f>
        <v>20295.138888888883</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-26770.000000000011</v>
      </c>
      <c r="DB18" s="90">
        <f ca="1">IFERROR((TabCalc[[#This Row],[M]]+TabCalc[[#This Row],[L_Bp]])/ABS(TabCalc[[#This Row],[L_Bp]])/(TODAY()-TabCalc[[#This Row],[L_Bdate]])*360,"")</f>
        <v>-0.45416550571189768</v>
      </c>
      <c r="DC18" s="310">
        <f ca="1">MEDIAN(DataShift!F718:Z718)</f>
        <v>-1.1659999999999999E-3</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5845</v>
      </c>
      <c r="DF18" s="87" cm="1">
        <f t="array" aca="1" ref="DF18" ca="1">SUMPRODUCT(ISNUMBER(INDIRECT("TabReg["&amp;TabCalc[[#This Row],[Ticker]]&amp;"2]"))* INDIRECT("TabReg["&amp;TabCalc[[#This Row],[Ticker]]&amp;"1]") * INDIRECT("TabReg["&amp;TabCalc[[#This Row],[Ticker]]&amp;"2]") )*TabCalc[[#This Row],[Scale]]</f>
        <v>-105847.59200000006</v>
      </c>
      <c r="DI18" s="87">
        <f ca="1"/>
        <v>443300</v>
      </c>
      <c r="DJ18" s="90">
        <f t="shared" ca="1" si="2"/>
        <v>1.8132202479767889</v>
      </c>
      <c r="DK18" t="str">
        <f ca="1">_xlfn.XLOOKUP(DI18,TabCalc[Column1],TabCalc[Ticker])</f>
        <v>ASML</v>
      </c>
      <c r="DL18" s="87">
        <f ca="1">_xlfn.XLOOKUP(DK18,TabCalc[Ticker],TabCalc[ValueBegin])</f>
        <v>-448050</v>
      </c>
      <c r="DM18" s="87">
        <f ca="1">_xlfn.XLOOKUP(DK18,TabCalc[Ticker],TabCalc[M_V])</f>
        <v>3103100</v>
      </c>
      <c r="DN18" s="87">
        <f ca="1">_xlfn.XLOOKUP(DK18,TabCalc[Ticker],TabCalc[GL])</f>
        <v>812413.33210600028</v>
      </c>
      <c r="DO18" s="90"/>
      <c r="DP18" s="90"/>
      <c r="DQ18" s="88" t="s">
        <v>15</v>
      </c>
      <c r="DR18" s="81">
        <v>1889</v>
      </c>
      <c r="DS18" s="315">
        <v>-46.62</v>
      </c>
      <c r="DU18" s="82">
        <v>96160</v>
      </c>
      <c r="DV18" s="82">
        <f ca="1">DU18-TabCalc[[#This Row],[M_V]]</f>
        <v>2640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42">
        <f ca="1">_xlfn.XLOOKUP(TabCalc[[#This Row],[Ticker]],DQ$3:DQ$96,DS$3:DS$96)</f>
        <v>-80.2</v>
      </c>
      <c r="E19" s="121">
        <f t="shared" ca="1" si="0"/>
        <v>-80200</v>
      </c>
      <c r="F19" s="82">
        <f ca="1">TabCalc[[#This Row],[NAfter]]*TabCalc[[#This Row],[M]]*TabCalc[[#This Row],[Scale]]</f>
        <v>161217</v>
      </c>
      <c r="G19" s="82">
        <f ca="1">IFERROR(TabCalc[[#This Row],[SB]]-TabCalc[[#This Row],[SST]],TabCalc[[#This Row],[SB]])</f>
        <v>1400</v>
      </c>
      <c r="H19" s="532" t="str">
        <f ca="1">[1]!RTData[[#This Row],[Ticker_Symbol]]</f>
        <v>DVA</v>
      </c>
      <c r="I19" s="383">
        <f ca="1">_xlfn.XLOOKUP(TabCalc[[#This Row],[Ticker]],[1]!RTData[Ticker_Symbol],[1]!RTData[M-Price])</f>
        <v>115.155</v>
      </c>
      <c r="J19" s="382">
        <v>119.45866666666667</v>
      </c>
      <c r="K19" s="381">
        <f ca="1">_xlfn.XLOOKUP(TabCalc[[#This Row],[Ticker]],[1]!RTData[Ticker_Symbol],[1]!RTData[1YT])</f>
        <v>147.125</v>
      </c>
      <c r="L19" s="382">
        <f ca="1">IF(OR(TabCalc[[#This Row],[NAfter]]=0,TabCalc[[#This Row],[EfCost]]&gt;0),0,TabCalc[[#This Row],[EfCost]]/TabCalc[[#This Row],[NAfter]]/TabCalc[[#This Row],[Scale]])</f>
        <v>-92.665168932857171</v>
      </c>
      <c r="M19" s="732">
        <f ca="1">_xlfn.XLOOKUP(TabCalc[[#This Row],[Ticker]],[1]!RTData[Ticker_Symbol],[1]!RTData[Change%])</f>
        <v>-1.2054E-2</v>
      </c>
      <c r="N19" s="1065">
        <v>0</v>
      </c>
      <c r="O19" s="892">
        <f>TabCalc[[#This Row],[Up20]]-1+TabCalc[[#This Row],[Up20]]</f>
        <v>-1</v>
      </c>
      <c r="P19" s="892">
        <f>TabCalc[[#This Row],[Up20]]-TabCalc[[#This Row],[Up150]]</f>
        <v>-0.33333333333333331</v>
      </c>
      <c r="Q19" s="892">
        <v>0.33333333333333331</v>
      </c>
      <c r="R19" s="892">
        <f>TabCalc[[#This Row],[Up150]]-1+TabCalc[[#This Row],[Up150]]</f>
        <v>-0.33333333333333343</v>
      </c>
      <c r="S19" s="892">
        <f ca="1">IFERROR(SUMPRODUCT(DataShift!F1511:Z1511,DataShift!AB718:AV718)/SQRT(SUMPRODUCT(DataShift!F1511:Z1511,DataShift!F1511:Z1511)*SUMPRODUCT(DataShift!AB718:AV718,DataShift!AB718:AV718)),0)</f>
        <v>0.33499060508230571</v>
      </c>
      <c r="T19" s="892">
        <f ca="1">IFERROR(SUMPRODUCT(DataShift!F1511:Z1511,DataShift!F719:Z719)/SQRT(SUMPRODUCT(DataShift!F1511:Z1511,DataShift!F1511:Z1511)*SUMPRODUCT(DataShift!F719:Z719,DataShift!F719:Z719)),0)</f>
        <v>-0.1940553187228376</v>
      </c>
      <c r="U19" s="1004">
        <v>1400</v>
      </c>
      <c r="V19" s="1004">
        <v>1600</v>
      </c>
      <c r="W19" s="1004">
        <v>0</v>
      </c>
      <c r="X19" s="892"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-6978.9999999999991</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-4935.0000000000082</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14679.999999999996</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13255.999999999995</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-2205</v>
      </c>
      <c r="AQ19" s="334">
        <f ca="1">_xlfn.LET(_xlpm.MVToday,DataShift!AV519,         _xlpm.MVY,DataShift!AU520,        _xlpm.MVYY, DataShift!AT520,                                IF(_xlpm.MVToday=_xlpm.MVY,_xlpm.MVY-_xlpm.MVYY,_xlpm.MVToday-_xlpm.MVY))</f>
        <v>11780</v>
      </c>
      <c r="AR19" s="334">
        <f ca="1">_xlfn.LET(_xlpm.MVToday,DataShift!AV519,         _xlpm.MVY,DataShift!AU520,        _xlpm.MVYY, DataShift!AT520,         _xlpm.MVYYY, DataShift!AS520,                      IF(_xlpm.MVToday=_xlpm.MVY,      _xlpm.MVYY-_xlpm.MVYYY,          _xlpm.MVY-_xlpm.MVYY))</f>
        <v>840</v>
      </c>
      <c r="AS19" s="977">
        <f ca="1">TabCalc[[#This Row],[Y]]/TabCalc[[#This Row],[M]]</f>
        <v>1.2776258086926318</v>
      </c>
      <c r="AT19" s="297" t="str" cm="1">
        <f t="array" aca="1" ref="AT19" ca="1">IFERROR(_xlfn.IFS(          TabCalc[[#This Row],[E]]&gt;0, "Free Trade",      TabCalc[[#This Row],[A]]&lt;MIN(TabCalc[[#This Row],[L_Sp]],TabCalc[[#This Row],[M]]), "Buy",            TabCalc[[#This Row],[M]]&lt;TabCalc[[#This Row],[L_Sp]],       "Refill",       TabCalc[[#This Row],[M]]&gt;TabCalc[[#This Row],[L_Sp]],"S_more"),"")</f>
        <v>Refill</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400</v>
      </c>
      <c r="AX19" s="305">
        <f ca="1">IFERROR((TabCalc[[#This Row],[M]]-TabCalc[[#This Row],[Y]])*(TabCalc[[#This Row],[M]]-TabCalc[[#This Row],[Y]])*(TabCalc[[#This Row],[M]]-TabCalc[[#This Row],[Y]])/(TabCalc[[#This Row],[Y]]*TabCalc[[#This Row],[M]]),"")</f>
        <v>-1.9286731446850824</v>
      </c>
      <c r="AY19" s="82">
        <f t="shared" ca="1" si="1"/>
        <v>0</v>
      </c>
      <c r="AZ19" s="90">
        <f ca="1">_xlfn.XLOOKUP(TabCalc[[#This Row],[Ticker]],[1]!RTData[Ticker_Symbol],[1]!RTData[V/VA])</f>
        <v>0.25765225257265678</v>
      </c>
      <c r="BA19" s="90" t="str" cm="1">
        <f t="array" aca="1" ref="BA19" ca="1">IFERROR(_xlfn.IFS(TabCalc[[#This Row],[Cur]]="USD",Timer!F$27,                TabCalc[[#This Row],[Cur]]="EUR",Timer!F$18,                  TabCalc[[#This Row],[Cur]]="GBP",Timer!F$12,                          TabCalc[[#This Row],[Cur]]="CAD",Timer!F$27,                TabCalc[[#This Row],[Cur]]="JPY",Timer!F$31,                      TabCalc[[#This Row],[Cur]]="CHF",Timer!F$18),"Timing")</f>
        <v>Closed</v>
      </c>
      <c r="BB19" s="90">
        <f ca="1">IF(ISNUMBER(TabCalc[[#This Row],[TimeEX]]),TabCalc[[#This Row],[V/VA]]/TabCalc[[#This Row],[TimeEX]],TabCalc[[#This Row],[V/VA]])</f>
        <v>0.25765225257265678</v>
      </c>
      <c r="BC19" s="87" cm="1">
        <f t="array" aca="1" ref="BC19" ca="1">INDEX(TabReg[], 1, _xlfn.XMATCH(TabCalc[[#This Row],[Ticker]]&amp;1, TabReg[#Headers], 0))</f>
        <v>1000</v>
      </c>
      <c r="BD19" s="159">
        <f ca="1">TabCalc[[#This Row],[Nbegin]]*TabCalc[[#This Row],[M]]*TabCalc[[#This Row],[Scale]]+TabCalc[[#This Row],[ValueBegin]]</f>
        <v>34955</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-49322.716506000055</v>
      </c>
      <c r="BH19" s="336">
        <f ca="1">TabCalc[[#This Row],[M_V]]+TabCalc[[#This Row],[ValueBegin]]</f>
        <v>81017</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K19" s="159" cm="1">
        <f t="array" aca="1" ref="BK19" ca="1">SUMPRODUCT(ISNUMBER(INDIRECT("TabReg["&amp;TabCalc[[#This Row],[Ticker]]&amp;"2]"))* INDIRECT("TabReg["&amp;TabCalc[[#This Row],[Ticker]]&amp;"1]") * INDIRECT("TabReg["&amp;TabCalc[[#This Row],[Ticker]]&amp;"2]") )*TabCalc[[#This Row],[Scale]]*(1+Commission)</f>
        <v>-129731.23650600004</v>
      </c>
      <c r="BL19" s="159">
        <f ca="1">TabCalc[[#This Row],[M_V]]*(1-Commission)+TabCalc[[#This Row],[EfCost]]</f>
        <v>31066.599293999956</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150.44</v>
      </c>
      <c r="BR19" s="174" t="str">
        <f ca="1">IF(TabCalc[[#This Row],[EfCost]]+TabCalc[[#This Row],[M_V]]&lt;TabCalc[[#This Row],[NoT_GL]],"Pile","")</f>
        <v>Pile</v>
      </c>
      <c r="BS19" s="165">
        <f ca="1">_xlfn.XLOOKUP(TabCalc[[#This Row],[Ticker]],[1]!RTData[Ticker_Symbol],[1]!RTData[Last trade time])</f>
        <v>45980.727213414066</v>
      </c>
      <c r="BT19" s="175">
        <f ca="1">(TabCalc[[#This Row],[ValueBegin]]+(TabCalc[[#This Row],[M]]-TabCalc[[#This Row],[A]])*TabCalc[[#This Row],[NAfter]])*TabCalc[[#This Row],[Scale]]</f>
        <v>-86225.133333333346</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_xlfn.LET(_xlpm.LAST_T,TabCalc[[#This Row],[L_TP]],_xlfn.IFS(_xlpm.LAST_T&lt;0,"Purchase",_xlpm.LAST_T&gt;0,"Sale"))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-6025.1333333333405</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544.95912806539525</v>
      </c>
      <c r="CV19" s="404">
        <f ca="1">IF(TabCalc[[#This Row],[ntoBuy]]*TabCalc[[#This Row],[M]]&lt;=0,0,TabCalc[[#This Row],[ntoBuy]]*TabCalc[[#This Row],[M]])</f>
        <v>62754.768392370592</v>
      </c>
      <c r="CW19" s="404">
        <f ca="1">IF(TabCalc[[#This Row],[M]]&gt;ABS(TabCalc[[#This Row],[L_Bp]]),MIN(TabCalc[[#This Row],[NAfter]],DesiredSaleGain/(TabCalc[[#This Row],[M]]+TabCalc[[#This Row],[L_Bp]])),0)/TabCalc[[#This Row],[Scale]]</f>
        <v>0</v>
      </c>
      <c r="CX19" s="405">
        <f ca="1">TabCalc[[#This Row],[ntoSell]]*TabCalc[[#This Row],[M]]</f>
        <v>0</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-6025.1333333333405</v>
      </c>
      <c r="DB19" s="90">
        <f ca="1">IFERROR((TabCalc[[#This Row],[M]]+TabCalc[[#This Row],[L_Bp]])/ABS(TabCalc[[#This Row],[L_Bp]])/(TODAY()-TabCalc[[#This Row],[L_Bdate]])*360,"")</f>
        <v>-1.6597303146329281</v>
      </c>
      <c r="DC19" s="310">
        <f ca="1">MEDIAN(DataShift!F719:Z719)</f>
        <v>-2.496E-3</v>
      </c>
      <c r="DD19" s="310" t="e"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9" s="87">
        <f ca="1">TabCalc[[#This Row],[Nbegin]]*TabCalc[[#This Row],[Scale]]*TabCalc[[#This Row],[M]]</f>
        <v>115155</v>
      </c>
      <c r="DF19" s="87" cm="1">
        <f t="array" aca="1" ref="DF19" ca="1">SUMPRODUCT(ISNUMBER(INDIRECT("TabReg["&amp;TabCalc[[#This Row],[Ticker]]&amp;"2]"))* INDIRECT("TabReg["&amp;TabCalc[[#This Row],[Ticker]]&amp;"1]") * INDIRECT("TabReg["&amp;TabCalc[[#This Row],[Ticker]]&amp;"2]") )*TabCalc[[#This Row],[Scale]]</f>
        <v>-129394.81000000006</v>
      </c>
      <c r="DI19" s="87">
        <f ca="1"/>
        <v>443300</v>
      </c>
      <c r="DJ19" s="90">
        <f t="shared" ca="1" si="2"/>
        <v>1.8132202479767889</v>
      </c>
      <c r="DK19" t="str">
        <f ca="1">_xlfn.XLOOKUP(DI19,TabCalc[Column1],TabCalc[Ticker])</f>
        <v>ASML</v>
      </c>
      <c r="DL19" s="87">
        <f ca="1">_xlfn.XLOOKUP(DK19,TabCalc[Ticker],TabCalc[ValueBegin])</f>
        <v>-448050</v>
      </c>
      <c r="DM19" s="87">
        <f ca="1">_xlfn.XLOOKUP(DK19,TabCalc[Ticker],TabCalc[M_V])</f>
        <v>3103100</v>
      </c>
      <c r="DN19" s="87">
        <f ca="1">_xlfn.XLOOKUP(DK19,TabCalc[Ticker],TabCalc[GL])</f>
        <v>812413.33210600028</v>
      </c>
      <c r="DO19" s="90"/>
      <c r="DP19" s="90"/>
      <c r="DQ19" s="88" t="s">
        <v>16</v>
      </c>
      <c r="DR19" s="81">
        <v>340000</v>
      </c>
      <c r="DS19" s="315">
        <v>-8.98</v>
      </c>
      <c r="DU19" s="82">
        <v>167958</v>
      </c>
      <c r="DV19" s="82">
        <f ca="1">DU19-TabCalc[[#This Row],[M_V]]</f>
        <v>6741</v>
      </c>
    </row>
    <row r="20" spans="1:126" x14ac:dyDescent="0.3">
      <c r="A20" s="120" t="str">
        <f ca="1">_xlfn.XLOOKUP(TabCalc[[#This Row],[Ticker]],[1]!RTData[Ticker_Symbol],[1]!RTData[Currency])</f>
        <v>USD</v>
      </c>
      <c r="B20" s="121">
        <f ca="1">IF(TabCalc[[#This Row],[Cur]]="GBP",0.01,1)</f>
        <v>1</v>
      </c>
      <c r="C20" s="82">
        <f ca="1">_xlfn.XLOOKUP(TabCalc[[#This Row],[Ticker]],DQ$3:DQ$96,DR$3:DR$96)</f>
        <v>1889</v>
      </c>
      <c r="D20" s="1142">
        <f ca="1">_xlfn.XLOOKUP(TabCalc[[#This Row],[Ticker]],DQ$3:DQ$96,DS$3:DS$96)</f>
        <v>-46.62</v>
      </c>
      <c r="E20" s="121">
        <f t="shared" ca="1" si="0"/>
        <v>-88065.18</v>
      </c>
      <c r="F20" s="82">
        <f ca="1">TabCalc[[#This Row],[NAfter]]*TabCalc[[#This Row],[M]]*TabCalc[[#This Row],[Scale]]</f>
        <v>72660</v>
      </c>
      <c r="G20" s="82">
        <f ca="1">IFERROR(TabCalc[[#This Row],[SB]]-TabCalc[[#This Row],[SST]],TabCalc[[#This Row],[SB]])</f>
        <v>6000</v>
      </c>
      <c r="H20" s="532" t="str">
        <f ca="1">[1]!RTData[[#This Row],[Ticker_Symbol]]</f>
        <v>DXC</v>
      </c>
      <c r="I20" s="383">
        <f ca="1">_xlfn.XLOOKUP(TabCalc[[#This Row],[Ticker]],[1]!RTData[Ticker_Symbol],[1]!RTData[M-Price])</f>
        <v>12.11</v>
      </c>
      <c r="J20" s="382">
        <v>15.842499999999999</v>
      </c>
      <c r="K20" s="381">
        <f ca="1">_xlfn.XLOOKUP(TabCalc[[#This Row],[Ticker]],[1]!RTData[Ticker_Symbol],[1]!RTData[1YT])</f>
        <v>14.5</v>
      </c>
      <c r="L20" s="382">
        <f ca="1">IF(OR(TabCalc[[#This Row],[NAfter]]=0,TabCalc[[#This Row],[EfCost]]&gt;0),0,TabCalc[[#This Row],[EfCost]]/TabCalc[[#This Row],[NAfter]]/TabCalc[[#This Row],[Scale]])</f>
        <v>-21.319394513699994</v>
      </c>
      <c r="M20" s="732">
        <f ca="1">_xlfn.XLOOKUP(TabCalc[[#This Row],[Ticker]],[1]!RTData[Ticker_Symbol],[1]!RTData[Change%])</f>
        <v>-9.0019999999999996E-3</v>
      </c>
      <c r="N20" s="1065">
        <v>0</v>
      </c>
      <c r="O20" s="892">
        <f>TabCalc[[#This Row],[Up20]]-1+TabCalc[[#This Row],[Up20]]</f>
        <v>-1</v>
      </c>
      <c r="P20" s="892">
        <f>TabCalc[[#This Row],[Up20]]-TabCalc[[#This Row],[Up150]]</f>
        <v>-0.27272727272727271</v>
      </c>
      <c r="Q20" s="892">
        <v>0.27272727272727271</v>
      </c>
      <c r="R20" s="892">
        <f>TabCalc[[#This Row],[Up150]]-1+TabCalc[[#This Row],[Up150]]</f>
        <v>-0.45454545454545459</v>
      </c>
      <c r="S20" s="892">
        <f ca="1">IFERROR(SUMPRODUCT(DataShift!F1512:Z1512,DataShift!AB719:AV719)/SQRT(SUMPRODUCT(DataShift!F1512:Z1512,DataShift!F1512:Z1512)*SUMPRODUCT(DataShift!AB719:AV719,DataShift!AB719:AV719)),0)</f>
        <v>-0.69144640456488893</v>
      </c>
      <c r="T20" s="892">
        <f ca="1">IFERROR(SUMPRODUCT(DataShift!F1512:Z1512,DataShift!F720:Z720)/SQRT(SUMPRODUCT(DataShift!F1512:Z1512,DataShift!F1512:Z1512)*SUMPRODUCT(DataShift!F720:Z720,DataShift!F720:Z720)),0)</f>
        <v>-0.184692054975369</v>
      </c>
      <c r="U20" s="1004">
        <v>0</v>
      </c>
      <c r="V20" s="1004">
        <v>6000</v>
      </c>
      <c r="W20" s="1004">
        <v>0</v>
      </c>
      <c r="X20" s="892"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3,370 = $ 40,810</v>
      </c>
      <c r="Z20" s="211">
        <f ca="1">MIN(TabCalc[[#This Row],[L_Bn]],TabCalc[[#This Row],[NAfter]])*(TabCalc[[#This Row],[M]]+TabCalc[[#This Row],[L_Bp]])*TabCalc[[#This Row],[Scale]]</f>
        <v>-9480.0000000000036</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-25830</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32840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28884.399999999998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-660</v>
      </c>
      <c r="AQ20" s="334">
        <f ca="1">_xlfn.LET(_xlpm.MVToday,DataShift!AV520,         _xlpm.MVY,DataShift!AU521,        _xlpm.MVYY, DataShift!AT521,                                IF(_xlpm.MVToday=_xlpm.MVY,_xlpm.MVY-_xlpm.MVYY,_xlpm.MVToday-_xlpm.MVY))</f>
        <v>-67697</v>
      </c>
      <c r="AR20" s="334">
        <f ca="1">_xlfn.LET(_xlpm.MVToday,DataShift!AV520,         _xlpm.MVY,DataShift!AU521,        _xlpm.MVYY, DataShift!AT521,         _xlpm.MVYYY, DataShift!AS521,                      IF(_xlpm.MVToday=_xlpm.MVY,      _xlpm.MVYY-_xlpm.MVYYY,          _xlpm.MVY-_xlpm.MVYY))</f>
        <v>-1967</v>
      </c>
      <c r="AS20" s="977">
        <f ca="1">TabCalc[[#This Row],[Y]]/TabCalc[[#This Row],[M]]</f>
        <v>1.1973575557390588</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-7.7746627181867423E-2</v>
      </c>
      <c r="AY20" s="82">
        <f t="shared" ca="1" si="1"/>
        <v>0</v>
      </c>
      <c r="AZ20" s="90">
        <f ca="1">_xlfn.XLOOKUP(TabCalc[[#This Row],[Ticker]],[1]!RTData[Ticker_Symbol],[1]!RTData[V/VA])</f>
        <v>0.2292985220081705</v>
      </c>
      <c r="BA20" s="90" t="str" cm="1">
        <f t="array" aca="1" ref="BA20" ca="1">IFERROR(_xlfn.IFS(TabCalc[[#This Row],[Cur]]="USD",Timer!F$27,                TabCalc[[#This Row],[Cur]]="EUR",Timer!F$18,                  TabCalc[[#This Row],[Cur]]="GBP",Timer!F$12,                          TabCalc[[#This Row],[Cur]]="CAD",Timer!F$27,                TabCalc[[#This Row],[Cur]]="JPY",Timer!F$31,                      TabCalc[[#This Row],[Cur]]="CHF",Timer!F$18),"Timing")</f>
        <v>Closed</v>
      </c>
      <c r="BB20" s="90">
        <f ca="1">IF(ISNUMBER(TabCalc[[#This Row],[TimeEX]]),TabCalc[[#This Row],[V/VA]]/TabCalc[[#This Row],[TimeEX]],TabCalc[[#This Row],[V/VA]])</f>
        <v>0.2292985220081705</v>
      </c>
      <c r="BC20" s="87" cm="1">
        <f t="array" aca="1" ref="BC20" ca="1">INDEX(TabReg[], 1, _xlfn.XMATCH(TabCalc[[#This Row],[Ticker]]&amp;1, TabReg[#Headers], 0))</f>
        <v>1889</v>
      </c>
      <c r="BD20" s="159">
        <f ca="1">TabCalc[[#This Row],[Nbegin]]*TabCalc[[#This Row],[M]]*TabCalc[[#This Row],[Scale]]+TabCalc[[#This Row],[ValueBegin]]</f>
        <v>-65189.39</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-39622.217614199966</v>
      </c>
      <c r="BH20" s="336">
        <f ca="1">TabCalc[[#This Row],[M_V]]+TabCalc[[#This Row],[ValueBegin]]</f>
        <v>-15405.179999999993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K20" s="159" cm="1">
        <f t="array" aca="1" ref="BK20" ca="1">SUMPRODUCT(ISNUMBER(INDIRECT("TabReg["&amp;TabCalc[[#This Row],[Ticker]]&amp;"2]"))* INDIRECT("TabReg["&amp;TabCalc[[#This Row],[Ticker]]&amp;"1]") * INDIRECT("TabReg["&amp;TabCalc[[#This Row],[Ticker]]&amp;"2]") )*TabCalc[[#This Row],[Scale]]*(1+Commission)</f>
        <v>-127916.36708219995</v>
      </c>
      <c r="BL20" s="159">
        <f ca="1">TabCalc[[#This Row],[M_V]]*(1-Commission)+TabCalc[[#This Row],[EfCost]]</f>
        <v>-55445.283082199952</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28.98</v>
      </c>
      <c r="BR20" s="174" t="str">
        <f ca="1">IF(TabCalc[[#This Row],[EfCost]]+TabCalc[[#This Row],[M_V]]&lt;TabCalc[[#This Row],[NoT_GL]],"Pile","")</f>
        <v/>
      </c>
      <c r="BS20" s="165">
        <f ca="1">_xlfn.XLOOKUP(TabCalc[[#This Row],[Ticker]],[1]!RTData[Ticker_Symbol],[1]!RTData[Last trade time])</f>
        <v>45980.727108367966</v>
      </c>
      <c r="BT20" s="175">
        <f ca="1">(TabCalc[[#This Row],[ValueBegin]]+(TabCalc[[#This Row],[M]]-TabCalc[[#This Row],[A]])*TabCalc[[#This Row],[NAfter]])*TabCalc[[#This Row],[Scale]]</f>
        <v>-110460.18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-22395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609.0133982947624</v>
      </c>
      <c r="CV20" s="404">
        <f ca="1">IF(TabCalc[[#This Row],[ntoBuy]]*TabCalc[[#This Row],[M]]&lt;=0,0,TabCalc[[#This Row],[ntoBuy]]*TabCalc[[#This Row],[M]])</f>
        <v>7375.1522533495727</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-22395</v>
      </c>
      <c r="DB20" s="90">
        <f ca="1">IFERROR((TabCalc[[#This Row],[M]]+TabCalc[[#This Row],[L_Bp]])/ABS(TabCalc[[#This Row],[L_Bp]])/(TODAY()-TabCalc[[#This Row],[L_Bdate]])*360,"")</f>
        <v>-0.48696406556778254</v>
      </c>
      <c r="DC20" s="310">
        <f ca="1">MEDIAN(DataShift!F720:Z720)</f>
        <v>2.8110000000000001E-3</v>
      </c>
      <c r="DD20" s="310" t="e"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0" s="87">
        <f ca="1">TabCalc[[#This Row],[Nbegin]]*TabCalc[[#This Row],[Scale]]*TabCalc[[#This Row],[M]]</f>
        <v>22875.789999999997</v>
      </c>
      <c r="DF20" s="87" cm="1">
        <f t="array" aca="1" ref="DF20" ca="1">SUMPRODUCT(ISNUMBER(INDIRECT("TabReg["&amp;TabCalc[[#This Row],[Ticker]]&amp;"2]"))* INDIRECT("TabReg["&amp;TabCalc[[#This Row],[Ticker]]&amp;"1]") * INDIRECT("TabReg["&amp;TabCalc[[#This Row],[Ticker]]&amp;"2]") )*TabCalc[[#This Row],[Scale]]</f>
        <v>-127584.64699999997</v>
      </c>
      <c r="DI20" s="87">
        <f ca="1"/>
        <v>442364</v>
      </c>
      <c r="DJ20" s="90">
        <f t="shared" ca="1" si="2"/>
        <v>0.50532308192248943</v>
      </c>
      <c r="DK20" t="str">
        <f ca="1">_xlfn.XLOOKUP(DI20,TabCalc[Column1],TabCalc[Ticker])</f>
        <v>SAFAMZN</v>
      </c>
      <c r="DL20" s="87">
        <f ca="1">_xlfn.XLOOKUP(DK20,TabCalc[Ticker],TabCalc[ValueBegin])</f>
        <v>-314280</v>
      </c>
      <c r="DM20" s="87">
        <f ca="1">_xlfn.XLOOKUP(DK20,TabCalc[Ticker],TabCalc[M_V])</f>
        <v>331773</v>
      </c>
      <c r="DN20" s="87">
        <f ca="1">_xlfn.XLOOKUP(DK20,TabCalc[Ticker],TabCalc[GL])</f>
        <v>158812.93818659999</v>
      </c>
      <c r="DO20" s="90"/>
      <c r="DP20" s="90"/>
      <c r="DQ20" s="88" t="s">
        <v>17</v>
      </c>
      <c r="DR20" s="82">
        <v>17687</v>
      </c>
      <c r="DS20" s="315">
        <v>-5.5781000000000001</v>
      </c>
      <c r="DU20" s="82">
        <v>81300</v>
      </c>
      <c r="DV20" s="82">
        <f ca="1">DU20-TabCalc[[#This Row],[M_V]]</f>
        <v>8640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42">
        <f ca="1">_xlfn.XLOOKUP(TabCalc[[#This Row],[Ticker]],DQ$3:DQ$96,DS$3:DS$96)</f>
        <v>-8.98</v>
      </c>
      <c r="E21" s="121">
        <f t="shared" ca="1" si="0"/>
        <v>-3053200</v>
      </c>
      <c r="F21" s="82">
        <f ca="1">TabCalc[[#This Row],[NAfter]]*TabCalc[[#This Row],[M]]*TabCalc[[#This Row],[Scale]]</f>
        <v>229500</v>
      </c>
      <c r="G21" s="82">
        <f ca="1">IFERROR(TabCalc[[#This Row],[SB]]-TabCalc[[#This Row],[SST]],TabCalc[[#This Row],[SB]])</f>
        <v>15000</v>
      </c>
      <c r="H21" s="532" t="str">
        <f ca="1">[1]!RTData[[#This Row],[Ticker_Symbol]]</f>
        <v>EOAN</v>
      </c>
      <c r="I21" s="383">
        <f ca="1">_xlfn.XLOOKUP(TabCalc[[#This Row],[Ticker]],[1]!RTData[Ticker_Symbol],[1]!RTData[M-Price])</f>
        <v>15.3</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-2.6079999999999996E-3</v>
      </c>
      <c r="N21" s="1065">
        <v>0</v>
      </c>
      <c r="O21" s="892">
        <f>TabCalc[[#This Row],[Up20]]-1+TabCalc[[#This Row],[Up20]]</f>
        <v>-1</v>
      </c>
      <c r="P21" s="892">
        <f>TabCalc[[#This Row],[Up20]]-TabCalc[[#This Row],[Up150]]</f>
        <v>0</v>
      </c>
      <c r="Q21" s="892">
        <v>0</v>
      </c>
      <c r="R21" s="892">
        <f>TabCalc[[#This Row],[Up150]]-1+TabCalc[[#This Row],[Up150]]</f>
        <v>-1</v>
      </c>
      <c r="S21" s="892">
        <f ca="1">IFERROR(SUMPRODUCT(DataShift!F1513:Z1513,DataShift!AB720:AV720)/SQRT(SUMPRODUCT(DataShift!F1513:Z1513,DataShift!F1513:Z1513)*SUMPRODUCT(DataShift!AB720:AV720,DataShift!AB720:AV720)),0)</f>
        <v>-0.7701951923158602</v>
      </c>
      <c r="T21" s="892">
        <f ca="1">IFERROR(SUMPRODUCT(DataShift!F1513:Z1513,DataShift!F721:Z721)/SQRT(SUMPRODUCT(DataShift!F1513:Z1513,DataShift!F1513:Z1513)*SUMPRODUCT(DataShift!F721:Z721,DataShift!F721:Z721)),0)</f>
        <v>0.27863234624453614</v>
      </c>
      <c r="U21" s="1004">
        <v>550</v>
      </c>
      <c r="V21" s="1004">
        <v>14450</v>
      </c>
      <c r="W21" s="1004">
        <v>0</v>
      </c>
      <c r="X21" s="892"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-10692.999999999978</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2600.0000000000068</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2624.0000000000009</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1250</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-225</v>
      </c>
      <c r="AQ21" s="334">
        <f ca="1">_xlfn.LET(_xlpm.MVToday,DataShift!AV521,         _xlpm.MVY,DataShift!AU522,        _xlpm.MVYY, DataShift!AT522,                                IF(_xlpm.MVToday=_xlpm.MVY,_xlpm.MVY-_xlpm.MVYY,_xlpm.MVToday-_xlpm.MVY))</f>
        <v>88557</v>
      </c>
      <c r="AR21" s="334">
        <f ca="1">_xlfn.LET(_xlpm.MVToday,DataShift!AV521,         _xlpm.MVY,DataShift!AU522,        _xlpm.MVYY, DataShift!AT522,         _xlpm.MVYYY, DataShift!AS522,                      IF(_xlpm.MVToday=_xlpm.MVY,      _xlpm.MVYY-_xlpm.MVYYY,          _xlpm.MVY-_xlpm.MVYY))</f>
        <v>-660</v>
      </c>
      <c r="AS21" s="977">
        <f ca="1">TabCalc[[#This Row],[Y]]/TabCalc[[#This Row],[M]]</f>
        <v>1.1058555555555554</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-1.641096026997807E-2</v>
      </c>
      <c r="AY21" s="82">
        <f t="shared" ca="1" si="1"/>
        <v>325000</v>
      </c>
      <c r="AZ21" s="90">
        <f ca="1">_xlfn.XLOOKUP(TabCalc[[#This Row],[Ticker]],[1]!RTData[Ticker_Symbol],[1]!RTData[V/VA])</f>
        <v>3.4286087467618696E-4</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3.4286087467618696E-4</v>
      </c>
      <c r="BC21" s="87" cm="1">
        <f t="array" aca="1" ref="BC21" ca="1">INDEX(TabReg[], 1, _xlfn.XMATCH(TabCalc[[#This Row],[Ticker]]&amp;1, TabReg[#Headers], 0))</f>
        <v>340000</v>
      </c>
      <c r="BD21" s="159">
        <f ca="1">TabCalc[[#This Row],[Nbegin]]*TabCalc[[#This Row],[M]]*TabCalc[[#This Row],[Scale]]+TabCalc[[#This Row],[ValueBegin]]</f>
        <v>2148800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-2823700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K21" s="159" cm="1">
        <f t="array" aca="1" ref="BK21" ca="1">SUMPRODUCT(ISNUMBER(INDIRECT("TabReg["&amp;TabCalc[[#This Row],[Ticker]]&amp;"2]"))* INDIRECT("TabReg["&amp;TabCalc[[#This Row],[Ticker]]&amp;"1]") * INDIRECT("TabReg["&amp;TabCalc[[#This Row],[Ticker]]&amp;"2]") )*TabCalc[[#This Row],[Scale]]*(1+Commission)</f>
        <v>928416.12209999992</v>
      </c>
      <c r="BL21" s="159">
        <f ca="1">TabCalc[[#This Row],[M_V]]*(1-Commission)+TabCalc[[#This Row],[EfCost]]</f>
        <v>1157319.4220999999</v>
      </c>
      <c r="BM21" s="159">
        <f ca="1">IF(        OR( TabCalc[[#This Row],[GL]]&gt;ABS(TabCalc[[#This Row],[EfCost]]),TabCalc[[#This Row],[NAfter]]=0),             TabCalc[[#This Row],[GL]],     0)</f>
        <v>1157319.4220999999</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45980.71597222222</v>
      </c>
      <c r="BT21" s="175">
        <f ca="1">(TabCalc[[#This Row],[ValueBegin]]+(TabCalc[[#This Row],[M]]-TabCalc[[#This Row],[A]])*TabCalc[[#This Row],[NAfter]])*TabCalc[[#This Row],[Scale]]</f>
        <v>-3063607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-10406.999999999993</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6097.5609756097538</v>
      </c>
      <c r="CV21" s="404">
        <f ca="1">IF(TabCalc[[#This Row],[ntoBuy]]*TabCalc[[#This Row],[M]]&lt;=0,0,TabCalc[[#This Row],[ntoBuy]]*TabCalc[[#This Row],[M]])</f>
        <v>93292.682926829235</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-10406.999999999993</v>
      </c>
      <c r="DB21" s="90">
        <f ca="1">IFERROR((TabCalc[[#This Row],[M]]+TabCalc[[#This Row],[L_Bp]])/ABS(TabCalc[[#This Row],[L_Bp]])/(TODAY()-TabCalc[[#This Row],[L_Bdate]])*360,"")</f>
        <v>-1.1863199144994632</v>
      </c>
      <c r="DC21" s="310">
        <f ca="1">MEDIAN(DataShift!F721:Z721)</f>
        <v>-5.2119999999999996E-3</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5202000</v>
      </c>
      <c r="DF21" s="87" cm="1">
        <f t="array" aca="1" ref="DF21" ca="1">SUMPRODUCT(ISNUMBER(INDIRECT("TabReg["&amp;TabCalc[[#This Row],[Ticker]]&amp;"2]"))* INDIRECT("TabReg["&amp;TabCalc[[#This Row],[Ticker]]&amp;"1]") * INDIRECT("TabReg["&amp;TabCalc[[#This Row],[Ticker]]&amp;"2]") )*TabCalc[[#This Row],[Scale]]</f>
        <v>926008.5</v>
      </c>
      <c r="DI21" s="87">
        <f ca="1"/>
        <v>439120</v>
      </c>
      <c r="DJ21" s="90">
        <f t="shared" ca="1" si="2"/>
        <v>0.91885728435330039</v>
      </c>
      <c r="DK21" t="str">
        <f ca="1">_xlfn.XLOOKUP(DI21,TabCalc[Column1],TabCalc[Ticker])</f>
        <v>NFLX</v>
      </c>
      <c r="DL21" s="87">
        <f ca="1">_xlfn.XLOOKUP(DK21,TabCalc[Ticker],TabCalc[ValueBegin])</f>
        <v>-1572600</v>
      </c>
      <c r="DM21" s="87">
        <f ca="1">_xlfn.XLOOKUP(DK21,TabCalc[Ticker],TabCalc[M_V])</f>
        <v>3293400</v>
      </c>
      <c r="DN21" s="87">
        <f ca="1">_xlfn.XLOOKUP(DK21,TabCalc[Ticker],TabCalc[GL])</f>
        <v>1444994.9653740001</v>
      </c>
      <c r="DO21" s="90"/>
      <c r="DP21" s="90"/>
      <c r="DQ21" t="s">
        <v>18</v>
      </c>
      <c r="DR21" s="82">
        <v>50000</v>
      </c>
      <c r="DS21" s="315">
        <v>-9.02</v>
      </c>
      <c r="DU21" s="82">
        <v>8662.5</v>
      </c>
      <c r="DV21" s="82">
        <f ca="1">DU21-TabCalc[[#This Row],[M_V]]</f>
        <v>-220837.5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42">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-0.21282643375199975</v>
      </c>
      <c r="M22" s="732">
        <f ca="1">_xlfn.XLOOKUP(TabCalc[[#This Row],[Ticker]],[1]!RTData[Ticker_Symbol],[1]!RTData[Change%])</f>
        <v>0</v>
      </c>
      <c r="N22" s="1065">
        <v>0</v>
      </c>
      <c r="O22" s="892">
        <f>TabCalc[[#This Row],[Up20]]-1+TabCalc[[#This Row],[Up20]]</f>
        <v>-1</v>
      </c>
      <c r="P22" s="892">
        <f>TabCalc[[#This Row],[Up20]]-TabCalc[[#This Row],[Up150]]</f>
        <v>-0.50413223140495866</v>
      </c>
      <c r="Q22" s="892">
        <v>0.50413223140495866</v>
      </c>
      <c r="R22" s="892">
        <f>TabCalc[[#This Row],[Up150]]-1+TabCalc[[#This Row],[Up150]]</f>
        <v>8.2644628099173278E-3</v>
      </c>
      <c r="S22" s="892">
        <f ca="1">IFERROR(SUMPRODUCT(DataShift!F1514:Z1514,DataShift!AB721:AV721)/SQRT(SUMPRODUCT(DataShift!F1514:Z1514,DataShift!F1514:Z1514)*SUMPRODUCT(DataShift!AB721:AV721,DataShift!AB721:AV721)),0)</f>
        <v>-0.87179659186485492</v>
      </c>
      <c r="T22" s="892">
        <f ca="1">IFERROR(SUMPRODUCT(DataShift!F1514:Z1514,DataShift!F722:Z722)/SQRT(SUMPRODUCT(DataShift!F1514:Z1514,DataShift!F1514:Z1514)*SUMPRODUCT(DataShift!F722:Z722,DataShift!F722:Z722)),0)</f>
        <v>8.1693218875465629E-2</v>
      </c>
      <c r="U22" s="1004">
        <v>0</v>
      </c>
      <c r="V22" s="1004">
        <v>30000</v>
      </c>
      <c r="W22" s="1004">
        <v>0</v>
      </c>
      <c r="X22" s="892"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-156840</v>
      </c>
      <c r="AR22" s="334">
        <f ca="1">_xlfn.LET(_xlpm.MVToday,DataShift!AV522,         _xlpm.MVY,DataShift!AU523,        _xlpm.MVYY, DataShift!AT523,         _xlpm.MVYYY, DataShift!AS523,                      IF(_xlpm.MVToday=_xlpm.MVY,      _xlpm.MVYY-_xlpm.MVYYY,          _xlpm.MVY-_xlpm.MVYY))</f>
        <v>1050</v>
      </c>
      <c r="AS22" s="977">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                TabCalc[[#This Row],[Cur]]="EUR",Timer!F$18,                  TabCalc[[#This Row],[Cur]]="GBP",Timer!F$12,                          TabCalc[[#This Row],[Cur]]="CAD",Timer!F$27,                TabCalc[[#This Row],[Cur]]="JPY",Timer!F$31,                      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K22" s="159" cm="1">
        <f t="array" aca="1" ref="BK22" ca="1">SUMPRODUCT(ISNUMBER(INDIRECT("TabReg["&amp;TabCalc[[#This Row],[Ticker]]&amp;"2]"))* INDIRECT("TabReg["&amp;TabCalc[[#This Row],[Ticker]]&amp;"1]") * INDIRECT("TabReg["&amp;TabCalc[[#This Row],[Ticker]]&amp;"2]") )*TabCalc[[#This Row],[Scale]]*(1+Commission)</f>
        <v>-6384.7930125599923</v>
      </c>
      <c r="BL22" s="159">
        <f ca="1">TabCalc[[#This Row],[M_V]]*(1-Commission)+TabCalc[[#This Row],[EfCost]]</f>
        <v>-364.48661255999286</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-1.0812529663028001</v>
      </c>
      <c r="DC22" s="310">
        <f ca="1">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437299.99999999994</v>
      </c>
      <c r="DJ22" s="90">
        <f t="shared" ca="1" si="2"/>
        <v>0.10495065681716829</v>
      </c>
      <c r="DK22" t="str">
        <f ca="1">_xlfn.XLOOKUP(DI22,TabCalc[Column1],TabCalc[Ticker])</f>
        <v>MVERWE</v>
      </c>
      <c r="DL22" s="87">
        <f ca="1">_xlfn.XLOOKUP(DK22,TabCalc[Ticker],TabCalc[ValueBegin])</f>
        <v>-358800</v>
      </c>
      <c r="DM22" s="87">
        <f ca="1">_xlfn.XLOOKUP(DK22,TabCalc[Ticker],TabCalc[M_V])</f>
        <v>43.73</v>
      </c>
      <c r="DN22" s="87">
        <f ca="1">_xlfn.XLOOKUP(DK22,TabCalc[Ticker],TabCalc[GL])</f>
        <v>37656.295665999984</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42">
        <f ca="1">_xlfn.XLOOKUP(TabCalc[[#This Row],[Ticker]],DQ$3:DQ$96,DS$3:DS$96)</f>
        <v>-37.4</v>
      </c>
      <c r="E23" s="121">
        <f t="shared" ca="1" si="0"/>
        <v>-37400</v>
      </c>
      <c r="F23" s="82">
        <f ca="1">TabCalc[[#This Row],[NAfter]]*TabCalc[[#This Row],[M]]*TabCalc[[#This Row],[Scale]]</f>
        <v>691.15</v>
      </c>
      <c r="G23" s="82">
        <f ca="1">IFERROR(TabCalc[[#This Row],[SB]]-TabCalc[[#This Row],[SST]],TabCalc[[#This Row],[SB]])</f>
        <v>10</v>
      </c>
      <c r="H23" s="532" t="str">
        <f ca="1">[1]!RTData[[#This Row],[Ticker_Symbol]]</f>
        <v>GM</v>
      </c>
      <c r="I23" s="383">
        <f ca="1">_xlfn.XLOOKUP(TabCalc[[#This Row],[Ticker]],[1]!RTData[Ticker_Symbol],[1]!RTData[M-Price])</f>
        <v>69.114999999999995</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1.7444000000000001E-2</v>
      </c>
      <c r="N23" s="1065">
        <v>0</v>
      </c>
      <c r="O23" s="892">
        <f>TabCalc[[#This Row],[Up20]]-1+TabCalc[[#This Row],[Up20]]</f>
        <v>-1</v>
      </c>
      <c r="P23" s="892">
        <f>TabCalc[[#This Row],[Up20]]-TabCalc[[#This Row],[Up150]]</f>
        <v>-0.8</v>
      </c>
      <c r="Q23" s="892">
        <v>0.8</v>
      </c>
      <c r="R23" s="892">
        <f>TabCalc[[#This Row],[Up150]]-1+TabCalc[[#This Row],[Up150]]</f>
        <v>0.60000000000000009</v>
      </c>
      <c r="S23" s="892">
        <f ca="1">IFERROR(SUMPRODUCT(DataShift!F1515:Z1515,DataShift!AB722:AV722)/SQRT(SUMPRODUCT(DataShift!F1515:Z1515,DataShift!F1515:Z1515)*SUMPRODUCT(DataShift!AB722:AV722,DataShift!AB722:AV722)),0)</f>
        <v>-0.37793708500206408</v>
      </c>
      <c r="T23" s="892">
        <f ca="1">IFERROR(SUMPRODUCT(DataShift!F1515:Z1515,DataShift!F723:Z723)/SQRT(SUMPRODUCT(DataShift!F1515:Z1515,DataShift!F1515:Z1515)*SUMPRODUCT(DataShift!F723:Z723,DataShift!F723:Z723)),0)</f>
        <v>0</v>
      </c>
      <c r="U23" s="1004">
        <v>10</v>
      </c>
      <c r="V23" s="1004">
        <v>0</v>
      </c>
      <c r="W23" s="1004">
        <v>0</v>
      </c>
      <c r="X23" s="892"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224.38999999999993</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255.64999999999998</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-21267.179999999993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-21943.349999999991</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10.549999999999955</v>
      </c>
      <c r="AQ23" s="334">
        <f ca="1">_xlfn.LET(_xlpm.MVToday,DataShift!AV523,         _xlpm.MVY,DataShift!AU524,        _xlpm.MVYY, DataShift!AT524,                                IF(_xlpm.MVToday=_xlpm.MVY,_xlpm.MVY-_xlpm.MVYY,_xlpm.MVToday-_xlpm.MVY))</f>
        <v>223464</v>
      </c>
      <c r="AR23" s="334">
        <f ca="1">_xlfn.LET(_xlpm.MVToday,DataShift!AV523,         _xlpm.MVY,DataShift!AU524,        _xlpm.MVYY, DataShift!AT524,         _xlpm.MVYYY, DataShift!AS524,                      IF(_xlpm.MVToday=_xlpm.MVY,      _xlpm.MVYY-_xlpm.MVYYY,          _xlpm.MVY-_xlpm.MVYY))</f>
        <v>0</v>
      </c>
      <c r="AS23" s="977">
        <f ca="1">TabCalc[[#This Row],[Y]]/TabCalc[[#This Row],[M]]</f>
        <v>1.058436663531795</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-1.303057776597541E-2</v>
      </c>
      <c r="AY23" s="82">
        <f t="shared" ca="1" si="1"/>
        <v>990</v>
      </c>
      <c r="AZ23" s="90">
        <f ca="1">_xlfn.XLOOKUP(TabCalc[[#This Row],[Ticker]],[1]!RTData[Ticker_Symbol],[1]!RTData[V/VA])</f>
        <v>0.29901271886794123</v>
      </c>
      <c r="BA23" s="90" t="str" cm="1">
        <f t="array" aca="1" ref="BA23" ca="1">IFERROR(_xlfn.IFS(TabCalc[[#This Row],[Cur]]="USD",Timer!F$27,                TabCalc[[#This Row],[Cur]]="EUR",Timer!F$18,                  TabCalc[[#This Row],[Cur]]="GBP",Timer!F$12,                          TabCalc[[#This Row],[Cur]]="CAD",Timer!F$27,                TabCalc[[#This Row],[Cur]]="JPY",Timer!F$31,                      TabCalc[[#This Row],[Cur]]="CHF",Timer!F$18),"Timing")</f>
        <v>Closed</v>
      </c>
      <c r="BB23" s="90">
        <f ca="1">IF(ISNUMBER(TabCalc[[#This Row],[TimeEX]]),TabCalc[[#This Row],[V/VA]]/TabCalc[[#This Row],[TimeEX]],TabCalc[[#This Row],[V/VA]])</f>
        <v>0.29901271886794123</v>
      </c>
      <c r="BC23" s="87" cm="1">
        <f t="array" aca="1" ref="BC23" ca="1">INDEX(TabReg[], 1, _xlfn.XMATCH(TabCalc[[#This Row],[Ticker]]&amp;1, TabReg[#Headers], 0))</f>
        <v>1000</v>
      </c>
      <c r="BD23" s="159">
        <f ca="1">TabCalc[[#This Row],[Nbegin]]*TabCalc[[#This Row],[M]]*TabCalc[[#This Row],[Scale]]+TabCalc[[#This Row],[ValueBegin]]</f>
        <v>31715</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-36708.85</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K23" s="159" cm="1">
        <f t="array" aca="1" ref="BK23" ca="1">SUMPRODUCT(ISNUMBER(INDIRECT("TabReg["&amp;TabCalc[[#This Row],[Ticker]]&amp;"2]"))* INDIRECT("TabReg["&amp;TabCalc[[#This Row],[Ticker]]&amp;"1]") * INDIRECT("TabReg["&amp;TabCalc[[#This Row],[Ticker]]&amp;"2]") )*TabCalc[[#This Row],[Scale]]*(1+Commission)</f>
        <v>13743.570618</v>
      </c>
      <c r="BL23" s="159">
        <f ca="1">TabCalc[[#This Row],[M_V]]*(1-Commission)+TabCalc[[#This Row],[EfCost]]</f>
        <v>14432.923628</v>
      </c>
      <c r="BM23" s="159">
        <f ca="1">IF(        OR( TabCalc[[#This Row],[GL]]&gt;ABS(TabCalc[[#This Row],[EfCost]]),TabCalc[[#This Row],[NAfter]]=0),             TabCalc[[#This Row],[GL]],     0)</f>
        <v>14432.923628</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45980.72735310156</v>
      </c>
      <c r="BT23" s="175">
        <f ca="1">(TabCalc[[#This Row],[ValueBegin]]+(TabCalc[[#This Row],[M]]-TabCalc[[#This Row],[A]])*TabCalc[[#This Row],[NAfter]])*TabCalc[[#This Row],[Scale]]</f>
        <v>-37175.61</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224.38999999999993</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691.15</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224.38999999999993</v>
      </c>
      <c r="DB23" s="90">
        <f ca="1">IFERROR((TabCalc[[#This Row],[M]]+TabCalc[[#This Row],[L_Bp]])/ABS(TabCalc[[#This Row],[L_Bp]])/(TODAY()-TabCalc[[#This Row],[L_Bdate]])*360,"")</f>
        <v>0.36901118101082786</v>
      </c>
      <c r="DC23" s="310">
        <f ca="1">MEDIAN(DataShift!F723:Z723)</f>
        <v>0</v>
      </c>
      <c r="DD23" s="310" t="e"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3" s="87">
        <f ca="1">TabCalc[[#This Row],[Nbegin]]*TabCalc[[#This Row],[Scale]]*TabCalc[[#This Row],[M]]</f>
        <v>69115</v>
      </c>
      <c r="DF23" s="87" cm="1">
        <f t="array" aca="1" ref="DF23" ca="1">SUMPRODUCT(ISNUMBER(INDIRECT("TabReg["&amp;TabCalc[[#This Row],[Ticker]]&amp;"2]"))* INDIRECT("TabReg["&amp;TabCalc[[#This Row],[Ticker]]&amp;"1]") * INDIRECT("TabReg["&amp;TabCalc[[#This Row],[Ticker]]&amp;"2]") )*TabCalc[[#This Row],[Scale]]</f>
        <v>13707.93</v>
      </c>
      <c r="DI23" s="87">
        <f ca="1"/>
        <v>391368</v>
      </c>
      <c r="DJ23" s="90">
        <f t="shared" ca="1" si="2"/>
        <v>0.69834850213728916</v>
      </c>
      <c r="DK23" t="str">
        <f ca="1">_xlfn.XLOOKUP(DI23,TabCalc[Column1],TabCalc[Ticker])</f>
        <v>CSCO</v>
      </c>
      <c r="DL23" s="87">
        <f ca="1">_xlfn.XLOOKUP(DK23,TabCalc[Ticker],TabCalc[ValueBegin])</f>
        <v>-198850.00000000003</v>
      </c>
      <c r="DM23" s="87">
        <f ca="1">_xlfn.XLOOKUP(DK23,TabCalc[Ticker],TabCalc[M_V])</f>
        <v>78273.600000000006</v>
      </c>
      <c r="DN23" s="87">
        <f ca="1">_xlfn.XLOOKUP(DK23,TabCalc[Ticker],TabCalc[GL])</f>
        <v>138866.59964999996</v>
      </c>
      <c r="DO23" s="90"/>
      <c r="DP23" s="90"/>
      <c r="DQ23" s="88" t="s">
        <v>20</v>
      </c>
      <c r="DR23" s="81">
        <v>12000</v>
      </c>
      <c r="DS23" s="315">
        <v>-11.16</v>
      </c>
      <c r="DU23" s="82">
        <v>668.7</v>
      </c>
      <c r="DV23" s="82">
        <f ca="1">DU23-TabCalc[[#This Row],[M_V]]</f>
        <v>-22.449999999999932</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42">
        <f ca="1">_xlfn.XLOOKUP(TabCalc[[#This Row],[Ticker]],DQ$3:DQ$96,DS$3:DS$96)</f>
        <v>-11.16</v>
      </c>
      <c r="E24" s="121">
        <f t="shared" ca="1" si="0"/>
        <v>-133920</v>
      </c>
      <c r="F24" s="82">
        <f ca="1">TabCalc[[#This Row],[NAfter]]*TabCalc[[#This Row],[M]]*TabCalc[[#This Row],[Scale]]</f>
        <v>190762</v>
      </c>
      <c r="G24" s="82">
        <f ca="1">IFERROR(TabCalc[[#This Row],[SB]]-TabCalc[[#This Row],[SST]],TabCalc[[#This Row],[SB]])</f>
        <v>9200</v>
      </c>
      <c r="H24" s="532" t="str">
        <f ca="1">[1]!RTData[[#This Row],[Ticker_Symbol]]</f>
        <v>HPE</v>
      </c>
      <c r="I24" s="383">
        <f ca="1">_xlfn.XLOOKUP(TabCalc[[#This Row],[Ticker]],[1]!RTData[Ticker_Symbol],[1]!RTData[M-Price])</f>
        <v>20.734999999999999</v>
      </c>
      <c r="J24" s="382">
        <v>20.386068695652174</v>
      </c>
      <c r="K24" s="381">
        <f ca="1">_xlfn.XLOOKUP(TabCalc[[#This Row],[Ticker]],[1]!RTData[Ticker_Symbol],[1]!RTData[1YT])</f>
        <v>26.51211</v>
      </c>
      <c r="L24" s="382">
        <f ca="1">IF(OR(TabCalc[[#This Row],[NAfter]]=0,TabCalc[[#This Row],[EfCost]]&gt;0),0,TabCalc[[#This Row],[EfCost]]/TabCalc[[#This Row],[NAfter]]/TabCalc[[#This Row],[Scale]])</f>
        <v>-3.9548210869565215</v>
      </c>
      <c r="M24" s="732">
        <f ca="1">_xlfn.XLOOKUP(TabCalc[[#This Row],[Ticker]],[1]!RTData[Ticker_Symbol],[1]!RTData[Change%])</f>
        <v>-7.8949999999999992E-3</v>
      </c>
      <c r="N24" s="1065">
        <v>0</v>
      </c>
      <c r="O24" s="892">
        <f>TabCalc[[#This Row],[Up20]]-1+TabCalc[[#This Row],[Up20]]</f>
        <v>-1</v>
      </c>
      <c r="P24" s="892">
        <f>TabCalc[[#This Row],[Up20]]-TabCalc[[#This Row],[Up150]]</f>
        <v>-0.75</v>
      </c>
      <c r="Q24" s="892">
        <v>0.75</v>
      </c>
      <c r="R24" s="892">
        <f>TabCalc[[#This Row],[Up150]]-1+TabCalc[[#This Row],[Up150]]</f>
        <v>0.5</v>
      </c>
      <c r="S24" s="892">
        <f ca="1">IFERROR(SUMPRODUCT(DataShift!F1516:Z1516,DataShift!AB723:AV723)/SQRT(SUMPRODUCT(DataShift!F1516:Z1516,DataShift!F1516:Z1516)*SUMPRODUCT(DataShift!AB723:AV723,DataShift!AB723:AV723)),0)</f>
        <v>-0.63042517195611525</v>
      </c>
      <c r="T24" s="892">
        <f ca="1">IFERROR(SUMPRODUCT(DataShift!F1516:Z1516,DataShift!F724:Z724)/SQRT(SUMPRODUCT(DataShift!F1516:Z1516,DataShift!F1516:Z1516)*SUMPRODUCT(DataShift!F724:Z724,DataShift!F724:Z724)),0)</f>
        <v>-0.38442511769804255</v>
      </c>
      <c r="U24" s="1004">
        <v>8000</v>
      </c>
      <c r="V24" s="1004">
        <v>1200</v>
      </c>
      <c r="W24" s="1004">
        <v>0</v>
      </c>
      <c r="X24" s="892"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-3410.9999999999991</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-5022.0000000000027</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6093.0000000000027</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6402.0000000000009</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-782</v>
      </c>
      <c r="AQ24" s="334">
        <f ca="1">_xlfn.LET(_xlpm.MVToday,DataShift!AV524,         _xlpm.MVY,DataShift!AU525,        _xlpm.MVYY, DataShift!AT525,                                IF(_xlpm.MVToday=_xlpm.MVY,_xlpm.MVY-_xlpm.MVYY,_xlpm.MVToday-_xlpm.MVY))</f>
        <v>5344.85</v>
      </c>
      <c r="AR24" s="334">
        <f ca="1">_xlfn.LET(_xlpm.MVToday,DataShift!AV524,         _xlpm.MVY,DataShift!AU525,        _xlpm.MVYY, DataShift!AT525,         _xlpm.MVYYY, DataShift!AS525,                      IF(_xlpm.MVToday=_xlpm.MVY,      _xlpm.MVYY-_xlpm.MVYYY,          _xlpm.MVY-_xlpm.MVYY))</f>
        <v>11.75</v>
      </c>
      <c r="AS24" s="977">
        <f ca="1">TabCalc[[#This Row],[Y]]/TabCalc[[#This Row],[M]]</f>
        <v>1.2786163491680733</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-0.35073861115311927</v>
      </c>
      <c r="AY24" s="82">
        <f t="shared" ca="1" si="1"/>
        <v>2800</v>
      </c>
      <c r="AZ24" s="90">
        <f ca="1">_xlfn.XLOOKUP(TabCalc[[#This Row],[Ticker]],[1]!RTData[Ticker_Symbol],[1]!RTData[V/VA])</f>
        <v>0.19064964394428682</v>
      </c>
      <c r="BA24" s="90" t="str" cm="1">
        <f t="array" aca="1" ref="BA24" ca="1">IFERROR(_xlfn.IFS(TabCalc[[#This Row],[Cur]]="USD",Timer!F$27,                TabCalc[[#This Row],[Cur]]="EUR",Timer!F$18,                  TabCalc[[#This Row],[Cur]]="GBP",Timer!F$12,                          TabCalc[[#This Row],[Cur]]="CAD",Timer!F$27,                TabCalc[[#This Row],[Cur]]="JPY",Timer!F$31,                      TabCalc[[#This Row],[Cur]]="CHF",Timer!F$18),"Timing")</f>
        <v>Closed</v>
      </c>
      <c r="BB24" s="90">
        <f ca="1">IF(ISNUMBER(TabCalc[[#This Row],[TimeEX]]),TabCalc[[#This Row],[V/VA]]/TabCalc[[#This Row],[TimeEX]],TabCalc[[#This Row],[V/VA]])</f>
        <v>0.19064964394428682</v>
      </c>
      <c r="BC24" s="87" cm="1">
        <f t="array" aca="1" ref="BC24" ca="1">INDEX(TabReg[], 1, _xlfn.XMATCH(TabCalc[[#This Row],[Ticker]]&amp;1, TabReg[#Headers], 0))</f>
        <v>12000</v>
      </c>
      <c r="BD24" s="159">
        <f ca="1">TabCalc[[#This Row],[Nbegin]]*TabCalc[[#This Row],[M]]*TabCalc[[#This Row],[Scale]]+TabCalc[[#This Row],[ValueBegin]]</f>
        <v>114900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56842</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K24" s="159" cm="1">
        <f t="array" aca="1" ref="BK24" ca="1">SUMPRODUCT(ISNUMBER(INDIRECT("TabReg["&amp;TabCalc[[#This Row],[Ticker]]&amp;"2]"))* INDIRECT("TabReg["&amp;TabCalc[[#This Row],[Ticker]]&amp;"1]") * INDIRECT("TabReg["&amp;TabCalc[[#This Row],[Ticker]]&amp;"2]") )*TabCalc[[#This Row],[Scale]]*(1+Commission)</f>
        <v>-36384.353999999999</v>
      </c>
      <c r="BL24" s="159">
        <f ca="1">TabCalc[[#This Row],[M_V]]*(1-Commission)+TabCalc[[#This Row],[EfCost]]</f>
        <v>153881.6648</v>
      </c>
      <c r="BM24" s="159">
        <f ca="1">IF(        OR( TabCalc[[#This Row],[GL]]&gt;ABS(TabCalc[[#This Row],[EfCost]]),TabCalc[[#This Row],[NAfter]]=0),             TabCalc[[#This Row],[GL]],     0)</f>
        <v>153881.6648</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6.25</v>
      </c>
      <c r="BR24" s="174" t="str">
        <f ca="1">IF(TabCalc[[#This Row],[EfCost]]+TabCalc[[#This Row],[M_V]]&lt;TabCalc[[#This Row],[NoT_GL]],"Pile","")</f>
        <v/>
      </c>
      <c r="BS24" s="165">
        <f ca="1">_xlfn.XLOOKUP(TabCalc[[#This Row],[Ticker]],[1]!RTData[Ticker_Symbol],[1]!RTData[Last trade time])</f>
        <v>45980.727392904686</v>
      </c>
      <c r="BT24" s="175">
        <f ca="1">(TabCalc[[#This Row],[ValueBegin]]+(TabCalc[[#This Row],[M]]-TabCalc[[#This Row],[A]])*TabCalc[[#This Row],[NAfter]])*TabCalc[[#This Row],[Scale]]</f>
        <v>-130709.83200000001</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3210.1679999999947</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1477.104874446085</v>
      </c>
      <c r="CV24" s="404">
        <f ca="1">IF(TabCalc[[#This Row],[ntoBuy]]*TabCalc[[#This Row],[M]]&lt;=0,0,TabCalc[[#This Row],[ntoBuy]]*TabCalc[[#This Row],[M]])</f>
        <v>30627.769571639572</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0</v>
      </c>
      <c r="CZ24" s="336">
        <f ca="1">IFERROR(TabCalc[[#This Row],[NMA]]*TabCalc[[#This Row],[M]],"")</f>
        <v>0</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3210.1679999999947</v>
      </c>
      <c r="DB24" s="90">
        <f ca="1">IFERROR((TabCalc[[#This Row],[M]]+TabCalc[[#This Row],[L_Bp]])/ABS(TabCalc[[#This Row],[L_Bp]])/(TODAY()-TabCalc[[#This Row],[L_Bdate]])*360,"")</f>
        <v>-1.0048608042421563</v>
      </c>
      <c r="DC24" s="310">
        <f ca="1">MEDIAN(DataShift!F724:Z724)</f>
        <v>1.0506999999999999E-2</v>
      </c>
      <c r="DD24" s="310" t="e"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4" s="87">
        <f ca="1">TabCalc[[#This Row],[Nbegin]]*TabCalc[[#This Row],[Scale]]*TabCalc[[#This Row],[M]]</f>
        <v>248820</v>
      </c>
      <c r="DF24" s="87" cm="1">
        <f t="array" aca="1" ref="DF24" ca="1">SUMPRODUCT(ISNUMBER(INDIRECT("TabReg["&amp;TabCalc[[#This Row],[Ticker]]&amp;"2]"))* INDIRECT("TabReg["&amp;TabCalc[[#This Row],[Ticker]]&amp;"1]") * INDIRECT("TabReg["&amp;TabCalc[[#This Row],[Ticker]]&amp;"2]") )*TabCalc[[#This Row],[Scale]]</f>
        <v>-36290</v>
      </c>
      <c r="DI24" s="87">
        <f ca="1"/>
        <v>387160</v>
      </c>
      <c r="DJ24" s="90">
        <f t="shared" ca="1" si="2"/>
        <v>3.0688421663208163</v>
      </c>
      <c r="DK24" t="str">
        <f ca="1">_xlfn.XLOOKUP(DI24,TabCalc[Column1],TabCalc[Ticker])</f>
        <v>THC</v>
      </c>
      <c r="DL24" s="87">
        <f ca="1">_xlfn.XLOOKUP(DK24,TabCalc[Ticker],TabCalc[ValueBegin])</f>
        <v>-92140</v>
      </c>
      <c r="DM24" s="87">
        <f ca="1">_xlfn.XLOOKUP(DK24,TabCalc[Ticker],TabCalc[M_V])</f>
        <v>290370</v>
      </c>
      <c r="DN24" s="87">
        <f ca="1">_xlfn.XLOOKUP(DK24,TabCalc[Ticker],TabCalc[GL])</f>
        <v>282763.11720480002</v>
      </c>
      <c r="DO24" s="90"/>
      <c r="DP24" s="90"/>
      <c r="DQ24" s="88" t="s">
        <v>21</v>
      </c>
      <c r="DR24" s="81">
        <v>1000</v>
      </c>
      <c r="DS24" s="315">
        <v>-15.7</v>
      </c>
      <c r="DU24" s="82">
        <v>216935.99999999997</v>
      </c>
      <c r="DV24" s="82">
        <f ca="1">DU24-TabCalc[[#This Row],[M_V]]</f>
        <v>26173.999999999971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42">
        <f ca="1">_xlfn.XLOOKUP(TabCalc[[#This Row],[Ticker]],DQ$3:DQ$96,DS$3:DS$96)</f>
        <v>-15.7</v>
      </c>
      <c r="E25" s="121">
        <f t="shared" ca="1" si="0"/>
        <v>-15700</v>
      </c>
      <c r="F25" s="82">
        <f ca="1">TabCalc[[#This Row],[NAfter]]*TabCalc[[#This Row],[M]]*TabCalc[[#This Row],[Scale]]</f>
        <v>112700</v>
      </c>
      <c r="G25" s="82">
        <f ca="1">IFERROR(TabCalc[[#This Row],[SB]]-TabCalc[[#This Row],[SST]],TabCalc[[#This Row],[SB]])</f>
        <v>5000</v>
      </c>
      <c r="H25" s="532" t="str">
        <f ca="1">[1]!RTData[[#This Row],[Ticker_Symbol]]</f>
        <v>HPQ</v>
      </c>
      <c r="I25" s="383">
        <f ca="1">_xlfn.XLOOKUP(TabCalc[[#This Row],[Ticker]],[1]!RTData[Ticker_Symbol],[1]!RTData[M-Price])</f>
        <v>22.54</v>
      </c>
      <c r="J25" s="382">
        <v>26.097999999999999</v>
      </c>
      <c r="K25" s="381">
        <f ca="1">_xlfn.XLOOKUP(TabCalc[[#This Row],[Ticker]],[1]!RTData[Ticker_Symbol],[1]!RTData[1YT])</f>
        <v>28.282499999999999</v>
      </c>
      <c r="L25" s="382">
        <f ca="1">IF(OR(TabCalc[[#This Row],[NAfter]]=0,TabCalc[[#This Row],[EfCost]]&gt;0),0,TabCalc[[#This Row],[EfCost]]/TabCalc[[#This Row],[NAfter]]/TabCalc[[#This Row],[Scale]])</f>
        <v>-16.83481541183999</v>
      </c>
      <c r="M25" s="732">
        <f ca="1">_xlfn.XLOOKUP(TabCalc[[#This Row],[Ticker]],[1]!RTData[Ticker_Symbol],[1]!RTData[Change%])</f>
        <v>-7.4860000000000005E-3</v>
      </c>
      <c r="N25" s="1065">
        <v>0</v>
      </c>
      <c r="O25" s="892">
        <f>TabCalc[[#This Row],[Up20]]-1+TabCalc[[#This Row],[Up20]]</f>
        <v>-1</v>
      </c>
      <c r="P25" s="892">
        <f>TabCalc[[#This Row],[Up20]]-TabCalc[[#This Row],[Up150]]</f>
        <v>-0.33333333333333331</v>
      </c>
      <c r="Q25" s="892">
        <v>0.33333333333333331</v>
      </c>
      <c r="R25" s="892">
        <f>TabCalc[[#This Row],[Up150]]-1+TabCalc[[#This Row],[Up150]]</f>
        <v>-0.33333333333333343</v>
      </c>
      <c r="S25" s="892">
        <f ca="1">IFERROR(SUMPRODUCT(DataShift!F1517:Z1517,DataShift!AB724:AV724)/SQRT(SUMPRODUCT(DataShift!F1517:Z1517,DataShift!F1517:Z1517)*SUMPRODUCT(DataShift!AB724:AV724,DataShift!AB724:AV724)),0)</f>
        <v>-0.89102820533050386</v>
      </c>
      <c r="T25" s="892">
        <f ca="1">IFERROR(SUMPRODUCT(DataShift!F1517:Z1517,DataShift!F725:Z725)/SQRT(SUMPRODUCT(DataShift!F1517:Z1517,DataShift!F1517:Z1517)*SUMPRODUCT(DataShift!F725:Z725,DataShift!F725:Z725)),0)</f>
        <v>0.35731230025523375</v>
      </c>
      <c r="U25" s="1004">
        <v>0</v>
      </c>
      <c r="V25" s="1004">
        <v>5000</v>
      </c>
      <c r="W25" s="1004">
        <v>0</v>
      </c>
      <c r="X25" s="892"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-4990.0000000000018</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-12799.999999999996</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6400.0000000000018</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18159.999999999996</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-700</v>
      </c>
      <c r="AQ25" s="334">
        <f ca="1">_xlfn.LET(_xlpm.MVToday,DataShift!AV525,         _xlpm.MVY,DataShift!AU526,        _xlpm.MVYY, DataShift!AT526,                                IF(_xlpm.MVToday=_xlpm.MVY,_xlpm.MVY-_xlpm.MVYY,_xlpm.MVToday-_xlpm.MVY))</f>
        <v>-190070.85</v>
      </c>
      <c r="AR25" s="334">
        <f ca="1">_xlfn.LET(_xlpm.MVToday,DataShift!AV525,         _xlpm.MVY,DataShift!AU526,        _xlpm.MVYY, DataShift!AT526,         _xlpm.MVYYY, DataShift!AS526,                      IF(_xlpm.MVToday=_xlpm.MVY,      _xlpm.MVYY-_xlpm.MVYYY,          _xlpm.MVY-_xlpm.MVYY))</f>
        <v>-1610</v>
      </c>
      <c r="AS25" s="977">
        <f ca="1">TabCalc[[#This Row],[Y]]/TabCalc[[#This Row],[M]]</f>
        <v>1.2547692990239574</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-0.29705119518118428</v>
      </c>
      <c r="AY25" s="82">
        <f t="shared" ca="1" si="1"/>
        <v>0</v>
      </c>
      <c r="AZ25" s="90">
        <f ca="1">_xlfn.XLOOKUP(TabCalc[[#This Row],[Ticker]],[1]!RTData[Ticker_Symbol],[1]!RTData[V/VA])</f>
        <v>0.26374238355573848</v>
      </c>
      <c r="BA25" s="90" t="str" cm="1">
        <f t="array" aca="1" ref="BA25" ca="1">IFERROR(_xlfn.IFS(TabCalc[[#This Row],[Cur]]="USD",Timer!F$27,                TabCalc[[#This Row],[Cur]]="EUR",Timer!F$18,                  TabCalc[[#This Row],[Cur]]="GBP",Timer!F$12,                          TabCalc[[#This Row],[Cur]]="CAD",Timer!F$27,                TabCalc[[#This Row],[Cur]]="JPY",Timer!F$31,                      TabCalc[[#This Row],[Cur]]="CHF",Timer!F$18),"Timing")</f>
        <v>Closed</v>
      </c>
      <c r="BB25" s="90">
        <f ca="1">IF(ISNUMBER(TabCalc[[#This Row],[TimeEX]]),TabCalc[[#This Row],[V/VA]]/TabCalc[[#This Row],[TimeEX]],TabCalc[[#This Row],[V/VA]])</f>
        <v>0.26374238355573848</v>
      </c>
      <c r="BC25" s="87" cm="1">
        <f t="array" aca="1" ref="BC25" ca="1">INDEX(TabReg[], 1, _xlfn.XMATCH(TabCalc[[#This Row],[Ticker]]&amp;1, TabReg[#Headers], 0))</f>
        <v>1000</v>
      </c>
      <c r="BD25" s="159">
        <f ca="1">TabCalc[[#This Row],[Nbegin]]*TabCalc[[#This Row],[M]]*TabCalc[[#This Row],[Scale]]+TabCalc[[#This Row],[ValueBegin]]</f>
        <v>6840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-68433.257059199939</v>
      </c>
      <c r="BH25" s="336">
        <f ca="1">TabCalc[[#This Row],[M_V]]+TabCalc[[#This Row],[ValueBegin]]</f>
        <v>97000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K25" s="159" cm="1">
        <f t="array" aca="1" ref="BK25" ca="1">SUMPRODUCT(ISNUMBER(INDIRECT("TabReg["&amp;TabCalc[[#This Row],[Ticker]]&amp;"2]"))* INDIRECT("TabReg["&amp;TabCalc[[#This Row],[Ticker]]&amp;"1]") * INDIRECT("TabReg["&amp;TabCalc[[#This Row],[Ticker]]&amp;"2]") )*TabCalc[[#This Row],[Scale]]*(1+Commission)</f>
        <v>-84174.077059199946</v>
      </c>
      <c r="BL25" s="159">
        <f ca="1">TabCalc[[#This Row],[M_V]]*(1-Commission)+TabCalc[[#This Row],[EfCost]]</f>
        <v>28232.90294080005</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25.63</v>
      </c>
      <c r="BR25" s="174" t="str">
        <f ca="1">IF(TabCalc[[#This Row],[EfCost]]+TabCalc[[#This Row],[M_V]]&lt;TabCalc[[#This Row],[NoT_GL]],"Pile","")</f>
        <v/>
      </c>
      <c r="BS25" s="165">
        <f ca="1">_xlfn.XLOOKUP(TabCalc[[#This Row],[Ticker]],[1]!RTData[Ticker_Symbol],[1]!RTData[Last trade time])</f>
        <v>45980.727297846875</v>
      </c>
      <c r="BT25" s="175">
        <f ca="1">(TabCalc[[#This Row],[ValueBegin]]+(TabCalc[[#This Row],[M]]-TabCalc[[#This Row],[A]])*TabCalc[[#This Row],[NAfter]])*TabCalc[[#This Row],[Scale]]</f>
        <v>-33490</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-17790</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781.24999999999977</v>
      </c>
      <c r="CV25" s="404">
        <f ca="1">IF(TabCalc[[#This Row],[ntoBuy]]*TabCalc[[#This Row],[M]]&lt;=0,0,TabCalc[[#This Row],[ntoBuy]]*TabCalc[[#This Row],[M]])</f>
        <v>17609.374999999993</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-17790</v>
      </c>
      <c r="DB25" s="90">
        <f ca="1">IFERROR((TabCalc[[#This Row],[M]]+TabCalc[[#This Row],[L_Bp]])/ABS(TabCalc[[#This Row],[L_Bp]])/(TODAY()-TabCalc[[#This Row],[L_Bdate]])*360,"")</f>
        <v>-1.9191897609025457</v>
      </c>
      <c r="DC25" s="310">
        <f ca="1">MEDIAN(DataShift!F725:Z725)</f>
        <v>0</v>
      </c>
      <c r="DD25" s="310" t="e"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5" s="87">
        <f ca="1">TabCalc[[#This Row],[Nbegin]]*TabCalc[[#This Row],[Scale]]*TabCalc[[#This Row],[M]]</f>
        <v>22540</v>
      </c>
      <c r="DF25" s="87" cm="1">
        <f t="array" aca="1" ref="DF25" ca="1">SUMPRODUCT(ISNUMBER(INDIRECT("TabReg["&amp;TabCalc[[#This Row],[Ticker]]&amp;"2]"))* INDIRECT("TabReg["&amp;TabCalc[[#This Row],[Ticker]]&amp;"1]") * INDIRECT("TabReg["&amp;TabCalc[[#This Row],[Ticker]]&amp;"2]") )*TabCalc[[#This Row],[Scale]]</f>
        <v>-83955.791999999958</v>
      </c>
      <c r="DI25" s="87">
        <f ca="1"/>
        <v>355782</v>
      </c>
      <c r="DJ25" s="90">
        <f t="shared" ca="1" si="2"/>
        <v>0.22010944730562906</v>
      </c>
      <c r="DK25" t="str">
        <f ca="1">_xlfn.XLOOKUP(DI25,TabCalc[Column1],TabCalc[Ticker])</f>
        <v>NEE</v>
      </c>
      <c r="DL25" s="87">
        <f ca="1">_xlfn.XLOOKUP(DK25,TabCalc[Ticker],TabCalc[ValueBegin])</f>
        <v>-303902.86</v>
      </c>
      <c r="DM25" s="87">
        <f ca="1">_xlfn.XLOOKUP(DK25,TabCalc[Ticker],TabCalc[M_V])</f>
        <v>84.71</v>
      </c>
      <c r="DN25" s="87">
        <f ca="1">_xlfn.XLOOKUP(DK25,TabCalc[Ticker],TabCalc[GL])</f>
        <v>66891.890549199961</v>
      </c>
      <c r="DO25" s="90"/>
      <c r="DP25" s="90"/>
      <c r="DQ25" s="88" t="s">
        <v>22</v>
      </c>
      <c r="DR25" s="81">
        <v>500000</v>
      </c>
      <c r="DS25" s="315">
        <v>-157</v>
      </c>
      <c r="DU25" s="82">
        <v>129725</v>
      </c>
      <c r="DV25" s="82">
        <f ca="1">DU25-TabCalc[[#This Row],[M_V]]</f>
        <v>17025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42">
        <f ca="1">_xlfn.XLOOKUP(TabCalc[[#This Row],[Ticker]],DQ$3:DQ$96,DS$3:DS$96)</f>
        <v>-157</v>
      </c>
      <c r="E26" s="121">
        <f t="shared" ca="1" si="0"/>
        <v>-785000</v>
      </c>
      <c r="F26" s="82">
        <f ca="1">TabCalc[[#This Row],[NAfter]]*TabCalc[[#This Row],[M]]*TabCalc[[#This Row],[Scale]]</f>
        <v>377600</v>
      </c>
      <c r="G26" s="82">
        <f ca="1">IFERROR(TabCalc[[#This Row],[SB]]-TabCalc[[#This Row],[SST]],TabCalc[[#This Row],[SB]])</f>
        <v>100000</v>
      </c>
      <c r="H26" s="532" t="str">
        <f ca="1">[1]!RTData[[#This Row],[Ticker_Symbol]]</f>
        <v>IAG</v>
      </c>
      <c r="I26" s="383">
        <f ca="1">_xlfn.XLOOKUP(TabCalc[[#This Row],[Ticker]],[1]!RTData[Ticker_Symbol],[1]!RTData[M-Price])</f>
        <v>377.6</v>
      </c>
      <c r="J26" s="382">
        <v>273.72197999999997</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1.6966999999999999E-2</v>
      </c>
      <c r="N26" s="1065">
        <v>0</v>
      </c>
      <c r="O26" s="892">
        <f>TabCalc[[#This Row],[Up20]]-1+TabCalc[[#This Row],[Up20]]</f>
        <v>-1</v>
      </c>
      <c r="P26" s="892">
        <f>TabCalc[[#This Row],[Up20]]-TabCalc[[#This Row],[Up150]]</f>
        <v>-0.55555555555555558</v>
      </c>
      <c r="Q26" s="892">
        <v>0.55555555555555558</v>
      </c>
      <c r="R26" s="892">
        <f>TabCalc[[#This Row],[Up150]]-1+TabCalc[[#This Row],[Up150]]</f>
        <v>0.11111111111111116</v>
      </c>
      <c r="S26" s="892">
        <f ca="1">IFERROR(SUMPRODUCT(DataShift!F1518:Z1518,DataShift!AB725:AV725)/SQRT(SUMPRODUCT(DataShift!F1518:Z1518,DataShift!F1518:Z1518)*SUMPRODUCT(DataShift!AB725:AV725,DataShift!AB725:AV725)),0)</f>
        <v>-0.82667259258509063</v>
      </c>
      <c r="T26" s="892">
        <f ca="1">IFERROR(SUMPRODUCT(DataShift!F1518:Z1518,DataShift!F726:Z726)/SQRT(SUMPRODUCT(DataShift!F1518:Z1518,DataShift!F1518:Z1518)*SUMPRODUCT(DataShift!F726:Z726,DataShift!F726:Z726)),0)</f>
        <v>0.25568113658759467</v>
      </c>
      <c r="U26" s="1004">
        <v>100000</v>
      </c>
      <c r="V26" s="1004">
        <v>0</v>
      </c>
      <c r="W26" s="1004">
        <v>0</v>
      </c>
      <c r="X26" s="892"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25717.600000000006</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18624.420000000009</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2159.9999999999964</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481.99999999999363</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6600</v>
      </c>
      <c r="AQ26" s="334">
        <f ca="1">_xlfn.LET(_xlpm.MVToday,DataShift!AV526,         _xlpm.MVY,DataShift!AU527,        _xlpm.MVYY, DataShift!AT527,                                IF(_xlpm.MVToday=_xlpm.MVY,_xlpm.MVY-_xlpm.MVYY,_xlpm.MVToday-_xlpm.MVY))</f>
        <v>78062</v>
      </c>
      <c r="AR26" s="334">
        <f ca="1">_xlfn.LET(_xlpm.MVToday,DataShift!AV526,         _xlpm.MVY,DataShift!AU527,        _xlpm.MVYY, DataShift!AT527,         _xlpm.MVYYY, DataShift!AS527,                      IF(_xlpm.MVToday=_xlpm.MVY,      _xlpm.MVYY-_xlpm.MVYYY,          _xlpm.MVY-_xlpm.MVYY))</f>
        <v>-850</v>
      </c>
      <c r="AS26" s="977">
        <f ca="1">TabCalc[[#This Row],[Y]]/TabCalc[[#This Row],[M]]</f>
        <v>1.2290630296610168</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-400000</v>
      </c>
      <c r="AX26" s="305">
        <f ca="1">IFERROR((TabCalc[[#This Row],[M]]-TabCalc[[#This Row],[Y]])*(TabCalc[[#This Row],[M]]-TabCalc[[#This Row],[Y]])*(TabCalc[[#This Row],[M]]-TabCalc[[#This Row],[Y]])/(TabCalc[[#This Row],[Y]]*TabCalc[[#This Row],[M]]),"")</f>
        <v>-3.6925197934877474</v>
      </c>
      <c r="AY26" s="82">
        <f t="shared" ca="1" si="1"/>
        <v>400000</v>
      </c>
      <c r="AZ26" s="90">
        <f ca="1">_xlfn.XLOOKUP(TabCalc[[#This Row],[Ticker]],[1]!RTData[Ticker_Symbol],[1]!RTData[V/VA])</f>
        <v>0.83798052886889074</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0.83798052886889074</v>
      </c>
      <c r="BC26" s="87" cm="1">
        <f t="array" aca="1" ref="BC26" ca="1">INDEX(TabReg[], 1, _xlfn.XMATCH(TabCalc[[#This Row],[Ticker]]&amp;1, TabReg[#Headers], 0))</f>
        <v>500000</v>
      </c>
      <c r="BD26" s="159">
        <f ca="1">TabCalc[[#This Row],[Nbegin]]*TabCalc[[#This Row],[M]]*TabCalc[[#This Row],[Scale]]+TabCalc[[#This Row],[ValueBegin]]</f>
        <v>1103000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-407400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2354918.8972175401</v>
      </c>
      <c r="BK26" s="159" cm="1">
        <f t="array" aca="1" ref="BK26" ca="1">SUMPRODUCT(ISNUMBER(INDIRECT("TabReg["&amp;TabCalc[[#This Row],[Ticker]]&amp;"2]"))* INDIRECT("TabReg["&amp;TabCalc[[#This Row],[Ticker]]&amp;"1]") * INDIRECT("TabReg["&amp;TabCalc[[#This Row],[Ticker]]&amp;"2]") )*TabCalc[[#This Row],[Scale]]*(1+Commission)</f>
        <v>771401.10883446003</v>
      </c>
      <c r="BL26" s="159">
        <f ca="1">TabCalc[[#This Row],[M_V]]*(1-Commission)+TabCalc[[#This Row],[EfCost]]</f>
        <v>1148019.3488344601</v>
      </c>
      <c r="BM26" s="159">
        <f ca="1">IF(        OR( TabCalc[[#This Row],[GL]]&gt;ABS(TabCalc[[#This Row],[EfCost]]),TabCalc[[#This Row],[NAfter]]=0),             TabCalc[[#This Row],[GL]],     0)</f>
        <v>1148019.3488344601</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45980.679229015623</v>
      </c>
      <c r="BT26" s="175">
        <f ca="1">(TabCalc[[#This Row],[ValueBegin]]+(TabCalc[[#This Row],[M]]-TabCalc[[#This Row],[A]])*TabCalc[[#This Row],[NAfter]])*TabCalc[[#This Row],[Scale]]</f>
        <v>96028.020000000062</v>
      </c>
      <c r="BU26" s="187" cm="1">
        <f t="array" aca="1" ref="BU26" ca="1">_xlfn.XLOOKUP(TabCalc[[#This Row],[Ticker]],TabReg[[#Headers],[AAPL]:[UnknownX28]],Reg!B$72:KF$72)+3</f>
        <v>54</v>
      </c>
      <c r="BV26" s="188" cm="1">
        <f t="array" aca="1" ref="BV26" ca="1">_xlfn.XLOOKUP(TabCalc[[#This Row],[Ticker]],TabReg[[#Headers],[AAPL]:[UnknownX28]],Reg!B$73:KF$73)+2</f>
        <v>72</v>
      </c>
      <c r="BW26" s="189">
        <f ca="1">IFERROR(MAX(TabCalc[[#This Row],[Max_SD]],TabCalc[[#This Row],[Max_PD]]),0)</f>
        <v>45974</v>
      </c>
      <c r="BX26" s="189" t="str" cm="1">
        <f t="array" aca="1" ref="BX26" ca="1">_xlfn.LET(_xlpm.LAST_T,TabCalc[[#This Row],[L_TP]],_xlfn.IFS(_xlpm.LAST_T&lt;0,"Purchase",_xlpm.LAST_T&gt;0,"Sale"))</f>
        <v>Sale</v>
      </c>
      <c r="BY26" s="188" cm="1">
        <f t="array" aca="1" ref="BY26" ca="1">INDEX(Reg!$A$1:$KF$73,TabCalc[[#This Row],[L_I1]],TabCalc[[#This Row],[L_I2]])</f>
        <v>10000</v>
      </c>
      <c r="BZ26" s="190" cm="1">
        <f t="array" aca="1" ref="BZ26" ca="1">INDEX(Reg!$A$1:$KF$73,TabCalc[[#This Row],[L_I1]],TabCalc[[#This Row],[L_I2]]+1)</f>
        <v>399.2</v>
      </c>
      <c r="CA26" s="159">
        <f ca="1">TabCalc[[#This Row],[NAfter]]*(TabCalc[[#This Row],[M]]-IF(TabCalc[[#This Row],[E]]&gt;0,0,TabCalc[[#This Row],[A]]))</f>
        <v>10387802.000000006</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231.48148148148184</v>
      </c>
      <c r="CV26" s="404">
        <f ca="1">IF(TabCalc[[#This Row],[ntoBuy]]*TabCalc[[#This Row],[M]]&lt;=0,0,TabCalc[[#This Row],[ntoBuy]]*TabCalc[[#This Row],[M]])</f>
        <v>87407.407407407547</v>
      </c>
      <c r="CW26" s="404">
        <f ca="1">IF(TabCalc[[#This Row],[M]]&gt;ABS(TabCalc[[#This Row],[L_Bp]]),MIN(TabCalc[[#This Row],[NAfter]],DesiredSaleGain/(TabCalc[[#This Row],[M]]+TabCalc[[#This Row],[L_Bp]])),0)/TabCalc[[#This Row],[Scale]]</f>
        <v>3888.3877189162276</v>
      </c>
      <c r="CX26" s="405">
        <f ca="1">TabCalc[[#This Row],[ntoSell]]*TabCalc[[#This Row],[M]]</f>
        <v>1468255.2026627676</v>
      </c>
      <c r="CY26" s="398">
        <f ca="1">_xlfn.LET(_xlpm.nToSell,IF(TabCalc[[#This Row],[M]]-TabCalc[[#This Row],[A]]&lt;=0,"",INT(DesiredSaleGain/(TabCalc[[#This Row],[M]]-IF(TabCalc[[#This Row],[E]]&gt;0,0,TabCalc[[#This Row],[A]])))),IF(_xlpm.nToSell&lt;=TabCalc[[#This Row],[NAfter]],_xlpm.nToSell,0))</f>
        <v>48</v>
      </c>
      <c r="CZ26" s="336">
        <f ca="1">IFERROR(TabCalc[[#This Row],[NMA]]*TabCalc[[#This Row],[M]],"")</f>
        <v>18124.800000000003</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103878.02000000006</v>
      </c>
      <c r="DB26" s="90">
        <f ca="1">IFERROR((TabCalc[[#This Row],[M]]+TabCalc[[#This Row],[L_Bp]])/ABS(TabCalc[[#This Row],[L_Bp]])/(TODAY()-TabCalc[[#This Row],[L_Bdate]])*360,"")</f>
        <v>0.80129914802610269</v>
      </c>
      <c r="DC26" s="310">
        <f ca="1">MEDIAN(DataShift!F726:Z726)</f>
        <v>-6.1089999999999998E-3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1888000</v>
      </c>
      <c r="DF26" s="87" cm="1">
        <f t="array" aca="1" ref="DF26" ca="1">SUMPRODUCT(ISNUMBER(INDIRECT("TabReg["&amp;TabCalc[[#This Row],[Ticker]]&amp;"2]"))* INDIRECT("TabReg["&amp;TabCalc[[#This Row],[Ticker]]&amp;"1]") * INDIRECT("TabReg["&amp;TabCalc[[#This Row],[Ticker]]&amp;"2]") )*TabCalc[[#This Row],[Scale]]</f>
        <v>769400.66710000008</v>
      </c>
      <c r="DI26" s="87">
        <f ca="1"/>
        <v>337750</v>
      </c>
      <c r="DJ26" s="90">
        <f t="shared" ca="1" si="2"/>
        <v>0.64594011690489572</v>
      </c>
      <c r="DK26" t="str">
        <f ca="1">_xlfn.XLOOKUP(DI26,TabCalc[Column1],TabCalc[Ticker])</f>
        <v>KR</v>
      </c>
      <c r="DL26" s="87">
        <f ca="1">_xlfn.XLOOKUP(DK26,TabCalc[Ticker],TabCalc[ValueBegin])</f>
        <v>-177700</v>
      </c>
      <c r="DM26" s="87">
        <f ca="1">_xlfn.XLOOKUP(DK26,TabCalc[Ticker],TabCalc[M_V])</f>
        <v>405300</v>
      </c>
      <c r="DN26" s="87">
        <f ca="1">_xlfn.XLOOKUP(DK26,TabCalc[Ticker],TabCalc[GL])</f>
        <v>114783.55877399998</v>
      </c>
      <c r="DO26" s="90"/>
      <c r="DP26" s="90"/>
      <c r="DQ26" s="88" t="s">
        <v>23</v>
      </c>
      <c r="DR26" s="81">
        <v>5000</v>
      </c>
      <c r="DS26" s="315">
        <v>-35.54</v>
      </c>
      <c r="DU26" s="82">
        <v>802940</v>
      </c>
      <c r="DV26" s="82">
        <f ca="1">DU26-TabCalc[[#This Row],[M_V]]</f>
        <v>425340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42">
        <f ca="1">_xlfn.XLOOKUP(TabCalc[[#This Row],[Ticker]],DQ$3:DQ$96,DS$3:DS$96)</f>
        <v>-35.54</v>
      </c>
      <c r="E27" s="121">
        <f t="shared" ca="1" si="0"/>
        <v>-177700</v>
      </c>
      <c r="F27" s="82">
        <f ca="1">TabCalc[[#This Row],[NAfter]]*TabCalc[[#This Row],[M]]*TabCalc[[#This Row],[Scale]]</f>
        <v>405300</v>
      </c>
      <c r="G27" s="82">
        <f ca="1">IFERROR(TabCalc[[#This Row],[SB]]-TabCalc[[#This Row],[SST]],TabCalc[[#This Row],[SB]])</f>
        <v>6000</v>
      </c>
      <c r="H27" s="532" t="str">
        <f ca="1">[1]!RTData[[#This Row],[Ticker_Symbol]]</f>
        <v>KR</v>
      </c>
      <c r="I27" s="383">
        <f ca="1">_xlfn.XLOOKUP(TabCalc[[#This Row],[Ticker]],[1]!RTData[Ticker_Symbol],[1]!RTData[M-Price])</f>
        <v>67.55</v>
      </c>
      <c r="J27" s="382">
        <v>66.849428571428575</v>
      </c>
      <c r="K27" s="381">
        <f ca="1">_xlfn.XLOOKUP(TabCalc[[#This Row],[Ticker]],[1]!RTData[Ticker_Symbol],[1]!RTData[1YT])</f>
        <v>76.045450000000002</v>
      </c>
      <c r="L27" s="382">
        <f ca="1">IF(OR(TabCalc[[#This Row],[NAfter]]=0,TabCalc[[#This Row],[EfCost]]&gt;0),0,TabCalc[[#This Row],[EfCost]]/TabCalc[[#This Row],[NAfter]]/TabCalc[[#This Row],[Scale]])</f>
        <v>-48.243776871000001</v>
      </c>
      <c r="M27" s="732">
        <f ca="1">_xlfn.XLOOKUP(TabCalc[[#This Row],[Ticker]],[1]!RTData[Ticker_Symbol],[1]!RTData[Change%])</f>
        <v>2.5230000000000001E-3</v>
      </c>
      <c r="N27" s="1065">
        <v>0</v>
      </c>
      <c r="O27" s="892">
        <f>TabCalc[[#This Row],[Up20]]-1+TabCalc[[#This Row],[Up20]]</f>
        <v>-1</v>
      </c>
      <c r="P27" s="892">
        <f>TabCalc[[#This Row],[Up20]]-TabCalc[[#This Row],[Up150]]</f>
        <v>-0.125</v>
      </c>
      <c r="Q27" s="892">
        <v>0.125</v>
      </c>
      <c r="R27" s="892">
        <f>TabCalc[[#This Row],[Up150]]-1+TabCalc[[#This Row],[Up150]]</f>
        <v>-0.75</v>
      </c>
      <c r="S27" s="892">
        <f ca="1">IFERROR(SUMPRODUCT(DataShift!F1519:Z1519,DataShift!AB726:AV726)/SQRT(SUMPRODUCT(DataShift!F1519:Z1519,DataShift!F1519:Z1519)*SUMPRODUCT(DataShift!AB726:AV726,DataShift!AB726:AV726)),0)</f>
        <v>-0.79378520834529642</v>
      </c>
      <c r="T27" s="892">
        <f ca="1">IFERROR(SUMPRODUCT(DataShift!F1519:Z1519,DataShift!F727:Z727)/SQRT(SUMPRODUCT(DataShift!F1519:Z1519,DataShift!F1519:Z1519)*SUMPRODUCT(DataShift!F727:Z727,DataShift!F727:Z727)),0)</f>
        <v>0.20794844625786013</v>
      </c>
      <c r="U27" s="1004">
        <v>2000</v>
      </c>
      <c r="V27" s="1004">
        <v>5000</v>
      </c>
      <c r="W27" s="1004">
        <v>0</v>
      </c>
      <c r="X27" s="892"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7719.9999999999991</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554.99999999999261</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-2649.9999999999914</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4269.9999999999964</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-60</v>
      </c>
      <c r="AQ27" s="334">
        <f ca="1">_xlfn.LET(_xlpm.MVToday,DataShift!AV527,         _xlpm.MVY,DataShift!AU528,        _xlpm.MVYY, DataShift!AT528,                                IF(_xlpm.MVToday=_xlpm.MVY,_xlpm.MVY-_xlpm.MVYY,_xlpm.MVToday-_xlpm.MVY))</f>
        <v>-264900</v>
      </c>
      <c r="AR27" s="334">
        <f ca="1">_xlfn.LET(_xlpm.MVToday,DataShift!AV527,         _xlpm.MVY,DataShift!AU528,        _xlpm.MVYY, DataShift!AT528,         _xlpm.MVYYY, DataShift!AS528,                      IF(_xlpm.MVToday=_xlpm.MVY,      _xlpm.MVYY-_xlpm.MVYYY,          _xlpm.MVY-_xlpm.MVYY))</f>
        <v>7211</v>
      </c>
      <c r="AS27" s="977">
        <f ca="1">TabCalc[[#This Row],[Y]]/TabCalc[[#This Row],[M]]</f>
        <v>1.1257653589933383</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-0.11936048560969678</v>
      </c>
      <c r="AY27" s="82">
        <f t="shared" ca="1" si="1"/>
        <v>0</v>
      </c>
      <c r="AZ27" s="90">
        <f ca="1">_xlfn.XLOOKUP(TabCalc[[#This Row],[Ticker]],[1]!RTData[Ticker_Symbol],[1]!RTData[V/VA])</f>
        <v>0.37935129172396009</v>
      </c>
      <c r="BA27" s="90" t="str" cm="1">
        <f t="array" aca="1" ref="BA27" ca="1">IFERROR(_xlfn.IFS(TabCalc[[#This Row],[Cur]]="USD",Timer!F$27,                TabCalc[[#This Row],[Cur]]="EUR",Timer!F$18,                  TabCalc[[#This Row],[Cur]]="GBP",Timer!F$12,                          TabCalc[[#This Row],[Cur]]="CAD",Timer!F$27,                TabCalc[[#This Row],[Cur]]="JPY",Timer!F$31,                      TabCalc[[#This Row],[Cur]]="CHF",Timer!F$18),"Timing")</f>
        <v>Closed</v>
      </c>
      <c r="BB27" s="90">
        <f ca="1">IF(ISNUMBER(TabCalc[[#This Row],[TimeEX]]),TabCalc[[#This Row],[V/VA]]/TabCalc[[#This Row],[TimeEX]],TabCalc[[#This Row],[V/VA]])</f>
        <v>0.37935129172396009</v>
      </c>
      <c r="BC27" s="87" cm="1">
        <f t="array" aca="1" ref="BC27" ca="1">INDEX(TabReg[], 1, _xlfn.XMATCH(TabCalc[[#This Row],[Ticker]]&amp;1, TabReg[#Headers], 0))</f>
        <v>5000</v>
      </c>
      <c r="BD27" s="159">
        <f ca="1">TabCalc[[#This Row],[Nbegin]]*TabCalc[[#This Row],[M]]*TabCalc[[#This Row],[Scale]]+TabCalc[[#This Row],[ValueBegin]]</f>
        <v>160050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-111300.64122600001</v>
      </c>
      <c r="BH27" s="336">
        <f ca="1">TabCalc[[#This Row],[M_V]]+TabCalc[[#This Row],[ValueBegin]]</f>
        <v>227600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784548.55637999997</v>
      </c>
      <c r="BK27" s="159" cm="1">
        <f t="array" aca="1" ref="BK27" ca="1">SUMPRODUCT(ISNUMBER(INDIRECT("TabReg["&amp;TabCalc[[#This Row],[Ticker]]&amp;"2]"))* INDIRECT("TabReg["&amp;TabCalc[[#This Row],[Ticker]]&amp;"1]") * INDIRECT("TabReg["&amp;TabCalc[[#This Row],[Ticker]]&amp;"2]") )*TabCalc[[#This Row],[Scale]]*(1+Commission)</f>
        <v>-289462.661226</v>
      </c>
      <c r="BL27" s="159">
        <f ca="1">TabCalc[[#This Row],[M_V]]*(1-Commission)+TabCalc[[#This Row],[EfCost]]</f>
        <v>114783.55877399998</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45980.727271122654</v>
      </c>
      <c r="BT27" s="175">
        <f ca="1">(TabCalc[[#This Row],[ValueBegin]]+(TabCalc[[#This Row],[M]]-TabCalc[[#This Row],[A]])*TabCalc[[#This Row],[NAfter]])*TabCalc[[#This Row],[Scale]]</f>
        <v>-173496.57142857148</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4203.4285714285315</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1295.3367875647671</v>
      </c>
      <c r="CX27" s="405">
        <f ca="1">TabCalc[[#This Row],[ntoSell]]*TabCalc[[#This Row],[M]]</f>
        <v>87500.000000000015</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4203.4285714285315</v>
      </c>
      <c r="DB27" s="90">
        <f ca="1">IFERROR((TabCalc[[#This Row],[M]]+TabCalc[[#This Row],[L_Bp]])/ABS(TabCalc[[#This Row],[L_Bp]])/(TODAY()-TabCalc[[#This Row],[L_Bdate]])*360,"")</f>
        <v>1.4545454545454546</v>
      </c>
      <c r="DC27" s="310">
        <f ca="1">MEDIAN(DataShift!F727:Z727)</f>
        <v>-4.8999999999999998E-4</v>
      </c>
      <c r="DD27" s="310" t="e"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7" s="87">
        <f ca="1">TabCalc[[#This Row],[Nbegin]]*TabCalc[[#This Row],[Scale]]*TabCalc[[#This Row],[M]]</f>
        <v>337750</v>
      </c>
      <c r="DF27" s="87" cm="1">
        <f t="array" aca="1" ref="DF27" ca="1">SUMPRODUCT(ISNUMBER(INDIRECT("TabReg["&amp;TabCalc[[#This Row],[Ticker]]&amp;"2]"))* INDIRECT("TabReg["&amp;TabCalc[[#This Row],[Ticker]]&amp;"1]") * INDIRECT("TabReg["&amp;TabCalc[[#This Row],[Ticker]]&amp;"2]") )*TabCalc[[#This Row],[Scale]]</f>
        <v>-288712.01</v>
      </c>
      <c r="DI27" s="87">
        <f ca="1"/>
        <v>308250</v>
      </c>
      <c r="DJ27" s="90">
        <f t="shared" ca="1" si="2"/>
        <v>-0.37005794933191055</v>
      </c>
      <c r="DK27" t="str">
        <f ca="1">_xlfn.XLOOKUP(DI27,TabCalc[Column1],TabCalc[Ticker])</f>
        <v>SAP</v>
      </c>
      <c r="DL27" s="87">
        <f ca="1">_xlfn.XLOOKUP(DK27,TabCalc[Ticker],TabCalc[ValueBegin])</f>
        <v>-139573.04999999999</v>
      </c>
      <c r="DM27" s="87">
        <f ca="1">_xlfn.XLOOKUP(DK27,TabCalc[Ticker],TabCalc[M_V])</f>
        <v>780900</v>
      </c>
      <c r="DN27" s="87">
        <f ca="1">_xlfn.XLOOKUP(DK27,TabCalc[Ticker],TabCalc[GL])</f>
        <v>-51650.116665000212</v>
      </c>
      <c r="DO27" s="90"/>
      <c r="DP27" s="90"/>
      <c r="DQ27" s="88" t="s">
        <v>24</v>
      </c>
      <c r="DR27" s="81">
        <v>2276</v>
      </c>
      <c r="DS27" s="315">
        <v>-17.760724956063267</v>
      </c>
      <c r="DU27" s="82">
        <v>318750</v>
      </c>
      <c r="DV27" s="82">
        <f ca="1">DU27-TabCalc[[#This Row],[M_V]]</f>
        <v>-86550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42">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10.09</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1.2036E-2</v>
      </c>
      <c r="N28" s="1065">
        <v>0</v>
      </c>
      <c r="O28" s="892">
        <f>TabCalc[[#This Row],[Up20]]-1+TabCalc[[#This Row],[Up20]]</f>
        <v>-1</v>
      </c>
      <c r="P28" s="892">
        <f>TabCalc[[#This Row],[Up20]]-TabCalc[[#This Row],[Up150]]</f>
        <v>0</v>
      </c>
      <c r="Q28" s="892">
        <v>0</v>
      </c>
      <c r="R28" s="892">
        <f>TabCalc[[#This Row],[Up150]]-1+TabCalc[[#This Row],[Up150]]</f>
        <v>-1</v>
      </c>
      <c r="S28" s="892">
        <f ca="1">IFERROR(SUMPRODUCT(DataShift!F1520:Z1520,DataShift!AB727:AV727)/SQRT(SUMPRODUCT(DataShift!F1520:Z1520,DataShift!F1520:Z1520)*SUMPRODUCT(DataShift!AB727:AV727,DataShift!AB727:AV727)),0)</f>
        <v>-0.86140735795354906</v>
      </c>
      <c r="T28" s="892">
        <f ca="1">IFERROR(SUMPRODUCT(DataShift!F1520:Z1520,DataShift!F728:Z728)/SQRT(SUMPRODUCT(DataShift!F1520:Z1520,DataShift!F1520:Z1520)*SUMPRODUCT(DataShift!F728:Z728,DataShift!F728:Z728)),0)</f>
        <v>-0.12010319528337531</v>
      </c>
      <c r="U28" s="1004">
        <v>0</v>
      </c>
      <c r="V28" s="1004">
        <v>2660</v>
      </c>
      <c r="W28" s="1004">
        <v>0</v>
      </c>
      <c r="X28" s="892"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-4889.9999999999973</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-11669.052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-27700</v>
      </c>
      <c r="AR28" s="334">
        <f ca="1">_xlfn.LET(_xlpm.MVToday,DataShift!AV528,         _xlpm.MVY,DataShift!AU529,        _xlpm.MVYY, DataShift!AT529,         _xlpm.MVYYY, DataShift!AS529,                      IF(_xlpm.MVToday=_xlpm.MVY,      _xlpm.MVYY-_xlpm.MVYYY,          _xlpm.MVY-_xlpm.MVYY))</f>
        <v>870</v>
      </c>
      <c r="AS28" s="977">
        <f ca="1">TabCalc[[#This Row],[Y]]/TabCalc[[#This Row],[M]]</f>
        <v>1.4866204162537167</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-0.78209957713908163</v>
      </c>
      <c r="AY28" s="82">
        <f t="shared" ca="1" si="1"/>
        <v>2276</v>
      </c>
      <c r="AZ28" s="90">
        <f ca="1">_xlfn.XLOOKUP(TabCalc[[#This Row],[Ticker]],[1]!RTData[Ticker_Symbol],[1]!RTData[V/VA])</f>
        <v>0.23353369276031477</v>
      </c>
      <c r="BA28" s="90" t="str" cm="1">
        <f t="array" aca="1" ref="BA28" ca="1">IFERROR(_xlfn.IFS(TabCalc[[#This Row],[Cur]]="USD",Timer!F$27,                TabCalc[[#This Row],[Cur]]="EUR",Timer!F$18,                  TabCalc[[#This Row],[Cur]]="GBP",Timer!F$12,                          TabCalc[[#This Row],[Cur]]="CAD",Timer!F$27,                TabCalc[[#This Row],[Cur]]="JPY",Timer!F$31,                      TabCalc[[#This Row],[Cur]]="CHF",Timer!F$18),"Timing")</f>
        <v>Closed</v>
      </c>
      <c r="BB28" s="90">
        <f ca="1">IF(ISNUMBER(TabCalc[[#This Row],[TimeEX]]),TabCalc[[#This Row],[V/VA]]/TabCalc[[#This Row],[TimeEX]],TabCalc[[#This Row],[V/VA]])</f>
        <v>0.23353369276031477</v>
      </c>
      <c r="BC28" s="87" cm="1">
        <f t="array" aca="1" ref="BC28" ca="1">INDEX(TabReg[], 1, _xlfn.XMATCH(TabCalc[[#This Row],[Ticker]]&amp;1, TabReg[#Headers], 0))</f>
        <v>2276</v>
      </c>
      <c r="BD28" s="159">
        <f ca="1">TabCalc[[#This Row],[Nbegin]]*TabCalc[[#This Row],[M]]*TabCalc[[#This Row],[Scale]]+TabCalc[[#This Row],[ValueBegin]]</f>
        <v>-17458.569999999996</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K28" s="159" cm="1">
        <f t="array" aca="1" ref="BK28" ca="1">SUMPRODUCT(ISNUMBER(INDIRECT("TabReg["&amp;TabCalc[[#This Row],[Ticker]]&amp;"2]"))* INDIRECT("TabReg["&amp;TabCalc[[#This Row],[Ticker]]&amp;"1]") * INDIRECT("TabReg["&amp;TabCalc[[#This Row],[Ticker]]&amp;"2]") )*TabCalc[[#This Row],[Scale]]*(1+Commission)</f>
        <v>-16070.660160479994</v>
      </c>
      <c r="BL28" s="159">
        <f ca="1">TabCalc[[#This Row],[M_V]]*(1-Commission)+TabCalc[[#This Row],[EfCost]]</f>
        <v>-16070.660160479994</v>
      </c>
      <c r="BM28" s="159">
        <f ca="1">IF(        OR( TabCalc[[#This Row],[GL]]&gt;ABS(TabCalc[[#This Row],[EfCost]]),TabCalc[[#This Row],[NAfter]]=0),             TabCalc[[#This Row],[GL]],     0)</f>
        <v>-16070.660160479994</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45980.71875893516</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0.38439697025442504</v>
      </c>
      <c r="DC28" s="310">
        <f ca="1">MEDIAN(DataShift!F728:Z728)</f>
        <v>2.5230000000000001E-3</v>
      </c>
      <c r="DD28" s="310" t="e"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8" s="87">
        <f ca="1">TabCalc[[#This Row],[Nbegin]]*TabCalc[[#This Row],[Scale]]*TabCalc[[#This Row],[M]]</f>
        <v>22964.84</v>
      </c>
      <c r="DF28" s="87" cm="1">
        <f t="array" aca="1" ref="DF28" ca="1">SUMPRODUCT(ISNUMBER(INDIRECT("TabReg["&amp;TabCalc[[#This Row],[Ticker]]&amp;"2]"))* INDIRECT("TabReg["&amp;TabCalc[[#This Row],[Ticker]]&amp;"1]") * INDIRECT("TabReg["&amp;TabCalc[[#This Row],[Ticker]]&amp;"2]") )*TabCalc[[#This Row],[Scale]]</f>
        <v>-16028.984799999995</v>
      </c>
      <c r="DI28" s="87">
        <f ca="1"/>
        <v>306000</v>
      </c>
      <c r="DJ28" s="90">
        <f t="shared" ca="1" si="2"/>
        <v>8.209172852906349E-2</v>
      </c>
      <c r="DK28" t="str">
        <f ca="1">_xlfn.XLOOKUP(DI28,TabCalc[Column1],TabCalc[Ticker])</f>
        <v>MVEEOAN</v>
      </c>
      <c r="DL28" s="87">
        <f ca="1">_xlfn.XLOOKUP(DK28,TabCalc[Ticker],TabCalc[ValueBegin])</f>
        <v>-221206</v>
      </c>
      <c r="DM28" s="87">
        <f ca="1">_xlfn.XLOOKUP(DK28,TabCalc[Ticker],TabCalc[M_V])</f>
        <v>153</v>
      </c>
      <c r="DN28" s="87">
        <f ca="1">_xlfn.XLOOKUP(DK28,TabCalc[Ticker],TabCalc[GL])</f>
        <v>18159.182901000018</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42">
        <f ca="1">_xlfn.XLOOKUP(TabCalc[[#This Row],[Ticker]],DQ$3:DQ$96,DS$3:DS$96)</f>
        <v>-27.376550000000002</v>
      </c>
      <c r="E29" s="121">
        <f t="shared" ca="1" si="0"/>
        <v>-54753.100000000006</v>
      </c>
      <c r="F29" s="82">
        <f ca="1">TabCalc[[#This Row],[NAfter]]*TabCalc[[#This Row],[M]]*TabCalc[[#This Row],[Scale]]</f>
        <v>75.149999999999991</v>
      </c>
      <c r="G29" s="82">
        <f ca="1">IFERROR(TabCalc[[#This Row],[SB]]-TabCalc[[#This Row],[SST]],TabCalc[[#This Row],[SB]])</f>
        <v>10</v>
      </c>
      <c r="H29" s="532" t="str">
        <f ca="1">[1]!RTData[[#This Row],[Ticker_Symbol]]</f>
        <v>LUMN</v>
      </c>
      <c r="I29" s="383">
        <f ca="1">_xlfn.XLOOKUP(TabCalc[[#This Row],[Ticker]],[1]!RTData[Ticker_Symbol],[1]!RTData[M-Price])</f>
        <v>7.5149999999999997</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-1.3779999999999999E-2</v>
      </c>
      <c r="N29" s="1065">
        <v>0</v>
      </c>
      <c r="O29" s="892">
        <f>TabCalc[[#This Row],[Up20]]-1+TabCalc[[#This Row],[Up20]]</f>
        <v>-1</v>
      </c>
      <c r="P29" s="892">
        <f>TabCalc[[#This Row],[Up20]]-TabCalc[[#This Row],[Up150]]</f>
        <v>-0.4375</v>
      </c>
      <c r="Q29" s="892">
        <v>0.4375</v>
      </c>
      <c r="R29" s="892">
        <f>TabCalc[[#This Row],[Up150]]-1+TabCalc[[#This Row],[Up150]]</f>
        <v>-0.125</v>
      </c>
      <c r="S29" s="892">
        <f ca="1">IFERROR(SUMPRODUCT(DataShift!F1521:Z1521,DataShift!AB728:AV728)/SQRT(SUMPRODUCT(DataShift!F1521:Z1521,DataShift!F1521:Z1521)*SUMPRODUCT(DataShift!AB728:AV728,DataShift!AB728:AV728)),0)</f>
        <v>-0.9220868983190299</v>
      </c>
      <c r="T29" s="892">
        <f ca="1">IFERROR(SUMPRODUCT(DataShift!F1521:Z1521,DataShift!F729:Z729)/SQRT(SUMPRODUCT(DataShift!F1521:Z1521,DataShift!F1521:Z1521)*SUMPRODUCT(DataShift!F729:Z729,DataShift!F729:Z729)),0)</f>
        <v>0.1902596069198432</v>
      </c>
      <c r="U29" s="1004">
        <v>10</v>
      </c>
      <c r="V29" s="1004">
        <v>0</v>
      </c>
      <c r="W29" s="1004">
        <v>0</v>
      </c>
      <c r="X29" s="892"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24.466999999999999</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45.35</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-707.84999999999991</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-1955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-2.1500000000000199</v>
      </c>
      <c r="AQ29" s="334">
        <f ca="1">_xlfn.LET(_xlpm.MVToday,DataShift!AV529,         _xlpm.MVY,DataShift!AU530,        _xlpm.MVYY, DataShift!AT530,                                IF(_xlpm.MVToday=_xlpm.MVY,_xlpm.MVY-_xlpm.MVYY,_xlpm.MVToday-_xlpm.MVY))</f>
        <v>405300</v>
      </c>
      <c r="AR29" s="334">
        <f ca="1">_xlfn.LET(_xlpm.MVToday,DataShift!AV529,         _xlpm.MVY,DataShift!AU530,        _xlpm.MVYY, DataShift!AT530,         _xlpm.MVYYY, DataShift!AS530,                      IF(_xlpm.MVToday=_xlpm.MVY,      _xlpm.MVYY-_xlpm.MVYYY,          _xlpm.MVY-_xlpm.MVYY))</f>
        <v>0</v>
      </c>
      <c r="AS29" s="977">
        <f ca="1">TabCalc[[#This Row],[Y]]/TabCalc[[#This Row],[M]]</f>
        <v>0.79281437125748511</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8.4301704144580852E-2</v>
      </c>
      <c r="AY29" s="82">
        <f t="shared" ca="1" si="1"/>
        <v>1990</v>
      </c>
      <c r="AZ29" s="90">
        <f ca="1">_xlfn.XLOOKUP(TabCalc[[#This Row],[Ticker]],[1]!RTData[Ticker_Symbol],[1]!RTData[V/VA])</f>
        <v>0.20229302989454986</v>
      </c>
      <c r="BA29" s="90" t="str" cm="1">
        <f t="array" aca="1" ref="BA29" ca="1">IFERROR(_xlfn.IFS(TabCalc[[#This Row],[Cur]]="USD",Timer!F$27,                TabCalc[[#This Row],[Cur]]="EUR",Timer!F$18,                  TabCalc[[#This Row],[Cur]]="GBP",Timer!F$12,                          TabCalc[[#This Row],[Cur]]="CAD",Timer!F$27,                TabCalc[[#This Row],[Cur]]="JPY",Timer!F$31,                      TabCalc[[#This Row],[Cur]]="CHF",Timer!F$18),"Timing")</f>
        <v>Closed</v>
      </c>
      <c r="BB29" s="90">
        <f ca="1">IF(ISNUMBER(TabCalc[[#This Row],[TimeEX]]),TabCalc[[#This Row],[V/VA]]/TabCalc[[#This Row],[TimeEX]],TabCalc[[#This Row],[V/VA]])</f>
        <v>0.20229302989454986</v>
      </c>
      <c r="BC29" s="87" cm="1">
        <f t="array" aca="1" ref="BC29" ca="1">INDEX(TabReg[], 1, _xlfn.XMATCH(TabCalc[[#This Row],[Ticker]]&amp;1, TabReg[#Headers], 0))</f>
        <v>2000</v>
      </c>
      <c r="BD29" s="159">
        <f ca="1">TabCalc[[#This Row],[Nbegin]]*TabCalc[[#This Row],[M]]*TabCalc[[#This Row],[Scale]]+TabCalc[[#This Row],[ValueBegin]]</f>
        <v>-39723.100000000006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-54677.950000000004</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K29" s="159" cm="1">
        <f t="array" aca="1" ref="BK29" ca="1">SUMPRODUCT(ISNUMBER(INDIRECT("TabReg["&amp;TabCalc[[#This Row],[Ticker]]&amp;"2]"))* INDIRECT("TabReg["&amp;TabCalc[[#This Row],[Ticker]]&amp;"1]") * INDIRECT("TabReg["&amp;TabCalc[[#This Row],[Ticker]]&amp;"2]") )*TabCalc[[#This Row],[Scale]]*(1+Commission)</f>
        <v>14729.096339999998</v>
      </c>
      <c r="BL29" s="159">
        <f ca="1">TabCalc[[#This Row],[M_V]]*(1-Commission)+TabCalc[[#This Row],[EfCost]]</f>
        <v>14804.050949999999</v>
      </c>
      <c r="BM29" s="159">
        <f ca="1">IF(        OR( TabCalc[[#This Row],[GL]]&gt;ABS(TabCalc[[#This Row],[EfCost]]),TabCalc[[#This Row],[NAfter]]=0),             TabCalc[[#This Row],[GL]],     0)</f>
        <v>14804.050949999999</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45980.727293182812</v>
      </c>
      <c r="BT29" s="175">
        <f ca="1">(TabCalc[[#This Row],[ValueBegin]]+(TabCalc[[#This Row],[M]]-TabCalc[[#This Row],[A]])*TabCalc[[#This Row],[NAfter]])*TabCalc[[#This Row],[Scale]]</f>
        <v>-54728.633000000009</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24.466999999999999</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75.149999999999991</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24.466999999999999</v>
      </c>
      <c r="DB29" s="90">
        <f ca="1">IFERROR((TabCalc[[#This Row],[M]]+TabCalc[[#This Row],[L_Bp]])/ABS(TabCalc[[#This Row],[L_Bp]])/(TODAY()-TabCalc[[#This Row],[L_Bdate]])*360,"")</f>
        <v>0.58712314113533448</v>
      </c>
      <c r="DC29" s="310">
        <f ca="1">MEDIAN(DataShift!F729:Z729)</f>
        <v>-8.3470000000000007E-4</v>
      </c>
      <c r="DD29" s="310" t="e"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9" s="87">
        <f ca="1">TabCalc[[#This Row],[Nbegin]]*TabCalc[[#This Row],[Scale]]*TabCalc[[#This Row],[M]]</f>
        <v>15030</v>
      </c>
      <c r="DF29" s="87" cm="1">
        <f t="array" aca="1" ref="DF29" ca="1">SUMPRODUCT(ISNUMBER(INDIRECT("TabReg["&amp;TabCalc[[#This Row],[Ticker]]&amp;"2]"))* INDIRECT("TabReg["&amp;TabCalc[[#This Row],[Ticker]]&amp;"1]") * INDIRECT("TabReg["&amp;TabCalc[[#This Row],[Ticker]]&amp;"2]") )*TabCalc[[#This Row],[Scale]]</f>
        <v>14690.9</v>
      </c>
      <c r="DI29" s="87">
        <f ca="1"/>
        <v>284100</v>
      </c>
      <c r="DJ29" s="90">
        <f t="shared" ca="1" si="2"/>
        <v>0.44407651561895045</v>
      </c>
      <c r="DK29" t="str">
        <f ca="1">_xlfn.XLOOKUP(DI29,TabCalc[Column1],TabCalc[Ticker])</f>
        <v>GLE</v>
      </c>
      <c r="DL29" s="87">
        <f ca="1">_xlfn.XLOOKUP(DK29,TabCalc[Ticker],TabCalc[ValueBegin])</f>
        <v>-98150</v>
      </c>
      <c r="DM29" s="87">
        <f ca="1">_xlfn.XLOOKUP(DK29,TabCalc[Ticker],TabCalc[M_V])</f>
        <v>0</v>
      </c>
      <c r="DN29" s="87">
        <f ca="1">_xlfn.XLOOKUP(DK29,TabCalc[Ticker],TabCalc[GL])</f>
        <v>43586.110007999989</v>
      </c>
      <c r="DO29" s="90"/>
      <c r="DP29" s="90"/>
      <c r="DQ29" s="88" t="s">
        <v>26</v>
      </c>
      <c r="DR29" s="81">
        <v>200</v>
      </c>
      <c r="DS29" s="315">
        <v>-125.15535</v>
      </c>
      <c r="DU29" s="82">
        <v>105.35</v>
      </c>
      <c r="DV29" s="82">
        <f ca="1">DU29-TabCalc[[#This Row],[M_V]]</f>
        <v>30.200000000000003</v>
      </c>
    </row>
    <row r="30" spans="1:126" x14ac:dyDescent="0.3">
      <c r="A30" s="120" t="str">
        <f ca="1">_xlfn.XLOOKUP(TabCalc[[#This Row],[Ticker]],[1]!RTData[Ticker_Symbol],[1]!RTData[Currency])</f>
        <v>USD</v>
      </c>
      <c r="B30" s="121">
        <f ca="1">IF(TabCalc[[#This Row],[Cur]]="GBP",0.01,1)</f>
        <v>1</v>
      </c>
      <c r="C30" s="82">
        <f ca="1">_xlfn.XLOOKUP(TabCalc[[#This Row],[Ticker]],DQ$3:DQ$96,DR$3:DR$96)</f>
        <v>200</v>
      </c>
      <c r="D30" s="1142">
        <f ca="1">_xlfn.XLOOKUP(TabCalc[[#This Row],[Ticker]],DQ$3:DQ$96,DS$3:DS$96)</f>
        <v>-125.15535</v>
      </c>
      <c r="E30" s="121">
        <f t="shared" ca="1" si="0"/>
        <v>-25031.07</v>
      </c>
      <c r="F30" s="82">
        <f ca="1">TabCalc[[#This Row],[NAfter]]*TabCalc[[#This Row],[M]]*TabCalc[[#This Row],[Scale]]</f>
        <v>291360</v>
      </c>
      <c r="G30" s="82">
        <f ca="1">IFERROR(TabCalc[[#This Row],[SB]]-TabCalc[[#This Row],[SST]],TabCalc[[#This Row],[SB]])</f>
        <v>12000</v>
      </c>
      <c r="H30" s="532" t="str">
        <f ca="1">[1]!RTData[[#This Row],[Ticker_Symbol]]</f>
        <v>MRNA</v>
      </c>
      <c r="I30" s="383">
        <f ca="1">_xlfn.XLOOKUP(TabCalc[[#This Row],[Ticker]],[1]!RTData[Ticker_Symbol],[1]!RTData[M-Price])</f>
        <v>24.28</v>
      </c>
      <c r="J30" s="382">
        <v>71.645336666666665</v>
      </c>
      <c r="K30" s="381">
        <f ca="1">_xlfn.XLOOKUP(TabCalc[[#This Row],[Ticker]],[1]!RTData[Ticker_Symbol],[1]!RTData[1YT])</f>
        <v>40.299999999999997</v>
      </c>
      <c r="L30" s="382">
        <f ca="1">IF(OR(TabCalc[[#This Row],[NAfter]]=0,TabCalc[[#This Row],[EfCost]]&gt;0),0,TabCalc[[#This Row],[EfCost]]/TabCalc[[#This Row],[NAfter]]/TabCalc[[#This Row],[Scale]])</f>
        <v>-67.943024593499999</v>
      </c>
      <c r="M30" s="732">
        <f ca="1">_xlfn.XLOOKUP(TabCalc[[#This Row],[Ticker]],[1]!RTData[Ticker_Symbol],[1]!RTData[Change%])</f>
        <v>-2.5682E-2</v>
      </c>
      <c r="N30" s="1065">
        <v>0</v>
      </c>
      <c r="O30" s="892">
        <f>TabCalc[[#This Row],[Up20]]-1+TabCalc[[#This Row],[Up20]]</f>
        <v>-1</v>
      </c>
      <c r="P30" s="892">
        <f>TabCalc[[#This Row],[Up20]]-TabCalc[[#This Row],[Up150]]</f>
        <v>-0.57894736842105265</v>
      </c>
      <c r="Q30" s="892">
        <v>0.57894736842105265</v>
      </c>
      <c r="R30" s="892">
        <f>TabCalc[[#This Row],[Up150]]-1+TabCalc[[#This Row],[Up150]]</f>
        <v>0.15789473684210531</v>
      </c>
      <c r="S30" s="892">
        <f ca="1">IFERROR(SUMPRODUCT(DataShift!F1522:Z1522,DataShift!AB729:AV729)/SQRT(SUMPRODUCT(DataShift!F1522:Z1522,DataShift!F1522:Z1522)*SUMPRODUCT(DataShift!AB729:AV729,DataShift!AB729:AV729)),0)</f>
        <v>-0.75453916474823535</v>
      </c>
      <c r="T30" s="892">
        <f ca="1">IFERROR(SUMPRODUCT(DataShift!F1522:Z1522,DataShift!F730:Z730)/SQRT(SUMPRODUCT(DataShift!F1522:Z1522,DataShift!F1522:Z1522)*SUMPRODUCT(DataShift!F730:Z730,DataShift!F730:Z730)),0)</f>
        <v>4.4039354017207703E-2</v>
      </c>
      <c r="U30" s="1004">
        <v>0</v>
      </c>
      <c r="V30" s="1004">
        <v>12000</v>
      </c>
      <c r="W30" s="1004">
        <v>0</v>
      </c>
      <c r="X30" s="892"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23,479 = $ 570,070</v>
      </c>
      <c r="Z30" s="211">
        <f ca="1">MIN(TabCalc[[#This Row],[L_Bn]],TabCalc[[#This Row],[NAfter]])*(TabCalc[[#This Row],[M]]+TabCalc[[#This Row],[L_Bp]])*TabCalc[[#This Row],[Scale]]</f>
        <v>-51210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-22850</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95939.999999999985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282884</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-8040</v>
      </c>
      <c r="AQ30" s="334">
        <f ca="1">_xlfn.LET(_xlpm.MVToday,DataShift!AV530,         _xlpm.MVY,DataShift!AU531,        _xlpm.MVYY, DataShift!AT531,                                IF(_xlpm.MVToday=_xlpm.MVY,_xlpm.MVY-_xlpm.MVYY,_xlpm.MVToday-_xlpm.MVY))</f>
        <v>-75.149999999999991</v>
      </c>
      <c r="AR30" s="334">
        <f ca="1">_xlfn.LET(_xlpm.MVToday,DataShift!AV530,         _xlpm.MVY,DataShift!AU531,        _xlpm.MVYY, DataShift!AT531,         _xlpm.MVYYY, DataShift!AS531,                      IF(_xlpm.MVToday=_xlpm.MVY,      _xlpm.MVYY-_xlpm.MVYYY,          _xlpm.MVY-_xlpm.MVYY))</f>
        <v>-1.0500000000000114</v>
      </c>
      <c r="AS30" s="977">
        <f ca="1">TabCalc[[#This Row],[Y]]/TabCalc[[#This Row],[M]]</f>
        <v>1.6598023064250409</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-4.2017848099713415</v>
      </c>
      <c r="AY30" s="82">
        <f t="shared" ca="1" si="1"/>
        <v>0</v>
      </c>
      <c r="AZ30" s="90">
        <f ca="1">_xlfn.XLOOKUP(TabCalc[[#This Row],[Ticker]],[1]!RTData[Ticker_Symbol],[1]!RTData[V/VA])</f>
        <v>0.28173453881169197</v>
      </c>
      <c r="BA30" s="90" t="str" cm="1">
        <f t="array" aca="1" ref="BA30" ca="1">IFERROR(_xlfn.IFS(TabCalc[[#This Row],[Cur]]="USD",Timer!F$27,                TabCalc[[#This Row],[Cur]]="EUR",Timer!F$18,                  TabCalc[[#This Row],[Cur]]="GBP",Timer!F$12,                          TabCalc[[#This Row],[Cur]]="CAD",Timer!F$27,                TabCalc[[#This Row],[Cur]]="JPY",Timer!F$31,                      TabCalc[[#This Row],[Cur]]="CHF",Timer!F$18),"Timing")</f>
        <v>Closed</v>
      </c>
      <c r="BB30" s="90">
        <f ca="1">IF(ISNUMBER(TabCalc[[#This Row],[TimeEX]]),TabCalc[[#This Row],[V/VA]]/TabCalc[[#This Row],[TimeEX]],TabCalc[[#This Row],[V/VA]])</f>
        <v>0.28173453881169197</v>
      </c>
      <c r="BC30" s="87" cm="1">
        <f t="array" aca="1" ref="BC30" ca="1">INDEX(TabReg[], 1, _xlfn.XMATCH(TabCalc[[#This Row],[Ticker]]&amp;1, TabReg[#Headers], 0))</f>
        <v>200</v>
      </c>
      <c r="BD30" s="159">
        <f ca="1">TabCalc[[#This Row],[Nbegin]]*TabCalc[[#This Row],[M]]*TabCalc[[#This Row],[Scale]]+TabCalc[[#This Row],[ValueBegin]]</f>
        <v>-20175.07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-790220.14433999988</v>
      </c>
      <c r="BH30" s="336">
        <f ca="1">TabCalc[[#This Row],[M_V]]+TabCalc[[#This Row],[ValueBegin]]</f>
        <v>266328.93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K30" s="159" cm="1">
        <f t="array" aca="1" ref="BK30" ca="1">SUMPRODUCT(ISNUMBER(INDIRECT("TabReg["&amp;TabCalc[[#This Row],[Ticker]]&amp;"2]"))* INDIRECT("TabReg["&amp;TabCalc[[#This Row],[Ticker]]&amp;"1]") * INDIRECT("TabReg["&amp;TabCalc[[#This Row],[Ticker]]&amp;"2]") )*TabCalc[[#This Row],[Scale]]*(1+Commission)</f>
        <v>-815316.29512199992</v>
      </c>
      <c r="BL30" s="159">
        <f ca="1">TabCalc[[#This Row],[M_V]]*(1-Commission)+TabCalc[[#This Row],[EfCost]]</f>
        <v>-524713.831122</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60.29</v>
      </c>
      <c r="BR30" s="174" t="str">
        <f ca="1">IF(TabCalc[[#This Row],[EfCost]]+TabCalc[[#This Row],[M_V]]&lt;TabCalc[[#This Row],[NoT_GL]],"Pile","")</f>
        <v>Pile</v>
      </c>
      <c r="BS30" s="165">
        <f ca="1">_xlfn.XLOOKUP(TabCalc[[#This Row],[Ticker]],[1]!RTData[Ticker_Symbol],[1]!RTData[Last trade time])</f>
        <v>45980.727279837498</v>
      </c>
      <c r="BT30" s="175">
        <f ca="1">(TabCalc[[#This Row],[ValueBegin]]+(TabCalc[[#This Row],[M]]-TabCalc[[#This Row],[A]])*TabCalc[[#This Row],[NAfter]])*TabCalc[[#This Row],[Scale]]</f>
        <v>-593415.10999999987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-568384.03999999992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78.173858661663544</v>
      </c>
      <c r="CV30" s="404">
        <f ca="1">IF(TabCalc[[#This Row],[ntoBuy]]*TabCalc[[#This Row],[M]]&lt;=0,0,TabCalc[[#This Row],[ntoBuy]]*TabCalc[[#This Row],[M]])</f>
        <v>1898.0612883051911</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-568384.03999999992</v>
      </c>
      <c r="DB30" s="90">
        <f ca="1">IFERROR((TabCalc[[#This Row],[M]]+TabCalc[[#This Row],[L_Bp]])/ABS(TabCalc[[#This Row],[L_Bp]])/(TODAY()-TabCalc[[#This Row],[L_Bdate]])*360,"")</f>
        <v>-0.5054907089800853</v>
      </c>
      <c r="DC30" s="310">
        <f ca="1">MEDIAN(DataShift!F730:Z730)</f>
        <v>-1.3779999999999999E-2</v>
      </c>
      <c r="DD30" s="310" t="e"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0" s="87">
        <f ca="1">TabCalc[[#This Row],[Nbegin]]*TabCalc[[#This Row],[Scale]]*TabCalc[[#This Row],[M]]</f>
        <v>4856</v>
      </c>
      <c r="DF30" s="87" cm="1">
        <f t="array" aca="1" ref="DF30" ca="1">SUMPRODUCT(ISNUMBER(INDIRECT("TabReg["&amp;TabCalc[[#This Row],[Ticker]]&amp;"2]"))* INDIRECT("TabReg["&amp;TabCalc[[#This Row],[Ticker]]&amp;"1]") * INDIRECT("TabReg["&amp;TabCalc[[#This Row],[Ticker]]&amp;"2]") )*TabCalc[[#This Row],[Scale]]</f>
        <v>-813201.97</v>
      </c>
      <c r="DI30" s="87">
        <f ca="1"/>
        <v>280050</v>
      </c>
      <c r="DJ30" s="90">
        <f t="shared" ca="1" si="2"/>
        <v>0.50038610330371136</v>
      </c>
      <c r="DK30" t="str">
        <f ca="1">_xlfn.XLOOKUP(DI30,TabCalc[Column1],TabCalc[Ticker])</f>
        <v>VLVLY</v>
      </c>
      <c r="DL30" s="87">
        <f ca="1">_xlfn.XLOOKUP(DK30,TabCalc[Ticker],TabCalc[ValueBegin])</f>
        <v>-191300</v>
      </c>
      <c r="DM30" s="87">
        <f ca="1">_xlfn.XLOOKUP(DK30,TabCalc[Ticker],TabCalc[M_V])</f>
        <v>84015</v>
      </c>
      <c r="DN30" s="87">
        <f ca="1">_xlfn.XLOOKUP(DK30,TabCalc[Ticker],TabCalc[GL])</f>
        <v>95723.861561999991</v>
      </c>
      <c r="DO30" s="90"/>
      <c r="DP30" s="90"/>
      <c r="DQ30" s="88" t="s">
        <v>27</v>
      </c>
      <c r="DR30" s="81">
        <v>10000</v>
      </c>
      <c r="DS30" s="315">
        <v>-105.48</v>
      </c>
      <c r="DU30" s="82">
        <v>285000</v>
      </c>
      <c r="DV30" s="82">
        <f ca="1">DU30-TabCalc[[#This Row],[M_V]]</f>
        <v>-6360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42">
        <f ca="1">_xlfn.XLOOKUP(TabCalc[[#This Row],[Ticker]],DQ$3:DQ$96,DS$3:DS$96)</f>
        <v>-105.48</v>
      </c>
      <c r="E31" s="121">
        <f t="shared" ca="1" si="0"/>
        <v>-1054800</v>
      </c>
      <c r="F31" s="82">
        <f ca="1">TabCalc[[#This Row],[NAfter]]*TabCalc[[#This Row],[M]]*TabCalc[[#This Row],[Scale]]</f>
        <v>4768582</v>
      </c>
      <c r="G31" s="82">
        <f ca="1">IFERROR(TabCalc[[#This Row],[SB]]-TabCalc[[#This Row],[SST]],TabCalc[[#This Row],[SB]])</f>
        <v>9800</v>
      </c>
      <c r="H31" s="532" t="str">
        <f ca="1">[1]!RTData[[#This Row],[Ticker_Symbol]]</f>
        <v>MSFT</v>
      </c>
      <c r="I31" s="383">
        <f ca="1">_xlfn.XLOOKUP(TabCalc[[#This Row],[Ticker]],[1]!RTData[Ticker_Symbol],[1]!RTData[M-Price])</f>
        <v>486.59</v>
      </c>
      <c r="J31" s="382">
        <v>333.98097959183673</v>
      </c>
      <c r="K31" s="381">
        <f ca="1">_xlfn.XLOOKUP(TabCalc[[#This Row],[Ticker]],[1]!RTData[Ticker_Symbol],[1]!RTData[1YT])</f>
        <v>626.22655999999995</v>
      </c>
      <c r="L31" s="382">
        <f ca="1">IF(OR(TabCalc[[#This Row],[NAfter]]=0,TabCalc[[#This Row],[EfCost]]&gt;0),0,TabCalc[[#This Row],[EfCost]]/TabCalc[[#This Row],[NAfter]]/TabCalc[[#This Row],[Scale]])</f>
        <v>-93.553878688163252</v>
      </c>
      <c r="M31" s="732">
        <f ca="1">_xlfn.XLOOKUP(TabCalc[[#This Row],[Ticker]],[1]!RTData[Ticker_Symbol],[1]!RTData[Change%])</f>
        <v>-1.4581E-2</v>
      </c>
      <c r="N31" s="1065">
        <v>0</v>
      </c>
      <c r="O31" s="892">
        <f>TabCalc[[#This Row],[Up20]]-1+TabCalc[[#This Row],[Up20]]</f>
        <v>-1</v>
      </c>
      <c r="P31" s="892">
        <f>TabCalc[[#This Row],[Up20]]-TabCalc[[#This Row],[Up150]]</f>
        <v>-0.4</v>
      </c>
      <c r="Q31" s="892">
        <v>0.4</v>
      </c>
      <c r="R31" s="892">
        <f>TabCalc[[#This Row],[Up150]]-1+TabCalc[[#This Row],[Up150]]</f>
        <v>-0.19999999999999996</v>
      </c>
      <c r="S31" s="892">
        <f ca="1">IFERROR(SUMPRODUCT(DataShift!F1523:Z1523,DataShift!AB730:AV730)/SQRT(SUMPRODUCT(DataShift!F1523:Z1523,DataShift!F1523:Z1523)*SUMPRODUCT(DataShift!AB730:AV730,DataShift!AB730:AV730)),0)</f>
        <v>-0.88597948586712927</v>
      </c>
      <c r="T31" s="892">
        <f ca="1">IFERROR(SUMPRODUCT(DataShift!F1523:Z1523,DataShift!F731:Z731)/SQRT(SUMPRODUCT(DataShift!F1523:Z1523,DataShift!F1523:Z1523)*SUMPRODUCT(DataShift!F731:Z731,DataShift!F731:Z731)),0)</f>
        <v>7.8437643984954231E-2</v>
      </c>
      <c r="U31" s="1004">
        <v>9650</v>
      </c>
      <c r="V31" s="1004">
        <v>150</v>
      </c>
      <c r="W31" s="1004">
        <v>0</v>
      </c>
      <c r="X31" s="892"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-4086.00000000001</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16223.999999999995</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5599.4999999999973</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5731.0000000000055</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-28126</v>
      </c>
      <c r="AQ31" s="334">
        <f ca="1">_xlfn.LET(_xlpm.MVToday,DataShift!AV531,         _xlpm.MVY,DataShift!AU532,        _xlpm.MVYY, DataShift!AT532,                                IF(_xlpm.MVToday=_xlpm.MVY,_xlpm.MVY-_xlpm.MVYY,_xlpm.MVToday-_xlpm.MVY))</f>
        <v>-291284.84999999998</v>
      </c>
      <c r="AR31" s="334">
        <f ca="1">_xlfn.LET(_xlpm.MVToday,DataShift!AV531,         _xlpm.MVY,DataShift!AU532,        _xlpm.MVYY, DataShift!AT532,         _xlpm.MVYYY, DataShift!AS532,                      IF(_xlpm.MVToday=_xlpm.MVY,      _xlpm.MVYY-_xlpm.MVYYY,          _xlpm.MVY-_xlpm.MVYY))</f>
        <v>-7680</v>
      </c>
      <c r="AS31" s="977">
        <f ca="1">TabCalc[[#This Row],[Y]]/TabCalc[[#This Row],[M]]</f>
        <v>1.2869696459031217</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-8.9351687920416953</v>
      </c>
      <c r="AY31" s="82">
        <f t="shared" ca="1" si="1"/>
        <v>200</v>
      </c>
      <c r="AZ31" s="90">
        <f ca="1">_xlfn.XLOOKUP(TabCalc[[#This Row],[Ticker]],[1]!RTData[Ticker_Symbol],[1]!RTData[V/VA])</f>
        <v>0.3615117522740065</v>
      </c>
      <c r="BA31" s="90" t="str" cm="1">
        <f t="array" aca="1" ref="BA31" ca="1">IFERROR(_xlfn.IFS(TabCalc[[#This Row],[Cur]]="USD",Timer!F$27,                TabCalc[[#This Row],[Cur]]="EUR",Timer!F$18,                  TabCalc[[#This Row],[Cur]]="GBP",Timer!F$12,                          TabCalc[[#This Row],[Cur]]="CAD",Timer!F$27,                TabCalc[[#This Row],[Cur]]="JPY",Timer!F$31,                      TabCalc[[#This Row],[Cur]]="CHF",Timer!F$18),"Timing")</f>
        <v>Closed</v>
      </c>
      <c r="BB31" s="90">
        <f ca="1">IF(ISNUMBER(TabCalc[[#This Row],[TimeEX]]),TabCalc[[#This Row],[V/VA]]/TabCalc[[#This Row],[TimeEX]],TabCalc[[#This Row],[V/VA]])</f>
        <v>0.3615117522740065</v>
      </c>
      <c r="BC31" s="87" cm="1">
        <f t="array" aca="1" ref="BC31" ca="1">INDEX(TabReg[], 1, _xlfn.XMATCH(TabCalc[[#This Row],[Ticker]]&amp;1, TabReg[#Headers], 0))</f>
        <v>10000</v>
      </c>
      <c r="BD31" s="159">
        <f ca="1">TabCalc[[#This Row],[Nbegin]]*TabCalc[[#This Row],[M]]*TabCalc[[#This Row],[Scale]]+TabCalc[[#This Row],[ValueBegin]]</f>
        <v>3811100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3713782</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K31" s="159" cm="1">
        <f t="array" aca="1" ref="BK31" ca="1">SUMPRODUCT(ISNUMBER(INDIRECT("TabReg["&amp;TabCalc[[#This Row],[Ticker]]&amp;"2]"))* INDIRECT("TabReg["&amp;TabCalc[[#This Row],[Ticker]]&amp;"1]") * INDIRECT("TabReg["&amp;TabCalc[[#This Row],[Ticker]]&amp;"2]") )*TabCalc[[#This Row],[Scale]]*(1+Commission)</f>
        <v>-916828.01114399987</v>
      </c>
      <c r="BL31" s="159">
        <f ca="1">TabCalc[[#This Row],[M_V]]*(1-Commission)+TabCalc[[#This Row],[EfCost]]</f>
        <v>3839355.6756559992</v>
      </c>
      <c r="BM31" s="159">
        <f ca="1">IF(        OR( TabCalc[[#This Row],[GL]]&gt;ABS(TabCalc[[#This Row],[EfCost]]),TabCalc[[#This Row],[NAfter]]=0),             TabCalc[[#This Row],[GL]],     0)</f>
        <v>3839355.6756559992</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152.03</v>
      </c>
      <c r="BR31" s="174" t="str">
        <f ca="1">IF(TabCalc[[#This Row],[EfCost]]+TabCalc[[#This Row],[M_V]]&lt;TabCalc[[#This Row],[NoT_GL]],"Pile","")</f>
        <v/>
      </c>
      <c r="BS31" s="165">
        <f ca="1">_xlfn.XLOOKUP(TabCalc[[#This Row],[Ticker]],[1]!RTData[Ticker_Symbol],[1]!RTData[Last trade time])</f>
        <v>45980.727308957816</v>
      </c>
      <c r="BT31" s="175">
        <f ca="1">(TabCalc[[#This Row],[ValueBegin]]+(TabCalc[[#This Row],[M]]-TabCalc[[#This Row],[A]])*TabCalc[[#This Row],[NAfter]])*TabCalc[[#This Row],[Scale]]</f>
        <v>440768.39999999991</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1495568.4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133.94053040450046</v>
      </c>
      <c r="CV31" s="404">
        <f ca="1">IF(TabCalc[[#This Row],[ntoBuy]]*TabCalc[[#This Row],[M]]&lt;=0,0,TabCalc[[#This Row],[ntoBuy]]*TabCalc[[#This Row],[M]])</f>
        <v>65174.122689525881</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32</v>
      </c>
      <c r="CZ31" s="336">
        <f ca="1">IFERROR(TabCalc[[#This Row],[NMA]]*TabCalc[[#This Row],[M]],"")</f>
        <v>15570.88</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1495568.4</v>
      </c>
      <c r="DB31" s="90">
        <f ca="1">IFERROR((TabCalc[[#This Row],[M]]+TabCalc[[#This Row],[L_Bp]])/ABS(TabCalc[[#This Row],[L_Bp]])/(TODAY()-TabCalc[[#This Row],[L_Bdate]])*360,"")</f>
        <v>-0.51580841491901697</v>
      </c>
      <c r="DC31" s="310">
        <f ca="1">MEDIAN(DataShift!F731:Z731)</f>
        <v>-8.0000000000000002E-3</v>
      </c>
      <c r="DD31" s="310" t="e"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1" s="87">
        <f ca="1">TabCalc[[#This Row],[Nbegin]]*TabCalc[[#This Row],[Scale]]*TabCalc[[#This Row],[M]]</f>
        <v>4865900</v>
      </c>
      <c r="DF31" s="87" cm="1">
        <f t="array" aca="1" ref="DF31" ca="1">SUMPRODUCT(ISNUMBER(INDIRECT("TabReg["&amp;TabCalc[[#This Row],[Ticker]]&amp;"2]"))* INDIRECT("TabReg["&amp;TabCalc[[#This Row],[Ticker]]&amp;"1]") * INDIRECT("TabReg["&amp;TabCalc[[#This Row],[Ticker]]&amp;"2]") )*TabCalc[[#This Row],[Scale]]</f>
        <v>-914450.44</v>
      </c>
      <c r="DI31" s="87">
        <f ca="1"/>
        <v>271781.32799999998</v>
      </c>
      <c r="DJ31" s="90">
        <f t="shared" ca="1" si="2"/>
        <v>-0.63512930738161577</v>
      </c>
      <c r="DK31" t="str">
        <f ca="1">_xlfn.XLOOKUP(DI31,TabCalc[Column1],TabCalc[Ticker])</f>
        <v>MVEALDNE</v>
      </c>
      <c r="DL31" s="87">
        <f ca="1">_xlfn.XLOOKUP(DK31,TabCalc[Ticker],TabCalc[ValueBegin])</f>
        <v>-462186.26999999996</v>
      </c>
      <c r="DM31" s="87">
        <f ca="1">_xlfn.XLOOKUP(DK31,TabCalc[Ticker],TabCalc[M_V])</f>
        <v>347440</v>
      </c>
      <c r="DN31" s="87">
        <f ca="1">_xlfn.XLOOKUP(DK31,TabCalc[Ticker],TabCalc[GL])</f>
        <v>-293548.04554639244</v>
      </c>
      <c r="DO31" s="90"/>
      <c r="DP31" s="90"/>
      <c r="DQ31" s="88" t="s">
        <v>28</v>
      </c>
      <c r="DR31" s="81">
        <v>4200</v>
      </c>
      <c r="DS31" s="315">
        <v>-72.357823809523808</v>
      </c>
      <c r="DU31" s="82">
        <v>5040434</v>
      </c>
      <c r="DV31" s="82">
        <f ca="1">DU31-TabCalc[[#This Row],[M_V]]</f>
        <v>271852</v>
      </c>
    </row>
    <row r="32" spans="1:126" x14ac:dyDescent="0.3">
      <c r="A32" s="120" t="str">
        <f ca="1">_xlfn.XLOOKUP(TabCalc[[#This Row],[Ticker]],[1]!RTData[Ticker_Symbol],[1]!RTData[Currency])</f>
        <v>USD</v>
      </c>
      <c r="B32" s="121">
        <f ca="1">IF(TabCalc[[#This Row],[Cur]]="GBP",0.01,1)</f>
        <v>1</v>
      </c>
      <c r="C32" s="82">
        <f ca="1">_xlfn.XLOOKUP(TabCalc[[#This Row],[Ticker]],DQ$3:DQ$96,DR$3:DR$96)</f>
        <v>4200</v>
      </c>
      <c r="D32" s="1142">
        <f ca="1">_xlfn.XLOOKUP(TabCalc[[#This Row],[Ticker]],DQ$3:DQ$96,DS$3:DS$96)</f>
        <v>-72.357823809523808</v>
      </c>
      <c r="E32" s="121">
        <f t="shared" ca="1" si="0"/>
        <v>-303902.86</v>
      </c>
      <c r="F32" s="82">
        <f ca="1">TabCalc[[#This Row],[NAfter]]*TabCalc[[#This Row],[M]]*TabCalc[[#This Row],[Scale]]</f>
        <v>84.71</v>
      </c>
      <c r="G32" s="82">
        <f ca="1">IFERROR(TabCalc[[#This Row],[SB]]-TabCalc[[#This Row],[SST]],TabCalc[[#This Row],[SB]])</f>
        <v>1</v>
      </c>
      <c r="H32" s="532" t="str">
        <f ca="1">[1]!RTData[[#This Row],[Ticker_Symbol]]</f>
        <v>NEE</v>
      </c>
      <c r="I32" s="383">
        <f ca="1">_xlfn.XLOOKUP(TabCalc[[#This Row],[Ticker]],[1]!RTData[Ticker_Symbol],[1]!RTData[M-Price])</f>
        <v>84.71</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8.2699999999999994E-4</v>
      </c>
      <c r="N32" s="1065">
        <v>0</v>
      </c>
      <c r="O32" s="892">
        <f>TabCalc[[#This Row],[Up20]]-1+TabCalc[[#This Row],[Up20]]</f>
        <v>-1</v>
      </c>
      <c r="P32" s="892">
        <f>TabCalc[[#This Row],[Up20]]-TabCalc[[#This Row],[Up150]]</f>
        <v>-0.5</v>
      </c>
      <c r="Q32" s="892">
        <v>0.5</v>
      </c>
      <c r="R32" s="892">
        <f>TabCalc[[#This Row],[Up150]]-1+TabCalc[[#This Row],[Up150]]</f>
        <v>0</v>
      </c>
      <c r="S32" s="892">
        <f ca="1">IFERROR(SUMPRODUCT(DataShift!F1524:Z1524,DataShift!AB731:AV731)/SQRT(SUMPRODUCT(DataShift!F1524:Z1524,DataShift!F1524:Z1524)*SUMPRODUCT(DataShift!AB731:AV731,DataShift!AB731:AV731)),0)</f>
        <v>-0.84569154528646462</v>
      </c>
      <c r="T32" s="892">
        <f ca="1">IFERROR(SUMPRODUCT(DataShift!F1524:Z1524,DataShift!F732:Z732)/SQRT(SUMPRODUCT(DataShift!F1524:Z1524,DataShift!F1524:Z1524)*SUMPRODUCT(DataShift!F732:Z732,DataShift!F732:Z732)),0)</f>
        <v>0.19811931244002132</v>
      </c>
      <c r="U32" s="1004">
        <v>400</v>
      </c>
      <c r="V32" s="1004">
        <v>0</v>
      </c>
      <c r="W32" s="1004">
        <v>0</v>
      </c>
      <c r="X32" s="892"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13.70955699999999</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12.149999999999991</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-1133.1599999999958</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-1.4999999999986358</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-0.43000000000000682</v>
      </c>
      <c r="AQ32" s="334">
        <f ca="1">_xlfn.LET(_xlpm.MVToday,DataShift!AV532,         _xlpm.MVY,DataShift!AU533,        _xlpm.MVYY, DataShift!AT533,                                IF(_xlpm.MVToday=_xlpm.MVY,_xlpm.MVY-_xlpm.MVYY,_xlpm.MVToday-_xlpm.MVY))</f>
        <v>-4477222</v>
      </c>
      <c r="AR32" s="334">
        <f ca="1">_xlfn.LET(_xlpm.MVToday,DataShift!AV532,         _xlpm.MVY,DataShift!AU533,        _xlpm.MVYY, DataShift!AT533,         _xlpm.MVYYY, DataShift!AS533,                      IF(_xlpm.MVToday=_xlpm.MVY,      _xlpm.MVYY-_xlpm.MVYYY,          _xlpm.MVY-_xlpm.MVYY))</f>
        <v>-70560</v>
      </c>
      <c r="AS32" s="977">
        <f ca="1">TabCalc[[#This Row],[Y]]/TabCalc[[#This Row],[M]]</f>
        <v>1.0742533349073309</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-3.2283146896781752E-2</v>
      </c>
      <c r="AY32" s="82">
        <f t="shared" ca="1" si="1"/>
        <v>4199</v>
      </c>
      <c r="AZ32" s="90">
        <f ca="1">_xlfn.XLOOKUP(TabCalc[[#This Row],[Ticker]],[1]!RTData[Ticker_Symbol],[1]!RTData[V/VA])</f>
        <v>0.3830959332564437</v>
      </c>
      <c r="BA32" s="90" t="str" cm="1">
        <f t="array" aca="1" ref="BA32" ca="1">IFERROR(_xlfn.IFS(TabCalc[[#This Row],[Cur]]="USD",Timer!F$27,                TabCalc[[#This Row],[Cur]]="EUR",Timer!F$18,                  TabCalc[[#This Row],[Cur]]="GBP",Timer!F$12,                          TabCalc[[#This Row],[Cur]]="CAD",Timer!F$27,                TabCalc[[#This Row],[Cur]]="JPY",Timer!F$31,                      TabCalc[[#This Row],[Cur]]="CHF",Timer!F$18),"Timing")</f>
        <v>Closed</v>
      </c>
      <c r="BB32" s="90">
        <f ca="1">IF(ISNUMBER(TabCalc[[#This Row],[TimeEX]]),TabCalc[[#This Row],[V/VA]]/TabCalc[[#This Row],[TimeEX]],TabCalc[[#This Row],[V/VA]])</f>
        <v>0.3830959332564437</v>
      </c>
      <c r="BC32" s="87" cm="1">
        <f t="array" aca="1" ref="BC32" ca="1">INDEX(TabReg[], 1, _xlfn.XMATCH(TabCalc[[#This Row],[Ticker]]&amp;1, TabReg[#Headers], 0))</f>
        <v>4200</v>
      </c>
      <c r="BD32" s="159">
        <f ca="1">TabCalc[[#This Row],[Nbegin]]*TabCalc[[#This Row],[M]]*TabCalc[[#This Row],[Scale]]+TabCalc[[#This Row],[ValueBegin]]</f>
        <v>51879.140000000014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-303818.14999999997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K32" s="159" cm="1">
        <f t="array" aca="1" ref="BK32" ca="1">SUMPRODUCT(ISNUMBER(INDIRECT("TabReg["&amp;TabCalc[[#This Row],[Ticker]]&amp;"2]"))* INDIRECT("TabReg["&amp;TabCalc[[#This Row],[Ticker]]&amp;"1]") * INDIRECT("TabReg["&amp;TabCalc[[#This Row],[Ticker]]&amp;"2]") )*TabCalc[[#This Row],[Scale]]*(1+Commission)</f>
        <v>66807.400795199967</v>
      </c>
      <c r="BL32" s="159">
        <f ca="1">TabCalc[[#This Row],[M_V]]*(1-Commission)+TabCalc[[#This Row],[EfCost]]</f>
        <v>66891.890549199961</v>
      </c>
      <c r="BM32" s="159">
        <f ca="1">IF(        OR( TabCalc[[#This Row],[GL]]&gt;ABS(TabCalc[[#This Row],[EfCost]]),TabCalc[[#This Row],[NAfter]]=0),             TabCalc[[#This Row],[GL]],     0)</f>
        <v>66891.890549199961</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45980.727280566403</v>
      </c>
      <c r="BT32" s="175">
        <f ca="1">(TabCalc[[#This Row],[ValueBegin]]+(TabCalc[[#This Row],[M]]-TabCalc[[#This Row],[A]])*TabCalc[[#This Row],[NAfter]])*TabCalc[[#This Row],[Scale]]</f>
        <v>-303889.15044299996</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13.70955699999999</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84.71</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13.70955699999999</v>
      </c>
      <c r="DB32" s="90">
        <f ca="1">IFERROR((TabCalc[[#This Row],[M]]+TabCalc[[#This Row],[L_Bp]])/ABS(TabCalc[[#This Row],[L_Bp]])/(TODAY()-TabCalc[[#This Row],[L_Bdate]])*360,"")</f>
        <v>0.99304018628245849</v>
      </c>
      <c r="DC32" s="310">
        <f ca="1">MEDIAN(DataShift!F732:Z732)</f>
        <v>3.8420000000000001E-5</v>
      </c>
      <c r="DD32" s="310" t="e"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2" s="87">
        <f ca="1">TabCalc[[#This Row],[Nbegin]]*TabCalc[[#This Row],[Scale]]*TabCalc[[#This Row],[M]]</f>
        <v>355782</v>
      </c>
      <c r="DF32" s="87" cm="1">
        <f t="array" aca="1" ref="DF32" ca="1">SUMPRODUCT(ISNUMBER(INDIRECT("TabReg["&amp;TabCalc[[#This Row],[Ticker]]&amp;"2]"))* INDIRECT("TabReg["&amp;TabCalc[[#This Row],[Ticker]]&amp;"1]") * INDIRECT("TabReg["&amp;TabCalc[[#This Row],[Ticker]]&amp;"2]") )*TabCalc[[#This Row],[Scale]]</f>
        <v>66634.151999999973</v>
      </c>
      <c r="DI32" s="87">
        <f ca="1"/>
        <v>269548.5</v>
      </c>
      <c r="DJ32" s="90">
        <f t="shared" ca="1" si="2"/>
        <v>0.40759693260427265</v>
      </c>
      <c r="DK32" t="str">
        <f ca="1">_xlfn.XLOOKUP(DI32,TabCalc[Column1],TabCalc[Ticker])</f>
        <v>SAFGM</v>
      </c>
      <c r="DL32" s="87">
        <f ca="1">_xlfn.XLOOKUP(DK32,TabCalc[Ticker],TabCalc[ValueBegin])</f>
        <v>-153348</v>
      </c>
      <c r="DM32" s="87">
        <f ca="1">_xlfn.XLOOKUP(DK32,TabCalc[Ticker],TabCalc[M_V])</f>
        <v>0</v>
      </c>
      <c r="DN32" s="87">
        <f ca="1">_xlfn.XLOOKUP(DK32,TabCalc[Ticker],TabCalc[GL])</f>
        <v>62504.174421000003</v>
      </c>
      <c r="DO32" s="90"/>
      <c r="DP32" s="90"/>
      <c r="DQ32" s="88" t="s">
        <v>29</v>
      </c>
      <c r="DR32" s="81">
        <v>15000</v>
      </c>
      <c r="DS32" s="315">
        <v>-19.104759999999999</v>
      </c>
      <c r="DU32" s="82">
        <v>32680</v>
      </c>
      <c r="DV32" s="82">
        <f ca="1">DU32-TabCalc[[#This Row],[M_V]]</f>
        <v>32595.29</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42">
        <f ca="1">_xlfn.XLOOKUP(TabCalc[[#This Row],[Ticker]],DQ$3:DQ$96,DS$3:DS$96)</f>
        <v>-19.104759999999999</v>
      </c>
      <c r="E33" s="121">
        <f t="shared" ca="1" si="0"/>
        <v>-286571.39999999997</v>
      </c>
      <c r="F33" s="82">
        <f ca="1">TabCalc[[#This Row],[NAfter]]*TabCalc[[#This Row],[M]]*TabCalc[[#This Row],[Scale]]</f>
        <v>1751900</v>
      </c>
      <c r="G33" s="82">
        <f ca="1">IFERROR(TabCalc[[#This Row],[SB]]-TabCalc[[#This Row],[SST]],TabCalc[[#This Row],[SB]])</f>
        <v>20000</v>
      </c>
      <c r="H33" s="532" t="str">
        <f ca="1">[1]!RTData[[#This Row],[Ticker_Symbol]]</f>
        <v>NEM</v>
      </c>
      <c r="I33" s="383">
        <f ca="1">_xlfn.XLOOKUP(TabCalc[[#This Row],[Ticker]],[1]!RTData[Ticker_Symbol],[1]!RTData[M-Price])</f>
        <v>87.594999999999999</v>
      </c>
      <c r="J33" s="382">
        <v>62.387604499999995</v>
      </c>
      <c r="K33" s="381">
        <f ca="1">_xlfn.XLOOKUP(TabCalc[[#This Row],[Ticker]],[1]!RTData[Ticker_Symbol],[1]!RTData[1YT])</f>
        <v>102.735</v>
      </c>
      <c r="L33" s="382">
        <f ca="1">IF(OR(TabCalc[[#This Row],[NAfter]]=0,TabCalc[[#This Row],[EfCost]]&gt;0),0,TabCalc[[#This Row],[EfCost]]/TabCalc[[#This Row],[NAfter]]/TabCalc[[#This Row],[Scale]])</f>
        <v>-24.141859559099991</v>
      </c>
      <c r="M33" s="732">
        <f ca="1">_xlfn.XLOOKUP(TabCalc[[#This Row],[Ticker]],[1]!RTData[Ticker_Symbol],[1]!RTData[Change%])</f>
        <v>1.149E-2</v>
      </c>
      <c r="N33" s="1065">
        <v>0</v>
      </c>
      <c r="O33" s="892">
        <f>TabCalc[[#This Row],[Up20]]-1+TabCalc[[#This Row],[Up20]]</f>
        <v>-1</v>
      </c>
      <c r="P33" s="892">
        <f>TabCalc[[#This Row],[Up20]]-TabCalc[[#This Row],[Up150]]</f>
        <v>-0.66666666666666663</v>
      </c>
      <c r="Q33" s="892">
        <v>0.66666666666666663</v>
      </c>
      <c r="R33" s="892">
        <f>TabCalc[[#This Row],[Up150]]-1+TabCalc[[#This Row],[Up150]]</f>
        <v>0.33333333333333326</v>
      </c>
      <c r="S33" s="892">
        <f ca="1">IFERROR(SUMPRODUCT(DataShift!F1525:Z1525,DataShift!AB732:AV732)/SQRT(SUMPRODUCT(DataShift!F1525:Z1525,DataShift!F1525:Z1525)*SUMPRODUCT(DataShift!AB732:AV732,DataShift!AB732:AV732)),0)</f>
        <v>-0.46002981730708142</v>
      </c>
      <c r="T33" s="892">
        <f ca="1">IFERROR(SUMPRODUCT(DataShift!F1525:Z1525,DataShift!F733:Z733)/SQRT(SUMPRODUCT(DataShift!F1525:Z1525,DataShift!F1525:Z1525)*SUMPRODUCT(DataShift!F733:Z733,DataShift!F733:Z733)),0)</f>
        <v>6.2215418532360128E-3</v>
      </c>
      <c r="U33" s="1004">
        <v>20000</v>
      </c>
      <c r="V33" s="1004">
        <v>0</v>
      </c>
      <c r="W33" s="1004">
        <v>0</v>
      </c>
      <c r="X33" s="892"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17430.000000000007</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7715.0000000000036</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-12250</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6625</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-10900</v>
      </c>
      <c r="AQ33" s="334">
        <f ca="1">_xlfn.LET(_xlpm.MVToday,DataShift!AV533,         _xlpm.MVY,DataShift!AU534,        _xlpm.MVYY, DataShift!AT534,                                IF(_xlpm.MVToday=_xlpm.MVY,_xlpm.MVY-_xlpm.MVYY,_xlpm.MVToday-_xlpm.MVY))</f>
        <v>4768497.29</v>
      </c>
      <c r="AR33" s="334">
        <f ca="1">_xlfn.LET(_xlpm.MVToday,DataShift!AV533,         _xlpm.MVY,DataShift!AU534,        _xlpm.MVYY, DataShift!AT534,         _xlpm.MVYYY, DataShift!AS534,                      IF(_xlpm.MVToday=_xlpm.MVY,      _xlpm.MVYY-_xlpm.MVYYY,          _xlpm.MVY-_xlpm.MVYY))</f>
        <v>9.9999999999909051E-3</v>
      </c>
      <c r="AS33" s="977">
        <f ca="1">TabCalc[[#This Row],[Y]]/TabCalc[[#This Row],[M]]</f>
        <v>1.1728409155773731</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-0.3856380545313598</v>
      </c>
      <c r="AY33" s="82">
        <f t="shared" ca="1" si="1"/>
        <v>0</v>
      </c>
      <c r="AZ33" s="90">
        <f ca="1">_xlfn.XLOOKUP(TabCalc[[#This Row],[Ticker]],[1]!RTData[Ticker_Symbol],[1]!RTData[V/VA])</f>
        <v>0.25524794759567165</v>
      </c>
      <c r="BA33" s="90" t="str" cm="1">
        <f t="array" aca="1" ref="BA33" ca="1">IFERROR(_xlfn.IFS(TabCalc[[#This Row],[Cur]]="USD",Timer!F$27,                TabCalc[[#This Row],[Cur]]="EUR",Timer!F$18,                  TabCalc[[#This Row],[Cur]]="GBP",Timer!F$12,                          TabCalc[[#This Row],[Cur]]="CAD",Timer!F$27,                TabCalc[[#This Row],[Cur]]="JPY",Timer!F$31,                      TabCalc[[#This Row],[Cur]]="CHF",Timer!F$18),"Timing")</f>
        <v>Closed</v>
      </c>
      <c r="BB33" s="90">
        <f ca="1">IF(ISNUMBER(TabCalc[[#This Row],[TimeEX]]),TabCalc[[#This Row],[V/VA]]/TabCalc[[#This Row],[TimeEX]],TabCalc[[#This Row],[V/VA]])</f>
        <v>0.25524794759567165</v>
      </c>
      <c r="BC33" s="87" cm="1">
        <f t="array" aca="1" ref="BC33" ca="1">INDEX(TabReg[], 1, _xlfn.XMATCH(TabCalc[[#This Row],[Ticker]]&amp;1, TabReg[#Headers], 0))</f>
        <v>15000</v>
      </c>
      <c r="BD33" s="159">
        <f ca="1">TabCalc[[#This Row],[Nbegin]]*TabCalc[[#This Row],[M]]*TabCalc[[#This Row],[Scale]]+TabCalc[[#This Row],[ValueBegin]]</f>
        <v>1027353.6000000001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-195520.70554199984</v>
      </c>
      <c r="BH33" s="336">
        <f ca="1">TabCalc[[#This Row],[M_V]]+TabCalc[[#This Row],[ValueBegin]]</f>
        <v>1465328.6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K33" s="159" cm="1">
        <f t="array" aca="1" ref="BK33" ca="1">SUMPRODUCT(ISNUMBER(INDIRECT("TabReg["&amp;TabCalc[[#This Row],[Ticker]]&amp;"2]"))* INDIRECT("TabReg["&amp;TabCalc[[#This Row],[Ticker]]&amp;"1]") * INDIRECT("TabReg["&amp;TabCalc[[#This Row],[Ticker]]&amp;"2]") )*TabCalc[[#This Row],[Scale]]*(1+Commission)</f>
        <v>-482837.19118199981</v>
      </c>
      <c r="BL33" s="159">
        <f ca="1">TabCalc[[#This Row],[M_V]]*(1-Commission)+TabCalc[[#This Row],[EfCost]]</f>
        <v>1264507.868818</v>
      </c>
      <c r="BM33" s="159">
        <f ca="1">IF(        OR( TabCalc[[#This Row],[GL]]&gt;ABS(TabCalc[[#This Row],[EfCost]]),TabCalc[[#This Row],[NAfter]]=0),             TabCalc[[#This Row],[GL]],     0)</f>
        <v>1264507.868818</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45980.727387267965</v>
      </c>
      <c r="BT33" s="175">
        <f ca="1">(TabCalc[[#This Row],[ValueBegin]]+(TabCalc[[#This Row],[M]]-TabCalc[[#This Row],[A]])*TabCalc[[#This Row],[NAfter]])*TabCalc[[#This Row],[Scale]]</f>
        <v>217576.51000000013</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504147.91000000009</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573.72346528973014</v>
      </c>
      <c r="CX33" s="405">
        <f ca="1">TabCalc[[#This Row],[ntoSell]]*TabCalc[[#This Row],[M]]</f>
        <v>50255.30694205391</v>
      </c>
      <c r="CY33" s="398">
        <f ca="1">_xlfn.LET(_xlpm.nToSell,IF(TabCalc[[#This Row],[M]]-TabCalc[[#This Row],[A]]&lt;=0,"",INT(DesiredSaleGain/(TabCalc[[#This Row],[M]]-IF(TabCalc[[#This Row],[E]]&gt;0,0,TabCalc[[#This Row],[A]])))),IF(_xlpm.nToSell&lt;=TabCalc[[#This Row],[NAfter]],_xlpm.nToSell,0))</f>
        <v>198</v>
      </c>
      <c r="CZ33" s="336">
        <f ca="1">IFERROR(TabCalc[[#This Row],[NMA]]*TabCalc[[#This Row],[M]],"")</f>
        <v>17343.810000000001</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504147.91000000009</v>
      </c>
      <c r="DB33" s="90">
        <f ca="1">IFERROR((TabCalc[[#This Row],[M]]+TabCalc[[#This Row],[L_Bp]])/ABS(TabCalc[[#This Row],[L_Bp]])/(TODAY()-TabCalc[[#This Row],[L_Bdate]])*360,"")</f>
        <v>2.6516227180527392</v>
      </c>
      <c r="DC33" s="310">
        <f ca="1">MEDIAN(DataShift!F733:Z733)</f>
        <v>8.2699999999999994E-4</v>
      </c>
      <c r="DD33" s="310" t="e"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3" s="87">
        <f ca="1">TabCalc[[#This Row],[Nbegin]]*TabCalc[[#This Row],[Scale]]*TabCalc[[#This Row],[M]]</f>
        <v>1313925</v>
      </c>
      <c r="DF33" s="87" cm="1">
        <f t="array" aca="1" ref="DF33" ca="1">SUMPRODUCT(ISNUMBER(INDIRECT("TabReg["&amp;TabCalc[[#This Row],[Ticker]]&amp;"2]"))* INDIRECT("TabReg["&amp;TabCalc[[#This Row],[Ticker]]&amp;"1]") * INDIRECT("TabReg["&amp;TabCalc[[#This Row],[Ticker]]&amp;"2]") )*TabCalc[[#This Row],[Scale]]</f>
        <v>-481585.06999999983</v>
      </c>
      <c r="DI33" s="87">
        <f ca="1"/>
        <v>248820</v>
      </c>
      <c r="DJ33" s="90">
        <f t="shared" ca="1" si="2"/>
        <v>1.1490566367980883</v>
      </c>
      <c r="DK33" t="str">
        <f ca="1">_xlfn.XLOOKUP(DI33,TabCalc[Column1],TabCalc[Ticker])</f>
        <v>HPE</v>
      </c>
      <c r="DL33" s="87">
        <f ca="1">_xlfn.XLOOKUP(DK33,TabCalc[Ticker],TabCalc[ValueBegin])</f>
        <v>-133920</v>
      </c>
      <c r="DM33" s="87">
        <f ca="1">_xlfn.XLOOKUP(DK33,TabCalc[Ticker],TabCalc[M_V])</f>
        <v>190762</v>
      </c>
      <c r="DN33" s="87">
        <f ca="1">_xlfn.XLOOKUP(DK33,TabCalc[Ticker],TabCalc[GL])</f>
        <v>153881.6648</v>
      </c>
      <c r="DO33" s="90"/>
      <c r="DP33" s="90"/>
      <c r="DQ33" s="88" t="s">
        <v>30</v>
      </c>
      <c r="DR33" s="81">
        <v>4000</v>
      </c>
      <c r="DS33" s="315">
        <v>-393.15</v>
      </c>
      <c r="DU33" s="82">
        <v>1419840</v>
      </c>
      <c r="DV33" s="82">
        <f ca="1">DU33-TabCalc[[#This Row],[M_V]]</f>
        <v>-332060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42">
        <f ca="1">_xlfn.XLOOKUP(TabCalc[[#This Row],[Ticker]],DQ$3:DQ$96,DS$3:DS$96)</f>
        <v>-393.15</v>
      </c>
      <c r="E34" s="121">
        <f t="shared" ca="1" si="0"/>
        <v>-1572600</v>
      </c>
      <c r="F34" s="82">
        <f ca="1">TabCalc[[#This Row],[NAfter]]*TabCalc[[#This Row],[M]]*TabCalc[[#This Row],[Scale]]</f>
        <v>3293400</v>
      </c>
      <c r="G34" s="82">
        <f ca="1">IFERROR(TabCalc[[#This Row],[SB]]-TabCalc[[#This Row],[SST]],TabCalc[[#This Row],[SB]])</f>
        <v>30000</v>
      </c>
      <c r="H34" s="532" t="str">
        <f ca="1">[1]!RTData[[#This Row],[Ticker_Symbol]]</f>
        <v>NFLX</v>
      </c>
      <c r="I34" s="383">
        <f ca="1">_xlfn.XLOOKUP(TabCalc[[#This Row],[Ticker]],[1]!RTData[Ticker_Symbol],[1]!RTData[M-Price])</f>
        <v>109.78</v>
      </c>
      <c r="J34" s="382">
        <v>112.8935</v>
      </c>
      <c r="K34" s="381">
        <f ca="1">_xlfn.XLOOKUP(TabCalc[[#This Row],[Ticker]],[1]!RTData[Ticker_Symbol],[1]!RTData[1YT])</f>
        <v>1347.3231000000001</v>
      </c>
      <c r="L34" s="382">
        <f ca="1">IF(OR(TabCalc[[#This Row],[NAfter]]=0,TabCalc[[#This Row],[EfCost]]&gt;0),0,TabCalc[[#This Row],[EfCost]]/TabCalc[[#This Row],[NAfter]]/TabCalc[[#This Row],[Scale]])</f>
        <v>-61.328073154199984</v>
      </c>
      <c r="M34" s="732">
        <f ca="1">_xlfn.XLOOKUP(TabCalc[[#This Row],[Ticker]],[1]!RTData[Ticker_Symbol],[1]!RTData[Change%])</f>
        <v>-3.7776999999999998E-2</v>
      </c>
      <c r="N34" s="1065">
        <v>0</v>
      </c>
      <c r="O34" s="892">
        <f>TabCalc[[#This Row],[Up20]]-1+TabCalc[[#This Row],[Up20]]</f>
        <v>-1</v>
      </c>
      <c r="P34" s="892">
        <f>TabCalc[[#This Row],[Up20]]-TabCalc[[#This Row],[Up150]]</f>
        <v>-0.5</v>
      </c>
      <c r="Q34" s="892">
        <v>0.5</v>
      </c>
      <c r="R34" s="892">
        <f>TabCalc[[#This Row],[Up150]]-1+TabCalc[[#This Row],[Up150]]</f>
        <v>0</v>
      </c>
      <c r="S34" s="892">
        <f ca="1">IFERROR(SUMPRODUCT(DataShift!F1526:Z1526,DataShift!AB733:AV733)/SQRT(SUMPRODUCT(DataShift!F1526:Z1526,DataShift!F1526:Z1526)*SUMPRODUCT(DataShift!AB733:AV733,DataShift!AB733:AV733)),0)</f>
        <v>-0.80815859092277498</v>
      </c>
      <c r="T34" s="892">
        <f ca="1">IFERROR(SUMPRODUCT(DataShift!F1526:Z1526,DataShift!F734:Z734)/SQRT(SUMPRODUCT(DataShift!F1526:Z1526,DataShift!F1526:Z1526)*SUMPRODUCT(DataShift!F734:Z734,DataShift!F734:Z734)),0)</f>
        <v>-8.8927764342709881E-2</v>
      </c>
      <c r="U34" s="1004">
        <v>5000</v>
      </c>
      <c r="V34" s="1004">
        <v>25000</v>
      </c>
      <c r="W34" s="1004">
        <v>0</v>
      </c>
      <c r="X34" s="892"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459.99999999992269</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-109.68800000000002</v>
      </c>
      <c r="AD34" s="211">
        <f ca="1">IFERROR(MIN(TabCalc[[#This Row],[L_B1n]],TabCalc[[#This Row],[NAfter]])*(TabCalc[[#This Row],[M]]+TabCalc[[#This Row],[L_B1p]])*TabCalc[[#This Row],[Scale]],"")</f>
        <v>-2879.9999999999673</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5000</v>
      </c>
      <c r="AG34" s="190" cm="1">
        <f t="array" aca="1" ref="AG34" ca="1">IFERROR(_xlfn.XLOOKUP(TabCalc[[#This Row],[L_B1D]],INDIRECT("TabReg["&amp;TabCalc[[#This Row],[Ticker]]&amp;"]"),INDIRECT("TabReg["&amp;TabCalc[[#This Row],[Ticker]]&amp;"2]")),0)</f>
        <v>-110.35599999999999</v>
      </c>
      <c r="AH34" s="300">
        <f ca="1">IFERROR(TabCalc[[#This Row],[L_Sn]]*(TabCalc[[#This Row],[L_Sp]]-TabCalc[[#This Row],[M]])*TabCalc[[#This Row],[Scale]],"")</f>
        <v>13575.999999999993</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13752.999999999985</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-91200</v>
      </c>
      <c r="AQ34" s="334">
        <f ca="1">_xlfn.LET(_xlpm.MVToday,DataShift!AV534,         _xlpm.MVY,DataShift!AU535,        _xlpm.MVYY, DataShift!AT535,                                IF(_xlpm.MVToday=_xlpm.MVY,_xlpm.MVY-_xlpm.MVYY,_xlpm.MVToday-_xlpm.MVY))</f>
        <v>-1751815.29</v>
      </c>
      <c r="AR34" s="334">
        <f ca="1">_xlfn.LET(_xlpm.MVToday,DataShift!AV534,         _xlpm.MVY,DataShift!AU535,        _xlpm.MVYY, DataShift!AT535,         _xlpm.MVYYY, DataShift!AS535,                      IF(_xlpm.MVToday=_xlpm.MVY,      _xlpm.MVYY-_xlpm.MVYYY,          _xlpm.MVY-_xlpm.MVYY))</f>
        <v>19700</v>
      </c>
      <c r="AS34" s="977">
        <f ca="1">TabCalc[[#This Row],[Y]]/TabCalc[[#This Row],[M]]</f>
        <v>12.272937693568956</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26000</v>
      </c>
      <c r="AX34" s="305">
        <f ca="1">IFERROR((TabCalc[[#This Row],[M]]-TabCalc[[#This Row],[Y]])*(TabCalc[[#This Row],[M]]-TabCalc[[#This Row],[Y]])*(TabCalc[[#This Row],[M]]-TabCalc[[#This Row],[Y]])/(TabCalc[[#This Row],[Y]]*TabCalc[[#This Row],[M]]),"")</f>
        <v>-12814.038275732766</v>
      </c>
      <c r="AY34" s="82">
        <f t="shared" ca="1" si="1"/>
        <v>0</v>
      </c>
      <c r="AZ34" s="90">
        <f ca="1">_xlfn.XLOOKUP(TabCalc[[#This Row],[Ticker]],[1]!RTData[Ticker_Symbol],[1]!RTData[V/VA])</f>
        <v>0.31860468043048967</v>
      </c>
      <c r="BA34" s="90" t="str" cm="1">
        <f t="array" aca="1" ref="BA34" ca="1">IFERROR(_xlfn.IFS(TabCalc[[#This Row],[Cur]]="USD",Timer!F$27,                TabCalc[[#This Row],[Cur]]="EUR",Timer!F$18,                  TabCalc[[#This Row],[Cur]]="GBP",Timer!F$12,                          TabCalc[[#This Row],[Cur]]="CAD",Timer!F$27,                TabCalc[[#This Row],[Cur]]="JPY",Timer!F$31,                      TabCalc[[#This Row],[Cur]]="CHF",Timer!F$18),"Timing")</f>
        <v>Closed</v>
      </c>
      <c r="BB34" s="90">
        <f ca="1">IF(ISNUMBER(TabCalc[[#This Row],[TimeEX]]),TabCalc[[#This Row],[V/VA]]/TabCalc[[#This Row],[TimeEX]],TabCalc[[#This Row],[V/VA]])</f>
        <v>0.31860468043048967</v>
      </c>
      <c r="BC34" s="87" cm="1">
        <f t="array" aca="1" ref="BC34" ca="1">INDEX(TabReg[], 1, _xlfn.XMATCH(TabCalc[[#This Row],[Ticker]]&amp;1, TabReg[#Headers], 0))</f>
        <v>40000</v>
      </c>
      <c r="BD34" s="159">
        <f ca="1">TabCalc[[#This Row],[Nbegin]]*TabCalc[[#This Row],[M]]*TabCalc[[#This Row],[Scale]]+TabCalc[[#This Row],[ValueBegin]]</f>
        <v>-1133480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-263153.43462599954</v>
      </c>
      <c r="BH34" s="336">
        <f ca="1">TabCalc[[#This Row],[M_V]]+TabCalc[[#This Row],[ValueBegin]]</f>
        <v>1720800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K34" s="159" cm="1">
        <f t="array" aca="1" ref="BK34" ca="1">SUMPRODUCT(ISNUMBER(INDIRECT("TabReg["&amp;TabCalc[[#This Row],[Ticker]]&amp;"2]"))* INDIRECT("TabReg["&amp;TabCalc[[#This Row],[Ticker]]&amp;"1]") * INDIRECT("TabReg["&amp;TabCalc[[#This Row],[Ticker]]&amp;"2]") )*TabCalc[[#This Row],[Scale]]*(1+Commission)</f>
        <v>-1839842.1946259995</v>
      </c>
      <c r="BL34" s="159">
        <f ca="1">TabCalc[[#This Row],[M_V]]*(1-Commission)+TabCalc[[#This Row],[EfCost]]</f>
        <v>1444994.9653740001</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87000</v>
      </c>
      <c r="BO34" s="159">
        <f ca="1">TabCalc[[#This Row],[SB]]-TabCalc[[#This Row],[Nbegin]]</f>
        <v>83000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98.16</v>
      </c>
      <c r="BR34" s="174" t="str">
        <f ca="1">IF(TabCalc[[#This Row],[EfCost]]+TabCalc[[#This Row],[M_V]]&lt;TabCalc[[#This Row],[NoT_GL]],"Pile","")</f>
        <v/>
      </c>
      <c r="BS34" s="165">
        <f ca="1">_xlfn.XLOOKUP(TabCalc[[#This Row],[Ticker]],[1]!RTData[Ticker_Symbol],[1]!RTData[Last trade time])</f>
        <v>45980.727363923441</v>
      </c>
      <c r="BT34" s="175">
        <f ca="1">(TabCalc[[#This Row],[ValueBegin]]+(TabCalc[[#This Row],[M]]-TabCalc[[#This Row],[A]])*TabCalc[[#This Row],[NAfter]])*TabCalc[[#This Row],[Scale]]</f>
        <v>-1666005</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5000</v>
      </c>
      <c r="BZ34" s="190" cm="1">
        <f t="array" aca="1" ref="BZ34" ca="1">INDEX(Reg!$A$1:$KF$73,TabCalc[[#This Row],[L_I1]],TabCalc[[#This Row],[L_I2]]+1)</f>
        <v>-109.68800000000002</v>
      </c>
      <c r="CA34" s="159">
        <f ca="1">TabCalc[[#This Row],[NAfter]]*(TabCalc[[#This Row],[M]]-IF(TabCalc[[#This Row],[E]]&gt;0,0,TabCalc[[#This Row],[A]]))</f>
        <v>-93405.000000000058</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368.29699469652343</v>
      </c>
      <c r="CV34" s="404">
        <f ca="1">IF(TabCalc[[#This Row],[ntoBuy]]*TabCalc[[#This Row],[M]]&lt;=0,0,TabCalc[[#This Row],[ntoBuy]]*TabCalc[[#This Row],[M]])</f>
        <v>40431.644077784345</v>
      </c>
      <c r="CW34" s="404">
        <f ca="1">IF(TabCalc[[#This Row],[M]]&gt;ABS(TabCalc[[#This Row],[L_Bp]]),MIN(TabCalc[[#This Row],[NAfter]],DesiredSaleGain/(TabCalc[[#This Row],[M]]+TabCalc[[#This Row],[L_Bp]])),0)/TabCalc[[#This Row],[Scale]]</f>
        <v>30000</v>
      </c>
      <c r="CX34" s="405">
        <f ca="1">TabCalc[[#This Row],[ntoSell]]*TabCalc[[#This Row],[M]]</f>
        <v>3293400</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-93405.000000000058</v>
      </c>
      <c r="DB34" s="90">
        <f ca="1">IFERROR((TabCalc[[#This Row],[M]]+TabCalc[[#This Row],[L_Bp]])/ABS(TabCalc[[#This Row],[L_Bp]])/(TODAY()-TabCalc[[#This Row],[L_Bdate]])*360,"")</f>
        <v>1.1613359290404962E-2</v>
      </c>
      <c r="DC34" s="310">
        <f ca="1">MEDIAN(DataShift!F734:Z734)</f>
        <v>9.9360000000000004E-3</v>
      </c>
      <c r="DD34" s="310" t="e"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4" s="87">
        <f ca="1">TabCalc[[#This Row],[Nbegin]]*TabCalc[[#This Row],[Scale]]*TabCalc[[#This Row],[M]]</f>
        <v>439120</v>
      </c>
      <c r="DF34" s="87" cm="1">
        <f t="array" aca="1" ref="DF34" ca="1">SUMPRODUCT(ISNUMBER(INDIRECT("TabReg["&amp;TabCalc[[#This Row],[Ticker]]&amp;"2]"))* INDIRECT("TabReg["&amp;TabCalc[[#This Row],[Ticker]]&amp;"1]") * INDIRECT("TabReg["&amp;TabCalc[[#This Row],[Ticker]]&amp;"2]") )*TabCalc[[#This Row],[Scale]]</f>
        <v>-1835071.0099999998</v>
      </c>
      <c r="DI34" s="87">
        <f ca="1"/>
        <v>242075.9</v>
      </c>
      <c r="DJ34" s="90">
        <f t="shared" ca="1" si="2"/>
        <v>0.4140140931985577</v>
      </c>
      <c r="DK34" t="str">
        <f ca="1">_xlfn.XLOOKUP(DI34,TabCalc[Column1],TabCalc[Ticker])</f>
        <v>GS</v>
      </c>
      <c r="DL34" s="87">
        <f ca="1">_xlfn.XLOOKUP(DK34,TabCalc[Ticker],TabCalc[ValueBegin])</f>
        <v>-111197</v>
      </c>
      <c r="DM34" s="87">
        <f ca="1">_xlfn.XLOOKUP(DK34,TabCalc[Ticker],TabCalc[M_V])</f>
        <v>0</v>
      </c>
      <c r="DN34" s="87">
        <f ca="1">_xlfn.XLOOKUP(DK34,TabCalc[Ticker],TabCalc[GL])</f>
        <v>46037.125121400022</v>
      </c>
      <c r="DO34" s="90"/>
      <c r="DP34" s="90"/>
      <c r="DQ34" s="88" t="s">
        <v>31</v>
      </c>
      <c r="DR34" s="81">
        <v>3000</v>
      </c>
      <c r="DS34" s="315">
        <v>-28.96</v>
      </c>
      <c r="DU34" s="82">
        <v>3278880</v>
      </c>
      <c r="DV34" s="82">
        <f ca="1">DU34-TabCalc[[#This Row],[M_V]]</f>
        <v>-14520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42">
        <f ca="1">_xlfn.XLOOKUP(TabCalc[[#This Row],[Ticker]],DQ$3:DQ$96,DS$3:DS$96)</f>
        <v>-1.19</v>
      </c>
      <c r="E35" s="121">
        <f t="shared" ca="1" si="0"/>
        <v>-35700</v>
      </c>
      <c r="F35" s="82">
        <f ca="1">TabCalc[[#This Row],[NAfter]]*TabCalc[[#This Row],[M]]*TabCalc[[#This Row],[Scale]]</f>
        <v>63900</v>
      </c>
      <c r="G35" s="82">
        <f ca="1">IFERROR(TabCalc[[#This Row],[SB]]-TabCalc[[#This Row],[SST]],TabCalc[[#This Row],[SB]])</f>
        <v>30000</v>
      </c>
      <c r="H35" s="532" t="str">
        <f ca="1">[1]!RTData[[#This Row],[Ticker_Symbol]]</f>
        <v>NOTE</v>
      </c>
      <c r="I35" s="383">
        <f ca="1">_xlfn.XLOOKUP(TabCalc[[#This Row],[Ticker]],[1]!RTData[Ticker_Symbol],[1]!RTData[M-Price])</f>
        <v>2.13</v>
      </c>
      <c r="J35" s="382">
        <v>9.4350833427082161</v>
      </c>
      <c r="K35" s="381">
        <f ca="1">_xlfn.XLOOKUP(TabCalc[[#This Row],[Ticker]],[1]!RTData[Ticker_Symbol],[1]!RTData[1YT])</f>
        <v>31.501080000000002</v>
      </c>
      <c r="L35" s="382">
        <f ca="1">IF(OR(TabCalc[[#This Row],[NAfter]]=0,TabCalc[[#This Row],[EfCost]]&gt;0),0,TabCalc[[#This Row],[EfCost]]/TabCalc[[#This Row],[NAfter]]/TabCalc[[#This Row],[Scale]])</f>
        <v>-8.7160846354499988</v>
      </c>
      <c r="M35" s="732">
        <f ca="1">_xlfn.XLOOKUP(TabCalc[[#This Row],[Ticker]],[1]!RTData[Ticker_Symbol],[1]!RTData[Change%])</f>
        <v>-4.9107000000000005E-2</v>
      </c>
      <c r="N35" s="1065">
        <v>0</v>
      </c>
      <c r="O35" s="892">
        <f>TabCalc[[#This Row],[Up20]]-1+TabCalc[[#This Row],[Up20]]</f>
        <v>-1</v>
      </c>
      <c r="P35" s="892">
        <f>TabCalc[[#This Row],[Up20]]-TabCalc[[#This Row],[Up150]]</f>
        <v>-0.41666666666666669</v>
      </c>
      <c r="Q35" s="892">
        <v>0.41666666666666669</v>
      </c>
      <c r="R35" s="892">
        <f>TabCalc[[#This Row],[Up150]]-1+TabCalc[[#This Row],[Up150]]</f>
        <v>-0.16666666666666657</v>
      </c>
      <c r="S35" s="892">
        <f ca="1">IFERROR(SUMPRODUCT(DataShift!F1527:Z1527,DataShift!AB734:AV734)/SQRT(SUMPRODUCT(DataShift!F1527:Z1527,DataShift!F1527:Z1527)*SUMPRODUCT(DataShift!AB734:AV734,DataShift!AB734:AV734)),0)</f>
        <v>-0.93837011727472075</v>
      </c>
      <c r="T35" s="892">
        <f ca="1">IFERROR(SUMPRODUCT(DataShift!F1527:Z1527,DataShift!F735:Z735)/SQRT(SUMPRODUCT(DataShift!F1527:Z1527,DataShift!F1527:Z1527)*SUMPRODUCT(DataShift!F735:Z735,DataShift!F735:Z735)),0)</f>
        <v>0.37643859858178547</v>
      </c>
      <c r="U35" s="1004">
        <v>0</v>
      </c>
      <c r="V35" s="1004">
        <v>26667</v>
      </c>
      <c r="W35" s="1004">
        <v>0</v>
      </c>
      <c r="X35" s="892"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-2099.7899999999995</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-8175.0000000000009</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-3000</v>
      </c>
      <c r="AQ35" s="334">
        <f ca="1">_xlfn.LET(_xlpm.MVToday,DataShift!AV535,         _xlpm.MVY,DataShift!AU536,        _xlpm.MVYY, DataShift!AT536,                                IF(_xlpm.MVToday=_xlpm.MVY,_xlpm.MVY-_xlpm.MVYY,_xlpm.MVToday-_xlpm.MVY))</f>
        <v>-1541500</v>
      </c>
      <c r="AR35" s="334">
        <f ca="1">_xlfn.LET(_xlpm.MVToday,DataShift!AV535,         _xlpm.MVY,DataShift!AU536,        _xlpm.MVYY, DataShift!AT536,         _xlpm.MVYYY, DataShift!AS536,                      IF(_xlpm.MVToday=_xlpm.MVY,      _xlpm.MVYY-_xlpm.MVYYY,          _xlpm.MVY-_xlpm.MVYY))</f>
        <v>-129300</v>
      </c>
      <c r="AS35" s="977">
        <f ca="1">TabCalc[[#This Row],[Y]]/TabCalc[[#This Row],[M]]</f>
        <v>14.78923943661972</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-377.61975099863741</v>
      </c>
      <c r="AY35" s="82">
        <f t="shared" ca="1" si="1"/>
        <v>0</v>
      </c>
      <c r="AZ35" s="90">
        <f ca="1">_xlfn.XLOOKUP(TabCalc[[#This Row],[Ticker]],[1]!RTData[Ticker_Symbol],[1]!RTData[V/VA])</f>
        <v>0.41464384557603706</v>
      </c>
      <c r="BA35" s="90" t="str" cm="1">
        <f t="array" aca="1" ref="BA35" ca="1">IFERROR(_xlfn.IFS(TabCalc[[#This Row],[Cur]]="USD",Timer!F$27,                TabCalc[[#This Row],[Cur]]="EUR",Timer!F$18,                  TabCalc[[#This Row],[Cur]]="GBP",Timer!F$12,                          TabCalc[[#This Row],[Cur]]="CAD",Timer!F$27,                TabCalc[[#This Row],[Cur]]="JPY",Timer!F$31,                      TabCalc[[#This Row],[Cur]]="CHF",Timer!F$18),"Timing")</f>
        <v>Closed</v>
      </c>
      <c r="BB35" s="90">
        <f ca="1">IF(ISNUMBER(TabCalc[[#This Row],[TimeEX]]),TabCalc[[#This Row],[V/VA]]/TabCalc[[#This Row],[TimeEX]],TabCalc[[#This Row],[V/VA]])</f>
        <v>0.41464384557603706</v>
      </c>
      <c r="BC35" s="87" cm="1">
        <f t="array" aca="1" ref="BC35" ca="1">INDEX(TabReg[], 1, _xlfn.XMATCH(TabCalc[[#This Row],[Ticker]]&amp;1, TabReg[#Headers], 0))</f>
        <v>24167</v>
      </c>
      <c r="BD35" s="159">
        <f ca="1">TabCalc[[#This Row],[Nbegin]]*TabCalc[[#This Row],[M]]*TabCalc[[#This Row],[Scale]]+TabCalc[[#This Row],[ValueBegin]]</f>
        <v>28200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-225689.71906349994</v>
      </c>
      <c r="BH35" s="336">
        <f ca="1">TabCalc[[#This Row],[M_V]]+TabCalc[[#This Row],[ValueBegin]]</f>
        <v>28200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35" s="159" cm="1">
        <f t="array" aca="1" ref="BK35" ca="1">SUMPRODUCT(ISNUMBER(INDIRECT("TabReg["&amp;TabCalc[[#This Row],[Ticker]]&amp;"2]"))* INDIRECT("TabReg["&amp;TabCalc[[#This Row],[Ticker]]&amp;"1]") * INDIRECT("TabReg["&amp;TabCalc[[#This Row],[Ticker]]&amp;"2]") )*TabCalc[[#This Row],[Scale]]*(1+Commission)</f>
        <v>-261482.53906349995</v>
      </c>
      <c r="BL35" s="159">
        <f ca="1">TabCalc[[#This Row],[M_V]]*(1-Commission)+TabCalc[[#This Row],[EfCost]]</f>
        <v>-197748.67906349996</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45980.725908946093</v>
      </c>
      <c r="BT35" s="175">
        <f ca="1">(TabCalc[[#This Row],[ValueBegin]]+(TabCalc[[#This Row],[M]]-TabCalc[[#This Row],[A]])*TabCalc[[#This Row],[NAfter]])*TabCalc[[#This Row],[Scale]]</f>
        <v>-254852.5002812465</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_xlfn.LET(_xlpm.LAST_T,TabCalc[[#This Row],[L_TP]],_xlfn.IFS(_xlpm.LAST_T&lt;0,"Purchase",_xlpm.LAST_T&gt;0,"Sale"))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-219152.5002812465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-219152.5002812465</v>
      </c>
      <c r="DB35" s="90">
        <f ca="1">IFERROR((TabCalc[[#This Row],[M]]+TabCalc[[#This Row],[L_Bp]])/ABS(TabCalc[[#This Row],[L_Bp]])/(TODAY()-TabCalc[[#This Row],[L_Bdate]])*360,"")</f>
        <v>-10.271739130434781</v>
      </c>
      <c r="DC35" s="310">
        <f ca="1">MEDIAN(DataShift!F735:Z735)</f>
        <v>-3.869E-3</v>
      </c>
      <c r="DD35" s="310" t="e"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5" s="87">
        <f ca="1">TabCalc[[#This Row],[Nbegin]]*TabCalc[[#This Row],[Scale]]*TabCalc[[#This Row],[M]]</f>
        <v>63900</v>
      </c>
      <c r="DF35" s="87" cm="1">
        <f t="array" aca="1" ref="DF35" ca="1">SUMPRODUCT(ISNUMBER(INDIRECT("TabReg["&amp;TabCalc[[#This Row],[Ticker]]&amp;"2]"))* INDIRECT("TabReg["&amp;TabCalc[[#This Row],[Ticker]]&amp;"1]") * INDIRECT("TabReg["&amp;TabCalc[[#This Row],[Ticker]]&amp;"2]") )*TabCalc[[#This Row],[Scale]]</f>
        <v>-260804.44749999998</v>
      </c>
      <c r="DI35" s="87">
        <f ca="1"/>
        <v>205500</v>
      </c>
      <c r="DJ35" s="90">
        <f t="shared" ref="DJ35:DJ66" ca="1" si="3">DN35/ABS(DL35)</f>
        <v>0.31744773696873219</v>
      </c>
      <c r="DK35" t="str">
        <f ca="1">_xlfn.XLOOKUP(DI35,TabCalc[Column1],TabCalc[Ticker])</f>
        <v>MVESAP</v>
      </c>
      <c r="DL35" s="87">
        <f ca="1">_xlfn.XLOOKUP(DK35,TabCalc[Ticker],TabCalc[ValueBegin])</f>
        <v>-144560</v>
      </c>
      <c r="DM35" s="87">
        <f ca="1">_xlfn.XLOOKUP(DK35,TabCalc[Ticker],TabCalc[M_V])</f>
        <v>82405.5</v>
      </c>
      <c r="DN35" s="87">
        <f ca="1">_xlfn.XLOOKUP(DK35,TabCalc[Ticker],TabCalc[GL])</f>
        <v>45890.244856199926</v>
      </c>
      <c r="DO35" s="90"/>
      <c r="DP35" s="90"/>
      <c r="DQ35" s="88" t="s">
        <v>32</v>
      </c>
      <c r="DR35">
        <v>500</v>
      </c>
      <c r="DS35" s="315">
        <v>-896.1</v>
      </c>
      <c r="DU35" s="82">
        <v>98934.569999999992</v>
      </c>
      <c r="DV35" s="82">
        <f ca="1">DU35-TabCalc[[#This Row],[M_V]]</f>
        <v>35034.569999999992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42">
        <f ca="1">_xlfn.XLOOKUP(TabCalc[[#This Row],[Ticker]],DQ$3:DQ$96,DS$3:DS$96)</f>
        <v>-28.96</v>
      </c>
      <c r="E36" s="121">
        <f t="shared" ca="1" si="0"/>
        <v>-86880</v>
      </c>
      <c r="F36" s="82">
        <f ca="1">TabCalc[[#This Row],[NAfter]]*TabCalc[[#This Row],[M]]*TabCalc[[#This Row],[Scale]]</f>
        <v>76980</v>
      </c>
      <c r="G36" s="82">
        <f ca="1">IFERROR(TabCalc[[#This Row],[SB]]-TabCalc[[#This Row],[SST]],TabCalc[[#This Row],[SB]])</f>
        <v>2000</v>
      </c>
      <c r="H36" s="532" t="str">
        <f ca="1">[1]!RTData[[#This Row],[Ticker_Symbol]]</f>
        <v>PAAS</v>
      </c>
      <c r="I36" s="383">
        <f ca="1">_xlfn.XLOOKUP(TabCalc[[#This Row],[Ticker]],[1]!RTData[Ticker_Symbol],[1]!RTData[M-Price])</f>
        <v>38.49</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1.1032E-2</v>
      </c>
      <c r="N36" s="1065">
        <v>0</v>
      </c>
      <c r="O36" s="892">
        <f>TabCalc[[#This Row],[Up20]]-1+TabCalc[[#This Row],[Up20]]</f>
        <v>-1</v>
      </c>
      <c r="P36" s="892">
        <f>TabCalc[[#This Row],[Up20]]-TabCalc[[#This Row],[Up150]]</f>
        <v>-0.66666666666666663</v>
      </c>
      <c r="Q36" s="892">
        <v>0.66666666666666663</v>
      </c>
      <c r="R36" s="892">
        <f>TabCalc[[#This Row],[Up150]]-1+TabCalc[[#This Row],[Up150]]</f>
        <v>0.33333333333333326</v>
      </c>
      <c r="S36" s="892">
        <f ca="1">IFERROR(SUMPRODUCT(DataShift!F1528:Z1528,DataShift!AB735:AV735)/SQRT(SUMPRODUCT(DataShift!F1528:Z1528,DataShift!F1528:Z1528)*SUMPRODUCT(DataShift!AB735:AV735,DataShift!AB735:AV735)),0)</f>
        <v>-0.98088460298180136</v>
      </c>
      <c r="T36" s="892">
        <f ca="1">IFERROR(SUMPRODUCT(DataShift!F1528:Z1528,DataShift!F736:Z736)/SQRT(SUMPRODUCT(DataShift!F1528:Z1528,DataShift!F1528:Z1528)*SUMPRODUCT(DataShift!F736:Z736,DataShift!F736:Z736)),0)</f>
        <v>0.58350488057951344</v>
      </c>
      <c r="U36" s="1004">
        <v>2500</v>
      </c>
      <c r="V36" s="1004">
        <v>1500</v>
      </c>
      <c r="W36" s="1004">
        <v>0</v>
      </c>
      <c r="X36" s="892"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4155.0000000000045</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10960</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725.99999999999909</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405.24999999999875</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-740</v>
      </c>
      <c r="AQ36" s="334">
        <f ca="1">_xlfn.LET(_xlpm.MVToday,DataShift!AV536,         _xlpm.MVY,DataShift!AU537,        _xlpm.MVYY, DataShift!AT537,                                IF(_xlpm.MVToday=_xlpm.MVY,_xlpm.MVY-_xlpm.MVYY,_xlpm.MVToday-_xlpm.MVY))</f>
        <v>3229500</v>
      </c>
      <c r="AR36" s="334">
        <f ca="1">_xlfn.LET(_xlpm.MVToday,DataShift!AV536,         _xlpm.MVY,DataShift!AU537,        _xlpm.MVYY, DataShift!AT537,         _xlpm.MVYYY, DataShift!AS537,                      IF(_xlpm.MVToday=_xlpm.MVY,      _xlpm.MVYY-_xlpm.MVYYY,          _xlpm.MVY-_xlpm.MVYY))</f>
        <v>-3300</v>
      </c>
      <c r="AS36" s="977">
        <f ca="1">TabCalc[[#This Row],[Y]]/TabCalc[[#This Row],[M]]</f>
        <v>1.2178487918939984</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-0.32675332003117669</v>
      </c>
      <c r="AY36" s="82">
        <f t="shared" ca="1" si="1"/>
        <v>1000</v>
      </c>
      <c r="AZ36" s="90">
        <f ca="1">_xlfn.XLOOKUP(TabCalc[[#This Row],[Ticker]],[1]!RTData[Ticker_Symbol],[1]!RTData[V/VA])</f>
        <v>0.41100608779237424</v>
      </c>
      <c r="BA36" s="90" t="str" cm="1">
        <f t="array" aca="1" ref="BA36" ca="1">IFERROR(_xlfn.IFS(TabCalc[[#This Row],[Cur]]="USD",Timer!F$27,                TabCalc[[#This Row],[Cur]]="EUR",Timer!F$18,                  TabCalc[[#This Row],[Cur]]="GBP",Timer!F$12,                          TabCalc[[#This Row],[Cur]]="CAD",Timer!F$27,                TabCalc[[#This Row],[Cur]]="JPY",Timer!F$31,                      TabCalc[[#This Row],[Cur]]="CHF",Timer!F$18),"Timing")</f>
        <v>Closed</v>
      </c>
      <c r="BB36" s="90">
        <f ca="1">IF(ISNUMBER(TabCalc[[#This Row],[TimeEX]]),TabCalc[[#This Row],[V/VA]]/TabCalc[[#This Row],[TimeEX]],TabCalc[[#This Row],[V/VA]])</f>
        <v>0.41100608779237424</v>
      </c>
      <c r="BC36" s="87" cm="1">
        <f t="array" aca="1" ref="BC36" ca="1">INDEX(TabReg[], 1, _xlfn.XMATCH(TabCalc[[#This Row],[Ticker]]&amp;1, TabReg[#Headers], 0))</f>
        <v>3000</v>
      </c>
      <c r="BD36" s="159">
        <f ca="1">TabCalc[[#This Row],[Nbegin]]*TabCalc[[#This Row],[M]]*TabCalc[[#This Row],[Scale]]+TabCalc[[#This Row],[ValueBegin]]</f>
        <v>28590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-9900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470076.76441</v>
      </c>
      <c r="BK36" s="159" cm="1">
        <f t="array" aca="1" ref="BK36" ca="1">SUMPRODUCT(ISNUMBER(INDIRECT("TabReg["&amp;TabCalc[[#This Row],[Ticker]]&amp;"2]"))* INDIRECT("TabReg["&amp;TabCalc[[#This Row],[Ticker]]&amp;"1]") * INDIRECT("TabReg["&amp;TabCalc[[#This Row],[Ticker]]&amp;"2]") )*TabCalc[[#This Row],[Scale]]*(1+Commission)</f>
        <v>10490.755229999988</v>
      </c>
      <c r="BL36" s="159">
        <f ca="1">TabCalc[[#This Row],[M_V]]*(1-Commission)+TabCalc[[#This Row],[EfCost]]</f>
        <v>87270.607229999994</v>
      </c>
      <c r="BM36" s="159">
        <f ca="1">IF(        OR( TabCalc[[#This Row],[GL]]&gt;ABS(TabCalc[[#This Row],[EfCost]]),TabCalc[[#This Row],[NAfter]]=0),             TabCalc[[#This Row],[GL]],     0)</f>
        <v>87270.607229999994</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6" s="174" t="str">
        <f ca="1">IF(TabCalc[[#This Row],[EfCost]]+TabCalc[[#This Row],[M_V]]&lt;TabCalc[[#This Row],[NoT_GL]],"Pile","")</f>
        <v/>
      </c>
      <c r="BS36" s="165">
        <f ca="1">_xlfn.XLOOKUP(TabCalc[[#This Row],[Ticker]],[1]!RTData[Ticker_Symbol],[1]!RTData[Last trade time])</f>
        <v>45980.727289791408</v>
      </c>
      <c r="BT36" s="175">
        <f ca="1">(TabCalc[[#This Row],[ValueBegin]]+(TabCalc[[#This Row],[M]]-TabCalc[[#This Row],[A]])*TabCalc[[#This Row],[NAfter]])*TabCalc[[#This Row],[Scale]]</f>
        <v>-68405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_xlfn.LET(_xlpm.LAST_T,TabCalc[[#This Row],[L_TP]],_xlfn.IFS(_xlpm.LAST_T&lt;0,"Purchase",_xlpm.LAST_T&gt;0,"Sale"))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18475</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13774.10468319561</v>
      </c>
      <c r="CV36" s="404">
        <f ca="1">IF(TabCalc[[#This Row],[ntoBuy]]*TabCalc[[#This Row],[M]]&lt;=0,0,TabCalc[[#This Row],[ntoBuy]]*TabCalc[[#This Row],[M]])</f>
        <v>530165.28925619903</v>
      </c>
      <c r="CW36" s="404">
        <f ca="1">IF(TabCalc[[#This Row],[M]]&gt;ABS(TabCalc[[#This Row],[L_Bp]]),MIN(TabCalc[[#This Row],[NAfter]],DesiredSaleGain/(TabCalc[[#This Row],[M]]+TabCalc[[#This Row],[L_Bp]])),0)/TabCalc[[#This Row],[Scale]]</f>
        <v>1805.0541516245466</v>
      </c>
      <c r="CX36" s="405">
        <f ca="1">TabCalc[[#This Row],[ntoSell]]*TabCalc[[#This Row],[M]]</f>
        <v>69476.534296028811</v>
      </c>
      <c r="CY36" s="398">
        <f ca="1">_xlfn.LET(_xlpm.nToSell,IF(TabCalc[[#This Row],[M]]-TabCalc[[#This Row],[A]]&lt;=0,"",INT(DesiredSaleGain/(TabCalc[[#This Row],[M]]-IF(TabCalc[[#This Row],[E]]&gt;0,0,TabCalc[[#This Row],[A]])))),IF(_xlpm.nToSell&lt;=TabCalc[[#This Row],[NAfter]],_xlpm.nToSell,0))</f>
        <v>541</v>
      </c>
      <c r="CZ36" s="336">
        <f ca="1">IFERROR(TabCalc[[#This Row],[NMA]]*TabCalc[[#This Row],[M]],"")</f>
        <v>20823.09</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18475</v>
      </c>
      <c r="DB36" s="90">
        <f ca="1">IFERROR((TabCalc[[#This Row],[M]]+TabCalc[[#This Row],[L_Bp]])/ABS(TabCalc[[#This Row],[L_Bp]])/(TODAY()-TabCalc[[#This Row],[L_Bdate]])*360,"")</f>
        <v>0.96265976754064286</v>
      </c>
      <c r="DC36" s="310">
        <f ca="1">MEDIAN(DataShift!F736:Z736)</f>
        <v>-3.1890999999999996E-2</v>
      </c>
      <c r="DD36" s="310" t="e"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6" s="87">
        <f ca="1">TabCalc[[#This Row],[Nbegin]]*TabCalc[[#This Row],[Scale]]*TabCalc[[#This Row],[M]]</f>
        <v>115470</v>
      </c>
      <c r="DF36" s="87" cm="1">
        <f t="array" aca="1" ref="DF36" ca="1">SUMPRODUCT(ISNUMBER(INDIRECT("TabReg["&amp;TabCalc[[#This Row],[Ticker]]&amp;"2]"))* INDIRECT("TabReg["&amp;TabCalc[[#This Row],[Ticker]]&amp;"1]") * INDIRECT("TabReg["&amp;TabCalc[[#This Row],[Ticker]]&amp;"2]") )*TabCalc[[#This Row],[Scale]]</f>
        <v>10463.549999999988</v>
      </c>
      <c r="DI36" s="87">
        <f ca="1"/>
        <v>201055</v>
      </c>
      <c r="DJ36" s="90">
        <f t="shared" ca="1" si="3"/>
        <v>1.018309241370517</v>
      </c>
      <c r="DK36" t="str">
        <f ca="1">_xlfn.XLOOKUP(DI36,TabCalc[Column1],TabCalc[Ticker])</f>
        <v>TSLA</v>
      </c>
      <c r="DL36" s="87">
        <f ca="1">_xlfn.XLOOKUP(DK36,TabCalc[Ticker],TabCalc[ValueBegin])</f>
        <v>-86274</v>
      </c>
      <c r="DM36" s="87">
        <f ca="1">_xlfn.XLOOKUP(DK36,TabCalc[Ticker],TabCalc[M_V])</f>
        <v>402.11</v>
      </c>
      <c r="DN36" s="87">
        <f ca="1">_xlfn.XLOOKUP(DK36,TabCalc[Ticker],TabCalc[GL])</f>
        <v>87853.611489999981</v>
      </c>
      <c r="DO36" s="90"/>
      <c r="DP36" s="90"/>
      <c r="DQ36" s="88" t="s">
        <v>33</v>
      </c>
      <c r="DR36" s="81">
        <v>6000</v>
      </c>
      <c r="DS36" s="315">
        <v>-15.19</v>
      </c>
      <c r="DU36" s="82">
        <v>132800</v>
      </c>
      <c r="DV36" s="82">
        <f ca="1">DU36-TabCalc[[#This Row],[M_V]]</f>
        <v>55820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42">
        <f ca="1">_xlfn.XLOOKUP(TabCalc[[#This Row],[Ticker]],DQ$3:DQ$96,DS$3:DS$96)</f>
        <v>-15.19</v>
      </c>
      <c r="E37" s="121">
        <f t="shared" ref="E37:E68" ca="1" si="4">SUMPRODUCT(C37,D37,B37)</f>
        <v>-91140</v>
      </c>
      <c r="F37" s="82">
        <f ca="1">TabCalc[[#This Row],[NAfter]]*TabCalc[[#This Row],[M]]*TabCalc[[#This Row],[Scale]]</f>
        <v>23960</v>
      </c>
      <c r="G37" s="82">
        <f ca="1">IFERROR(TabCalc[[#This Row],[SB]]-TabCalc[[#This Row],[SST]],TabCalc[[#This Row],[SB]])</f>
        <v>4000</v>
      </c>
      <c r="H37" s="532" t="str">
        <f ca="1">[1]!RTData[[#This Row],[Ticker_Symbol]]</f>
        <v>PROF</v>
      </c>
      <c r="I37" s="383">
        <f ca="1">_xlfn.XLOOKUP(TabCalc[[#This Row],[Ticker]],[1]!RTData[Ticker_Symbol],[1]!RTData[M-Price])</f>
        <v>5.99</v>
      </c>
      <c r="J37" s="382">
        <v>5.19</v>
      </c>
      <c r="K37" s="381">
        <f ca="1">_xlfn.XLOOKUP(TabCalc[[#This Row],[Ticker]],[1]!RTData[Ticker_Symbol],[1]!RTData[1YT])</f>
        <v>12.1</v>
      </c>
      <c r="L37" s="382">
        <f ca="1">IF(OR(TabCalc[[#This Row],[NAfter]]=0,TabCalc[[#This Row],[EfCost]]&gt;0),0,TabCalc[[#This Row],[EfCost]]/TabCalc[[#This Row],[NAfter]]/TabCalc[[#This Row],[Scale]])</f>
        <v>-4.8808122029999934</v>
      </c>
      <c r="M37" s="732">
        <f ca="1">_xlfn.XLOOKUP(TabCalc[[#This Row],[Ticker]],[1]!RTData[Ticker_Symbol],[1]!RTData[Change%])</f>
        <v>-3.8523000000000002E-2</v>
      </c>
      <c r="N37" s="1065">
        <v>0</v>
      </c>
      <c r="O37" s="892">
        <f>TabCalc[[#This Row],[Up20]]-1+TabCalc[[#This Row],[Up20]]</f>
        <v>-1</v>
      </c>
      <c r="P37" s="892">
        <f>TabCalc[[#This Row],[Up20]]-TabCalc[[#This Row],[Up150]]</f>
        <v>-0.55000000000000004</v>
      </c>
      <c r="Q37" s="892">
        <v>0.55000000000000004</v>
      </c>
      <c r="R37" s="892">
        <f>TabCalc[[#This Row],[Up150]]-1+TabCalc[[#This Row],[Up150]]</f>
        <v>0.10000000000000009</v>
      </c>
      <c r="S37" s="892">
        <f ca="1">IFERROR(SUMPRODUCT(DataShift!F1529:Z1529,DataShift!AB736:AV736)/SQRT(SUMPRODUCT(DataShift!F1529:Z1529,DataShift!F1529:Z1529)*SUMPRODUCT(DataShift!AB736:AV736,DataShift!AB736:AV736)),0)</f>
        <v>-0.50075684156186806</v>
      </c>
      <c r="T37" s="892">
        <f ca="1">IFERROR(SUMPRODUCT(DataShift!F1529:Z1529,DataShift!F737:Z737)/SQRT(SUMPRODUCT(DataShift!F1529:Z1529,DataShift!F1529:Z1529)*SUMPRODUCT(DataShift!F737:Z737,DataShift!F737:Z737)),0)</f>
        <v>-8.8280542458475622E-2</v>
      </c>
      <c r="U37" s="1004">
        <v>4000</v>
      </c>
      <c r="V37" s="1004">
        <v>0</v>
      </c>
      <c r="W37" s="1004">
        <v>0</v>
      </c>
      <c r="X37" s="892"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3199.9999999999991</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-469.79999999999933</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-759.99999999999977</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1879.9999999999991</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-1040</v>
      </c>
      <c r="AQ37" s="334">
        <f ca="1">_xlfn.LET(_xlpm.MVToday,DataShift!AV537,         _xlpm.MVY,DataShift!AU538,        _xlpm.MVYY, DataShift!AT538,                                IF(_xlpm.MVToday=_xlpm.MVY,_xlpm.MVY-_xlpm.MVYY,_xlpm.MVToday-_xlpm.MVY))</f>
        <v>-13080</v>
      </c>
      <c r="AR37" s="334">
        <f ca="1">_xlfn.LET(_xlpm.MVToday,DataShift!AV537,         _xlpm.MVY,DataShift!AU538,        _xlpm.MVYY, DataShift!AT538,         _xlpm.MVYYY, DataShift!AS538,                      IF(_xlpm.MVToday=_xlpm.MVY,      _xlpm.MVYY-_xlpm.MVYYY,          _xlpm.MVY-_xlpm.MVYY))</f>
        <v>840</v>
      </c>
      <c r="AS37" s="977">
        <f ca="1">TabCalc[[#This Row],[Y]]/TabCalc[[#This Row],[M]]</f>
        <v>2.020033388981636</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-3.147106486016638</v>
      </c>
      <c r="AY37" s="82">
        <f t="shared" ref="AY37:AY68" ca="1" si="5">IF(G37&lt;C37,C37-G37,0)</f>
        <v>2000</v>
      </c>
      <c r="AZ37" s="90">
        <f ca="1">_xlfn.XLOOKUP(TabCalc[[#This Row],[Ticker]],[1]!RTData[Ticker_Symbol],[1]!RTData[V/VA])</f>
        <v>0.23560663703229079</v>
      </c>
      <c r="BA37" s="90" t="str" cm="1">
        <f t="array" aca="1" ref="BA37" ca="1">IFERROR(_xlfn.IFS(TabCalc[[#This Row],[Cur]]="USD",Timer!F$27,                TabCalc[[#This Row],[Cur]]="EUR",Timer!F$18,                  TabCalc[[#This Row],[Cur]]="GBP",Timer!F$12,                          TabCalc[[#This Row],[Cur]]="CAD",Timer!F$27,                TabCalc[[#This Row],[Cur]]="JPY",Timer!F$31,                      TabCalc[[#This Row],[Cur]]="CHF",Timer!F$18),"Timing")</f>
        <v>Closed</v>
      </c>
      <c r="BB37" s="90">
        <f ca="1">IF(ISNUMBER(TabCalc[[#This Row],[TimeEX]]),TabCalc[[#This Row],[V/VA]]/TabCalc[[#This Row],[TimeEX]],TabCalc[[#This Row],[V/VA]])</f>
        <v>0.23560663703229079</v>
      </c>
      <c r="BC37" s="87" cm="1">
        <f t="array" aca="1" ref="BC37" ca="1">INDEX(TabReg[], 1, _xlfn.XMATCH(TabCalc[[#This Row],[Ticker]]&amp;1, TabReg[#Headers], 0))</f>
        <v>6000</v>
      </c>
      <c r="BD37" s="159">
        <f ca="1">TabCalc[[#This Row],[Nbegin]]*TabCalc[[#This Row],[M]]*TabCalc[[#This Row],[Scale]]+TabCalc[[#This Row],[ValueBegin]]</f>
        <v>-55200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-67180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K37" s="159" cm="1">
        <f t="array" aca="1" ref="BK37" ca="1">SUMPRODUCT(ISNUMBER(INDIRECT("TabReg["&amp;TabCalc[[#This Row],[Ticker]]&amp;"2]"))* INDIRECT("TabReg["&amp;TabCalc[[#This Row],[Ticker]]&amp;"1]") * INDIRECT("TabReg["&amp;TabCalc[[#This Row],[Ticker]]&amp;"2]") )*TabCalc[[#This Row],[Scale]]*(1+Commission)</f>
        <v>-19523.248811999973</v>
      </c>
      <c r="BL37" s="159">
        <f ca="1">TabCalc[[#This Row],[M_V]]*(1-Commission)+TabCalc[[#This Row],[EfCost]]</f>
        <v>4374.4551880000254</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45980.725743089846</v>
      </c>
      <c r="BT37" s="175">
        <f ca="1">(TabCalc[[#This Row],[ValueBegin]]+(TabCalc[[#This Row],[M]]-TabCalc[[#This Row],[A]])*TabCalc[[#This Row],[NAfter]])*TabCalc[[#This Row],[Scale]]</f>
        <v>-87940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3199.9999999999991</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23960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3199.9999999999991</v>
      </c>
      <c r="DB37" s="90">
        <f ca="1">IFERROR((TabCalc[[#This Row],[M]]+TabCalc[[#This Row],[L_Bp]])/ABS(TabCalc[[#This Row],[L_Bp]])/(TODAY()-TabCalc[[#This Row],[L_Bdate]])*360,"")</f>
        <v>0.99091659785301378</v>
      </c>
      <c r="DC37" s="310">
        <f ca="1">MEDIAN(DataShift!F737:Z737)</f>
        <v>1.1032E-2</v>
      </c>
      <c r="DD37" s="310" t="e"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7" s="87">
        <f ca="1">TabCalc[[#This Row],[Nbegin]]*TabCalc[[#This Row],[Scale]]*TabCalc[[#This Row],[M]]</f>
        <v>35940</v>
      </c>
      <c r="DF37" s="87" cm="1">
        <f t="array" aca="1" ref="DF37" ca="1">SUMPRODUCT(ISNUMBER(INDIRECT("TabReg["&amp;TabCalc[[#This Row],[Ticker]]&amp;"2]"))* INDIRECT("TabReg["&amp;TabCalc[[#This Row],[Ticker]]&amp;"1]") * INDIRECT("TabReg["&amp;TabCalc[[#This Row],[Ticker]]&amp;"2]") )*TabCalc[[#This Row],[Scale]]</f>
        <v>-19472.619999999974</v>
      </c>
      <c r="DI37" s="87">
        <f ca="1"/>
        <v>188487</v>
      </c>
      <c r="DJ37" s="90">
        <f t="shared" ca="1" si="3"/>
        <v>0.15504347105185368</v>
      </c>
      <c r="DK37" t="str">
        <f ca="1">_xlfn.XLOOKUP(DI37,TabCalc[Column1],TabCalc[Ticker])</f>
        <v>SAFDIS</v>
      </c>
      <c r="DL37" s="87">
        <f ca="1">_xlfn.XLOOKUP(DK37,TabCalc[Ticker],TabCalc[ValueBegin])</f>
        <v>-187108.7</v>
      </c>
      <c r="DM37" s="87">
        <f ca="1">_xlfn.XLOOKUP(DK37,TabCalc[Ticker],TabCalc[M_V])</f>
        <v>126360</v>
      </c>
      <c r="DN37" s="87">
        <f ca="1">_xlfn.XLOOKUP(DK37,TabCalc[Ticker],TabCalc[GL])</f>
        <v>29009.982311999978</v>
      </c>
      <c r="DO37" s="90"/>
      <c r="DP37" s="90"/>
      <c r="DQ37" s="88" t="s">
        <v>1088</v>
      </c>
      <c r="DR37" s="81">
        <v>45000</v>
      </c>
      <c r="DS37" s="315">
        <v>-6.5707668888888886</v>
      </c>
      <c r="DU37" s="82">
        <v>23560</v>
      </c>
      <c r="DV37" s="82">
        <f ca="1">DU37-TabCalc[[#This Row],[M_V]]</f>
        <v>-400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42">
        <f ca="1">_xlfn.XLOOKUP(TabCalc[[#This Row],[Ticker]],DQ$3:DQ$96,DS$3:DS$96)</f>
        <v>-6.5707668888888886</v>
      </c>
      <c r="E38" s="121">
        <f t="shared" ca="1" si="4"/>
        <v>-295684.51</v>
      </c>
      <c r="F38" s="82">
        <f ca="1">TabCalc[[#This Row],[NAfter]]*TabCalc[[#This Row],[M]]*TabCalc[[#This Row],[Scale]]</f>
        <v>198759</v>
      </c>
      <c r="G38" s="82">
        <f ca="1">IFERROR(TabCalc[[#This Row],[SB]]-TabCalc[[#This Row],[SST]],TabCalc[[#This Row],[SB]])</f>
        <v>47500</v>
      </c>
      <c r="H38" s="532" t="str">
        <f ca="1">[1]!RTData[[#This Row],[Ticker_Symbol]]</f>
        <v>POET</v>
      </c>
      <c r="I38" s="383">
        <f ca="1">_xlfn.XLOOKUP(TabCalc[[#This Row],[Ticker]],[1]!RTData[Ticker_Symbol],[1]!RTData[M-Price])</f>
        <v>4.1844000000000001</v>
      </c>
      <c r="J38" s="382">
        <v>5.725200148148148</v>
      </c>
      <c r="K38" s="381">
        <f ca="1">_xlfn.XLOOKUP(TabCalc[[#This Row],[Ticker]],[1]!RTData[Ticker_Symbol],[1]!RTData[1YT])</f>
        <v>6.6333299999999999</v>
      </c>
      <c r="L38" s="382">
        <f ca="1">IF(OR(TabCalc[[#This Row],[NAfter]]=0,TabCalc[[#This Row],[EfCost]]&gt;0),0,TabCalc[[#This Row],[EfCost]]/TabCalc[[#This Row],[NAfter]]/TabCalc[[#This Row],[Scale]])</f>
        <v>-5.6510706815999994</v>
      </c>
      <c r="M38" s="732">
        <f ca="1">_xlfn.XLOOKUP(TabCalc[[#This Row],[Ticker]],[1]!RTData[Ticker_Symbol],[1]!RTData[Change%])</f>
        <v>-2.4615000000000001E-2</v>
      </c>
      <c r="N38" s="1065">
        <v>0</v>
      </c>
      <c r="O38" s="892">
        <f>TabCalc[[#This Row],[Up20]]-1+TabCalc[[#This Row],[Up20]]</f>
        <v>-1</v>
      </c>
      <c r="P38" s="892">
        <f>TabCalc[[#This Row],[Up20]]-TabCalc[[#This Row],[Up150]]</f>
        <v>0</v>
      </c>
      <c r="Q38" s="892">
        <v>0</v>
      </c>
      <c r="R38" s="892">
        <f>TabCalc[[#This Row],[Up150]]-1+TabCalc[[#This Row],[Up150]]</f>
        <v>-1</v>
      </c>
      <c r="S38" s="892">
        <f ca="1">IFERROR(SUMPRODUCT(DataShift!F1530:Z1530,DataShift!AB737:AV737)/SQRT(SUMPRODUCT(DataShift!F1530:Z1530,DataShift!F1530:Z1530)*SUMPRODUCT(DataShift!AB737:AV737,DataShift!AB737:AV737)),0)</f>
        <v>-0.76070957243695436</v>
      </c>
      <c r="T38" s="892">
        <f ca="1">IFERROR(SUMPRODUCT(DataShift!F1530:Z1530,DataShift!F738:Z738)/SQRT(SUMPRODUCT(DataShift!F1530:Z1530,DataShift!F1530:Z1530)*SUMPRODUCT(DataShift!F738:Z738,DataShift!F738:Z738)),0)</f>
        <v>6.110353522835444E-2</v>
      </c>
      <c r="U38" s="1004">
        <v>45000</v>
      </c>
      <c r="V38" s="1004">
        <v>0</v>
      </c>
      <c r="W38" s="1004">
        <v>0</v>
      </c>
      <c r="X38" s="892"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-1986.2500000000005</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-2339</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12214</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8039.0000000000009</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-5016</v>
      </c>
      <c r="AQ38" s="334">
        <f ca="1">_xlfn.LET(_xlpm.MVToday,DataShift!AV538,         _xlpm.MVY,DataShift!AU539,        _xlpm.MVYY, DataShift!AT539,                                IF(_xlpm.MVToday=_xlpm.MVY,_xlpm.MVY-_xlpm.MVYY,_xlpm.MVToday-_xlpm.MVY))</f>
        <v>53020</v>
      </c>
      <c r="AR38" s="334">
        <f ca="1">_xlfn.LET(_xlpm.MVToday,DataShift!AV538,         _xlpm.MVY,DataShift!AU539,        _xlpm.MVYY, DataShift!AT539,         _xlpm.MVYYY, DataShift!AS539,                      IF(_xlpm.MVToday=_xlpm.MVY,      _xlpm.MVYY-_xlpm.MVYYY,          _xlpm.MVY-_xlpm.MVYY))</f>
        <v>-960</v>
      </c>
      <c r="AS38" s="977">
        <f ca="1">TabCalc[[#This Row],[Y]]/TabCalc[[#This Row],[M]]</f>
        <v>1.5852523659305993</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-0.52913235409655213</v>
      </c>
      <c r="AY38" s="82">
        <f t="shared" ca="1" si="5"/>
        <v>0</v>
      </c>
      <c r="AZ38" s="90">
        <f ca="1">_xlfn.XLOOKUP(TabCalc[[#This Row],[Ticker]],[1]!RTData[Ticker_Symbol],[1]!RTData[V/VA])</f>
        <v>0.27700442895846106</v>
      </c>
      <c r="BA38" s="90" t="str" cm="1">
        <f t="array" aca="1" ref="BA38" ca="1">IFERROR(_xlfn.IFS(TabCalc[[#This Row],[Cur]]="USD",Timer!F$27,                TabCalc[[#This Row],[Cur]]="EUR",Timer!F$18,                  TabCalc[[#This Row],[Cur]]="GBP",Timer!F$12,                          TabCalc[[#This Row],[Cur]]="CAD",Timer!F$27,                TabCalc[[#This Row],[Cur]]="JPY",Timer!F$31,                      TabCalc[[#This Row],[Cur]]="CHF",Timer!F$18),"Timing")</f>
        <v>Closed</v>
      </c>
      <c r="BB38" s="90">
        <f ca="1">IF(ISNUMBER(TabCalc[[#This Row],[TimeEX]]),TabCalc[[#This Row],[V/VA]]/TabCalc[[#This Row],[TimeEX]],TabCalc[[#This Row],[V/VA]])</f>
        <v>0.27700442895846106</v>
      </c>
      <c r="BC38" s="87" cm="1">
        <f t="array" aca="1" ref="BC38" ca="1">INDEX(TabReg[], 1, _xlfn.XMATCH(TabCalc[[#This Row],[Ticker]]&amp;1, TabReg[#Headers], 0))</f>
        <v>45000</v>
      </c>
      <c r="BD38" s="159">
        <f ca="1">TabCalc[[#This Row],[Nbegin]]*TabCalc[[#This Row],[M]]*TabCalc[[#This Row],[Scale]]+TabCalc[[#This Row],[ValueBegin]]</f>
        <v>-107386.51000000001</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-96925.510000000009</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K38" s="159" cm="1">
        <f t="array" aca="1" ref="BK38" ca="1">SUMPRODUCT(ISNUMBER(INDIRECT("TabReg["&amp;TabCalc[[#This Row],[Ticker]]&amp;"2]"))* INDIRECT("TabReg["&amp;TabCalc[[#This Row],[Ticker]]&amp;"1]") * INDIRECT("TabReg["&amp;TabCalc[[#This Row],[Ticker]]&amp;"2]") )*TabCalc[[#This Row],[Scale]]*(1+Commission)</f>
        <v>-268425.85737599997</v>
      </c>
      <c r="BL38" s="159">
        <f ca="1">TabCalc[[#This Row],[M_V]]*(1-Commission)+TabCalc[[#This Row],[EfCost]]</f>
        <v>-70183.630775999976</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6.77</v>
      </c>
      <c r="BR38" s="174" t="str">
        <f ca="1">IF(TabCalc[[#This Row],[EfCost]]+TabCalc[[#This Row],[M_V]]&lt;TabCalc[[#This Row],[NoT_GL]],"Pile","")</f>
        <v/>
      </c>
      <c r="BS38" s="165">
        <f ca="1">_xlfn.XLOOKUP(TabCalc[[#This Row],[Ticker]],[1]!RTData[Ticker_Symbol],[1]!RTData[Last trade time])</f>
        <v>45980.727216932813</v>
      </c>
      <c r="BT38" s="175">
        <f ca="1">(TabCalc[[#This Row],[ValueBegin]]+(TabCalc[[#This Row],[M]]-TabCalc[[#This Row],[A]])*TabCalc[[#This Row],[NAfter]])*TabCalc[[#This Row],[Scale]]</f>
        <v>-368872.51703703706</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_xlfn.LET(_xlpm.LAST_T,TabCalc[[#This Row],[L_TP]],_xlfn.IFS(_xlpm.LAST_T&lt;0,"Purchase",_xlpm.LAST_T&gt;0,"Sale"))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-73188.007037037023</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1023.4157524152612</v>
      </c>
      <c r="CV38" s="404">
        <f ca="1">IF(TabCalc[[#This Row],[ntoBuy]]*TabCalc[[#This Row],[M]]&lt;=0,0,TabCalc[[#This Row],[ntoBuy]]*TabCalc[[#This Row],[M]])</f>
        <v>4282.380874406419</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-73188.007037037023</v>
      </c>
      <c r="DB38" s="90">
        <f ca="1">IFERROR((TabCalc[[#This Row],[M]]+TabCalc[[#This Row],[L_Bp]])/ABS(TabCalc[[#This Row],[L_Bp]])/(TODAY()-TabCalc[[#This Row],[L_Bdate]])*360,"")</f>
        <v>-8.2066319869850783</v>
      </c>
      <c r="DC38" s="310">
        <f ca="1">MEDIAN(DataShift!F738:Z738)</f>
        <v>-5.3959999999999998E-3</v>
      </c>
      <c r="DD38" s="310" t="e"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8" s="87">
        <f ca="1">TabCalc[[#This Row],[Nbegin]]*TabCalc[[#This Row],[Scale]]*TabCalc[[#This Row],[M]]</f>
        <v>188298</v>
      </c>
      <c r="DF38" s="87" cm="1">
        <f t="array" aca="1" ref="DF38" ca="1">SUMPRODUCT(ISNUMBER(INDIRECT("TabReg["&amp;TabCalc[[#This Row],[Ticker]]&amp;"2]"))* INDIRECT("TabReg["&amp;TabCalc[[#This Row],[Ticker]]&amp;"1]") * INDIRECT("TabReg["&amp;TabCalc[[#This Row],[Ticker]]&amp;"2]") )*TabCalc[[#This Row],[Scale]]</f>
        <v>-267729.76</v>
      </c>
      <c r="DI38" s="87">
        <f ca="1"/>
        <v>188298</v>
      </c>
      <c r="DJ38" s="90">
        <f t="shared" ca="1" si="3"/>
        <v>-0.23735984944223143</v>
      </c>
      <c r="DK38" t="str">
        <f ca="1">_xlfn.XLOOKUP(DI38,TabCalc[Column1],TabCalc[Ticker])</f>
        <v>POET</v>
      </c>
      <c r="DL38" s="87">
        <f ca="1">_xlfn.XLOOKUP(DK38,TabCalc[Ticker],TabCalc[ValueBegin])</f>
        <v>-295684.51</v>
      </c>
      <c r="DM38" s="87">
        <f ca="1">_xlfn.XLOOKUP(DK38,TabCalc[Ticker],TabCalc[M_V])</f>
        <v>198759</v>
      </c>
      <c r="DN38" s="87">
        <f ca="1">_xlfn.XLOOKUP(DK38,TabCalc[Ticker],TabCalc[GL])</f>
        <v>-70183.630775999976</v>
      </c>
      <c r="DO38" s="90"/>
      <c r="DP38" s="90"/>
      <c r="DQ38" s="88" t="s">
        <v>34</v>
      </c>
      <c r="DR38" s="81">
        <v>3000</v>
      </c>
      <c r="DS38" s="315">
        <v>-3.1669499999999999</v>
      </c>
      <c r="DU38" s="82">
        <v>267750</v>
      </c>
      <c r="DV38" s="82">
        <f ca="1">DU38-TabCalc[[#This Row],[M_V]]</f>
        <v>68991</v>
      </c>
    </row>
    <row r="39" spans="1:126" x14ac:dyDescent="0.3">
      <c r="A39" s="120" t="str">
        <f ca="1">_xlfn.XLOOKUP(TabCalc[[#This Row],[Ticker]],[1]!RTData[Ticker_Symbol],[1]!RTData[Currency])</f>
        <v>USD</v>
      </c>
      <c r="B39" s="121">
        <f ca="1">IF(TabCalc[[#This Row],[Cur]]="GBP",0.01,1)</f>
        <v>1</v>
      </c>
      <c r="C39" s="82">
        <f ca="1">_xlfn.XLOOKUP(TabCalc[[#This Row],[Ticker]],DQ$3:DQ$96,DR$3:DR$96)</f>
        <v>3000</v>
      </c>
      <c r="D39" s="1142">
        <f ca="1">_xlfn.XLOOKUP(TabCalc[[#This Row],[Ticker]],DQ$3:DQ$96,DS$3:DS$96)</f>
        <v>-3.1669499999999999</v>
      </c>
      <c r="E39" s="121">
        <f t="shared" ca="1" si="4"/>
        <v>-9500.85</v>
      </c>
      <c r="F39" s="82">
        <f ca="1">TabCalc[[#This Row],[NAfter]]*TabCalc[[#This Row],[M]]*TabCalc[[#This Row],[Scale]]</f>
        <v>6429</v>
      </c>
      <c r="G39" s="82">
        <f ca="1">IFERROR(TabCalc[[#This Row],[SB]]-TabCalc[[#This Row],[SST]],TabCalc[[#This Row],[SB]])</f>
        <v>10000</v>
      </c>
      <c r="H39" s="532" t="str">
        <f ca="1">[1]!RTData[[#This Row],[Ticker_Symbol]]</f>
        <v>PW</v>
      </c>
      <c r="I39" s="383">
        <f ca="1">_xlfn.XLOOKUP(TabCalc[[#This Row],[Ticker]],[1]!RTData[Ticker_Symbol],[1]!RTData[M-Price])</f>
        <v>0.64290000000000003</v>
      </c>
      <c r="J39" s="382">
        <v>1.0663400199999999</v>
      </c>
      <c r="K39" s="381">
        <f ca="1">_xlfn.XLOOKUP(TabCalc[[#This Row],[Ticker]],[1]!RTData[Ticker_Symbol],[1]!RTData[1YT])</f>
        <v>0</v>
      </c>
      <c r="L39" s="382">
        <f ca="1">IF(OR(TabCalc[[#This Row],[NAfter]]=0,TabCalc[[#This Row],[EfCost]]&gt;0),0,TabCalc[[#This Row],[EfCost]]/TabCalc[[#This Row],[NAfter]]/TabCalc[[#This Row],[Scale]])</f>
        <v>-1.4547869371799995</v>
      </c>
      <c r="M39" s="732">
        <f ca="1">_xlfn.XLOOKUP(TabCalc[[#This Row],[Ticker]],[1]!RTData[Ticker_Symbol],[1]!RTData[Change%])</f>
        <v>-3.2069E-2</v>
      </c>
      <c r="N39" s="1065">
        <v>0</v>
      </c>
      <c r="O39" s="892">
        <f>TabCalc[[#This Row],[Up20]]-1+TabCalc[[#This Row],[Up20]]</f>
        <v>-1</v>
      </c>
      <c r="P39" s="892">
        <f>TabCalc[[#This Row],[Up20]]-TabCalc[[#This Row],[Up150]]</f>
        <v>-0.33333333333333331</v>
      </c>
      <c r="Q39" s="892">
        <v>0.33333333333333331</v>
      </c>
      <c r="R39" s="892">
        <f>TabCalc[[#This Row],[Up150]]-1+TabCalc[[#This Row],[Up150]]</f>
        <v>-0.33333333333333343</v>
      </c>
      <c r="S39" s="892">
        <f ca="1">IFERROR(SUMPRODUCT(DataShift!F1531:Z1531,DataShift!AB738:AV738)/SQRT(SUMPRODUCT(DataShift!F1531:Z1531,DataShift!F1531:Z1531)*SUMPRODUCT(DataShift!AB738:AV738,DataShift!AB738:AV738)),0)</f>
        <v>-0.94331510983654665</v>
      </c>
      <c r="T39" s="892">
        <f ca="1">IFERROR(SUMPRODUCT(DataShift!F1531:Z1531,DataShift!F739:Z739)/SQRT(SUMPRODUCT(DataShift!F1531:Z1531,DataShift!F1531:Z1531)*SUMPRODUCT(DataShift!F739:Z739,DataShift!F739:Z739)),0)</f>
        <v>0.2521505734782894</v>
      </c>
      <c r="U39" s="1004">
        <v>0</v>
      </c>
      <c r="V39" s="1004">
        <v>10000</v>
      </c>
      <c r="W39" s="1004">
        <v>0</v>
      </c>
      <c r="X39" s="892"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-16,587 = $ -10,664</v>
      </c>
      <c r="Z39" s="211">
        <f ca="1">MIN(TabCalc[[#This Row],[L_Bn]],TabCalc[[#This Row],[NAfter]])*(TabCalc[[#This Row],[M]]+TabCalc[[#This Row],[L_Bp]])*TabCalc[[#This Row],[Scale]]</f>
        <v>-3318.9155999999998</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-622.54259999999988</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2696.6826000000001</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2245.7825999999995</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-238.99999999999909</v>
      </c>
      <c r="AQ39" s="334">
        <f ca="1">_xlfn.LET(_xlpm.MVToday,DataShift!AV539,         _xlpm.MVY,DataShift!AU540,        _xlpm.MVYY, DataShift!AT540,                                IF(_xlpm.MVToday=_xlpm.MVY,_xlpm.MVY-_xlpm.MVYY,_xlpm.MVToday-_xlpm.MVY))</f>
        <v>-174799</v>
      </c>
      <c r="AR39" s="334">
        <f ca="1">_xlfn.LET(_xlpm.MVToday,DataShift!AV539,         _xlpm.MVY,DataShift!AU540,        _xlpm.MVYY, DataShift!AT540,         _xlpm.MVYYY, DataShift!AS540,                      IF(_xlpm.MVToday=_xlpm.MVY,      _xlpm.MVYY-_xlpm.MVYYY,          _xlpm.MVY-_xlpm.MVYY))</f>
        <v>-5016</v>
      </c>
      <c r="AS39" s="977">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0.11316280361962217</v>
      </c>
      <c r="BA39" s="90" t="str" cm="1">
        <f t="array" aca="1" ref="BA39" ca="1">IFERROR(_xlfn.IFS(TabCalc[[#This Row],[Cur]]="USD",Timer!F$27,                TabCalc[[#This Row],[Cur]]="EUR",Timer!F$18,                  TabCalc[[#This Row],[Cur]]="GBP",Timer!F$12,                          TabCalc[[#This Row],[Cur]]="CAD",Timer!F$27,                TabCalc[[#This Row],[Cur]]="JPY",Timer!F$31,                      TabCalc[[#This Row],[Cur]]="CHF",Timer!F$18),"Timing")</f>
        <v>Closed</v>
      </c>
      <c r="BB39" s="90">
        <f ca="1">IF(ISNUMBER(TabCalc[[#This Row],[TimeEX]]),TabCalc[[#This Row],[V/VA]]/TabCalc[[#This Row],[TimeEX]],TabCalc[[#This Row],[V/VA]])</f>
        <v>0.11316280361962217</v>
      </c>
      <c r="BC39" s="87" cm="1">
        <f t="array" aca="1" ref="BC39" ca="1">INDEX(TabReg[], 1, _xlfn.XMATCH(TabCalc[[#This Row],[Ticker]]&amp;1, TabReg[#Headers], 0))</f>
        <v>3000</v>
      </c>
      <c r="BD39" s="159">
        <f ca="1">TabCalc[[#This Row],[Nbegin]]*TabCalc[[#This Row],[M]]*TabCalc[[#This Row],[Scale]]+TabCalc[[#This Row],[ValueBegin]]</f>
        <v>-7572.1500000000005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-5022.317161799996</v>
      </c>
      <c r="BH39" s="336">
        <f ca="1">TabCalc[[#This Row],[M_V]]+TabCalc[[#This Row],[ValueBegin]]</f>
        <v>-3071.8500000000004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K39" s="159" cm="1">
        <f t="array" aca="1" ref="BK39" ca="1">SUMPRODUCT(ISNUMBER(INDIRECT("TabReg["&amp;TabCalc[[#This Row],[Ticker]]&amp;"2]"))* INDIRECT("TabReg["&amp;TabCalc[[#This Row],[Ticker]]&amp;"1]") * INDIRECT("TabReg["&amp;TabCalc[[#This Row],[Ticker]]&amp;"2]") )*TabCalc[[#This Row],[Scale]]*(1+Commission)</f>
        <v>-14547.869371799996</v>
      </c>
      <c r="BL39" s="159">
        <f ca="1">TabCalc[[#This Row],[M_V]]*(1-Commission)+TabCalc[[#This Row],[EfCost]]</f>
        <v>-8135.5847717999959</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1.65</v>
      </c>
      <c r="BR39" s="174" t="str">
        <f ca="1">IF(TabCalc[[#This Row],[EfCost]]+TabCalc[[#This Row],[M_V]]&lt;TabCalc[[#This Row],[NoT_GL]],"Pile","")</f>
        <v>Pile</v>
      </c>
      <c r="BS39" s="165">
        <f ca="1">_xlfn.XLOOKUP(TabCalc[[#This Row],[Ticker]],[1]!RTData[Ticker_Symbol],[1]!RTData[Last trade time])</f>
        <v>45980.710997233597</v>
      </c>
      <c r="BT39" s="175">
        <f ca="1">(TabCalc[[#This Row],[ValueBegin]]+(TabCalc[[#This Row],[M]]-TabCalc[[#This Row],[A]])*TabCalc[[#This Row],[NAfter]])*TabCalc[[#This Row],[Scale]]</f>
        <v>-13735.250199999999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-4234.4001999999991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5573.5146583435517</v>
      </c>
      <c r="CV39" s="404">
        <f ca="1">IF(TabCalc[[#This Row],[ntoBuy]]*TabCalc[[#This Row],[M]]&lt;=0,0,TabCalc[[#This Row],[ntoBuy]]*TabCalc[[#This Row],[M]])</f>
        <v>3583.2125738490695</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-4234.4001999999991</v>
      </c>
      <c r="DB39" s="90">
        <f ca="1">IFERROR((TabCalc[[#This Row],[M]]+TabCalc[[#This Row],[L_Bp]])/ABS(TabCalc[[#This Row],[L_Bp]])/(TODAY()-TabCalc[[#This Row],[L_Bdate]])*360,"")</f>
        <v>-0.55283725932379313</v>
      </c>
      <c r="DC39" s="310">
        <f ca="1">MEDIAN(DataShift!F739:Z739)</f>
        <v>-2.4615000000000001E-2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1928.7</v>
      </c>
      <c r="DF39" s="87" cm="1">
        <f t="array" aca="1" ref="DF39" ca="1">SUMPRODUCT(ISNUMBER(INDIRECT("TabReg["&amp;TabCalc[[#This Row],[Ticker]]&amp;"2]"))* INDIRECT("TabReg["&amp;TabCalc[[#This Row],[Ticker]]&amp;"1]") * INDIRECT("TabReg["&amp;TabCalc[[#This Row],[Ticker]]&amp;"2]") )*TabCalc[[#This Row],[Scale]]</f>
        <v>-14510.142999999996</v>
      </c>
      <c r="DI39" s="87">
        <f ca="1"/>
        <v>180000</v>
      </c>
      <c r="DJ39" s="90">
        <f t="shared" ca="1" si="3"/>
        <v>0.15076307268300176</v>
      </c>
      <c r="DK39" t="str">
        <f ca="1">_xlfn.XLOOKUP(DI39,TabCalc[Column1],TabCalc[Ticker])</f>
        <v>AET</v>
      </c>
      <c r="DL39" s="87">
        <f ca="1">_xlfn.XLOOKUP(DK39,TabCalc[Ticker],TabCalc[ValueBegin])</f>
        <v>-161766.307</v>
      </c>
      <c r="DM39" s="87">
        <f ca="1">_xlfn.XLOOKUP(DK39,TabCalc[Ticker],TabCalc[M_V])</f>
        <v>369000</v>
      </c>
      <c r="DN39" s="87">
        <f ca="1">_xlfn.XLOOKUP(DK39,TabCalc[Ticker],TabCalc[GL])</f>
        <v>24388.385499901779</v>
      </c>
      <c r="DO39" s="90"/>
      <c r="DP39" s="90"/>
      <c r="DQ39" s="88" t="s">
        <v>35</v>
      </c>
      <c r="DR39" s="81">
        <v>2700</v>
      </c>
      <c r="DS39" s="315">
        <v>-36.9220481481481</v>
      </c>
      <c r="DU39" s="82">
        <v>6933</v>
      </c>
      <c r="DV39" s="82">
        <f ca="1">DU39-TabCalc[[#This Row],[M_V]]</f>
        <v>504</v>
      </c>
    </row>
    <row r="40" spans="1:126" x14ac:dyDescent="0.3">
      <c r="A40" s="120" t="str">
        <f ca="1">_xlfn.XLOOKUP(TabCalc[[#This Row],[Ticker]],[1]!RTData[Ticker_Symbol],[1]!RTData[Currency])</f>
        <v>USD</v>
      </c>
      <c r="B40" s="121">
        <f ca="1">IF(TabCalc[[#This Row],[Cur]]="GBP",0.01,1)</f>
        <v>1</v>
      </c>
      <c r="C40" s="82">
        <f ca="1">_xlfn.XLOOKUP(TabCalc[[#This Row],[Ticker]],DQ$3:DQ$96,DR$3:DR$96)</f>
        <v>2700</v>
      </c>
      <c r="D40" s="1142">
        <f ca="1">_xlfn.XLOOKUP(TabCalc[[#This Row],[Ticker]],DQ$3:DQ$96,DS$3:DS$96)</f>
        <v>-36.9220481481481</v>
      </c>
      <c r="E40" s="121">
        <f t="shared" ca="1" si="4"/>
        <v>-99689.529999999868</v>
      </c>
      <c r="F40" s="82">
        <f ca="1">TabCalc[[#This Row],[NAfter]]*TabCalc[[#This Row],[M]]*TabCalc[[#This Row],[Scale]]</f>
        <v>42200</v>
      </c>
      <c r="G40" s="82">
        <f ca="1">IFERROR(TabCalc[[#This Row],[SB]]-TabCalc[[#This Row],[SST]],TabCalc[[#This Row],[SB]])</f>
        <v>1000</v>
      </c>
      <c r="H40" s="532" t="str">
        <f ca="1">[1]!RTData[[#This Row],[Ticker_Symbol]]</f>
        <v>RIGL</v>
      </c>
      <c r="I40" s="383">
        <f ca="1">_xlfn.XLOOKUP(TabCalc[[#This Row],[Ticker]],[1]!RTData[Ticker_Symbol],[1]!RTData[M-Price])</f>
        <v>42.2</v>
      </c>
      <c r="J40" s="382">
        <v>28.33</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-8.6974999999999997E-2</v>
      </c>
      <c r="N40" s="1065">
        <v>0</v>
      </c>
      <c r="O40" s="892">
        <f>TabCalc[[#This Row],[Up20]]-1+TabCalc[[#This Row],[Up20]]</f>
        <v>-1</v>
      </c>
      <c r="P40" s="892">
        <f>TabCalc[[#This Row],[Up20]]-TabCalc[[#This Row],[Up150]]</f>
        <v>-0.65217391304347827</v>
      </c>
      <c r="Q40" s="892">
        <v>0.65217391304347827</v>
      </c>
      <c r="R40" s="892">
        <f>TabCalc[[#This Row],[Up150]]-1+TabCalc[[#This Row],[Up150]]</f>
        <v>0.30434782608695654</v>
      </c>
      <c r="S40" s="892">
        <f ca="1">IFERROR(SUMPRODUCT(DataShift!F1532:Z1532,DataShift!AB739:AV739)/SQRT(SUMPRODUCT(DataShift!F1532:Z1532,DataShift!F1532:Z1532)*SUMPRODUCT(DataShift!AB739:AV739,DataShift!AB739:AV739)),0)</f>
        <v>-0.77828502576546499</v>
      </c>
      <c r="T40" s="892">
        <f ca="1">IFERROR(SUMPRODUCT(DataShift!F1532:Z1532,DataShift!F740:Z740)/SQRT(SUMPRODUCT(DataShift!F1532:Z1532,DataShift!F1532:Z1532)*SUMPRODUCT(DataShift!F740:Z740,DataShift!F740:Z740)),0)</f>
        <v>0.29064431784549516</v>
      </c>
      <c r="U40" s="1004">
        <v>1000</v>
      </c>
      <c r="V40" s="1004">
        <v>0</v>
      </c>
      <c r="W40" s="1004">
        <v>0</v>
      </c>
      <c r="X40" s="892"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13870.000000000004</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13654.755000000001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-9980.0000000000036</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-24560.000000000004</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-3900</v>
      </c>
      <c r="AQ40" s="334">
        <f ca="1">_xlfn.LET(_xlpm.MVToday,DataShift!AV540,         _xlpm.MVY,DataShift!AU541,        _xlpm.MVYY, DataShift!AT541,                                IF(_xlpm.MVToday=_xlpm.MVY,_xlpm.MVY-_xlpm.MVYY,_xlpm.MVToday-_xlpm.MVY))</f>
        <v>192330</v>
      </c>
      <c r="AR40" s="334">
        <f ca="1">_xlfn.LET(_xlpm.MVToday,DataShift!AV540,         _xlpm.MVY,DataShift!AU541,        _xlpm.MVYY, DataShift!AT541,         _xlpm.MVYYY, DataShift!AS541,                      IF(_xlpm.MVToday=_xlpm.MVY,      _xlpm.MVYY-_xlpm.MVYYY,          _xlpm.MVY-_xlpm.MVYY))</f>
        <v>30</v>
      </c>
      <c r="AS40" s="977">
        <f ca="1">TabCalc[[#This Row],[Y]]/TabCalc[[#This Row],[M]]</f>
        <v>0.90837274881516572</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3.5737348548067344E-2</v>
      </c>
      <c r="AY40" s="82">
        <f t="shared" ca="1" si="5"/>
        <v>1700</v>
      </c>
      <c r="AZ40" s="90">
        <f ca="1">_xlfn.XLOOKUP(TabCalc[[#This Row],[Ticker]],[1]!RTData[Ticker_Symbol],[1]!RTData[V/VA])</f>
        <v>0.84475008589206868</v>
      </c>
      <c r="BA40" s="90" t="str" cm="1">
        <f t="array" aca="1" ref="BA40" ca="1">IFERROR(_xlfn.IFS(TabCalc[[#This Row],[Cur]]="USD",Timer!F$27,                TabCalc[[#This Row],[Cur]]="EUR",Timer!F$18,                  TabCalc[[#This Row],[Cur]]="GBP",Timer!F$12,                          TabCalc[[#This Row],[Cur]]="CAD",Timer!F$27,                TabCalc[[#This Row],[Cur]]="JPY",Timer!F$31,                      TabCalc[[#This Row],[Cur]]="CHF",Timer!F$18),"Timing")</f>
        <v>Closed</v>
      </c>
      <c r="BB40" s="90">
        <f ca="1">IF(ISNUMBER(TabCalc[[#This Row],[TimeEX]]),TabCalc[[#This Row],[V/VA]]/TabCalc[[#This Row],[TimeEX]],TabCalc[[#This Row],[V/VA]])</f>
        <v>0.84475008589206868</v>
      </c>
      <c r="BC40" s="87" cm="1">
        <f t="array" aca="1" ref="BC40" ca="1">INDEX(TabReg[], 1, _xlfn.XMATCH(TabCalc[[#This Row],[Ticker]]&amp;1, TabReg[#Headers], 0))</f>
        <v>2700</v>
      </c>
      <c r="BD40" s="159">
        <f ca="1">TabCalc[[#This Row],[Nbegin]]*TabCalc[[#This Row],[M]]*TabCalc[[#This Row],[Scale]]+TabCalc[[#This Row],[ValueBegin]]</f>
        <v>14250.470000000147</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-57489.529999999868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635229.19873999991</v>
      </c>
      <c r="BK40" s="159" cm="1">
        <f t="array" aca="1" ref="BK40" ca="1">SUMPRODUCT(ISNUMBER(INDIRECT("TabReg["&amp;TabCalc[[#This Row],[Ticker]]&amp;"2]"))* INDIRECT("TabReg["&amp;TabCalc[[#This Row],[Ticker]]&amp;"1]") * INDIRECT("TabReg["&amp;TabCalc[[#This Row],[Ticker]]&amp;"2]") )*TabCalc[[#This Row],[Scale]]*(1+Commission)</f>
        <v>110362.41817200012</v>
      </c>
      <c r="BL40" s="159">
        <f ca="1">TabCalc[[#This Row],[M_V]]*(1-Commission)+TabCalc[[#This Row],[EfCost]]</f>
        <v>152452.69817200012</v>
      </c>
      <c r="BM40" s="159">
        <f ca="1">IF(        OR( TabCalc[[#This Row],[GL]]&gt;ABS(TabCalc[[#This Row],[EfCost]]),TabCalc[[#This Row],[NAfter]]=0),             TabCalc[[#This Row],[GL]],     0)</f>
        <v>152452.69817200012</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45980.7273096875</v>
      </c>
      <c r="BT40" s="175">
        <f ca="1">(TabCalc[[#This Row],[ValueBegin]]+(TabCalc[[#This Row],[M]]-TabCalc[[#This Row],[A]])*TabCalc[[#This Row],[NAfter]])*TabCalc[[#This Row],[Scale]]</f>
        <v>-85819.529999999868</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13870.000000000004</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28.33</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360.49026676279726</v>
      </c>
      <c r="CX40" s="405">
        <f ca="1">TabCalc[[#This Row],[ntoSell]]*TabCalc[[#This Row],[M]]</f>
        <v>15212.689257390046</v>
      </c>
      <c r="CY40" s="398">
        <f ca="1">_xlfn.LET(_xlpm.nToSell,IF(TabCalc[[#This Row],[M]]-TabCalc[[#This Row],[A]]&lt;=0,"",INT(DesiredSaleGain/(TabCalc[[#This Row],[M]]-IF(TabCalc[[#This Row],[E]]&gt;0,0,TabCalc[[#This Row],[A]])))),IF(_xlpm.nToSell&lt;=TabCalc[[#This Row],[NAfter]],_xlpm.nToSell,0))</f>
        <v>360</v>
      </c>
      <c r="CZ40" s="336">
        <f ca="1">IFERROR(TabCalc[[#This Row],[NMA]]*TabCalc[[#This Row],[M]],"")</f>
        <v>15192.000000000002</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13870.000000000004</v>
      </c>
      <c r="DB40" s="90">
        <f ca="1">IFERROR((TabCalc[[#This Row],[M]]+TabCalc[[#This Row],[L_Bp]])/ABS(TabCalc[[#This Row],[L_Bp]])/(TODAY()-TabCalc[[#This Row],[L_Bdate]])*360,"")</f>
        <v>11.750088245675967</v>
      </c>
      <c r="DC40" s="310">
        <f ca="1">MEDIAN(DataShift!F740:Z740)</f>
        <v>-3.2069E-2</v>
      </c>
      <c r="DD40" s="310" t="e"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0" s="87">
        <f ca="1">TabCalc[[#This Row],[Nbegin]]*TabCalc[[#This Row],[Scale]]*TabCalc[[#This Row],[M]]</f>
        <v>113940.00000000001</v>
      </c>
      <c r="DF40" s="87" cm="1">
        <f t="array" aca="1" ref="DF40" ca="1">SUMPRODUCT(ISNUMBER(INDIRECT("TabReg["&amp;TabCalc[[#This Row],[Ticker]]&amp;"2]"))* INDIRECT("TabReg["&amp;TabCalc[[#This Row],[Ticker]]&amp;"1]") * INDIRECT("TabReg["&amp;TabCalc[[#This Row],[Ticker]]&amp;"2]") )*TabCalc[[#This Row],[Scale]]</f>
        <v>110076.22000000013</v>
      </c>
      <c r="DI40" s="87">
        <f ca="1"/>
        <v>177681.25</v>
      </c>
      <c r="DJ40" s="90">
        <f t="shared" ca="1" si="3"/>
        <v>0.33734579401541487</v>
      </c>
      <c r="DK40" t="str">
        <f ca="1">_xlfn.XLOOKUP(DI40,TabCalc[Column1],TabCalc[Ticker])</f>
        <v>SHECY</v>
      </c>
      <c r="DL40" s="87">
        <f ca="1">_xlfn.XLOOKUP(DK40,TabCalc[Ticker],TabCalc[ValueBegin])</f>
        <v>-140171.46</v>
      </c>
      <c r="DM40" s="87">
        <f ca="1">_xlfn.XLOOKUP(DK40,TabCalc[Ticker],TabCalc[M_V])</f>
        <v>355362.5</v>
      </c>
      <c r="DN40" s="87">
        <f ca="1">_xlfn.XLOOKUP(DK40,TabCalc[Ticker],TabCalc[GL])</f>
        <v>47286.252471999964</v>
      </c>
      <c r="DO40" s="90"/>
      <c r="DP40" s="90"/>
      <c r="DQ40" t="s">
        <v>36</v>
      </c>
      <c r="DR40" s="81">
        <v>500</v>
      </c>
      <c r="DS40" s="315">
        <v>-172.548</v>
      </c>
      <c r="DU40" s="82">
        <v>56760</v>
      </c>
      <c r="DV40" s="82">
        <f ca="1">DU40-TabCalc[[#This Row],[M_V]]</f>
        <v>14560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42">
        <f ca="1">_xlfn.XLOOKUP(TabCalc[[#This Row],[Ticker]],DQ$3:DQ$96,DS$3:DS$96)</f>
        <v>-33.802067999999998</v>
      </c>
      <c r="E41" s="121">
        <f t="shared" ca="1" si="4"/>
        <v>-1014062.0399999999</v>
      </c>
      <c r="F41" s="82">
        <f ca="1">TabCalc[[#This Row],[NAfter]]*TabCalc[[#This Row],[M]]*TabCalc[[#This Row],[Scale]]</f>
        <v>2186.5</v>
      </c>
      <c r="G41" s="82">
        <f ca="1">IFERROR(TabCalc[[#This Row],[SB]]-TabCalc[[#This Row],[SST]],TabCalc[[#This Row],[SB]])</f>
        <v>50</v>
      </c>
      <c r="H41" s="532" t="str">
        <f ca="1">[1]!RTData[[#This Row],[Ticker_Symbol]]</f>
        <v>RWE</v>
      </c>
      <c r="I41" s="383">
        <f ca="1">_xlfn.XLOOKUP(TabCalc[[#This Row],[Ticker]],[1]!RTData[Ticker_Symbol],[1]!RTData[M-Price])</f>
        <v>43.73</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-2.1042999999999999E-2</v>
      </c>
      <c r="N41" s="1065">
        <v>0</v>
      </c>
      <c r="O41" s="892">
        <f>TabCalc[[#This Row],[Up20]]-1+TabCalc[[#This Row],[Up20]]</f>
        <v>-1</v>
      </c>
      <c r="P41" s="892">
        <f>TabCalc[[#This Row],[Up20]]-TabCalc[[#This Row],[Up150]]</f>
        <v>-0.5</v>
      </c>
      <c r="Q41" s="892">
        <v>0.5</v>
      </c>
      <c r="R41" s="892">
        <f>TabCalc[[#This Row],[Up150]]-1+TabCalc[[#This Row],[Up150]]</f>
        <v>0</v>
      </c>
      <c r="S41" s="892">
        <f ca="1">IFERROR(SUMPRODUCT(DataShift!F1533:Z1533,DataShift!AB740:AV740)/SQRT(SUMPRODUCT(DataShift!F1533:Z1533,DataShift!F1533:Z1533)*SUMPRODUCT(DataShift!AB740:AV740,DataShift!AB740:AV740)),0)</f>
        <v>-0.51868983594000884</v>
      </c>
      <c r="T41" s="892">
        <f ca="1">IFERROR(SUMPRODUCT(DataShift!F1533:Z1533,DataShift!F741:Z741)/SQRT(SUMPRODUCT(DataShift!F1533:Z1533,DataShift!F1533:Z1533)*SUMPRODUCT(DataShift!F741:Z741,DataShift!F741:Z741)),0)</f>
        <v>-0.24386820043531149</v>
      </c>
      <c r="U41" s="1004">
        <v>50</v>
      </c>
      <c r="V41" s="1004">
        <v>0</v>
      </c>
      <c r="W41" s="1004">
        <v>0</v>
      </c>
      <c r="X41" s="892"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767.99999999999977</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724.74999999999989</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-33183.999999999993</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-17234.999999999993</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-61.5</v>
      </c>
      <c r="AQ41" s="334">
        <f ca="1">_xlfn.LET(_xlpm.MVToday,DataShift!AV541,         _xlpm.MVY,DataShift!AU542,        _xlpm.MVYY, DataShift!AT542,                                IF(_xlpm.MVToday=_xlpm.MVY,_xlpm.MVY-_xlpm.MVYY,_xlpm.MVToday-_xlpm.MVY))</f>
        <v>-35771</v>
      </c>
      <c r="AR41" s="334">
        <f ca="1">_xlfn.LET(_xlpm.MVToday,DataShift!AV541,         _xlpm.MVY,DataShift!AU542,        _xlpm.MVYY, DataShift!AT542,         _xlpm.MVYYY, DataShift!AS542,                      IF(_xlpm.MVToday=_xlpm.MVY,      _xlpm.MVYY-_xlpm.MVYYY,          _xlpm.MVY-_xlpm.MVYY))</f>
        <v>-4020</v>
      </c>
      <c r="AS41" s="977">
        <f ca="1">TabCalc[[#This Row],[Y]]/TabCalc[[#This Row],[M]]</f>
        <v>1.0232577178138578</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-5.3764515826485533E-4</v>
      </c>
      <c r="AY41" s="82">
        <f t="shared" ca="1" si="5"/>
        <v>29950</v>
      </c>
      <c r="AZ41" s="90">
        <f ca="1">_xlfn.XLOOKUP(TabCalc[[#This Row],[Ticker]],[1]!RTData[Ticker_Symbol],[1]!RTData[V/VA])</f>
        <v>5.5391708193498089E-3</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5.5391708193498089E-3</v>
      </c>
      <c r="BC41" s="87" cm="1">
        <f t="array" aca="1" ref="BC41" ca="1">INDEX(TabReg[], 1, _xlfn.XMATCH(TabCalc[[#This Row],[Ticker]]&amp;1, TabReg[#Headers], 0))</f>
        <v>30000</v>
      </c>
      <c r="BD41" s="159">
        <f ca="1">TabCalc[[#This Row],[Nbegin]]*TabCalc[[#This Row],[M]]*TabCalc[[#This Row],[Scale]]+TabCalc[[#This Row],[ValueBegin]]</f>
        <v>297837.96000000008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-1011875.5399999999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K41" s="159" cm="1">
        <f t="array" aca="1" ref="BK41" ca="1">SUMPRODUCT(ISNUMBER(INDIRECT("TabReg["&amp;TabCalc[[#This Row],[Ticker]]&amp;"2]"))* INDIRECT("TabReg["&amp;TabCalc[[#This Row],[Ticker]]&amp;"1]") * INDIRECT("TabReg["&amp;TabCalc[[#This Row],[Ticker]]&amp;"2]") )*TabCalc[[#This Row],[Scale]]*(1+Commission)</f>
        <v>34222.099216499919</v>
      </c>
      <c r="BL41" s="159">
        <f ca="1">TabCalc[[#This Row],[M_V]]*(1-Commission)+TabCalc[[#This Row],[EfCost]]</f>
        <v>36402.914316499919</v>
      </c>
      <c r="BM41" s="159">
        <f ca="1">IF(        OR( TabCalc[[#This Row],[GL]]&gt;ABS(TabCalc[[#This Row],[EfCost]]),TabCalc[[#This Row],[NAfter]]=0),             TabCalc[[#This Row],[GL]],     0)</f>
        <v>36402.914316499919</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45980.714583333334</v>
      </c>
      <c r="BT41" s="175">
        <f ca="1">(TabCalc[[#This Row],[ValueBegin]]+(TabCalc[[#This Row],[M]]-TabCalc[[#This Row],[A]])*TabCalc[[#This Row],[NAfter]])*TabCalc[[#This Row],[Scale]]</f>
        <v>-1013294.0399999999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767.99999999999977</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2186.5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767.99999999999977</v>
      </c>
      <c r="DB41" s="90">
        <f ca="1">IFERROR((TabCalc[[#This Row],[M]]+TabCalc[[#This Row],[L_Bp]])/ABS(TabCalc[[#This Row],[L_Bp]])/(TODAY()-TabCalc[[#This Row],[L_Bdate]])*360,"")</f>
        <v>0.70876405934565945</v>
      </c>
      <c r="DC41" s="310">
        <f ca="1">MEDIAN(DataShift!F741:Z741)</f>
        <v>1.3875E-2</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1311900</v>
      </c>
      <c r="DF41" s="87" cm="1">
        <f t="array" aca="1" ref="DF41" ca="1">SUMPRODUCT(ISNUMBER(INDIRECT("TabReg["&amp;TabCalc[[#This Row],[Ticker]]&amp;"2]"))* INDIRECT("TabReg["&amp;TabCalc[[#This Row],[Ticker]]&amp;"1]") * INDIRECT("TabReg["&amp;TabCalc[[#This Row],[Ticker]]&amp;"2]") )*TabCalc[[#This Row],[Scale]]</f>
        <v>34133.352499999921</v>
      </c>
      <c r="DI41" s="87">
        <f ca="1"/>
        <v>175488</v>
      </c>
      <c r="DJ41" s="90">
        <f t="shared" ca="1" si="3"/>
        <v>0.71968951025276506</v>
      </c>
      <c r="DK41" t="str">
        <f ca="1">_xlfn.XLOOKUP(DI41,TabCalc[Column1],TabCalc[Ticker])</f>
        <v>X</v>
      </c>
      <c r="DL41" s="87">
        <f ca="1">_xlfn.XLOOKUP(DK41,TabCalc[Ticker],TabCalc[ValueBegin])</f>
        <v>-83872</v>
      </c>
      <c r="DM41" s="87">
        <f ca="1">_xlfn.XLOOKUP(DK41,TabCalc[Ticker],TabCalc[M_V])</f>
        <v>548.40000000000009</v>
      </c>
      <c r="DN41" s="87">
        <f ca="1">_xlfn.XLOOKUP(DK41,TabCalc[Ticker],TabCalc[GL])</f>
        <v>60361.79860391991</v>
      </c>
      <c r="DO41" s="90"/>
      <c r="DP41" s="90"/>
      <c r="DQ41" s="88" t="s">
        <v>37</v>
      </c>
      <c r="DR41" s="81">
        <v>30000</v>
      </c>
      <c r="DS41" s="315">
        <v>-33.802067999999998</v>
      </c>
      <c r="DU41" s="82">
        <v>2117</v>
      </c>
      <c r="DV41" s="82">
        <f ca="1">DU41-TabCalc[[#This Row],[M_V]]</f>
        <v>-69.5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42">
        <f ca="1">_xlfn.XLOOKUP(TabCalc[[#This Row],[Ticker]],DQ$3:DQ$96,DS$3:DS$96)</f>
        <v>-93.048699999999997</v>
      </c>
      <c r="E42" s="121">
        <f t="shared" ca="1" si="4"/>
        <v>-139573.04999999999</v>
      </c>
      <c r="F42" s="82">
        <f ca="1">TabCalc[[#This Row],[NAfter]]*TabCalc[[#This Row],[M]]*TabCalc[[#This Row],[Scale]]</f>
        <v>780900</v>
      </c>
      <c r="G42" s="82">
        <f ca="1">IFERROR(TabCalc[[#This Row],[SB]]-TabCalc[[#This Row],[SST]],TabCalc[[#This Row],[SB]])</f>
        <v>3800</v>
      </c>
      <c r="H42" s="532" t="str">
        <f ca="1">[1]!RTData[[#This Row],[Ticker_Symbol]]</f>
        <v>SAP</v>
      </c>
      <c r="I42" s="383">
        <f ca="1">_xlfn.XLOOKUP(TabCalc[[#This Row],[Ticker]],[1]!RTData[Ticker_Symbol],[1]!RTData[M-Price])</f>
        <v>205.5</v>
      </c>
      <c r="J42" s="382">
        <v>240.53301315789471</v>
      </c>
      <c r="K42" s="381">
        <f ca="1">_xlfn.XLOOKUP(TabCalc[[#This Row],[Ticker]],[1]!RTData[Ticker_Symbol],[1]!RTData[1YT])</f>
        <v>288.66680000000002</v>
      </c>
      <c r="L42" s="382">
        <f ca="1">IF(OR(TabCalc[[#This Row],[NAfter]]=0,TabCalc[[#This Row],[EfCost]]&gt;0),0,TabCalc[[#This Row],[EfCost]]/TabCalc[[#This Row],[NAfter]]/TabCalc[[#This Row],[Scale]])</f>
        <v>-218.55783596447372</v>
      </c>
      <c r="M42" s="732">
        <f ca="1">_xlfn.XLOOKUP(TabCalc[[#This Row],[Ticker]],[1]!RTData[Ticker_Symbol],[1]!RTData[Change%])</f>
        <v>7.3050000000000003E-4</v>
      </c>
      <c r="N42" s="1065">
        <v>0</v>
      </c>
      <c r="O42" s="892">
        <f>TabCalc[[#This Row],[Up20]]-1+TabCalc[[#This Row],[Up20]]</f>
        <v>-1</v>
      </c>
      <c r="P42" s="892">
        <f>TabCalc[[#This Row],[Up20]]-TabCalc[[#This Row],[Up150]]</f>
        <v>-0.5</v>
      </c>
      <c r="Q42" s="892">
        <v>0.5</v>
      </c>
      <c r="R42" s="892">
        <f>TabCalc[[#This Row],[Up150]]-1+TabCalc[[#This Row],[Up150]]</f>
        <v>0</v>
      </c>
      <c r="S42" s="892">
        <f ca="1">IFERROR(SUMPRODUCT(DataShift!F1534:Z1534,DataShift!AB741:AV741)/SQRT(SUMPRODUCT(DataShift!F1534:Z1534,DataShift!F1534:Z1534)*SUMPRODUCT(DataShift!AB741:AV741,DataShift!AB741:AV741)),0)</f>
        <v>-0.3236190105997479</v>
      </c>
      <c r="T42" s="892">
        <f ca="1">IFERROR(SUMPRODUCT(DataShift!F1534:Z1534,DataShift!F742:Z742)/SQRT(SUMPRODUCT(DataShift!F1534:Z1534,DataShift!F1534:Z1534)*SUMPRODUCT(DataShift!F742:Z742,DataShift!F742:Z742)),0)</f>
        <v>0.34325319587929987</v>
      </c>
      <c r="U42" s="1004">
        <v>0</v>
      </c>
      <c r="V42" s="1004">
        <v>3800</v>
      </c>
      <c r="W42" s="1004">
        <v>0</v>
      </c>
      <c r="X42" s="892"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-13424.999999999996</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-22050.000000000011</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6460.0000000000018</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29775.000000000007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1140</v>
      </c>
      <c r="AQ42" s="334">
        <f ca="1">_xlfn.LET(_xlpm.MVToday,DataShift!AV542,         _xlpm.MVY,DataShift!AU543,        _xlpm.MVYY, DataShift!AT543,                                IF(_xlpm.MVToday=_xlpm.MVY,_xlpm.MVY-_xlpm.MVYY,_xlpm.MVToday-_xlpm.MVY))</f>
        <v>40013.5</v>
      </c>
      <c r="AR42" s="334">
        <f ca="1">_xlfn.LET(_xlpm.MVToday,DataShift!AV542,         _xlpm.MVY,DataShift!AU543,        _xlpm.MVYY, DataShift!AT543,         _xlpm.MVYYY, DataShift!AS543,                      IF(_xlpm.MVToday=_xlpm.MVY,      _xlpm.MVYY-_xlpm.MVYYY,          _xlpm.MVY-_xlpm.MVYY))</f>
        <v>-27.5</v>
      </c>
      <c r="AS42" s="977">
        <f ca="1">TabCalc[[#This Row],[Y]]/TabCalc[[#This Row],[M]]</f>
        <v>1.4047046228710462</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-9.6970874105007514</v>
      </c>
      <c r="AY42" s="82">
        <f t="shared" ca="1" si="5"/>
        <v>0</v>
      </c>
      <c r="AZ42" s="90">
        <f ca="1">_xlfn.XLOOKUP(TabCalc[[#This Row],[Ticker]],[1]!RTData[Ticker_Symbol],[1]!RTData[V/VA])</f>
        <v>0.93717056647786734</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0.93717056647786734</v>
      </c>
      <c r="BC42" s="87" cm="1">
        <f t="array" aca="1" ref="BC42" ca="1">INDEX(TabReg[], 1, _xlfn.XMATCH(TabCalc[[#This Row],[Ticker]]&amp;1, TabReg[#Headers], 0))</f>
        <v>1500</v>
      </c>
      <c r="BD42" s="159">
        <f ca="1">TabCalc[[#This Row],[Nbegin]]*TabCalc[[#This Row],[M]]*TabCalc[[#This Row],[Scale]]+TabCalc[[#This Row],[ValueBegin]]</f>
        <v>168676.95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-690583.83673500014</v>
      </c>
      <c r="BH42" s="336">
        <f ca="1">TabCalc[[#This Row],[M_V]]+TabCalc[[#This Row],[ValueBegin]]</f>
        <v>641326.94999999995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K42" s="159" cm="1">
        <f t="array" aca="1" ref="BK42" ca="1">SUMPRODUCT(ISNUMBER(INDIRECT("TabReg["&amp;TabCalc[[#This Row],[Ticker]]&amp;"2]"))* INDIRECT("TabReg["&amp;TabCalc[[#This Row],[Ticker]]&amp;"1]") * INDIRECT("TabReg["&amp;TabCalc[[#This Row],[Ticker]]&amp;"2]") )*TabCalc[[#This Row],[Scale]]*(1+Commission)</f>
        <v>-830519.77666500013</v>
      </c>
      <c r="BL42" s="159">
        <f ca="1">TabCalc[[#This Row],[M_V]]*(1-Commission)+TabCalc[[#This Row],[EfCost]]</f>
        <v>-51650.116665000212</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346.12</v>
      </c>
      <c r="BR42" s="174" t="str">
        <f ca="1">IF(TabCalc[[#This Row],[EfCost]]+TabCalc[[#This Row],[M_V]]&lt;TabCalc[[#This Row],[NoT_GL]],"Pile","")</f>
        <v>Pile</v>
      </c>
      <c r="BS42" s="165">
        <f ca="1">_xlfn.XLOOKUP(TabCalc[[#This Row],[Ticker]],[1]!RTData[Ticker_Symbol],[1]!RTData[Last trade time])</f>
        <v>45980.697916666664</v>
      </c>
      <c r="BT42" s="175">
        <f ca="1">(TabCalc[[#This Row],[ValueBegin]]+(TabCalc[[#This Row],[M]]-TabCalc[[#This Row],[A]])*TabCalc[[#This Row],[NAfter]])*TabCalc[[#This Row],[Scale]]</f>
        <v>-272698.49999999988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-133125.44999999992</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154.79876160990707</v>
      </c>
      <c r="CV42" s="404">
        <f ca="1">IF(TabCalc[[#This Row],[ntoBuy]]*TabCalc[[#This Row],[M]]&lt;=0,0,TabCalc[[#This Row],[ntoBuy]]*TabCalc[[#This Row],[M]])</f>
        <v>31811.145510835904</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-133125.44999999992</v>
      </c>
      <c r="DB42" s="90">
        <f ca="1">IFERROR((TabCalc[[#This Row],[M]]+TabCalc[[#This Row],[L_Bp]])/ABS(TabCalc[[#This Row],[L_Bp]])/(TODAY()-TabCalc[[#This Row],[L_Bdate]])*360,"")</f>
        <v>-0.86668818592640395</v>
      </c>
      <c r="DC42" s="310">
        <f ca="1">MEDIAN(DataShift!F742:Z742)</f>
        <v>-4.1770000000000002E-3</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308250</v>
      </c>
      <c r="DF42" s="87" cm="1">
        <f t="array" aca="1" ref="DF42" ca="1">SUMPRODUCT(ISNUMBER(INDIRECT("TabReg["&amp;TabCalc[[#This Row],[Ticker]]&amp;"2]"))* INDIRECT("TabReg["&amp;TabCalc[[#This Row],[Ticker]]&amp;"1]") * INDIRECT("TabReg["&amp;TabCalc[[#This Row],[Ticker]]&amp;"2]") )*TabCalc[[#This Row],[Scale]]</f>
        <v>-828366.02500000014</v>
      </c>
      <c r="DI42" s="87">
        <f ca="1"/>
        <v>173607.22500000001</v>
      </c>
      <c r="DJ42" s="90">
        <f t="shared" ca="1" si="3"/>
        <v>0.36153737310863493</v>
      </c>
      <c r="DK42" t="str">
        <f ca="1">_xlfn.XLOOKUP(DI42,TabCalc[Column1],TabCalc[Ticker])</f>
        <v>MA</v>
      </c>
      <c r="DL42" s="87">
        <f ca="1">_xlfn.XLOOKUP(DK42,TabCalc[Ticker],TabCalc[ValueBegin])</f>
        <v>-116529.60000000001</v>
      </c>
      <c r="DM42" s="87">
        <f ca="1">_xlfn.XLOOKUP(DK42,TabCalc[Ticker],TabCalc[M_V])</f>
        <v>105216.5</v>
      </c>
      <c r="DN42" s="87">
        <f ca="1">_xlfn.XLOOKUP(DK42,TabCalc[Ticker],TabCalc[GL])</f>
        <v>42129.805473399989</v>
      </c>
      <c r="DO42" s="90"/>
      <c r="DP42" s="90"/>
      <c r="DQ42" s="88" t="s">
        <v>38</v>
      </c>
      <c r="DR42" s="82">
        <v>1500</v>
      </c>
      <c r="DS42" s="315">
        <v>-93.048699999999997</v>
      </c>
      <c r="DU42" s="82">
        <v>858990</v>
      </c>
      <c r="DV42" s="82">
        <f ca="1">DU42-TabCalc[[#This Row],[M_V]]</f>
        <v>78090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42">
        <f ca="1">_xlfn.XLOOKUP(TabCalc[[#This Row],[Ticker]],DQ$3:DQ$96,DS$3:DS$96)</f>
        <v>-11.2137168</v>
      </c>
      <c r="E43" s="121">
        <f t="shared" ca="1" si="4"/>
        <v>-140171.46</v>
      </c>
      <c r="F43" s="82">
        <f ca="1">TabCalc[[#This Row],[NAfter]]*TabCalc[[#This Row],[M]]*TabCalc[[#This Row],[Scale]]</f>
        <v>355362.5</v>
      </c>
      <c r="G43" s="82">
        <f ca="1">IFERROR(TabCalc[[#This Row],[SB]]-TabCalc[[#This Row],[SST]],TabCalc[[#This Row],[SB]])</f>
        <v>25000</v>
      </c>
      <c r="H43" s="532" t="str">
        <f ca="1">[1]!RTData[[#This Row],[Ticker_Symbol]]</f>
        <v>SHECY</v>
      </c>
      <c r="I43" s="383">
        <f ca="1">_xlfn.XLOOKUP(TabCalc[[#This Row],[Ticker]],[1]!RTData[Ticker_Symbol],[1]!RTData[M-Price])</f>
        <v>14.214499999999999</v>
      </c>
      <c r="J43" s="382">
        <v>16.814934400000002</v>
      </c>
      <c r="K43" s="381">
        <f ca="1">_xlfn.XLOOKUP(TabCalc[[#This Row],[Ticker]],[1]!RTData[Ticker_Symbol],[1]!RTData[1YT])</f>
        <v>0</v>
      </c>
      <c r="L43" s="382">
        <f ca="1">IF(OR(TabCalc[[#This Row],[NAfter]]=0,TabCalc[[#This Row],[EfCost]]&gt;0),0,TabCalc[[#This Row],[EfCost]]/TabCalc[[#This Row],[NAfter]]/TabCalc[[#This Row],[Scale]])</f>
        <v>-12.286092201120001</v>
      </c>
      <c r="M43" s="732">
        <f ca="1">_xlfn.XLOOKUP(TabCalc[[#This Row],[Ticker]],[1]!RTData[Ticker_Symbol],[1]!RTData[Change%])</f>
        <v>-8.0600000000000012E-3</v>
      </c>
      <c r="N43" s="1065">
        <v>0</v>
      </c>
      <c r="O43" s="892">
        <f>TabCalc[[#This Row],[Up20]]-1+TabCalc[[#This Row],[Up20]]</f>
        <v>-1</v>
      </c>
      <c r="P43" s="892">
        <f>TabCalc[[#This Row],[Up20]]-TabCalc[[#This Row],[Up150]]</f>
        <v>-0.75</v>
      </c>
      <c r="Q43" s="892">
        <v>0.75</v>
      </c>
      <c r="R43" s="892">
        <f>TabCalc[[#This Row],[Up150]]-1+TabCalc[[#This Row],[Up150]]</f>
        <v>0.5</v>
      </c>
      <c r="S43" s="892">
        <f ca="1">IFERROR(SUMPRODUCT(DataShift!F1535:Z1535,DataShift!AB742:AV742)/SQRT(SUMPRODUCT(DataShift!F1535:Z1535,DataShift!F1535:Z1535)*SUMPRODUCT(DataShift!AB742:AV742,DataShift!AB742:AV742)),0)</f>
        <v>-0.84620506662012995</v>
      </c>
      <c r="T43" s="892">
        <f ca="1">IFERROR(SUMPRODUCT(DataShift!F1535:Z1535,DataShift!F743:Z743)/SQRT(SUMPRODUCT(DataShift!F1535:Z1535,DataShift!F1535:Z1535)*SUMPRODUCT(DataShift!F743:Z743,DataShift!F743:Z743)),0)</f>
        <v>0.51599481021323901</v>
      </c>
      <c r="U43" s="1004">
        <v>4000</v>
      </c>
      <c r="V43" s="1004">
        <v>21000</v>
      </c>
      <c r="W43" s="1004">
        <v>0</v>
      </c>
      <c r="X43" s="892"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-29,574 = $ -420,380</v>
      </c>
      <c r="Z43" s="211">
        <f ca="1">MIN(TabCalc[[#This Row],[L_Bn]],TabCalc[[#This Row],[NAfter]])*(TabCalc[[#This Row],[M]]+TabCalc[[#This Row],[L_Bp]])*TabCalc[[#This Row],[Scale]]</f>
        <v>-2593.8360000000002</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-3706.5</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1469.7159999999999</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6806.5000000000018</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-12887.5</v>
      </c>
      <c r="AQ43" s="334">
        <f ca="1">_xlfn.LET(_xlpm.MVToday,DataShift!AV543,         _xlpm.MVY,DataShift!AU544,        _xlpm.MVYY, DataShift!AT544,                                IF(_xlpm.MVToday=_xlpm.MVY,_xlpm.MVY-_xlpm.MVYY,_xlpm.MVToday-_xlpm.MVY))</f>
        <v>-778713.5</v>
      </c>
      <c r="AR43" s="334">
        <f ca="1">_xlfn.LET(_xlpm.MVToday,DataShift!AV543,         _xlpm.MVY,DataShift!AU544,        _xlpm.MVYY, DataShift!AT544,         _xlpm.MVYYY, DataShift!AS544,                      IF(_xlpm.MVToday=_xlpm.MVY,      _xlpm.MVYY-_xlpm.MVYYY,          _xlpm.MVY-_xlpm.MVYY))</f>
        <v>570</v>
      </c>
      <c r="AS43" s="977">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1.5859329791151559E-2</v>
      </c>
      <c r="BA43" s="90" t="str" cm="1">
        <f t="array" aca="1" ref="BA43" ca="1">IFERROR(_xlfn.IFS(TabCalc[[#This Row],[Cur]]="USD",Timer!F$27,                TabCalc[[#This Row],[Cur]]="EUR",Timer!F$18,                  TabCalc[[#This Row],[Cur]]="GBP",Timer!F$12,                          TabCalc[[#This Row],[Cur]]="CAD",Timer!F$27,                TabCalc[[#This Row],[Cur]]="JPY",Timer!F$31,                      TabCalc[[#This Row],[Cur]]="CHF",Timer!F$18),"Timing")</f>
        <v>Closed</v>
      </c>
      <c r="BB43" s="90">
        <f ca="1">IF(ISNUMBER(TabCalc[[#This Row],[TimeEX]]),TabCalc[[#This Row],[V/VA]]/TabCalc[[#This Row],[TimeEX]],TabCalc[[#This Row],[V/VA]])</f>
        <v>1.5859329791151559E-2</v>
      </c>
      <c r="BC43" s="87" cm="1">
        <f t="array" aca="1" ref="BC43" ca="1">INDEX(TabReg[], 1, _xlfn.XMATCH(TabCalc[[#This Row],[Ticker]]&amp;1, TabReg[#Headers], 0))</f>
        <v>12500</v>
      </c>
      <c r="BD43" s="159">
        <f ca="1">TabCalc[[#This Row],[Nbegin]]*TabCalc[[#This Row],[M]]*TabCalc[[#This Row],[Scale]]+TabCalc[[#This Row],[ValueBegin]]</f>
        <v>37509.790000000008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-166616.39923200005</v>
      </c>
      <c r="BH43" s="336">
        <f ca="1">TabCalc[[#This Row],[M_V]]+TabCalc[[#This Row],[ValueBegin]]</f>
        <v>215191.04000000001</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K43" s="159" cm="1">
        <f t="array" aca="1" ref="BK43" ca="1">SUMPRODUCT(ISNUMBER(INDIRECT("TabReg["&amp;TabCalc[[#This Row],[Ticker]]&amp;"2]"))* INDIRECT("TabReg["&amp;TabCalc[[#This Row],[Ticker]]&amp;"1]") * INDIRECT("TabReg["&amp;TabCalc[[#This Row],[Ticker]]&amp;"2]") )*TabCalc[[#This Row],[Scale]]*(1+Commission)</f>
        <v>-307152.30502800003</v>
      </c>
      <c r="BL43" s="159">
        <f ca="1">TabCalc[[#This Row],[M_V]]*(1-Commission)+TabCalc[[#This Row],[EfCost]]</f>
        <v>47286.252471999964</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19.41</v>
      </c>
      <c r="BR43" s="174" t="str">
        <f ca="1">IF(TabCalc[[#This Row],[EfCost]]+TabCalc[[#This Row],[M_V]]&lt;TabCalc[[#This Row],[NoT_GL]],"Pile","")</f>
        <v/>
      </c>
      <c r="BS43" s="165">
        <f ca="1">_xlfn.XLOOKUP(TabCalc[[#This Row],[Ticker]],[1]!RTData[Ticker_Symbol],[1]!RTData[Last trade time])</f>
        <v>45980.716578171094</v>
      </c>
      <c r="BT43" s="175">
        <f ca="1">(TabCalc[[#This Row],[ValueBegin]]+(TabCalc[[#This Row],[M]]-TabCalc[[#This Row],[A]])*TabCalc[[#This Row],[NAfter]])*TabCalc[[#This Row],[Scale]]</f>
        <v>-205182.32000000007</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-65010.860000000073</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2150.0752526338424</v>
      </c>
      <c r="CV43" s="404">
        <f ca="1">IF(TabCalc[[#This Row],[ntoBuy]]*TabCalc[[#This Row],[M]]&lt;=0,0,TabCalc[[#This Row],[ntoBuy]]*TabCalc[[#This Row],[M]])</f>
        <v>30562.244678563751</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-65010.860000000073</v>
      </c>
      <c r="DB43" s="90">
        <f ca="1">IFERROR((TabCalc[[#This Row],[M]]+TabCalc[[#This Row],[L_Bp]])/ABS(TabCalc[[#This Row],[L_Bp]])/(TODAY()-TabCalc[[#This Row],[L_Bdate]])*360,"")</f>
        <v>-1.111466165413534</v>
      </c>
      <c r="DC43" s="310">
        <f ca="1">MEDIAN(DataShift!F743:Z743)</f>
        <v>0</v>
      </c>
      <c r="DD43" s="310" t="e"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3" s="87">
        <f ca="1">TabCalc[[#This Row],[Nbegin]]*TabCalc[[#This Row],[Scale]]*TabCalc[[#This Row],[M]]</f>
        <v>177681.25</v>
      </c>
      <c r="DF43" s="87" cm="1">
        <f t="array" aca="1" ref="DF43" ca="1">SUMPRODUCT(ISNUMBER(INDIRECT("TabReg["&amp;TabCalc[[#This Row],[Ticker]]&amp;"2]"))* INDIRECT("TabReg["&amp;TabCalc[[#This Row],[Ticker]]&amp;"1]") * INDIRECT("TabReg["&amp;TabCalc[[#This Row],[Ticker]]&amp;"2]") )*TabCalc[[#This Row],[Scale]]</f>
        <v>-306355.78000000003</v>
      </c>
      <c r="DI43" s="87">
        <f ca="1"/>
        <v>162180</v>
      </c>
      <c r="DJ43" s="90">
        <f t="shared" ca="1" si="3"/>
        <v>0.52694042829803878</v>
      </c>
      <c r="DK43" t="str">
        <f ca="1">_xlfn.XLOOKUP(DI43,TabCalc[Column1],TabCalc[Ticker])</f>
        <v>MVEENI</v>
      </c>
      <c r="DL43" s="87">
        <f ca="1">_xlfn.XLOOKUP(DK43,TabCalc[Ticker],TabCalc[ValueBegin])</f>
        <v>-155926</v>
      </c>
      <c r="DM43" s="87">
        <f ca="1">_xlfn.XLOOKUP(DK43,TabCalc[Ticker],TabCalc[M_V])</f>
        <v>583848</v>
      </c>
      <c r="DN43" s="87">
        <f ca="1">_xlfn.XLOOKUP(DK43,TabCalc[Ticker],TabCalc[GL])</f>
        <v>82163.713222799997</v>
      </c>
      <c r="DO43" s="90"/>
      <c r="DP43" s="90"/>
      <c r="DQ43" s="88" t="s">
        <v>39</v>
      </c>
      <c r="DR43" s="81">
        <v>12500</v>
      </c>
      <c r="DS43" s="315">
        <v>-11.2137168</v>
      </c>
      <c r="DU43" s="82">
        <v>333954.24</v>
      </c>
      <c r="DV43" s="82">
        <f ca="1">DU43-TabCalc[[#This Row],[M_V]]</f>
        <v>-21408.260000000009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42">
        <f ca="1">_xlfn.XLOOKUP(TabCalc[[#This Row],[Ticker]],DQ$3:DQ$96,DS$3:DS$96)</f>
        <v>-54.700470000000003</v>
      </c>
      <c r="E44" s="121">
        <f t="shared" ca="1" si="4"/>
        <v>-875207.52</v>
      </c>
      <c r="F44" s="82">
        <f ca="1">TabCalc[[#This Row],[NAfter]]*TabCalc[[#This Row],[M]]*TabCalc[[#This Row],[Scale]]</f>
        <v>135200</v>
      </c>
      <c r="G44" s="82">
        <f ca="1">IFERROR(TabCalc[[#This Row],[SB]]-TabCalc[[#This Row],[SST]],TabCalc[[#This Row],[SB]])</f>
        <v>16000</v>
      </c>
      <c r="H44" s="532" t="str">
        <f ca="1">[1]!RTData[[#This Row],[Ticker_Symbol]]</f>
        <v>SSYS</v>
      </c>
      <c r="I44" s="383">
        <f ca="1">_xlfn.XLOOKUP(TabCalc[[#This Row],[Ticker]],[1]!RTData[Ticker_Symbol],[1]!RTData[M-Price])</f>
        <v>8.4499999999999993</v>
      </c>
      <c r="J44" s="382">
        <v>29.196618125000001</v>
      </c>
      <c r="K44" s="381">
        <f ca="1">_xlfn.XLOOKUP(TabCalc[[#This Row],[Ticker]],[1]!RTData[Ticker_Symbol],[1]!RTData[1YT])</f>
        <v>13.33333</v>
      </c>
      <c r="L44" s="382">
        <f ca="1">IF(OR(TabCalc[[#This Row],[NAfter]]=0,TabCalc[[#This Row],[EfCost]]&gt;0),0,TabCalc[[#This Row],[EfCost]]/TabCalc[[#This Row],[NAfter]]/TabCalc[[#This Row],[Scale]])</f>
        <v>-53.671955208266247</v>
      </c>
      <c r="M44" s="732">
        <f ca="1">_xlfn.XLOOKUP(TabCalc[[#This Row],[Ticker]],[1]!RTData[Ticker_Symbol],[1]!RTData[Change%])</f>
        <v>-5.8819999999999992E-3</v>
      </c>
      <c r="N44" s="1065">
        <v>0.45454545454545453</v>
      </c>
      <c r="O44" s="892">
        <f>TabCalc[[#This Row],[Up20]]-1+TabCalc[[#This Row],[Up20]]</f>
        <v>-9.0909090909090884E-2</v>
      </c>
      <c r="P44" s="892">
        <f>TabCalc[[#This Row],[Up20]]-TabCalc[[#This Row],[Up150]]</f>
        <v>0</v>
      </c>
      <c r="Q44" s="892">
        <v>0.45454545454545453</v>
      </c>
      <c r="R44" s="892">
        <f>TabCalc[[#This Row],[Up150]]-1+TabCalc[[#This Row],[Up150]]</f>
        <v>-9.0909090909090884E-2</v>
      </c>
      <c r="S44" s="892">
        <f ca="1">IFERROR(SUMPRODUCT(DataShift!F1536:Z1536,DataShift!AB743:AV743)/SQRT(SUMPRODUCT(DataShift!F1536:Z1536,DataShift!F1536:Z1536)*SUMPRODUCT(DataShift!AB743:AV743,DataShift!AB743:AV743)),0)</f>
        <v>-0.94163904779565288</v>
      </c>
      <c r="T44" s="892">
        <f ca="1">IFERROR(SUMPRODUCT(DataShift!F1536:Z1536,DataShift!F744:Z744)/SQRT(SUMPRODUCT(DataShift!F1536:Z1536,DataShift!F1536:Z1536)*SUMPRODUCT(DataShift!F744:Z744,DataShift!F744:Z744)),0)</f>
        <v>0.52305452582573908</v>
      </c>
      <c r="U44" s="1004">
        <v>9000</v>
      </c>
      <c r="V44" s="1004">
        <v>7000</v>
      </c>
      <c r="W44" s="1004">
        <v>0</v>
      </c>
      <c r="X44" s="892"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51,975 = $ 439,188</v>
      </c>
      <c r="Z44" s="211">
        <f ca="1">MIN(TabCalc[[#This Row],[L_Bn]],TabCalc[[#This Row],[NAfter]])*(TabCalc[[#This Row],[M]]+TabCalc[[#This Row],[L_Bp]])*TabCalc[[#This Row],[Scale]]</f>
        <v>-2400.0000000000023</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-2666.0000000000041</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12952.599900000003</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7640.0000000000009</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-800</v>
      </c>
      <c r="AQ44" s="334">
        <f ca="1">_xlfn.LET(_xlpm.MVToday,DataShift!AV544,         _xlpm.MVY,DataShift!AU545,        _xlpm.MVYY, DataShift!AT545,                                IF(_xlpm.MVToday=_xlpm.MVY,_xlpm.MVY-_xlpm.MVYY,_xlpm.MVToday-_xlpm.MVY))</f>
        <v>425537.5</v>
      </c>
      <c r="AR44" s="334">
        <f ca="1">_xlfn.LET(_xlpm.MVToday,DataShift!AV544,         _xlpm.MVY,DataShift!AU545,        _xlpm.MVYY, DataShift!AT545,         _xlpm.MVYYY, DataShift!AS545,                      IF(_xlpm.MVToday=_xlpm.MVY,      _xlpm.MVYY-_xlpm.MVYYY,          _xlpm.MVY-_xlpm.MVYY))</f>
        <v>-2887.5</v>
      </c>
      <c r="AS44" s="977">
        <f ca="1">TabCalc[[#This Row],[Y]]/TabCalc[[#This Row],[M]]</f>
        <v>1.5779088757396451</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-1.0336009113684714</v>
      </c>
      <c r="AY44" s="82">
        <f t="shared" ca="1" si="5"/>
        <v>0</v>
      </c>
      <c r="AZ44" s="90">
        <f ca="1">_xlfn.XLOOKUP(TabCalc[[#This Row],[Ticker]],[1]!RTData[Ticker_Symbol],[1]!RTData[V/VA])</f>
        <v>0.19927042419481539</v>
      </c>
      <c r="BA44" s="90" t="str" cm="1">
        <f t="array" aca="1" ref="BA44" ca="1">IFERROR(_xlfn.IFS(TabCalc[[#This Row],[Cur]]="USD",Timer!F$27,                TabCalc[[#This Row],[Cur]]="EUR",Timer!F$18,                  TabCalc[[#This Row],[Cur]]="GBP",Timer!F$12,                          TabCalc[[#This Row],[Cur]]="CAD",Timer!F$27,                TabCalc[[#This Row],[Cur]]="JPY",Timer!F$31,                      TabCalc[[#This Row],[Cur]]="CHF",Timer!F$18),"Timing")</f>
        <v>Closed</v>
      </c>
      <c r="BB44" s="90">
        <f ca="1">IF(ISNUMBER(TabCalc[[#This Row],[TimeEX]]),TabCalc[[#This Row],[V/VA]]/TabCalc[[#This Row],[TimeEX]],TabCalc[[#This Row],[V/VA]])</f>
        <v>0.19927042419481539</v>
      </c>
      <c r="BC44" s="87" cm="1">
        <f t="array" aca="1" ref="BC44" ca="1">INDEX(TabReg[], 1, _xlfn.XMATCH(TabCalc[[#This Row],[Ticker]]&amp;1, TabReg[#Headers], 0))</f>
        <v>16000</v>
      </c>
      <c r="BD44" s="159">
        <f ca="1">TabCalc[[#This Row],[Nbegin]]*TabCalc[[#This Row],[M]]*TabCalc[[#This Row],[Scale]]+TabCalc[[#This Row],[ValueBegin]]</f>
        <v>-740007.52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-740007.52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K44" s="159" cm="1">
        <f t="array" aca="1" ref="BK44" ca="1">SUMPRODUCT(ISNUMBER(INDIRECT("TabReg["&amp;TabCalc[[#This Row],[Ticker]]&amp;"2]"))* INDIRECT("TabReg["&amp;TabCalc[[#This Row],[Ticker]]&amp;"1]") * INDIRECT("TabReg["&amp;TabCalc[[#This Row],[Ticker]]&amp;"2]") )*TabCalc[[#This Row],[Scale]]*(1+Commission)</f>
        <v>-858751.28333225998</v>
      </c>
      <c r="BL44" s="159">
        <f ca="1">TabCalc[[#This Row],[M_V]]*(1-Commission)+TabCalc[[#This Row],[EfCost]]</f>
        <v>-723902.80333225999</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76.43</v>
      </c>
      <c r="BR44" s="174" t="str">
        <f ca="1">IF(TabCalc[[#This Row],[EfCost]]+TabCalc[[#This Row],[M_V]]&lt;TabCalc[[#This Row],[NoT_GL]],"Pile","")</f>
        <v/>
      </c>
      <c r="BS44" s="165">
        <f ca="1">_xlfn.XLOOKUP(TabCalc[[#This Row],[Ticker]],[1]!RTData[Ticker_Symbol],[1]!RTData[Last trade time])</f>
        <v>45980.727275914061</v>
      </c>
      <c r="BT44" s="175">
        <f ca="1">(TabCalc[[#This Row],[ValueBegin]]+(TabCalc[[#This Row],[M]]-TabCalc[[#This Row],[A]])*TabCalc[[#This Row],[NAfter]])*TabCalc[[#This Row],[Scale]]</f>
        <v>-1207153.4100000001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-331945.89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1158.0686592504101</v>
      </c>
      <c r="CV44" s="404">
        <f ca="1">IF(TabCalc[[#This Row],[ntoBuy]]*TabCalc[[#This Row],[M]]&lt;=0,0,TabCalc[[#This Row],[ntoBuy]]*TabCalc[[#This Row],[M]])</f>
        <v>9785.6801706659644</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-331945.89</v>
      </c>
      <c r="DB44" s="90">
        <f ca="1">IFERROR((TabCalc[[#This Row],[M]]+TabCalc[[#This Row],[L_Bp]])/ABS(TabCalc[[#This Row],[L_Bp]])/(TODAY()-TabCalc[[#This Row],[L_Bdate]])*360,"")</f>
        <v>-9.8528908655491021E-2</v>
      </c>
      <c r="DC44" s="310">
        <f ca="1">MEDIAN(DataShift!F744:Z744)</f>
        <v>-7.3089999999999995E-3</v>
      </c>
      <c r="DD44" s="310" t="e"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4" s="87">
        <f ca="1">TabCalc[[#This Row],[Nbegin]]*TabCalc[[#This Row],[Scale]]*TabCalc[[#This Row],[M]]</f>
        <v>135200</v>
      </c>
      <c r="DF44" s="87" cm="1">
        <f t="array" aca="1" ref="DF44" ca="1">SUMPRODUCT(ISNUMBER(INDIRECT("TabReg["&amp;TabCalc[[#This Row],[Ticker]]&amp;"2]"))* INDIRECT("TabReg["&amp;TabCalc[[#This Row],[Ticker]]&amp;"1]") * INDIRECT("TabReg["&amp;TabCalc[[#This Row],[Ticker]]&amp;"2]") )*TabCalc[[#This Row],[Scale]]</f>
        <v>-856524.32010000001</v>
      </c>
      <c r="DI44" s="87">
        <f ca="1"/>
        <v>155940</v>
      </c>
      <c r="DJ44" s="90">
        <f t="shared" ca="1" si="3"/>
        <v>-7.8161675315048182E-2</v>
      </c>
      <c r="DK44" t="str">
        <f ca="1">_xlfn.XLOOKUP(DI44,TabCalc[Column1],TabCalc[Ticker])</f>
        <v>F</v>
      </c>
      <c r="DL44" s="87">
        <f ca="1">_xlfn.XLOOKUP(DK44,TabCalc[Ticker],TabCalc[ValueBegin])</f>
        <v>-161880</v>
      </c>
      <c r="DM44" s="87">
        <f ca="1">_xlfn.XLOOKUP(DK44,TabCalc[Ticker],TabCalc[M_V])</f>
        <v>0</v>
      </c>
      <c r="DN44" s="87">
        <f ca="1">_xlfn.XLOOKUP(DK44,TabCalc[Ticker],TabCalc[GL])</f>
        <v>-12652.812</v>
      </c>
      <c r="DO44" s="90"/>
      <c r="DP44" s="90"/>
      <c r="DQ44" s="88" t="s">
        <v>40</v>
      </c>
      <c r="DR44" s="81">
        <v>16000</v>
      </c>
      <c r="DS44" s="315">
        <v>-54.700470000000003</v>
      </c>
      <c r="DU44" s="82">
        <v>157920</v>
      </c>
      <c r="DV44" s="82">
        <f ca="1">DU44-TabCalc[[#This Row],[M_V]]</f>
        <v>22720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42">
        <f ca="1">_xlfn.XLOOKUP(TabCalc[[#This Row],[Ticker]],DQ$3:DQ$96,DS$3:DS$96)</f>
        <v>-172.548</v>
      </c>
      <c r="E45" s="121">
        <f t="shared" ca="1" si="4"/>
        <v>-86274</v>
      </c>
      <c r="F45" s="82">
        <f ca="1">TabCalc[[#This Row],[NAfter]]*TabCalc[[#This Row],[M]]*TabCalc[[#This Row],[Scale]]</f>
        <v>402.11</v>
      </c>
      <c r="G45" s="82">
        <f ca="1">IFERROR(TabCalc[[#This Row],[SB]]-TabCalc[[#This Row],[SST]],TabCalc[[#This Row],[SB]])</f>
        <v>1</v>
      </c>
      <c r="H45" s="532" t="str">
        <f ca="1">[1]!RTData[[#This Row],[Ticker_Symbol]]</f>
        <v>TSLA</v>
      </c>
      <c r="I45" s="383">
        <f ca="1">_xlfn.XLOOKUP(TabCalc[[#This Row],[Ticker]],[1]!RTData[Ticker_Symbol],[1]!RTData[M-Price])</f>
        <v>402.11</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2.1429999999999999E-3</v>
      </c>
      <c r="N45" s="1065">
        <v>0</v>
      </c>
      <c r="O45" s="892">
        <f>TabCalc[[#This Row],[Up20]]-1+TabCalc[[#This Row],[Up20]]</f>
        <v>-1</v>
      </c>
      <c r="P45" s="892">
        <f>TabCalc[[#This Row],[Up20]]-TabCalc[[#This Row],[Up150]]</f>
        <v>-0.53846153846153844</v>
      </c>
      <c r="Q45" s="892">
        <v>0.53846153846153844</v>
      </c>
      <c r="R45" s="892">
        <f>TabCalc[[#This Row],[Up150]]-1+TabCalc[[#This Row],[Up150]]</f>
        <v>7.6923076923076872E-2</v>
      </c>
      <c r="S45" s="892">
        <f ca="1">IFERROR(SUMPRODUCT(DataShift!F1537:Z1537,DataShift!AB744:AV744)/SQRT(SUMPRODUCT(DataShift!F1537:Z1537,DataShift!F1537:Z1537)*SUMPRODUCT(DataShift!AB744:AV744,DataShift!AB744:AV744)),0)</f>
        <v>-0.8980177962717063</v>
      </c>
      <c r="T45" s="892">
        <f ca="1">IFERROR(SUMPRODUCT(DataShift!F1537:Z1537,DataShift!F745:Z745)/SQRT(SUMPRODUCT(DataShift!F1537:Z1537,DataShift!F1537:Z1537)*SUMPRODUCT(DataShift!F745:Z745,DataShift!F745:Z745)),0)</f>
        <v>0.19448543910321484</v>
      </c>
      <c r="U45" s="1004">
        <v>1</v>
      </c>
      <c r="V45" s="1004">
        <v>0</v>
      </c>
      <c r="W45" s="1004">
        <v>0</v>
      </c>
      <c r="X45" s="892"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65.600000000000023</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19.948000000000036</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228.87000000000006</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-26590.200000000004</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-3.8899999999999864</v>
      </c>
      <c r="AQ45" s="334">
        <f ca="1">_xlfn.LET(_xlpm.MVToday,DataShift!AV545,         _xlpm.MVY,DataShift!AU546,        _xlpm.MVYY, DataShift!AT546,                                IF(_xlpm.MVToday=_xlpm.MVY,_xlpm.MVY-_xlpm.MVYY,_xlpm.MVToday-_xlpm.MVY))</f>
        <v>220162.5</v>
      </c>
      <c r="AR45" s="334">
        <f ca="1">_xlfn.LET(_xlpm.MVToday,DataShift!AV545,         _xlpm.MVY,DataShift!AU546,        _xlpm.MVYY, DataShift!AT546,         _xlpm.MVYYY, DataShift!AS546,                      IF(_xlpm.MVToday=_xlpm.MVY,      _xlpm.MVYY-_xlpm.MVYYY,          _xlpm.MVY-_xlpm.MVYY))</f>
        <v>-800</v>
      </c>
      <c r="AS45" s="977">
        <f ca="1">TabCalc[[#This Row],[Y]]/TabCalc[[#This Row],[M]]</f>
        <v>0.97316169704807143</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7.9877602154686759E-3</v>
      </c>
      <c r="AY45" s="82">
        <f t="shared" ca="1" si="5"/>
        <v>499</v>
      </c>
      <c r="AZ45" s="90">
        <f ca="1">_xlfn.XLOOKUP(TabCalc[[#This Row],[Ticker]],[1]!RTData[Ticker_Symbol],[1]!RTData[V/VA])</f>
        <v>0.48129913738814045</v>
      </c>
      <c r="BA45" s="90" t="str" cm="1">
        <f t="array" aca="1" ref="BA45" ca="1">IFERROR(_xlfn.IFS(TabCalc[[#This Row],[Cur]]="USD",Timer!F$27,                TabCalc[[#This Row],[Cur]]="EUR",Timer!F$18,                  TabCalc[[#This Row],[Cur]]="GBP",Timer!F$12,                          TabCalc[[#This Row],[Cur]]="CAD",Timer!F$27,                TabCalc[[#This Row],[Cur]]="JPY",Timer!F$31,                      TabCalc[[#This Row],[Cur]]="CHF",Timer!F$18),"Timing")</f>
        <v>Closed</v>
      </c>
      <c r="BB45" s="90">
        <f ca="1">IF(ISNUMBER(TabCalc[[#This Row],[TimeEX]]),TabCalc[[#This Row],[V/VA]]/TabCalc[[#This Row],[TimeEX]],TabCalc[[#This Row],[V/VA]])</f>
        <v>0.48129913738814045</v>
      </c>
      <c r="BC45" s="87" cm="1">
        <f t="array" aca="1" ref="BC45" ca="1">INDEX(TabReg[], 1, _xlfn.XMATCH(TabCalc[[#This Row],[Ticker]]&amp;1, TabReg[#Headers], 0))</f>
        <v>500</v>
      </c>
      <c r="BD45" s="159">
        <f ca="1">TabCalc[[#This Row],[Nbegin]]*TabCalc[[#This Row],[M]]*TabCalc[[#This Row],[Scale]]+TabCalc[[#This Row],[ValueBegin]]</f>
        <v>114781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-85871.89</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K45" s="159" cm="1">
        <f t="array" aca="1" ref="BK45" ca="1">SUMPRODUCT(ISNUMBER(INDIRECT("TabReg["&amp;TabCalc[[#This Row],[Ticker]]&amp;"2]"))* INDIRECT("TabReg["&amp;TabCalc[[#This Row],[Ticker]]&amp;"1]") * INDIRECT("TabReg["&amp;TabCalc[[#This Row],[Ticker]]&amp;"2]") )*TabCalc[[#This Row],[Scale]]*(1+Commission)</f>
        <v>87452.546975999983</v>
      </c>
      <c r="BL45" s="159">
        <f ca="1">TabCalc[[#This Row],[M_V]]*(1-Commission)+TabCalc[[#This Row],[EfCost]]</f>
        <v>87853.611489999981</v>
      </c>
      <c r="BM45" s="159">
        <f ca="1">IF(        OR( TabCalc[[#This Row],[GL]]&gt;ABS(TabCalc[[#This Row],[EfCost]]),TabCalc[[#This Row],[NAfter]]=0),             TabCalc[[#This Row],[GL]],     0)</f>
        <v>87853.611489999981</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45980.727292626565</v>
      </c>
      <c r="BT45" s="175">
        <f ca="1">(TabCalc[[#This Row],[ValueBegin]]+(TabCalc[[#This Row],[M]]-TabCalc[[#This Row],[A]])*TabCalc[[#This Row],[NAfter]])*TabCalc[[#This Row],[Scale]]</f>
        <v>-86208.4</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65.600000000000023</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196.61816751867866</v>
      </c>
      <c r="CV45" s="404">
        <f ca="1">IF(TabCalc[[#This Row],[ntoBuy]]*TabCalc[[#This Row],[M]]&lt;=0,0,TabCalc[[#This Row],[ntoBuy]]*TabCalc[[#This Row],[M]])</f>
        <v>79062.131340935885</v>
      </c>
      <c r="CW45" s="404">
        <f ca="1">IF(TabCalc[[#This Row],[M]]&gt;ABS(TabCalc[[#This Row],[L_Bp]]),MIN(TabCalc[[#This Row],[NAfter]],DesiredSaleGain/(TabCalc[[#This Row],[M]]+TabCalc[[#This Row],[L_Bp]])),0)/TabCalc[[#This Row],[Scale]]</f>
        <v>1</v>
      </c>
      <c r="CX45" s="405">
        <f ca="1">TabCalc[[#This Row],[ntoSell]]*TabCalc[[#This Row],[M]]</f>
        <v>402.11</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65.600000000000023</v>
      </c>
      <c r="DB45" s="90">
        <f ca="1">IFERROR((TabCalc[[#This Row],[M]]+TabCalc[[#This Row],[L_Bp]])/ABS(TabCalc[[#This Row],[L_Bp]])/(TODAY()-TabCalc[[#This Row],[L_Bdate]])*360,"")</f>
        <v>0.25063997249073483</v>
      </c>
      <c r="DC45" s="310">
        <f ca="1">MEDIAN(DataShift!F745:Z745)</f>
        <v>-5.8819999999999992E-3</v>
      </c>
      <c r="DD45" s="310" t="e"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5" s="87">
        <f ca="1">TabCalc[[#This Row],[Nbegin]]*TabCalc[[#This Row],[Scale]]*TabCalc[[#This Row],[M]]</f>
        <v>201055</v>
      </c>
      <c r="DF45" s="87" cm="1">
        <f t="array" aca="1" ref="DF45" ca="1">SUMPRODUCT(ISNUMBER(INDIRECT("TabReg["&amp;TabCalc[[#This Row],[Ticker]]&amp;"2]"))* INDIRECT("TabReg["&amp;TabCalc[[#This Row],[Ticker]]&amp;"1]") * INDIRECT("TabReg["&amp;TabCalc[[#This Row],[Ticker]]&amp;"2]") )*TabCalc[[#This Row],[Scale]]</f>
        <v>87225.76</v>
      </c>
      <c r="DI45" s="87">
        <f ca="1"/>
        <v>152840</v>
      </c>
      <c r="DJ45" s="90">
        <f t="shared" ca="1" si="3"/>
        <v>-0.20572480639368479</v>
      </c>
      <c r="DK45" t="str">
        <f ca="1">_xlfn.XLOOKUP(DI45,TabCalc[Column1],TabCalc[Ticker])</f>
        <v>CVS</v>
      </c>
      <c r="DL45" s="87">
        <f ca="1">_xlfn.XLOOKUP(DK45,TabCalc[Ticker],TabCalc[ValueBegin])</f>
        <v>-216620</v>
      </c>
      <c r="DM45" s="87">
        <f ca="1">_xlfn.XLOOKUP(DK45,TabCalc[Ticker],TabCalc[M_V])</f>
        <v>76.42</v>
      </c>
      <c r="DN45" s="87">
        <f ca="1">_xlfn.XLOOKUP(DK45,TabCalc[Ticker],TabCalc[GL])</f>
        <v>-44564.107560999997</v>
      </c>
      <c r="DO45" s="90"/>
      <c r="DP45" s="90"/>
      <c r="DQ45" s="88" t="s">
        <v>41</v>
      </c>
      <c r="DR45" s="81">
        <v>2000</v>
      </c>
      <c r="DS45" s="315">
        <v>-6.93</v>
      </c>
      <c r="DU45" s="82">
        <v>444.26</v>
      </c>
      <c r="DV45" s="82">
        <f ca="1">DU45-TabCalc[[#This Row],[M_V]]</f>
        <v>42.149999999999977</v>
      </c>
    </row>
    <row r="46" spans="1:126" x14ac:dyDescent="0.3">
      <c r="A46" s="120" t="str">
        <f ca="1">_xlfn.XLOOKUP(TabCalc[[#This Row],[Ticker]],[1]!RTData[Ticker_Symbol],[1]!RTData[Currency])</f>
        <v>USD</v>
      </c>
      <c r="B46" s="121">
        <f ca="1">IF(TabCalc[[#This Row],[Cur]]="GBP",0.01,1)</f>
        <v>1</v>
      </c>
      <c r="C46" s="82">
        <f ca="1">_xlfn.XLOOKUP(TabCalc[[#This Row],[Ticker]],DQ$3:DQ$96,DR$3:DR$96)</f>
        <v>2000</v>
      </c>
      <c r="D46" s="1142">
        <f ca="1">_xlfn.XLOOKUP(TabCalc[[#This Row],[Ticker]],DQ$3:DQ$96,DS$3:DS$96)</f>
        <v>-100</v>
      </c>
      <c r="E46" s="121">
        <f t="shared" ca="1" si="4"/>
        <v>-200000</v>
      </c>
      <c r="F46" s="82">
        <f ca="1">TabCalc[[#This Row],[NAfter]]*TabCalc[[#This Row],[M]]*TabCalc[[#This Row],[Scale]]</f>
        <v>1257705</v>
      </c>
      <c r="G46" s="82">
        <f ca="1">IFERROR(TabCalc[[#This Row],[SB]]-TabCalc[[#This Row],[SST]],TabCalc[[#This Row],[SB]])</f>
        <v>4500</v>
      </c>
      <c r="H46" s="532" t="str">
        <f ca="1">[1]!RTData[[#This Row],[Ticker_Symbol]]</f>
        <v>TSM</v>
      </c>
      <c r="I46" s="383">
        <f ca="1">_xlfn.XLOOKUP(TabCalc[[#This Row],[Ticker]],[1]!RTData[Ticker_Symbol],[1]!RTData[M-Price])</f>
        <v>279.49</v>
      </c>
      <c r="J46" s="382">
        <v>203.95281791666665</v>
      </c>
      <c r="K46" s="381">
        <f ca="1">_xlfn.XLOOKUP(TabCalc[[#This Row],[Ticker]],[1]!RTData[Ticker_Symbol],[1]!RTData[1YT])</f>
        <v>335.39688000000001</v>
      </c>
      <c r="L46" s="382">
        <f ca="1">IF(OR(TabCalc[[#This Row],[NAfter]]=0,TabCalc[[#This Row],[EfCost]]&gt;0),0,TabCalc[[#This Row],[EfCost]]/TabCalc[[#This Row],[NAfter]]/TabCalc[[#This Row],[Scale]])</f>
        <v>-85.309246178399988</v>
      </c>
      <c r="M46" s="732">
        <f ca="1">_xlfn.XLOOKUP(TabCalc[[#This Row],[Ticker]],[1]!RTData[Ticker_Symbol],[1]!RTData[Change%])</f>
        <v>5.6849999999999999E-3</v>
      </c>
      <c r="N46" s="1065">
        <v>0</v>
      </c>
      <c r="O46" s="892">
        <f>TabCalc[[#This Row],[Up20]]-1+TabCalc[[#This Row],[Up20]]</f>
        <v>-1</v>
      </c>
      <c r="P46" s="892">
        <f>TabCalc[[#This Row],[Up20]]-TabCalc[[#This Row],[Up150]]</f>
        <v>-0.31578947368421051</v>
      </c>
      <c r="Q46" s="892">
        <v>0.31578947368421051</v>
      </c>
      <c r="R46" s="892">
        <f>TabCalc[[#This Row],[Up150]]-1+TabCalc[[#This Row],[Up150]]</f>
        <v>-0.36842105263157898</v>
      </c>
      <c r="S46" s="892">
        <f ca="1">IFERROR(SUMPRODUCT(DataShift!F1538:Z1538,DataShift!AB745:AV745)/SQRT(SUMPRODUCT(DataShift!F1538:Z1538,DataShift!F1538:Z1538)*SUMPRODUCT(DataShift!AB745:AV745,DataShift!AB745:AV745)),0)</f>
        <v>-0.77405271886420701</v>
      </c>
      <c r="T46" s="892">
        <f ca="1">IFERROR(SUMPRODUCT(DataShift!F1538:Z1538,DataShift!F746:Z746)/SQRT(SUMPRODUCT(DataShift!F1538:Z1538,DataShift!F1538:Z1538)*SUMPRODUCT(DataShift!F746:Z746,DataShift!F746:Z746)),0)</f>
        <v>0.1849061521603951</v>
      </c>
      <c r="U46" s="1004">
        <v>4800</v>
      </c>
      <c r="V46" s="1004">
        <v>0</v>
      </c>
      <c r="W46" s="1004">
        <v>0</v>
      </c>
      <c r="X46" s="892"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-5529.9999999999727</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44240.000000000007</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2808.0000000000041</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8454.9999999999836</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10710</v>
      </c>
      <c r="AQ46" s="334">
        <f ca="1">_xlfn.LET(_xlpm.MVToday,DataShift!AV546,         _xlpm.MVY,DataShift!AU547,        _xlpm.MVYY, DataShift!AT547,                                IF(_xlpm.MVToday=_xlpm.MVY,_xlpm.MVY-_xlpm.MVYY,_xlpm.MVToday-_xlpm.MVY))</f>
        <v>134797.89000000001</v>
      </c>
      <c r="AR46" s="334">
        <f ca="1">_xlfn.LET(_xlpm.MVToday,DataShift!AV546,         _xlpm.MVY,DataShift!AU547,        _xlpm.MVYY, DataShift!AT547,         _xlpm.MVYYY, DataShift!AS547,                      IF(_xlpm.MVToday=_xlpm.MVY,      _xlpm.MVYY-_xlpm.MVYYY,          _xlpm.MVY-_xlpm.MVYY))</f>
        <v>0.86000000000001364</v>
      </c>
      <c r="AS46" s="977">
        <f ca="1">TabCalc[[#This Row],[Y]]/TabCalc[[#This Row],[M]]</f>
        <v>1.2000317721564278</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-1.8641054522008238</v>
      </c>
      <c r="AY46" s="82">
        <f t="shared" ca="1" si="5"/>
        <v>0</v>
      </c>
      <c r="AZ46" s="90">
        <f ca="1">_xlfn.XLOOKUP(TabCalc[[#This Row],[Ticker]],[1]!RTData[Ticker_Symbol],[1]!RTData[V/VA])</f>
        <v>0.40744502227916013</v>
      </c>
      <c r="BA46" s="90" t="str" cm="1">
        <f t="array" aca="1" ref="BA46" ca="1">IFERROR(_xlfn.IFS(TabCalc[[#This Row],[Cur]]="USD",Timer!F$27,                TabCalc[[#This Row],[Cur]]="EUR",Timer!F$18,                  TabCalc[[#This Row],[Cur]]="GBP",Timer!F$12,                          TabCalc[[#This Row],[Cur]]="CAD",Timer!F$27,                TabCalc[[#This Row],[Cur]]="JPY",Timer!F$31,                      TabCalc[[#This Row],[Cur]]="CHF",Timer!F$18),"Timing")</f>
        <v>Closed</v>
      </c>
      <c r="BB46" s="90">
        <f ca="1">IF(ISNUMBER(TabCalc[[#This Row],[TimeEX]]),TabCalc[[#This Row],[V/VA]]/TabCalc[[#This Row],[TimeEX]],TabCalc[[#This Row],[V/VA]])</f>
        <v>0.40744502227916013</v>
      </c>
      <c r="BC46" s="87" cm="1">
        <f t="array" aca="1" ref="BC46" ca="1">INDEX(TabReg[], 1, _xlfn.XMATCH(TabCalc[[#This Row],[Ticker]]&amp;1, TabReg[#Headers], 0))</f>
        <v>2000</v>
      </c>
      <c r="BD46" s="159">
        <f ca="1">TabCalc[[#This Row],[Nbegin]]*TabCalc[[#This Row],[M]]*TabCalc[[#This Row],[Scale]]+TabCalc[[#This Row],[ValueBegin]]</f>
        <v>358980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-183371.60780279996</v>
      </c>
      <c r="BH46" s="336">
        <f ca="1">TabCalc[[#This Row],[M_V]]+TabCalc[[#This Row],[ValueBegin]]</f>
        <v>1057705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K46" s="159" cm="1">
        <f t="array" aca="1" ref="BK46" ca="1">SUMPRODUCT(ISNUMBER(INDIRECT("TabReg["&amp;TabCalc[[#This Row],[Ticker]]&amp;"2]"))* INDIRECT("TabReg["&amp;TabCalc[[#This Row],[Ticker]]&amp;"1]") * INDIRECT("TabReg["&amp;TabCalc[[#This Row],[Ticker]]&amp;"2]") )*TabCalc[[#This Row],[Scale]]*(1+Commission)</f>
        <v>-383891.60780279996</v>
      </c>
      <c r="BL46" s="159">
        <f ca="1">TabCalc[[#This Row],[M_V]]*(1-Commission)+TabCalc[[#This Row],[EfCost]]</f>
        <v>870543.35919720004</v>
      </c>
      <c r="BM46" s="159">
        <f ca="1">IF(        OR( TabCalc[[#This Row],[GL]]&gt;ABS(TabCalc[[#This Row],[EfCost]]),TabCalc[[#This Row],[NAfter]]=0),             TabCalc[[#This Row],[GL]],     0)</f>
        <v>870543.35919720004</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140.61</v>
      </c>
      <c r="BR46" s="174" t="str">
        <f ca="1">IF(TabCalc[[#This Row],[EfCost]]+TabCalc[[#This Row],[M_V]]&lt;TabCalc[[#This Row],[NoT_GL]],"Pile","")</f>
        <v/>
      </c>
      <c r="BS46" s="165">
        <f ca="1">_xlfn.XLOOKUP(TabCalc[[#This Row],[Ticker]],[1]!RTData[Ticker_Symbol],[1]!RTData[Last trade time])</f>
        <v>45980.727366284373</v>
      </c>
      <c r="BT46" s="175">
        <f ca="1">(TabCalc[[#This Row],[ValueBegin]]+(TabCalc[[#This Row],[M]]-TabCalc[[#This Row],[A]])*TabCalc[[#This Row],[NAfter]])*TabCalc[[#This Row],[Scale]]</f>
        <v>139917.31937500014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339917.31937500014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534.18803418803338</v>
      </c>
      <c r="CV46" s="404">
        <f ca="1">IF(TabCalc[[#This Row],[ntoBuy]]*TabCalc[[#This Row],[M]]&lt;=0,0,TabCalc[[#This Row],[ntoBuy]]*TabCalc[[#This Row],[M]])</f>
        <v>149300.21367521345</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66</v>
      </c>
      <c r="CZ46" s="336">
        <f ca="1">IFERROR(TabCalc[[#This Row],[NMA]]*TabCalc[[#This Row],[M]],"")</f>
        <v>18446.34</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339917.31937500014</v>
      </c>
      <c r="DB46" s="90">
        <f ca="1">IFERROR((TabCalc[[#This Row],[M]]+TabCalc[[#This Row],[L_Bp]])/ABS(TabCalc[[#This Row],[L_Bp]])/(TODAY()-TabCalc[[#This Row],[L_Bdate]])*360,"")</f>
        <v>-0.31031502867467836</v>
      </c>
      <c r="DC46" s="310">
        <f ca="1">MEDIAN(DataShift!F746:Z746)</f>
        <v>-8.202000000000001E-3</v>
      </c>
      <c r="DD46" s="310" t="e"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6" s="87">
        <f ca="1">TabCalc[[#This Row],[Nbegin]]*TabCalc[[#This Row],[Scale]]*TabCalc[[#This Row],[M]]</f>
        <v>558980</v>
      </c>
      <c r="DF46" s="87" cm="1">
        <f t="array" aca="1" ref="DF46" ca="1">SUMPRODUCT(ISNUMBER(INDIRECT("TabReg["&amp;TabCalc[[#This Row],[Ticker]]&amp;"2]"))* INDIRECT("TabReg["&amp;TabCalc[[#This Row],[Ticker]]&amp;"1]") * INDIRECT("TabReg["&amp;TabCalc[[#This Row],[Ticker]]&amp;"2]") )*TabCalc[[#This Row],[Scale]]</f>
        <v>-382896.07799999998</v>
      </c>
      <c r="DI46" s="87">
        <f ca="1"/>
        <v>141856</v>
      </c>
      <c r="DJ46" s="90">
        <f t="shared" ca="1" si="3"/>
        <v>1.8008626297147856</v>
      </c>
      <c r="DK46" t="str">
        <f ca="1">_xlfn.XLOOKUP(DI46,TabCalc[Column1],TabCalc[Ticker])</f>
        <v>SAFASML</v>
      </c>
      <c r="DL46" s="87">
        <f ca="1">_xlfn.XLOOKUP(DK46,TabCalc[Ticker],TabCalc[ValueBegin])</f>
        <v>-99686.399999999994</v>
      </c>
      <c r="DM46" s="87">
        <f ca="1">_xlfn.XLOOKUP(DK46,TabCalc[Ticker],TabCalc[M_V])</f>
        <v>221650</v>
      </c>
      <c r="DN46" s="87">
        <f ca="1">_xlfn.XLOOKUP(DK46,TabCalc[Ticker],TabCalc[GL])</f>
        <v>179521.51245079999</v>
      </c>
      <c r="DO46" s="90"/>
      <c r="DP46" s="90"/>
      <c r="DQ46" s="88" t="s">
        <v>42</v>
      </c>
      <c r="DR46" s="81">
        <v>7300</v>
      </c>
      <c r="DS46" s="315">
        <v>-10.784000000000001</v>
      </c>
      <c r="DU46" s="82">
        <v>1411680</v>
      </c>
      <c r="DV46" s="82">
        <f ca="1">DU46-TabCalc[[#This Row],[M_V]]</f>
        <v>153975</v>
      </c>
    </row>
    <row r="47" spans="1:126" x14ac:dyDescent="0.3">
      <c r="A47" s="120" t="str">
        <f ca="1">_xlfn.XLOOKUP(TabCalc[[#This Row],[Ticker]],[1]!RTData[Ticker_Symbol],[1]!RTData[Currency])</f>
        <v>EUR</v>
      </c>
      <c r="B47" s="121">
        <f ca="1">IF(TabCalc[[#This Row],[Cur]]="GBP",0.01,1)</f>
        <v>1</v>
      </c>
      <c r="C47" s="82">
        <f ca="1">_xlfn.XLOOKUP(TabCalc[[#This Row],[Ticker]],DQ$3:DQ$96,DR$3:DR$96)</f>
        <v>700</v>
      </c>
      <c r="D47" s="1142">
        <f ca="1">_xlfn.XLOOKUP(TabCalc[[#This Row],[Ticker]],DQ$3:DQ$96,DS$3:DS$96)</f>
        <v>-263.42</v>
      </c>
      <c r="E47" s="121">
        <f t="shared" ca="1" si="4"/>
        <v>-184394</v>
      </c>
      <c r="F47" s="82">
        <f ca="1">TabCalc[[#This Row],[NAfter]]*TabCalc[[#This Row],[M]]*TabCalc[[#This Row],[Scale]]</f>
        <v>90750</v>
      </c>
      <c r="G47" s="82">
        <f ca="1">IFERROR(TabCalc[[#This Row],[SB]]-TabCalc[[#This Row],[SST]],TabCalc[[#This Row],[SB]])</f>
        <v>3000</v>
      </c>
      <c r="H47" s="532" t="str">
        <f ca="1">[1]!RTData[[#This Row],[Ticker_Symbol]]</f>
        <v>UN0</v>
      </c>
      <c r="I47" s="383">
        <f ca="1">_xlfn.XLOOKUP(TabCalc[[#This Row],[Ticker]],[1]!RTData[Ticker_Symbol],[1]!RTData[M-Price])</f>
        <v>30.25</v>
      </c>
      <c r="J47" s="382">
        <v>41.599350000000001</v>
      </c>
      <c r="K47" s="381">
        <f ca="1">_xlfn.XLOOKUP(TabCalc[[#This Row],[Ticker]],[1]!RTData[Ticker_Symbol],[1]!RTData[1YT])</f>
        <v>0</v>
      </c>
      <c r="L47" s="382">
        <f ca="1">IF(OR(TabCalc[[#This Row],[NAfter]]=0,TabCalc[[#This Row],[EfCost]]&gt;0),0,TabCalc[[#This Row],[EfCost]]/TabCalc[[#This Row],[NAfter]]/TabCalc[[#This Row],[Scale]])</f>
        <v>-96.644689568999993</v>
      </c>
      <c r="M47" s="732">
        <f ca="1">_xlfn.XLOOKUP(TabCalc[[#This Row],[Ticker]],[1]!RTData[Ticker_Symbol],[1]!RTData[Change%])</f>
        <v>-6.5680000000000009E-3</v>
      </c>
      <c r="N47" s="1065">
        <v>0</v>
      </c>
      <c r="O47" s="892">
        <f>TabCalc[[#This Row],[Up20]]-1+TabCalc[[#This Row],[Up20]]</f>
        <v>-1</v>
      </c>
      <c r="P47" s="892">
        <f>TabCalc[[#This Row],[Up20]]-TabCalc[[#This Row],[Up150]]</f>
        <v>-0.25</v>
      </c>
      <c r="Q47" s="892">
        <v>0.25</v>
      </c>
      <c r="R47" s="892">
        <f>TabCalc[[#This Row],[Up150]]-1+TabCalc[[#This Row],[Up150]]</f>
        <v>-0.5</v>
      </c>
      <c r="S47" s="892">
        <f ca="1">IFERROR(SUMPRODUCT(DataShift!F1539:Z1539,DataShift!AB746:AV746)/SQRT(SUMPRODUCT(DataShift!F1539:Z1539,DataShift!F1539:Z1539)*SUMPRODUCT(DataShift!AB746:AV746,DataShift!AB746:AV746)),0)</f>
        <v>-0.91394417916637127</v>
      </c>
      <c r="T47" s="892">
        <f ca="1">IFERROR(SUMPRODUCT(DataShift!F1539:Z1539,DataShift!F747:Z747)/SQRT(SUMPRODUCT(DataShift!F1539:Z1539,DataShift!F1539:Z1539)*SUMPRODUCT(DataShift!F747:Z747,DataShift!F747:Z747)),0)</f>
        <v>0.18749214474332415</v>
      </c>
      <c r="U47" s="1004">
        <v>0</v>
      </c>
      <c r="V47" s="1004">
        <v>3000</v>
      </c>
      <c r="W47" s="1004">
        <v>0</v>
      </c>
      <c r="X47" s="892"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-4,126 = $ -124,812</v>
      </c>
      <c r="Z47" s="211">
        <f ca="1">MIN(TabCalc[[#This Row],[L_Bn]],TabCalc[[#This Row],[NAfter]])*(TabCalc[[#This Row],[M]]+TabCalc[[#This Row],[L_Bp]])*TabCalc[[#This Row],[Scale]]</f>
        <v>-2446.744999999999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-4337.8500000000013</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4917.0694999999987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32799.999999999993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2100</v>
      </c>
      <c r="AQ47" s="334">
        <f ca="1">_xlfn.LET(_xlpm.MVToday,DataShift!AV547,         _xlpm.MVY,DataShift!AU548,        _xlpm.MVYY, DataShift!AT548,                                IF(_xlpm.MVToday=_xlpm.MVY,_xlpm.MVY-_xlpm.MVYY,_xlpm.MVToday-_xlpm.MVY))</f>
        <v>-1257302.8899999999</v>
      </c>
      <c r="AR47" s="334">
        <f ca="1">_xlfn.LET(_xlpm.MVToday,DataShift!AV547,         _xlpm.MVY,DataShift!AU548,        _xlpm.MVYY, DataShift!AT548,         _xlpm.MVYYY, DataShift!AS548,                      IF(_xlpm.MVToday=_xlpm.MVY,      _xlpm.MVYY-_xlpm.MVYYY,          _xlpm.MVY-_xlpm.MVYY))</f>
        <v>6660</v>
      </c>
      <c r="AS47" s="977">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1.1235955056179776E-3</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1.1235955056179776E-3</v>
      </c>
      <c r="BC47" s="87" cm="1">
        <f t="array" aca="1" ref="BC47" ca="1">INDEX(TabReg[], 1, _xlfn.XMATCH(TabCalc[[#This Row],[Ticker]]&amp;1, TabReg[#Headers], 0))</f>
        <v>700</v>
      </c>
      <c r="BD47" s="159">
        <f ca="1">TabCalc[[#This Row],[Nbegin]]*TabCalc[[#This Row],[M]]*TabCalc[[#This Row],[Scale]]+TabCalc[[#This Row],[ValueBegin]]</f>
        <v>-163219</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-105060.64430700001</v>
      </c>
      <c r="BH47" s="336">
        <f ca="1">TabCalc[[#This Row],[M_V]]+TabCalc[[#This Row],[ValueBegin]]</f>
        <v>-93644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K47" s="159" cm="1">
        <f t="array" aca="1" ref="BK47" ca="1">SUMPRODUCT(ISNUMBER(INDIRECT("TabReg["&amp;TabCalc[[#This Row],[Ticker]]&amp;"2]"))* INDIRECT("TabReg["&amp;TabCalc[[#This Row],[Ticker]]&amp;"1]") * INDIRECT("TabReg["&amp;TabCalc[[#This Row],[Ticker]]&amp;"2]") )*TabCalc[[#This Row],[Scale]]*(1+Commission)</f>
        <v>-289934.068707</v>
      </c>
      <c r="BL47" s="159">
        <f ca="1">TabCalc[[#This Row],[M_V]]*(1-Commission)+TabCalc[[#This Row],[EfCost]]</f>
        <v>-199420.01870700001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139.48</v>
      </c>
      <c r="BR47" s="174" t="str">
        <f ca="1">IF(TabCalc[[#This Row],[EfCost]]+TabCalc[[#This Row],[M_V]]&lt;TabCalc[[#This Row],[NoT_GL]],"Pile","")</f>
        <v>Pile</v>
      </c>
      <c r="BS47" s="165">
        <f ca="1">_xlfn.XLOOKUP(TabCalc[[#This Row],[Ticker]],[1]!RTData[Ticker_Symbol],[1]!RTData[Last trade time])</f>
        <v>45980.711805555555</v>
      </c>
      <c r="BT47" s="175">
        <f ca="1">(TabCalc[[#This Row],[ValueBegin]]+(TabCalc[[#This Row],[M]]-TabCalc[[#This Row],[A]])*TabCalc[[#This Row],[NAfter]])*TabCalc[[#This Row],[Scale]]</f>
        <v>-218442.05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-34048.050000000003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355.90304346928599</v>
      </c>
      <c r="CV47" s="404">
        <f ca="1">IF(TabCalc[[#This Row],[ntoBuy]]*TabCalc[[#This Row],[M]]&lt;=0,0,TabCalc[[#This Row],[ntoBuy]]*TabCalc[[#This Row],[M]])</f>
        <v>10766.067064945901</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-34048.050000000003</v>
      </c>
      <c r="DB47" s="90">
        <f ca="1">IFERROR((TabCalc[[#This Row],[M]]+TabCalc[[#This Row],[L_Bp]])/ABS(TabCalc[[#This Row],[L_Bp]])/(TODAY()-TabCalc[[#This Row],[L_Bdate]])*360,"")</f>
        <v>-0.54498386564058365</v>
      </c>
      <c r="DC47" s="310">
        <f ca="1">MEDIAN(DataShift!F747:Z747)</f>
        <v>-5.8669999999999998E-3</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21175</v>
      </c>
      <c r="DF47" s="87" cm="1">
        <f t="array" aca="1" ref="DF47" ca="1">SUMPRODUCT(ISNUMBER(INDIRECT("TabReg["&amp;TabCalc[[#This Row],[Ticker]]&amp;"2]"))* INDIRECT("TabReg["&amp;TabCalc[[#This Row],[Ticker]]&amp;"1]") * INDIRECT("TabReg["&amp;TabCalc[[#This Row],[Ticker]]&amp;"2]") )*TabCalc[[#This Row],[Scale]]</f>
        <v>-289182.19500000001</v>
      </c>
      <c r="DI47" s="87">
        <f ca="1"/>
        <v>135200</v>
      </c>
      <c r="DJ47" s="90">
        <f t="shared" ca="1" si="3"/>
        <v>-0.82712132470280875</v>
      </c>
      <c r="DK47" t="str">
        <f ca="1">_xlfn.XLOOKUP(DI47,TabCalc[Column1],TabCalc[Ticker])</f>
        <v>SSYS</v>
      </c>
      <c r="DL47" s="87">
        <f ca="1">_xlfn.XLOOKUP(DK47,TabCalc[Ticker],TabCalc[ValueBegin])</f>
        <v>-875207.52</v>
      </c>
      <c r="DM47" s="87">
        <f ca="1">_xlfn.XLOOKUP(DK47,TabCalc[Ticker],TabCalc[M_V])</f>
        <v>135200</v>
      </c>
      <c r="DN47" s="87">
        <f ca="1">_xlfn.XLOOKUP(DK47,TabCalc[Ticker],TabCalc[GL])</f>
        <v>-723902.80333225999</v>
      </c>
      <c r="DO47" s="90"/>
      <c r="DP47" s="90"/>
      <c r="DQ47" s="88" t="s">
        <v>43</v>
      </c>
      <c r="DR47" s="81">
        <v>2000</v>
      </c>
      <c r="DS47" s="315">
        <v>-100</v>
      </c>
      <c r="DU47" s="82">
        <v>88800</v>
      </c>
      <c r="DV47" s="82">
        <f ca="1">DU47-TabCalc[[#This Row],[M_V]]</f>
        <v>-1950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42">
        <f ca="1">_xlfn.XLOOKUP(TabCalc[[#This Row],[Ticker]],DQ$3:DQ$96,DS$3:DS$96)</f>
        <v>-30.32</v>
      </c>
      <c r="E48" s="121">
        <f t="shared" ca="1" si="4"/>
        <v>-60640</v>
      </c>
      <c r="F48" s="82">
        <f ca="1">TabCalc[[#This Row],[NAfter]]*TabCalc[[#This Row],[M]]*TabCalc[[#This Row],[Scale]]</f>
        <v>42795.025000000001</v>
      </c>
      <c r="G48" s="82">
        <f ca="1">IFERROR(TabCalc[[#This Row],[SB]]-TabCalc[[#This Row],[SST]],TabCalc[[#This Row],[SB]])</f>
        <v>7235</v>
      </c>
      <c r="H48" s="532" t="str">
        <f ca="1">[1]!RTData[[#This Row],[Ticker_Symbol]]</f>
        <v>UNIT</v>
      </c>
      <c r="I48" s="383">
        <f ca="1">_xlfn.XLOOKUP(TabCalc[[#This Row],[Ticker]],[1]!RTData[Ticker_Symbol],[1]!RTData[M-Price])</f>
        <v>5.915</v>
      </c>
      <c r="J48" s="382">
        <v>9.3000000000000007</v>
      </c>
      <c r="K48" s="381">
        <f ca="1">_xlfn.XLOOKUP(TabCalc[[#This Row],[Ticker]],[1]!RTData[Ticker_Symbol],[1]!RTData[1YT])</f>
        <v>7.4222200000000003</v>
      </c>
      <c r="L48" s="382">
        <f ca="1">IF(OR(TabCalc[[#This Row],[NAfter]]=0,TabCalc[[#This Row],[EfCost]]&gt;0),0,TabCalc[[#This Row],[EfCost]]/TabCalc[[#This Row],[NAfter]]/TabCalc[[#This Row],[Scale]])</f>
        <v>-9.3241800000000001</v>
      </c>
      <c r="M48" s="732">
        <f ca="1">_xlfn.XLOOKUP(TabCalc[[#This Row],[Ticker]],[1]!RTData[Ticker_Symbol],[1]!RTData[Change%])</f>
        <v>-3.8211000000000002E-2</v>
      </c>
      <c r="N48" s="1065">
        <v>0</v>
      </c>
      <c r="O48" s="892">
        <f>TabCalc[[#This Row],[Up20]]-1+TabCalc[[#This Row],[Up20]]</f>
        <v>-1</v>
      </c>
      <c r="P48" s="892">
        <f>TabCalc[[#This Row],[Up20]]-TabCalc[[#This Row],[Up150]]</f>
        <v>0</v>
      </c>
      <c r="Q48" s="892">
        <v>0</v>
      </c>
      <c r="R48" s="892">
        <f>TabCalc[[#This Row],[Up150]]-1+TabCalc[[#This Row],[Up150]]</f>
        <v>-1</v>
      </c>
      <c r="S48" s="892">
        <f ca="1">IFERROR(SUMPRODUCT(DataShift!F1540:Z1540,DataShift!AB747:AV747)/SQRT(SUMPRODUCT(DataShift!F1540:Z1540,DataShift!F1540:Z1540)*SUMPRODUCT(DataShift!AB747:AV747,DataShift!AB747:AV747)),0)</f>
        <v>-0.83192139960269129</v>
      </c>
      <c r="T48" s="892">
        <f ca="1">IFERROR(SUMPRODUCT(DataShift!F1540:Z1540,DataShift!F748:Z748)/SQRT(SUMPRODUCT(DataShift!F1540:Z1540,DataShift!F1540:Z1540)*SUMPRODUCT(DataShift!F748:Z748,DataShift!F748:Z748)),0)</f>
        <v>0.27331602920440989</v>
      </c>
      <c r="U48" s="1004">
        <v>0</v>
      </c>
      <c r="V48" s="1004">
        <v>7235</v>
      </c>
      <c r="W48" s="1004">
        <v>0</v>
      </c>
      <c r="X48" s="892"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9,013 = $ 53,311</v>
      </c>
      <c r="Z48" s="211">
        <f ca="1">MIN(TabCalc[[#This Row],[L_Bn]],TabCalc[[#This Row],[NAfter]])*(TabCalc[[#This Row],[M]]+TabCalc[[#This Row],[L_Bp]])*TabCalc[[#This Row],[Scale]]</f>
        <v>-24490.475000000006</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-1917.2749999999942</v>
      </c>
      <c r="AQ48" s="334">
        <f ca="1">_xlfn.LET(_xlpm.MVToday,DataShift!AV548,         _xlpm.MVY,DataShift!AU549,        _xlpm.MVYY, DataShift!AT549,                                IF(_xlpm.MVToday=_xlpm.MVY,_xlpm.MVY-_xlpm.MVYY,_xlpm.MVToday-_xlpm.MVY))</f>
        <v>1166955</v>
      </c>
      <c r="AR48" s="334">
        <f ca="1">_xlfn.LET(_xlpm.MVToday,DataShift!AV548,         _xlpm.MVY,DataShift!AU549,        _xlpm.MVYY, DataShift!AT549,         _xlpm.MVYYY, DataShift!AS549,                      IF(_xlpm.MVToday=_xlpm.MVY,      _xlpm.MVYY-_xlpm.MVYYY,          _xlpm.MVY-_xlpm.MVYY))</f>
        <v>2100</v>
      </c>
      <c r="AS48" s="977">
        <f ca="1">TabCalc[[#This Row],[Y]]/TabCalc[[#This Row],[M]]</f>
        <v>1.2548131868131869</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-7.7990440455789733E-2</v>
      </c>
      <c r="AY48" s="82">
        <f t="shared" ca="1" si="5"/>
        <v>0</v>
      </c>
      <c r="AZ48" s="90">
        <f ca="1">_xlfn.XLOOKUP(TabCalc[[#This Row],[Ticker]],[1]!RTData[Ticker_Symbol],[1]!RTData[V/VA])</f>
        <v>0.26303192443508255</v>
      </c>
      <c r="BA48" s="90" t="str" cm="1">
        <f t="array" aca="1" ref="BA48" ca="1">IFERROR(_xlfn.IFS(TabCalc[[#This Row],[Cur]]="USD",Timer!F$27,                TabCalc[[#This Row],[Cur]]="EUR",Timer!F$18,                  TabCalc[[#This Row],[Cur]]="GBP",Timer!F$12,                          TabCalc[[#This Row],[Cur]]="CAD",Timer!F$27,                TabCalc[[#This Row],[Cur]]="JPY",Timer!F$31,                      TabCalc[[#This Row],[Cur]]="CHF",Timer!F$18),"Timing")</f>
        <v>Closed</v>
      </c>
      <c r="BB48" s="90">
        <f ca="1">IF(ISNUMBER(TabCalc[[#This Row],[TimeEX]]),TabCalc[[#This Row],[V/VA]]/TabCalc[[#This Row],[TimeEX]],TabCalc[[#This Row],[V/VA]])</f>
        <v>0.26303192443508255</v>
      </c>
      <c r="BC48" s="87" cm="1">
        <f t="array" aca="1" ref="BC48" ca="1">INDEX(TabReg[], 1, _xlfn.XMATCH(TabCalc[[#This Row],[Ticker]]&amp;1, TabReg[#Headers], 0))</f>
        <v>7235</v>
      </c>
      <c r="BD48" s="159">
        <f ca="1">TabCalc[[#This Row],[Nbegin]]*TabCalc[[#This Row],[M]]*TabCalc[[#This Row],[Scale]]+TabCalc[[#This Row],[ValueBegin]]</f>
        <v>-48810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-6662.7782999999981</v>
      </c>
      <c r="BH48" s="336">
        <f ca="1">TabCalc[[#This Row],[M_V]]+TabCalc[[#This Row],[ValueBegin]]</f>
        <v>-17844.974999999999</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48" s="159" cm="1">
        <f t="array" aca="1" ref="BK48" ca="1">SUMPRODUCT(ISNUMBER(INDIRECT("TabReg["&amp;TabCalc[[#This Row],[Ticker]]&amp;"2]"))* INDIRECT("TabReg["&amp;TabCalc[[#This Row],[Ticker]]&amp;"1]") * INDIRECT("TabReg["&amp;TabCalc[[#This Row],[Ticker]]&amp;"2]") )*TabCalc[[#This Row],[Scale]]*(1+Commission)</f>
        <v>-67460.442299999995</v>
      </c>
      <c r="BL48" s="159">
        <f ca="1">TabCalc[[#This Row],[M_V]]*(1-Commission)+TabCalc[[#This Row],[EfCost]]</f>
        <v>-24776.684364999994</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45980.727241631248</v>
      </c>
      <c r="BT48" s="175">
        <f ca="1">(TabCalc[[#This Row],[ValueBegin]]+(TabCalc[[#This Row],[M]]-TabCalc[[#This Row],[A]])*TabCalc[[#This Row],[NAfter]])*TabCalc[[#This Row],[Scale]]</f>
        <v>-85130.475000000006</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-24490.475000000006</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-24490.475000000006</v>
      </c>
      <c r="DB48" s="90">
        <f ca="1">IFERROR((TabCalc[[#This Row],[M]]+TabCalc[[#This Row],[L_Bp]])/ABS(TabCalc[[#This Row],[L_Bp]])/(TODAY()-TabCalc[[#This Row],[L_Bdate]])*360,"")</f>
        <v>-1.2361533779671334</v>
      </c>
      <c r="DC48" s="310">
        <f ca="1">MEDIAN(DataShift!F748:Z748)</f>
        <v>-6.2989999999999999E-3</v>
      </c>
      <c r="DD48" s="310" t="e"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8" s="87">
        <f ca="1">TabCalc[[#This Row],[Nbegin]]*TabCalc[[#This Row],[Scale]]*TabCalc[[#This Row],[M]]</f>
        <v>11830</v>
      </c>
      <c r="DF48" s="87" cm="1">
        <f t="array" aca="1" ref="DF48" ca="1">SUMPRODUCT(ISNUMBER(INDIRECT("TabReg["&amp;TabCalc[[#This Row],[Ticker]]&amp;"2]"))* INDIRECT("TabReg["&amp;TabCalc[[#This Row],[Ticker]]&amp;"1]") * INDIRECT("TabReg["&amp;TabCalc[[#This Row],[Ticker]]&amp;"2]") )*TabCalc[[#This Row],[Scale]]</f>
        <v>-67285.5</v>
      </c>
      <c r="DI48" s="87">
        <f ca="1"/>
        <v>135015</v>
      </c>
      <c r="DJ48" s="90">
        <f t="shared" ca="1" si="3"/>
        <v>3.6865480450621049</v>
      </c>
      <c r="DK48" t="str">
        <f ca="1">_xlfn.XLOOKUP(DI48,TabCalc[Column1],TabCalc[Ticker])</f>
        <v>SAFAAPL</v>
      </c>
      <c r="DL48" s="87">
        <f ca="1">_xlfn.XLOOKUP(DK48,TabCalc[Ticker],TabCalc[ValueBegin])</f>
        <v>-34423.60000000002</v>
      </c>
      <c r="DM48" s="87">
        <f ca="1">_xlfn.XLOOKUP(DK48,TabCalc[Ticker],TabCalc[M_V])</f>
        <v>94510.499999999985</v>
      </c>
      <c r="DN48" s="87">
        <f ca="1">_xlfn.XLOOKUP(DK48,TabCalc[Ticker],TabCalc[GL])</f>
        <v>126904.25528399996</v>
      </c>
      <c r="DO48" s="90"/>
      <c r="DP48" s="90"/>
      <c r="DQ48" s="88" t="s">
        <v>44</v>
      </c>
      <c r="DR48" s="81">
        <v>700</v>
      </c>
      <c r="DS48" s="315">
        <v>-263.42</v>
      </c>
      <c r="DU48" s="82">
        <v>43410</v>
      </c>
      <c r="DV48" s="82">
        <f ca="1">DU48-TabCalc[[#This Row],[M_V]]</f>
        <v>614.97499999999854</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42">
        <f ca="1">_xlfn.XLOOKUP(TabCalc[[#This Row],[Ticker]],DQ$3:DQ$96,DS$3:DS$96)</f>
        <v>-19.13</v>
      </c>
      <c r="E49" s="121">
        <f t="shared" ca="1" si="4"/>
        <v>-191300</v>
      </c>
      <c r="F49" s="82">
        <f ca="1">TabCalc[[#This Row],[NAfter]]*TabCalc[[#This Row],[M]]*TabCalc[[#This Row],[Scale]]</f>
        <v>84015</v>
      </c>
      <c r="G49" s="82">
        <f ca="1">IFERROR(TabCalc[[#This Row],[SB]]-TabCalc[[#This Row],[SST]],TabCalc[[#This Row],[SB]])</f>
        <v>3000</v>
      </c>
      <c r="H49" s="532" t="str">
        <f ca="1">[1]!RTData[[#This Row],[Ticker_Symbol]]</f>
        <v>VLVLY</v>
      </c>
      <c r="I49" s="383">
        <f ca="1">_xlfn.XLOOKUP(TabCalc[[#This Row],[Ticker]],[1]!RTData[Ticker_Symbol],[1]!RTData[M-Price])</f>
        <v>28.004999999999999</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1.4306000000000001E-2</v>
      </c>
      <c r="N49" s="1065">
        <v>0</v>
      </c>
      <c r="O49" s="892">
        <f>TabCalc[[#This Row],[Up20]]-1+TabCalc[[#This Row],[Up20]]</f>
        <v>-1</v>
      </c>
      <c r="P49" s="892">
        <f>TabCalc[[#This Row],[Up20]]-TabCalc[[#This Row],[Up150]]</f>
        <v>-0.33333333333333331</v>
      </c>
      <c r="Q49" s="892">
        <v>0.33333333333333331</v>
      </c>
      <c r="R49" s="892">
        <f>TabCalc[[#This Row],[Up150]]-1+TabCalc[[#This Row],[Up150]]</f>
        <v>-0.33333333333333343</v>
      </c>
      <c r="S49" s="892">
        <f ca="1">IFERROR(SUMPRODUCT(DataShift!F1541:Z1541,DataShift!AB748:AV748)/SQRT(SUMPRODUCT(DataShift!F1541:Z1541,DataShift!F1541:Z1541)*SUMPRODUCT(DataShift!AB748:AV748,DataShift!AB748:AV748)),0)</f>
        <v>-0.43558835822933817</v>
      </c>
      <c r="T49" s="892">
        <f ca="1">IFERROR(SUMPRODUCT(DataShift!F1541:Z1541,DataShift!F749:Z749)/SQRT(SUMPRODUCT(DataShift!F1541:Z1541,DataShift!F1541:Z1541)*SUMPRODUCT(DataShift!F749:Z749,DataShift!F749:Z749)),0)</f>
        <v>-0.17540568511059546</v>
      </c>
      <c r="U49" s="1004">
        <v>1500</v>
      </c>
      <c r="V49" s="1004">
        <v>1500</v>
      </c>
      <c r="W49" s="1004">
        <v>0</v>
      </c>
      <c r="X49" s="892"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7.4999999999985079</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11565.000000000002</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1037.4999999999995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-7844.9999999999955</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-165</v>
      </c>
      <c r="AQ49" s="334">
        <f ca="1">_xlfn.LET(_xlpm.MVToday,DataShift!AV549,         _xlpm.MVY,DataShift!AU550,        _xlpm.MVYY, DataShift!AT550,                                IF(_xlpm.MVToday=_xlpm.MVY,_xlpm.MVY-_xlpm.MVYY,_xlpm.MVToday-_xlpm.MVY))</f>
        <v>47954.974999999999</v>
      </c>
      <c r="AR49" s="334">
        <f ca="1">_xlfn.LET(_xlpm.MVToday,DataShift!AV549,         _xlpm.MVY,DataShift!AU550,        _xlpm.MVYY, DataShift!AT550,         _xlpm.MVYYY, DataShift!AS550,                      IF(_xlpm.MVToday=_xlpm.MVY,      _xlpm.MVYY-_xlpm.MVYYY,          _xlpm.MVY-_xlpm.MVYY))</f>
        <v>-1700.2249999999985</v>
      </c>
      <c r="AS49" s="977">
        <f ca="1">TabCalc[[#This Row],[Y]]/TabCalc[[#This Row],[M]]</f>
        <v>1.2140689162649527</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-0.22628359418486207</v>
      </c>
      <c r="AY49" s="82">
        <f t="shared" ca="1" si="5"/>
        <v>7000</v>
      </c>
      <c r="AZ49" s="90">
        <f ca="1">_xlfn.XLOOKUP(TabCalc[[#This Row],[Ticker]],[1]!RTData[Ticker_Symbol],[1]!RTData[V/VA])</f>
        <v>1.0111510489342732E-2</v>
      </c>
      <c r="BA49" s="90" t="str" cm="1">
        <f t="array" aca="1" ref="BA49" ca="1">IFERROR(_xlfn.IFS(TabCalc[[#This Row],[Cur]]="USD",Timer!F$27,                TabCalc[[#This Row],[Cur]]="EUR",Timer!F$18,                  TabCalc[[#This Row],[Cur]]="GBP",Timer!F$12,                          TabCalc[[#This Row],[Cur]]="CAD",Timer!F$27,                TabCalc[[#This Row],[Cur]]="JPY",Timer!F$31,                      TabCalc[[#This Row],[Cur]]="CHF",Timer!F$18),"Timing")</f>
        <v>Closed</v>
      </c>
      <c r="BB49" s="90">
        <f ca="1">IF(ISNUMBER(TabCalc[[#This Row],[TimeEX]]),TabCalc[[#This Row],[V/VA]]/TabCalc[[#This Row],[TimeEX]],TabCalc[[#This Row],[V/VA]])</f>
        <v>1.0111510489342732E-2</v>
      </c>
      <c r="BC49" s="87" cm="1">
        <f t="array" aca="1" ref="BC49" ca="1">INDEX(TabReg[], 1, _xlfn.XMATCH(TabCalc[[#This Row],[Ticker]]&amp;1, TabReg[#Headers], 0))</f>
        <v>10000</v>
      </c>
      <c r="BD49" s="159">
        <f ca="1">TabCalc[[#This Row],[Nbegin]]*TabCalc[[#This Row],[M]]*TabCalc[[#This Row],[Scale]]+TabCalc[[#This Row],[ValueBegin]]</f>
        <v>88750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-107285</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K49" s="159" cm="1">
        <f t="array" aca="1" ref="BK49" ca="1">SUMPRODUCT(ISNUMBER(INDIRECT("TabReg["&amp;TabCalc[[#This Row],[Ticker]]&amp;"2]"))* INDIRECT("TabReg["&amp;TabCalc[[#This Row],[Ticker]]&amp;"1]") * INDIRECT("TabReg["&amp;TabCalc[[#This Row],[Ticker]]&amp;"2]") )*TabCalc[[#This Row],[Scale]]*(1+Commission)</f>
        <v>11927.300561999995</v>
      </c>
      <c r="BL49" s="159">
        <f ca="1">TabCalc[[#This Row],[M_V]]*(1-Commission)+TabCalc[[#This Row],[EfCost]]</f>
        <v>95723.861561999991</v>
      </c>
      <c r="BM49" s="159">
        <f ca="1">IF(        OR( TabCalc[[#This Row],[GL]]&gt;ABS(TabCalc[[#This Row],[EfCost]]),TabCalc[[#This Row],[NAfter]]=0),             TabCalc[[#This Row],[GL]],     0)</f>
        <v>95723.861561999991</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45980.716177928123</v>
      </c>
      <c r="BT49" s="175">
        <f ca="1">(TabCalc[[#This Row],[ValueBegin]]+(TabCalc[[#This Row],[M]]-TabCalc[[#This Row],[A]])*TabCalc[[#This Row],[NAfter]])*TabCalc[[#This Row],[Scale]]</f>
        <v>-185510</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5789.9999999999991</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2409.6385542168682</v>
      </c>
      <c r="CV49" s="404">
        <f ca="1">IF(TabCalc[[#This Row],[ntoBuy]]*TabCalc[[#This Row],[M]]&lt;=0,0,TabCalc[[#This Row],[ntoBuy]]*TabCalc[[#This Row],[M]])</f>
        <v>67481.927710843389</v>
      </c>
      <c r="CW49" s="404">
        <f ca="1">IF(TabCalc[[#This Row],[M]]&gt;ABS(TabCalc[[#This Row],[L_Bp]]),MIN(TabCalc[[#This Row],[NAfter]],DesiredSaleGain/(TabCalc[[#This Row],[M]]+TabCalc[[#This Row],[L_Bp]])),0)/TabCalc[[#This Row],[Scale]]</f>
        <v>3000</v>
      </c>
      <c r="CX49" s="405">
        <f ca="1">TabCalc[[#This Row],[ntoSell]]*TabCalc[[#This Row],[M]]</f>
        <v>84015</v>
      </c>
      <c r="CY49" s="398">
        <f ca="1">_xlfn.LET(_xlpm.nToSell,IF(TabCalc[[#This Row],[M]]-TabCalc[[#This Row],[A]]&lt;=0,"",INT(DesiredSaleGain/(TabCalc[[#This Row],[M]]-IF(TabCalc[[#This Row],[E]]&gt;0,0,TabCalc[[#This Row],[A]])))),IF(_xlpm.nToSell&lt;=TabCalc[[#This Row],[NAfter]],_xlpm.nToSell,0))</f>
        <v>2590</v>
      </c>
      <c r="CZ49" s="336">
        <f ca="1">IFERROR(TabCalc[[#This Row],[NMA]]*TabCalc[[#This Row],[M]],"")</f>
        <v>72532.95</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5789.9999999999991</v>
      </c>
      <c r="DB49" s="90">
        <f ca="1">IFERROR((TabCalc[[#This Row],[M]]+TabCalc[[#This Row],[L_Bp]])/ABS(TabCalc[[#This Row],[L_Bp]])/(TODAY()-TabCalc[[#This Row],[L_Bdate]])*360,"")</f>
        <v>3.0612244897953089E-3</v>
      </c>
      <c r="DC49" s="310">
        <f ca="1">MEDIAN(DataShift!F749:Z749)</f>
        <v>-5.1370000000000001E-3</v>
      </c>
      <c r="DD49" s="310" t="e"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9" s="87">
        <f ca="1">TabCalc[[#This Row],[Nbegin]]*TabCalc[[#This Row],[Scale]]*TabCalc[[#This Row],[M]]</f>
        <v>280050</v>
      </c>
      <c r="DF49" s="87" cm="1">
        <f t="array" aca="1" ref="DF49" ca="1">SUMPRODUCT(ISNUMBER(INDIRECT("TabReg["&amp;TabCalc[[#This Row],[Ticker]]&amp;"2]"))* INDIRECT("TabReg["&amp;TabCalc[[#This Row],[Ticker]]&amp;"1]") * INDIRECT("TabReg["&amp;TabCalc[[#This Row],[Ticker]]&amp;"2]") )*TabCalc[[#This Row],[Scale]]</f>
        <v>11896.369999999995</v>
      </c>
      <c r="DI49" s="87">
        <f ca="1"/>
        <v>118391.4</v>
      </c>
      <c r="DJ49" s="90">
        <f t="shared" ca="1" si="3"/>
        <v>0.37622180158615809</v>
      </c>
      <c r="DK49" t="str">
        <f ca="1">_xlfn.XLOOKUP(DI49,TabCalc[Column1],TabCalc[Ticker])</f>
        <v>ENI</v>
      </c>
      <c r="DL49" s="87">
        <f ca="1">_xlfn.XLOOKUP(DK49,TabCalc[Ticker],TabCalc[ValueBegin])</f>
        <v>-99864</v>
      </c>
      <c r="DM49" s="87">
        <f ca="1">_xlfn.XLOOKUP(DK49,TabCalc[Ticker],TabCalc[M_V])</f>
        <v>275706</v>
      </c>
      <c r="DN49" s="87">
        <f ca="1">_xlfn.XLOOKUP(DK49,TabCalc[Ticker],TabCalc[GL])</f>
        <v>37571.013993600092</v>
      </c>
      <c r="DO49" s="90"/>
      <c r="DP49" s="90"/>
      <c r="DQ49" s="88" t="s">
        <v>45</v>
      </c>
      <c r="DR49" s="81">
        <v>2000</v>
      </c>
      <c r="DS49" s="315">
        <v>-30.32</v>
      </c>
      <c r="DU49" s="82">
        <v>40230</v>
      </c>
      <c r="DV49" s="82">
        <f ca="1">DU49-TabCalc[[#This Row],[M_V]]</f>
        <v>-43785</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42">
        <f ca="1">_xlfn.XLOOKUP(TabCalc[[#This Row],[Ticker]],DQ$3:DQ$96,DS$3:DS$96)</f>
        <v>-56.301814499999999</v>
      </c>
      <c r="E50" s="121">
        <f t="shared" ca="1" si="4"/>
        <v>-1126036.29</v>
      </c>
      <c r="F50" s="82">
        <f ca="1">TabCalc[[#This Row],[NAfter]]*TabCalc[[#This Row],[M]]*TabCalc[[#This Row],[Scale]]</f>
        <v>1136640</v>
      </c>
      <c r="G50" s="82">
        <f ca="1">IFERROR(TabCalc[[#This Row],[SB]]-TabCalc[[#This Row],[SST]],TabCalc[[#This Row],[SB]])</f>
        <v>19200</v>
      </c>
      <c r="H50" s="532" t="str">
        <f ca="1">[1]!RTData[[#This Row],[Ticker_Symbol]]</f>
        <v>VONN</v>
      </c>
      <c r="I50" s="383">
        <f ca="1">_xlfn.XLOOKUP(TabCalc[[#This Row],[Ticker]],[1]!RTData[Ticker_Symbol],[1]!RTData[M-Price])</f>
        <v>59.2</v>
      </c>
      <c r="J50" s="382">
        <v>59.516111111111108</v>
      </c>
      <c r="K50" s="381">
        <f ca="1">_xlfn.XLOOKUP(TabCalc[[#This Row],[Ticker]],[1]!RTData[Ticker_Symbol],[1]!RTData[1YT])</f>
        <v>61.5</v>
      </c>
      <c r="L50" s="382">
        <f ca="1">IF(OR(TabCalc[[#This Row],[NAfter]]=0,TabCalc[[#This Row],[EfCost]]&gt;0),0,TabCalc[[#This Row],[EfCost]]/TabCalc[[#This Row],[NAfter]]/TabCalc[[#This Row],[Scale]])</f>
        <v>-52.071268062187499</v>
      </c>
      <c r="M50" s="732">
        <f ca="1">_xlfn.XLOOKUP(TabCalc[[#This Row],[Ticker]],[1]!RTData[Ticker_Symbol],[1]!RTData[Change%])</f>
        <v>6.803E-3</v>
      </c>
      <c r="N50" s="1065">
        <v>0</v>
      </c>
      <c r="O50" s="892">
        <f>TabCalc[[#This Row],[Up20]]-1+TabCalc[[#This Row],[Up20]]</f>
        <v>-1</v>
      </c>
      <c r="P50" s="892">
        <f>TabCalc[[#This Row],[Up20]]-TabCalc[[#This Row],[Up150]]</f>
        <v>-0.66666666666666663</v>
      </c>
      <c r="Q50" s="892">
        <v>0.66666666666666663</v>
      </c>
      <c r="R50" s="892">
        <f>TabCalc[[#This Row],[Up150]]-1+TabCalc[[#This Row],[Up150]]</f>
        <v>0.33333333333333326</v>
      </c>
      <c r="S50" s="892">
        <f ca="1">IFERROR(SUMPRODUCT(DataShift!F1542:Z1542,DataShift!AB749:AV749)/SQRT(SUMPRODUCT(DataShift!F1542:Z1542,DataShift!F1542:Z1542)*SUMPRODUCT(DataShift!AB749:AV749,DataShift!AB749:AV749)),0)</f>
        <v>0</v>
      </c>
      <c r="T50" s="892">
        <f ca="1">IFERROR(SUMPRODUCT(DataShift!F1542:Z1542,DataShift!#REF!)/SQRT(SUMPRODUCT(DataShift!F1542:Z1542,DataShift!F1542:Z1542)*SUMPRODUCT(DataShift!#REF!,DataShift!#REF!)),0)</f>
        <v>0</v>
      </c>
      <c r="U50" s="1004">
        <v>0</v>
      </c>
      <c r="V50" s="1004">
        <v>18000</v>
      </c>
      <c r="W50" s="1004">
        <v>0</v>
      </c>
      <c r="X50" s="892"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1500</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800.00000000001137</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959.99999999999659</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1958</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15360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77">
        <f ca="1">TabCalc[[#This Row],[Y]]/TabCalc[[#This Row],[M]]</f>
        <v>1.0388513513513513</v>
      </c>
      <c r="AT50" s="297" t="str" cm="1">
        <f t="array" aca="1" ref="AT50" ca="1">IFERROR(_xlfn.IFS(          TabCalc[[#This Row],[E]]&gt;0, "Free Trade",      TabCalc[[#This Row],[A]]&lt;MIN(TabCalc[[#This Row],[L_Sp]],TabCalc[[#This Row],[M]]), "Buy",            TabCalc[[#This Row],[M]]&lt;TabCalc[[#This Row],[L_Sp]],       "Refill",       TabCalc[[#This Row],[M]]&gt;TabCalc[[#This Row],[L_Sp]],"S_more"),"")</f>
        <v>Refill</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-3.3418479455064693E-3</v>
      </c>
      <c r="AY50" s="82">
        <f t="shared" ca="1" si="5"/>
        <v>800</v>
      </c>
      <c r="AZ50" s="90">
        <f ca="1">_xlfn.XLOOKUP(TabCalc[[#This Row],[Ticker]],[1]!RTData[Ticker_Symbol],[1]!RTData[V/VA])</f>
        <v>1.2246027397260273</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1.2246027397260273</v>
      </c>
      <c r="BC50" s="87" cm="1">
        <f t="array" aca="1" ref="BC50" ca="1">INDEX(TabReg[], 1, _xlfn.XMATCH(TabCalc[[#This Row],[Ticker]]&amp;1, TabReg[#Headers], 0))</f>
        <v>20000</v>
      </c>
      <c r="BD50" s="159">
        <f ca="1">TabCalc[[#This Row],[Nbegin]]*TabCalc[[#This Row],[M]]*TabCalc[[#This Row],[Scale]]+TabCalc[[#This Row],[ValueBegin]]</f>
        <v>57963.709999999963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10603.709999999963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K50" s="159" cm="1">
        <f t="array" aca="1" ref="BK50" ca="1">SUMPRODUCT(ISNUMBER(INDIRECT("TabReg["&amp;TabCalc[[#This Row],[Ticker]]&amp;"2]"))* INDIRECT("TabReg["&amp;TabCalc[[#This Row],[Ticker]]&amp;"1]") * INDIRECT("TabReg["&amp;TabCalc[[#This Row],[Ticker]]&amp;"2]") )*TabCalc[[#This Row],[Scale]]*(1+Commission)</f>
        <v>-999768.34679400001</v>
      </c>
      <c r="BL50" s="159">
        <f ca="1">TabCalc[[#This Row],[M_V]]*(1-Commission)+TabCalc[[#This Row],[EfCost]]</f>
        <v>133916.38920600002</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86.2</v>
      </c>
      <c r="BR50" s="174" t="str">
        <f ca="1">IF(TabCalc[[#This Row],[EfCost]]+TabCalc[[#This Row],[M_V]]&lt;TabCalc[[#This Row],[NoT_GL]],"Pile","")</f>
        <v/>
      </c>
      <c r="BS50" s="165">
        <f ca="1">_xlfn.XLOOKUP(TabCalc[[#This Row],[Ticker]],[1]!RTData[Ticker_Symbol],[1]!RTData[Last trade time])</f>
        <v>45980.694444444445</v>
      </c>
      <c r="BT50" s="175">
        <f ca="1">(TabCalc[[#This Row],[ValueBegin]]+(TabCalc[[#This Row],[M]]-TabCalc[[#This Row],[A]])*TabCalc[[#This Row],[NAfter]])*TabCalc[[#This Row],[Scale]]</f>
        <v>-1132105.6233333333</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_xlfn.LET(_xlpm.LAST_T,TabCalc[[#This Row],[L_TP]],_xlfn.IFS(_xlpm.LAST_T&lt;0,"Purchase",_xlpm.LAST_T&gt;0,"Sale"))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-6069.3333333332248</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4166.6666666666815</v>
      </c>
      <c r="CV50" s="404">
        <f ca="1">IF(TabCalc[[#This Row],[ntoBuy]]*TabCalc[[#This Row],[M]]&lt;=0,0,TabCalc[[#This Row],[ntoBuy]]*TabCalc[[#This Row],[M]])</f>
        <v>246666.66666666756</v>
      </c>
      <c r="CW50" s="404">
        <f ca="1">IF(TabCalc[[#This Row],[M]]&gt;ABS(TabCalc[[#This Row],[L_Bp]]),MIN(TabCalc[[#This Row],[NAfter]],DesiredSaleGain/(TabCalc[[#This Row],[M]]+TabCalc[[#This Row],[L_Bp]])),0)/TabCalc[[#This Row],[Scale]]</f>
        <v>6666.666666666667</v>
      </c>
      <c r="CX50" s="405">
        <f ca="1">TabCalc[[#This Row],[ntoSell]]*TabCalc[[#This Row],[M]]</f>
        <v>394666.66666666669</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-6069.3333333332248</v>
      </c>
      <c r="DB50" s="90">
        <f ca="1">IFERROR((TabCalc[[#This Row],[M]]+TabCalc[[#This Row],[L_Bp]])/ABS(TabCalc[[#This Row],[L_Bp]])/(TODAY()-TabCalc[[#This Row],[L_Bdate]])*360,"")</f>
        <v>0.3849443969204448</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1184000</v>
      </c>
      <c r="DF50" s="87" cm="1">
        <f t="array" aca="1" ref="DF50" ca="1">SUMPRODUCT(ISNUMBER(INDIRECT("TabReg["&amp;TabCalc[[#This Row],[Ticker]]&amp;"2]"))* INDIRECT("TabReg["&amp;TabCalc[[#This Row],[Ticker]]&amp;"1]") * INDIRECT("TabReg["&amp;TabCalc[[#This Row],[Ticker]]&amp;"2]") )*TabCalc[[#This Row],[Scale]]</f>
        <v>-997175.69000000006</v>
      </c>
      <c r="DI50" s="87">
        <f ca="1"/>
        <v>115470</v>
      </c>
      <c r="DJ50" s="90">
        <f t="shared" ca="1" si="3"/>
        <v>1.0044959395718231</v>
      </c>
      <c r="DK50" t="str">
        <f ca="1">_xlfn.XLOOKUP(DI50,TabCalc[Column1],TabCalc[Ticker])</f>
        <v>PAAS</v>
      </c>
      <c r="DL50" s="87">
        <f ca="1">_xlfn.XLOOKUP(DK50,TabCalc[Ticker],TabCalc[ValueBegin])</f>
        <v>-86880</v>
      </c>
      <c r="DM50" s="87">
        <f ca="1">_xlfn.XLOOKUP(DK50,TabCalc[Ticker],TabCalc[M_V])</f>
        <v>76980</v>
      </c>
      <c r="DN50" s="87">
        <f ca="1">_xlfn.XLOOKUP(DK50,TabCalc[Ticker],TabCalc[GL])</f>
        <v>87270.607229999994</v>
      </c>
      <c r="DO50" s="90"/>
      <c r="DP50" s="90"/>
      <c r="DQ50" s="88" t="s">
        <v>46</v>
      </c>
      <c r="DR50" s="81">
        <v>190</v>
      </c>
      <c r="DS50" s="315">
        <v>-109.65132</v>
      </c>
      <c r="DU50" s="82">
        <v>949152.6</v>
      </c>
      <c r="DV50" s="82">
        <f ca="1">DU50-TabCalc[[#This Row],[M_V]]</f>
        <v>-187487.40000000002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42">
        <f ca="1">_xlfn.XLOOKUP(TabCalc[[#This Row],[Ticker]],DQ$3:DQ$96,DS$3:DS$96)</f>
        <v>-30.288789999999999</v>
      </c>
      <c r="E51" s="121">
        <f t="shared" ca="1" si="4"/>
        <v>-151443.94999999998</v>
      </c>
      <c r="F51" s="82">
        <f ca="1">TabCalc[[#This Row],[NAfter]]*TabCalc[[#This Row],[M]]*TabCalc[[#This Row],[Scale]]</f>
        <v>52725</v>
      </c>
      <c r="G51" s="82">
        <f ca="1">IFERROR(TabCalc[[#This Row],[SB]]-TabCalc[[#This Row],[SST]],TabCalc[[#This Row],[SB]])</f>
        <v>5000</v>
      </c>
      <c r="H51" s="532" t="str">
        <f ca="1">[1]!RTData[[#This Row],[Ticker_Symbol]]</f>
        <v>VTRS</v>
      </c>
      <c r="I51" s="383">
        <f ca="1">_xlfn.XLOOKUP(TabCalc[[#This Row],[Ticker]],[1]!RTData[Ticker_Symbol],[1]!RTData[M-Price])</f>
        <v>10.545</v>
      </c>
      <c r="J51" s="382">
        <v>9.4600000000000009</v>
      </c>
      <c r="K51" s="381">
        <f ca="1">_xlfn.XLOOKUP(TabCalc[[#This Row],[Ticker]],[1]!RTData[Ticker_Symbol],[1]!RTData[1YT])</f>
        <v>12</v>
      </c>
      <c r="L51" s="382">
        <f ca="1">IF(OR(TabCalc[[#This Row],[NAfter]]=0,TabCalc[[#This Row],[EfCost]]&gt;0),0,TabCalc[[#This Row],[EfCost]]/TabCalc[[#This Row],[NAfter]]/TabCalc[[#This Row],[Scale]])</f>
        <v>-26.677972853999986</v>
      </c>
      <c r="M51" s="732">
        <f ca="1">_xlfn.XLOOKUP(TabCalc[[#This Row],[Ticker]],[1]!RTData[Ticker_Symbol],[1]!RTData[Change%])</f>
        <v>-1.5406E-2</v>
      </c>
      <c r="N51" s="1065">
        <v>0</v>
      </c>
      <c r="O51" s="892">
        <f>TabCalc[[#This Row],[Up20]]-1+TabCalc[[#This Row],[Up20]]</f>
        <v>-1</v>
      </c>
      <c r="P51" s="892">
        <f>TabCalc[[#This Row],[Up20]]-TabCalc[[#This Row],[Up150]]</f>
        <v>-0.66666666666666663</v>
      </c>
      <c r="Q51" s="892">
        <v>0.66666666666666663</v>
      </c>
      <c r="R51" s="892">
        <f>TabCalc[[#This Row],[Up150]]-1+TabCalc[[#This Row],[Up150]]</f>
        <v>0.33333333333333326</v>
      </c>
      <c r="S51" s="892">
        <f ca="1">IFERROR(SUMPRODUCT(DataShift!F1543:Z1543,DataShift!AB750:AV750)/SQRT(SUMPRODUCT(DataShift!F1543:Z1543,DataShift!F1543:Z1543)*SUMPRODUCT(DataShift!AB750:AV750,DataShift!AB750:AV750)),0)</f>
        <v>-0.68782312571467896</v>
      </c>
      <c r="T51" s="892">
        <f ca="1">IFERROR(SUMPRODUCT(DataShift!F1543:Z1543,DataShift!F750:Z750)/SQRT(SUMPRODUCT(DataShift!F1543:Z1543,DataShift!F1543:Z1543)*SUMPRODUCT(DataShift!F750:Z750,DataShift!F750:Z750)),0)</f>
        <v>9.6768062646128361E-2</v>
      </c>
      <c r="U51" s="1004">
        <v>5000</v>
      </c>
      <c r="V51" s="1004">
        <v>0</v>
      </c>
      <c r="W51" s="1004">
        <v>0</v>
      </c>
      <c r="X51" s="892"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5424.9999999999955</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11574.999999999998</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-2374.9999999999982</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175.00000000000071</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-675</v>
      </c>
      <c r="AQ51" s="334">
        <f ca="1">_xlfn.LET(_xlpm.MVToday,DataShift!AV551,         _xlpm.MVY,DataShift!AU551,        _xlpm.MVYY, DataShift!AT551,                                IF(_xlpm.MVToday=_xlpm.MVY,_xlpm.MVY-_xlpm.MVYY,_xlpm.MVToday-_xlpm.MVY))</f>
        <v>1185</v>
      </c>
      <c r="AR51" s="334">
        <f ca="1">_xlfn.LET(_xlpm.MVToday,DataShift!AV551,         _xlpm.MVY,DataShift!AU551,        _xlpm.MVYY, DataShift!AT551,         _xlpm.MVYYY, DataShift!AS551,                      IF(_xlpm.MVToday=_xlpm.MVY,      _xlpm.MVYY-_xlpm.MVYYY,          _xlpm.MVY-_xlpm.MVYY))</f>
        <v>-1290</v>
      </c>
      <c r="AS51" s="977">
        <f ca="1">TabCalc[[#This Row],[Y]]/TabCalc[[#This Row],[M]]</f>
        <v>1.1379800853485065</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-2.4342274182076819E-2</v>
      </c>
      <c r="AY51" s="82">
        <f t="shared" ca="1" si="5"/>
        <v>0</v>
      </c>
      <c r="AZ51" s="90">
        <f ca="1">_xlfn.XLOOKUP(TabCalc[[#This Row],[Ticker]],[1]!RTData[Ticker_Symbol],[1]!RTData[V/VA])</f>
        <v>0.24387796432297706</v>
      </c>
      <c r="BA51" s="90" t="str" cm="1">
        <f t="array" aca="1" ref="BA51" ca="1">IFERROR(_xlfn.IFS(TabCalc[[#This Row],[Cur]]="USD",Timer!F$27,                TabCalc[[#This Row],[Cur]]="EUR",Timer!F$18,                  TabCalc[[#This Row],[Cur]]="GBP",Timer!F$12,                          TabCalc[[#This Row],[Cur]]="CAD",Timer!F$27,                TabCalc[[#This Row],[Cur]]="JPY",Timer!F$31,                      TabCalc[[#This Row],[Cur]]="CHF",Timer!F$18),"Timing")</f>
        <v>Closed</v>
      </c>
      <c r="BB51" s="90">
        <f ca="1">IF(ISNUMBER(TabCalc[[#This Row],[TimeEX]]),TabCalc[[#This Row],[V/VA]]/TabCalc[[#This Row],[TimeEX]],TabCalc[[#This Row],[V/VA]])</f>
        <v>0.24387796432297706</v>
      </c>
      <c r="BC51" s="87" cm="1">
        <f t="array" aca="1" ref="BC51" ca="1">INDEX(TabReg[], 1, _xlfn.XMATCH(TabCalc[[#This Row],[Ticker]]&amp;1, TabReg[#Headers], 0))</f>
        <v>5000</v>
      </c>
      <c r="BD51" s="159">
        <f ca="1">TabCalc[[#This Row],[Nbegin]]*TabCalc[[#This Row],[M]]*TabCalc[[#This Row],[Scale]]+TabCalc[[#This Row],[ValueBegin]]</f>
        <v>-98718.949999999983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-98718.949999999983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K51" s="159" cm="1">
        <f t="array" aca="1" ref="BK51" ca="1">SUMPRODUCT(ISNUMBER(INDIRECT("TabReg["&amp;TabCalc[[#This Row],[Ticker]]&amp;"2]"))* INDIRECT("TabReg["&amp;TabCalc[[#This Row],[Ticker]]&amp;"1]") * INDIRECT("TabReg["&amp;TabCalc[[#This Row],[Ticker]]&amp;"2]") )*TabCalc[[#This Row],[Scale]]*(1+Commission)</f>
        <v>-133389.86426999993</v>
      </c>
      <c r="BL51" s="159">
        <f ca="1">TabCalc[[#This Row],[M_V]]*(1-Commission)+TabCalc[[#This Row],[EfCost]]</f>
        <v>-80801.949269999925</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45980.727246388284</v>
      </c>
      <c r="BT51" s="175">
        <f ca="1">(TabCalc[[#This Row],[ValueBegin]]+(TabCalc[[#This Row],[M]]-TabCalc[[#This Row],[A]])*TabCalc[[#This Row],[NAfter]])*TabCalc[[#This Row],[Scale]]</f>
        <v>-146018.94999999998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5424.9999999999955</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4608.2949308755797</v>
      </c>
      <c r="CX51" s="405">
        <f ca="1">TabCalc[[#This Row],[ntoSell]]*TabCalc[[#This Row],[M]]</f>
        <v>48594.470046082984</v>
      </c>
      <c r="CY51" s="398">
        <f ca="1">_xlfn.LET(_xlpm.nToSell,IF(TabCalc[[#This Row],[M]]-TabCalc[[#This Row],[A]]&lt;=0,"",INT(DesiredSaleGain/(TabCalc[[#This Row],[M]]-IF(TabCalc[[#This Row],[E]]&gt;0,0,TabCalc[[#This Row],[A]])))),IF(_xlpm.nToSell&lt;=TabCalc[[#This Row],[NAfter]],_xlpm.nToSell,0))</f>
        <v>4608</v>
      </c>
      <c r="CZ51" s="336">
        <f ca="1">IFERROR(TabCalc[[#This Row],[NMA]]*TabCalc[[#This Row],[M]],"")</f>
        <v>48591.360000000001</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5424.9999999999955</v>
      </c>
      <c r="DB51" s="90">
        <f ca="1">IFERROR((TabCalc[[#This Row],[M]]+TabCalc[[#This Row],[L_Bp]])/ABS(TabCalc[[#This Row],[L_Bp]])/(TODAY()-TabCalc[[#This Row],[L_Bdate]])*360,"")</f>
        <v>0.7507207380357479</v>
      </c>
      <c r="DC51" s="310">
        <f ca="1">MEDIAN(DataShift!F750:Z750)</f>
        <v>5.372E-3</v>
      </c>
      <c r="DD51" s="310" t="e"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1" s="87">
        <f ca="1">TabCalc[[#This Row],[Nbegin]]*TabCalc[[#This Row],[Scale]]*TabCalc[[#This Row],[M]]</f>
        <v>52725</v>
      </c>
      <c r="DF51" s="87" cm="1">
        <f t="array" aca="1" ref="DF51" ca="1">SUMPRODUCT(ISNUMBER(INDIRECT("TabReg["&amp;TabCalc[[#This Row],[Ticker]]&amp;"2]"))* INDIRECT("TabReg["&amp;TabCalc[[#This Row],[Ticker]]&amp;"1]") * INDIRECT("TabReg["&amp;TabCalc[[#This Row],[Ticker]]&amp;"2]") )*TabCalc[[#This Row],[Scale]]</f>
        <v>-133043.94999999995</v>
      </c>
      <c r="DI51" s="87">
        <f ca="1"/>
        <v>115155</v>
      </c>
      <c r="DJ51" s="90">
        <f t="shared" ca="1" si="3"/>
        <v>0.38736408097256803</v>
      </c>
      <c r="DK51" t="str">
        <f ca="1">_xlfn.XLOOKUP(DI51,TabCalc[Column1],TabCalc[Ticker])</f>
        <v>DVA</v>
      </c>
      <c r="DL51" s="87">
        <f ca="1">_xlfn.XLOOKUP(DK51,TabCalc[Ticker],TabCalc[ValueBegin])</f>
        <v>-80200</v>
      </c>
      <c r="DM51" s="87">
        <f ca="1">_xlfn.XLOOKUP(DK51,TabCalc[Ticker],TabCalc[M_V])</f>
        <v>161217</v>
      </c>
      <c r="DN51" s="87">
        <f ca="1">_xlfn.XLOOKUP(DK51,TabCalc[Ticker],TabCalc[GL])</f>
        <v>31066.599293999956</v>
      </c>
      <c r="DO51" s="90"/>
      <c r="DP51" s="90"/>
      <c r="DQ51" s="88" t="s">
        <v>47</v>
      </c>
      <c r="DR51" s="81">
        <v>10000</v>
      </c>
      <c r="DS51" s="315">
        <v>-19.13</v>
      </c>
      <c r="DU51" s="82">
        <v>52450</v>
      </c>
      <c r="DV51" s="82">
        <f ca="1">DU51-TabCalc[[#This Row],[M_V]]</f>
        <v>-275</v>
      </c>
    </row>
    <row r="52" spans="1:126" x14ac:dyDescent="0.3">
      <c r="A52" s="120" t="str">
        <f ca="1">_xlfn.XLOOKUP(TabCalc[[#This Row],[Ticker]],[1]!RTData[Ticker_Symbol],[1]!RTData[Currency])</f>
        <v>USD</v>
      </c>
      <c r="B52" s="121">
        <f ca="1">IF(TabCalc[[#This Row],[Cur]]="GBP",0.01,1)</f>
        <v>1</v>
      </c>
      <c r="C52" s="82">
        <f ca="1">_xlfn.XLOOKUP(TabCalc[[#This Row],[Ticker]],DQ$3:DQ$96,DR$3:DR$96)</f>
        <v>750</v>
      </c>
      <c r="D52" s="1142">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-19.250506521000002</v>
      </c>
      <c r="M52" s="732">
        <f ca="1">_xlfn.XLOOKUP(TabCalc[[#This Row],[Ticker]],[1]!RTData[Ticker_Symbol],[1]!RTData[Change%])</f>
        <v>0</v>
      </c>
      <c r="N52" s="1065">
        <v>0</v>
      </c>
      <c r="O52" s="892">
        <f>TabCalc[[#This Row],[Up20]]-1+TabCalc[[#This Row],[Up20]]</f>
        <v>-1</v>
      </c>
      <c r="P52" s="892">
        <f>TabCalc[[#This Row],[Up20]]-TabCalc[[#This Row],[Up150]]</f>
        <v>-0.3</v>
      </c>
      <c r="Q52" s="892">
        <v>0.3</v>
      </c>
      <c r="R52" s="892">
        <f>TabCalc[[#This Row],[Up150]]-1+TabCalc[[#This Row],[Up150]]</f>
        <v>-0.39999999999999997</v>
      </c>
      <c r="S52" s="892">
        <f ca="1">IFERROR(SUMPRODUCT(DataShift!F1544:Z1544,DataShift!AB751:AV751)/SQRT(SUMPRODUCT(DataShift!F1544:Z1544,DataShift!F1544:Z1544)*SUMPRODUCT(DataShift!AB751:AV751,DataShift!AB751:AV751)),0)</f>
        <v>-0.90325629826696241</v>
      </c>
      <c r="T52" s="892">
        <f ca="1">IFERROR(SUMPRODUCT(DataShift!F1544:Z1544,DataShift!F751:Z751)/SQRT(SUMPRODUCT(DataShift!F1544:Z1544,DataShift!F1544:Z1544)*SUMPRODUCT(DataShift!F751:Z751,DataShift!F751:Z751)),0)</f>
        <v>0.20487009560257552</v>
      </c>
      <c r="U52" s="1004">
        <v>3000</v>
      </c>
      <c r="V52" s="1004">
        <v>0</v>
      </c>
      <c r="W52" s="1004">
        <v>0</v>
      </c>
      <c r="X52" s="892"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9600</v>
      </c>
      <c r="AR52" s="334">
        <f ca="1">_xlfn.LET(_xlpm.MVToday,DataShift!AV552,         _xlpm.MVY,DataShift!AU552,        _xlpm.MVYY, DataShift!AT552,         _xlpm.MVYYY, DataShift!AS552,                      IF(_xlpm.MVToday=_xlpm.MVY,      _xlpm.MVYY-_xlpm.MVYYY,          _xlpm.MVY-_xlpm.MVYY))</f>
        <v>-24960</v>
      </c>
      <c r="AS52" s="977">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                TabCalc[[#This Row],[Cur]]="EUR",Timer!F$18,                  TabCalc[[#This Row],[Cur]]="GBP",Timer!F$12,                          TabCalc[[#This Row],[Cur]]="CAD",Timer!F$27,                TabCalc[[#This Row],[Cur]]="JPY",Timer!F$31,                      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-20647.368945000002</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K52" s="159" cm="1">
        <f t="array" aca="1" ref="BK52" ca="1">SUMPRODUCT(ISNUMBER(INDIRECT("TabReg["&amp;TabCalc[[#This Row],[Ticker]]&amp;"2]"))* INDIRECT("TabReg["&amp;TabCalc[[#This Row],[Ticker]]&amp;"1]") * INDIRECT("TabReg["&amp;TabCalc[[#This Row],[Ticker]]&amp;"2]") )*TabCalc[[#This Row],[Scale]]*(1+Commission)</f>
        <v>-57751.519563000002</v>
      </c>
      <c r="BL52" s="159">
        <f ca="1">TabCalc[[#This Row],[M_V]]*(1-Commission)+TabCalc[[#This Row],[EfCost]]</f>
        <v>-21904.963563000005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0.2402518008040925</v>
      </c>
      <c r="DC52" s="310">
        <f ca="1">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113940.00000000001</v>
      </c>
      <c r="DJ52" s="90">
        <f t="shared" ca="1" si="3"/>
        <v>1.5292749215689985</v>
      </c>
      <c r="DK52" t="str">
        <f ca="1">_xlfn.XLOOKUP(DI52,TabCalc[Column1],TabCalc[Ticker])</f>
        <v>RIGL</v>
      </c>
      <c r="DL52" s="87">
        <f ca="1">_xlfn.XLOOKUP(DK52,TabCalc[Ticker],TabCalc[ValueBegin])</f>
        <v>-99689.529999999868</v>
      </c>
      <c r="DM52" s="87">
        <f ca="1">_xlfn.XLOOKUP(DK52,TabCalc[Ticker],TabCalc[M_V])</f>
        <v>42200</v>
      </c>
      <c r="DN52" s="87">
        <f ca="1">_xlfn.XLOOKUP(DK52,TabCalc[Ticker],TabCalc[GL])</f>
        <v>152452.69817200012</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42">
        <f ca="1">_xlfn.XLOOKUP(TabCalc[[#This Row],[Ticker]],DQ$3:DQ$96,DS$3:DS$96)</f>
        <v>-99.51</v>
      </c>
      <c r="E53" s="121">
        <f t="shared" ca="1" si="4"/>
        <v>-19902</v>
      </c>
      <c r="F53" s="82">
        <f ca="1">TabCalc[[#This Row],[NAfter]]*TabCalc[[#This Row],[M]]*TabCalc[[#This Row],[Scale]]</f>
        <v>58790</v>
      </c>
      <c r="G53" s="82">
        <f ca="1">IFERROR(TabCalc[[#This Row],[SB]]-TabCalc[[#This Row],[SST]],TabCalc[[#This Row],[SB]])</f>
        <v>500</v>
      </c>
      <c r="H53" s="532" t="str">
        <f ca="1">[1]!RTData[[#This Row],[Ticker_Symbol]]</f>
        <v>XOM</v>
      </c>
      <c r="I53" s="383">
        <f ca="1">_xlfn.XLOOKUP(TabCalc[[#This Row],[Ticker]],[1]!RTData[Ticker_Symbol],[1]!RTData[M-Price])</f>
        <v>117.58</v>
      </c>
      <c r="J53" s="382">
        <v>112.93</v>
      </c>
      <c r="K53" s="381">
        <f ca="1">_xlfn.XLOOKUP(TabCalc[[#This Row],[Ticker]],[1]!RTData[Ticker_Symbol],[1]!RTData[1YT])</f>
        <v>126.88</v>
      </c>
      <c r="L53" s="382">
        <f ca="1">IF(OR(TabCalc[[#This Row],[NAfter]]=0,TabCalc[[#This Row],[EfCost]]&gt;0),0,TabCalc[[#This Row],[EfCost]]/TabCalc[[#This Row],[NAfter]]/TabCalc[[#This Row],[Scale]])</f>
        <v>-96.792808679999993</v>
      </c>
      <c r="M53" s="732">
        <f ca="1">_xlfn.XLOOKUP(TabCalc[[#This Row],[Ticker]],[1]!RTData[Ticker_Symbol],[1]!RTData[Change%])</f>
        <v>-1.2182E-2</v>
      </c>
      <c r="N53" s="1065">
        <v>0</v>
      </c>
      <c r="O53" s="892">
        <f>TabCalc[[#This Row],[Up20]]-1+TabCalc[[#This Row],[Up20]]</f>
        <v>-1</v>
      </c>
      <c r="P53" s="892">
        <f>TabCalc[[#This Row],[Up20]]-TabCalc[[#This Row],[Up150]]</f>
        <v>-0.5</v>
      </c>
      <c r="Q53" s="892">
        <v>0.5</v>
      </c>
      <c r="R53" s="892">
        <f>TabCalc[[#This Row],[Up150]]-1+TabCalc[[#This Row],[Up150]]</f>
        <v>0</v>
      </c>
      <c r="S53" s="892">
        <f ca="1">IFERROR(SUMPRODUCT(DataShift!F1545:Z1545,DataShift!AB752:AV752)/SQRT(SUMPRODUCT(DataShift!F1545:Z1545,DataShift!F1545:Z1545)*SUMPRODUCT(DataShift!AB752:AV752,DataShift!AB752:AV752)),0)</f>
        <v>-0.55311222674234772</v>
      </c>
      <c r="T53" s="892">
        <f ca="1">IFERROR(SUMPRODUCT(DataShift!F1545:Z1545,DataShift!F752:Z752)/SQRT(SUMPRODUCT(DataShift!F1545:Z1545,DataShift!F1545:Z1545)*SUMPRODUCT(DataShift!F752:Z752,DataShift!F752:Z752)),0)</f>
        <v>0.1077049735697659</v>
      </c>
      <c r="U53" s="1004">
        <v>200</v>
      </c>
      <c r="V53" s="1004">
        <v>300</v>
      </c>
      <c r="W53" s="1004">
        <v>0</v>
      </c>
      <c r="X53" s="892"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27.000000000001023</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5744.9999999999973</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-18377.999999999989</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-6210.0000000000055</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325</v>
      </c>
      <c r="AQ53" s="334">
        <f ca="1">_xlfn.LET(_xlpm.MVToday,DataShift!AV553,         _xlpm.MVY,DataShift!AU553,        _xlpm.MVYY, DataShift!AT553,                                IF(_xlpm.MVToday=_xlpm.MVY,_xlpm.MVY-_xlpm.MVYY,_xlpm.MVToday-_xlpm.MVY))</f>
        <v>-825.00000000000728</v>
      </c>
      <c r="AR53" s="334">
        <f ca="1">_xlfn.LET(_xlpm.MVToday,DataShift!AV553,         _xlpm.MVY,DataShift!AU553,        _xlpm.MVYY, DataShift!AT553,         _xlpm.MVYYY, DataShift!AS553,                      IF(_xlpm.MVToday=_xlpm.MVY,      _xlpm.MVYY-_xlpm.MVYYY,          _xlpm.MVY-_xlpm.MVYY))</f>
        <v>-49.999999999992724</v>
      </c>
      <c r="AS53" s="977">
        <f ca="1">TabCalc[[#This Row],[Y]]/TabCalc[[#This Row],[M]]</f>
        <v>1.0790950841979929</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-5.3916565512960243E-2</v>
      </c>
      <c r="AY53" s="82">
        <f t="shared" ca="1" si="5"/>
        <v>0</v>
      </c>
      <c r="AZ53" s="90">
        <f ca="1">_xlfn.XLOOKUP(TabCalc[[#This Row],[Ticker]],[1]!RTData[Ticker_Symbol],[1]!RTData[V/VA])</f>
        <v>0.38161593020093482</v>
      </c>
      <c r="BA53" s="90" t="str" cm="1">
        <f t="array" aca="1" ref="BA53" ca="1">IFERROR(_xlfn.IFS(TabCalc[[#This Row],[Cur]]="USD",Timer!F$27,                TabCalc[[#This Row],[Cur]]="EUR",Timer!F$18,                  TabCalc[[#This Row],[Cur]]="GBP",Timer!F$12,                          TabCalc[[#This Row],[Cur]]="CAD",Timer!F$27,                TabCalc[[#This Row],[Cur]]="JPY",Timer!F$31,                      TabCalc[[#This Row],[Cur]]="CHF",Timer!F$18),"Timing")</f>
        <v>Closed</v>
      </c>
      <c r="BB53" s="90">
        <f ca="1">IF(ISNUMBER(TabCalc[[#This Row],[TimeEX]]),TabCalc[[#This Row],[V/VA]]/TabCalc[[#This Row],[TimeEX]],TabCalc[[#This Row],[V/VA]])</f>
        <v>0.38161593020093482</v>
      </c>
      <c r="BC53" s="87" cm="1">
        <f t="array" aca="1" ref="BC53" ca="1">INDEX(TabReg[], 1, _xlfn.XMATCH(TabCalc[[#This Row],[Ticker]]&amp;1, TabReg[#Headers], 0))</f>
        <v>200</v>
      </c>
      <c r="BD53" s="159">
        <f ca="1">TabCalc[[#This Row],[Nbegin]]*TabCalc[[#This Row],[M]]*TabCalc[[#This Row],[Scale]]+TabCalc[[#This Row],[ValueBegin]]</f>
        <v>3614</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-28442.659139999996</v>
      </c>
      <c r="BH53" s="336">
        <f ca="1">TabCalc[[#This Row],[M_V]]+TabCalc[[#This Row],[ValueBegin]]</f>
        <v>38888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K53" s="159" cm="1">
        <f t="array" aca="1" ref="BK53" ca="1">SUMPRODUCT(ISNUMBER(INDIRECT("TabReg["&amp;TabCalc[[#This Row],[Ticker]]&amp;"2]"))* INDIRECT("TabReg["&amp;TabCalc[[#This Row],[Ticker]]&amp;"1]") * INDIRECT("TabReg["&amp;TabCalc[[#This Row],[Ticker]]&amp;"2]") )*TabCalc[[#This Row],[Scale]]*(1+Commission)</f>
        <v>-48396.404339999994</v>
      </c>
      <c r="BL53" s="159">
        <f ca="1">TabCalc[[#This Row],[M_V]]*(1-Commission)+TabCalc[[#This Row],[EfCost]]</f>
        <v>10240.741660000007</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45980.727227696094</v>
      </c>
      <c r="BT53" s="175">
        <f ca="1">(TabCalc[[#This Row],[ValueBegin]]+(TabCalc[[#This Row],[M]]-TabCalc[[#This Row],[A]])*TabCalc[[#This Row],[NAfter]])*TabCalc[[#This Row],[Scale]]</f>
        <v>-17577.000000000004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2324.9999999999959</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58790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2324.9999999999959</v>
      </c>
      <c r="DB53" s="90">
        <f ca="1">IFERROR((TabCalc[[#This Row],[M]]+TabCalc[[#This Row],[L_Bp]])/ABS(TabCalc[[#This Row],[L_Bp]])/(TODAY()-TabCalc[[#This Row],[L_Bdate]])*360,"")</f>
        <v>5.1068176014981929E-3</v>
      </c>
      <c r="DC53" s="310">
        <f ca="1">MEDIAN(DataShift!F752:Z752)</f>
        <v>3.8800000000000002E-3</v>
      </c>
      <c r="DD53" s="310" t="e"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3" s="87">
        <f ca="1">TabCalc[[#This Row],[Nbegin]]*TabCalc[[#This Row],[Scale]]*TabCalc[[#This Row],[M]]</f>
        <v>23516</v>
      </c>
      <c r="DF53" s="87" cm="1">
        <f t="array" aca="1" ref="DF53" ca="1">SUMPRODUCT(ISNUMBER(INDIRECT("TabReg["&amp;TabCalc[[#This Row],[Ticker]]&amp;"2]"))* INDIRECT("TabReg["&amp;TabCalc[[#This Row],[Ticker]]&amp;"1]") * INDIRECT("TabReg["&amp;TabCalc[[#This Row],[Ticker]]&amp;"2]") )*TabCalc[[#This Row],[Scale]]</f>
        <v>-48270.899999999994</v>
      </c>
      <c r="DI53" s="87">
        <f ca="1"/>
        <v>110340</v>
      </c>
      <c r="DJ53" s="90">
        <f t="shared" ca="1" si="3"/>
        <v>0.35558738274016061</v>
      </c>
      <c r="DK53" t="str">
        <f ca="1">_xlfn.XLOOKUP(DI53,TabCalc[Column1],TabCalc[Ticker])</f>
        <v>ADEA</v>
      </c>
      <c r="DL53" s="87">
        <f ca="1">_xlfn.XLOOKUP(DK53,TabCalc[Ticker],TabCalc[ValueBegin])</f>
        <v>-88529.004000000001</v>
      </c>
      <c r="DM53" s="87">
        <f ca="1">_xlfn.XLOOKUP(DK53,TabCalc[Ticker],TabCalc[M_V])</f>
        <v>61300</v>
      </c>
      <c r="DN53" s="87">
        <f ca="1">_xlfn.XLOOKUP(DK53,TabCalc[Ticker],TabCalc[GL])</f>
        <v>31479.796828953207</v>
      </c>
      <c r="DO53" s="90"/>
      <c r="DP53" s="90"/>
      <c r="DQ53" s="88" t="s">
        <v>49</v>
      </c>
      <c r="DR53" s="81">
        <v>5000</v>
      </c>
      <c r="DS53" s="315">
        <v>-30.288789999999999</v>
      </c>
      <c r="DU53" s="82">
        <v>57095</v>
      </c>
      <c r="DV53" s="82">
        <f ca="1">DU53-TabCalc[[#This Row],[M_V]]</f>
        <v>-1695</v>
      </c>
    </row>
    <row r="54" spans="1:126" x14ac:dyDescent="0.3">
      <c r="A54" s="120" t="str">
        <f ca="1">_xlfn.XLOOKUP(TabCalc[[#This Row],[Ticker]],[1]!RTData[Ticker_Symbol],[1]!RTData[Currency])</f>
        <v>USD</v>
      </c>
      <c r="B54" s="121">
        <f ca="1">IF(TabCalc[[#This Row],[Cur]]="GBP",0.01,1)</f>
        <v>1</v>
      </c>
      <c r="C54" s="82">
        <f ca="1">_xlfn.XLOOKUP(TabCalc[[#This Row],[Ticker]],DQ$3:DQ$96,DR$3:DR$96)</f>
        <v>800</v>
      </c>
      <c r="D54" s="1142">
        <f ca="1">_xlfn.XLOOKUP(TabCalc[[#This Row],[Ticker]],DQ$3:DQ$96,DS$3:DS$96)</f>
        <v>-69.207787499999995</v>
      </c>
      <c r="E54" s="121">
        <f t="shared" ca="1" si="4"/>
        <v>-55366.229999999996</v>
      </c>
      <c r="F54" s="82">
        <f ca="1">TabCalc[[#This Row],[NAfter]]*TabCalc[[#This Row],[M]]*TabCalc[[#This Row],[Scale]]</f>
        <v>56900.000000000007</v>
      </c>
      <c r="G54" s="82">
        <f ca="1">IFERROR(TabCalc[[#This Row],[SB]]-TabCalc[[#This Row],[SST]],TabCalc[[#This Row],[SB]])</f>
        <v>10000</v>
      </c>
      <c r="H54" s="532" t="str">
        <f ca="1">[1]!RTData[[#This Row],[Ticker_Symbol]]</f>
        <v>XPER</v>
      </c>
      <c r="I54" s="383">
        <f ca="1">_xlfn.XLOOKUP(TabCalc[[#This Row],[Ticker]],[1]!RTData[Ticker_Symbol],[1]!RTData[M-Price])</f>
        <v>5.69</v>
      </c>
      <c r="J54" s="382">
        <v>8.2667999999999999</v>
      </c>
      <c r="K54" s="381">
        <f ca="1">_xlfn.XLOOKUP(TabCalc[[#This Row],[Ticker]],[1]!RTData[Ticker_Symbol],[1]!RTData[1YT])</f>
        <v>11.4</v>
      </c>
      <c r="L54" s="382">
        <f ca="1">IF(OR(TabCalc[[#This Row],[NAfter]]=0,TabCalc[[#This Row],[EfCost]]&gt;0),0,TabCalc[[#This Row],[EfCost]]/TabCalc[[#This Row],[NAfter]]/TabCalc[[#This Row],[Scale]])</f>
        <v>-12.280910563799997</v>
      </c>
      <c r="M54" s="732">
        <f ca="1">_xlfn.XLOOKUP(TabCalc[[#This Row],[Ticker]],[1]!RTData[Ticker_Symbol],[1]!RTData[Change%])</f>
        <v>-2.2336999999999999E-2</v>
      </c>
      <c r="N54" s="1065">
        <v>0</v>
      </c>
      <c r="O54" s="892">
        <f>TabCalc[[#This Row],[Up20]]-1+TabCalc[[#This Row],[Up20]]</f>
        <v>-1</v>
      </c>
      <c r="P54" s="892">
        <f>TabCalc[[#This Row],[Up20]]-TabCalc[[#This Row],[Up150]]</f>
        <v>-0.125</v>
      </c>
      <c r="Q54" s="892">
        <v>0.125</v>
      </c>
      <c r="R54" s="892">
        <f>TabCalc[[#This Row],[Up150]]-1+TabCalc[[#This Row],[Up150]]</f>
        <v>-0.75</v>
      </c>
      <c r="S54" s="892">
        <f ca="1">IFERROR(SUMPRODUCT(DataShift!F1546:Z1546,DataShift!AB753:AV753)/SQRT(SUMPRODUCT(DataShift!F1546:Z1546,DataShift!F1546:Z1546)*SUMPRODUCT(DataShift!AB753:AV753,DataShift!AB753:AV753)),0)</f>
        <v>-0.85216190169866757</v>
      </c>
      <c r="T54" s="892">
        <f ca="1">IFERROR(SUMPRODUCT(DataShift!F1546:Z1546,DataShift!F753:Z753)/SQRT(SUMPRODUCT(DataShift!F1546:Z1546,DataShift!F1546:Z1546)*SUMPRODUCT(DataShift!F753:Z753,DataShift!F753:Z753)),0)</f>
        <v>0</v>
      </c>
      <c r="U54" s="1004">
        <v>5000</v>
      </c>
      <c r="V54" s="1004">
        <v>5000</v>
      </c>
      <c r="W54" s="1004">
        <v>0</v>
      </c>
      <c r="X54" s="892"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-4849.9999999999991</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-17598</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34992</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8820.0000000000018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-1299.9999999999927</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77">
        <f ca="1">TabCalc[[#This Row],[Y]]/TabCalc[[#This Row],[M]]</f>
        <v>2.0035149384885762</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-2.8700615268399474</v>
      </c>
      <c r="AY54" s="82">
        <f t="shared" ca="1" si="5"/>
        <v>0</v>
      </c>
      <c r="AZ54" s="90">
        <f ca="1">_xlfn.XLOOKUP(TabCalc[[#This Row],[Ticker]],[1]!RTData[Ticker_Symbol],[1]!RTData[V/VA])</f>
        <v>0.4082525686653613</v>
      </c>
      <c r="BA54" s="90" t="str" cm="1">
        <f t="array" aca="1" ref="BA54" ca="1">IFERROR(_xlfn.IFS(TabCalc[[#This Row],[Cur]]="USD",Timer!F$27,                TabCalc[[#This Row],[Cur]]="EUR",Timer!F$18,                  TabCalc[[#This Row],[Cur]]="GBP",Timer!F$12,                          TabCalc[[#This Row],[Cur]]="CAD",Timer!F$27,                TabCalc[[#This Row],[Cur]]="JPY",Timer!F$31,                      TabCalc[[#This Row],[Cur]]="CHF",Timer!F$18),"Timing")</f>
        <v>Closed</v>
      </c>
      <c r="BB54" s="90">
        <f ca="1">IF(ISNUMBER(TabCalc[[#This Row],[TimeEX]]),TabCalc[[#This Row],[V/VA]]/TabCalc[[#This Row],[TimeEX]],TabCalc[[#This Row],[V/VA]])</f>
        <v>0.4082525686653613</v>
      </c>
      <c r="BC54" s="87" cm="1">
        <f t="array" aca="1" ref="BC54" ca="1">INDEX(TabReg[], 1, _xlfn.XMATCH(TabCalc[[#This Row],[Ticker]]&amp;1, TabReg[#Headers], 0))</f>
        <v>800</v>
      </c>
      <c r="BD54" s="159">
        <f ca="1">TabCalc[[#This Row],[Nbegin]]*TabCalc[[#This Row],[M]]*TabCalc[[#This Row],[Scale]]+TabCalc[[#This Row],[ValueBegin]]</f>
        <v>-50814.229999999996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-67298.923439999984</v>
      </c>
      <c r="BH54" s="336">
        <f ca="1">TabCalc[[#This Row],[M_V]]+TabCalc[[#This Row],[ValueBegin]]</f>
        <v>1533.7700000000114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K54" s="159" cm="1">
        <f t="array" aca="1" ref="BK54" ca="1">SUMPRODUCT(ISNUMBER(INDIRECT("TabReg["&amp;TabCalc[[#This Row],[Ticker]]&amp;"2]"))* INDIRECT("TabReg["&amp;TabCalc[[#This Row],[Ticker]]&amp;"1]") * INDIRECT("TabReg["&amp;TabCalc[[#This Row],[Ticker]]&amp;"2]") )*TabCalc[[#This Row],[Scale]]*(1+Commission)</f>
        <v>-122809.10563799998</v>
      </c>
      <c r="BL54" s="159">
        <f ca="1">TabCalc[[#This Row],[M_V]]*(1-Commission)+TabCalc[[#This Row],[EfCost]]</f>
        <v>-66057.045637999981</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15.93</v>
      </c>
      <c r="BR54" s="174" t="str">
        <f ca="1">IF(TabCalc[[#This Row],[EfCost]]+TabCalc[[#This Row],[M_V]]&lt;TabCalc[[#This Row],[NoT_GL]],"Pile","")</f>
        <v>Pile</v>
      </c>
      <c r="BS54" s="165">
        <f ca="1">_xlfn.XLOOKUP(TabCalc[[#This Row],[Ticker]],[1]!RTData[Ticker_Symbol],[1]!RTData[Last trade time])</f>
        <v>45980.726906435157</v>
      </c>
      <c r="BT54" s="175">
        <f ca="1">(TabCalc[[#This Row],[ValueBegin]]+(TabCalc[[#This Row],[M]]-TabCalc[[#This Row],[A]])*TabCalc[[#This Row],[NAfter]])*TabCalc[[#This Row],[Scale]]</f>
        <v>-81134.23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-25767.999999999996</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1028.8065843621398</v>
      </c>
      <c r="CV54" s="404">
        <f ca="1">IF(TabCalc[[#This Row],[ntoBuy]]*TabCalc[[#This Row],[M]]&lt;=0,0,TabCalc[[#This Row],[ntoBuy]]*TabCalc[[#This Row],[M]])</f>
        <v>5853.9094650205761</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-25767.999999999996</v>
      </c>
      <c r="DB54" s="90">
        <f ca="1">IFERROR((TabCalc[[#This Row],[M]]+TabCalc[[#This Row],[L_Bp]])/ABS(TabCalc[[#This Row],[L_Bp]])/(TODAY()-TabCalc[[#This Row],[L_Bdate]])*360,"")</f>
        <v>-1.278839815425181</v>
      </c>
      <c r="DC54" s="310">
        <f ca="1">MEDIAN(DataShift!F753:Z753)</f>
        <v>0</v>
      </c>
      <c r="DD54" s="310" t="e"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4" s="87">
        <f ca="1">TabCalc[[#This Row],[Nbegin]]*TabCalc[[#This Row],[Scale]]*TabCalc[[#This Row],[M]]</f>
        <v>4552</v>
      </c>
      <c r="DF54" s="87" cm="1">
        <f t="array" aca="1" ref="DF54" ca="1">SUMPRODUCT(ISNUMBER(INDIRECT("TabReg["&amp;TabCalc[[#This Row],[Ticker]]&amp;"2]"))* INDIRECT("TabReg["&amp;TabCalc[[#This Row],[Ticker]]&amp;"1]") * INDIRECT("TabReg["&amp;TabCalc[[#This Row],[Ticker]]&amp;"2]") )*TabCalc[[#This Row],[Scale]]</f>
        <v>-122490.62999999999</v>
      </c>
      <c r="DI54" s="87">
        <f ca="1"/>
        <v>106106</v>
      </c>
      <c r="DJ54" s="90">
        <f t="shared" ca="1" si="3"/>
        <v>6.1484615671410038E-2</v>
      </c>
      <c r="DK54" t="str">
        <f ca="1">_xlfn.XLOOKUP(DI54,TabCalc[Column1],TabCalc[Ticker])</f>
        <v>ORA</v>
      </c>
      <c r="DL54" s="87">
        <f ca="1">_xlfn.XLOOKUP(DK54,TabCalc[Ticker],TabCalc[ValueBegin])</f>
        <v>-96558</v>
      </c>
      <c r="DM54" s="87">
        <f ca="1">_xlfn.XLOOKUP(DK54,TabCalc[Ticker],TabCalc[M_V])</f>
        <v>16536</v>
      </c>
      <c r="DN54" s="87">
        <f ca="1">_xlfn.XLOOKUP(DK54,TabCalc[Ticker],TabCalc[GL])</f>
        <v>5936.8315200000106</v>
      </c>
      <c r="DO54" s="90"/>
      <c r="DP54" s="90"/>
      <c r="DQ54" s="88" t="s">
        <v>50</v>
      </c>
      <c r="DR54" s="81">
        <v>750</v>
      </c>
      <c r="DS54" s="315">
        <v>-49.343906666666669</v>
      </c>
      <c r="DU54" s="82">
        <v>63700</v>
      </c>
      <c r="DV54" s="82">
        <f ca="1">DU54-TabCalc[[#This Row],[M_V]]</f>
        <v>6799.9999999999927</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42">
        <f ca="1">_xlfn.XLOOKUP(TabCalc[[#This Row],[Ticker]],DQ$3:DQ$96,DS$3:DS$96)</f>
        <v>-1.17</v>
      </c>
      <c r="E55" s="121">
        <f t="shared" ca="1" si="4"/>
        <v>-462186.26999999996</v>
      </c>
      <c r="F55" s="82">
        <f ca="1">TabCalc[[#This Row],[NAfter]]*TabCalc[[#This Row],[M]]*TabCalc[[#This Row],[Scale]]</f>
        <v>347440</v>
      </c>
      <c r="G55" s="82">
        <f ca="1">IFERROR(TabCalc[[#This Row],[SB]]-TabCalc[[#This Row],[SST]],TabCalc[[#This Row],[SB]])</f>
        <v>505000</v>
      </c>
      <c r="H55" s="532" t="str">
        <f ca="1">[1]!RTData[[#This Row],[Ticker_Symbol]]</f>
        <v>MVEALDNE</v>
      </c>
      <c r="I55" s="383">
        <f ca="1">_xlfn.XLOOKUP(TabCalc[[#This Row],[Ticker]],[1]!RTData[Ticker_Symbol],[1]!RTData[M-Price])</f>
        <v>0.68799999999999994</v>
      </c>
      <c r="J55" s="382">
        <v>1.2642075189584159</v>
      </c>
      <c r="K55" s="381">
        <f ca="1">_xlfn.XLOOKUP(TabCalc[[#This Row],[Ticker]],[1]!RTData[Ticker_Symbol],[1]!RTData[1YT])</f>
        <v>1.5333300000000001</v>
      </c>
      <c r="L55" s="382">
        <f ca="1">IF(OR(TabCalc[[#This Row],[NAfter]]=0,TabCalc[[#This Row],[EfCost]]&gt;0),0,TabCalc[[#This Row],[EfCost]]/TabCalc[[#This Row],[NAfter]]/TabCalc[[#This Row],[Scale]])</f>
        <v>-1.2674944585077077</v>
      </c>
      <c r="M55" s="732">
        <f ca="1">_xlfn.XLOOKUP(TabCalc[[#This Row],[Ticker]],[1]!RTData[Ticker_Symbol],[1]!RTData[Change%])</f>
        <v>1.1765000000000001E-2</v>
      </c>
      <c r="N55" s="1065">
        <v>0</v>
      </c>
      <c r="O55" s="892">
        <f>TabCalc[[#This Row],[Up20]]-1+TabCalc[[#This Row],[Up20]]</f>
        <v>-1</v>
      </c>
      <c r="P55" s="892">
        <f>TabCalc[[#This Row],[Up20]]-TabCalc[[#This Row],[Up150]]</f>
        <v>0</v>
      </c>
      <c r="Q55" s="892">
        <v>0</v>
      </c>
      <c r="R55" s="892">
        <f>TabCalc[[#This Row],[Up150]]-1+TabCalc[[#This Row],[Up150]]</f>
        <v>-1</v>
      </c>
      <c r="S55" s="892">
        <f ca="1">IFERROR(SUMPRODUCT(DataShift!F1547:Z1547,DataShift!AB754:AV754)/SQRT(SUMPRODUCT(DataShift!F1547:Z1547,DataShift!F1547:Z1547)*SUMPRODUCT(DataShift!AB754:AV754,DataShift!AB754:AV754)),0)</f>
        <v>-0.24194844347563457</v>
      </c>
      <c r="T55" s="892">
        <f ca="1">IFERROR(SUMPRODUCT(DataShift!F1547:Z1547,DataShift!F754:Z754)/SQRT(SUMPRODUCT(DataShift!F1547:Z1547,DataShift!F1547:Z1547)*SUMPRODUCT(DataShift!F754:Z754,DataShift!F754:Z754)),0)</f>
        <v>-0.26781557021300639</v>
      </c>
      <c r="U55" s="1004">
        <v>0</v>
      </c>
      <c r="V55" s="1004">
        <v>505000</v>
      </c>
      <c r="W55" s="1004">
        <v>0</v>
      </c>
      <c r="X55" s="892"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-5405.7300000000023</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-6440.0000000000009</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3030</v>
      </c>
      <c r="AQ55" s="334">
        <f ca="1">_xlfn.LET(_xlpm.MVToday,DataShift!AV555,         _xlpm.MVY,DataShift!AU555,        _xlpm.MVYY, DataShift!AT555,                                IF(_xlpm.MVToday=_xlpm.MVY,_xlpm.MVY-_xlpm.MVYY,_xlpm.MVToday-_xlpm.MVY))</f>
        <v>-725</v>
      </c>
      <c r="AR55" s="334">
        <f ca="1">_xlfn.LET(_xlpm.MVToday,DataShift!AV555,         _xlpm.MVY,DataShift!AU555,        _xlpm.MVYY, DataShift!AT555,         _xlpm.MVYYY, DataShift!AS555,                      IF(_xlpm.MVToday=_xlpm.MVY,      _xlpm.MVYY-_xlpm.MVYYY,          _xlpm.MVY-_xlpm.MVYY))</f>
        <v>-125</v>
      </c>
      <c r="AS55" s="977">
        <f ca="1">TabCalc[[#This Row],[Y]]/TabCalc[[#This Row],[M]]</f>
        <v>2.2286773255813959</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-0.57260452384398253</v>
      </c>
      <c r="AY55" s="82">
        <f t="shared" ca="1" si="5"/>
        <v>0</v>
      </c>
      <c r="AZ55" s="90">
        <f ca="1">_xlfn.XLOOKUP(TabCalc[[#This Row],[Ticker]],[1]!RTData[Ticker_Symbol],[1]!RTData[V/VA])</f>
        <v>0.55366568914956016</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0.55366568914956016</v>
      </c>
      <c r="BC55" s="87" cm="1">
        <f t="array" aca="1" ref="BC55" ca="1">INDEX(TabReg[], 1, _xlfn.XMATCH(TabCalc[[#This Row],[Ticker]]&amp;1, TabReg[#Headers], 0))</f>
        <v>395031</v>
      </c>
      <c r="BD55" s="159">
        <f ca="1">TabCalc[[#This Row],[Nbegin]]*TabCalc[[#This Row],[M]]*TabCalc[[#This Row],[Scale]]+TabCalc[[#This Row],[ValueBegin]]</f>
        <v>-190404.94199999998</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-176696.74724439246</v>
      </c>
      <c r="BH55" s="336">
        <f ca="1">TabCalc[[#This Row],[M_V]]+TabCalc[[#This Row],[ValueBegin]]</f>
        <v>-114746.26999999996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55" s="159" cm="1">
        <f t="array" aca="1" ref="BK55" ca="1">SUMPRODUCT(ISNUMBER(INDIRECT("TabReg["&amp;TabCalc[[#This Row],[Ticker]]&amp;"2]"))* INDIRECT("TabReg["&amp;TabCalc[[#This Row],[Ticker]]&amp;"1]") * INDIRECT("TabReg["&amp;TabCalc[[#This Row],[Ticker]]&amp;"2]") )*TabCalc[[#This Row],[Scale]]*(1+Commission)</f>
        <v>-640084.7015463924</v>
      </c>
      <c r="BL55" s="159">
        <f ca="1">TabCalc[[#This Row],[M_V]]*(1-Commission)+TabCalc[[#This Row],[EfCost]]</f>
        <v>-293548.04554639244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45980.708333333336</v>
      </c>
      <c r="BT55" s="175">
        <f ca="1">(TabCalc[[#This Row],[ValueBegin]]+(TabCalc[[#This Row],[M]]-TabCalc[[#This Row],[A]])*TabCalc[[#This Row],[NAfter]])*TabCalc[[#This Row],[Scale]]</f>
        <v>-753171.06707400002</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-290984.79707400006</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-290984.79707400006</v>
      </c>
      <c r="DB55" s="90">
        <f ca="1">IFERROR((TabCalc[[#This Row],[M]]+TabCalc[[#This Row],[L_Bp]])/ABS(TabCalc[[#This Row],[L_Bp]])/(TODAY()-TabCalc[[#This Row],[L_Bdate]])*360,"")</f>
        <v>-0.86049723267095213</v>
      </c>
      <c r="DC55" s="310">
        <f ca="1">MEDIAN(DataShift!F754:Z754)</f>
        <v>2.9449999999999997E-3</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271781.32799999998</v>
      </c>
      <c r="DF55" s="87" cm="1">
        <f t="array" aca="1" ref="DF55" ca="1">SUMPRODUCT(ISNUMBER(INDIRECT("TabReg["&amp;TabCalc[[#This Row],[Ticker]]&amp;"2]"))* INDIRECT("TabReg["&amp;TabCalc[[#This Row],[Ticker]]&amp;"1]") * INDIRECT("TabReg["&amp;TabCalc[[#This Row],[Ticker]]&amp;"2]") )*TabCalc[[#This Row],[Scale]]</f>
        <v>-638424.797074</v>
      </c>
      <c r="DI55" s="87">
        <f ca="1"/>
        <v>105502.50000000001</v>
      </c>
      <c r="DJ55" s="90">
        <f t="shared" ca="1" si="3"/>
        <v>0.12010409743758901</v>
      </c>
      <c r="DK55" t="str">
        <f ca="1">_xlfn.XLOOKUP(DI55,TabCalc[Column1],TabCalc[Ticker])</f>
        <v>RRC</v>
      </c>
      <c r="DL55" s="87">
        <f ca="1">_xlfn.XLOOKUP(DK55,TabCalc[Ticker],TabCalc[ValueBegin])</f>
        <v>-81837</v>
      </c>
      <c r="DM55" s="87">
        <f ca="1">_xlfn.XLOOKUP(DK55,TabCalc[Ticker],TabCalc[M_V])</f>
        <v>0</v>
      </c>
      <c r="DN55" s="87">
        <f ca="1">_xlfn.XLOOKUP(DK55,TabCalc[Ticker],TabCalc[GL])</f>
        <v>9828.9590219999718</v>
      </c>
      <c r="DO55" s="90"/>
      <c r="DP55" s="90"/>
      <c r="DQ55" s="88" t="s">
        <v>51</v>
      </c>
      <c r="DR55" s="81">
        <v>200</v>
      </c>
      <c r="DS55" s="315">
        <v>-99.51</v>
      </c>
      <c r="DU55" s="82">
        <v>397940</v>
      </c>
      <c r="DV55" s="82">
        <f ca="1">DU55-TabCalc[[#This Row],[M_V]]</f>
        <v>50500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42">
        <f ca="1">_xlfn.XLOOKUP(TabCalc[[#This Row],[Ticker]],DQ$3:DQ$96,DS$3:DS$96)</f>
        <v>-4.33</v>
      </c>
      <c r="E56" s="121">
        <f t="shared" ca="1" si="4"/>
        <v>-43300</v>
      </c>
      <c r="F56" s="82">
        <f ca="1">TabCalc[[#This Row],[NAfter]]*TabCalc[[#This Row],[M]]*TabCalc[[#This Row],[Scale]]</f>
        <v>20450</v>
      </c>
      <c r="G56" s="82">
        <f ca="1">IFERROR(TabCalc[[#This Row],[SB]]-TabCalc[[#This Row],[SST]],TabCalc[[#This Row],[SB]])</f>
        <v>10000</v>
      </c>
      <c r="H56" s="532" t="str">
        <f ca="1">[1]!RTData[[#This Row],[Ticker_Symbol]]</f>
        <v>MVEDDD</v>
      </c>
      <c r="I56" s="383">
        <f ca="1">_xlfn.XLOOKUP(TabCalc[[#This Row],[Ticker]],[1]!RTData[Ticker_Symbol],[1]!RTData[M-Price])</f>
        <v>2.0449999999999999</v>
      </c>
      <c r="J56" s="382">
        <v>2.4500000000000002</v>
      </c>
      <c r="K56" s="381">
        <f ca="1">_xlfn.XLOOKUP(TabCalc[[#This Row],[Ticker]],[1]!RTData[Ticker_Symbol],[1]!RTData[1YT])</f>
        <v>3.25</v>
      </c>
      <c r="L56" s="382">
        <f ca="1">IF(OR(TabCalc[[#This Row],[NAfter]]=0,TabCalc[[#This Row],[EfCost]]&gt;0),0,TabCalc[[#This Row],[EfCost]]/TabCalc[[#This Row],[NAfter]]/TabCalc[[#This Row],[Scale]])</f>
        <v>-1.3023357921000003</v>
      </c>
      <c r="M56" s="732">
        <f ca="1">_xlfn.XLOOKUP(TabCalc[[#This Row],[Ticker]],[1]!RTData[Ticker_Symbol],[1]!RTData[Change%])</f>
        <v>-1.6827000000000002E-2</v>
      </c>
      <c r="N56" s="1065">
        <v>0</v>
      </c>
      <c r="O56" s="892">
        <f>TabCalc[[#This Row],[Up20]]-1+TabCalc[[#This Row],[Up20]]</f>
        <v>-1</v>
      </c>
      <c r="P56" s="892">
        <f>TabCalc[[#This Row],[Up20]]-TabCalc[[#This Row],[Up150]]</f>
        <v>0</v>
      </c>
      <c r="Q56" s="892">
        <v>0</v>
      </c>
      <c r="R56" s="892">
        <f>TabCalc[[#This Row],[Up150]]-1+TabCalc[[#This Row],[Up150]]</f>
        <v>-1</v>
      </c>
      <c r="S56" s="892">
        <f ca="1">IFERROR(SUMPRODUCT(DataShift!F1548:Z1548,DataShift!AB755:AV755)/SQRT(SUMPRODUCT(DataShift!F1548:Z1548,DataShift!F1548:Z1548)*SUMPRODUCT(DataShift!AB755:AV755,DataShift!AB755:AV755)),0)</f>
        <v>-0.8427230875593581</v>
      </c>
      <c r="T56" s="892">
        <f ca="1">IFERROR(SUMPRODUCT(DataShift!F1548:Z1548,DataShift!F755:Z755)/SQRT(SUMPRODUCT(DataShift!F1548:Z1548,DataShift!F1548:Z1548)*SUMPRODUCT(DataShift!F755:Z755,DataShift!F755:Z755)),0)</f>
        <v>0.12233963718166999</v>
      </c>
      <c r="U56" s="1004">
        <v>10000</v>
      </c>
      <c r="V56" s="1004">
        <v>0</v>
      </c>
      <c r="W56" s="1004">
        <v>0</v>
      </c>
      <c r="X56" s="892"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-4050.0000000000023</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-5820.0849999999991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7375</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9575.5000000000018</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-550</v>
      </c>
      <c r="AQ56" s="334">
        <f ca="1">_xlfn.LET(_xlpm.MVToday,DataShift!AV556,         _xlpm.MVY,DataShift!AU556,        _xlpm.MVYY, DataShift!AT556,                                IF(_xlpm.MVToday=_xlpm.MVY,_xlpm.MVY-_xlpm.MVYY,_xlpm.MVToday-_xlpm.MVY))</f>
        <v>-1299.9999999999927</v>
      </c>
      <c r="AR56" s="334">
        <f ca="1">_xlfn.LET(_xlpm.MVToday,DataShift!AV556,         _xlpm.MVY,DataShift!AU556,        _xlpm.MVYY, DataShift!AT556,         _xlpm.MVYYY, DataShift!AS556,                      IF(_xlpm.MVToday=_xlpm.MVY,      _xlpm.MVYY-_xlpm.MVYYY,          _xlpm.MVY-_xlpm.MVYY))</f>
        <v>-3700.0000000000073</v>
      </c>
      <c r="AS56" s="977">
        <f ca="1">TabCalc[[#This Row],[Y]]/TabCalc[[#This Row],[M]]</f>
        <v>1.5892420537897312</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-0.2632597517397029</v>
      </c>
      <c r="AY56" s="82">
        <f t="shared" ca="1" si="5"/>
        <v>0</v>
      </c>
      <c r="AZ56" s="90">
        <f ca="1">_xlfn.XLOOKUP(TabCalc[[#This Row],[Ticker]],[1]!RTData[Ticker_Symbol],[1]!RTData[V/VA])</f>
        <v>0.20013259900261549</v>
      </c>
      <c r="BA56" s="90" t="str" cm="1">
        <f t="array" aca="1" ref="BA56" ca="1">IFERROR(_xlfn.IFS(TabCalc[[#This Row],[Cur]]="USD",Timer!F$27,                TabCalc[[#This Row],[Cur]]="EUR",Timer!F$18,                  TabCalc[[#This Row],[Cur]]="GBP",Timer!F$12,                          TabCalc[[#This Row],[Cur]]="CAD",Timer!F$27,                TabCalc[[#This Row],[Cur]]="JPY",Timer!F$31,                      TabCalc[[#This Row],[Cur]]="CHF",Timer!F$18),"Timing")</f>
        <v>Closed</v>
      </c>
      <c r="BB56" s="90">
        <f ca="1">IF(ISNUMBER(TabCalc[[#This Row],[TimeEX]]),TabCalc[[#This Row],[V/VA]]/TabCalc[[#This Row],[TimeEX]],TabCalc[[#This Row],[V/VA]])</f>
        <v>0.20013259900261549</v>
      </c>
      <c r="BC56" s="87" cm="1">
        <f t="array" aca="1" ref="BC56" ca="1">INDEX(TabReg[], 1, _xlfn.XMATCH(TabCalc[[#This Row],[Ticker]]&amp;1, TabReg[#Headers], 0))</f>
        <v>10000</v>
      </c>
      <c r="BD56" s="159">
        <f ca="1">TabCalc[[#This Row],[Nbegin]]*TabCalc[[#This Row],[M]]*TabCalc[[#This Row],[Scale]]+TabCalc[[#This Row],[ValueBegin]]</f>
        <v>-22850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-22850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K56" s="159" cm="1">
        <f t="array" aca="1" ref="BK56" ca="1">SUMPRODUCT(ISNUMBER(INDIRECT("TabReg["&amp;TabCalc[[#This Row],[Ticker]]&amp;"2]"))* INDIRECT("TabReg["&amp;TabCalc[[#This Row],[Ticker]]&amp;"1]") * INDIRECT("TabReg["&amp;TabCalc[[#This Row],[Ticker]]&amp;"2]") )*TabCalc[[#This Row],[Scale]]*(1+Commission)</f>
        <v>-13023.357921000003</v>
      </c>
      <c r="BL56" s="159">
        <f ca="1">TabCalc[[#This Row],[M_V]]*(1-Commission)+TabCalc[[#This Row],[EfCost]]</f>
        <v>7373.4720789999956</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1.74</v>
      </c>
      <c r="BR56" s="174" t="str">
        <f ca="1">IF(TabCalc[[#This Row],[EfCost]]+TabCalc[[#This Row],[M_V]]&lt;TabCalc[[#This Row],[NoT_GL]],"Pile","")</f>
        <v/>
      </c>
      <c r="BS56" s="165">
        <f ca="1">_xlfn.XLOOKUP(TabCalc[[#This Row],[Ticker]],[1]!RTData[Ticker_Symbol],[1]!RTData[Last trade time])</f>
        <v>45980.727311353905</v>
      </c>
      <c r="BT56" s="175">
        <f ca="1">(TabCalc[[#This Row],[ValueBegin]]+(TabCalc[[#This Row],[M]]-TabCalc[[#This Row],[A]])*TabCalc[[#This Row],[NAfter]])*TabCalc[[#This Row],[Scale]]</f>
        <v>-47350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-4050.0000000000023</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3389.8305084745762</v>
      </c>
      <c r="CV56" s="404">
        <f ca="1">IF(TabCalc[[#This Row],[ntoBuy]]*TabCalc[[#This Row],[M]]&lt;=0,0,TabCalc[[#This Row],[ntoBuy]]*TabCalc[[#This Row],[M]])</f>
        <v>6932.2033898305081</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-4050.0000000000023</v>
      </c>
      <c r="DB56" s="90">
        <f ca="1">IFERROR((TabCalc[[#This Row],[M]]+TabCalc[[#This Row],[L_Bp]])/ABS(TabCalc[[#This Row],[L_Bp]])/(TODAY()-TabCalc[[#This Row],[L_Bdate]])*360,"")</f>
        <v>-0.1377551020408164</v>
      </c>
      <c r="DC56" s="310">
        <f ca="1">MEDIAN(DataShift!F755:Z755)</f>
        <v>-5.9170000000000004E-3</v>
      </c>
      <c r="DD56" s="310" t="e"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6" s="87">
        <f ca="1">TabCalc[[#This Row],[Nbegin]]*TabCalc[[#This Row],[Scale]]*TabCalc[[#This Row],[M]]</f>
        <v>20450</v>
      </c>
      <c r="DF56" s="87" cm="1">
        <f t="array" aca="1" ref="DF56" ca="1">SUMPRODUCT(ISNUMBER(INDIRECT("TabReg["&amp;TabCalc[[#This Row],[Ticker]]&amp;"2]"))* INDIRECT("TabReg["&amp;TabCalc[[#This Row],[Ticker]]&amp;"1]") * INDIRECT("TabReg["&amp;TabCalc[[#This Row],[Ticker]]&amp;"2]") )*TabCalc[[#This Row],[Scale]]</f>
        <v>-12989.585000000003</v>
      </c>
      <c r="DI56" s="87">
        <f ca="1"/>
        <v>100594</v>
      </c>
      <c r="DJ56" s="90">
        <f t="shared" ca="1" si="3"/>
        <v>1.1851383827131012</v>
      </c>
      <c r="DK56" t="str">
        <f ca="1">_xlfn.XLOOKUP(DI56,TabCalc[Column1],TabCalc[Ticker])</f>
        <v>MVEORA</v>
      </c>
      <c r="DL56" s="87">
        <f ca="1">_xlfn.XLOOKUP(DK56,TabCalc[Ticker],TabCalc[ValueBegin])</f>
        <v>-78723.200000000012</v>
      </c>
      <c r="DM56" s="87">
        <f ca="1">_xlfn.XLOOKUP(DK56,TabCalc[Ticker],TabCalc[M_V])</f>
        <v>272844</v>
      </c>
      <c r="DN56" s="87">
        <f ca="1">_xlfn.XLOOKUP(DK56,TabCalc[Ticker],TabCalc[GL])</f>
        <v>93297.885930000019</v>
      </c>
      <c r="DO56" s="90"/>
      <c r="DP56" s="90"/>
      <c r="DQ56" s="88" t="s">
        <v>52</v>
      </c>
      <c r="DR56" s="81">
        <v>800</v>
      </c>
      <c r="DS56" s="315">
        <v>-69.207787499999995</v>
      </c>
      <c r="DU56" s="82">
        <v>26250</v>
      </c>
      <c r="DV56" s="82">
        <f ca="1">DU56-TabCalc[[#This Row],[M_V]]</f>
        <v>5800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42">
        <f ca="1">_xlfn.XLOOKUP(TabCalc[[#This Row],[Ticker]],DQ$3:DQ$96,DS$3:DS$96)</f>
        <v>-44</v>
      </c>
      <c r="E57" s="121">
        <f t="shared" ca="1" si="4"/>
        <v>-88000</v>
      </c>
      <c r="F57" s="82">
        <f ca="1">TabCalc[[#This Row],[NAfter]]*TabCalc[[#This Row],[M]]*TabCalc[[#This Row],[Scale]]</f>
        <v>280560</v>
      </c>
      <c r="G57" s="82">
        <f ca="1">IFERROR(TabCalc[[#This Row],[SB]]-TabCalc[[#This Row],[SST]],TabCalc[[#This Row],[SB]])</f>
        <v>12000</v>
      </c>
      <c r="H57" s="532" t="str">
        <f ca="1">[1]!RTData[[#This Row],[Ticker_Symbol]]</f>
        <v>MVEDSY</v>
      </c>
      <c r="I57" s="383">
        <f ca="1">_xlfn.XLOOKUP(TabCalc[[#This Row],[Ticker]],[1]!RTData[Ticker_Symbol],[1]!RTData[M-Price])</f>
        <v>23.38</v>
      </c>
      <c r="J57" s="382">
        <v>33.637500000000003</v>
      </c>
      <c r="K57" s="381">
        <f ca="1">_xlfn.XLOOKUP(TabCalc[[#This Row],[Ticker]],[1]!RTData[Ticker_Symbol],[1]!RTData[1YT])</f>
        <v>31.877780000000001</v>
      </c>
      <c r="L57" s="382">
        <f ca="1">IF(OR(TabCalc[[#This Row],[NAfter]]=0,TabCalc[[#This Row],[EfCost]]&gt;0),0,TabCalc[[#This Row],[EfCost]]/TabCalc[[#This Row],[NAfter]]/TabCalc[[#This Row],[Scale]])</f>
        <v>-33.382184935799998</v>
      </c>
      <c r="M57" s="732">
        <f ca="1">_xlfn.XLOOKUP(TabCalc[[#This Row],[Ticker]],[1]!RTData[Ticker_Symbol],[1]!RTData[Change%])</f>
        <v>8.6280000000000003E-3</v>
      </c>
      <c r="N57" s="1065">
        <v>0</v>
      </c>
      <c r="O57" s="892">
        <f>TabCalc[[#This Row],[Up20]]-1+TabCalc[[#This Row],[Up20]]</f>
        <v>-1</v>
      </c>
      <c r="P57" s="892">
        <f>TabCalc[[#This Row],[Up20]]-TabCalc[[#This Row],[Up150]]</f>
        <v>-0.5</v>
      </c>
      <c r="Q57" s="892">
        <v>0.5</v>
      </c>
      <c r="R57" s="892">
        <f>TabCalc[[#This Row],[Up150]]-1+TabCalc[[#This Row],[Up150]]</f>
        <v>0</v>
      </c>
      <c r="S57" s="892">
        <f ca="1">IFERROR(SUMPRODUCT(DataShift!F1549:Z1549,DataShift!AB756:AV756)/SQRT(SUMPRODUCT(DataShift!F1549:Z1549,DataShift!F1549:Z1549)*SUMPRODUCT(DataShift!AB756:AV756,DataShift!AB756:AV756)),0)</f>
        <v>-0.62308862411558119</v>
      </c>
      <c r="T57" s="892">
        <f ca="1">IFERROR(SUMPRODUCT(DataShift!F1549:Z1549,DataShift!F756:Z756)/SQRT(SUMPRODUCT(DataShift!F1549:Z1549,DataShift!F1549:Z1549)*SUMPRODUCT(DataShift!F756:Z756,DataShift!F756:Z756)),0)</f>
        <v>0.26996663869361404</v>
      </c>
      <c r="U57" s="1004">
        <v>0</v>
      </c>
      <c r="V57" s="1004">
        <v>12000</v>
      </c>
      <c r="W57" s="1004">
        <v>0</v>
      </c>
      <c r="X57" s="892"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2,484 = $ 58,075</v>
      </c>
      <c r="Z57" s="211">
        <f ca="1">MIN(TabCalc[[#This Row],[L_Bn]],TabCalc[[#This Row],[NAfter]])*(TabCalc[[#This Row],[M]]+TabCalc[[#This Row],[L_Bp]])*TabCalc[[#This Row],[Scale]]</f>
        <v>-10260</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-3990</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16630</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17215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2160</v>
      </c>
      <c r="AQ57" s="334">
        <f ca="1">_xlfn.LET(_xlpm.MVToday,DataShift!AV557,         _xlpm.MVY,DataShift!AU557,        _xlpm.MVYY, DataShift!AT557,                                IF(_xlpm.MVToday=_xlpm.MVY,_xlpm.MVY-_xlpm.MVYY,_xlpm.MVToday-_xlpm.MVY))</f>
        <v>9090</v>
      </c>
      <c r="AR57" s="334">
        <f ca="1">_xlfn.LET(_xlpm.MVToday,DataShift!AV557,         _xlpm.MVY,DataShift!AU557,        _xlpm.MVYY, DataShift!AT557,         _xlpm.MVYYY, DataShift!AS557,                      IF(_xlpm.MVToday=_xlpm.MVY,      _xlpm.MVYY-_xlpm.MVYYY,          _xlpm.MVY-_xlpm.MVYY))</f>
        <v>2020</v>
      </c>
      <c r="AS57" s="977">
        <f ca="1">TabCalc[[#This Row],[Y]]/TabCalc[[#This Row],[M]]</f>
        <v>1.363463644140291</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-0.82334883302728135</v>
      </c>
      <c r="AY57" s="82">
        <f t="shared" ca="1" si="5"/>
        <v>0</v>
      </c>
      <c r="AZ57" s="90">
        <f ca="1">_xlfn.XLOOKUP(TabCalc[[#This Row],[Ticker]],[1]!RTData[Ticker_Symbol],[1]!RTData[V/VA])</f>
        <v>1.4375302511891848</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1.4375302511891848</v>
      </c>
      <c r="BC57" s="87" cm="1">
        <f t="array" aca="1" ref="BC57" ca="1">INDEX(TabReg[], 1, _xlfn.XMATCH(TabCalc[[#This Row],[Ticker]]&amp;1, TabReg[#Headers], 0))</f>
        <v>2000</v>
      </c>
      <c r="BD57" s="159">
        <f ca="1">TabCalc[[#This Row],[Nbegin]]*TabCalc[[#This Row],[M]]*TabCalc[[#This Row],[Scale]]+TabCalc[[#This Row],[ValueBegin]]</f>
        <v>-41240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-312357.4192296</v>
      </c>
      <c r="BH57" s="336">
        <f ca="1">TabCalc[[#This Row],[M_V]]+TabCalc[[#This Row],[ValueBegin]]</f>
        <v>192560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K57" s="159" cm="1">
        <f t="array" aca="1" ref="BK57" ca="1">SUMPRODUCT(ISNUMBER(INDIRECT("TabReg["&amp;TabCalc[[#This Row],[Ticker]]&amp;"2]"))* INDIRECT("TabReg["&amp;TabCalc[[#This Row],[Ticker]]&amp;"1]") * INDIRECT("TabReg["&amp;TabCalc[[#This Row],[Ticker]]&amp;"2]") )*TabCalc[[#This Row],[Scale]]*(1+Commission)</f>
        <v>-400586.21922959998</v>
      </c>
      <c r="BL57" s="159">
        <f ca="1">TabCalc[[#This Row],[M_V]]*(1-Commission)+TabCalc[[#This Row],[EfCost]]</f>
        <v>-120755.67522959999</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44.97</v>
      </c>
      <c r="BR57" s="174" t="str">
        <f ca="1">IF(TabCalc[[#This Row],[EfCost]]+TabCalc[[#This Row],[M_V]]&lt;TabCalc[[#This Row],[NoT_GL]],"Pile","")</f>
        <v>Pile</v>
      </c>
      <c r="BS57" s="165">
        <f ca="1">_xlfn.XLOOKUP(TabCalc[[#This Row],[Ticker]],[1]!RTData[Ticker_Symbol],[1]!RTData[Last trade time])</f>
        <v>45980.708333333336</v>
      </c>
      <c r="BT57" s="175">
        <f ca="1">(TabCalc[[#This Row],[ValueBegin]]+(TabCalc[[#This Row],[M]]-TabCalc[[#This Row],[A]])*TabCalc[[#This Row],[NAfter]])*TabCalc[[#This Row],[Scale]]</f>
        <v>-211090.00000000006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-123090.00000000004</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300.66145520144318</v>
      </c>
      <c r="CV57" s="404">
        <f ca="1">IF(TabCalc[[#This Row],[ntoBuy]]*TabCalc[[#This Row],[M]]&lt;=0,0,TabCalc[[#This Row],[ntoBuy]]*TabCalc[[#This Row],[M]])</f>
        <v>7029.4648226097415</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-123090.00000000004</v>
      </c>
      <c r="DB57" s="90">
        <f ca="1">IFERROR((TabCalc[[#This Row],[M]]+TabCalc[[#This Row],[L_Bp]])/ABS(TabCalc[[#This Row],[L_Bp]])/(TODAY()-TabCalc[[#This Row],[L_Bdate]])*360,"")</f>
        <v>-0.55809905442281715</v>
      </c>
      <c r="DC57" s="310">
        <f ca="1">MEDIAN(DataShift!F756:Z756)</f>
        <v>-2.3809999999999999E-3</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46760</v>
      </c>
      <c r="DF57" s="87" cm="1">
        <f t="array" aca="1" ref="DF57" ca="1">SUMPRODUCT(ISNUMBER(INDIRECT("TabReg["&amp;TabCalc[[#This Row],[Ticker]]&amp;"2]"))* INDIRECT("TabReg["&amp;TabCalc[[#This Row],[Ticker]]&amp;"1]") * INDIRECT("TabReg["&amp;TabCalc[[#This Row],[Ticker]]&amp;"2]") )*TabCalc[[#This Row],[Scale]]</f>
        <v>-399547.39600000001</v>
      </c>
      <c r="DI57" s="87">
        <f ca="1"/>
        <v>89832.24</v>
      </c>
      <c r="DJ57" s="90">
        <f t="shared" ca="1" si="3"/>
        <v>0.30120462068322407</v>
      </c>
      <c r="DK57" t="str">
        <f ca="1">_xlfn.XLOOKUP(DI57,TabCalc[Column1],TabCalc[Ticker])</f>
        <v>EZJ</v>
      </c>
      <c r="DL57" s="87">
        <f ca="1">_xlfn.XLOOKUP(DK57,TabCalc[Ticker],TabCalc[ValueBegin])</f>
        <v>-99727.2</v>
      </c>
      <c r="DM57" s="87">
        <f ca="1">_xlfn.XLOOKUP(DK57,TabCalc[Ticker],TabCalc[M_V])</f>
        <v>138630</v>
      </c>
      <c r="DN57" s="87">
        <f ca="1">_xlfn.XLOOKUP(DK57,TabCalc[Ticker],TabCalc[GL])</f>
        <v>30038.293447800024</v>
      </c>
      <c r="DO57" s="90"/>
      <c r="DP57" s="90"/>
      <c r="DQ57" s="88" t="s">
        <v>53</v>
      </c>
      <c r="DR57" s="81">
        <v>30000</v>
      </c>
      <c r="DS57" s="315">
        <v>-1.19</v>
      </c>
      <c r="DU57" s="82">
        <v>288480</v>
      </c>
      <c r="DV57" s="82">
        <f ca="1">DU57-TabCalc[[#This Row],[M_V]]</f>
        <v>7920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42">
        <f ca="1">_xlfn.XLOOKUP(TabCalc[[#This Row],[Ticker]],DQ$3:DQ$96,DS$3:DS$96)</f>
        <v>-11.0603</v>
      </c>
      <c r="E58" s="121">
        <f t="shared" ca="1" si="4"/>
        <v>-221206</v>
      </c>
      <c r="F58" s="82">
        <f ca="1">TabCalc[[#This Row],[NAfter]]*TabCalc[[#This Row],[M]]*TabCalc[[#This Row],[Scale]]</f>
        <v>153</v>
      </c>
      <c r="G58" s="82">
        <f ca="1">IFERROR(TabCalc[[#This Row],[SB]]-TabCalc[[#This Row],[SST]],TabCalc[[#This Row],[SB]])</f>
        <v>10</v>
      </c>
      <c r="H58" s="532" t="str">
        <f ca="1">[1]!RTData[[#This Row],[Ticker_Symbol]]</f>
        <v>MVEEOAN</v>
      </c>
      <c r="I58" s="383">
        <f ca="1">_xlfn.XLOOKUP(TabCalc[[#This Row],[Ticker]],[1]!RTData[Ticker_Symbol],[1]!RTData[M-Price])</f>
        <v>15.3</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-2.6079999999999996E-3</v>
      </c>
      <c r="N58" s="1065">
        <v>0</v>
      </c>
      <c r="O58" s="892">
        <f>TabCalc[[#This Row],[Up20]]-1+TabCalc[[#This Row],[Up20]]</f>
        <v>-1</v>
      </c>
      <c r="P58" s="892">
        <f>TabCalc[[#This Row],[Up20]]-TabCalc[[#This Row],[Up150]]</f>
        <v>0</v>
      </c>
      <c r="Q58" s="892">
        <v>0</v>
      </c>
      <c r="R58" s="892">
        <f>TabCalc[[#This Row],[Up150]]-1+TabCalc[[#This Row],[Up150]]</f>
        <v>-1</v>
      </c>
      <c r="S58" s="892">
        <f ca="1">IFERROR(SUMPRODUCT(DataShift!F1550:Z1550,DataShift!AB757:AV757)/SQRT(SUMPRODUCT(DataShift!F1550:Z1550,DataShift!F1550:Z1550)*SUMPRODUCT(DataShift!AB757:AV757,DataShift!AB757:AV757)),0)</f>
        <v>-0.77475946337326973</v>
      </c>
      <c r="T58" s="892">
        <f ca="1">IFERROR(SUMPRODUCT(DataShift!F1550:Z1550,DataShift!F757:Z757)/SQRT(SUMPRODUCT(DataShift!F1550:Z1550,DataShift!F1550:Z1550)*SUMPRODUCT(DataShift!F757:Z757,DataShift!F757:Z757)),0)</f>
        <v>0.30117342671352998</v>
      </c>
      <c r="U58" s="1004">
        <v>10</v>
      </c>
      <c r="V58" s="1004">
        <v>0</v>
      </c>
      <c r="W58" s="1004">
        <v>0</v>
      </c>
      <c r="X58" s="892"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42.400000000000006</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46.350000000000016</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-8192.6</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-10946.070000000002</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-0.15000000000000568</v>
      </c>
      <c r="AQ58" s="334">
        <f ca="1">_xlfn.LET(_xlpm.MVToday,DataShift!AV558,         _xlpm.MVY,DataShift!AU558,        _xlpm.MVYY, DataShift!AT558,                                IF(_xlpm.MVToday=_xlpm.MVY,_xlpm.MVY-_xlpm.MVYY,_xlpm.MVToday-_xlpm.MVY))</f>
        <v>-350</v>
      </c>
      <c r="AR58" s="334">
        <f ca="1">_xlfn.LET(_xlpm.MVToday,DataShift!AV558,         _xlpm.MVY,DataShift!AU558,        _xlpm.MVYY, DataShift!AT558,         _xlpm.MVYYY, DataShift!AS558,                      IF(_xlpm.MVToday=_xlpm.MVY,      _xlpm.MVYY-_xlpm.MVYYY,          _xlpm.MVY-_xlpm.MVYY))</f>
        <v>-800</v>
      </c>
      <c r="AS58" s="977">
        <f ca="1">TabCalc[[#This Row],[Y]]/TabCalc[[#This Row],[M]]</f>
        <v>1.1058555555555554</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-1.641096026997807E-2</v>
      </c>
      <c r="AY58" s="82">
        <f t="shared" ca="1" si="5"/>
        <v>19990</v>
      </c>
      <c r="AZ58" s="90">
        <f ca="1">_xlfn.XLOOKUP(TabCalc[[#This Row],[Ticker]],[1]!RTData[Ticker_Symbol],[1]!RTData[V/VA])</f>
        <v>3.4286087467618696E-4</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3.4286087467618696E-4</v>
      </c>
      <c r="BC58" s="87" cm="1">
        <f t="array" aca="1" ref="BC58" ca="1">INDEX(TabReg[], 1, _xlfn.XMATCH(TabCalc[[#This Row],[Ticker]]&amp;1, TabReg[#Headers], 0))</f>
        <v>20000</v>
      </c>
      <c r="BD58" s="159">
        <f ca="1">TabCalc[[#This Row],[Nbegin]]*TabCalc[[#This Row],[M]]*TabCalc[[#This Row],[Scale]]+TabCalc[[#This Row],[ValueBegin]]</f>
        <v>84794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-221053</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K58" s="159" cm="1">
        <f t="array" aca="1" ref="BK58" ca="1">SUMPRODUCT(ISNUMBER(INDIRECT("TabReg["&amp;TabCalc[[#This Row],[Ticker]]&amp;"2]"))* INDIRECT("TabReg["&amp;TabCalc[[#This Row],[Ticker]]&amp;"1]") * INDIRECT("TabReg["&amp;TabCalc[[#This Row],[Ticker]]&amp;"2]") )*TabCalc[[#This Row],[Scale]]*(1+Commission)</f>
        <v>18006.580701000017</v>
      </c>
      <c r="BL58" s="159">
        <f ca="1">TabCalc[[#This Row],[M_V]]*(1-Commission)+TabCalc[[#This Row],[EfCost]]</f>
        <v>18159.182901000018</v>
      </c>
      <c r="BM58" s="159">
        <f ca="1">IF(        OR( TabCalc[[#This Row],[GL]]&gt;ABS(TabCalc[[#This Row],[EfCost]]),TabCalc[[#This Row],[NAfter]]=0),             TabCalc[[#This Row],[GL]],     0)</f>
        <v>18159.182901000018</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45980.71597222222</v>
      </c>
      <c r="BT58" s="175">
        <f ca="1">(TabCalc[[#This Row],[ValueBegin]]+(TabCalc[[#This Row],[M]]-TabCalc[[#This Row],[A]])*TabCalc[[#This Row],[NAfter]])*TabCalc[[#This Row],[Scale]]</f>
        <v>-221163.6</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42.400000000000006</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153</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42.400000000000006</v>
      </c>
      <c r="DB58" s="90">
        <f ca="1">IFERROR((TabCalc[[#This Row],[M]]+TabCalc[[#This Row],[L_Bp]])/ABS(TabCalc[[#This Row],[L_Bp]])/(TODAY()-TabCalc[[#This Row],[L_Bdate]])*360,"")</f>
        <v>0.45698956923703338</v>
      </c>
      <c r="DC58" s="310">
        <f ca="1">MEDIAN(DataShift!F757:Z757)</f>
        <v>-1.1110999999999999E-2</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306000</v>
      </c>
      <c r="DF58" s="87" cm="1">
        <f t="array" aca="1" ref="DF58" ca="1">SUMPRODUCT(ISNUMBER(INDIRECT("TabReg["&amp;TabCalc[[#This Row],[Ticker]]&amp;"2]"))* INDIRECT("TabReg["&amp;TabCalc[[#This Row],[Ticker]]&amp;"1]") * INDIRECT("TabReg["&amp;TabCalc[[#This Row],[Ticker]]&amp;"2]") )*TabCalc[[#This Row],[Scale]]</f>
        <v>17959.885000000017</v>
      </c>
      <c r="DI58" s="87">
        <f ca="1"/>
        <v>81800</v>
      </c>
      <c r="DJ58" s="90">
        <f t="shared" ca="1" si="3"/>
        <v>-0.82185895751637927</v>
      </c>
      <c r="DK58" t="str">
        <f ca="1">_xlfn.XLOOKUP(DI58,TabCalc[Column1],TabCalc[Ticker])</f>
        <v>DDD</v>
      </c>
      <c r="DL58" s="87">
        <f ca="1">_xlfn.XLOOKUP(DK58,TabCalc[Ticker],TabCalc[ValueBegin])</f>
        <v>-414395</v>
      </c>
      <c r="DM58" s="87">
        <f ca="1">_xlfn.XLOOKUP(DK58,TabCalc[Ticker],TabCalc[M_V])</f>
        <v>173825</v>
      </c>
      <c r="DN58" s="87">
        <f ca="1">_xlfn.XLOOKUP(DK58,TabCalc[Ticker],TabCalc[GL])</f>
        <v>-340574.2427</v>
      </c>
      <c r="DO58" s="90"/>
      <c r="DP58" s="90"/>
      <c r="DQ58" s="88" t="s">
        <v>54</v>
      </c>
      <c r="DR58" s="81">
        <v>395031</v>
      </c>
      <c r="DS58" s="315">
        <v>-1.17</v>
      </c>
      <c r="DU58" s="82">
        <v>157.5</v>
      </c>
      <c r="DV58" s="82">
        <f ca="1">DU58-TabCalc[[#This Row],[M_V]]</f>
        <v>4.5</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42">
        <f ca="1">_xlfn.XLOOKUP(TabCalc[[#This Row],[Ticker]],DQ$3:DQ$96,DS$3:DS$96)</f>
        <v>-15.592599999999999</v>
      </c>
      <c r="E59" s="121">
        <f t="shared" ca="1" si="4"/>
        <v>-155926</v>
      </c>
      <c r="F59" s="82">
        <f ca="1">TabCalc[[#This Row],[NAfter]]*TabCalc[[#This Row],[M]]*TabCalc[[#This Row],[Scale]]</f>
        <v>583848</v>
      </c>
      <c r="G59" s="82">
        <f ca="1">IFERROR(TabCalc[[#This Row],[SB]]-TabCalc[[#This Row],[SST]],TabCalc[[#This Row],[SB]])</f>
        <v>36000</v>
      </c>
      <c r="H59" s="532" t="str">
        <f ca="1">[1]!RTData[[#This Row],[Ticker_Symbol]]</f>
        <v>MVEENI</v>
      </c>
      <c r="I59" s="383">
        <f ca="1">_xlfn.XLOOKUP(TabCalc[[#This Row],[Ticker]],[1]!RTData[Ticker_Symbol],[1]!RTData[M-Price])</f>
        <v>16.218</v>
      </c>
      <c r="J59" s="382">
        <v>13.428522222222222</v>
      </c>
      <c r="K59" s="381">
        <f ca="1">_xlfn.XLOOKUP(TabCalc[[#This Row],[Ticker]],[1]!RTData[Ticker_Symbol],[1]!RTData[1YT])</f>
        <v>16.122730000000001</v>
      </c>
      <c r="L59" s="382">
        <f ca="1">IF(OR(TabCalc[[#This Row],[NAfter]]=0,TabCalc[[#This Row],[EfCost]]&gt;0),0,TabCalc[[#This Row],[EfCost]]/TabCalc[[#This Row],[NAfter]]/TabCalc[[#This Row],[Scale]])</f>
        <v>-13.893507832700001</v>
      </c>
      <c r="M59" s="732">
        <f ca="1">_xlfn.XLOOKUP(TabCalc[[#This Row],[Ticker]],[1]!RTData[Ticker_Symbol],[1]!RTData[Change%])</f>
        <v>-6.8589999999999996E-3</v>
      </c>
      <c r="N59" s="1065">
        <v>0</v>
      </c>
      <c r="O59" s="892">
        <f>TabCalc[[#This Row],[Up20]]-1+TabCalc[[#This Row],[Up20]]</f>
        <v>-1</v>
      </c>
      <c r="P59" s="892">
        <f>TabCalc[[#This Row],[Up20]]-TabCalc[[#This Row],[Up150]]</f>
        <v>-0.25</v>
      </c>
      <c r="Q59" s="892">
        <v>0.25</v>
      </c>
      <c r="R59" s="892">
        <f>TabCalc[[#This Row],[Up150]]-1+TabCalc[[#This Row],[Up150]]</f>
        <v>-0.5</v>
      </c>
      <c r="S59" s="892">
        <f ca="1">IFERROR(SUMPRODUCT(DataShift!F1551:Z1551,DataShift!AB758:AV758)/SQRT(SUMPRODUCT(DataShift!F1551:Z1551,DataShift!F1551:Z1551)*SUMPRODUCT(DataShift!AB758:AV758,DataShift!AB758:AV758)),0)</f>
        <v>-0.81298166211459932</v>
      </c>
      <c r="T59" s="892">
        <f ca="1">IFERROR(SUMPRODUCT(DataShift!F1551:Z1551,DataShift!F758:Z758)/SQRT(SUMPRODUCT(DataShift!F1551:Z1551,DataShift!F1551:Z1551)*SUMPRODUCT(DataShift!F758:Z758,DataShift!F758:Z758)),0)</f>
        <v>0.16420004395183599</v>
      </c>
      <c r="U59" s="1004">
        <v>36000</v>
      </c>
      <c r="V59" s="1004">
        <v>0</v>
      </c>
      <c r="W59" s="1004">
        <v>0</v>
      </c>
      <c r="X59" s="892"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26063.999999999993</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7256</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-4392.0000000000027</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-14224.000000000004</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-5832</v>
      </c>
      <c r="AQ59" s="334">
        <f ca="1">_xlfn.LET(_xlpm.MVToday,DataShift!AV559,         _xlpm.MVY,DataShift!AU559,        _xlpm.MVYY, DataShift!AT559,                                IF(_xlpm.MVToday=_xlpm.MVY,_xlpm.MVY-_xlpm.MVYY,_xlpm.MVToday-_xlpm.MVY))</f>
        <v>2520</v>
      </c>
      <c r="AR59" s="334">
        <f ca="1">_xlfn.LET(_xlpm.MVToday,DataShift!AV559,         _xlpm.MVY,DataShift!AU559,        _xlpm.MVYY, DataShift!AT559,         _xlpm.MVYYY, DataShift!AS559,                      IF(_xlpm.MVToday=_xlpm.MVY,      _xlpm.MVYY-_xlpm.MVYYY,          _xlpm.MVY-_xlpm.MVYY))</f>
        <v>-9840</v>
      </c>
      <c r="AS59" s="977">
        <f ca="1">TabCalc[[#This Row],[Y]]/TabCalc[[#This Row],[M]]</f>
        <v>0.99412566284375392</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3.3069879958551941E-6</v>
      </c>
      <c r="AY59" s="82">
        <f t="shared" ca="1" si="5"/>
        <v>0</v>
      </c>
      <c r="AZ59" s="90">
        <f ca="1">_xlfn.XLOOKUP(TabCalc[[#This Row],[Ticker]],[1]!RTData[Ticker_Symbol],[1]!RTData[V/VA])</f>
        <v>0.92243783340360397</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0.92243783340360397</v>
      </c>
      <c r="BC59" s="87" cm="1">
        <f t="array" aca="1" ref="BC59" ca="1">INDEX(TabReg[], 1, _xlfn.XMATCH(TabCalc[[#This Row],[Ticker]]&amp;1, TabReg[#Headers], 0))</f>
        <v>10000</v>
      </c>
      <c r="BD59" s="159">
        <f ca="1">TabCalc[[#This Row],[Nbegin]]*TabCalc[[#This Row],[M]]*TabCalc[[#This Row],[Scale]]+TabCalc[[#This Row],[ValueBegin]]</f>
        <v>6254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-343834.87437720003</v>
      </c>
      <c r="BH59" s="336">
        <f ca="1">TabCalc[[#This Row],[M_V]]+TabCalc[[#This Row],[ValueBegin]]</f>
        <v>427922</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K59" s="159" cm="1">
        <f t="array" aca="1" ref="BK59" ca="1">SUMPRODUCT(ISNUMBER(INDIRECT("TabReg["&amp;TabCalc[[#This Row],[Ticker]]&amp;"2]"))* INDIRECT("TabReg["&amp;TabCalc[[#This Row],[Ticker]]&amp;"1]") * INDIRECT("TabReg["&amp;TabCalc[[#This Row],[Ticker]]&amp;"2]") )*TabCalc[[#This Row],[Scale]]*(1+Commission)</f>
        <v>-500166.28197720001</v>
      </c>
      <c r="BL59" s="159">
        <f ca="1">TabCalc[[#This Row],[M_V]]*(1-Commission)+TabCalc[[#This Row],[EfCost]]</f>
        <v>82163.713222799997</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45980.708333333336</v>
      </c>
      <c r="BT59" s="175">
        <f ca="1">(TabCalc[[#This Row],[ValueBegin]]+(TabCalc[[#This Row],[M]]-TabCalc[[#This Row],[A]])*TabCalc[[#This Row],[NAfter]])*TabCalc[[#This Row],[Scale]]</f>
        <v>-55504.799999999988</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100421.20000000001</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1534.6838551258445</v>
      </c>
      <c r="CX59" s="405">
        <f ca="1">TabCalc[[#This Row],[ntoSell]]*TabCalc[[#This Row],[M]]</f>
        <v>24889.502762430948</v>
      </c>
      <c r="CY59" s="398">
        <f ca="1">_xlfn.LET(_xlpm.nToSell,IF(TabCalc[[#This Row],[M]]-TabCalc[[#This Row],[A]]&lt;=0,"",INT(DesiredSaleGain/(TabCalc[[#This Row],[M]]-IF(TabCalc[[#This Row],[E]]&gt;0,0,TabCalc[[#This Row],[A]])))),IF(_xlpm.nToSell&lt;=TabCalc[[#This Row],[NAfter]],_xlpm.nToSell,0))</f>
        <v>1792</v>
      </c>
      <c r="CZ59" s="336">
        <f ca="1">IFERROR(TabCalc[[#This Row],[NMA]]*TabCalc[[#This Row],[M]],"")</f>
        <v>29062.655999999999</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100421.20000000001</v>
      </c>
      <c r="DB59" s="90">
        <f ca="1">IFERROR((TabCalc[[#This Row],[M]]+TabCalc[[#This Row],[L_Bp]])/ABS(TabCalc[[#This Row],[L_Bp]])/(TODAY()-TabCalc[[#This Row],[L_Bdate]])*360,"")</f>
        <v>0.52312138728323687</v>
      </c>
      <c r="DC59" s="310">
        <f ca="1">MEDIAN(DataShift!F758:Z758)</f>
        <v>-2.496E-3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162180</v>
      </c>
      <c r="DF59" s="87" cm="1">
        <f t="array" aca="1" ref="DF59" ca="1">SUMPRODUCT(ISNUMBER(INDIRECT("TabReg["&amp;TabCalc[[#This Row],[Ticker]]&amp;"2]"))* INDIRECT("TabReg["&amp;TabCalc[[#This Row],[Ticker]]&amp;"1]") * INDIRECT("TabReg["&amp;TabCalc[[#This Row],[Ticker]]&amp;"2]") )*TabCalc[[#This Row],[Scale]]</f>
        <v>-498869.22200000007</v>
      </c>
      <c r="DI59" s="87">
        <f ca="1"/>
        <v>80789.499999999985</v>
      </c>
      <c r="DJ59" s="90">
        <f t="shared" ca="1" si="3"/>
        <v>0.10043645178889357</v>
      </c>
      <c r="DK59" t="str">
        <f ca="1">_xlfn.XLOOKUP(DI59,TabCalc[Column1],TabCalc[Ticker])</f>
        <v>GNRC</v>
      </c>
      <c r="DL59" s="87">
        <f ca="1">_xlfn.XLOOKUP(DK59,TabCalc[Ticker],TabCalc[ValueBegin])</f>
        <v>-104478</v>
      </c>
      <c r="DM59" s="87">
        <f ca="1">_xlfn.XLOOKUP(DK59,TabCalc[Ticker],TabCalc[M_V])</f>
        <v>132201</v>
      </c>
      <c r="DN59" s="87">
        <f ca="1">_xlfn.XLOOKUP(DK59,TabCalc[Ticker],TabCalc[GL])</f>
        <v>10493.399610000022</v>
      </c>
      <c r="DO59" s="90"/>
      <c r="DP59" s="90"/>
      <c r="DQ59" s="88" t="s">
        <v>55</v>
      </c>
      <c r="DR59" s="81">
        <v>10000</v>
      </c>
      <c r="DS59" s="315">
        <v>-4.33</v>
      </c>
      <c r="DU59" s="82">
        <v>572760</v>
      </c>
      <c r="DV59" s="82">
        <f ca="1">DU59-TabCalc[[#This Row],[M_V]]</f>
        <v>-11088</v>
      </c>
    </row>
    <row r="60" spans="1:126" x14ac:dyDescent="0.3">
      <c r="A60" s="120" t="str">
        <f ca="1">_xlfn.XLOOKUP(TabCalc[[#This Row],[Ticker]],[1]!RTData[Ticker_Symbol],[1]!RTData[Currency])</f>
        <v>USD</v>
      </c>
      <c r="B60" s="121">
        <f ca="1">IF(TabCalc[[#This Row],[Cur]]="GBP",0.01,1)</f>
        <v>1</v>
      </c>
      <c r="C60" s="82">
        <f ca="1">_xlfn.XLOOKUP(TabCalc[[#This Row],[Ticker]],DQ$3:DQ$96,DR$3:DR$96)</f>
        <v>2000</v>
      </c>
      <c r="D60" s="1142">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-2.5950629999999997</v>
      </c>
      <c r="M60" s="732">
        <f ca="1">_xlfn.XLOOKUP(TabCalc[[#This Row],[Ticker]],[1]!RTData[Ticker_Symbol],[1]!RTData[Change%])</f>
        <v>0</v>
      </c>
      <c r="N60" s="1065">
        <v>0</v>
      </c>
      <c r="O60" s="892">
        <f>TabCalc[[#This Row],[Up20]]-1+TabCalc[[#This Row],[Up20]]</f>
        <v>-1</v>
      </c>
      <c r="P60" s="892">
        <f>TabCalc[[#This Row],[Up20]]-TabCalc[[#This Row],[Up150]]</f>
        <v>-0.50413223140495866</v>
      </c>
      <c r="Q60" s="892">
        <v>0.50413223140495866</v>
      </c>
      <c r="R60" s="892">
        <f>TabCalc[[#This Row],[Up150]]-1+TabCalc[[#This Row],[Up150]]</f>
        <v>8.2644628099173278E-3</v>
      </c>
      <c r="S60" s="892">
        <f ca="1">IFERROR(SUMPRODUCT(DataShift!F1552:Z1552,DataShift!AB759:AV759)/SQRT(SUMPRODUCT(DataShift!F1552:Z1552,DataShift!F1552:Z1552)*SUMPRODUCT(DataShift!AB759:AV759,DataShift!AB759:AV759)),0)</f>
        <v>-0.78239968165632556</v>
      </c>
      <c r="T60" s="892">
        <f ca="1">IFERROR(SUMPRODUCT(DataShift!F1552:Z1552,DataShift!F759:Z759)/SQRT(SUMPRODUCT(DataShift!F1552:Z1552,DataShift!F1552:Z1552)*SUMPRODUCT(DataShift!F759:Z759,DataShift!F759:Z759)),0)</f>
        <v>3.6189759828519817E-2</v>
      </c>
      <c r="U60" s="1004">
        <v>0</v>
      </c>
      <c r="V60" s="1004">
        <v>12000</v>
      </c>
      <c r="W60" s="1004">
        <v>0</v>
      </c>
      <c r="X60" s="892"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0.69999999999998863</v>
      </c>
      <c r="AR60" s="334">
        <f ca="1">_xlfn.LET(_xlpm.MVToday,DataShift!AV560,         _xlpm.MVY,DataShift!AU560,        _xlpm.MVYY, DataShift!AT560,         _xlpm.MVYYY, DataShift!AS560,                      IF(_xlpm.MVToday=_xlpm.MVY,      _xlpm.MVYY-_xlpm.MVYYY,          _xlpm.MVY-_xlpm.MVYY))</f>
        <v>-0.14999999999997726</v>
      </c>
      <c r="AS60" s="977">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                TabCalc[[#This Row],[Cur]]="EUR",Timer!F$18,                  TabCalc[[#This Row],[Cur]]="GBP",Timer!F$12,                          TabCalc[[#This Row],[Cur]]="CAD",Timer!F$27,                TabCalc[[#This Row],[Cur]]="JPY",Timer!F$31,                      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-17244.72</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60" s="159" cm="1">
        <f t="array" aca="1" ref="BK60" ca="1">SUMPRODUCT(ISNUMBER(INDIRECT("TabReg["&amp;TabCalc[[#This Row],[Ticker]]&amp;"2]"))* INDIRECT("TabReg["&amp;TabCalc[[#This Row],[Ticker]]&amp;"1]") * INDIRECT("TabReg["&amp;TabCalc[[#This Row],[Ticker]]&amp;"2]") )*TabCalc[[#This Row],[Scale]]*(1+Commission)</f>
        <v>-31140.755999999998</v>
      </c>
      <c r="BL60" s="159">
        <f ca="1">TabCalc[[#This Row],[M_V]]*(1-Commission)+TabCalc[[#This Row],[EfCost]]</f>
        <v>-28732.633439999998</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-1.0596279069767442</v>
      </c>
      <c r="DC60" s="310">
        <f ca="1">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69115</v>
      </c>
      <c r="DJ60" s="90">
        <f t="shared" ca="1" si="3"/>
        <v>0.38590704887700539</v>
      </c>
      <c r="DK60" t="str">
        <f ca="1">_xlfn.XLOOKUP(DI60,TabCalc[Column1],TabCalc[Ticker])</f>
        <v>GM</v>
      </c>
      <c r="DL60" s="87">
        <f ca="1">_xlfn.XLOOKUP(DK60,TabCalc[Ticker],TabCalc[ValueBegin])</f>
        <v>-37400</v>
      </c>
      <c r="DM60" s="87">
        <f ca="1">_xlfn.XLOOKUP(DK60,TabCalc[Ticker],TabCalc[M_V])</f>
        <v>691.15</v>
      </c>
      <c r="DN60" s="87">
        <f ca="1">_xlfn.XLOOKUP(DK60,TabCalc[Ticker],TabCalc[GL])</f>
        <v>14432.923628</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42">
        <f ca="1">_xlfn.XLOOKUP(TabCalc[[#This Row],[Ticker]],DQ$3:DQ$96,DS$3:DS$96)</f>
        <v>-24.316700000000001</v>
      </c>
      <c r="E61" s="121">
        <f t="shared" ca="1" si="4"/>
        <v>-243167</v>
      </c>
      <c r="F61" s="82">
        <f ca="1">TabCalc[[#This Row],[NAfter]]*TabCalc[[#This Row],[M]]*TabCalc[[#This Row],[Scale]]</f>
        <v>397740</v>
      </c>
      <c r="G61" s="82">
        <f ca="1">IFERROR(TabCalc[[#This Row],[SB]]-TabCalc[[#This Row],[SST]],TabCalc[[#This Row],[SB]])</f>
        <v>7000</v>
      </c>
      <c r="H61" s="532" t="str">
        <f ca="1">[1]!RTData[[#This Row],[Ticker_Symbol]]</f>
        <v>MVEGLE</v>
      </c>
      <c r="I61" s="383">
        <f ca="1">_xlfn.XLOOKUP(TabCalc[[#This Row],[Ticker]],[1]!RTData[Ticker_Symbol],[1]!RTData[M-Price])</f>
        <v>56.82</v>
      </c>
      <c r="J61" s="382">
        <v>55.660714285714285</v>
      </c>
      <c r="K61" s="381">
        <f ca="1">_xlfn.XLOOKUP(TabCalc[[#This Row],[Ticker]],[1]!RTData[Ticker_Symbol],[1]!RTData[1YT])</f>
        <v>64.686109999999999</v>
      </c>
      <c r="L61" s="382">
        <f ca="1">IF(OR(TabCalc[[#This Row],[NAfter]]=0,TabCalc[[#This Row],[EfCost]]&gt;0),0,TabCalc[[#This Row],[EfCost]]/TabCalc[[#This Row],[NAfter]]/TabCalc[[#This Row],[Scale]])</f>
        <v>-42.480298067142854</v>
      </c>
      <c r="M61" s="732">
        <f ca="1">_xlfn.XLOOKUP(TabCalc[[#This Row],[Ticker]],[1]!RTData[Ticker_Symbol],[1]!RTData[Change%])</f>
        <v>6.0200000000000002E-3</v>
      </c>
      <c r="N61" s="1065">
        <v>0</v>
      </c>
      <c r="O61" s="892">
        <f>TabCalc[[#This Row],[Up20]]-1+TabCalc[[#This Row],[Up20]]</f>
        <v>-1</v>
      </c>
      <c r="P61" s="892">
        <f>TabCalc[[#This Row],[Up20]]-TabCalc[[#This Row],[Up150]]</f>
        <v>-0.32</v>
      </c>
      <c r="Q61" s="892">
        <v>0.32</v>
      </c>
      <c r="R61" s="892">
        <f>TabCalc[[#This Row],[Up150]]-1+TabCalc[[#This Row],[Up150]]</f>
        <v>-0.35999999999999993</v>
      </c>
      <c r="S61" s="892">
        <f ca="1">IFERROR(SUMPRODUCT(DataShift!F1553:Z1553,DataShift!AB760:AV760)/SQRT(SUMPRODUCT(DataShift!F1553:Z1553,DataShift!F1553:Z1553)*SUMPRODUCT(DataShift!AB760:AV760,DataShift!AB760:AV760)),0)</f>
        <v>-0.45777635008307049</v>
      </c>
      <c r="T61" s="892">
        <f ca="1">IFERROR(SUMPRODUCT(DataShift!F1553:Z1553,DataShift!F760:Z760)/SQRT(SUMPRODUCT(DataShift!F1553:Z1553,DataShift!F1553:Z1553)*SUMPRODUCT(DataShift!F760:Z760,DataShift!F760:Z760)),0)</f>
        <v>5.9731854602320701E-2</v>
      </c>
      <c r="U61" s="1004">
        <v>5010</v>
      </c>
      <c r="V61" s="1004">
        <v>1990</v>
      </c>
      <c r="W61" s="1004">
        <v>0</v>
      </c>
      <c r="X61" s="892"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2799.9999999999973</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4280.0000000000009</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-9350.0000000000018</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-11060.000000000002</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2800</v>
      </c>
      <c r="AQ61" s="334">
        <f ca="1">_xlfn.LET(_xlpm.MVToday,DataShift!AV561,         _xlpm.MVY,DataShift!AU561,        _xlpm.MVYY, DataShift!AT561,                                IF(_xlpm.MVToday=_xlpm.MVY,_xlpm.MVY-_xlpm.MVYY,_xlpm.MVToday-_xlpm.MVY))</f>
        <v>-5112</v>
      </c>
      <c r="AR61" s="334">
        <f ca="1">_xlfn.LET(_xlpm.MVToday,DataShift!AV561,         _xlpm.MVY,DataShift!AU561,        _xlpm.MVYY, DataShift!AT561,         _xlpm.MVYYY, DataShift!AS561,                      IF(_xlpm.MVToday=_xlpm.MVY,      _xlpm.MVYY-_xlpm.MVYYY,          _xlpm.MVY-_xlpm.MVYY))</f>
        <v>-4104</v>
      </c>
      <c r="AS61" s="977">
        <f ca="1">TabCalc[[#This Row],[Y]]/TabCalc[[#This Row],[M]]</f>
        <v>1.1384391059486096</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-0.13242432917144573</v>
      </c>
      <c r="AY61" s="82">
        <f t="shared" ca="1" si="5"/>
        <v>3000</v>
      </c>
      <c r="AZ61" s="90">
        <f ca="1">_xlfn.XLOOKUP(TabCalc[[#This Row],[Ticker]],[1]!RTData[Ticker_Symbol],[1]!RTData[V/VA])</f>
        <v>1.1777482661130008</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1.1777482661130008</v>
      </c>
      <c r="BC61" s="87" cm="1">
        <f t="array" aca="1" ref="BC61" ca="1">INDEX(TabReg[], 1, _xlfn.XMATCH(TabCalc[[#This Row],[Ticker]]&amp;1, TabReg[#Headers], 0))</f>
        <v>10000</v>
      </c>
      <c r="BD61" s="159">
        <f ca="1">TabCalc[[#This Row],[Nbegin]]*TabCalc[[#This Row],[M]]*TabCalc[[#This Row],[Scale]]+TabCalc[[#This Row],[ValueBegin]]</f>
        <v>325033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-53562.852270000003</v>
      </c>
      <c r="BH61" s="336">
        <f ca="1">TabCalc[[#This Row],[M_V]]+TabCalc[[#This Row],[ValueBegin]]</f>
        <v>154573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K61" s="159" cm="1">
        <f t="array" aca="1" ref="BK61" ca="1">SUMPRODUCT(ISNUMBER(INDIRECT("TabReg["&amp;TabCalc[[#This Row],[Ticker]]&amp;"2]"))* INDIRECT("TabReg["&amp;TabCalc[[#This Row],[Ticker]]&amp;"1]") * INDIRECT("TabReg["&amp;TabCalc[[#This Row],[Ticker]]&amp;"2]") )*TabCalc[[#This Row],[Scale]]*(1+Commission)</f>
        <v>-297362.08646999998</v>
      </c>
      <c r="BL61" s="159">
        <f ca="1">TabCalc[[#This Row],[M_V]]*(1-Commission)+TabCalc[[#This Row],[EfCost]]</f>
        <v>99343.789530000009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45980.708333333336</v>
      </c>
      <c r="BT61" s="175">
        <f ca="1">(TabCalc[[#This Row],[ValueBegin]]+(TabCalc[[#This Row],[M]]-TabCalc[[#This Row],[A]])*TabCalc[[#This Row],[NAfter]])*TabCalc[[#This Row],[Scale]]</f>
        <v>-235052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8115.0000000000091</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1785.7142857142876</v>
      </c>
      <c r="CX61" s="405">
        <f ca="1">TabCalc[[#This Row],[ntoSell]]*TabCalc[[#This Row],[M]]</f>
        <v>101464.28571428583</v>
      </c>
      <c r="CY61" s="398">
        <f ca="1">_xlfn.LET(_xlpm.nToSell,IF(TabCalc[[#This Row],[M]]-TabCalc[[#This Row],[A]]&lt;=0,"",INT(DesiredSaleGain/(TabCalc[[#This Row],[M]]-IF(TabCalc[[#This Row],[E]]&gt;0,0,TabCalc[[#This Row],[A]])))),IF(_xlpm.nToSell&lt;=TabCalc[[#This Row],[NAfter]],_xlpm.nToSell,0))</f>
        <v>4313</v>
      </c>
      <c r="CZ61" s="336">
        <f ca="1">IFERROR(TabCalc[[#This Row],[NMA]]*TabCalc[[#This Row],[M]],"")</f>
        <v>245064.66</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8115.0000000000091</v>
      </c>
      <c r="DB61" s="90">
        <f ca="1">IFERROR((TabCalc[[#This Row],[M]]+TabCalc[[#This Row],[L_Bp]])/ABS(TabCalc[[#This Row],[L_Bp]])/(TODAY()-TabCalc[[#This Row],[L_Bdate]])*360,"")</f>
        <v>0.5654471407896059</v>
      </c>
      <c r="DC61" s="310">
        <f ca="1">MEDIAN(DataShift!F760:Z760)</f>
        <v>1.6130000000000001E-3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568200</v>
      </c>
      <c r="DF61" s="87" cm="1">
        <f t="array" aca="1" ref="DF61" ca="1">SUMPRODUCT(ISNUMBER(INDIRECT("TabReg["&amp;TabCalc[[#This Row],[Ticker]]&amp;"2]"))* INDIRECT("TabReg["&amp;TabCalc[[#This Row],[Ticker]]&amp;"1]") * INDIRECT("TabReg["&amp;TabCalc[[#This Row],[Ticker]]&amp;"2]") )*TabCalc[[#This Row],[Scale]]</f>
        <v>-296590.95</v>
      </c>
      <c r="DI61" s="87">
        <f ca="1"/>
        <v>66822</v>
      </c>
      <c r="DJ61" s="90">
        <f t="shared" ca="1" si="3"/>
        <v>-0.21177534267165565</v>
      </c>
      <c r="DK61" t="str">
        <f ca="1">_xlfn.XLOOKUP(DI61,TabCalc[Column1],TabCalc[Ticker])</f>
        <v>LUV</v>
      </c>
      <c r="DL61" s="87">
        <f ca="1">_xlfn.XLOOKUP(DK61,TabCalc[Ticker],TabCalc[ValueBegin])</f>
        <v>-93807</v>
      </c>
      <c r="DM61" s="87">
        <f ca="1">_xlfn.XLOOKUP(DK61,TabCalc[Ticker],TabCalc[M_V])</f>
        <v>38184</v>
      </c>
      <c r="DN61" s="87">
        <f ca="1">_xlfn.XLOOKUP(DK61,TabCalc[Ticker],TabCalc[GL])</f>
        <v>-19866.009570000002</v>
      </c>
      <c r="DO61" s="90"/>
      <c r="DP61" s="90"/>
      <c r="DQ61" s="88" t="s">
        <v>57</v>
      </c>
      <c r="DR61" s="82">
        <v>20000</v>
      </c>
      <c r="DS61" s="315">
        <v>-11.0603</v>
      </c>
      <c r="DU61" s="82">
        <v>382060</v>
      </c>
      <c r="DV61" s="82">
        <f ca="1">DU61-TabCalc[[#This Row],[M_V]]</f>
        <v>-15680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42">
        <f ca="1">_xlfn.XLOOKUP(TabCalc[[#This Row],[Ticker]],DQ$3:DQ$96,DS$3:DS$96)</f>
        <v>-10.784000000000001</v>
      </c>
      <c r="E62" s="121">
        <f t="shared" ca="1" si="4"/>
        <v>-78723.200000000012</v>
      </c>
      <c r="F62" s="82">
        <f ca="1">TabCalc[[#This Row],[NAfter]]*TabCalc[[#This Row],[M]]*TabCalc[[#This Row],[Scale]]</f>
        <v>272844</v>
      </c>
      <c r="G62" s="82">
        <f ca="1">IFERROR(TabCalc[[#This Row],[SB]]-TabCalc[[#This Row],[SST]],TabCalc[[#This Row],[SB]])</f>
        <v>19800</v>
      </c>
      <c r="H62" s="532" t="str">
        <f ca="1">[1]!RTData[[#This Row],[Ticker_Symbol]]</f>
        <v>MVEORA</v>
      </c>
      <c r="I62" s="383">
        <f ca="1">_xlfn.XLOOKUP(TabCalc[[#This Row],[Ticker]],[1]!RTData[Ticker_Symbol],[1]!RTData[M-Price])</f>
        <v>13.78</v>
      </c>
      <c r="J62" s="382">
        <v>12.114848484848485</v>
      </c>
      <c r="K62" s="381">
        <f ca="1">_xlfn.XLOOKUP(TabCalc[[#This Row],[Ticker]],[1]!RTData[Ticker_Symbol],[1]!RTData[1YT])</f>
        <v>15.32222</v>
      </c>
      <c r="L62" s="382">
        <f ca="1">IF(OR(TabCalc[[#This Row],[NAfter]]=0,TabCalc[[#This Row],[EfCost]]&gt;0),0,TabCalc[[#This Row],[EfCost]]/TabCalc[[#This Row],[NAfter]]/TabCalc[[#This Row],[Scale]])</f>
        <v>-9.0321575590909084</v>
      </c>
      <c r="M62" s="732">
        <f ca="1">_xlfn.XLOOKUP(TabCalc[[#This Row],[Ticker]],[1]!RTData[Ticker_Symbol],[1]!RTData[Change%])</f>
        <v>-1.2894000000000001E-2</v>
      </c>
      <c r="N62" s="1065">
        <v>0</v>
      </c>
      <c r="O62" s="892">
        <f>TabCalc[[#This Row],[Up20]]-1+TabCalc[[#This Row],[Up20]]</f>
        <v>-1</v>
      </c>
      <c r="P62" s="892">
        <f>TabCalc[[#This Row],[Up20]]-TabCalc[[#This Row],[Up150]]</f>
        <v>-0.30769230769230771</v>
      </c>
      <c r="Q62" s="892">
        <v>0.30769230769230771</v>
      </c>
      <c r="R62" s="892">
        <f>TabCalc[[#This Row],[Up150]]-1+TabCalc[[#This Row],[Up150]]</f>
        <v>-0.38461538461538458</v>
      </c>
      <c r="S62" s="892">
        <f ca="1">IFERROR(SUMPRODUCT(DataShift!F1554:Z1554,DataShift!AB761:AV761)/SQRT(SUMPRODUCT(DataShift!F1554:Z1554,DataShift!F1554:Z1554)*SUMPRODUCT(DataShift!AB761:AV761,DataShift!AB761:AV761)),0)</f>
        <v>-0.7215729502030257</v>
      </c>
      <c r="T62" s="892">
        <f ca="1">IFERROR(SUMPRODUCT(DataShift!F1554:Z1554,DataShift!F761:Z761)/SQRT(SUMPRODUCT(DataShift!F1554:Z1554,DataShift!F1554:Z1554)*SUMPRODUCT(DataShift!F761:Z761,DataShift!F761:Z761)),0)</f>
        <v>0</v>
      </c>
      <c r="U62" s="1004">
        <v>16800</v>
      </c>
      <c r="V62" s="1004">
        <v>3000</v>
      </c>
      <c r="W62" s="1004">
        <v>0</v>
      </c>
      <c r="X62" s="892"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-1710.0000000000009</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3539.9999999999991</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-42.000000000000171</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300.00000000000068</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-4257</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77">
        <f ca="1">TabCalc[[#This Row],[Y]]/TabCalc[[#This Row],[M]]</f>
        <v>1.1119172714078376</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-1.7372730451519828E-2</v>
      </c>
      <c r="AY62" s="82">
        <f t="shared" ca="1" si="5"/>
        <v>0</v>
      </c>
      <c r="AZ62" s="90">
        <f ca="1">_xlfn.XLOOKUP(TabCalc[[#This Row],[Ticker]],[1]!RTData[Ticker_Symbol],[1]!RTData[V/VA])</f>
        <v>1.2898279166741773</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1.2898279166741773</v>
      </c>
      <c r="BC62" s="87" cm="1">
        <f t="array" aca="1" ref="BC62" ca="1">INDEX(TabReg[], 1, _xlfn.XMATCH(TabCalc[[#This Row],[Ticker]]&amp;1, TabReg[#Headers], 0))</f>
        <v>7300</v>
      </c>
      <c r="BD62" s="159">
        <f ca="1">TabCalc[[#This Row],[Nbegin]]*TabCalc[[#This Row],[M]]*TabCalc[[#This Row],[Scale]]+TabCalc[[#This Row],[ValueBegin]]</f>
        <v>21870.799999999988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-99908.83934999998</v>
      </c>
      <c r="BH62" s="336">
        <f ca="1">TabCalc[[#This Row],[M_V]]+TabCalc[[#This Row],[ValueBegin]]</f>
        <v>194120.8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K62" s="159" cm="1">
        <f t="array" aca="1" ref="BK62" ca="1">SUMPRODUCT(ISNUMBER(INDIRECT("TabReg["&amp;TabCalc[[#This Row],[Ticker]]&amp;"2]"))* INDIRECT("TabReg["&amp;TabCalc[[#This Row],[Ticker]]&amp;"1]") * INDIRECT("TabReg["&amp;TabCalc[[#This Row],[Ticker]]&amp;"2]") )*TabCalc[[#This Row],[Scale]]*(1+Commission)</f>
        <v>-178836.71966999999</v>
      </c>
      <c r="BL62" s="159">
        <f ca="1">TabCalc[[#This Row],[M_V]]*(1-Commission)+TabCalc[[#This Row],[EfCost]]</f>
        <v>93297.885930000019</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45980.708333333336</v>
      </c>
      <c r="BT62" s="175">
        <f ca="1">(TabCalc[[#This Row],[ValueBegin]]+(TabCalc[[#This Row],[M]]-TabCalc[[#This Row],[A]])*TabCalc[[#This Row],[NAfter]])*TabCalc[[#This Row],[Scale]]</f>
        <v>-45753.200000000033</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32969.999999999978</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3002</v>
      </c>
      <c r="CZ62" s="336">
        <f ca="1">IFERROR(TabCalc[[#This Row],[NMA]]*TabCalc[[#This Row],[M]],"")</f>
        <v>41367.56</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32969.999999999978</v>
      </c>
      <c r="DB62" s="90">
        <f ca="1">IFERROR((TabCalc[[#This Row],[M]]+TabCalc[[#This Row],[L_Bp]])/ABS(TabCalc[[#This Row],[L_Bp]])/(TODAY()-TabCalc[[#This Row],[L_Bdate]])*360,"")</f>
        <v>-0.14895470383275269</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100594</v>
      </c>
      <c r="DF62" s="87" cm="1">
        <f t="array" aca="1" ref="DF62" ca="1">SUMPRODUCT(ISNUMBER(INDIRECT("TabReg["&amp;TabCalc[[#This Row],[Ticker]]&amp;"2]"))* INDIRECT("TabReg["&amp;TabCalc[[#This Row],[Ticker]]&amp;"1]") * INDIRECT("TabReg["&amp;TabCalc[[#This Row],[Ticker]]&amp;"2]") )*TabCalc[[#This Row],[Scale]]</f>
        <v>-178372.95</v>
      </c>
      <c r="DI62" s="87">
        <f ca="1"/>
        <v>66114.3</v>
      </c>
      <c r="DJ62" s="90">
        <f t="shared" ca="1" si="3"/>
        <v>3.3810086460063049</v>
      </c>
      <c r="DK62" t="str">
        <f ca="1">_xlfn.XLOOKUP(DI62,TabCalc[Column1],TabCalc[Ticker])</f>
        <v>AVGO</v>
      </c>
      <c r="DL62" s="87">
        <f ca="1">_xlfn.XLOOKUP(DK62,TabCalc[Ticker],TabCalc[ValueBegin])</f>
        <v>-20833.750799999998</v>
      </c>
      <c r="DM62" s="87">
        <f ca="1">_xlfn.XLOOKUP(DK62,TabCalc[Ticker],TabCalc[M_V])</f>
        <v>69594</v>
      </c>
      <c r="DN62" s="87">
        <f ca="1">_xlfn.XLOOKUP(DK62,TabCalc[Ticker],TabCalc[GL])</f>
        <v>70439.091583540765</v>
      </c>
      <c r="DO62" s="90"/>
      <c r="DP62" s="90"/>
      <c r="DQ62" s="88" t="s">
        <v>58</v>
      </c>
      <c r="DR62" s="82">
        <v>10000</v>
      </c>
      <c r="DS62" s="315">
        <v>-15.592599999999999</v>
      </c>
      <c r="DU62" s="82">
        <v>271557</v>
      </c>
      <c r="DV62" s="82">
        <f ca="1">DU62-TabCalc[[#This Row],[M_V]]</f>
        <v>-1287</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42">
        <f ca="1">_xlfn.XLOOKUP(TabCalc[[#This Row],[Ticker]],DQ$3:DQ$96,DS$3:DS$96)</f>
        <v>-35.880000000000003</v>
      </c>
      <c r="E63" s="121">
        <f t="shared" ca="1" si="4"/>
        <v>-358800</v>
      </c>
      <c r="F63" s="82">
        <f ca="1">TabCalc[[#This Row],[NAfter]]*TabCalc[[#This Row],[M]]*TabCalc[[#This Row],[Scale]]</f>
        <v>43.73</v>
      </c>
      <c r="G63" s="82">
        <f ca="1">IFERROR(TabCalc[[#This Row],[SB]]-TabCalc[[#This Row],[SST]],TabCalc[[#This Row],[SB]])</f>
        <v>1</v>
      </c>
      <c r="H63" s="532" t="str">
        <f ca="1">[1]!RTData[[#This Row],[Ticker_Symbol]]</f>
        <v>MVERWE</v>
      </c>
      <c r="I63" s="383">
        <f ca="1">_xlfn.XLOOKUP(TabCalc[[#This Row],[Ticker]],[1]!RTData[Ticker_Symbol],[1]!RTData[M-Price])</f>
        <v>43.73</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-2.1042999999999999E-2</v>
      </c>
      <c r="N63" s="1065">
        <v>0</v>
      </c>
      <c r="O63" s="892">
        <f>TabCalc[[#This Row],[Up20]]-1+TabCalc[[#This Row],[Up20]]</f>
        <v>-1</v>
      </c>
      <c r="P63" s="892">
        <f>TabCalc[[#This Row],[Up20]]-TabCalc[[#This Row],[Up150]]</f>
        <v>-0.4</v>
      </c>
      <c r="Q63" s="892">
        <v>0.4</v>
      </c>
      <c r="R63" s="892">
        <f>TabCalc[[#This Row],[Up150]]-1+TabCalc[[#This Row],[Up150]]</f>
        <v>-0.19999999999999996</v>
      </c>
      <c r="S63" s="892">
        <f ca="1">IFERROR(SUMPRODUCT(DataShift!F1555:Z1555,DataShift!AB762:AV762)/SQRT(SUMPRODUCT(DataShift!F1555:Z1555,DataShift!F1555:Z1555)*SUMPRODUCT(DataShift!AB762:AV762,DataShift!AB762:AV762)),0)</f>
        <v>-0.68876446573618655</v>
      </c>
      <c r="T63" s="892">
        <f ca="1">IFERROR(SUMPRODUCT(DataShift!F1555:Z1555,DataShift!F762:Z762)/SQRT(SUMPRODUCT(DataShift!F1555:Z1555,DataShift!F1555:Z1555)*SUMPRODUCT(DataShift!F762:Z762,DataShift!F762:Z762)),0)</f>
        <v>0.15257506494253081</v>
      </c>
      <c r="U63" s="1004">
        <v>1</v>
      </c>
      <c r="V63" s="1004">
        <v>0</v>
      </c>
      <c r="W63" s="1004">
        <v>0</v>
      </c>
      <c r="X63" s="892"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10.634999999999998</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15.519999999999996</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-41469.62999999999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-57759.999999999993</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-1.230000000000004</v>
      </c>
      <c r="AQ63" s="334">
        <f ca="1">_xlfn.LET(_xlpm.MVToday,DataShift!AV563,         _xlpm.MVY,DataShift!AU563,        _xlpm.MVYY, DataShift!AT563,                                IF(_xlpm.MVToday=_xlpm.MVY,_xlpm.MVY-_xlpm.MVYY,_xlpm.MVToday-_xlpm.MVY))</f>
        <v>4480</v>
      </c>
      <c r="AR63" s="334">
        <f ca="1">_xlfn.LET(_xlpm.MVToday,DataShift!AV563,         _xlpm.MVY,DataShift!AU563,        _xlpm.MVYY, DataShift!AT563,         _xlpm.MVYYY, DataShift!AS563,                      IF(_xlpm.MVToday=_xlpm.MVY,      _xlpm.MVYY-_xlpm.MVYYY,          _xlpm.MVY-_xlpm.MVYY))</f>
        <v>-12600</v>
      </c>
      <c r="AS63" s="977">
        <f ca="1">TabCalc[[#This Row],[Y]]/TabCalc[[#This Row],[M]]</f>
        <v>1.0232577178138578</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-5.3764515826485533E-4</v>
      </c>
      <c r="AY63" s="82">
        <f t="shared" ca="1" si="5"/>
        <v>9999</v>
      </c>
      <c r="AZ63" s="90">
        <f ca="1">_xlfn.XLOOKUP(TabCalc[[#This Row],[Ticker]],[1]!RTData[Ticker_Symbol],[1]!RTData[V/VA])</f>
        <v>5.5391708193498089E-3</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5.5391708193498089E-3</v>
      </c>
      <c r="BC63" s="87" cm="1">
        <f t="array" aca="1" ref="BC63" ca="1">INDEX(TabReg[], 1, _xlfn.XMATCH(TabCalc[[#This Row],[Ticker]]&amp;1, TabReg[#Headers], 0))</f>
        <v>10000</v>
      </c>
      <c r="BD63" s="159">
        <f ca="1">TabCalc[[#This Row],[Nbegin]]*TabCalc[[#This Row],[M]]*TabCalc[[#This Row],[Scale]]+TabCalc[[#This Row],[ValueBegin]]</f>
        <v>78499.999999999942</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-358756.27</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K63" s="159" cm="1">
        <f t="array" aca="1" ref="BK63" ca="1">SUMPRODUCT(ISNUMBER(INDIRECT("TabReg["&amp;TabCalc[[#This Row],[Ticker]]&amp;"2]"))* INDIRECT("TabReg["&amp;TabCalc[[#This Row],[Ticker]]&amp;"1]") * INDIRECT("TabReg["&amp;TabCalc[[#This Row],[Ticker]]&amp;"2]") )*TabCalc[[#This Row],[Scale]]*(1+Commission)</f>
        <v>37612.679363999981</v>
      </c>
      <c r="BL63" s="159">
        <f ca="1">TabCalc[[#This Row],[M_V]]*(1-Commission)+TabCalc[[#This Row],[EfCost]]</f>
        <v>37656.295665999984</v>
      </c>
      <c r="BM63" s="159">
        <f ca="1">IF(        OR( TabCalc[[#This Row],[GL]]&gt;ABS(TabCalc[[#This Row],[EfCost]]),TabCalc[[#This Row],[NAfter]]=0),             TabCalc[[#This Row],[GL]],     0)</f>
        <v>37656.295665999984</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45980.714583333334</v>
      </c>
      <c r="BT63" s="175">
        <f ca="1">(TabCalc[[#This Row],[ValueBegin]]+(TabCalc[[#This Row],[M]]-TabCalc[[#This Row],[A]])*TabCalc[[#This Row],[NAfter]])*TabCalc[[#This Row],[Scale]]</f>
        <v>-358789.36499999999</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10.634999999999998</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43.73</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10.634999999999998</v>
      </c>
      <c r="DB63" s="90">
        <f ca="1">IFERROR((TabCalc[[#This Row],[M]]+TabCalc[[#This Row],[L_Bp]])/ABS(TabCalc[[#This Row],[L_Bp]])/(TODAY()-TabCalc[[#This Row],[L_Bdate]])*360,"")</f>
        <v>0.57554800404985196</v>
      </c>
      <c r="DC63" s="310">
        <f ca="1">MEDIAN(DataShift!F762:Z762)</f>
        <v>1.0989999999999999E-3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437299.99999999994</v>
      </c>
      <c r="DF63" s="87" cm="1">
        <f t="array" aca="1" ref="DF63" ca="1">SUMPRODUCT(ISNUMBER(INDIRECT("TabReg["&amp;TabCalc[[#This Row],[Ticker]]&amp;"2]"))* INDIRECT("TabReg["&amp;TabCalc[[#This Row],[Ticker]]&amp;"1]") * INDIRECT("TabReg["&amp;TabCalc[[#This Row],[Ticker]]&amp;"2]") )*TabCalc[[#This Row],[Scale]]</f>
        <v>37515.139999999985</v>
      </c>
      <c r="DI63" s="87">
        <f ca="1"/>
        <v>63900</v>
      </c>
      <c r="DJ63" s="90">
        <f t="shared" ca="1" si="3"/>
        <v>-5.5391786852521001</v>
      </c>
      <c r="DK63" t="str">
        <f ca="1">_xlfn.XLOOKUP(DI63,TabCalc[Column1],TabCalc[Ticker])</f>
        <v>NOTE</v>
      </c>
      <c r="DL63" s="87">
        <f ca="1">_xlfn.XLOOKUP(DK63,TabCalc[Ticker],TabCalc[ValueBegin])</f>
        <v>-35700</v>
      </c>
      <c r="DM63" s="87">
        <f ca="1">_xlfn.XLOOKUP(DK63,TabCalc[Ticker],TabCalc[M_V])</f>
        <v>63900</v>
      </c>
      <c r="DN63" s="87">
        <f ca="1">_xlfn.XLOOKUP(DK63,TabCalc[Ticker],TabCalc[GL])</f>
        <v>-197748.67906349996</v>
      </c>
      <c r="DO63" s="90"/>
      <c r="DP63" s="90"/>
      <c r="DQ63" s="88" t="s">
        <v>59</v>
      </c>
      <c r="DR63" s="82">
        <v>10000</v>
      </c>
      <c r="DS63" s="315">
        <v>-35.880000000000003</v>
      </c>
      <c r="DU63" s="82">
        <v>42.34</v>
      </c>
      <c r="DV63" s="82">
        <f ca="1">DU63-TabCalc[[#This Row],[M_V]]</f>
        <v>-1.3899999999999935</v>
      </c>
    </row>
    <row r="64" spans="1:126" x14ac:dyDescent="0.3">
      <c r="A64" s="120" t="str">
        <f ca="1">_xlfn.XLOOKUP(TabCalc[[#This Row],[Ticker]],[1]!RTData[Ticker_Symbol],[1]!RTData[Currency])</f>
        <v>EUR</v>
      </c>
      <c r="B64" s="121">
        <f ca="1">IF(TabCalc[[#This Row],[Cur]]="GBP",0.01,1)</f>
        <v>1</v>
      </c>
      <c r="C64" s="82">
        <f ca="1">_xlfn.XLOOKUP(TabCalc[[#This Row],[Ticker]],DQ$3:DQ$96,DR$3:DR$96)</f>
        <v>1000</v>
      </c>
      <c r="D64" s="1142">
        <f ca="1">_xlfn.XLOOKUP(TabCalc[[#This Row],[Ticker]],DQ$3:DQ$96,DS$3:DS$96)</f>
        <v>-144.56</v>
      </c>
      <c r="E64" s="121">
        <f t="shared" ca="1" si="4"/>
        <v>-144560</v>
      </c>
      <c r="F64" s="82">
        <f ca="1">TabCalc[[#This Row],[NAfter]]*TabCalc[[#This Row],[M]]*TabCalc[[#This Row],[Scale]]</f>
        <v>82405.5</v>
      </c>
      <c r="G64" s="82">
        <f ca="1">IFERROR(TabCalc[[#This Row],[SB]]-TabCalc[[#This Row],[SST]],TabCalc[[#This Row],[SB]])</f>
        <v>401</v>
      </c>
      <c r="H64" s="532" t="str">
        <f ca="1">[1]!RTData[[#This Row],[Ticker_Symbol]]</f>
        <v>MVESAP</v>
      </c>
      <c r="I64" s="383">
        <f ca="1">_xlfn.XLOOKUP(TabCalc[[#This Row],[Ticker]],[1]!RTData[Ticker_Symbol],[1]!RTData[M-Price])</f>
        <v>205.5</v>
      </c>
      <c r="J64" s="382">
        <v>255.26902743142145</v>
      </c>
      <c r="K64" s="381">
        <f ca="1">_xlfn.XLOOKUP(TabCalc[[#This Row],[Ticker]],[1]!RTData[Ticker_Symbol],[1]!RTData[1YT])</f>
        <v>288.66680000000002</v>
      </c>
      <c r="L64" s="382">
        <f ca="1">IF(OR(TabCalc[[#This Row],[NAfter]]=0,TabCalc[[#This Row],[EfCost]]&gt;0),0,TabCalc[[#This Row],[EfCost]]/TabCalc[[#This Row],[NAfter]]/TabCalc[[#This Row],[Scale]])</f>
        <v>-90.526186642892952</v>
      </c>
      <c r="M64" s="732">
        <f ca="1">_xlfn.XLOOKUP(TabCalc[[#This Row],[Ticker]],[1]!RTData[Ticker_Symbol],[1]!RTData[Change%])</f>
        <v>7.3050000000000003E-4</v>
      </c>
      <c r="N64" s="1065">
        <v>0</v>
      </c>
      <c r="O64" s="892">
        <f>TabCalc[[#This Row],[Up20]]-1+TabCalc[[#This Row],[Up20]]</f>
        <v>-1</v>
      </c>
      <c r="P64" s="892">
        <f>TabCalc[[#This Row],[Up20]]-TabCalc[[#This Row],[Up150]]</f>
        <v>-0.33333333333333331</v>
      </c>
      <c r="Q64" s="892">
        <v>0.33333333333333331</v>
      </c>
      <c r="R64" s="892">
        <f>TabCalc[[#This Row],[Up150]]-1+TabCalc[[#This Row],[Up150]]</f>
        <v>-0.33333333333333343</v>
      </c>
      <c r="S64" s="892">
        <f ca="1">IFERROR(SUMPRODUCT(DataShift!F1556:Z1556,DataShift!AB763:AV763)/SQRT(SUMPRODUCT(DataShift!F1556:Z1556,DataShift!F1556:Z1556)*SUMPRODUCT(DataShift!AB763:AV763,DataShift!AB763:AV763)),0)</f>
        <v>-0.79731795497647651</v>
      </c>
      <c r="T64" s="892">
        <f ca="1">IFERROR(SUMPRODUCT(DataShift!F1556:Z1556,DataShift!F763:Z763)/SQRT(SUMPRODUCT(DataShift!F1556:Z1556,DataShift!F1556:Z1556)*SUMPRODUCT(DataShift!F763:Z763,DataShift!F763:Z763)),0)</f>
        <v>0.23496540498958451</v>
      </c>
      <c r="U64" s="1004">
        <v>0</v>
      </c>
      <c r="V64" s="1004">
        <v>401</v>
      </c>
      <c r="W64" s="1004">
        <v>0</v>
      </c>
      <c r="X64" s="892"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-9080.0000000000018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-10820.000000000004</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30990.000000000007</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29150.000000000007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120.30000000000291</v>
      </c>
      <c r="AQ64" s="334">
        <f ca="1">_xlfn.LET(_xlpm.MVToday,DataShift!AV564,         _xlpm.MVY,DataShift!AU564,        _xlpm.MVYY, DataShift!AT564,                                IF(_xlpm.MVToday=_xlpm.MVY,_xlpm.MVY-_xlpm.MVYY,_xlpm.MVToday-_xlpm.MVY))</f>
        <v>1782</v>
      </c>
      <c r="AR64" s="334">
        <f ca="1">_xlfn.LET(_xlpm.MVToday,DataShift!AV564,         _xlpm.MVY,DataShift!AU564,        _xlpm.MVYY, DataShift!AT564,         _xlpm.MVYYY, DataShift!AS564,                      IF(_xlpm.MVToday=_xlpm.MVY,      _xlpm.MVYY-_xlpm.MVYYY,          _xlpm.MVY-_xlpm.MVYY))</f>
        <v>-6534</v>
      </c>
      <c r="AS64" s="977">
        <f ca="1">TabCalc[[#This Row],[Y]]/TabCalc[[#This Row],[M]]</f>
        <v>1.4047046228710462</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-9.6970874105007514</v>
      </c>
      <c r="AY64" s="82">
        <f t="shared" ca="1" si="5"/>
        <v>599</v>
      </c>
      <c r="AZ64" s="90">
        <f ca="1">_xlfn.XLOOKUP(TabCalc[[#This Row],[Ticker]],[1]!RTData[Ticker_Symbol],[1]!RTData[V/VA])</f>
        <v>0.93717056647786734</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0.93717056647786734</v>
      </c>
      <c r="BC64" s="87" cm="1">
        <f t="array" aca="1" ref="BC64" ca="1">INDEX(TabReg[], 1, _xlfn.XMATCH(TabCalc[[#This Row],[Ticker]]&amp;1, TabReg[#Headers], 0))</f>
        <v>1000</v>
      </c>
      <c r="BD64" s="159">
        <f ca="1">TabCalc[[#This Row],[Nbegin]]*TabCalc[[#This Row],[M]]*TabCalc[[#This Row],[Scale]]+TabCalc[[#This Row],[ValueBegin]]</f>
        <v>60940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-62154.5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K64" s="159" cm="1">
        <f t="array" aca="1" ref="BK64" ca="1">SUMPRODUCT(ISNUMBER(INDIRECT("TabReg["&amp;TabCalc[[#This Row],[Ticker]]&amp;"2]"))* INDIRECT("TabReg["&amp;TabCalc[[#This Row],[Ticker]]&amp;"1]") * INDIRECT("TabReg["&amp;TabCalc[[#This Row],[Ticker]]&amp;"2]") )*TabCalc[[#This Row],[Scale]]*(1+Commission)</f>
        <v>-36301.000843800073</v>
      </c>
      <c r="BL64" s="159">
        <f ca="1">TabCalc[[#This Row],[M_V]]*(1-Commission)+TabCalc[[#This Row],[EfCost]]</f>
        <v>45890.244856199926</v>
      </c>
      <c r="BM64" s="159">
        <f ca="1">IF(        OR( TabCalc[[#This Row],[GL]]&gt;ABS(TabCalc[[#This Row],[EfCost]]),TabCalc[[#This Row],[NAfter]]=0),             TabCalc[[#This Row],[GL]],     0)</f>
        <v>45890.244856199926</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137.09</v>
      </c>
      <c r="BR64" s="174" t="str">
        <f ca="1">IF(TabCalc[[#This Row],[EfCost]]+TabCalc[[#This Row],[M_V]]&lt;TabCalc[[#This Row],[NoT_GL]],"Pile","")</f>
        <v>Pile</v>
      </c>
      <c r="BS64" s="165">
        <f ca="1">_xlfn.XLOOKUP(TabCalc[[#This Row],[Ticker]],[1]!RTData[Ticker_Symbol],[1]!RTData[Last trade time])</f>
        <v>45980.697916666664</v>
      </c>
      <c r="BT64" s="175">
        <f ca="1">(TabCalc[[#This Row],[ValueBegin]]+(TabCalc[[#This Row],[M]]-TabCalc[[#This Row],[A]])*TabCalc[[#This Row],[NAfter]])*TabCalc[[#This Row],[Scale]]</f>
        <v>-164517.38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-19957.38</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80.671184252984816</v>
      </c>
      <c r="CV64" s="404">
        <f ca="1">IF(TabCalc[[#This Row],[ntoBuy]]*TabCalc[[#This Row],[M]]&lt;=0,0,TabCalc[[#This Row],[ntoBuy]]*TabCalc[[#This Row],[M]])</f>
        <v>16577.92836398838</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-19957.38</v>
      </c>
      <c r="DB64" s="90">
        <f ca="1">IFERROR((TabCalc[[#This Row],[M]]+TabCalc[[#This Row],[L_Bp]])/ABS(TabCalc[[#This Row],[L_Bp]])/(TODAY()-TabCalc[[#This Row],[L_Bdate]])*360,"")</f>
        <v>-0.54740748431696318</v>
      </c>
      <c r="DC64" s="310">
        <f ca="1">MEDIAN(DataShift!F763:Z763)</f>
        <v>-2.4720000000000002E-3</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205500</v>
      </c>
      <c r="DF64" s="87" cm="1">
        <f t="array" aca="1" ref="DF64" ca="1">SUMPRODUCT(ISNUMBER(INDIRECT("TabReg["&amp;TabCalc[[#This Row],[Ticker]]&amp;"2]"))* INDIRECT("TabReg["&amp;TabCalc[[#This Row],[Ticker]]&amp;"1]") * INDIRECT("TabReg["&amp;TabCalc[[#This Row],[Ticker]]&amp;"2]") )*TabCalc[[#This Row],[Scale]]</f>
        <v>-36206.863000000078</v>
      </c>
      <c r="DI64" s="87">
        <f ca="1"/>
        <v>52725</v>
      </c>
      <c r="DJ64" s="90">
        <f t="shared" ca="1" si="3"/>
        <v>-0.53354359332280976</v>
      </c>
      <c r="DK64" t="str">
        <f ca="1">_xlfn.XLOOKUP(DI64,TabCalc[Column1],TabCalc[Ticker])</f>
        <v>VTRS</v>
      </c>
      <c r="DL64" s="87">
        <f ca="1">_xlfn.XLOOKUP(DK64,TabCalc[Ticker],TabCalc[ValueBegin])</f>
        <v>-151443.94999999998</v>
      </c>
      <c r="DM64" s="87">
        <f ca="1">_xlfn.XLOOKUP(DK64,TabCalc[Ticker],TabCalc[M_V])</f>
        <v>52725</v>
      </c>
      <c r="DN64" s="87">
        <f ca="1">_xlfn.XLOOKUP(DK64,TabCalc[Ticker],TabCalc[GL])</f>
        <v>-80801.949269999925</v>
      </c>
      <c r="DO64" s="90"/>
      <c r="DP64" s="90"/>
      <c r="DQ64" s="88" t="s">
        <v>60</v>
      </c>
      <c r="DR64" s="82">
        <v>10000</v>
      </c>
      <c r="DS64" s="315">
        <v>-24.316700000000001</v>
      </c>
      <c r="DU64" s="82">
        <v>90646.05</v>
      </c>
      <c r="DV64" s="82">
        <f ca="1">DU64-TabCalc[[#This Row],[M_V]]</f>
        <v>8240.5500000000029</v>
      </c>
    </row>
    <row r="65" spans="1:126" x14ac:dyDescent="0.3">
      <c r="A65" s="120" t="str">
        <f ca="1">_xlfn.XLOOKUP(TabCalc[[#This Row],[Ticker]],[1]!RTData[Ticker_Symbol],[1]!RTData[Currency])</f>
        <v>EUR</v>
      </c>
      <c r="B65" s="121">
        <f ca="1">IF(TabCalc[[#This Row],[Cur]]="GBP",0.01,1)</f>
        <v>1</v>
      </c>
      <c r="C65" s="82">
        <f ca="1">_xlfn.XLOOKUP(TabCalc[[#This Row],[Ticker]],DQ$3:DQ$96,DR$3:DR$96)</f>
        <v>45</v>
      </c>
      <c r="D65" s="1142">
        <f ca="1">_xlfn.XLOOKUP(TabCalc[[#This Row],[Ticker]],DQ$3:DQ$96,DS$3:DS$96)</f>
        <v>-78.742699999999999</v>
      </c>
      <c r="E65" s="121">
        <f t="shared" ca="1" si="4"/>
        <v>-3543.4214999999999</v>
      </c>
      <c r="F65" s="82">
        <f ca="1">TabCalc[[#This Row],[NAfter]]*TabCalc[[#This Row],[M]]*TabCalc[[#This Row],[Scale]]</f>
        <v>16940</v>
      </c>
      <c r="G65" s="82">
        <f ca="1">IFERROR(TabCalc[[#This Row],[SB]]-TabCalc[[#This Row],[SST]],TabCalc[[#This Row],[SB]])</f>
        <v>560</v>
      </c>
      <c r="H65" s="532" t="str">
        <f ca="1">[1]!RTData[[#This Row],[Ticker_Symbol]]</f>
        <v>MVEUN0</v>
      </c>
      <c r="I65" s="383">
        <f ca="1">_xlfn.XLOOKUP(TabCalc[[#This Row],[Ticker]],[1]!RTData[Ticker_Symbol],[1]!RTData[M-Price])</f>
        <v>30.25</v>
      </c>
      <c r="J65" s="382">
        <v>41.94063392857143</v>
      </c>
      <c r="K65" s="381">
        <f ca="1">_xlfn.XLOOKUP(TabCalc[[#This Row],[Ticker]],[1]!RTData[Ticker_Symbol],[1]!RTData[1YT])</f>
        <v>0</v>
      </c>
      <c r="L65" s="382">
        <f ca="1">IF(OR(TabCalc[[#This Row],[NAfter]]=0,TabCalc[[#This Row],[EfCost]]&gt;0),0,TabCalc[[#This Row],[EfCost]]/TabCalc[[#This Row],[NAfter]]/TabCalc[[#This Row],[Scale]])</f>
        <v>-30.292111496250001</v>
      </c>
      <c r="M65" s="732">
        <f ca="1">_xlfn.XLOOKUP(TabCalc[[#This Row],[Ticker]],[1]!RTData[Ticker_Symbol],[1]!RTData[Change%])</f>
        <v>-6.5680000000000009E-3</v>
      </c>
      <c r="N65" s="1065">
        <v>0</v>
      </c>
      <c r="O65" s="892">
        <f>TabCalc[[#This Row],[Up20]]-1+TabCalc[[#This Row],[Up20]]</f>
        <v>-1</v>
      </c>
      <c r="P65" s="892">
        <f>TabCalc[[#This Row],[Up20]]-TabCalc[[#This Row],[Up150]]</f>
        <v>-0.25</v>
      </c>
      <c r="Q65" s="892">
        <v>0.25</v>
      </c>
      <c r="R65" s="892">
        <f>TabCalc[[#This Row],[Up150]]-1+TabCalc[[#This Row],[Up150]]</f>
        <v>-0.5</v>
      </c>
      <c r="S65" s="892">
        <f ca="1">IFERROR(SUMPRODUCT(DataShift!F1557:Z1557,DataShift!AB764:AV764)/SQRT(SUMPRODUCT(DataShift!F1557:Z1557,DataShift!F1557:Z1557)*SUMPRODUCT(DataShift!AB764:AV764,DataShift!AB764:AV764)),0)</f>
        <v>-0.71975002531572951</v>
      </c>
      <c r="T65" s="892">
        <f ca="1">IFERROR(SUMPRODUCT(DataShift!F1557:Z1557,DataShift!F764:Z764)/SQRT(SUMPRODUCT(DataShift!F1557:Z1557,DataShift!F1557:Z1557)*SUMPRODUCT(DataShift!F764:Z764,DataShift!F764:Z764)),0)</f>
        <v>0.12395399013415331</v>
      </c>
      <c r="U65" s="1004">
        <v>0</v>
      </c>
      <c r="V65" s="1004">
        <v>560</v>
      </c>
      <c r="W65" s="1004">
        <v>0</v>
      </c>
      <c r="X65" s="892"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 = $ -23,505</v>
      </c>
      <c r="Z65" s="211">
        <f ca="1">MIN(TabCalc[[#This Row],[L_Bn]],TabCalc[[#This Row],[NAfter]])*(TabCalc[[#This Row],[M]]+TabCalc[[#This Row],[L_Bp]])*TabCalc[[#This Row],[Scale]]</f>
        <v>-279.82499999999987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-68.849999999999994</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7651.84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10412.5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392</v>
      </c>
      <c r="AQ65" s="334">
        <f ca="1">_xlfn.LET(_xlpm.MVToday,DataShift!AV565,         _xlpm.MVY,DataShift!AU565,        _xlpm.MVYY, DataShift!AT565,                                IF(_xlpm.MVToday=_xlpm.MVY,_xlpm.MVY-_xlpm.MVYY,_xlpm.MVToday-_xlpm.MVY))</f>
        <v>-0.55000000000000426</v>
      </c>
      <c r="AR65" s="334">
        <f ca="1">_xlfn.LET(_xlpm.MVToday,DataShift!AV565,         _xlpm.MVY,DataShift!AU565,        _xlpm.MVYY, DataShift!AT565,         _xlpm.MVYYY, DataShift!AS565,                      IF(_xlpm.MVToday=_xlpm.MVY,      _xlpm.MVYY-_xlpm.MVYYY,          _xlpm.MVY-_xlpm.MVYY))</f>
        <v>-1.0499999999999972</v>
      </c>
      <c r="AS65" s="977">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1.1235955056179776E-3</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1.1235955056179776E-3</v>
      </c>
      <c r="BC65" s="87" cm="1">
        <f t="array" aca="1" ref="BC65" ca="1">INDEX(TabReg[], 1, _xlfn.XMATCH(TabCalc[[#This Row],[Ticker]]&amp;1, TabReg[#Headers], 0))</f>
        <v>45</v>
      </c>
      <c r="BD65" s="159">
        <f ca="1">TabCalc[[#This Row],[Nbegin]]*TabCalc[[#This Row],[M]]*TabCalc[[#This Row],[Scale]]+TabCalc[[#This Row],[ValueBegin]]</f>
        <v>-2182.1714999999999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-13410.948042</v>
      </c>
      <c r="BH65" s="336">
        <f ca="1">TabCalc[[#This Row],[M_V]]+TabCalc[[#This Row],[ValueBegin]]</f>
        <v>13396.5785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K65" s="159" cm="1">
        <f t="array" aca="1" ref="BK65" ca="1">SUMPRODUCT(ISNUMBER(INDIRECT("TabReg["&amp;TabCalc[[#This Row],[Ticker]]&amp;"2]"))* INDIRECT("TabReg["&amp;TabCalc[[#This Row],[Ticker]]&amp;"1]") * INDIRECT("TabReg["&amp;TabCalc[[#This Row],[Ticker]]&amp;"2]") )*TabCalc[[#This Row],[Scale]]*(1+Commission)</f>
        <v>-16963.582437900001</v>
      </c>
      <c r="BL65" s="159">
        <f ca="1">TabCalc[[#This Row],[M_V]]*(1-Commission)+TabCalc[[#This Row],[EfCost]]</f>
        <v>-67.626437900002202</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43.04</v>
      </c>
      <c r="BR65" s="174" t="str">
        <f ca="1">IF(TabCalc[[#This Row],[EfCost]]+TabCalc[[#This Row],[M_V]]&lt;TabCalc[[#This Row],[NoT_GL]],"Pile","")</f>
        <v/>
      </c>
      <c r="BS65" s="165">
        <f ca="1">_xlfn.XLOOKUP(TabCalc[[#This Row],[Ticker]],[1]!RTData[Ticker_Symbol],[1]!RTData[Last trade time])</f>
        <v>45980.711805555555</v>
      </c>
      <c r="BT65" s="175">
        <f ca="1">(TabCalc[[#This Row],[ValueBegin]]+(TabCalc[[#This Row],[M]]-TabCalc[[#This Row],[A]])*TabCalc[[#This Row],[NAfter]])*TabCalc[[#This Row],[Scale]]</f>
        <v>-10090.176500000001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-6546.755000000001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318.87755102040819</v>
      </c>
      <c r="CV65" s="404">
        <f ca="1">IF(TabCalc[[#This Row],[ntoBuy]]*TabCalc[[#This Row],[M]]&lt;=0,0,TabCalc[[#This Row],[ntoBuy]]*TabCalc[[#This Row],[M]])</f>
        <v>9646.0459183673483</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-6546.755000000001</v>
      </c>
      <c r="DB65" s="90">
        <f ca="1">IFERROR((TabCalc[[#This Row],[M]]+TabCalc[[#This Row],[L_Bp]])/ABS(TabCalc[[#This Row],[L_Bp]])/(TODAY()-TabCalc[[#This Row],[L_Bdate]])*360,"")</f>
        <v>-0.5565970650979376</v>
      </c>
      <c r="DC65" s="310">
        <f ca="1">MEDIAN(DataShift!F764:Z764)</f>
        <v>-4.1770000000000002E-3</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1361.25</v>
      </c>
      <c r="DF65" s="87" cm="1">
        <f t="array" aca="1" ref="DF65" ca="1">SUMPRODUCT(ISNUMBER(INDIRECT("TabReg["&amp;TabCalc[[#This Row],[Ticker]]&amp;"2]"))* INDIRECT("TabReg["&amp;TabCalc[[#This Row],[Ticker]]&amp;"1]") * INDIRECT("TabReg["&amp;TabCalc[[#This Row],[Ticker]]&amp;"2]") )*TabCalc[[#This Row],[Scale]]</f>
        <v>-16919.591500000002</v>
      </c>
      <c r="DI65" s="87">
        <f ca="1"/>
        <v>46760</v>
      </c>
      <c r="DJ65" s="90">
        <f t="shared" ca="1" si="3"/>
        <v>-1.3722235821545454</v>
      </c>
      <c r="DK65" t="str">
        <f ca="1">_xlfn.XLOOKUP(DI65,TabCalc[Column1],TabCalc[Ticker])</f>
        <v>MVEDSY</v>
      </c>
      <c r="DL65" s="87">
        <f ca="1">_xlfn.XLOOKUP(DK65,TabCalc[Ticker],TabCalc[ValueBegin])</f>
        <v>-88000</v>
      </c>
      <c r="DM65" s="87">
        <f ca="1">_xlfn.XLOOKUP(DK65,TabCalc[Ticker],TabCalc[M_V])</f>
        <v>280560</v>
      </c>
      <c r="DN65" s="87">
        <f ca="1">_xlfn.XLOOKUP(DK65,TabCalc[Ticker],TabCalc[GL])</f>
        <v>-120755.67522959999</v>
      </c>
      <c r="DO65" s="90"/>
      <c r="DP65" s="90"/>
      <c r="DQ65" s="88" t="s">
        <v>61</v>
      </c>
      <c r="DR65" s="81">
        <v>45</v>
      </c>
      <c r="DS65" s="315">
        <v>-78.742699999999999</v>
      </c>
      <c r="DU65" s="82">
        <v>16576</v>
      </c>
      <c r="DV65" s="82">
        <f ca="1">DU65-TabCalc[[#This Row],[M_V]]</f>
        <v>-364</v>
      </c>
    </row>
    <row r="66" spans="1:126" x14ac:dyDescent="0.3">
      <c r="A66" s="120" t="str">
        <f ca="1">_xlfn.XLOOKUP(TabCalc[[#This Row],[Ticker]],[1]!RTData[Ticker_Symbol],[1]!RTData[Currency])</f>
        <v>USD</v>
      </c>
      <c r="B66" s="121">
        <f ca="1">IF(TabCalc[[#This Row],[Cur]]="GBP",0.01,1)</f>
        <v>1</v>
      </c>
      <c r="C66" s="82">
        <f ca="1">_xlfn.XLOOKUP(TabCalc[[#This Row],[Ticker]],DQ$3:DQ$96,DR$3:DR$96)</f>
        <v>500</v>
      </c>
      <c r="D66" s="1142">
        <f ca="1">_xlfn.XLOOKUP(TabCalc[[#This Row],[Ticker]],DQ$3:DQ$96,DS$3:DS$96)</f>
        <v>-68.847200000000043</v>
      </c>
      <c r="E66" s="121">
        <f t="shared" ca="1" si="4"/>
        <v>-34423.60000000002</v>
      </c>
      <c r="F66" s="82">
        <f ca="1">TabCalc[[#This Row],[NAfter]]*TabCalc[[#This Row],[M]]*TabCalc[[#This Row],[Scale]]</f>
        <v>94510.499999999985</v>
      </c>
      <c r="G66" s="82">
        <f ca="1">IFERROR(TabCalc[[#This Row],[SB]]-TabCalc[[#This Row],[SST]],TabCalc[[#This Row],[SB]])</f>
        <v>350</v>
      </c>
      <c r="H66" s="532" t="str">
        <f ca="1">[1]!RTData[[#This Row],[Ticker_Symbol]]</f>
        <v>SAFAAPL</v>
      </c>
      <c r="I66" s="383">
        <f ca="1">_xlfn.XLOOKUP(TabCalc[[#This Row],[Ticker]],[1]!RTData[Ticker_Symbol],[1]!RTData[M-Price])</f>
        <v>270.02999999999997</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9.6839999999999999E-3</v>
      </c>
      <c r="N66" s="1065">
        <v>0</v>
      </c>
      <c r="O66" s="892">
        <f>TabCalc[[#This Row],[Up20]]-1+TabCalc[[#This Row],[Up20]]</f>
        <v>-1</v>
      </c>
      <c r="P66" s="892">
        <f>TabCalc[[#This Row],[Up20]]-TabCalc[[#This Row],[Up150]]</f>
        <v>-0.8</v>
      </c>
      <c r="Q66" s="892">
        <v>0.8</v>
      </c>
      <c r="R66" s="892">
        <f>TabCalc[[#This Row],[Up150]]-1+TabCalc[[#This Row],[Up150]]</f>
        <v>0.60000000000000009</v>
      </c>
      <c r="S66" s="892">
        <f ca="1">IFERROR(SUMPRODUCT(DataShift!F1558:Z1558,DataShift!AB765:AV765)/SQRT(SUMPRODUCT(DataShift!F1558:Z1558,DataShift!F1558:Z1558)*SUMPRODUCT(DataShift!AB765:AV765,DataShift!AB765:AV765)),0)</f>
        <v>-0.73152053451787447</v>
      </c>
      <c r="T66" s="892">
        <f ca="1">IFERROR(SUMPRODUCT(DataShift!F1558:Z1558,DataShift!F765:Z765)/SQRT(SUMPRODUCT(DataShift!F1558:Z1558,DataShift!F1558:Z1558)*SUMPRODUCT(DataShift!F765:Z765,DataShift!F765:Z765)),0)</f>
        <v>0.25478378964857362</v>
      </c>
      <c r="U66" s="1004">
        <v>350</v>
      </c>
      <c r="V66" s="1004">
        <v>0</v>
      </c>
      <c r="W66" s="1004">
        <v>0</v>
      </c>
      <c r="X66" s="892"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20656.69999999999</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22778.23799999999</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-1504.4999999999959</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-11945.999999999989</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1585.4999999999854</v>
      </c>
      <c r="AQ66" s="334">
        <f ca="1">_xlfn.LET(_xlpm.MVToday,DataShift!AV566,         _xlpm.MVY,DataShift!AU566,        _xlpm.MVYY, DataShift!AT566,                                IF(_xlpm.MVToday=_xlpm.MVY,_xlpm.MVY-_xlpm.MVYY,_xlpm.MVToday-_xlpm.MVY))</f>
        <v>60.150000000008731</v>
      </c>
      <c r="AR66" s="334">
        <f ca="1">_xlfn.LET(_xlpm.MVToday,DataShift!AV566,         _xlpm.MVY,DataShift!AU566,        _xlpm.MVYY, DataShift!AT566,         _xlpm.MVYYY, DataShift!AS566,                      IF(_xlpm.MVToday=_xlpm.MVY,      _xlpm.MVYY-_xlpm.MVYYY,          _xlpm.MVY-_xlpm.MVYY))</f>
        <v>-2305.75</v>
      </c>
      <c r="AS66" s="977">
        <f ca="1">TabCalc[[#This Row],[Y]]/TabCalc[[#This Row],[M]]</f>
        <v>1.0237046624449135</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-3.5134895092843771E-3</v>
      </c>
      <c r="AY66" s="82">
        <f t="shared" ca="1" si="5"/>
        <v>150</v>
      </c>
      <c r="AZ66" s="90">
        <f ca="1">_xlfn.XLOOKUP(TabCalc[[#This Row],[Ticker]],[1]!RTData[Ticker_Symbol],[1]!RTData[V/VA])</f>
        <v>0.30565067320598954</v>
      </c>
      <c r="BA66" s="90" t="str" cm="1">
        <f t="array" aca="1" ref="BA66" ca="1">IFERROR(_xlfn.IFS(TabCalc[[#This Row],[Cur]]="USD",Timer!F$27,                TabCalc[[#This Row],[Cur]]="EUR",Timer!F$18,                  TabCalc[[#This Row],[Cur]]="GBP",Timer!F$12,                          TabCalc[[#This Row],[Cur]]="CAD",Timer!F$27,                TabCalc[[#This Row],[Cur]]="JPY",Timer!F$31,                      TabCalc[[#This Row],[Cur]]="CHF",Timer!F$18),"Timing")</f>
        <v>Closed</v>
      </c>
      <c r="BB66" s="90">
        <f ca="1">IF(ISNUMBER(TabCalc[[#This Row],[TimeEX]]),TabCalc[[#This Row],[V/VA]]/TabCalc[[#This Row],[TimeEX]],TabCalc[[#This Row],[V/VA]])</f>
        <v>0.30565067320598954</v>
      </c>
      <c r="BC66" s="87" cm="1">
        <f t="array" aca="1" ref="BC66" ca="1">INDEX(TabReg[], 1, _xlfn.XMATCH(TabCalc[[#This Row],[Ticker]]&amp;1, TabReg[#Headers], 0))</f>
        <v>500</v>
      </c>
      <c r="BD66" s="159">
        <f ca="1">TabCalc[[#This Row],[Nbegin]]*TabCalc[[#This Row],[M]]*TabCalc[[#This Row],[Scale]]+TabCalc[[#This Row],[ValueBegin]]</f>
        <v>100591.39999999998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60086.899999999965</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K66" s="159" cm="1">
        <f t="array" aca="1" ref="BK66" ca="1">SUMPRODUCT(ISNUMBER(INDIRECT("TabReg["&amp;TabCalc[[#This Row],[Ticker]]&amp;"2]"))* INDIRECT("TabReg["&amp;TabCalc[[#This Row],[Ticker]]&amp;"1]") * INDIRECT("TabReg["&amp;TabCalc[[#This Row],[Ticker]]&amp;"2]") )*TabCalc[[#This Row],[Scale]]*(1+Commission)</f>
        <v>32639.482583999965</v>
      </c>
      <c r="BL66" s="159">
        <f ca="1">TabCalc[[#This Row],[M_V]]*(1-Commission)+TabCalc[[#This Row],[EfCost]]</f>
        <v>126904.25528399996</v>
      </c>
      <c r="BM66" s="159">
        <f ca="1">IF(        OR( TabCalc[[#This Row],[GL]]&gt;ABS(TabCalc[[#This Row],[EfCost]]),TabCalc[[#This Row],[NAfter]]=0),             TabCalc[[#This Row],[GL]],     0)</f>
        <v>126904.25528399996</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45980.727273888282</v>
      </c>
      <c r="BT66" s="175">
        <f ca="1">(TabCalc[[#This Row],[ValueBegin]]+(TabCalc[[#This Row],[M]]-TabCalc[[#This Row],[A]])*TabCalc[[#This Row],[NAfter]])*TabCalc[[#This Row],[Scale]]</f>
        <v>-9862.0592000000252</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24561.540799999995</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70.195142496139312</v>
      </c>
      <c r="CX66" s="405">
        <f ca="1">TabCalc[[#This Row],[ntoSell]]*TabCalc[[#This Row],[M]]</f>
        <v>18954.794328232496</v>
      </c>
      <c r="CY66" s="398">
        <f ca="1">_xlfn.LET(_xlpm.nToSell,IF(TabCalc[[#This Row],[M]]-TabCalc[[#This Row],[A]]&lt;=0,"",INT(DesiredSaleGain/(TabCalc[[#This Row],[M]]-IF(TabCalc[[#This Row],[E]]&gt;0,0,TabCalc[[#This Row],[A]])))),IF(_xlpm.nToSell&lt;=TabCalc[[#This Row],[NAfter]],_xlpm.nToSell,0))</f>
        <v>71</v>
      </c>
      <c r="CZ66" s="336">
        <f ca="1">IFERROR(TabCalc[[#This Row],[NMA]]*TabCalc[[#This Row],[M]],"")</f>
        <v>19172.129999999997</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24561.540799999995</v>
      </c>
      <c r="DB66" s="90">
        <f ca="1">IFERROR((TabCalc[[#This Row],[M]]+TabCalc[[#This Row],[L_Bp]])/ABS(TabCalc[[#This Row],[L_Bp]])/(TODAY()-TabCalc[[#This Row],[L_Bdate]])*360,"")</f>
        <v>0.80116725195895822</v>
      </c>
      <c r="DC66" s="310">
        <f ca="1">MEDIAN(DataShift!F765:Z765)</f>
        <v>0</v>
      </c>
      <c r="DD66" s="310" t="e"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6" s="87">
        <f ca="1">TabCalc[[#This Row],[Nbegin]]*TabCalc[[#This Row],[Scale]]*TabCalc[[#This Row],[M]]</f>
        <v>135015</v>
      </c>
      <c r="DF66" s="87" cm="1">
        <f t="array" aca="1" ref="DF66" ca="1">SUMPRODUCT(ISNUMBER(INDIRECT("TabReg["&amp;TabCalc[[#This Row],[Ticker]]&amp;"2]"))* INDIRECT("TabReg["&amp;TabCalc[[#This Row],[Ticker]]&amp;"1]") * INDIRECT("TabReg["&amp;TabCalc[[#This Row],[Ticker]]&amp;"2]") )*TabCalc[[#This Row],[Scale]]</f>
        <v>32554.839999999967</v>
      </c>
      <c r="DI66" s="87">
        <f ca="1"/>
        <v>45633.5</v>
      </c>
      <c r="DJ66" s="90">
        <f t="shared" ca="1" si="3"/>
        <v>-0.88300875062136674</v>
      </c>
      <c r="DK66" t="str">
        <f ca="1">_xlfn.XLOOKUP(DI66,TabCalc[Column1],TabCalc[Ticker])</f>
        <v>OXY</v>
      </c>
      <c r="DL66" s="87">
        <f ca="1">_xlfn.XLOOKUP(DK66,TabCalc[Ticker],TabCalc[ValueBegin])</f>
        <v>-78617</v>
      </c>
      <c r="DM66" s="87">
        <f ca="1">_xlfn.XLOOKUP(DK66,TabCalc[Ticker],TabCalc[M_V])</f>
        <v>165940</v>
      </c>
      <c r="DN66" s="87">
        <f ca="1">_xlfn.XLOOKUP(DK66,TabCalc[Ticker],TabCalc[GL])</f>
        <v>-69419.49894759999</v>
      </c>
      <c r="DO66" s="90"/>
      <c r="DP66" s="90"/>
      <c r="DQ66" s="88" t="s">
        <v>62</v>
      </c>
      <c r="DR66" s="82">
        <v>1000</v>
      </c>
      <c r="DS66" s="83">
        <v>-144.56</v>
      </c>
      <c r="DU66" s="82">
        <v>94514</v>
      </c>
      <c r="DV66" s="82">
        <f ca="1">DU66-TabCalc[[#This Row],[M_V]]</f>
        <v>3.5000000000145519</v>
      </c>
    </row>
    <row r="67" spans="1:126" x14ac:dyDescent="0.3">
      <c r="A67" s="120" t="str">
        <f ca="1">_xlfn.XLOOKUP(TabCalc[[#This Row],[Ticker]],[1]!RTData[Ticker_Symbol],[1]!RTData[Currency])</f>
        <v>USD</v>
      </c>
      <c r="B67" s="121">
        <f ca="1">IF(TabCalc[[#This Row],[Cur]]="GBP",0.01,1)</f>
        <v>1</v>
      </c>
      <c r="C67" s="82">
        <f ca="1">_xlfn.XLOOKUP(TabCalc[[#This Row],[Ticker]],DQ$3:DQ$96,DR$3:DR$96)</f>
        <v>2000</v>
      </c>
      <c r="D67" s="1142">
        <f ca="1">_xlfn.XLOOKUP(TabCalc[[#This Row],[Ticker]],DQ$3:DQ$96,DS$3:DS$96)</f>
        <v>-157.13999999999999</v>
      </c>
      <c r="E67" s="121">
        <f t="shared" ca="1" si="4"/>
        <v>-314280</v>
      </c>
      <c r="F67" s="82">
        <f ca="1">TabCalc[[#This Row],[NAfter]]*TabCalc[[#This Row],[M]]*TabCalc[[#This Row],[Scale]]</f>
        <v>331773</v>
      </c>
      <c r="G67" s="82">
        <f ca="1">IFERROR(TabCalc[[#This Row],[SB]]-TabCalc[[#This Row],[SST]],TabCalc[[#This Row],[SB]])</f>
        <v>1500</v>
      </c>
      <c r="H67" s="532" t="str">
        <f ca="1">[1]!RTData[[#This Row],[Ticker_Symbol]]</f>
        <v>SAFAMZN</v>
      </c>
      <c r="I67" s="383">
        <f ca="1">_xlfn.XLOOKUP(TabCalc[[#This Row],[Ticker]],[1]!RTData[Ticker_Symbol],[1]!RTData[M-Price])</f>
        <v>221.18199999999999</v>
      </c>
      <c r="J67" s="382">
        <v>204.7</v>
      </c>
      <c r="K67" s="381">
        <f ca="1">_xlfn.XLOOKUP(TabCalc[[#This Row],[Ticker]],[1]!RTData[Ticker_Symbol],[1]!RTData[1YT])</f>
        <v>288.42410000000001</v>
      </c>
      <c r="L67" s="382">
        <f ca="1">IF(OR(TabCalc[[#This Row],[NAfter]]=0,TabCalc[[#This Row],[EfCost]]&gt;0),0,TabCalc[[#This Row],[EfCost]]/TabCalc[[#This Row],[NAfter]]/TabCalc[[#This Row],[Scale]])</f>
        <v>-114.73163467559998</v>
      </c>
      <c r="M67" s="732">
        <f ca="1">_xlfn.XLOOKUP(TabCalc[[#This Row],[Ticker]],[1]!RTData[Ticker_Symbol],[1]!RTData[Change%])</f>
        <v>-6.1470000000000006E-3</v>
      </c>
      <c r="N67" s="1065">
        <v>0</v>
      </c>
      <c r="O67" s="892">
        <f>TabCalc[[#This Row],[Up20]]-1+TabCalc[[#This Row],[Up20]]</f>
        <v>-1</v>
      </c>
      <c r="P67" s="892">
        <f>TabCalc[[#This Row],[Up20]]-TabCalc[[#This Row],[Up150]]</f>
        <v>-0.25</v>
      </c>
      <c r="Q67" s="892">
        <v>0.25</v>
      </c>
      <c r="R67" s="892">
        <f>TabCalc[[#This Row],[Up150]]-1+TabCalc[[#This Row],[Up150]]</f>
        <v>-0.5</v>
      </c>
      <c r="S67" s="892">
        <f ca="1">IFERROR(SUMPRODUCT(DataShift!F1559:Z1559,DataShift!AB766:AV766)/SQRT(SUMPRODUCT(DataShift!F1559:Z1559,DataShift!F1559:Z1559)*SUMPRODUCT(DataShift!AB766:AV766,DataShift!AB766:AV766)),0)</f>
        <v>-0.9246811686401275</v>
      </c>
      <c r="T67" s="892">
        <f ca="1">IFERROR(SUMPRODUCT(DataShift!F1559:Z1559,DataShift!F766:Z766)/SQRT(SUMPRODUCT(DataShift!F1559:Z1559,DataShift!F1559:Z1559)*SUMPRODUCT(DataShift!F766:Z766,DataShift!F766:Z766)),0)</f>
        <v>0.29363927104198889</v>
      </c>
      <c r="U67" s="1004">
        <v>1500</v>
      </c>
      <c r="V67" s="1004">
        <v>0</v>
      </c>
      <c r="W67" s="1004">
        <v>0</v>
      </c>
      <c r="X67" s="892"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3965.9999999999941</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6922.9999999999945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234.00000000000887</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5769.0000000000055</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-3612</v>
      </c>
      <c r="AQ67" s="334">
        <f ca="1">_xlfn.LET(_xlpm.MVToday,DataShift!AV567,         _xlpm.MVY,DataShift!AU567,        _xlpm.MVYY, DataShift!AT567,                                IF(_xlpm.MVToday=_xlpm.MVY,_xlpm.MVY-_xlpm.MVYY,_xlpm.MVToday-_xlpm.MVY))</f>
        <v>392</v>
      </c>
      <c r="AR67" s="334">
        <f ca="1">_xlfn.LET(_xlpm.MVToday,DataShift!AV567,         _xlpm.MVY,DataShift!AU567,        _xlpm.MVYY, DataShift!AT567,         _xlpm.MVYYY, DataShift!AS567,                      IF(_xlpm.MVToday=_xlpm.MVY,      _xlpm.MVYY-_xlpm.MVYYY,          _xlpm.MVY-_xlpm.MVYY))</f>
        <v>532</v>
      </c>
      <c r="AS67" s="977">
        <f ca="1">TabCalc[[#This Row],[Y]]/TabCalc[[#This Row],[M]]</f>
        <v>1.3040125326654068</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-4.7658731368822291</v>
      </c>
      <c r="AY67" s="82">
        <f t="shared" ca="1" si="5"/>
        <v>500</v>
      </c>
      <c r="AZ67" s="90">
        <f ca="1">_xlfn.XLOOKUP(TabCalc[[#This Row],[Ticker]],[1]!RTData[Ticker_Symbol],[1]!RTData[V/VA])</f>
        <v>0.55227376593669197</v>
      </c>
      <c r="BA67" s="90" t="str" cm="1">
        <f t="array" aca="1" ref="BA67" ca="1">IFERROR(_xlfn.IFS(TabCalc[[#This Row],[Cur]]="USD",Timer!F$27,                TabCalc[[#This Row],[Cur]]="EUR",Timer!F$18,                  TabCalc[[#This Row],[Cur]]="GBP",Timer!F$12,                          TabCalc[[#This Row],[Cur]]="CAD",Timer!F$27,                TabCalc[[#This Row],[Cur]]="JPY",Timer!F$31,                      TabCalc[[#This Row],[Cur]]="CHF",Timer!F$18),"Timing")</f>
        <v>Closed</v>
      </c>
      <c r="BB67" s="90">
        <f ca="1">IF(ISNUMBER(TabCalc[[#This Row],[TimeEX]]),TabCalc[[#This Row],[V/VA]]/TabCalc[[#This Row],[TimeEX]],TabCalc[[#This Row],[V/VA]])</f>
        <v>0.55227376593669197</v>
      </c>
      <c r="BC67" s="87" cm="1">
        <f t="array" aca="1" ref="BC67" ca="1">INDEX(TabReg[], 1, _xlfn.XMATCH(TabCalc[[#This Row],[Ticker]]&amp;1, TabReg[#Headers], 0))</f>
        <v>2000</v>
      </c>
      <c r="BD67" s="159">
        <f ca="1">TabCalc[[#This Row],[Nbegin]]*TabCalc[[#This Row],[M]]*TabCalc[[#This Row],[Scale]]+TabCalc[[#This Row],[ValueBegin]]</f>
        <v>128084</v>
      </c>
      <c r="BE67" s="334" t="str" cm="1">
        <f t="array" aca="1" ref="BE67" ca="1">_xlfn.IFS(TabCalc[[#This Row],[Cost+Gain]]&gt;0,"Free",             TabCalc[[#This Row],[GL]]&gt;0,"Gainer",                TRUE,"Looser")</f>
        <v>Gainer</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17493</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K67" s="159" cm="1">
        <f t="array" aca="1" ref="BK67" ca="1">SUMPRODUCT(ISNUMBER(INDIRECT("TabReg["&amp;TabCalc[[#This Row],[Ticker]]&amp;"2]"))* INDIRECT("TabReg["&amp;TabCalc[[#This Row],[Ticker]]&amp;"1]") * INDIRECT("TabReg["&amp;TabCalc[[#This Row],[Ticker]]&amp;"2]") )*TabCalc[[#This Row],[Scale]]*(1+Commission)</f>
        <v>-172097.45201339998</v>
      </c>
      <c r="BL67" s="159">
        <f ca="1">TabCalc[[#This Row],[M_V]]*(1-Commission)+TabCalc[[#This Row],[EfCost]]</f>
        <v>158812.93818659999</v>
      </c>
      <c r="BM67" s="159">
        <f ca="1">IF(        OR( TabCalc[[#This Row],[GL]]&gt;ABS(TabCalc[[#This Row],[EfCost]]),TabCalc[[#This Row],[NAfter]]=0),             TabCalc[[#This Row],[GL]],     0)</f>
        <v>0</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191.08</v>
      </c>
      <c r="BR67" s="174" t="str">
        <f ca="1">IF(TabCalc[[#This Row],[EfCost]]+TabCalc[[#This Row],[M_V]]&lt;TabCalc[[#This Row],[NoT_GL]],"Pile","")</f>
        <v/>
      </c>
      <c r="BS67" s="165">
        <f ca="1">_xlfn.XLOOKUP(TabCalc[[#This Row],[Ticker]],[1]!RTData[Ticker_Symbol],[1]!RTData[Last trade time])</f>
        <v>45980.727355751565</v>
      </c>
      <c r="BT67" s="175">
        <f ca="1">(TabCalc[[#This Row],[ValueBegin]]+(TabCalc[[#This Row],[M]]-TabCalc[[#This Row],[A]])*TabCalc[[#This Row],[NAfter]])*TabCalc[[#This Row],[Scale]]</f>
        <v>-289557</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24723</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10683.76068376028</v>
      </c>
      <c r="CV67" s="404">
        <f ca="1">IF(TabCalc[[#This Row],[ntoBuy]]*TabCalc[[#This Row],[M]]&lt;=0,0,TabCalc[[#This Row],[ntoBuy]]*TabCalc[[#This Row],[M]])</f>
        <v>2363055.5555554661</v>
      </c>
      <c r="CW67" s="404">
        <f ca="1">IF(TabCalc[[#This Row],[M]]&gt;ABS(TabCalc[[#This Row],[L_Bp]]),MIN(TabCalc[[#This Row],[NAfter]],DesiredSaleGain/(TabCalc[[#This Row],[M]]+TabCalc[[#This Row],[L_Bp]])),0)/TabCalc[[#This Row],[Scale]]</f>
        <v>630.3580433686343</v>
      </c>
      <c r="CX67" s="405">
        <f ca="1">TabCalc[[#This Row],[ntoSell]]*TabCalc[[#This Row],[M]]</f>
        <v>139423.85274836127</v>
      </c>
      <c r="CY67" s="398">
        <f ca="1">_xlfn.LET(_xlpm.nToSell,IF(TabCalc[[#This Row],[M]]-TabCalc[[#This Row],[A]]&lt;=0,"",INT(DesiredSaleGain/(TabCalc[[#This Row],[M]]-IF(TabCalc[[#This Row],[E]]&gt;0,0,TabCalc[[#This Row],[A]])))),IF(_xlpm.nToSell&lt;=TabCalc[[#This Row],[NAfter]],_xlpm.nToSell,0))</f>
        <v>303</v>
      </c>
      <c r="CZ67" s="336">
        <f ca="1">IFERROR(TabCalc[[#This Row],[NMA]]*TabCalc[[#This Row],[M]],"")</f>
        <v>67018.145999999993</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24723</v>
      </c>
      <c r="DB67" s="90">
        <f ca="1">IFERROR((TabCalc[[#This Row],[M]]+TabCalc[[#This Row],[L_Bp]])/ABS(TabCalc[[#This Row],[L_Bp]])/(TODAY()-TabCalc[[#This Row],[L_Bdate]])*360,"")</f>
        <v>8.3170687307493329E-2</v>
      </c>
      <c r="DC67" s="310">
        <f ca="1">MEDIAN(DataShift!F766:Z766)</f>
        <v>-6.2989999999999999E-3</v>
      </c>
      <c r="DD67" s="310" t="e"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7" s="87">
        <f ca="1">TabCalc[[#This Row],[Nbegin]]*TabCalc[[#This Row],[Scale]]*TabCalc[[#This Row],[M]]</f>
        <v>442364</v>
      </c>
      <c r="DF67" s="87" cm="1">
        <f t="array" aca="1" ref="DF67" ca="1">SUMPRODUCT(ISNUMBER(INDIRECT("TabReg["&amp;TabCalc[[#This Row],[Ticker]]&amp;"2]"))* INDIRECT("TabReg["&amp;TabCalc[[#This Row],[Ticker]]&amp;"1]") * INDIRECT("TabReg["&amp;TabCalc[[#This Row],[Ticker]]&amp;"2]") )*TabCalc[[#This Row],[Scale]]</f>
        <v>-171651.15899999999</v>
      </c>
      <c r="DI67" s="87">
        <f ca="1"/>
        <v>40950</v>
      </c>
      <c r="DJ67" s="90">
        <f t="shared" ref="DJ67:DJ96" ca="1" si="6">DN67/ABS(DL67)</f>
        <v>-1.3331942533806818</v>
      </c>
      <c r="DK67" t="str">
        <f ca="1">_xlfn.XLOOKUP(DI67,TabCalc[Column1],TabCalc[Ticker])</f>
        <v>BLNK</v>
      </c>
      <c r="DL67" s="87">
        <f ca="1">_xlfn.XLOOKUP(DK67,TabCalc[Ticker],TabCalc[ValueBegin])</f>
        <v>-211200</v>
      </c>
      <c r="DM67" s="87">
        <f ca="1">_xlfn.XLOOKUP(DK67,TabCalc[Ticker],TabCalc[M_V])</f>
        <v>163800</v>
      </c>
      <c r="DN67" s="87">
        <f ca="1">_xlfn.XLOOKUP(DK67,TabCalc[Ticker],TabCalc[GL])</f>
        <v>-281570.62631399999</v>
      </c>
      <c r="DO67" s="90"/>
      <c r="DP67" s="90"/>
      <c r="DQ67" s="88" t="s">
        <v>63</v>
      </c>
      <c r="DR67" s="81">
        <v>200000</v>
      </c>
      <c r="DS67" s="315">
        <v>-166</v>
      </c>
      <c r="DU67" s="82">
        <v>373980</v>
      </c>
      <c r="DV67" s="82">
        <f ca="1">DU67-TabCalc[[#This Row],[M_V]]</f>
        <v>42207</v>
      </c>
    </row>
    <row r="68" spans="1:126" x14ac:dyDescent="0.3">
      <c r="A68" s="120" t="str">
        <f ca="1">_xlfn.XLOOKUP(TabCalc[[#This Row],[Ticker]],[1]!RTData[Ticker_Symbol],[1]!RTData[Currency])</f>
        <v>EUR</v>
      </c>
      <c r="B68" s="121">
        <f ca="1">IF(TabCalc[[#This Row],[Cur]]="GBP",0.01,1)</f>
        <v>1</v>
      </c>
      <c r="C68" s="82">
        <f ca="1">_xlfn.XLOOKUP(TabCalc[[#This Row],[Ticker]],DQ$3:DQ$96,DR$3:DR$96)</f>
        <v>160</v>
      </c>
      <c r="D68" s="1142">
        <f ca="1">_xlfn.XLOOKUP(TabCalc[[#This Row],[Ticker]],DQ$3:DQ$96,DS$3:DS$96)</f>
        <v>-623.04</v>
      </c>
      <c r="E68" s="121">
        <f t="shared" ca="1" si="4"/>
        <v>-99686.399999999994</v>
      </c>
      <c r="F68" s="82">
        <f ca="1">TabCalc[[#This Row],[NAfter]]*TabCalc[[#This Row],[M]]*TabCalc[[#This Row],[Scale]]</f>
        <v>221650</v>
      </c>
      <c r="G68" s="82">
        <f ca="1">IFERROR(TabCalc[[#This Row],[SB]]-TabCalc[[#This Row],[SST]],TabCalc[[#This Row],[SB]])</f>
        <v>250</v>
      </c>
      <c r="H68" s="532" t="str">
        <f ca="1">[1]!RTData[[#This Row],[Ticker_Symbol]]</f>
        <v>SAFASML</v>
      </c>
      <c r="I68" s="383">
        <f ca="1">_xlfn.XLOOKUP(TabCalc[[#This Row],[Ticker]],[1]!RTData[Ticker_Symbol],[1]!RTData[M-Price])</f>
        <v>886.6</v>
      </c>
      <c r="J68" s="382">
        <v>654.37295200000005</v>
      </c>
      <c r="K68" s="381">
        <f ca="1">_xlfn.XLOOKUP(TabCalc[[#This Row],[Ticker]],[1]!RTData[Ticker_Symbol],[1]!RTData[1YT])</f>
        <v>941.90326000000005</v>
      </c>
      <c r="L68" s="382">
        <f ca="1">IF(OR(TabCalc[[#This Row],[NAfter]]=0,TabCalc[[#This Row],[EfCost]]&gt;0),0,TabCalc[[#This Row],[EfCost]]/TabCalc[[#This Row],[NAfter]]/TabCalc[[#This Row],[Scale]])</f>
        <v>-166.20879019679995</v>
      </c>
      <c r="M68" s="732">
        <f ca="1">_xlfn.XLOOKUP(TabCalc[[#This Row],[Ticker]],[1]!RTData[Ticker_Symbol],[1]!RTData[Change%])</f>
        <v>2.4260999999999998E-2</v>
      </c>
      <c r="N68" s="1065">
        <v>0</v>
      </c>
      <c r="O68" s="892">
        <f>TabCalc[[#This Row],[Up20]]-1+TabCalc[[#This Row],[Up20]]</f>
        <v>-1</v>
      </c>
      <c r="P68" s="892">
        <f>TabCalc[[#This Row],[Up20]]-TabCalc[[#This Row],[Up150]]</f>
        <v>-0.5625</v>
      </c>
      <c r="Q68" s="892">
        <v>0.5625</v>
      </c>
      <c r="R68" s="892">
        <f>TabCalc[[#This Row],[Up150]]-1+TabCalc[[#This Row],[Up150]]</f>
        <v>0.125</v>
      </c>
      <c r="S68" s="892">
        <f ca="1">IFERROR(SUMPRODUCT(DataShift!F1560:Z1560,DataShift!AB767:AV767)/SQRT(SUMPRODUCT(DataShift!F1560:Z1560,DataShift!F1560:Z1560)*SUMPRODUCT(DataShift!AB767:AV767,DataShift!AB767:AV767)),0)</f>
        <v>-0.27855812982049361</v>
      </c>
      <c r="T68" s="892">
        <f ca="1">IFERROR(SUMPRODUCT(DataShift!F1560:Z1560,DataShift!F767:Z767)/SQRT(SUMPRODUCT(DataShift!F1560:Z1560,DataShift!F1560:Z1560)*SUMPRODUCT(DataShift!F767:Z767,DataShift!F767:Z767)),0)</f>
        <v>-5.1012766897897202E-2</v>
      </c>
      <c r="U68" s="1004">
        <v>250</v>
      </c>
      <c r="V68" s="1004">
        <v>0</v>
      </c>
      <c r="W68" s="1004">
        <v>0</v>
      </c>
      <c r="X68" s="892"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20404.3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11255.000000000002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-12225.599999999999</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-18476.040000000005</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6375</v>
      </c>
      <c r="AQ68" s="334">
        <f ca="1">_xlfn.LET(_xlpm.MVToday,DataShift!AV568,         _xlpm.MVY,DataShift!AU568,        _xlpm.MVYY, DataShift!AT568,                                IF(_xlpm.MVToday=_xlpm.MVY,_xlpm.MVY-_xlpm.MVYY,_xlpm.MVToday-_xlpm.MVY))</f>
        <v>906.49999999998545</v>
      </c>
      <c r="AR68" s="334">
        <f ca="1">_xlfn.LET(_xlpm.MVToday,DataShift!AV568,         _xlpm.MVY,DataShift!AU568,        _xlpm.MVYY, DataShift!AT568,         _xlpm.MVYYY, DataShift!AS568,                      IF(_xlpm.MVToday=_xlpm.MVY,      _xlpm.MVYY-_xlpm.MVYYY,          _xlpm.MVY-_xlpm.MVYY))</f>
        <v>-1739.5000000000146</v>
      </c>
      <c r="AS68" s="977">
        <f ca="1">TabCalc[[#This Row],[Y]]/TabCalc[[#This Row],[M]]</f>
        <v>1.0623767877284007</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-0.20254343505758401</v>
      </c>
      <c r="AY68" s="82">
        <f t="shared" ca="1" si="5"/>
        <v>0</v>
      </c>
      <c r="AZ68" s="90">
        <f ca="1">_xlfn.XLOOKUP(TabCalc[[#This Row],[Ticker]],[1]!RTData[Ticker_Symbol],[1]!RTData[V/VA])</f>
        <v>1.0213644846396783</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1.0213644846396783</v>
      </c>
      <c r="BC68" s="87" cm="1">
        <f t="array" aca="1" ref="BC68" ca="1">INDEX(TabReg[], 1, _xlfn.XMATCH(TabCalc[[#This Row],[Ticker]]&amp;1, TabReg[#Headers], 0))</f>
        <v>160</v>
      </c>
      <c r="BD68" s="159">
        <f ca="1">TabCalc[[#This Row],[Nbegin]]*TabCalc[[#This Row],[M]]*TabCalc[[#This Row],[Scale]]+TabCalc[[#This Row],[ValueBegin]]</f>
        <v>42169.600000000006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121963.6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K68" s="159" cm="1">
        <f t="array" aca="1" ref="BK68" ca="1">SUMPRODUCT(ISNUMBER(INDIRECT("TabReg["&amp;TabCalc[[#This Row],[Ticker]]&amp;"2]"))* INDIRECT("TabReg["&amp;TabCalc[[#This Row],[Ticker]]&amp;"1]") * INDIRECT("TabReg["&amp;TabCalc[[#This Row],[Ticker]]&amp;"2]") )*TabCalc[[#This Row],[Scale]]*(1+Commission)</f>
        <v>-41552.197549199991</v>
      </c>
      <c r="BL68" s="159">
        <f ca="1">TabCalc[[#This Row],[M_V]]*(1-Commission)+TabCalc[[#This Row],[EfCost]]</f>
        <v>179521.51245079999</v>
      </c>
      <c r="BM68" s="159">
        <f ca="1">IF(        OR( TabCalc[[#This Row],[GL]]&gt;ABS(TabCalc[[#This Row],[EfCost]]),TabCalc[[#This Row],[NAfter]]=0),             TabCalc[[#This Row],[GL]],     0)</f>
        <v>179521.51245079999</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45980.708333333336</v>
      </c>
      <c r="BT68" s="175">
        <f ca="1">(TabCalc[[#This Row],[ValueBegin]]+(TabCalc[[#This Row],[M]]-TabCalc[[#This Row],[A]])*TabCalc[[#This Row],[NAfter]])*TabCalc[[#This Row],[Scale]]</f>
        <v>-41629.637999999999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58056.761999999995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17.15324710967786</v>
      </c>
      <c r="CX68" s="405">
        <f ca="1">TabCalc[[#This Row],[ntoSell]]*TabCalc[[#This Row],[M]]</f>
        <v>15208.068887440391</v>
      </c>
      <c r="CY68" s="398">
        <f ca="1">_xlfn.LET(_xlpm.nToSell,IF(TabCalc[[#This Row],[M]]-TabCalc[[#This Row],[A]]&lt;=0,"",INT(DesiredSaleGain/(TabCalc[[#This Row],[M]]-IF(TabCalc[[#This Row],[E]]&gt;0,0,TabCalc[[#This Row],[A]])))),IF(_xlpm.nToSell&lt;=TabCalc[[#This Row],[NAfter]],_xlpm.nToSell,0))</f>
        <v>21</v>
      </c>
      <c r="CZ68" s="336">
        <f ca="1">IFERROR(TabCalc[[#This Row],[NMA]]*TabCalc[[#This Row],[M]],"")</f>
        <v>18618.600000000002</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58056.761999999995</v>
      </c>
      <c r="DB68" s="90">
        <f ca="1">IFERROR((TabCalc[[#This Row],[M]]+TabCalc[[#This Row],[L_Bp]])/ABS(TabCalc[[#This Row],[L_Bp]])/(TODAY()-TabCalc[[#This Row],[L_Bdate]])*360,"")</f>
        <v>1.6793437947846375</v>
      </c>
      <c r="DC68" s="310">
        <f ca="1">MEDIAN(DataShift!F767:Z767)</f>
        <v>2.0210000000000002E-3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141856</v>
      </c>
      <c r="DF68" s="87" cm="1">
        <f t="array" aca="1" ref="DF68" ca="1">SUMPRODUCT(ISNUMBER(INDIRECT("TabReg["&amp;TabCalc[[#This Row],[Ticker]]&amp;"2]"))* INDIRECT("TabReg["&amp;TabCalc[[#This Row],[Ticker]]&amp;"1]") * INDIRECT("TabReg["&amp;TabCalc[[#This Row],[Ticker]]&amp;"2]") )*TabCalc[[#This Row],[Scale]]</f>
        <v>-41444.441999999995</v>
      </c>
      <c r="DI68" s="87">
        <f ca="1"/>
        <v>36855</v>
      </c>
      <c r="DJ68" s="90">
        <f t="shared" ca="1" si="6"/>
        <v>0.21908446292292189</v>
      </c>
      <c r="DK68" t="str">
        <f ca="1">_xlfn.XLOOKUP(DI68,TabCalc[Column1],TabCalc[Ticker])</f>
        <v>DIS</v>
      </c>
      <c r="DL68" s="87">
        <f ca="1">_xlfn.XLOOKUP(DK68,TabCalc[Ticker],TabCalc[ValueBegin])</f>
        <v>-59749.990000000005</v>
      </c>
      <c r="DM68" s="87">
        <f ca="1">_xlfn.XLOOKUP(DK68,TabCalc[Ticker],TabCalc[M_V])</f>
        <v>105300</v>
      </c>
      <c r="DN68" s="87">
        <f ca="1">_xlfn.XLOOKUP(DK68,TabCalc[Ticker],TabCalc[GL])</f>
        <v>13090.294468799955</v>
      </c>
      <c r="DO68" s="90"/>
      <c r="DP68" s="90"/>
      <c r="DQ68" s="88" t="s">
        <v>64</v>
      </c>
      <c r="DR68" s="81">
        <v>850</v>
      </c>
      <c r="DS68" s="315">
        <v>-49.61</v>
      </c>
      <c r="DU68" s="82">
        <v>229500</v>
      </c>
      <c r="DV68" s="82">
        <f ca="1">DU68-TabCalc[[#This Row],[M_V]]</f>
        <v>7850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42">
        <f ca="1">_xlfn.XLOOKUP(TabCalc[[#This Row],[Ticker]],DQ$3:DQ$96,DS$3:DS$96)</f>
        <v>-49.61</v>
      </c>
      <c r="E69" s="121">
        <f t="shared" ref="E69:E96" ca="1" si="7">SUMPRODUCT(C69,D69,B69)</f>
        <v>-42168.5</v>
      </c>
      <c r="F69" s="82">
        <f ca="1">TabCalc[[#This Row],[NAfter]]*TabCalc[[#This Row],[M]]*TabCalc[[#This Row],[Scale]]</f>
        <v>224950</v>
      </c>
      <c r="G69" s="82">
        <f ca="1">IFERROR(TabCalc[[#This Row],[SB]]-TabCalc[[#This Row],[SST]],TabCalc[[#This Row],[SB]])</f>
        <v>110000</v>
      </c>
      <c r="H69" s="532" t="str">
        <f ca="1">[1]!RTData[[#This Row],[Ticker_Symbol]]</f>
        <v>SAFDDD</v>
      </c>
      <c r="I69" s="383">
        <f ca="1">_xlfn.XLOOKUP(TabCalc[[#This Row],[Ticker]],[1]!RTData[Ticker_Symbol],[1]!RTData[M-Price])</f>
        <v>2.0449999999999999</v>
      </c>
      <c r="J69" s="382">
        <v>3.2831954545454547</v>
      </c>
      <c r="K69" s="381">
        <f ca="1">_xlfn.XLOOKUP(TabCalc[[#This Row],[Ticker]],[1]!RTData[Ticker_Symbol],[1]!RTData[1YT])</f>
        <v>3.25</v>
      </c>
      <c r="L69" s="382">
        <f ca="1">IF(OR(TabCalc[[#This Row],[NAfter]]=0,TabCalc[[#This Row],[EfCost]]&gt;0),0,TabCalc[[#This Row],[EfCost]]/TabCalc[[#This Row],[NAfter]]/TabCalc[[#This Row],[Scale]])</f>
        <v>-3.4824665690181815</v>
      </c>
      <c r="M69" s="732">
        <f ca="1">_xlfn.XLOOKUP(TabCalc[[#This Row],[Ticker]],[1]!RTData[Ticker_Symbol],[1]!RTData[Change%])</f>
        <v>-1.6827000000000002E-2</v>
      </c>
      <c r="N69" s="1065">
        <v>0</v>
      </c>
      <c r="O69" s="892">
        <f>TabCalc[[#This Row],[Up20]]-1+TabCalc[[#This Row],[Up20]]</f>
        <v>-1</v>
      </c>
      <c r="P69" s="892">
        <f>TabCalc[[#This Row],[Up20]]-TabCalc[[#This Row],[Up150]]</f>
        <v>-0.47619047619047616</v>
      </c>
      <c r="Q69" s="892">
        <v>0.47619047619047616</v>
      </c>
      <c r="R69" s="892">
        <f>TabCalc[[#This Row],[Up150]]-1+TabCalc[[#This Row],[Up150]]</f>
        <v>-4.7619047619047672E-2</v>
      </c>
      <c r="S69" s="892">
        <f ca="1">IFERROR(SUMPRODUCT(DataShift!F1561:Z1561,DataShift!AB768:AV768)/SQRT(SUMPRODUCT(DataShift!F1561:Z1561,DataShift!F1561:Z1561)*SUMPRODUCT(DataShift!AB768:AV768,DataShift!AB768:AV768)),0)</f>
        <v>-0.58280828669983642</v>
      </c>
      <c r="T69" s="892">
        <f ca="1">IFERROR(SUMPRODUCT(DataShift!F1561:Z1561,DataShift!F768:Z768)/SQRT(SUMPRODUCT(DataShift!F1561:Z1561,DataShift!F1561:Z1561)*SUMPRODUCT(DataShift!F768:Z768,DataShift!F768:Z768)),0)</f>
        <v>0.21978012449404447</v>
      </c>
      <c r="U69" s="1004">
        <v>21000</v>
      </c>
      <c r="V69" s="1004">
        <v>89000</v>
      </c>
      <c r="W69" s="1004">
        <v>0</v>
      </c>
      <c r="X69" s="892"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3,030 = $ 6,196</v>
      </c>
      <c r="Z69" s="211">
        <f ca="1">MIN(TabCalc[[#This Row],[L_Bn]],TabCalc[[#This Row],[NAfter]])*(TabCalc[[#This Row],[M]]+TabCalc[[#This Row],[L_Bp]])*TabCalc[[#This Row],[Scale]]</f>
        <v>2435.9999999999977</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-16157.500000000002</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12265.000000000002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12180</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-6050</v>
      </c>
      <c r="AQ69" s="334">
        <f ca="1">_xlfn.LET(_xlpm.MVToday,DataShift!AV569,         _xlpm.MVY,DataShift!AU569,        _xlpm.MVYY, DataShift!AT569,                                IF(_xlpm.MVToday=_xlpm.MVY,_xlpm.MVY-_xlpm.MVYY,_xlpm.MVToday-_xlpm.MVY))</f>
        <v>-2052</v>
      </c>
      <c r="AR69" s="334">
        <f ca="1">_xlfn.LET(_xlpm.MVToday,DataShift!AV569,         _xlpm.MVY,DataShift!AU569,        _xlpm.MVYY, DataShift!AT569,         _xlpm.MVYYY, DataShift!AS569,                      IF(_xlpm.MVToday=_xlpm.MVY,      _xlpm.MVYY-_xlpm.MVYYY,          _xlpm.MVY-_xlpm.MVYY))</f>
        <v>-18210</v>
      </c>
      <c r="AS69" s="977">
        <f ca="1">TabCalc[[#This Row],[Y]]/TabCalc[[#This Row],[M]]</f>
        <v>1.5892420537897312</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-0.2632597517397029</v>
      </c>
      <c r="AY69" s="82">
        <f t="shared" ref="AY69:AY96" ca="1" si="8">IF(G69&lt;C69,C69-G69,0)</f>
        <v>0</v>
      </c>
      <c r="AZ69" s="90">
        <f ca="1">_xlfn.XLOOKUP(TabCalc[[#This Row],[Ticker]],[1]!RTData[Ticker_Symbol],[1]!RTData[V/VA])</f>
        <v>0.20013259900261549</v>
      </c>
      <c r="BA69" s="90" t="str" cm="1">
        <f t="array" aca="1" ref="BA69" ca="1">IFERROR(_xlfn.IFS(TabCalc[[#This Row],[Cur]]="USD",Timer!F$27,                TabCalc[[#This Row],[Cur]]="EUR",Timer!F$18,                  TabCalc[[#This Row],[Cur]]="GBP",Timer!F$12,                          TabCalc[[#This Row],[Cur]]="CAD",Timer!F$27,                TabCalc[[#This Row],[Cur]]="JPY",Timer!F$31,                      TabCalc[[#This Row],[Cur]]="CHF",Timer!F$18),"Timing")</f>
        <v>Closed</v>
      </c>
      <c r="BB69" s="90">
        <f ca="1">IF(ISNUMBER(TabCalc[[#This Row],[TimeEX]]),TabCalc[[#This Row],[V/VA]]/TabCalc[[#This Row],[TimeEX]],TabCalc[[#This Row],[V/VA]])</f>
        <v>0.20013259900261549</v>
      </c>
      <c r="BC69" s="87" cm="1">
        <f t="array" aca="1" ref="BC69" ca="1">INDEX(TabReg[], 1, _xlfn.XMATCH(TabCalc[[#This Row],[Ticker]]&amp;1, TabReg[#Headers], 0))</f>
        <v>850</v>
      </c>
      <c r="BD69" s="159">
        <f ca="1">TabCalc[[#This Row],[Nbegin]]*TabCalc[[#This Row],[M]]*TabCalc[[#This Row],[Scale]]+TabCalc[[#This Row],[ValueBegin]]</f>
        <v>-40430.25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-340793.18449199997</v>
      </c>
      <c r="BH69" s="336">
        <f ca="1">TabCalc[[#This Row],[M_V]]+TabCalc[[#This Row],[ValueBegin]]</f>
        <v>182781.5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K69" s="159" cm="1">
        <f t="array" aca="1" ref="BK69" ca="1">SUMPRODUCT(ISNUMBER(INDIRECT("TabReg["&amp;TabCalc[[#This Row],[Ticker]]&amp;"2]"))* INDIRECT("TabReg["&amp;TabCalc[[#This Row],[Ticker]]&amp;"1]") * INDIRECT("TabReg["&amp;TabCalc[[#This Row],[Ticker]]&amp;"2]") )*TabCalc[[#This Row],[Scale]]*(1+Commission)</f>
        <v>-383071.32259199995</v>
      </c>
      <c r="BL69" s="159">
        <f ca="1">TabCalc[[#This Row],[M_V]]*(1-Commission)+TabCalc[[#This Row],[EfCost]]</f>
        <v>-158706.19259199998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4.91</v>
      </c>
      <c r="BR69" s="174" t="str">
        <f ca="1">IF(TabCalc[[#This Row],[EfCost]]+TabCalc[[#This Row],[M_V]]&lt;TabCalc[[#This Row],[NoT_GL]],"Pile","")</f>
        <v>Pile</v>
      </c>
      <c r="BS69" s="165">
        <f ca="1">_xlfn.XLOOKUP(TabCalc[[#This Row],[Ticker]],[1]!RTData[Ticker_Symbol],[1]!RTData[Last trade time])</f>
        <v>45980.727311353905</v>
      </c>
      <c r="BT69" s="175">
        <f ca="1">(TabCalc[[#This Row],[ValueBegin]]+(TabCalc[[#This Row],[M]]-TabCalc[[#This Row],[A]])*TabCalc[[#This Row],[NAfter]])*TabCalc[[#This Row],[Scale]]</f>
        <v>-178370.00000000003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-136201.50000000003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4484.3049327354247</v>
      </c>
      <c r="CV69" s="404">
        <f ca="1">IF(TabCalc[[#This Row],[ntoBuy]]*TabCalc[[#This Row],[M]]&lt;=0,0,TabCalc[[#This Row],[ntoBuy]]*TabCalc[[#This Row],[M]])</f>
        <v>9170.4035874439433</v>
      </c>
      <c r="CW69" s="404">
        <f ca="1">IF(TabCalc[[#This Row],[M]]&gt;ABS(TabCalc[[#This Row],[L_Bp]]),MIN(TabCalc[[#This Row],[NAfter]],DesiredSaleGain/(TabCalc[[#This Row],[M]]+TabCalc[[#This Row],[L_Bp]])),0)/TabCalc[[#This Row],[Scale]]</f>
        <v>43103.448275862116</v>
      </c>
      <c r="CX69" s="405">
        <f ca="1">TabCalc[[#This Row],[ntoSell]]*TabCalc[[#This Row],[M]]</f>
        <v>88146.551724138029</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-136201.50000000003</v>
      </c>
      <c r="DB69" s="90">
        <f ca="1">IFERROR((TabCalc[[#This Row],[M]]+TabCalc[[#This Row],[L_Bp]])/ABS(TabCalc[[#This Row],[L_Bp]])/(TODAY()-TabCalc[[#This Row],[L_Bdate]])*360,"")</f>
        <v>0.1139395923712858</v>
      </c>
      <c r="DC69" s="310">
        <f ca="1">MEDIAN(DataShift!F768:Z768)</f>
        <v>-6.1470000000000006E-3</v>
      </c>
      <c r="DD69" s="310" t="e"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9" s="87">
        <f ca="1">TabCalc[[#This Row],[Nbegin]]*TabCalc[[#This Row],[Scale]]*TabCalc[[#This Row],[M]]</f>
        <v>1738.25</v>
      </c>
      <c r="DF69" s="87" cm="1">
        <f t="array" aca="1" ref="DF69" ca="1">SUMPRODUCT(ISNUMBER(INDIRECT("TabReg["&amp;TabCalc[[#This Row],[Ticker]]&amp;"2]"))* INDIRECT("TabReg["&amp;TabCalc[[#This Row],[Ticker]]&amp;"1]") * INDIRECT("TabReg["&amp;TabCalc[[#This Row],[Ticker]]&amp;"2]") )*TabCalc[[#This Row],[Scale]]</f>
        <v>-382077.92</v>
      </c>
      <c r="DI69" s="87">
        <f ca="1"/>
        <v>35940</v>
      </c>
      <c r="DJ69" s="90">
        <f t="shared" ca="1" si="6"/>
        <v>4.7997094448102101E-2</v>
      </c>
      <c r="DK69" t="str">
        <f ca="1">_xlfn.XLOOKUP(DI69,TabCalc[Column1],TabCalc[Ticker])</f>
        <v>PROF</v>
      </c>
      <c r="DL69" s="87">
        <f ca="1">_xlfn.XLOOKUP(DK69,TabCalc[Ticker],TabCalc[ValueBegin])</f>
        <v>-91140</v>
      </c>
      <c r="DM69" s="87">
        <f ca="1">_xlfn.XLOOKUP(DK69,TabCalc[Ticker],TabCalc[M_V])</f>
        <v>23960</v>
      </c>
      <c r="DN69" s="87">
        <f ca="1">_xlfn.XLOOKUP(DK69,TabCalc[Ticker],TabCalc[GL])</f>
        <v>4374.4551880000254</v>
      </c>
      <c r="DO69" s="90"/>
      <c r="DP69" s="90"/>
      <c r="DQ69" s="88" t="s">
        <v>65</v>
      </c>
      <c r="DR69" s="81">
        <v>2000</v>
      </c>
      <c r="DS69" s="315">
        <v>-157.13999999999999</v>
      </c>
      <c r="DU69" s="82">
        <v>288750</v>
      </c>
      <c r="DV69" s="82">
        <f ca="1">DU69-TabCalc[[#This Row],[M_V]]</f>
        <v>63800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42">
        <f ca="1">_xlfn.XLOOKUP(TabCalc[[#This Row],[Ticker]],DQ$3:DQ$96,DS$3:DS$96)</f>
        <v>-104.53</v>
      </c>
      <c r="E70" s="121">
        <f t="shared" ca="1" si="7"/>
        <v>-187108.7</v>
      </c>
      <c r="F70" s="82">
        <f ca="1">TabCalc[[#This Row],[NAfter]]*TabCalc[[#This Row],[M]]*TabCalc[[#This Row],[Scale]]</f>
        <v>126360</v>
      </c>
      <c r="G70" s="82">
        <f ca="1">IFERROR(TabCalc[[#This Row],[SB]]-TabCalc[[#This Row],[SST]],TabCalc[[#This Row],[SB]])</f>
        <v>1200</v>
      </c>
      <c r="H70" s="532" t="str">
        <f ca="1">[1]!RTData[[#This Row],[Ticker_Symbol]]</f>
        <v>SAFDIS</v>
      </c>
      <c r="I70" s="383">
        <f ca="1">_xlfn.XLOOKUP(TabCalc[[#This Row],[Ticker]],[1]!RTData[Ticker_Symbol],[1]!RTData[M-Price])</f>
        <v>105.3</v>
      </c>
      <c r="J70" s="382">
        <v>110.54008333333334</v>
      </c>
      <c r="K70" s="381">
        <f ca="1">_xlfn.XLOOKUP(TabCalc[[#This Row],[Ticker]],[1]!RTData[Ticker_Symbol],[1]!RTData[1YT])</f>
        <v>134.07239999999999</v>
      </c>
      <c r="L70" s="382">
        <f ca="1">IF(OR(TabCalc[[#This Row],[NAfter]]=0,TabCalc[[#This Row],[EfCost]]&gt;0),0,TabCalc[[#This Row],[EfCost]]/TabCalc[[#This Row],[NAfter]]/TabCalc[[#This Row],[Scale]])</f>
        <v>-80.85123474000001</v>
      </c>
      <c r="M70" s="732">
        <f ca="1">_xlfn.XLOOKUP(TabCalc[[#This Row],[Ticker]],[1]!RTData[Ticker_Symbol],[1]!RTData[Change%])</f>
        <v>-9.221E-3</v>
      </c>
      <c r="N70" s="1065">
        <v>0</v>
      </c>
      <c r="O70" s="892">
        <f>TabCalc[[#This Row],[Up20]]-1+TabCalc[[#This Row],[Up20]]</f>
        <v>-1</v>
      </c>
      <c r="P70" s="892">
        <f>TabCalc[[#This Row],[Up20]]-TabCalc[[#This Row],[Up150]]</f>
        <v>-0.8</v>
      </c>
      <c r="Q70" s="892">
        <v>0.8</v>
      </c>
      <c r="R70" s="892">
        <f>TabCalc[[#This Row],[Up150]]-1+TabCalc[[#This Row],[Up150]]</f>
        <v>0.60000000000000009</v>
      </c>
      <c r="S70" s="892">
        <f ca="1">IFERROR(SUMPRODUCT(DataShift!F1562:Z1562,DataShift!AB769:AV769)/SQRT(SUMPRODUCT(DataShift!F1562:Z1562,DataShift!F1562:Z1562)*SUMPRODUCT(DataShift!AB769:AV769,DataShift!AB769:AV769)),0)</f>
        <v>-0.79431328927980094</v>
      </c>
      <c r="T70" s="892">
        <f ca="1">IFERROR(SUMPRODUCT(DataShift!F1562:Z1562,DataShift!F769:Z769)/SQRT(SUMPRODUCT(DataShift!F1562:Z1562,DataShift!F1562:Z1562)*SUMPRODUCT(DataShift!F769:Z769,DataShift!F769:Z769)),0)</f>
        <v>3.4740674680601824E-2</v>
      </c>
      <c r="U70" s="1004">
        <v>670</v>
      </c>
      <c r="V70" s="1004">
        <v>530</v>
      </c>
      <c r="W70" s="1004">
        <v>0</v>
      </c>
      <c r="X70" s="892"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-4070.4000000000037</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-2317.0000000000018</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5831.1</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11215.999999999996</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-918</v>
      </c>
      <c r="AQ70" s="334">
        <f ca="1">_xlfn.LET(_xlpm.MVToday,DataShift!AV570,         _xlpm.MVY,DataShift!AU570,        _xlpm.MVYY, DataShift!AT570,                                IF(_xlpm.MVToday=_xlpm.MVY,_xlpm.MVY-_xlpm.MVYY,_xlpm.MVToday-_xlpm.MVY))</f>
        <v>6800</v>
      </c>
      <c r="AR70" s="334">
        <f ca="1">_xlfn.LET(_xlpm.MVToday,DataShift!AV570,         _xlpm.MVY,DataShift!AU570,        _xlpm.MVYY, DataShift!AT570,         _xlpm.MVYYY, DataShift!AS570,                      IF(_xlpm.MVToday=_xlpm.MVY,      _xlpm.MVYY-_xlpm.MVYYY,          _xlpm.MVY-_xlpm.MVYY))</f>
        <v>-3675</v>
      </c>
      <c r="AS70" s="977">
        <f ca="1">TabCalc[[#This Row],[Y]]/TabCalc[[#This Row],[M]]</f>
        <v>1.2732421652421653</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-1.6871764823990454</v>
      </c>
      <c r="AY70" s="82">
        <f t="shared" ca="1" si="8"/>
        <v>590</v>
      </c>
      <c r="AZ70" s="90">
        <f ca="1">_xlfn.XLOOKUP(TabCalc[[#This Row],[Ticker]],[1]!RTData[Ticker_Symbol],[1]!RTData[V/VA])</f>
        <v>0.43204780109496366</v>
      </c>
      <c r="BA70" s="90" t="str" cm="1">
        <f t="array" aca="1" ref="BA70" ca="1">IFERROR(_xlfn.IFS(TabCalc[[#This Row],[Cur]]="USD",Timer!F$27,                TabCalc[[#This Row],[Cur]]="EUR",Timer!F$18,                  TabCalc[[#This Row],[Cur]]="GBP",Timer!F$12,                          TabCalc[[#This Row],[Cur]]="CAD",Timer!F$27,                TabCalc[[#This Row],[Cur]]="JPY",Timer!F$31,                      TabCalc[[#This Row],[Cur]]="CHF",Timer!F$18),"Timing")</f>
        <v>Closed</v>
      </c>
      <c r="BB70" s="90">
        <f ca="1">IF(ISNUMBER(TabCalc[[#This Row],[TimeEX]]),TabCalc[[#This Row],[V/VA]]/TabCalc[[#This Row],[TimeEX]],TabCalc[[#This Row],[V/VA]])</f>
        <v>0.43204780109496366</v>
      </c>
      <c r="BC70" s="87" cm="1">
        <f t="array" aca="1" ref="BC70" ca="1">INDEX(TabReg[], 1, _xlfn.XMATCH(TabCalc[[#This Row],[Ticker]]&amp;1, TabReg[#Headers], 0))</f>
        <v>1790</v>
      </c>
      <c r="BD70" s="159">
        <f ca="1">TabCalc[[#This Row],[Nbegin]]*TabCalc[[#This Row],[M]]*TabCalc[[#This Row],[Scale]]+TabCalc[[#This Row],[ValueBegin]]</f>
        <v>1378.2999999999884</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-60748.700000000012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K70" s="159" cm="1">
        <f t="array" aca="1" ref="BK70" ca="1">SUMPRODUCT(ISNUMBER(INDIRECT("TabReg["&amp;TabCalc[[#This Row],[Ticker]]&amp;"2]"))* INDIRECT("TabReg["&amp;TabCalc[[#This Row],[Ticker]]&amp;"1]") * INDIRECT("TabReg["&amp;TabCalc[[#This Row],[Ticker]]&amp;"2]") )*TabCalc[[#This Row],[Scale]]*(1+Commission)</f>
        <v>-97021.481688000014</v>
      </c>
      <c r="BL70" s="159">
        <f ca="1">TabCalc[[#This Row],[M_V]]*(1-Commission)+TabCalc[[#This Row],[EfCost]]</f>
        <v>29009.982311999978</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127.61</v>
      </c>
      <c r="BR70" s="174" t="str">
        <f ca="1">IF(TabCalc[[#This Row],[EfCost]]+TabCalc[[#This Row],[M_V]]&lt;TabCalc[[#This Row],[NoT_GL]],"Pile","")</f>
        <v/>
      </c>
      <c r="BS70" s="165">
        <f ca="1">_xlfn.XLOOKUP(TabCalc[[#This Row],[Ticker]],[1]!RTData[Ticker_Symbol],[1]!RTData[Last trade time])</f>
        <v>45980.72734399297</v>
      </c>
      <c r="BT70" s="175">
        <f ca="1">(TabCalc[[#This Row],[ValueBegin]]+(TabCalc[[#This Row],[M]]-TabCalc[[#This Row],[A]])*TabCalc[[#This Row],[NAfter]])*TabCalc[[#This Row],[Scale]]</f>
        <v>-193396.80000000002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-6288.100000000014</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282.96547821165814</v>
      </c>
      <c r="CV70" s="404">
        <f ca="1">IF(TabCalc[[#This Row],[ntoBuy]]*TabCalc[[#This Row],[M]]&lt;=0,0,TabCalc[[#This Row],[ntoBuy]]*TabCalc[[#This Row],[M]])</f>
        <v>29796.264855687601</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-6288.100000000014</v>
      </c>
      <c r="DB70" s="90">
        <f ca="1">IFERROR((TabCalc[[#This Row],[M]]+TabCalc[[#This Row],[L_Bp]])/ABS(TabCalc[[#This Row],[L_Bp]])/(TODAY()-TabCalc[[#This Row],[L_Bdate]])*360,"")</f>
        <v>-0.55617245208323329</v>
      </c>
      <c r="DC70" s="310">
        <f ca="1">MEDIAN(DataShift!F769:Z769)</f>
        <v>9.9279999999999985E-4</v>
      </c>
      <c r="DD70" s="310" t="e"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0" s="87">
        <f ca="1">TabCalc[[#This Row],[Nbegin]]*TabCalc[[#This Row],[Scale]]*TabCalc[[#This Row],[M]]</f>
        <v>188487</v>
      </c>
      <c r="DF70" s="87" cm="1">
        <f t="array" aca="1" ref="DF70" ca="1">SUMPRODUCT(ISNUMBER(INDIRECT("TabReg["&amp;TabCalc[[#This Row],[Ticker]]&amp;"2]"))* INDIRECT("TabReg["&amp;TabCalc[[#This Row],[Ticker]]&amp;"1]") * INDIRECT("TabReg["&amp;TabCalc[[#This Row],[Ticker]]&amp;"2]") )*TabCalc[[#This Row],[Scale]]</f>
        <v>-96769.880000000019</v>
      </c>
      <c r="DI70" s="87">
        <f ca="1"/>
        <v>33225</v>
      </c>
      <c r="DJ70" s="90">
        <f t="shared" ca="1" si="6"/>
        <v>-1.2727708357476724</v>
      </c>
      <c r="DK70" t="str">
        <f ca="1">_xlfn.XLOOKUP(DI70,TabCalc[Column1],TabCalc[Ticker])</f>
        <v>BMRA</v>
      </c>
      <c r="DL70" s="87">
        <f ca="1">_xlfn.XLOOKUP(DK70,TabCalc[Ticker],TabCalc[ValueBegin])</f>
        <v>-103548</v>
      </c>
      <c r="DM70" s="87">
        <f ca="1">_xlfn.XLOOKUP(DK70,TabCalc[Ticker],TabCalc[M_V])</f>
        <v>27687.5</v>
      </c>
      <c r="DN70" s="87">
        <f ca="1">_xlfn.XLOOKUP(DK70,TabCalc[Ticker],TabCalc[GL])</f>
        <v>-131792.87449999998</v>
      </c>
      <c r="DO70" s="90"/>
      <c r="DP70" s="90"/>
      <c r="DQ70" s="88" t="s">
        <v>66</v>
      </c>
      <c r="DR70" s="82">
        <v>500</v>
      </c>
      <c r="DS70" s="315">
        <v>-68.847200000000043</v>
      </c>
      <c r="DU70" s="82">
        <v>133764</v>
      </c>
      <c r="DV70" s="82">
        <f ca="1">DU70-TabCalc[[#This Row],[M_V]]</f>
        <v>7404</v>
      </c>
    </row>
    <row r="71" spans="1:126" x14ac:dyDescent="0.3">
      <c r="A71" s="120" t="str">
        <f ca="1">_xlfn.XLOOKUP(TabCalc[[#This Row],[Ticker]],[1]!RTData[Ticker_Symbol],[1]!RTData[Currency])</f>
        <v>USD</v>
      </c>
      <c r="B71" s="121">
        <f ca="1">IF(TabCalc[[#This Row],[Cur]]="GBP",0.01,1)</f>
        <v>1</v>
      </c>
      <c r="C71" s="82">
        <f ca="1">_xlfn.XLOOKUP(TabCalc[[#This Row],[Ticker]],DQ$3:DQ$96,DR$3:DR$96)</f>
        <v>3900</v>
      </c>
      <c r="D71" s="1142">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69.114999999999995</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1.7444000000000001E-2</v>
      </c>
      <c r="N71" s="1065">
        <v>0.55555555555555558</v>
      </c>
      <c r="O71" s="892">
        <f>TabCalc[[#This Row],[Up20]]-1+TabCalc[[#This Row],[Up20]]</f>
        <v>0.11111111111111116</v>
      </c>
      <c r="P71" s="892">
        <f>TabCalc[[#This Row],[Up20]]-TabCalc[[#This Row],[Up150]]</f>
        <v>0.10779436152570482</v>
      </c>
      <c r="Q71" s="892">
        <v>0.44776119402985076</v>
      </c>
      <c r="R71" s="892">
        <f>TabCalc[[#This Row],[Up150]]-1+TabCalc[[#This Row],[Up150]]</f>
        <v>-0.10447761194029853</v>
      </c>
      <c r="S71" s="892">
        <f ca="1">IFERROR(SUMPRODUCT(DataShift!F1563:Z1563,DataShift!AB770:AV770)/SQRT(SUMPRODUCT(DataShift!F1563:Z1563,DataShift!F1563:Z1563)*SUMPRODUCT(DataShift!AB770:AV770,DataShift!AB770:AV770)),0)</f>
        <v>-0.85763657489683298</v>
      </c>
      <c r="T71" s="892">
        <f ca="1">IFERROR(SUMPRODUCT(DataShift!F1563:Z1563,DataShift!F770:Z770)/SQRT(SUMPRODUCT(DataShift!F1563:Z1563,DataShift!F1563:Z1563)*SUMPRODUCT(DataShift!F770:Z770,DataShift!F770:Z770)),0)</f>
        <v>0.22977444228211219</v>
      </c>
      <c r="U71" s="1004">
        <v>46000</v>
      </c>
      <c r="V71" s="1004">
        <v>75000</v>
      </c>
      <c r="W71" s="1004">
        <v>0</v>
      </c>
      <c r="X71" s="892"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-40963.19999999999</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-81819.199999999968</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-3850</v>
      </c>
      <c r="AR71" s="334">
        <f ca="1">_xlfn.LET(_xlpm.MVToday,DataShift!AV571,         _xlpm.MVY,DataShift!AU571,        _xlpm.MVYY, DataShift!AT571,         _xlpm.MVYYY, DataShift!AS571,                      IF(_xlpm.MVToday=_xlpm.MVY,      _xlpm.MVYY-_xlpm.MVYYY,          _xlpm.MVY-_xlpm.MVYY))</f>
        <v>-8800.0000000000291</v>
      </c>
      <c r="AS71" s="977">
        <f ca="1">TabCalc[[#This Row],[Y]]/TabCalc[[#This Row],[M]]</f>
        <v>1.058436663531795</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-1.303057776597541E-2</v>
      </c>
      <c r="AY71" s="82">
        <f t="shared" ca="1" si="8"/>
        <v>3900</v>
      </c>
      <c r="AZ71" s="90">
        <f ca="1">_xlfn.XLOOKUP(TabCalc[[#This Row],[Ticker]],[1]!RTData[Ticker_Symbol],[1]!RTData[V/VA])</f>
        <v>0.29901271886794123</v>
      </c>
      <c r="BA71" s="90" t="str" cm="1">
        <f t="array" aca="1" ref="BA71" ca="1">IFERROR(_xlfn.IFS(TabCalc[[#This Row],[Cur]]="USD",Timer!F$27,                TabCalc[[#This Row],[Cur]]="EUR",Timer!F$18,                  TabCalc[[#This Row],[Cur]]="GBP",Timer!F$12,                          TabCalc[[#This Row],[Cur]]="CAD",Timer!F$27,                TabCalc[[#This Row],[Cur]]="JPY",Timer!F$31,                      TabCalc[[#This Row],[Cur]]="CHF",Timer!F$18),"Timing")</f>
        <v>Closed</v>
      </c>
      <c r="BB71" s="90">
        <f ca="1">IF(ISNUMBER(TabCalc[[#This Row],[TimeEX]]),TabCalc[[#This Row],[V/VA]]/TabCalc[[#This Row],[TimeEX]],TabCalc[[#This Row],[V/VA]])</f>
        <v>0.29901271886794123</v>
      </c>
      <c r="BC71" s="87" cm="1">
        <f t="array" aca="1" ref="BC71" ca="1">INDEX(TabReg[], 1, _xlfn.XMATCH(TabCalc[[#This Row],[Ticker]]&amp;1, TabReg[#Headers], 0))</f>
        <v>3900</v>
      </c>
      <c r="BD71" s="159">
        <f ca="1">TabCalc[[#This Row],[Nbegin]]*TabCalc[[#This Row],[M]]*TabCalc[[#This Row],[Scale]]+TabCalc[[#This Row],[ValueBegin]]</f>
        <v>116200.5</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K71" s="159" cm="1">
        <f t="array" aca="1" ref="BK71" ca="1">SUMPRODUCT(ISNUMBER(INDIRECT("TabReg["&amp;TabCalc[[#This Row],[Ticker]]&amp;"2]"))* INDIRECT("TabReg["&amp;TabCalc[[#This Row],[Ticker]]&amp;"1]") * INDIRECT("TabReg["&amp;TabCalc[[#This Row],[Ticker]]&amp;"2]") )*TabCalc[[#This Row],[Scale]]*(1+Commission)</f>
        <v>62504.174421000003</v>
      </c>
      <c r="BL71" s="159">
        <f ca="1">TabCalc[[#This Row],[M_V]]*(1-Commission)+TabCalc[[#This Row],[EfCost]]</f>
        <v>62504.174421000003</v>
      </c>
      <c r="BM71" s="159">
        <f ca="1">IF(        OR( TabCalc[[#This Row],[GL]]&gt;ABS(TabCalc[[#This Row],[EfCost]]),TabCalc[[#This Row],[NAfter]]=0),             TabCalc[[#This Row],[GL]],     0)</f>
        <v>62504.174421000003</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45980.72735310156</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0.41431628087920636</v>
      </c>
      <c r="DC71" s="310">
        <f ca="1">MEDIAN(DataShift!F770:Z770)</f>
        <v>-1.1110999999999999E-2</v>
      </c>
      <c r="DD71" s="310" t="e"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1" s="87">
        <f ca="1">TabCalc[[#This Row],[Nbegin]]*TabCalc[[#This Row],[Scale]]*TabCalc[[#This Row],[M]]</f>
        <v>269548.5</v>
      </c>
      <c r="DF71" s="87" cm="1">
        <f t="array" aca="1" ref="DF71" ca="1">SUMPRODUCT(ISNUMBER(INDIRECT("TabReg["&amp;TabCalc[[#This Row],[Ticker]]&amp;"2]"))* INDIRECT("TabReg["&amp;TabCalc[[#This Row],[Ticker]]&amp;"1]") * INDIRECT("TabReg["&amp;TabCalc[[#This Row],[Ticker]]&amp;"2]") )*TabCalc[[#This Row],[Scale]]</f>
        <v>62342.085000000006</v>
      </c>
      <c r="DI71" s="87">
        <f ca="1"/>
        <v>32519.5</v>
      </c>
      <c r="DJ71" s="90">
        <f t="shared" ca="1" si="6"/>
        <v>-0.15113788355565441</v>
      </c>
      <c r="DK71" t="str">
        <f ca="1">_xlfn.XLOOKUP(DI71,TabCalc[Column1],TabCalc[Ticker])</f>
        <v>PFE</v>
      </c>
      <c r="DL71" s="87">
        <f ca="1">_xlfn.XLOOKUP(DK71,TabCalc[Ticker],TabCalc[ValueBegin])</f>
        <v>-53976.000000000007</v>
      </c>
      <c r="DM71" s="87">
        <f ca="1">_xlfn.XLOOKUP(DK71,TabCalc[Ticker],TabCalc[M_V])</f>
        <v>40024</v>
      </c>
      <c r="DN71" s="87">
        <f ca="1">_xlfn.XLOOKUP(DK71,TabCalc[Ticker],TabCalc[GL])</f>
        <v>-8157.8184028000032</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42">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377.6</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1.6966999999999999E-2</v>
      </c>
      <c r="N72" s="1065">
        <v>0.42857142857142855</v>
      </c>
      <c r="O72" s="892">
        <f>TabCalc[[#This Row],[Up20]]-1+TabCalc[[#This Row],[Up20]]</f>
        <v>-0.14285714285714285</v>
      </c>
      <c r="P72" s="892">
        <f>TabCalc[[#This Row],[Up20]]-TabCalc[[#This Row],[Up150]]</f>
        <v>-9.9730458221024276E-2</v>
      </c>
      <c r="Q72" s="892">
        <v>0.52830188679245282</v>
      </c>
      <c r="R72" s="892">
        <f>TabCalc[[#This Row],[Up150]]-1+TabCalc[[#This Row],[Up150]]</f>
        <v>5.6603773584905648E-2</v>
      </c>
      <c r="S72" s="892">
        <f ca="1">IFERROR(SUMPRODUCT(DataShift!F1564:Z1564,DataShift!AB771:AV771)/SQRT(SUMPRODUCT(DataShift!F1564:Z1564,DataShift!F1564:Z1564)*SUMPRODUCT(DataShift!AB771:AV771,DataShift!AB771:AV771)),0)</f>
        <v>-0.85345514176602666</v>
      </c>
      <c r="T72" s="892">
        <f ca="1">IFERROR(SUMPRODUCT(DataShift!F1564:Z1564,DataShift!F771:Z771)/SQRT(SUMPRODUCT(DataShift!F1564:Z1564,DataShift!F1564:Z1564)*SUMPRODUCT(DataShift!F771:Z771,DataShift!F771:Z771)),0)</f>
        <v>0.18963523055564729</v>
      </c>
      <c r="U72" s="1004">
        <v>670</v>
      </c>
      <c r="V72" s="1004">
        <v>0</v>
      </c>
      <c r="W72" s="1004">
        <v>0</v>
      </c>
      <c r="X72" s="892"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-75680.000000000015</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-41325.000000000007</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-1176</v>
      </c>
      <c r="AR72" s="334">
        <f ca="1">_xlfn.LET(_xlpm.MVToday,DataShift!AV572,         _xlpm.MVY,DataShift!AU572,        _xlpm.MVYY, DataShift!AT572,         _xlpm.MVYYY, DataShift!AS572,                      IF(_xlpm.MVToday=_xlpm.MVY,      _xlpm.MVYY-_xlpm.MVYYY,          _xlpm.MVY-_xlpm.MVYY))</f>
        <v>576</v>
      </c>
      <c r="AS72" s="977">
        <f ca="1">TabCalc[[#This Row],[Y]]/TabCalc[[#This Row],[M]]</f>
        <v>1.2290630296610168</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-3.6925197934877474</v>
      </c>
      <c r="AY72" s="82">
        <f t="shared" ca="1" si="8"/>
        <v>200000</v>
      </c>
      <c r="AZ72" s="90">
        <f ca="1">_xlfn.XLOOKUP(TabCalc[[#This Row],[Ticker]],[1]!RTData[Ticker_Symbol],[1]!RTData[V/VA])</f>
        <v>0.83798052886889074</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0.83798052886889074</v>
      </c>
      <c r="BC72" s="87" cm="1">
        <f t="array" aca="1" ref="BC72" ca="1">INDEX(TabReg[], 1, _xlfn.XMATCH(TabCalc[[#This Row],[Ticker]]&amp;1, TabReg[#Headers], 0))</f>
        <v>200000</v>
      </c>
      <c r="BD72" s="159">
        <f ca="1">TabCalc[[#This Row],[Nbegin]]*TabCalc[[#This Row],[M]]*TabCalc[[#This Row],[Scale]]+TabCalc[[#This Row],[ValueBegin]]</f>
        <v>423200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K72" s="159" cm="1">
        <f t="array" aca="1" ref="BK72" ca="1">SUMPRODUCT(ISNUMBER(INDIRECT("TabReg["&amp;TabCalc[[#This Row],[Ticker]]&amp;"2]"))* INDIRECT("TabReg["&amp;TabCalc[[#This Row],[Ticker]]&amp;"1]") * INDIRECT("TabReg["&amp;TabCalc[[#This Row],[Ticker]]&amp;"2]") )*TabCalc[[#This Row],[Scale]]*(1+Commission)</f>
        <v>177976.53899999999</v>
      </c>
      <c r="BL72" s="159">
        <f ca="1">TabCalc[[#This Row],[M_V]]*(1-Commission)+TabCalc[[#This Row],[EfCost]]</f>
        <v>177976.53899999999</v>
      </c>
      <c r="BM72" s="159">
        <f ca="1">IF(        OR( TabCalc[[#This Row],[GL]]&gt;ABS(TabCalc[[#This Row],[EfCost]]),TabCalc[[#This Row],[NAfter]]=0),             TabCalc[[#This Row],[GL]],     0)</f>
        <v>177976.53899999999</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45980.679229015623</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0.8069087086342871</v>
      </c>
      <c r="DC72" s="310">
        <f ca="1">MEDIAN(DataShift!F771:Z771)</f>
        <v>-1.1659999999999999E-3</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755200</v>
      </c>
      <c r="DF72" s="87" cm="1">
        <f t="array" aca="1" ref="DF72" ca="1">SUMPRODUCT(ISNUMBER(INDIRECT("TabReg["&amp;TabCalc[[#This Row],[Ticker]]&amp;"2]"))* INDIRECT("TabReg["&amp;TabCalc[[#This Row],[Ticker]]&amp;"1]") * INDIRECT("TabReg["&amp;TabCalc[[#This Row],[Ticker]]&amp;"2]") )*TabCalc[[#This Row],[Scale]]</f>
        <v>177515</v>
      </c>
      <c r="DI72" s="87">
        <f ca="1"/>
        <v>28665</v>
      </c>
      <c r="DJ72" s="90">
        <f t="shared" ca="1" si="6"/>
        <v>1.6529591468392246</v>
      </c>
      <c r="DK72" t="str">
        <f ca="1">_xlfn.XLOOKUP(DI72,TabCalc[Column1],TabCalc[Ticker])</f>
        <v>RIG</v>
      </c>
      <c r="DL72" s="87">
        <f ca="1">_xlfn.XLOOKUP(DK72,TabCalc[Ticker],TabCalc[ValueBegin])</f>
        <v>-20090</v>
      </c>
      <c r="DM72" s="87">
        <f ca="1">_xlfn.XLOOKUP(DK72,TabCalc[Ticker],TabCalc[M_V])</f>
        <v>176085</v>
      </c>
      <c r="DN72" s="87">
        <f ca="1">_xlfn.XLOOKUP(DK72,TabCalc[Ticker],TabCalc[GL])</f>
        <v>33207.949260000023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42">
        <f ca="1">_xlfn.XLOOKUP(TabCalc[[#This Row],[Ticker]],DQ$3:DQ$96,DS$3:DS$96)</f>
        <v>-126.35</v>
      </c>
      <c r="E73" s="121">
        <f t="shared" ca="1" si="7"/>
        <v>-63175</v>
      </c>
      <c r="F73" s="82">
        <f ca="1">TabCalc[[#This Row],[NAfter]]*TabCalc[[#This Row],[M]]*TabCalc[[#This Row],[Scale]]</f>
        <v>121400</v>
      </c>
      <c r="G73" s="82">
        <f ca="1">IFERROR(TabCalc[[#This Row],[SB]]-TabCalc[[#This Row],[SST]],TabCalc[[#This Row],[SB]])</f>
        <v>5000</v>
      </c>
      <c r="H73" s="532" t="str">
        <f ca="1">[1]!RTData[[#This Row],[Ticker_Symbol]]</f>
        <v>SAFMRNA</v>
      </c>
      <c r="I73" s="383">
        <f ca="1">_xlfn.XLOOKUP(TabCalc[[#This Row],[Ticker]],[1]!RTData[Ticker_Symbol],[1]!RTData[M-Price])</f>
        <v>24.28</v>
      </c>
      <c r="J73" s="382">
        <v>61.734115100000004</v>
      </c>
      <c r="K73" s="381">
        <f ca="1">_xlfn.XLOOKUP(TabCalc[[#This Row],[Ticker]],[1]!RTData[Ticker_Symbol],[1]!RTData[1YT])</f>
        <v>40.299999999999997</v>
      </c>
      <c r="L73" s="382">
        <f ca="1">IF(OR(TabCalc[[#This Row],[NAfter]]=0,TabCalc[[#This Row],[EfCost]]&gt;0),0,TabCalc[[#This Row],[EfCost]]/TabCalc[[#This Row],[NAfter]]/TabCalc[[#This Row],[Scale]])</f>
        <v>-59.838576037919999</v>
      </c>
      <c r="M73" s="732">
        <f ca="1">_xlfn.XLOOKUP(TabCalc[[#This Row],[Ticker]],[1]!RTData[Ticker_Symbol],[1]!RTData[Change%])</f>
        <v>-2.5682E-2</v>
      </c>
      <c r="N73" s="1065">
        <v>0</v>
      </c>
      <c r="O73" s="892">
        <f>TabCalc[[#This Row],[Up20]]-1+TabCalc[[#This Row],[Up20]]</f>
        <v>-1</v>
      </c>
      <c r="P73" s="892">
        <f>TabCalc[[#This Row],[Up20]]-TabCalc[[#This Row],[Up150]]</f>
        <v>-0.57894736842105265</v>
      </c>
      <c r="Q73" s="892">
        <v>0.57894736842105265</v>
      </c>
      <c r="R73" s="892">
        <f>TabCalc[[#This Row],[Up150]]-1+TabCalc[[#This Row],[Up150]]</f>
        <v>0.15789473684210531</v>
      </c>
      <c r="S73" s="892">
        <f ca="1">IFERROR(SUMPRODUCT(DataShift!F1565:Z1565,DataShift!AB772:AV772)/SQRT(SUMPRODUCT(DataShift!F1565:Z1565,DataShift!F1565:Z1565)*SUMPRODUCT(DataShift!AB772:AV772,DataShift!AB772:AV772)),0)</f>
        <v>-0.32671983605901117</v>
      </c>
      <c r="T73" s="892">
        <f ca="1">IFERROR(SUMPRODUCT(DataShift!F1565:Z1565,DataShift!F772:Z772)/SQRT(SUMPRODUCT(DataShift!F1565:Z1565,DataShift!F1565:Z1565)*SUMPRODUCT(DataShift!F772:Z772,DataShift!F772:Z772)),0)</f>
        <v>-0.10742664502176823</v>
      </c>
      <c r="U73" s="1004">
        <v>0</v>
      </c>
      <c r="V73" s="1004">
        <v>5000</v>
      </c>
      <c r="W73" s="1004">
        <v>0</v>
      </c>
      <c r="X73" s="892"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6,689 = $ 162,408</v>
      </c>
      <c r="Z73" s="211">
        <f ca="1">MIN(TabCalc[[#This Row],[L_Bn]],TabCalc[[#This Row],[NAfter]])*(TabCalc[[#This Row],[M]]+TabCalc[[#This Row],[L_Bp]])*TabCalc[[#This Row],[Scale]]</f>
        <v>-43597.8</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-48261.700000000004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19964</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30647.5</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-3350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77">
        <f ca="1">TabCalc[[#This Row],[Y]]/TabCalc[[#This Row],[M]]</f>
        <v>1.6598023064250409</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-4.2017848099713415</v>
      </c>
      <c r="AY73" s="82">
        <f t="shared" ca="1" si="8"/>
        <v>0</v>
      </c>
      <c r="AZ73" s="90">
        <f ca="1">_xlfn.XLOOKUP(TabCalc[[#This Row],[Ticker]],[1]!RTData[Ticker_Symbol],[1]!RTData[V/VA])</f>
        <v>0.28173453881169197</v>
      </c>
      <c r="BA73" s="90" t="str" cm="1">
        <f t="array" aca="1" ref="BA73" ca="1">IFERROR(_xlfn.IFS(TabCalc[[#This Row],[Cur]]="USD",Timer!F$27,                TabCalc[[#This Row],[Cur]]="EUR",Timer!F$18,                  TabCalc[[#This Row],[Cur]]="GBP",Timer!F$12,                          TabCalc[[#This Row],[Cur]]="CAD",Timer!F$27,                TabCalc[[#This Row],[Cur]]="JPY",Timer!F$31,                      TabCalc[[#This Row],[Cur]]="CHF",Timer!F$18),"Timing")</f>
        <v>Closed</v>
      </c>
      <c r="BB73" s="90">
        <f ca="1">IF(ISNUMBER(TabCalc[[#This Row],[TimeEX]]),TabCalc[[#This Row],[V/VA]]/TabCalc[[#This Row],[TimeEX]],TabCalc[[#This Row],[V/VA]])</f>
        <v>0.28173453881169197</v>
      </c>
      <c r="BC73" s="87" cm="1">
        <f t="array" aca="1" ref="BC73" ca="1">INDEX(TabReg[], 1, _xlfn.XMATCH(TabCalc[[#This Row],[Ticker]]&amp;1, TabReg[#Headers], 0))</f>
        <v>500</v>
      </c>
      <c r="BD73" s="159">
        <f ca="1">TabCalc[[#This Row],[Nbegin]]*TabCalc[[#This Row],[M]]*TabCalc[[#This Row],[Scale]]+TabCalc[[#This Row],[ValueBegin]]</f>
        <v>-51035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-235853.62518959999</v>
      </c>
      <c r="BH73" s="336">
        <f ca="1">TabCalc[[#This Row],[M_V]]+TabCalc[[#This Row],[ValueBegin]]</f>
        <v>58225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K73" s="159" cm="1">
        <f t="array" aca="1" ref="BK73" ca="1">SUMPRODUCT(ISNUMBER(INDIRECT("TabReg["&amp;TabCalc[[#This Row],[Ticker]]&amp;"2]"))* INDIRECT("TabReg["&amp;TabCalc[[#This Row],[Ticker]]&amp;"1]") * INDIRECT("TabReg["&amp;TabCalc[[#This Row],[Ticker]]&amp;"2]") )*TabCalc[[#This Row],[Scale]]*(1+Commission)</f>
        <v>-299192.88018959999</v>
      </c>
      <c r="BL73" s="159">
        <f ca="1">TabCalc[[#This Row],[M_V]]*(1-Commission)+TabCalc[[#This Row],[EfCost]]</f>
        <v>-178108.52018960001</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42.07</v>
      </c>
      <c r="BR73" s="174" t="str">
        <f ca="1">IF(TabCalc[[#This Row],[EfCost]]+TabCalc[[#This Row],[M_V]]&lt;TabCalc[[#This Row],[NoT_GL]],"Pile","")</f>
        <v>Pile</v>
      </c>
      <c r="BS73" s="165">
        <f ca="1">_xlfn.XLOOKUP(TabCalc[[#This Row],[Ticker]],[1]!RTData[Ticker_Symbol],[1]!RTData[Last trade time])</f>
        <v>45980.727279837498</v>
      </c>
      <c r="BT73" s="175">
        <f ca="1">(TabCalc[[#This Row],[ValueBegin]]+(TabCalc[[#This Row],[M]]-TabCalc[[#This Row],[A]])*TabCalc[[#This Row],[NAfter]])*TabCalc[[#This Row],[Scale]]</f>
        <v>-250445.57550000001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-187270.57550000001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50.090162292125832</v>
      </c>
      <c r="CV73" s="404">
        <f ca="1">IF(TabCalc[[#This Row],[ntoBuy]]*TabCalc[[#This Row],[M]]&lt;=0,0,TabCalc[[#This Row],[ntoBuy]]*TabCalc[[#This Row],[M]])</f>
        <v>1216.1891404528153</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-187270.57550000001</v>
      </c>
      <c r="DB73" s="90">
        <f ca="1">IFERROR((TabCalc[[#This Row],[M]]+TabCalc[[#This Row],[L_Bp]])/ABS(TabCalc[[#This Row],[L_Bp]])/(TODAY()-TabCalc[[#This Row],[L_Bdate]])*360,"")</f>
        <v>-0.44782319979214202</v>
      </c>
      <c r="DC73" s="310">
        <f ca="1">MEDIAN(DataShift!F772:Z772)</f>
        <v>1.0506999999999999E-2</v>
      </c>
      <c r="DD73" s="310" t="e"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3" s="87">
        <f ca="1">TabCalc[[#This Row],[Nbegin]]*TabCalc[[#This Row],[Scale]]*TabCalc[[#This Row],[M]]</f>
        <v>12140</v>
      </c>
      <c r="DF73" s="87" cm="1">
        <f t="array" aca="1" ref="DF73" ca="1">SUMPRODUCT(ISNUMBER(INDIRECT("TabReg["&amp;TabCalc[[#This Row],[Ticker]]&amp;"2]"))* INDIRECT("TabReg["&amp;TabCalc[[#This Row],[Ticker]]&amp;"1]") * INDIRECT("TabReg["&amp;TabCalc[[#This Row],[Ticker]]&amp;"2]") )*TabCalc[[#This Row],[Scale]]</f>
        <v>-298416.99599999998</v>
      </c>
      <c r="DI73" s="87">
        <f ca="1"/>
        <v>28420</v>
      </c>
      <c r="DJ73" s="90">
        <f t="shared" ca="1" si="6"/>
        <v>0.92661795840148664</v>
      </c>
      <c r="DK73" t="str">
        <f ca="1">_xlfn.XLOOKUP(DI73,TabCalc[Column1],TabCalc[Ticker])</f>
        <v>BLDP</v>
      </c>
      <c r="DL73" s="87">
        <f ca="1">_xlfn.XLOOKUP(DK73,TabCalc[Ticker],TabCalc[ValueBegin])</f>
        <v>-26900</v>
      </c>
      <c r="DM73" s="87">
        <f ca="1">_xlfn.XLOOKUP(DK73,TabCalc[Ticker],TabCalc[M_V])</f>
        <v>56840</v>
      </c>
      <c r="DN73" s="87">
        <f ca="1">_xlfn.XLOOKUP(DK73,TabCalc[Ticker],TabCalc[GL])</f>
        <v>24926.023080999992</v>
      </c>
      <c r="DO73" s="90"/>
      <c r="DP73" s="90"/>
      <c r="DQ73" s="88" t="s">
        <v>69</v>
      </c>
      <c r="DR73" s="82">
        <v>1790</v>
      </c>
      <c r="DS73" s="315">
        <v>-104.53</v>
      </c>
      <c r="DU73" s="82">
        <v>118750</v>
      </c>
      <c r="DV73" s="82">
        <f ca="1">DU73-TabCalc[[#This Row],[M_V]]</f>
        <v>-2650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42">
        <f ca="1">_xlfn.XLOOKUP(TabCalc[[#This Row],[Ticker]],DQ$3:DQ$96,DS$3:DS$96)</f>
        <v>-7.04</v>
      </c>
      <c r="E74" s="121">
        <f t="shared" ca="1" si="7"/>
        <v>-211200</v>
      </c>
      <c r="F74" s="82">
        <f ca="1">TabCalc[[#This Row],[NAfter]]*TabCalc[[#This Row],[M]]*TabCalc[[#This Row],[Scale]]</f>
        <v>163800</v>
      </c>
      <c r="G74" s="82">
        <f ca="1">IFERROR(TabCalc[[#This Row],[SB]]-TabCalc[[#This Row],[SST]],TabCalc[[#This Row],[SB]])</f>
        <v>120000</v>
      </c>
      <c r="H74" s="532" t="str">
        <f ca="1">[1]!RTData[[#This Row],[Ticker_Symbol]]</f>
        <v>BLNK</v>
      </c>
      <c r="I74" s="383">
        <f ca="1">_xlfn.XLOOKUP(TabCalc[[#This Row],[Ticker]],[1]!RTData[Ticker_Symbol],[1]!RTData[M-Price])</f>
        <v>1.365</v>
      </c>
      <c r="J74" s="382">
        <v>2.1967833333333333</v>
      </c>
      <c r="K74" s="381">
        <f ca="1">_xlfn.XLOOKUP(TabCalc[[#This Row],[Ticker]],[1]!RTData[Ticker_Symbol],[1]!RTData[1YT])</f>
        <v>2.4</v>
      </c>
      <c r="L74" s="382">
        <f ca="1">IF(OR(TabCalc[[#This Row],[NAfter]]=0,TabCalc[[#This Row],[EfCost]]&gt;0),0,TabCalc[[#This Row],[EfCost]]/TabCalc[[#This Row],[NAfter]]/TabCalc[[#This Row],[Scale]])</f>
        <v>-3.7078728859500001</v>
      </c>
      <c r="M74" s="732">
        <f ca="1">_xlfn.XLOOKUP(TabCalc[[#This Row],[Ticker]],[1]!RTData[Ticker_Symbol],[1]!RTData[Change%])</f>
        <v>-3.1914999999999999E-2</v>
      </c>
      <c r="N74" s="1065">
        <v>0</v>
      </c>
      <c r="O74" s="892">
        <f>TabCalc[[#This Row],[Up20]]-1+TabCalc[[#This Row],[Up20]]</f>
        <v>-1</v>
      </c>
      <c r="P74" s="892">
        <f>TabCalc[[#This Row],[Up20]]-TabCalc[[#This Row],[Up150]]</f>
        <v>-0.29166666666666669</v>
      </c>
      <c r="Q74" s="892">
        <v>0.29166666666666669</v>
      </c>
      <c r="R74" s="892">
        <f>TabCalc[[#This Row],[Up150]]-1+TabCalc[[#This Row],[Up150]]</f>
        <v>-0.41666666666666657</v>
      </c>
      <c r="S74" s="892">
        <f ca="1">IFERROR(SUMPRODUCT(DataShift!F1566:Z1566,DataShift!AB773:AV773)/SQRT(SUMPRODUCT(DataShift!F1566:Z1566,DataShift!F1566:Z1566)*SUMPRODUCT(DataShift!AB773:AV773,DataShift!AB773:AV773)),0)</f>
        <v>-0.81590691862636244</v>
      </c>
      <c r="T74" s="892">
        <f ca="1">IFERROR(SUMPRODUCT(DataShift!F1566:Z1566,DataShift!F773:Z773)/SQRT(SUMPRODUCT(DataShift!F1566:Z1566,DataShift!F1566:Z1566)*SUMPRODUCT(DataShift!F773:Z773,DataShift!F773:Z773)),0)</f>
        <v>0.23005267792950029</v>
      </c>
      <c r="U74" s="1004">
        <v>40000</v>
      </c>
      <c r="V74" s="1004">
        <v>80000</v>
      </c>
      <c r="W74" s="1004">
        <v>0</v>
      </c>
      <c r="X74" s="892"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14120</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-11500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6539.9999999999991</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4340.0000000000009</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-5400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77">
        <f ca="1">TabCalc[[#This Row],[Y]]/TabCalc[[#This Row],[M]]</f>
        <v>1.7582417582417582</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-0.33843646978021974</v>
      </c>
      <c r="AY74" s="82">
        <f t="shared" ca="1" si="8"/>
        <v>0</v>
      </c>
      <c r="AZ74" s="90">
        <f ca="1">_xlfn.XLOOKUP(TabCalc[[#This Row],[Ticker]],[1]!RTData[Ticker_Symbol],[1]!RTData[V/VA])</f>
        <v>0.25815887401400817</v>
      </c>
      <c r="BA74" s="90" t="str" cm="1">
        <f t="array" aca="1" ref="BA74" ca="1">IFERROR(_xlfn.IFS(TabCalc[[#This Row],[Cur]]="USD",Timer!F$27,                TabCalc[[#This Row],[Cur]]="EUR",Timer!F$18,                  TabCalc[[#This Row],[Cur]]="GBP",Timer!F$12,                          TabCalc[[#This Row],[Cur]]="CAD",Timer!F$27,                TabCalc[[#This Row],[Cur]]="JPY",Timer!F$31,                      TabCalc[[#This Row],[Cur]]="CHF",Timer!F$18),"Timing")</f>
        <v>Closed</v>
      </c>
      <c r="BB74" s="90">
        <f ca="1">IF(ISNUMBER(TabCalc[[#This Row],[TimeEX]]),TabCalc[[#This Row],[V/VA]]/TabCalc[[#This Row],[TimeEX]],TabCalc[[#This Row],[V/VA]])</f>
        <v>0.25815887401400817</v>
      </c>
      <c r="BC74" s="87" cm="1">
        <f t="array" aca="1" ref="BC74" ca="1">INDEX(TabReg[], 1, _xlfn.XMATCH(TabCalc[[#This Row],[Ticker]]&amp;1, TabReg[#Headers], 0))</f>
        <v>30000</v>
      </c>
      <c r="BD74" s="159">
        <f ca="1">TabCalc[[#This Row],[Nbegin]]*TabCalc[[#This Row],[M]]*TabCalc[[#This Row],[Scale]]+TabCalc[[#This Row],[ValueBegin]]</f>
        <v>-170250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-233195.62631399999</v>
      </c>
      <c r="BH74" s="336">
        <f ca="1">TabCalc[[#This Row],[M_V]]+TabCalc[[#This Row],[ValueBegin]]</f>
        <v>-47400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K74" s="159" cm="1">
        <f t="array" aca="1" ref="BK74" ca="1">SUMPRODUCT(ISNUMBER(INDIRECT("TabReg["&amp;TabCalc[[#This Row],[Ticker]]&amp;"2]"))* INDIRECT("TabReg["&amp;TabCalc[[#This Row],[Ticker]]&amp;"1]") * INDIRECT("TabReg["&amp;TabCalc[[#This Row],[Ticker]]&amp;"2]") )*TabCalc[[#This Row],[Scale]]*(1+Commission)</f>
        <v>-444944.74631399999</v>
      </c>
      <c r="BL74" s="159">
        <f ca="1">TabCalc[[#This Row],[M_V]]*(1-Commission)+TabCalc[[#This Row],[EfCost]]</f>
        <v>-281570.62631399999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5.45</v>
      </c>
      <c r="BR74" s="174" t="str">
        <f ca="1">IF(TabCalc[[#This Row],[EfCost]]+TabCalc[[#This Row],[M_V]]&lt;TabCalc[[#This Row],[NoT_GL]],"Pile","")</f>
        <v>Pile</v>
      </c>
      <c r="BS74" s="165">
        <f ca="1">_xlfn.XLOOKUP(TabCalc[[#This Row],[Ticker]],[1]!RTData[Ticker_Symbol],[1]!RTData[Last trade time])</f>
        <v>45980.727097395313</v>
      </c>
      <c r="BT74" s="175">
        <f ca="1">(TabCalc[[#This Row],[ValueBegin]]+(TabCalc[[#This Row],[M]]-TabCalc[[#This Row],[A]])*TabCalc[[#This Row],[NAfter]])*TabCalc[[#This Row],[Scale]]</f>
        <v>-311014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-99814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9174.3119266055055</v>
      </c>
      <c r="CV74" s="404">
        <f ca="1">IF(TabCalc[[#This Row],[ntoBuy]]*TabCalc[[#This Row],[M]]&lt;=0,0,TabCalc[[#This Row],[ntoBuy]]*TabCalc[[#This Row],[M]])</f>
        <v>12522.935779816515</v>
      </c>
      <c r="CW74" s="404">
        <f ca="1">IF(TabCalc[[#This Row],[M]]&gt;ABS(TabCalc[[#This Row],[L_Bp]]),MIN(TabCalc[[#This Row],[NAfter]],DesiredSaleGain/(TabCalc[[#This Row],[M]]+TabCalc[[#This Row],[L_Bp]])),0)/TabCalc[[#This Row],[Scale]]</f>
        <v>14164.3059490085</v>
      </c>
      <c r="CX74" s="405">
        <f ca="1">TabCalc[[#This Row],[ntoSell]]*TabCalc[[#This Row],[M]]</f>
        <v>19334.277620396602</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-99814</v>
      </c>
      <c r="DB74" s="90">
        <f ca="1">IFERROR((TabCalc[[#This Row],[M]]+TabCalc[[#This Row],[L_Bp]])/ABS(TabCalc[[#This Row],[L_Bp]])/(TODAY()-TabCalc[[#This Row],[L_Bdate]])*360,"")</f>
        <v>0.8600898803400292</v>
      </c>
      <c r="DC74" s="310">
        <f ca="1">MEDIAN(DataShift!F773:Z773)</f>
        <v>-4.8999999999999998E-4</v>
      </c>
      <c r="DD74" s="310" t="e"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4" s="87">
        <f ca="1">TabCalc[[#This Row],[Nbegin]]*TabCalc[[#This Row],[Scale]]*TabCalc[[#This Row],[M]]</f>
        <v>40950</v>
      </c>
      <c r="DF74" s="87" cm="1">
        <f t="array" aca="1" ref="DF74" ca="1">SUMPRODUCT(ISNUMBER(INDIRECT("TabReg["&amp;TabCalc[[#This Row],[Ticker]]&amp;"2]"))* INDIRECT("TabReg["&amp;TabCalc[[#This Row],[Ticker]]&amp;"1]") * INDIRECT("TabReg["&amp;TabCalc[[#This Row],[Ticker]]&amp;"2]") )*TabCalc[[#This Row],[Scale]]</f>
        <v>-443790.89</v>
      </c>
      <c r="DI74" s="87">
        <f ca="1"/>
        <v>25872.75</v>
      </c>
      <c r="DJ74" s="90">
        <f t="shared" ca="1" si="6"/>
        <v>-1.4689665228802922</v>
      </c>
      <c r="DK74" t="str">
        <f ca="1">_xlfn.XLOOKUP(DI74,TabCalc[Column1],TabCalc[Ticker])</f>
        <v>XYZ</v>
      </c>
      <c r="DL74" s="87">
        <f ca="1">_xlfn.XLOOKUP(DK74,TabCalc[Ticker],TabCalc[ValueBegin])</f>
        <v>-118300.5</v>
      </c>
      <c r="DM74" s="87">
        <f ca="1">_xlfn.XLOOKUP(DK74,TabCalc[Ticker],TabCalc[M_V])</f>
        <v>34497</v>
      </c>
      <c r="DN74" s="87">
        <f ca="1">_xlfn.XLOOKUP(DK74,TabCalc[Ticker],TabCalc[GL])</f>
        <v>-173779.47414000001</v>
      </c>
      <c r="DO74" s="90"/>
      <c r="DP74" s="90"/>
      <c r="DQ74" s="88" t="s">
        <v>70</v>
      </c>
      <c r="DR74" s="81">
        <v>310</v>
      </c>
      <c r="DS74" s="315">
        <v>-358.7</v>
      </c>
      <c r="DU74" s="82">
        <v>177600</v>
      </c>
      <c r="DV74" s="82">
        <f ca="1">DU74-TabCalc[[#This Row],[M_V]]</f>
        <v>13800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42">
        <f ca="1">_xlfn.XLOOKUP(TabCalc[[#This Row],[Ticker]],DQ$3:DQ$96,DS$3:DS$96)</f>
        <v>-13.68</v>
      </c>
      <c r="E75" s="121">
        <f t="shared" ca="1" si="7"/>
        <v>-99864</v>
      </c>
      <c r="F75" s="82">
        <f ca="1">TabCalc[[#This Row],[NAfter]]*TabCalc[[#This Row],[M]]*TabCalc[[#This Row],[Scale]]</f>
        <v>275706</v>
      </c>
      <c r="G75" s="82">
        <f ca="1">IFERROR(TabCalc[[#This Row],[SB]]-TabCalc[[#This Row],[SST]],TabCalc[[#This Row],[SB]])</f>
        <v>17000</v>
      </c>
      <c r="H75" s="532" t="str">
        <f ca="1">[1]!RTData[[#This Row],[Ticker_Symbol]]</f>
        <v>ENI</v>
      </c>
      <c r="I75" s="383">
        <f ca="1">_xlfn.XLOOKUP(TabCalc[[#This Row],[Ticker]],[1]!RTData[Ticker_Symbol],[1]!RTData[M-Price])</f>
        <v>16.218</v>
      </c>
      <c r="J75" s="382">
        <v>14.890558823529412</v>
      </c>
      <c r="K75" s="381">
        <f ca="1">_xlfn.XLOOKUP(TabCalc[[#This Row],[Ticker]],[1]!RTData[Ticker_Symbol],[1]!RTData[1YT])</f>
        <v>16.122730000000001</v>
      </c>
      <c r="L75" s="382">
        <f ca="1">IF(OR(TabCalc[[#This Row],[NAfter]]=0,TabCalc[[#This Row],[EfCost]]&gt;0),0,TabCalc[[#This Row],[EfCost]]/TabCalc[[#This Row],[NAfter]]/TabCalc[[#This Row],[Scale]])</f>
        <v>-13.965773553317643</v>
      </c>
      <c r="M75" s="732">
        <f ca="1">_xlfn.XLOOKUP(TabCalc[[#This Row],[Ticker]],[1]!RTData[Ticker_Symbol],[1]!RTData[Change%])</f>
        <v>-6.8589999999999996E-3</v>
      </c>
      <c r="N75" s="1065">
        <v>0</v>
      </c>
      <c r="O75" s="892">
        <f>TabCalc[[#This Row],[Up20]]-1+TabCalc[[#This Row],[Up20]]</f>
        <v>-1</v>
      </c>
      <c r="P75" s="892">
        <f>TabCalc[[#This Row],[Up20]]-TabCalc[[#This Row],[Up150]]</f>
        <v>-0.5</v>
      </c>
      <c r="Q75" s="892">
        <v>0.5</v>
      </c>
      <c r="R75" s="892">
        <f>TabCalc[[#This Row],[Up150]]-1+TabCalc[[#This Row],[Up150]]</f>
        <v>0</v>
      </c>
      <c r="S75" s="892">
        <f ca="1">IFERROR(SUMPRODUCT(DataShift!F1567:Z1567,DataShift!AB774:AV774)/SQRT(SUMPRODUCT(DataShift!F1567:Z1567,DataShift!F1567:Z1567)*SUMPRODUCT(DataShift!AB774:AV774,DataShift!AB774:AV774)),0)</f>
        <v>-0.73215601925697704</v>
      </c>
      <c r="T75" s="892">
        <f ca="1">IFERROR(SUMPRODUCT(DataShift!F1567:Z1567,DataShift!F774:Z774)/SQRT(SUMPRODUCT(DataShift!F1567:Z1567,DataShift!F1567:Z1567)*SUMPRODUCT(DataShift!F774:Z774,DataShift!F774:Z774)),0)</f>
        <v>2.45712489304746E-3</v>
      </c>
      <c r="U75" s="1004">
        <v>17000</v>
      </c>
      <c r="V75" s="1004">
        <v>0</v>
      </c>
      <c r="W75" s="1004">
        <v>0</v>
      </c>
      <c r="X75" s="892"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13493.480000000007</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12967.02</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-1790.0000000000027</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-2015.9999999999982</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-2754</v>
      </c>
      <c r="AQ75" s="334">
        <f ca="1">_xlfn.LET(_xlpm.MVToday,DataShift!AV575,         _xlpm.MVY,DataShift!AU575,        _xlpm.MVYY, DataShift!AT575,                                IF(_xlpm.MVToday=_xlpm.MVY,_xlpm.MVY-_xlpm.MVYY,_xlpm.MVToday-_xlpm.MVY))</f>
        <v>-3200.0000000000146</v>
      </c>
      <c r="AR75" s="334">
        <f ca="1">_xlfn.LET(_xlpm.MVToday,DataShift!AV575,         _xlpm.MVY,DataShift!AU575,        _xlpm.MVYY, DataShift!AT575,         _xlpm.MVYYY, DataShift!AS575,                      IF(_xlpm.MVToday=_xlpm.MVY,      _xlpm.MVYY-_xlpm.MVYYY,          _xlpm.MVY-_xlpm.MVYY))</f>
        <v>750.00000000001455</v>
      </c>
      <c r="AS75" s="977">
        <f ca="1">TabCalc[[#This Row],[Y]]/TabCalc[[#This Row],[M]]</f>
        <v>0.99412566284375392</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3.3069879958551941E-6</v>
      </c>
      <c r="AY75" s="82">
        <f t="shared" ca="1" si="8"/>
        <v>0</v>
      </c>
      <c r="AZ75" s="90">
        <f ca="1">_xlfn.XLOOKUP(TabCalc[[#This Row],[Ticker]],[1]!RTData[Ticker_Symbol],[1]!RTData[V/VA])</f>
        <v>0.92243783340360397</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0.92243783340360397</v>
      </c>
      <c r="BC75" s="87" cm="1">
        <f t="array" aca="1" ref="BC75" ca="1">INDEX(TabReg[], 1, _xlfn.XMATCH(TabCalc[[#This Row],[Ticker]]&amp;1, TabReg[#Headers], 0))</f>
        <v>7300</v>
      </c>
      <c r="BD75" s="159">
        <f ca="1">TabCalc[[#This Row],[Nbegin]]*TabCalc[[#This Row],[M]]*TabCalc[[#This Row],[Scale]]+TabCalc[[#This Row],[ValueBegin]]</f>
        <v>18527.399999999994</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-137294.50400639992</v>
      </c>
      <c r="BH75" s="336">
        <f ca="1">TabCalc[[#This Row],[M_V]]+TabCalc[[#This Row],[ValueBegin]]</f>
        <v>175842</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714985.8907799999</v>
      </c>
      <c r="BK75" s="159" cm="1">
        <f t="array" aca="1" ref="BK75" ca="1">SUMPRODUCT(ISNUMBER(INDIRECT("TabReg["&amp;TabCalc[[#This Row],[Ticker]]&amp;"2]"))* INDIRECT("TabReg["&amp;TabCalc[[#This Row],[Ticker]]&amp;"1]") * INDIRECT("TabReg["&amp;TabCalc[[#This Row],[Ticker]]&amp;"2]") )*TabCalc[[#This Row],[Scale]]*(1+Commission)</f>
        <v>-237418.15040639992</v>
      </c>
      <c r="BL75" s="159">
        <f ca="1">TabCalc[[#This Row],[M_V]]*(1-Commission)+TabCalc[[#This Row],[EfCost]]</f>
        <v>37571.013993600092</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45980.708333333336</v>
      </c>
      <c r="BT75" s="175">
        <f ca="1">(TabCalc[[#This Row],[ValueBegin]]+(TabCalc[[#This Row],[M]]-TabCalc[[#This Row],[A]])*TabCalc[[#This Row],[NAfter]])*TabCalc[[#This Row],[Scale]]</f>
        <v>-77297.5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22566.499999999993</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3709.1988130563777</v>
      </c>
      <c r="CX75" s="405">
        <f ca="1">TabCalc[[#This Row],[ntoSell]]*TabCalc[[#This Row],[M]]</f>
        <v>60155.786350148337</v>
      </c>
      <c r="CY75" s="398">
        <f ca="1">_xlfn.LET(_xlpm.nToSell,IF(TabCalc[[#This Row],[M]]-TabCalc[[#This Row],[A]]&lt;=0,"",INT(DesiredSaleGain/(TabCalc[[#This Row],[M]]-IF(TabCalc[[#This Row],[E]]&gt;0,0,TabCalc[[#This Row],[A]])))),IF(_xlpm.nToSell&lt;=TabCalc[[#This Row],[NAfter]],_xlpm.nToSell,0))</f>
        <v>3766</v>
      </c>
      <c r="CZ75" s="336">
        <f ca="1">IFERROR(TabCalc[[#This Row],[NMA]]*TabCalc[[#This Row],[M]],"")</f>
        <v>61076.987999999998</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22566.499999999993</v>
      </c>
      <c r="DB75" s="90">
        <f ca="1">IFERROR((TabCalc[[#This Row],[M]]+TabCalc[[#This Row],[L_Bp]])/ABS(TabCalc[[#This Row],[L_Bp]])/(TODAY()-TabCalc[[#This Row],[L_Bdate]])*360,"")</f>
        <v>0.53499729899566761</v>
      </c>
      <c r="DC75" s="310">
        <f ca="1">MEDIAN(DataShift!F774:Z774)</f>
        <v>-8.0000000000000002E-3</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118391.4</v>
      </c>
      <c r="DF75" s="87" cm="1">
        <f t="array" aca="1" ref="DF75" ca="1">SUMPRODUCT(ISNUMBER(INDIRECT("TabReg["&amp;TabCalc[[#This Row],[Ticker]]&amp;"2]"))* INDIRECT("TabReg["&amp;TabCalc[[#This Row],[Ticker]]&amp;"1]") * INDIRECT("TabReg["&amp;TabCalc[[#This Row],[Ticker]]&amp;"2]") )*TabCalc[[#This Row],[Scale]]</f>
        <v>-236802.46399999992</v>
      </c>
      <c r="DI75" s="87">
        <f ca="1"/>
        <v>25368</v>
      </c>
      <c r="DJ75" s="90">
        <f t="shared" ca="1" si="6"/>
        <v>0.79196605498776873</v>
      </c>
      <c r="DK75" t="str">
        <f ca="1">_xlfn.XLOOKUP(DI75,TabCalc[Column1],TabCalc[Ticker])</f>
        <v>NVS</v>
      </c>
      <c r="DL75" s="87">
        <f ca="1">_xlfn.XLOOKUP(DK75,TabCalc[Ticker],TabCalc[ValueBegin])</f>
        <v>-17170</v>
      </c>
      <c r="DM75" s="87">
        <f ca="1">_xlfn.XLOOKUP(DK75,TabCalc[Ticker],TabCalc[M_V])</f>
        <v>0</v>
      </c>
      <c r="DN75" s="87">
        <f ca="1">_xlfn.XLOOKUP(DK75,TabCalc[Ticker],TabCalc[GL])</f>
        <v>13598.057164139989</v>
      </c>
      <c r="DO75" s="90"/>
      <c r="DP75" s="90"/>
      <c r="DQ75" s="88" t="s">
        <v>71</v>
      </c>
      <c r="DR75" s="82">
        <v>7000</v>
      </c>
      <c r="DS75" s="315">
        <v>-2.87</v>
      </c>
      <c r="DU75" s="82">
        <v>350020</v>
      </c>
      <c r="DV75" s="82">
        <f ca="1">DU75-TabCalc[[#This Row],[M_V]]</f>
        <v>74314</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42">
        <f ca="1">_xlfn.XLOOKUP(TabCalc[[#This Row],[Ticker]],DQ$3:DQ$96,DS$3:DS$96)</f>
        <v>-513</v>
      </c>
      <c r="E76" s="121">
        <f t="shared" ca="1" si="7"/>
        <v>-99727.2</v>
      </c>
      <c r="F76" s="82">
        <f ca="1">TabCalc[[#This Row],[NAfter]]*TabCalc[[#This Row],[M]]*TabCalc[[#This Row],[Scale]]</f>
        <v>138630</v>
      </c>
      <c r="G76" s="82">
        <f ca="1">IFERROR(TabCalc[[#This Row],[SB]]-TabCalc[[#This Row],[SST]],TabCalc[[#This Row],[SB]])</f>
        <v>30000</v>
      </c>
      <c r="H76" s="532" t="str">
        <f ca="1">[1]!RTData[[#This Row],[Ticker_Symbol]]</f>
        <v>EZJ</v>
      </c>
      <c r="I76" s="383">
        <f ca="1">_xlfn.XLOOKUP(TabCalc[[#This Row],[Ticker]],[1]!RTData[Ticker_Symbol],[1]!RTData[M-Price])</f>
        <v>462.1</v>
      </c>
      <c r="J76" s="382">
        <v>460.97333333333336</v>
      </c>
      <c r="K76" s="381">
        <f ca="1">_xlfn.XLOOKUP(TabCalc[[#This Row],[Ticker]],[1]!RTData[Ticker_Symbol],[1]!RTData[1YT])</f>
        <v>626.25</v>
      </c>
      <c r="L76" s="382">
        <f ca="1">IF(OR(TabCalc[[#This Row],[NAfter]]=0,TabCalc[[#This Row],[EfCost]]&gt;0),0,TabCalc[[#This Row],[EfCost]]/TabCalc[[#This Row],[NAfter]]/TabCalc[[#This Row],[Scale]])</f>
        <v>-360.77089517399992</v>
      </c>
      <c r="M76" s="732">
        <f ca="1">_xlfn.XLOOKUP(TabCalc[[#This Row],[Ticker]],[1]!RTData[Ticker_Symbol],[1]!RTData[Change%])</f>
        <v>1.3822000000000001E-2</v>
      </c>
      <c r="N76" s="1065">
        <v>0</v>
      </c>
      <c r="O76" s="892">
        <f>TabCalc[[#This Row],[Up20]]-1+TabCalc[[#This Row],[Up20]]</f>
        <v>-1</v>
      </c>
      <c r="P76" s="892">
        <f>TabCalc[[#This Row],[Up20]]-TabCalc[[#This Row],[Up150]]</f>
        <v>-9.0909090909090912E-2</v>
      </c>
      <c r="Q76" s="892">
        <v>9.0909090909090912E-2</v>
      </c>
      <c r="R76" s="892">
        <f>TabCalc[[#This Row],[Up150]]-1+TabCalc[[#This Row],[Up150]]</f>
        <v>-0.81818181818181812</v>
      </c>
      <c r="S76" s="892">
        <f ca="1">IFERROR(SUMPRODUCT(DataShift!F1568:Z1568,DataShift!AB775:AV775)/SQRT(SUMPRODUCT(DataShift!F1568:Z1568,DataShift!F1568:Z1568)*SUMPRODUCT(DataShift!AB775:AV775,DataShift!AB775:AV775)),0)</f>
        <v>-0.91725644532495798</v>
      </c>
      <c r="T76" s="892">
        <f ca="1">IFERROR(SUMPRODUCT(DataShift!F1568:Z1568,DataShift!F775:Z775)/SQRT(SUMPRODUCT(DataShift!F1568:Z1568,DataShift!F1568:Z1568)*SUMPRODUCT(DataShift!F775:Z775,DataShift!F775:Z775)),0)</f>
        <v>0.27319872866591338</v>
      </c>
      <c r="U76" s="1004">
        <v>20000</v>
      </c>
      <c r="V76" s="1004">
        <v>10000</v>
      </c>
      <c r="W76" s="1004">
        <v>0</v>
      </c>
      <c r="X76" s="892"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2218.0000000000064</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-1879.9999999999955</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3350</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14778.000000000005</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1380</v>
      </c>
      <c r="AQ76" s="334">
        <f ca="1">_xlfn.LET(_xlpm.MVToday,DataShift!AV576,         _xlpm.MVY,DataShift!AU576,        _xlpm.MVYY, DataShift!AT576,                                IF(_xlpm.MVToday=_xlpm.MVY,_xlpm.MVY-_xlpm.MVYY,_xlpm.MVToday-_xlpm.MVY))</f>
        <v>-5400</v>
      </c>
      <c r="AR76" s="334">
        <f ca="1">_xlfn.LET(_xlpm.MVToday,DataShift!AV576,         _xlpm.MVY,DataShift!AU576,        _xlpm.MVYY, DataShift!AT576,         _xlpm.MVYYY, DataShift!AS576,                      IF(_xlpm.MVToday=_xlpm.MVY,      _xlpm.MVYY-_xlpm.MVYYY,          _xlpm.MVY-_xlpm.MVYY))</f>
        <v>0</v>
      </c>
      <c r="AS76" s="977">
        <f ca="1">TabCalc[[#This Row],[Y]]/TabCalc[[#This Row],[M]]</f>
        <v>1.3552261415278077</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-15.284067738576077</v>
      </c>
      <c r="AY76" s="82">
        <f t="shared" ca="1" si="8"/>
        <v>0</v>
      </c>
      <c r="AZ76" s="90">
        <f ca="1">_xlfn.XLOOKUP(TabCalc[[#This Row],[Ticker]],[1]!RTData[Ticker_Symbol],[1]!RTData[V/VA])</f>
        <v>1.0172654070187122</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1.0172654070187122</v>
      </c>
      <c r="BC76" s="87" cm="1">
        <f t="array" aca="1" ref="BC76" ca="1">INDEX(TabReg[], 1, _xlfn.XMATCH(TabCalc[[#This Row],[Ticker]]&amp;1, TabReg[#Headers], 0))</f>
        <v>19440</v>
      </c>
      <c r="BD76" s="159">
        <f ca="1">TabCalc[[#This Row],[Nbegin]]*TabCalc[[#This Row],[M]]*TabCalc[[#This Row],[Scale]]+TabCalc[[#This Row],[ValueBegin]]</f>
        <v>-9894.9599999999919</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-8244.777832199994</v>
      </c>
      <c r="BH76" s="336">
        <f ca="1">TabCalc[[#This Row],[M_V]]+TabCalc[[#This Row],[ValueBegin]]</f>
        <v>38902.800000000003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K76" s="159" cm="1">
        <f t="array" aca="1" ref="BK76" ca="1">SUMPRODUCT(ISNUMBER(INDIRECT("TabReg["&amp;TabCalc[[#This Row],[Ticker]]&amp;"2]"))* INDIRECT("TabReg["&amp;TabCalc[[#This Row],[Ticker]]&amp;"1]") * INDIRECT("TabReg["&amp;TabCalc[[#This Row],[Ticker]]&amp;"2]") )*TabCalc[[#This Row],[Scale]]*(1+Commission)</f>
        <v>-108231.26855219998</v>
      </c>
      <c r="BL76" s="159">
        <f ca="1">TabCalc[[#This Row],[M_V]]*(1-Commission)+TabCalc[[#This Row],[EfCost]]</f>
        <v>30038.293447800024</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587.09</v>
      </c>
      <c r="BR76" s="174" t="str">
        <f ca="1">IF(TabCalc[[#This Row],[EfCost]]+TabCalc[[#This Row],[M_V]]&lt;TabCalc[[#This Row],[NoT_GL]],"Pile","")</f>
        <v/>
      </c>
      <c r="BS76" s="165">
        <f ca="1">_xlfn.XLOOKUP(TabCalc[[#This Row],[Ticker]],[1]!RTData[Ticker_Symbol],[1]!RTData[Last trade time])</f>
        <v>45980.683071411717</v>
      </c>
      <c r="BT76" s="175">
        <f ca="1">(TabCalc[[#This Row],[ValueBegin]]+(TabCalc[[#This Row],[M]]-TabCalc[[#This Row],[A]])*TabCalc[[#This Row],[NAfter]])*TabCalc[[#This Row],[Scale]]</f>
        <v>-659.27200000000039</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33799.999999999956</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149.25373134328359</v>
      </c>
      <c r="CV76" s="404">
        <f ca="1">IF(TabCalc[[#This Row],[ntoBuy]]*TabCalc[[#This Row],[M]]&lt;=0,0,TabCalc[[#This Row],[ntoBuy]]*TabCalc[[#This Row],[M]])</f>
        <v>68970.149253731346</v>
      </c>
      <c r="CW76" s="404">
        <f ca="1">IF(TabCalc[[#This Row],[M]]&gt;ABS(TabCalc[[#This Row],[L_Bp]]),MIN(TabCalc[[#This Row],[NAfter]],DesiredSaleGain/(TabCalc[[#This Row],[M]]+TabCalc[[#This Row],[L_Bp]])),0)/TabCalc[[#This Row],[Scale]]</f>
        <v>45085.662759242434</v>
      </c>
      <c r="CX76" s="405">
        <f ca="1">TabCalc[[#This Row],[ntoSell]]*TabCalc[[#This Row],[M]]</f>
        <v>20834084.761045929</v>
      </c>
      <c r="CY76" s="398">
        <f ca="1">_xlfn.LET(_xlpm.nToSell,IF(TabCalc[[#This Row],[M]]-TabCalc[[#This Row],[A]]&lt;=0,"",INT(DesiredSaleGain/(TabCalc[[#This Row],[M]]-IF(TabCalc[[#This Row],[E]]&gt;0,0,TabCalc[[#This Row],[A]])))),IF(_xlpm.nToSell&lt;=TabCalc[[#This Row],[NAfter]],_xlpm.nToSell,0))</f>
        <v>4437</v>
      </c>
      <c r="CZ76" s="336">
        <f ca="1">IFERROR(TabCalc[[#This Row],[NMA]]*TabCalc[[#This Row],[M]],"")</f>
        <v>2050337.7000000002</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337.99999999999955</v>
      </c>
      <c r="DB76" s="90">
        <f ca="1">IFERROR((TabCalc[[#This Row],[M]]+TabCalc[[#This Row],[L_Bp]])/ABS(TabCalc[[#This Row],[L_Bp]])/(TODAY()-TabCalc[[#This Row],[L_Bdate]])*360,"")</f>
        <v>0.14511691609469646</v>
      </c>
      <c r="DC76" s="310">
        <f ca="1">MEDIAN(DataShift!F775:Z775)</f>
        <v>-3.1914999999999999E-2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89832.24</v>
      </c>
      <c r="DF76" s="87" cm="1">
        <f t="array" aca="1" ref="DF76" ca="1">SUMPRODUCT(ISNUMBER(INDIRECT("TabReg["&amp;TabCalc[[#This Row],[Ticker]]&amp;"2]"))* INDIRECT("TabReg["&amp;TabCalc[[#This Row],[Ticker]]&amp;"1]") * INDIRECT("TabReg["&amp;TabCalc[[#This Row],[Ticker]]&amp;"2]") )*TabCalc[[#This Row],[Scale]]</f>
        <v>-107950.59699999999</v>
      </c>
      <c r="DI76" s="87">
        <f ca="1"/>
        <v>23516</v>
      </c>
      <c r="DJ76" s="90">
        <f t="shared" ca="1" si="6"/>
        <v>0.51455841925434664</v>
      </c>
      <c r="DK76" t="str">
        <f ca="1">_xlfn.XLOOKUP(DI76,TabCalc[Column1],TabCalc[Ticker])</f>
        <v>XOM</v>
      </c>
      <c r="DL76" s="87">
        <f ca="1">_xlfn.XLOOKUP(DK76,TabCalc[Ticker],TabCalc[ValueBegin])</f>
        <v>-19902</v>
      </c>
      <c r="DM76" s="87">
        <f ca="1">_xlfn.XLOOKUP(DK76,TabCalc[Ticker],TabCalc[M_V])</f>
        <v>58790</v>
      </c>
      <c r="DN76" s="87">
        <f ca="1">_xlfn.XLOOKUP(DK76,TabCalc[Ticker],TabCalc[GL])</f>
        <v>10240.741660000007</v>
      </c>
      <c r="DO76" s="90"/>
      <c r="DP76" s="90"/>
      <c r="DQ76" s="88" t="s">
        <v>72</v>
      </c>
      <c r="DR76" s="81">
        <v>200</v>
      </c>
      <c r="DS76" s="315">
        <v>-85.85</v>
      </c>
      <c r="DU76" s="82">
        <v>144090</v>
      </c>
      <c r="DV76" s="82">
        <f ca="1">DU76-TabCalc[[#This Row],[M_V]]</f>
        <v>5460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42">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12.994999999999999</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-1.92E-3</v>
      </c>
      <c r="N77" s="1065">
        <v>0.25</v>
      </c>
      <c r="O77" s="892">
        <f>TabCalc[[#This Row],[Up20]]-1+TabCalc[[#This Row],[Up20]]</f>
        <v>-0.5</v>
      </c>
      <c r="P77" s="892">
        <f>TabCalc[[#This Row],[Up20]]-TabCalc[[#This Row],[Up150]]</f>
        <v>-0.31521739130434778</v>
      </c>
      <c r="Q77" s="892">
        <v>0.56521739130434778</v>
      </c>
      <c r="R77" s="892">
        <f>TabCalc[[#This Row],[Up150]]-1+TabCalc[[#This Row],[Up150]]</f>
        <v>0.13043478260869557</v>
      </c>
      <c r="S77" s="892">
        <f ca="1">IFERROR(SUMPRODUCT(DataShift!F1569:Z1569,DataShift!AB776:AV776)/SQRT(SUMPRODUCT(DataShift!F1569:Z1569,DataShift!F1569:Z1569)*SUMPRODUCT(DataShift!AB776:AV776,DataShift!AB776:AV776)),0)</f>
        <v>-0.71566005349559103</v>
      </c>
      <c r="T77" s="892">
        <f ca="1">IFERROR(SUMPRODUCT(DataShift!F1569:Z1569,DataShift!F776:Z776)/SQRT(SUMPRODUCT(DataShift!F1569:Z1569,DataShift!F1569:Z1569)*SUMPRODUCT(DataShift!F776:Z776,DataShift!F776:Z776)),0)</f>
        <v>-0.28147902579876599</v>
      </c>
      <c r="U77" s="1004">
        <v>3000</v>
      </c>
      <c r="V77" s="1004">
        <v>0</v>
      </c>
      <c r="W77" s="1004">
        <v>0</v>
      </c>
      <c r="X77" s="892"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-2924.9999999999991</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-3169.9999999999982</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-2414</v>
      </c>
      <c r="AR77" s="334">
        <f ca="1">_xlfn.LET(_xlpm.MVToday,DataShift!AV577,         _xlpm.MVY,DataShift!AU577,        _xlpm.MVYY, DataShift!AT577,         _xlpm.MVYYY, DataShift!AS577,                      IF(_xlpm.MVToday=_xlpm.MVY,      _xlpm.MVYY-_xlpm.MVYYY,          _xlpm.MVY-_xlpm.MVYY))</f>
        <v>-1938</v>
      </c>
      <c r="AS77" s="977">
        <f ca="1">TabCalc[[#This Row],[Y]]/TabCalc[[#This Row],[M]]</f>
        <v>0.94382454790303971</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2.4407581265772534E-3</v>
      </c>
      <c r="AY77" s="82">
        <f t="shared" ca="1" si="8"/>
        <v>12000</v>
      </c>
      <c r="AZ77" s="90">
        <f ca="1">_xlfn.XLOOKUP(TabCalc[[#This Row],[Ticker]],[1]!RTData[Ticker_Symbol],[1]!RTData[V/VA])</f>
        <v>0.14782518890528135</v>
      </c>
      <c r="BA77" s="90" t="str" cm="1">
        <f t="array" aca="1" ref="BA77" ca="1">IFERROR(_xlfn.IFS(TabCalc[[#This Row],[Cur]]="USD",Timer!F$27,                TabCalc[[#This Row],[Cur]]="EUR",Timer!F$18,                  TabCalc[[#This Row],[Cur]]="GBP",Timer!F$12,                          TabCalc[[#This Row],[Cur]]="CAD",Timer!F$27,                TabCalc[[#This Row],[Cur]]="JPY",Timer!F$31,                      TabCalc[[#This Row],[Cur]]="CHF",Timer!F$18),"Timing")</f>
        <v>Closed</v>
      </c>
      <c r="BB77" s="90">
        <f ca="1">IF(ISNUMBER(TabCalc[[#This Row],[TimeEX]]),TabCalc[[#This Row],[V/VA]]/TabCalc[[#This Row],[TimeEX]],TabCalc[[#This Row],[V/VA]])</f>
        <v>0.14782518890528135</v>
      </c>
      <c r="BC77" s="87" cm="1">
        <f t="array" aca="1" ref="BC77" ca="1">INDEX(TabReg[], 1, _xlfn.XMATCH(TabCalc[[#This Row],[Ticker]]&amp;1, TabReg[#Headers], 0))</f>
        <v>12000</v>
      </c>
      <c r="BD77" s="159">
        <f ca="1">TabCalc[[#This Row],[Nbegin]]*TabCalc[[#This Row],[M]]*TabCalc[[#This Row],[Scale]]+TabCalc[[#This Row],[ValueBegin]]</f>
        <v>-5940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K77" s="159" cm="1">
        <f t="array" aca="1" ref="BK77" ca="1">SUMPRODUCT(ISNUMBER(INDIRECT("TabReg["&amp;TabCalc[[#This Row],[Ticker]]&amp;"2]"))* INDIRECT("TabReg["&amp;TabCalc[[#This Row],[Ticker]]&amp;"1]") * INDIRECT("TabReg["&amp;TabCalc[[#This Row],[Ticker]]&amp;"2]") )*TabCalc[[#This Row],[Scale]]*(1+Commission)</f>
        <v>-12652.812</v>
      </c>
      <c r="BL77" s="159">
        <f ca="1">TabCalc[[#This Row],[M_V]]*(1-Commission)+TabCalc[[#This Row],[EfCost]]</f>
        <v>-12652.812</v>
      </c>
      <c r="BM77" s="159">
        <f ca="1">IF(        OR( TabCalc[[#This Row],[GL]]&gt;ABS(TabCalc[[#This Row],[EfCost]]),TabCalc[[#This Row],[NAfter]]=0),             TabCalc[[#This Row],[GL]],     0)</f>
        <v>-12652.812</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45980.727233506252</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0.53493730215500379</v>
      </c>
      <c r="DC77" s="310">
        <f ca="1">MEDIAN(DataShift!F776:Z776)</f>
        <v>1.6130000000000001E-3</v>
      </c>
      <c r="DD77" s="310" t="e"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7" s="87">
        <f ca="1">TabCalc[[#This Row],[Nbegin]]*TabCalc[[#This Row],[Scale]]*TabCalc[[#This Row],[M]]</f>
        <v>155940</v>
      </c>
      <c r="DF77" s="87" cm="1">
        <f t="array" aca="1" ref="DF77" ca="1">SUMPRODUCT(ISNUMBER(INDIRECT("TabReg["&amp;TabCalc[[#This Row],[Ticker]]&amp;"2]"))* INDIRECT("TabReg["&amp;TabCalc[[#This Row],[Ticker]]&amp;"1]") * INDIRECT("TabReg["&amp;TabCalc[[#This Row],[Ticker]]&amp;"2]") )*TabCalc[[#This Row],[Scale]]</f>
        <v>-12620</v>
      </c>
      <c r="DI77" s="87">
        <f ca="1"/>
        <v>22964.84</v>
      </c>
      <c r="DJ77" s="90">
        <f t="shared" ca="1" si="6"/>
        <v>-0.39755825054046645</v>
      </c>
      <c r="DK77" t="str">
        <f ca="1">_xlfn.XLOOKUP(DI77,TabCalc[Column1],TabCalc[Ticker])</f>
        <v>LNSR</v>
      </c>
      <c r="DL77" s="87">
        <f ca="1">_xlfn.XLOOKUP(DK77,TabCalc[Ticker],TabCalc[ValueBegin])</f>
        <v>-40423.409999999996</v>
      </c>
      <c r="DM77" s="87">
        <f ca="1">_xlfn.XLOOKUP(DK77,TabCalc[Ticker],TabCalc[M_V])</f>
        <v>0</v>
      </c>
      <c r="DN77" s="87">
        <f ca="1">_xlfn.XLOOKUP(DK77,TabCalc[Ticker],TabCalc[GL])</f>
        <v>-16070.660160479994</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42">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56.82</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6.0200000000000002E-3</v>
      </c>
      <c r="N78" s="1065">
        <v>0.38095238095238093</v>
      </c>
      <c r="O78" s="892">
        <f>TabCalc[[#This Row],[Up20]]-1+TabCalc[[#This Row],[Up20]]</f>
        <v>-0.23809523809523814</v>
      </c>
      <c r="P78" s="892">
        <f>TabCalc[[#This Row],[Up20]]-TabCalc[[#This Row],[Up150]]</f>
        <v>-0.11573636076947336</v>
      </c>
      <c r="Q78" s="892">
        <v>0.49668874172185429</v>
      </c>
      <c r="R78" s="892">
        <f>TabCalc[[#This Row],[Up150]]-1+TabCalc[[#This Row],[Up150]]</f>
        <v>-6.6225165562914245E-3</v>
      </c>
      <c r="S78" s="892">
        <f ca="1">IFERROR(SUMPRODUCT(DataShift!F1570:Z1570,DataShift!AB777:AV777)/SQRT(SUMPRODUCT(DataShift!F1570:Z1570,DataShift!F1570:Z1570)*SUMPRODUCT(DataShift!AB777:AV777,DataShift!AB777:AV777)),0)</f>
        <v>0.81798844510052304</v>
      </c>
      <c r="T78" s="892">
        <f ca="1">IFERROR(SUMPRODUCT(DataShift!F1570:Z1570,DataShift!F777:Z777)/SQRT(SUMPRODUCT(DataShift!F1570:Z1570,DataShift!F1570:Z1570)*SUMPRODUCT(DataShift!F777:Z777,DataShift!F777:Z777)),0)</f>
        <v>8.6986920341454582E-2</v>
      </c>
      <c r="U78" s="1004">
        <v>0</v>
      </c>
      <c r="V78" s="1004">
        <v>20000</v>
      </c>
      <c r="W78" s="1004">
        <v>0</v>
      </c>
      <c r="X78" s="892"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-51440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-67521.600000000006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2490</v>
      </c>
      <c r="AR78" s="334">
        <f ca="1">_xlfn.LET(_xlpm.MVToday,DataShift!AV578,         _xlpm.MVY,DataShift!AU578,        _xlpm.MVYY, DataShift!AT578,         _xlpm.MVYYY, DataShift!AS578,                      IF(_xlpm.MVToday=_xlpm.MVY,      _xlpm.MVYY-_xlpm.MVYYY,          _xlpm.MVY-_xlpm.MVYY))</f>
        <v>-4620</v>
      </c>
      <c r="AS78" s="977">
        <f ca="1">TabCalc[[#This Row],[Y]]/TabCalc[[#This Row],[M]]</f>
        <v>1.1384391059486096</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-0.13242432917144573</v>
      </c>
      <c r="AY78" s="82">
        <f t="shared" ca="1" si="8"/>
        <v>5000</v>
      </c>
      <c r="AZ78" s="90">
        <f ca="1">_xlfn.XLOOKUP(TabCalc[[#This Row],[Ticker]],[1]!RTData[Ticker_Symbol],[1]!RTData[V/VA])</f>
        <v>1.1777482661130008</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1.1777482661130008</v>
      </c>
      <c r="BC78" s="87" cm="1">
        <f t="array" aca="1" ref="BC78" ca="1">INDEX(TabReg[], 1, _xlfn.XMATCH(TabCalc[[#This Row],[Ticker]]&amp;1, TabReg[#Headers], 0))</f>
        <v>5000</v>
      </c>
      <c r="BD78" s="159">
        <f ca="1">TabCalc[[#This Row],[Nbegin]]*TabCalc[[#This Row],[M]]*TabCalc[[#This Row],[Scale]]+TabCalc[[#This Row],[ValueBegin]]</f>
        <v>185950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K78" s="159" cm="1">
        <f t="array" aca="1" ref="BK78" ca="1">SUMPRODUCT(ISNUMBER(INDIRECT("TabReg["&amp;TabCalc[[#This Row],[Ticker]]&amp;"2]"))* INDIRECT("TabReg["&amp;TabCalc[[#This Row],[Ticker]]&amp;"1]") * INDIRECT("TabReg["&amp;TabCalc[[#This Row],[Ticker]]&amp;"2]") )*TabCalc[[#This Row],[Scale]]*(1+Commission)</f>
        <v>43586.110007999989</v>
      </c>
      <c r="BL78" s="159">
        <f ca="1">TabCalc[[#This Row],[M_V]]*(1-Commission)+TabCalc[[#This Row],[EfCost]]</f>
        <v>43586.110007999989</v>
      </c>
      <c r="BM78" s="159">
        <f ca="1">IF(        OR( TabCalc[[#This Row],[GL]]&gt;ABS(TabCalc[[#This Row],[EfCost]]),TabCalc[[#This Row],[NAfter]]=0),             TabCalc[[#This Row],[GL]],     0)</f>
        <v>43586.110007999989</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45980.708333333336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1.1333794056668969</v>
      </c>
      <c r="DC78" s="310">
        <f ca="1">MEDIAN(DataShift!F777:Z777)</f>
        <v>-3.676E-3</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284100</v>
      </c>
      <c r="DF78" s="87" cm="1">
        <f t="array" aca="1" ref="DF78" ca="1">SUMPRODUCT(ISNUMBER(INDIRECT("TabReg["&amp;TabCalc[[#This Row],[Ticker]]&amp;"2]"))* INDIRECT("TabReg["&amp;TabCalc[[#This Row],[Ticker]]&amp;"1]") * INDIRECT("TabReg["&amp;TabCalc[[#This Row],[Ticker]]&amp;"2]") )*TabCalc[[#This Row],[Scale]]</f>
        <v>43473.079999999994</v>
      </c>
      <c r="DI78" s="87">
        <f ca="1"/>
        <v>22875.789999999997</v>
      </c>
      <c r="DJ78" s="90">
        <f t="shared" ca="1" si="6"/>
        <v>-0.62959370641381707</v>
      </c>
      <c r="DK78" t="str">
        <f ca="1">_xlfn.XLOOKUP(DI78,TabCalc[Column1],TabCalc[Ticker])</f>
        <v>DXC</v>
      </c>
      <c r="DL78" s="87">
        <f ca="1">_xlfn.XLOOKUP(DK78,TabCalc[Ticker],TabCalc[ValueBegin])</f>
        <v>-88065.18</v>
      </c>
      <c r="DM78" s="87">
        <f ca="1">_xlfn.XLOOKUP(DK78,TabCalc[Ticker],TabCalc[M_V])</f>
        <v>72660</v>
      </c>
      <c r="DN78" s="87">
        <f ca="1">_xlfn.XLOOKUP(DK78,TabCalc[Ticker],TabCalc[GL])</f>
        <v>-55445.283082199952</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42">
        <f ca="1">_xlfn.XLOOKUP(TabCalc[[#This Row],[Ticker]],DQ$3:DQ$96,DS$3:DS$96)</f>
        <v>-189.96</v>
      </c>
      <c r="E79" s="121">
        <f t="shared" ca="1" si="7"/>
        <v>-104478</v>
      </c>
      <c r="F79" s="82">
        <f ca="1">TabCalc[[#This Row],[NAfter]]*TabCalc[[#This Row],[M]]*TabCalc[[#This Row],[Scale]]</f>
        <v>132201</v>
      </c>
      <c r="G79" s="82">
        <f ca="1">IFERROR(TabCalc[[#This Row],[SB]]-TabCalc[[#This Row],[SST]],TabCalc[[#This Row],[SB]])</f>
        <v>900</v>
      </c>
      <c r="H79" s="532" t="str">
        <f ca="1">[1]!RTData[[#This Row],[Ticker_Symbol]]</f>
        <v>GNRC</v>
      </c>
      <c r="I79" s="383">
        <f ca="1">_xlfn.XLOOKUP(TabCalc[[#This Row],[Ticker]],[1]!RTData[Ticker_Symbol],[1]!RTData[M-Price])</f>
        <v>146.88999999999999</v>
      </c>
      <c r="J79" s="382">
        <v>180.93777777777777</v>
      </c>
      <c r="K79" s="381">
        <f ca="1">_xlfn.XLOOKUP(TabCalc[[#This Row],[Ticker]],[1]!RTData[Ticker_Symbol],[1]!RTData[1YT])</f>
        <v>207.47059999999999</v>
      </c>
      <c r="L79" s="382">
        <f ca="1">IF(OR(TabCalc[[#This Row],[NAfter]]=0,TabCalc[[#This Row],[EfCost]]&gt;0),0,TabCalc[[#This Row],[EfCost]]/TabCalc[[#This Row],[NAfter]]/TabCalc[[#This Row],[Scale]])</f>
        <v>-134.84875309999995</v>
      </c>
      <c r="M79" s="732">
        <f ca="1">_xlfn.XLOOKUP(TabCalc[[#This Row],[Ticker]],[1]!RTData[Ticker_Symbol],[1]!RTData[Change%])</f>
        <v>3.1095999999999999E-2</v>
      </c>
      <c r="N79" s="1065">
        <v>0</v>
      </c>
      <c r="O79" s="892">
        <f>TabCalc[[#This Row],[Up20]]-1+TabCalc[[#This Row],[Up20]]</f>
        <v>-1</v>
      </c>
      <c r="P79" s="892">
        <f>TabCalc[[#This Row],[Up20]]-TabCalc[[#This Row],[Up150]]</f>
        <v>-0.41666666666666669</v>
      </c>
      <c r="Q79" s="892">
        <v>0.41666666666666669</v>
      </c>
      <c r="R79" s="892">
        <f>TabCalc[[#This Row],[Up150]]-1+TabCalc[[#This Row],[Up150]]</f>
        <v>-0.16666666666666657</v>
      </c>
      <c r="S79" s="892">
        <f ca="1">IFERROR(SUMPRODUCT(DataShift!F1571:Z1571,DataShift!AB778:AV778)/SQRT(SUMPRODUCT(DataShift!F1571:Z1571,DataShift!F1571:Z1571)*SUMPRODUCT(DataShift!AB778:AV778,DataShift!AB778:AV778)),0)</f>
        <v>-0.86059182752479069</v>
      </c>
      <c r="T79" s="892">
        <f ca="1">IFERROR(SUMPRODUCT(DataShift!F1571:Z1571,DataShift!F778:Z778)/SQRT(SUMPRODUCT(DataShift!F1571:Z1571,DataShift!F1571:Z1571)*SUMPRODUCT(DataShift!F778:Z778,DataShift!F778:Z778)),0)</f>
        <v>-0.22500569377751245</v>
      </c>
      <c r="U79" s="1004">
        <v>0</v>
      </c>
      <c r="V79" s="1004">
        <v>900</v>
      </c>
      <c r="W79" s="1004">
        <v>0</v>
      </c>
      <c r="X79" s="892"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-10881.000000000004</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-3962.0000000000005</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9024</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25812.000000000007</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2601</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77">
        <f ca="1">TabCalc[[#This Row],[Y]]/TabCalc[[#This Row],[M]]</f>
        <v>1.4124215399278373</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-7.2954471769492244</v>
      </c>
      <c r="AY79" s="82">
        <f t="shared" ca="1" si="8"/>
        <v>0</v>
      </c>
      <c r="AZ79" s="90">
        <f ca="1">_xlfn.XLOOKUP(TabCalc[[#This Row],[Ticker]],[1]!RTData[Ticker_Symbol],[1]!RTData[V/VA])</f>
        <v>0.30248791926879282</v>
      </c>
      <c r="BA79" s="90" t="str" cm="1">
        <f t="array" aca="1" ref="BA79" ca="1">IFERROR(_xlfn.IFS(TabCalc[[#This Row],[Cur]]="USD",Timer!F$27,                TabCalc[[#This Row],[Cur]]="EUR",Timer!F$18,                  TabCalc[[#This Row],[Cur]]="GBP",Timer!F$12,                          TabCalc[[#This Row],[Cur]]="CAD",Timer!F$27,                TabCalc[[#This Row],[Cur]]="JPY",Timer!F$31,                      TabCalc[[#This Row],[Cur]]="CHF",Timer!F$18),"Timing")</f>
        <v>Closed</v>
      </c>
      <c r="BB79" s="90">
        <f ca="1">IF(ISNUMBER(TabCalc[[#This Row],[TimeEX]]),TabCalc[[#This Row],[V/VA]]/TabCalc[[#This Row],[TimeEX]],TabCalc[[#This Row],[V/VA]])</f>
        <v>0.30248791926879282</v>
      </c>
      <c r="BC79" s="87" cm="1">
        <f t="array" aca="1" ref="BC79" ca="1">INDEX(TabReg[], 1, _xlfn.XMATCH(TabCalc[[#This Row],[Ticker]]&amp;1, TabReg[#Headers], 0))</f>
        <v>550</v>
      </c>
      <c r="BD79" s="159">
        <f ca="1">TabCalc[[#This Row],[Nbegin]]*TabCalc[[#This Row],[M]]*TabCalc[[#This Row],[Scale]]+TabCalc[[#This Row],[ValueBegin]]</f>
        <v>-23688.500000000015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-16614.234989999983</v>
      </c>
      <c r="BH79" s="336">
        <f ca="1">TabCalc[[#This Row],[M_V]]+TabCalc[[#This Row],[ValueBegin]]</f>
        <v>27723</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K79" s="159" cm="1">
        <f t="array" aca="1" ref="BK79" ca="1">SUMPRODUCT(ISNUMBER(INDIRECT("TabReg["&amp;TabCalc[[#This Row],[Ticker]]&amp;"2]"))* INDIRECT("TabReg["&amp;TabCalc[[#This Row],[Ticker]]&amp;"1]") * INDIRECT("TabReg["&amp;TabCalc[[#This Row],[Ticker]]&amp;"2]") )*TabCalc[[#This Row],[Scale]]*(1+Commission)</f>
        <v>-121363.87778999997</v>
      </c>
      <c r="BL79" s="159">
        <f ca="1">TabCalc[[#This Row],[M_V]]*(1-Commission)+TabCalc[[#This Row],[EfCost]]</f>
        <v>10493.399610000022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203.87</v>
      </c>
      <c r="BR79" s="174" t="str">
        <f ca="1">IF(TabCalc[[#This Row],[EfCost]]+TabCalc[[#This Row],[M_V]]&lt;TabCalc[[#This Row],[NoT_GL]],"Pile","")</f>
        <v/>
      </c>
      <c r="BS79" s="165">
        <f ca="1">_xlfn.XLOOKUP(TabCalc[[#This Row],[Ticker]],[1]!RTData[Ticker_Symbol],[1]!RTData[Last trade time])</f>
        <v>45980.727217303123</v>
      </c>
      <c r="BT79" s="175">
        <f ca="1">(TabCalc[[#This Row],[ValueBegin]]+(TabCalc[[#This Row],[M]]-TabCalc[[#This Row],[A]])*TabCalc[[#This Row],[NAfter]])*TabCalc[[#This Row],[Scale]]</f>
        <v>-135121</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-30643.000000000004</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110.81560283687942</v>
      </c>
      <c r="CV79" s="404">
        <f ca="1">IF(TabCalc[[#This Row],[ntoBuy]]*TabCalc[[#This Row],[M]]&lt;=0,0,TabCalc[[#This Row],[ntoBuy]]*TabCalc[[#This Row],[M]])</f>
        <v>16277.703900709217</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-30643.000000000004</v>
      </c>
      <c r="DB79" s="90">
        <f ca="1">IFERROR((TabCalc[[#This Row],[M]]+TabCalc[[#This Row],[L_Bp]])/ABS(TabCalc[[#This Row],[L_Bp]])/(TODAY()-TabCalc[[#This Row],[L_Bdate]])*360,"")</f>
        <v>-2.5460175334602071</v>
      </c>
      <c r="DC79" s="310">
        <f ca="1">MEDIAN(DataShift!F778:Z778)</f>
        <v>-1.276E-3</v>
      </c>
      <c r="DD79" s="310" t="e"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9" s="87">
        <f ca="1">TabCalc[[#This Row],[Nbegin]]*TabCalc[[#This Row],[Scale]]*TabCalc[[#This Row],[M]]</f>
        <v>80789.499999999985</v>
      </c>
      <c r="DF79" s="87" cm="1">
        <f t="array" aca="1" ref="DF79" ca="1">SUMPRODUCT(ISNUMBER(INDIRECT("TabReg["&amp;TabCalc[[#This Row],[Ticker]]&amp;"2]"))* INDIRECT("TabReg["&amp;TabCalc[[#This Row],[Ticker]]&amp;"1]") * INDIRECT("TabReg["&amp;TabCalc[[#This Row],[Ticker]]&amp;"2]") )*TabCalc[[#This Row],[Scale]]</f>
        <v>-121049.14999999998</v>
      </c>
      <c r="DI79" s="87">
        <f ca="1"/>
        <v>22540</v>
      </c>
      <c r="DJ79" s="90">
        <f t="shared" ca="1" si="6"/>
        <v>1.7982740726624236</v>
      </c>
      <c r="DK79" t="str">
        <f ca="1">_xlfn.XLOOKUP(DI79,TabCalc[Column1],TabCalc[Ticker])</f>
        <v>HPQ</v>
      </c>
      <c r="DL79" s="87">
        <f ca="1">_xlfn.XLOOKUP(DK79,TabCalc[Ticker],TabCalc[ValueBegin])</f>
        <v>-15700</v>
      </c>
      <c r="DM79" s="87">
        <f ca="1">_xlfn.XLOOKUP(DK79,TabCalc[Ticker],TabCalc[M_V])</f>
        <v>112700</v>
      </c>
      <c r="DN79" s="87">
        <f ca="1">_xlfn.XLOOKUP(DK79,TabCalc[Ticker],TabCalc[GL])</f>
        <v>28232.90294080005</v>
      </c>
      <c r="DO79" s="90"/>
      <c r="DP79" s="90"/>
      <c r="DQ79" s="88" t="s">
        <v>75</v>
      </c>
      <c r="DR79" s="81">
        <v>7700</v>
      </c>
      <c r="DS79" s="315">
        <v>-12.54</v>
      </c>
      <c r="DU79" s="82">
        <v>140904</v>
      </c>
      <c r="DV79" s="82">
        <f ca="1">DU79-TabCalc[[#This Row],[M_V]]</f>
        <v>8703</v>
      </c>
    </row>
    <row r="80" spans="1:126" x14ac:dyDescent="0.3">
      <c r="A80" s="120" t="str">
        <f ca="1">_xlfn.XLOOKUP(TabCalc[[#This Row],[Ticker]],[1]!RTData[Ticker_Symbol],[1]!RTData[Currency])</f>
        <v>USD</v>
      </c>
      <c r="B80" s="121">
        <f ca="1">IF(TabCalc[[#This Row],[Cur]]="GBP",0.01,1)</f>
        <v>1</v>
      </c>
      <c r="C80" s="82">
        <f ca="1">_xlfn.XLOOKUP(TabCalc[[#This Row],[Ticker]],DQ$3:DQ$96,DR$3:DR$96)</f>
        <v>310</v>
      </c>
      <c r="D80" s="1142">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780.89</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5.9130000000000007E-3</v>
      </c>
      <c r="N80" s="1065">
        <v>0.5714285714285714</v>
      </c>
      <c r="O80" s="892">
        <f>TabCalc[[#This Row],[Up20]]-1+TabCalc[[#This Row],[Up20]]</f>
        <v>0.14285714285714279</v>
      </c>
      <c r="P80" s="892">
        <f>TabCalc[[#This Row],[Up20]]-TabCalc[[#This Row],[Up150]]</f>
        <v>-2.4597918637653815E-2</v>
      </c>
      <c r="Q80" s="892">
        <v>0.59602649006622521</v>
      </c>
      <c r="R80" s="892">
        <f>TabCalc[[#This Row],[Up150]]-1+TabCalc[[#This Row],[Up150]]</f>
        <v>0.19205298013245042</v>
      </c>
      <c r="S80" s="892">
        <f ca="1">IFERROR(SUMPRODUCT(DataShift!F1572:Z1572,DataShift!AB779:AV779)/SQRT(SUMPRODUCT(DataShift!F1572:Z1572,DataShift!F1572:Z1572)*SUMPRODUCT(DataShift!AB779:AV779,DataShift!AB779:AV779)),0)</f>
        <v>-0.3356332413746615</v>
      </c>
      <c r="T80" s="892">
        <f ca="1">IFERROR(SUMPRODUCT(DataShift!F1572:Z1572,DataShift!F779:Z779)/SQRT(SUMPRODUCT(DataShift!F1572:Z1572,DataShift!F1572:Z1572)*SUMPRODUCT(DataShift!F779:Z779,DataShift!F779:Z779)),0)</f>
        <v>-0.14477030159013288</v>
      </c>
      <c r="U80" s="1004">
        <v>0</v>
      </c>
      <c r="V80" s="1004">
        <v>0</v>
      </c>
      <c r="W80" s="1004">
        <v>0</v>
      </c>
      <c r="X80" s="892"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-14899</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-28585.929999999997</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77">
        <f ca="1">TabCalc[[#This Row],[Y]]/TabCalc[[#This Row],[M]]</f>
        <v>1.0268310517486456</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-1.4689396668843231E-2</v>
      </c>
      <c r="AY80" s="82">
        <f t="shared" ca="1" si="8"/>
        <v>310</v>
      </c>
      <c r="AZ80" s="90">
        <f ca="1">_xlfn.XLOOKUP(TabCalc[[#This Row],[Ticker]],[1]!RTData[Ticker_Symbol],[1]!RTData[V/VA])</f>
        <v>0.30271831547034872</v>
      </c>
      <c r="BA80" s="90" t="str" cm="1">
        <f t="array" aca="1" ref="BA80" ca="1">IFERROR(_xlfn.IFS(TabCalc[[#This Row],[Cur]]="USD",Timer!F$27,                TabCalc[[#This Row],[Cur]]="EUR",Timer!F$18,                  TabCalc[[#This Row],[Cur]]="GBP",Timer!F$12,                          TabCalc[[#This Row],[Cur]]="CAD",Timer!F$27,                TabCalc[[#This Row],[Cur]]="JPY",Timer!F$31,                      TabCalc[[#This Row],[Cur]]="CHF",Timer!F$18),"Timing")</f>
        <v>Closed</v>
      </c>
      <c r="BB80" s="90">
        <f ca="1">IF(ISNUMBER(TabCalc[[#This Row],[TimeEX]]),TabCalc[[#This Row],[V/VA]]/TabCalc[[#This Row],[TimeEX]],TabCalc[[#This Row],[V/VA]])</f>
        <v>0.30271831547034872</v>
      </c>
      <c r="BC80" s="87" cm="1">
        <f t="array" aca="1" ref="BC80" ca="1">INDEX(TabReg[], 1, _xlfn.XMATCH(TabCalc[[#This Row],[Ticker]]&amp;1, TabReg[#Headers], 0))</f>
        <v>310</v>
      </c>
      <c r="BD80" s="159">
        <f ca="1">TabCalc[[#This Row],[Nbegin]]*TabCalc[[#This Row],[M]]*TabCalc[[#This Row],[Scale]]+TabCalc[[#This Row],[ValueBegin]]</f>
        <v>130878.9</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K80" s="159" cm="1">
        <f t="array" aca="1" ref="BK80" ca="1">SUMPRODUCT(ISNUMBER(INDIRECT("TabReg["&amp;TabCalc[[#This Row],[Ticker]]&amp;"2]"))* INDIRECT("TabReg["&amp;TabCalc[[#This Row],[Ticker]]&amp;"1]") * INDIRECT("TabReg["&amp;TabCalc[[#This Row],[Ticker]]&amp;"2]") )*TabCalc[[#This Row],[Scale]]*(1+Commission)</f>
        <v>46037.125121400022</v>
      </c>
      <c r="BL80" s="159">
        <f ca="1">TabCalc[[#This Row],[M_V]]*(1-Commission)+TabCalc[[#This Row],[EfCost]]</f>
        <v>46037.125121400022</v>
      </c>
      <c r="BM80" s="159">
        <f ca="1">IF(        OR( TabCalc[[#This Row],[GL]]&gt;ABS(TabCalc[[#This Row],[EfCost]]),TabCalc[[#This Row],[NAfter]]=0),             TabCalc[[#This Row],[GL]],     0)</f>
        <v>46037.125121400022</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45980.72729609922</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0.33953907205360573</v>
      </c>
      <c r="DC80" s="310">
        <f ca="1">MEDIAN(DataShift!F779:Z779)</f>
        <v>1.0989999999999999E-3</v>
      </c>
      <c r="DD80" s="310" t="e"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0" s="87">
        <f ca="1">TabCalc[[#This Row],[Nbegin]]*TabCalc[[#This Row],[Scale]]*TabCalc[[#This Row],[M]]</f>
        <v>242075.9</v>
      </c>
      <c r="DF80" s="87" cm="1">
        <f t="array" aca="1" ref="DF80" ca="1">SUMPRODUCT(ISNUMBER(INDIRECT("TabReg["&amp;TabCalc[[#This Row],[Ticker]]&amp;"2]"))* INDIRECT("TabReg["&amp;TabCalc[[#This Row],[Ticker]]&amp;"1]") * INDIRECT("TabReg["&amp;TabCalc[[#This Row],[Ticker]]&amp;"2]") )*TabCalc[[#This Row],[Scale]]</f>
        <v>45917.739000000023</v>
      </c>
      <c r="DI80" s="87">
        <f ca="1"/>
        <v>21175</v>
      </c>
      <c r="DJ80" s="90">
        <f t="shared" ca="1" si="6"/>
        <v>-1.0814886531394732</v>
      </c>
      <c r="DK80" t="str">
        <f ca="1">_xlfn.XLOOKUP(DI80,TabCalc[Column1],TabCalc[Ticker])</f>
        <v>UN0</v>
      </c>
      <c r="DL80" s="87">
        <f ca="1">_xlfn.XLOOKUP(DK80,TabCalc[Ticker],TabCalc[ValueBegin])</f>
        <v>-184394</v>
      </c>
      <c r="DM80" s="87">
        <f ca="1">_xlfn.XLOOKUP(DK80,TabCalc[Ticker],TabCalc[M_V])</f>
        <v>90750</v>
      </c>
      <c r="DN80" s="87">
        <f ca="1">_xlfn.XLOOKUP(DK80,TabCalc[Ticker],TabCalc[GL])</f>
        <v>-199420.01870700001</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42">
        <f ca="1">_xlfn.XLOOKUP(TabCalc[[#This Row],[Ticker]],DQ$3:DQ$96,DS$3:DS$96)</f>
        <v>-47.08</v>
      </c>
      <c r="E81" s="121">
        <f t="shared" ca="1" si="7"/>
        <v>-252019.24</v>
      </c>
      <c r="F81" s="82">
        <f ca="1">TabCalc[[#This Row],[NAfter]]*TabCalc[[#This Row],[M]]*TabCalc[[#This Row],[Scale]]</f>
        <v>13745.8444</v>
      </c>
      <c r="G81" s="82">
        <f ca="1">IFERROR(TabCalc[[#This Row],[SB]]-TabCalc[[#This Row],[SST]],TabCalc[[#This Row],[SB]])</f>
        <v>15518</v>
      </c>
      <c r="H81" s="532" t="str">
        <f ca="1">[1]!RTData[[#This Row],[Ticker_Symbol]]</f>
        <v>LAZR</v>
      </c>
      <c r="I81" s="383">
        <f ca="1">_xlfn.XLOOKUP(TabCalc[[#This Row],[Ticker]],[1]!RTData[Ticker_Symbol],[1]!RTData[M-Price])</f>
        <v>0.88580000000000003</v>
      </c>
      <c r="J81" s="382">
        <v>21.677332130429178</v>
      </c>
      <c r="K81" s="381">
        <f ca="1">_xlfn.XLOOKUP(TabCalc[[#This Row],[Ticker]],[1]!RTData[Ticker_Symbol],[1]!RTData[1YT])</f>
        <v>2.5</v>
      </c>
      <c r="L81" s="382">
        <f ca="1">IF(OR(TabCalc[[#This Row],[NAfter]]=0,TabCalc[[#This Row],[EfCost]]&gt;0),0,TabCalc[[#This Row],[EfCost]]/TabCalc[[#This Row],[NAfter]]/TabCalc[[#This Row],[Scale]])</f>
        <v>-21.733693193968289</v>
      </c>
      <c r="M81" s="732">
        <f ca="1">_xlfn.XLOOKUP(TabCalc[[#This Row],[Ticker]],[1]!RTData[Ticker_Symbol],[1]!RTData[Change%])</f>
        <v>2.2745999999999999E-2</v>
      </c>
      <c r="N81" s="1065">
        <v>0</v>
      </c>
      <c r="O81" s="892">
        <f>TabCalc[[#This Row],[Up20]]-1+TabCalc[[#This Row],[Up20]]</f>
        <v>-1</v>
      </c>
      <c r="P81" s="892">
        <f>TabCalc[[#This Row],[Up20]]-TabCalc[[#This Row],[Up150]]</f>
        <v>-0.33333333333333331</v>
      </c>
      <c r="Q81" s="892">
        <v>0.33333333333333331</v>
      </c>
      <c r="R81" s="892">
        <f>TabCalc[[#This Row],[Up150]]-1+TabCalc[[#This Row],[Up150]]</f>
        <v>-0.33333333333333343</v>
      </c>
      <c r="S81" s="892">
        <f ca="1">IFERROR(SUMPRODUCT(DataShift!F1573:Z1573,DataShift!AB780:AV780)/SQRT(SUMPRODUCT(DataShift!F1573:Z1573,DataShift!F1573:Z1573)*SUMPRODUCT(DataShift!AB780:AV780,DataShift!AB780:AV780)),0)</f>
        <v>-0.7642505409323116</v>
      </c>
      <c r="T81" s="892">
        <f ca="1">IFERROR(SUMPRODUCT(DataShift!F1573:Z1573,DataShift!F780:Z780)/SQRT(SUMPRODUCT(DataShift!F1573:Z1573,DataShift!F1573:Z1573)*SUMPRODUCT(DataShift!F780:Z780,DataShift!F780:Z780)),0)</f>
        <v>-3.684297076461867E-2</v>
      </c>
      <c r="U81" s="1004">
        <v>0</v>
      </c>
      <c r="V81" s="1004">
        <v>15518</v>
      </c>
      <c r="W81" s="1004">
        <v>0</v>
      </c>
      <c r="X81" s="892"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184,359 = $ 163,305</v>
      </c>
      <c r="Z81" s="211">
        <f ca="1">MIN(TabCalc[[#This Row],[L_Bn]],TabCalc[[#This Row],[NAfter]])*(TabCalc[[#This Row],[M]]+TabCalc[[#This Row],[L_Bp]])*TabCalc[[#This Row],[Scale]]</f>
        <v>-53581.36740000001</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-21784.075599999996</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-220.35560000000078</v>
      </c>
      <c r="AQ81" s="334">
        <f ca="1">_xlfn.LET(_xlpm.MVToday,DataShift!AV581,         _xlpm.MVY,DataShift!AU581,        _xlpm.MVYY, DataShift!AT581,                                IF(_xlpm.MVToday=_xlpm.MVY,_xlpm.MVY-_xlpm.MVYY,_xlpm.MVToday-_xlpm.MVY))</f>
        <v>3987</v>
      </c>
      <c r="AR81" s="334">
        <f ca="1">_xlfn.LET(_xlpm.MVToday,DataShift!AV581,         _xlpm.MVY,DataShift!AU581,        _xlpm.MVYY, DataShift!AT581,         _xlpm.MVYYY, DataShift!AS581,                      IF(_xlpm.MVToday=_xlpm.MVY,      _xlpm.MVYY-_xlpm.MVYYY,          _xlpm.MVY-_xlpm.MVYY))</f>
        <v>-7785</v>
      </c>
      <c r="AS81" s="977">
        <f ca="1">TabCalc[[#This Row],[Y]]/TabCalc[[#This Row],[M]]</f>
        <v>2.8223075186272295</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-1.8993121405680735</v>
      </c>
      <c r="AY81" s="82">
        <f t="shared" ca="1" si="8"/>
        <v>0</v>
      </c>
      <c r="AZ81" s="90">
        <f ca="1">_xlfn.XLOOKUP(TabCalc[[#This Row],[Ticker]],[1]!RTData[Ticker_Symbol],[1]!RTData[V/VA])</f>
        <v>0.3115700601485013</v>
      </c>
      <c r="BA81" s="90" t="str" cm="1">
        <f t="array" aca="1" ref="BA81" ca="1">IFERROR(_xlfn.IFS(TabCalc[[#This Row],[Cur]]="USD",Timer!F$27,                TabCalc[[#This Row],[Cur]]="EUR",Timer!F$18,                  TabCalc[[#This Row],[Cur]]="GBP",Timer!F$12,                          TabCalc[[#This Row],[Cur]]="CAD",Timer!F$27,                TabCalc[[#This Row],[Cur]]="JPY",Timer!F$31,                      TabCalc[[#This Row],[Cur]]="CHF",Timer!F$18),"Timing")</f>
        <v>Closed</v>
      </c>
      <c r="BB81" s="90">
        <f ca="1">IF(ISNUMBER(TabCalc[[#This Row],[TimeEX]]),TabCalc[[#This Row],[V/VA]]/TabCalc[[#This Row],[TimeEX]],TabCalc[[#This Row],[V/VA]])</f>
        <v>0.3115700601485013</v>
      </c>
      <c r="BC81" s="87" cm="1">
        <f t="array" aca="1" ref="BC81" ca="1">INDEX(TabReg[], 1, _xlfn.XMATCH(TabCalc[[#This Row],[Ticker]]&amp;1, TabReg[#Headers], 0))</f>
        <v>5353</v>
      </c>
      <c r="BD81" s="159">
        <f ca="1">TabCalc[[#This Row],[Nbegin]]*TabCalc[[#This Row],[M]]*TabCalc[[#This Row],[Scale]]+TabCalc[[#This Row],[ValueBegin]]</f>
        <v>-247277.5526</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-84588.960959999968</v>
      </c>
      <c r="BH81" s="336">
        <f ca="1">TabCalc[[#This Row],[M_V]]+TabCalc[[#This Row],[ValueBegin]]</f>
        <v>-238273.39559999999</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81" s="159" cm="1">
        <f t="array" aca="1" ref="BK81" ca="1">SUMPRODUCT(ISNUMBER(INDIRECT("TabReg["&amp;TabCalc[[#This Row],[Ticker]]&amp;"2]"))* INDIRECT("TabReg["&amp;TabCalc[[#This Row],[Ticker]]&amp;"1]") * INDIRECT("TabReg["&amp;TabCalc[[#This Row],[Ticker]]&amp;"2]") )*TabCalc[[#This Row],[Scale]]*(1+Commission)</f>
        <v>-337263.45098399994</v>
      </c>
      <c r="BL81" s="159">
        <f ca="1">TabCalc[[#This Row],[M_V]]*(1-Commission)+TabCalc[[#This Row],[EfCost]]</f>
        <v>-323553.34577943996</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45980.727182789065</v>
      </c>
      <c r="BT81" s="175">
        <f ca="1">(TabCalc[[#This Row],[ValueBegin]]+(TabCalc[[#This Row],[M]]-TabCalc[[#This Row],[A]])*TabCalc[[#This Row],[NAfter]])*TabCalc[[#This Row],[Scale]]</f>
        <v>-574662.23560000001</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-322642.99560000002</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-322642.99560000002</v>
      </c>
      <c r="DB81" s="90">
        <f ca="1">IFERROR((TabCalc[[#This Row],[M]]+TabCalc[[#This Row],[L_Bp]])/ABS(TabCalc[[#This Row],[L_Bp]])/(TODAY()-TabCalc[[#This Row],[L_Bdate]])*360,"")</f>
        <v>-1.0315057468892512</v>
      </c>
      <c r="DC81" s="310">
        <f ca="1">MEDIAN(DataShift!F780:Z780)</f>
        <v>5.1390000000000003E-3</v>
      </c>
      <c r="DD81" s="310" t="e"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1" s="87">
        <f ca="1">TabCalc[[#This Row],[Nbegin]]*TabCalc[[#This Row],[Scale]]*TabCalc[[#This Row],[M]]</f>
        <v>4741.6873999999998</v>
      </c>
      <c r="DF81" s="87" cm="1">
        <f t="array" aca="1" ref="DF81" ca="1">SUMPRODUCT(ISNUMBER(INDIRECT("TabReg["&amp;TabCalc[[#This Row],[Ticker]]&amp;"2]"))* INDIRECT("TabReg["&amp;TabCalc[[#This Row],[Ticker]]&amp;"1]") * INDIRECT("TabReg["&amp;TabCalc[[#This Row],[Ticker]]&amp;"2]") )*TabCalc[[#This Row],[Scale]]</f>
        <v>-336388.83999999997</v>
      </c>
      <c r="DI81" s="87">
        <f ca="1"/>
        <v>20450</v>
      </c>
      <c r="DJ81" s="90">
        <f t="shared" ca="1" si="6"/>
        <v>0.17028803877598142</v>
      </c>
      <c r="DK81" t="str">
        <f ca="1">_xlfn.XLOOKUP(DI81,TabCalc[Column1],TabCalc[Ticker])</f>
        <v>MVEDDD</v>
      </c>
      <c r="DL81" s="87">
        <f ca="1">_xlfn.XLOOKUP(DK81,TabCalc[Ticker],TabCalc[ValueBegin])</f>
        <v>-43300</v>
      </c>
      <c r="DM81" s="87">
        <f ca="1">_xlfn.XLOOKUP(DK81,TabCalc[Ticker],TabCalc[M_V])</f>
        <v>20450</v>
      </c>
      <c r="DN81" s="87">
        <f ca="1">_xlfn.XLOOKUP(DK81,TabCalc[Ticker],TabCalc[GL])</f>
        <v>7373.4720789999956</v>
      </c>
      <c r="DO81" s="90"/>
      <c r="DP81" s="90"/>
      <c r="DQ81" s="88" t="s">
        <v>77</v>
      </c>
      <c r="DR81" s="81">
        <v>19440</v>
      </c>
      <c r="DS81" s="315">
        <v>-513</v>
      </c>
      <c r="DU81" s="82">
        <v>20949.300000000003</v>
      </c>
      <c r="DV81" s="82">
        <f ca="1">DU81-TabCalc[[#This Row],[M_V]]</f>
        <v>7203.455600000003</v>
      </c>
    </row>
    <row r="82" spans="1:126" x14ac:dyDescent="0.3">
      <c r="A82" s="120" t="str">
        <f ca="1">_xlfn.XLOOKUP(TabCalc[[#This Row],[Ticker]],[1]!RTData[Ticker_Symbol],[1]!RTData[Currency])</f>
        <v>USD</v>
      </c>
      <c r="B82" s="121">
        <f ca="1">IF(TabCalc[[#This Row],[Cur]]="GBP",0.01,1)</f>
        <v>1</v>
      </c>
      <c r="C82" s="82">
        <f ca="1">_xlfn.XLOOKUP(TabCalc[[#This Row],[Ticker]],DQ$3:DQ$96,DR$3:DR$96)</f>
        <v>2100</v>
      </c>
      <c r="D82" s="1142">
        <f ca="1">_xlfn.XLOOKUP(TabCalc[[#This Row],[Ticker]],DQ$3:DQ$96,DS$3:DS$96)</f>
        <v>-44.67</v>
      </c>
      <c r="E82" s="121">
        <f t="shared" ca="1" si="7"/>
        <v>-93807</v>
      </c>
      <c r="F82" s="82">
        <f ca="1">TabCalc[[#This Row],[NAfter]]*TabCalc[[#This Row],[M]]*TabCalc[[#This Row],[Scale]]</f>
        <v>38184</v>
      </c>
      <c r="G82" s="82">
        <f ca="1">IFERROR(TabCalc[[#This Row],[SB]]-TabCalc[[#This Row],[SST]],TabCalc[[#This Row],[SB]])</f>
        <v>1200</v>
      </c>
      <c r="H82" s="532" t="str">
        <f ca="1">[1]!RTData[[#This Row],[Ticker_Symbol]]</f>
        <v>LUV</v>
      </c>
      <c r="I82" s="383">
        <f ca="1">_xlfn.XLOOKUP(TabCalc[[#This Row],[Ticker]],[1]!RTData[Ticker_Symbol],[1]!RTData[M-Price])</f>
        <v>31.82</v>
      </c>
      <c r="J82" s="382">
        <v>30.697399999999998</v>
      </c>
      <c r="K82" s="381">
        <f ca="1">_xlfn.XLOOKUP(TabCalc[[#This Row],[Ticker]],[1]!RTData[Ticker_Symbol],[1]!RTData[1YT])</f>
        <v>34.073680000000003</v>
      </c>
      <c r="L82" s="382">
        <f ca="1">IF(OR(TabCalc[[#This Row],[NAfter]]=0,TabCalc[[#This Row],[EfCost]]&gt;0),0,TabCalc[[#This Row],[EfCost]]/TabCalc[[#This Row],[NAfter]]/TabCalc[[#This Row],[Scale]])</f>
        <v>-48.292275975000003</v>
      </c>
      <c r="M82" s="732">
        <f ca="1">_xlfn.XLOOKUP(TabCalc[[#This Row],[Ticker]],[1]!RTData[Ticker_Symbol],[1]!RTData[Change%])</f>
        <v>-4.3800000000000002E-3</v>
      </c>
      <c r="N82" s="1065">
        <v>0</v>
      </c>
      <c r="O82" s="892">
        <f>TabCalc[[#This Row],[Up20]]-1+TabCalc[[#This Row],[Up20]]</f>
        <v>-1</v>
      </c>
      <c r="P82" s="892">
        <f>TabCalc[[#This Row],[Up20]]-TabCalc[[#This Row],[Up150]]</f>
        <v>-0.42857142857142855</v>
      </c>
      <c r="Q82" s="892">
        <v>0.42857142857142855</v>
      </c>
      <c r="R82" s="892">
        <f>TabCalc[[#This Row],[Up150]]-1+TabCalc[[#This Row],[Up150]]</f>
        <v>-0.14285714285714285</v>
      </c>
      <c r="S82" s="892">
        <f ca="1">IFERROR(SUMPRODUCT(DataShift!F1574:Z1574,DataShift!AB781:AV781)/SQRT(SUMPRODUCT(DataShift!F1574:Z1574,DataShift!F1574:Z1574)*SUMPRODUCT(DataShift!AB781:AV781,DataShift!AB781:AV781)),0)</f>
        <v>-0.71751795903449855</v>
      </c>
      <c r="T82" s="892">
        <f ca="1">IFERROR(SUMPRODUCT(DataShift!F1574:Z1574,DataShift!F781:Z781)/SQRT(SUMPRODUCT(DataShift!F1574:Z1574,DataShift!F1574:Z1574)*SUMPRODUCT(DataShift!F781:Z781,DataShift!F781:Z781)),0)</f>
        <v>5.9405628907458222E-2</v>
      </c>
      <c r="U82" s="1004">
        <v>1200</v>
      </c>
      <c r="V82" s="1004">
        <v>0</v>
      </c>
      <c r="W82" s="1004">
        <v>0</v>
      </c>
      <c r="X82" s="892"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1347.1200000000024</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-2424.0000000000036</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2191.8299999999958</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-6560.0000000000018</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-636</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77">
        <f ca="1">TabCalc[[#This Row],[Y]]/TabCalc[[#This Row],[M]]</f>
        <v>1.0708258956631052</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-1.0557413604261724E-2</v>
      </c>
      <c r="AY82" s="82">
        <f t="shared" ca="1" si="8"/>
        <v>900</v>
      </c>
      <c r="AZ82" s="90">
        <f ca="1">_xlfn.XLOOKUP(TabCalc[[#This Row],[Ticker]],[1]!RTData[Ticker_Symbol],[1]!RTData[V/VA])</f>
        <v>0.20642376670487633</v>
      </c>
      <c r="BA82" s="90" t="str" cm="1">
        <f t="array" aca="1" ref="BA82" ca="1">IFERROR(_xlfn.IFS(TabCalc[[#This Row],[Cur]]="USD",Timer!F$27,                TabCalc[[#This Row],[Cur]]="EUR",Timer!F$18,                  TabCalc[[#This Row],[Cur]]="GBP",Timer!F$12,                          TabCalc[[#This Row],[Cur]]="CAD",Timer!F$27,                TabCalc[[#This Row],[Cur]]="JPY",Timer!F$31,                      TabCalc[[#This Row],[Cur]]="CHF",Timer!F$18),"Timing")</f>
        <v>Closed</v>
      </c>
      <c r="BB82" s="90">
        <f ca="1">IF(ISNUMBER(TabCalc[[#This Row],[TimeEX]]),TabCalc[[#This Row],[V/VA]]/TabCalc[[#This Row],[TimeEX]],TabCalc[[#This Row],[V/VA]])</f>
        <v>0.20642376670487633</v>
      </c>
      <c r="BC82" s="87" cm="1">
        <f t="array" aca="1" ref="BC82" ca="1">INDEX(TabReg[], 1, _xlfn.XMATCH(TabCalc[[#This Row],[Ticker]]&amp;1, TabReg[#Headers], 0))</f>
        <v>2100</v>
      </c>
      <c r="BD82" s="159">
        <f ca="1">TabCalc[[#This Row],[Nbegin]]*TabCalc[[#This Row],[M]]*TabCalc[[#This Row],[Scale]]+TabCalc[[#This Row],[ValueBegin]]</f>
        <v>-26985</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-55623</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K82" s="159" cm="1">
        <f t="array" aca="1" ref="BK82" ca="1">SUMPRODUCT(ISNUMBER(INDIRECT("TabReg["&amp;TabCalc[[#This Row],[Ticker]]&amp;"2]"))* INDIRECT("TabReg["&amp;TabCalc[[#This Row],[Ticker]]&amp;"1]") * INDIRECT("TabReg["&amp;TabCalc[[#This Row],[Ticker]]&amp;"2]") )*TabCalc[[#This Row],[Scale]]*(1+Commission)</f>
        <v>-57950.731169999999</v>
      </c>
      <c r="BL82" s="159">
        <f ca="1">TabCalc[[#This Row],[M_V]]*(1-Commission)+TabCalc[[#This Row],[EfCost]]</f>
        <v>-19866.009570000002</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78.97</v>
      </c>
      <c r="BR82" s="174" t="str">
        <f ca="1">IF(TabCalc[[#This Row],[EfCost]]+TabCalc[[#This Row],[M_V]]&lt;TabCalc[[#This Row],[NoT_GL]],"Pile","")</f>
        <v/>
      </c>
      <c r="BS82" s="165">
        <f ca="1">_xlfn.XLOOKUP(TabCalc[[#This Row],[Ticker]],[1]!RTData[Ticker_Symbol],[1]!RTData[Last trade time])</f>
        <v>45980.727174235937</v>
      </c>
      <c r="BT82" s="175">
        <f ca="1">(TabCalc[[#This Row],[ValueBegin]]+(TabCalc[[#This Row],[M]]-TabCalc[[#This Row],[A]])*TabCalc[[#This Row],[NAfter]])*TabCalc[[#This Row],[Scale]]</f>
        <v>-92459.88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1347.1200000000024</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2737.4385787218948</v>
      </c>
      <c r="CV82" s="404">
        <f ca="1">IF(TabCalc[[#This Row],[ntoBuy]]*TabCalc[[#This Row],[M]]&lt;=0,0,TabCalc[[#This Row],[ntoBuy]]*TabCalc[[#This Row],[M]])</f>
        <v>87105.2955749307</v>
      </c>
      <c r="CW82" s="404">
        <f ca="1">IF(TabCalc[[#This Row],[M]]&gt;ABS(TabCalc[[#This Row],[L_Bp]]),MIN(TabCalc[[#This Row],[NAfter]],DesiredSaleGain/(TabCalc[[#This Row],[M]]+TabCalc[[#This Row],[L_Bp]])),0)/TabCalc[[#This Row],[Scale]]</f>
        <v>1200</v>
      </c>
      <c r="CX82" s="405">
        <f ca="1">TabCalc[[#This Row],[ntoSell]]*TabCalc[[#This Row],[M]]</f>
        <v>38184</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1347.1200000000024</v>
      </c>
      <c r="DB82" s="90">
        <f ca="1">IFERROR((TabCalc[[#This Row],[M]]+TabCalc[[#This Row],[L_Bp]])/ABS(TabCalc[[#This Row],[L_Bp]])/(TODAY()-TabCalc[[#This Row],[L_Bdate]])*360,"")</f>
        <v>4.508614401416005E-2</v>
      </c>
      <c r="DC82" s="310">
        <f ca="1">MEDIAN(DataShift!F781:Z781)</f>
        <v>1.7280000000000002E-3</v>
      </c>
      <c r="DD82" s="310" t="e"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2" s="87">
        <f ca="1">TabCalc[[#This Row],[Nbegin]]*TabCalc[[#This Row],[Scale]]*TabCalc[[#This Row],[M]]</f>
        <v>66822</v>
      </c>
      <c r="DF82" s="87" cm="1">
        <f t="array" aca="1" ref="DF82" ca="1">SUMPRODUCT(ISNUMBER(INDIRECT("TabReg["&amp;TabCalc[[#This Row],[Ticker]]&amp;"2]"))* INDIRECT("TabReg["&amp;TabCalc[[#This Row],[Ticker]]&amp;"1]") * INDIRECT("TabReg["&amp;TabCalc[[#This Row],[Ticker]]&amp;"2]") )*TabCalc[[#This Row],[Scale]]</f>
        <v>-57800.450000000004</v>
      </c>
      <c r="DI82" s="87">
        <f ca="1"/>
        <v>17266.5</v>
      </c>
      <c r="DJ82" s="90">
        <f t="shared" ca="1" si="6"/>
        <v>-0.34268778414839784</v>
      </c>
      <c r="DK82" t="str">
        <f ca="1">_xlfn.XLOOKUP(DI82,TabCalc[Column1],TabCalc[Ticker])</f>
        <v>NVAX</v>
      </c>
      <c r="DL82" s="87">
        <f ca="1">_xlfn.XLOOKUP(DK82,TabCalc[Ticker],TabCalc[ValueBegin])</f>
        <v>-160110</v>
      </c>
      <c r="DM82" s="87">
        <f ca="1">_xlfn.XLOOKUP(DK82,TabCalc[Ticker],TabCalc[M_V])</f>
        <v>28777.499999999996</v>
      </c>
      <c r="DN82" s="87">
        <f ca="1">_xlfn.XLOOKUP(DK82,TabCalc[Ticker],TabCalc[GL])</f>
        <v>-54867.741119999977</v>
      </c>
      <c r="DO82" s="90"/>
      <c r="DP82" s="90"/>
      <c r="DQ82" s="88" t="s">
        <v>78</v>
      </c>
      <c r="DR82" s="81">
        <v>30000</v>
      </c>
      <c r="DS82" s="315">
        <v>-7.04</v>
      </c>
      <c r="DU82" s="82">
        <v>35604</v>
      </c>
      <c r="DV82" s="82">
        <f ca="1">DU82-TabCalc[[#This Row],[M_V]]</f>
        <v>-2580</v>
      </c>
    </row>
    <row r="83" spans="1:126" x14ac:dyDescent="0.3">
      <c r="A83" s="120" t="str">
        <f ca="1">_xlfn.XLOOKUP(TabCalc[[#This Row],[Ticker]],[1]!RTData[Ticker_Symbol],[1]!RTData[Currency])</f>
        <v>USD</v>
      </c>
      <c r="B83" s="121">
        <f ca="1">IF(TabCalc[[#This Row],[Cur]]="GBP",0.01,1)</f>
        <v>1</v>
      </c>
      <c r="C83" s="82">
        <f ca="1">_xlfn.XLOOKUP(TabCalc[[#This Row],[Ticker]],DQ$3:DQ$96,DR$3:DR$96)</f>
        <v>330</v>
      </c>
      <c r="D83" s="1142">
        <f ca="1">_xlfn.XLOOKUP(TabCalc[[#This Row],[Ticker]],DQ$3:DQ$96,DS$3:DS$96)</f>
        <v>-353.12</v>
      </c>
      <c r="E83" s="121">
        <f t="shared" ca="1" si="7"/>
        <v>-116529.60000000001</v>
      </c>
      <c r="F83" s="82">
        <f ca="1">TabCalc[[#This Row],[NAfter]]*TabCalc[[#This Row],[M]]*TabCalc[[#This Row],[Scale]]</f>
        <v>105216.5</v>
      </c>
      <c r="G83" s="82">
        <f ca="1">IFERROR(TabCalc[[#This Row],[SB]]-TabCalc[[#This Row],[SST]],TabCalc[[#This Row],[SB]])</f>
        <v>200</v>
      </c>
      <c r="H83" s="532" t="str">
        <f ca="1">[1]!RTData[[#This Row],[Ticker_Symbol]]</f>
        <v>MA</v>
      </c>
      <c r="I83" s="383">
        <f ca="1">_xlfn.XLOOKUP(TabCalc[[#This Row],[Ticker]],[1]!RTData[Ticker_Symbol],[1]!RTData[M-Price])</f>
        <v>526.08249999999998</v>
      </c>
      <c r="J83" s="382">
        <v>556.35</v>
      </c>
      <c r="K83" s="381">
        <f ca="1">_xlfn.XLOOKUP(TabCalc[[#This Row],[Ticker]],[1]!RTData[Ticker_Symbol],[1]!RTData[1YT])</f>
        <v>655.20569999999998</v>
      </c>
      <c r="L83" s="382">
        <f ca="1">IF(OR(TabCalc[[#This Row],[NAfter]]=0,TabCalc[[#This Row],[EfCost]]&gt;0),0,TabCalc[[#This Row],[EfCost]]/TabCalc[[#This Row],[NAfter]]/TabCalc[[#This Row],[Scale]])</f>
        <v>-314.06565813300006</v>
      </c>
      <c r="M83" s="732">
        <f ca="1">_xlfn.XLOOKUP(TabCalc[[#This Row],[Ticker]],[1]!RTData[Ticker_Symbol],[1]!RTData[Change%])</f>
        <v>-2.8379999999999998E-3</v>
      </c>
      <c r="N83" s="1065">
        <v>0</v>
      </c>
      <c r="O83" s="892">
        <f>TabCalc[[#This Row],[Up20]]-1+TabCalc[[#This Row],[Up20]]</f>
        <v>-1</v>
      </c>
      <c r="P83" s="892">
        <f>TabCalc[[#This Row],[Up20]]-TabCalc[[#This Row],[Up150]]</f>
        <v>-0.125</v>
      </c>
      <c r="Q83" s="892">
        <v>0.125</v>
      </c>
      <c r="R83" s="892">
        <f>TabCalc[[#This Row],[Up150]]-1+TabCalc[[#This Row],[Up150]]</f>
        <v>-0.75</v>
      </c>
      <c r="S83" s="892">
        <f ca="1">IFERROR(SUMPRODUCT(DataShift!F1575:Z1575,DataShift!AB782:AV782)/SQRT(SUMPRODUCT(DataShift!F1575:Z1575,DataShift!F1575:Z1575)*SUMPRODUCT(DataShift!AB782:AV782,DataShift!AB782:AV782)),0)</f>
        <v>-0.71056875393980967</v>
      </c>
      <c r="T83" s="892">
        <f ca="1">IFERROR(SUMPRODUCT(DataShift!F1575:Z1575,DataShift!F782:Z782)/SQRT(SUMPRODUCT(DataShift!F1575:Z1575,DataShift!F1575:Z1575)*SUMPRODUCT(DataShift!F782:Z782,DataShift!F782:Z782)),0)</f>
        <v>0.15108034806463494</v>
      </c>
      <c r="U83" s="1004">
        <v>100</v>
      </c>
      <c r="V83" s="1004">
        <v>100</v>
      </c>
      <c r="W83" s="1004">
        <v>0</v>
      </c>
      <c r="X83" s="892"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-3980.7500000000005</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-4145.4999999999927</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6659.7499999999964</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2058.7499999999977</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-443.49999999998545</v>
      </c>
      <c r="AQ83" s="334">
        <f ca="1">_xlfn.LET(_xlpm.MVToday,DataShift!AV583,         _xlpm.MVY,DataShift!AU583,        _xlpm.MVYY, DataShift!AT583,                                IF(_xlpm.MVToday=_xlpm.MVY,_xlpm.MVY-_xlpm.MVYY,_xlpm.MVToday-_xlpm.MVY))</f>
        <v>305.70460000000094</v>
      </c>
      <c r="AR83" s="334">
        <f ca="1">_xlfn.LET(_xlpm.MVToday,DataShift!AV583,         _xlpm.MVY,DataShift!AU583,        _xlpm.MVYY, DataShift!AT583,         _xlpm.MVYYY, DataShift!AS583,                      IF(_xlpm.MVToday=_xlpm.MVY,      _xlpm.MVYY-_xlpm.MVYYY,          _xlpm.MVY-_xlpm.MVYY))</f>
        <v>-2233.0402000000013</v>
      </c>
      <c r="AS83" s="977">
        <f ca="1">TabCalc[[#This Row],[Y]]/TabCalc[[#This Row],[M]]</f>
        <v>1.2454428725532591</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-6.2457028632678888</v>
      </c>
      <c r="AY83" s="82">
        <f t="shared" ca="1" si="8"/>
        <v>130</v>
      </c>
      <c r="AZ83" s="90">
        <f ca="1">_xlfn.XLOOKUP(TabCalc[[#This Row],[Ticker]],[1]!RTData[Ticker_Symbol],[1]!RTData[V/VA])</f>
        <v>0.37491543836259045</v>
      </c>
      <c r="BA83" s="90" t="str" cm="1">
        <f t="array" aca="1" ref="BA83" ca="1">IFERROR(_xlfn.IFS(TabCalc[[#This Row],[Cur]]="USD",Timer!F$27,                TabCalc[[#This Row],[Cur]]="EUR",Timer!F$18,                  TabCalc[[#This Row],[Cur]]="GBP",Timer!F$12,                          TabCalc[[#This Row],[Cur]]="CAD",Timer!F$27,                TabCalc[[#This Row],[Cur]]="JPY",Timer!F$31,                      TabCalc[[#This Row],[Cur]]="CHF",Timer!F$18),"Timing")</f>
        <v>Closed</v>
      </c>
      <c r="BB83" s="90">
        <f ca="1">IF(ISNUMBER(TabCalc[[#This Row],[TimeEX]]),TabCalc[[#This Row],[V/VA]]/TabCalc[[#This Row],[TimeEX]],TabCalc[[#This Row],[V/VA]])</f>
        <v>0.37491543836259045</v>
      </c>
      <c r="BC83" s="87" cm="1">
        <f t="array" aca="1" ref="BC83" ca="1">INDEX(TabReg[], 1, _xlfn.XMATCH(TabCalc[[#This Row],[Ticker]]&amp;1, TabReg[#Headers], 0))</f>
        <v>330</v>
      </c>
      <c r="BD83" s="159">
        <f ca="1">TabCalc[[#This Row],[Nbegin]]*TabCalc[[#This Row],[M]]*TabCalc[[#This Row],[Scale]]+TabCalc[[#This Row],[ValueBegin]]</f>
        <v>57077.625</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-11313.100000000006</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K83" s="159" cm="1">
        <f t="array" aca="1" ref="BK83" ca="1">SUMPRODUCT(ISNUMBER(INDIRECT("TabReg["&amp;TabCalc[[#This Row],[Ticker]]&amp;"2]"))* INDIRECT("TabReg["&amp;TabCalc[[#This Row],[Ticker]]&amp;"1]") * INDIRECT("TabReg["&amp;TabCalc[[#This Row],[Ticker]]&amp;"2]") )*TabCalc[[#This Row],[Scale]]*(1+Commission)</f>
        <v>-62813.131626600007</v>
      </c>
      <c r="BL83" s="159">
        <f ca="1">TabCalc[[#This Row],[M_V]]*(1-Commission)+TabCalc[[#This Row],[EfCost]]</f>
        <v>42129.805473399989</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502.24</v>
      </c>
      <c r="BR83" s="174" t="str">
        <f ca="1">IF(TabCalc[[#This Row],[EfCost]]+TabCalc[[#This Row],[M_V]]&lt;TabCalc[[#This Row],[NoT_GL]],"Pile","")</f>
        <v>Pile</v>
      </c>
      <c r="BS83" s="165">
        <f ca="1">_xlfn.XLOOKUP(TabCalc[[#This Row],[Ticker]],[1]!RTData[Ticker_Symbol],[1]!RTData[Last trade time])</f>
        <v>45980.727312719529</v>
      </c>
      <c r="BT83" s="175">
        <f ca="1">(TabCalc[[#This Row],[ValueBegin]]+(TabCalc[[#This Row],[M]]-TabCalc[[#This Row],[A]])*TabCalc[[#This Row],[NAfter]])*TabCalc[[#This Row],[Scale]]</f>
        <v>-122583.10000000002</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-6053.5000000000082</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75.077893314313641</v>
      </c>
      <c r="CV83" s="404">
        <f ca="1">IF(TabCalc[[#This Row],[ntoBuy]]*TabCalc[[#This Row],[M]]&lt;=0,0,TabCalc[[#This Row],[ntoBuy]]*TabCalc[[#This Row],[M]])</f>
        <v>39497.165809527403</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-6053.5000000000082</v>
      </c>
      <c r="DB83" s="90">
        <f ca="1">IFERROR((TabCalc[[#This Row],[M]]+TabCalc[[#This Row],[L_Bp]])/ABS(TabCalc[[#This Row],[L_Bp]])/(TODAY()-TabCalc[[#This Row],[L_Bdate]])*360,"")</f>
        <v>-0.45221749305140074</v>
      </c>
      <c r="DC83" s="310">
        <f ca="1">MEDIAN(DataShift!F782:Z782)</f>
        <v>-1.7441999999999999E-2</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173607.22500000001</v>
      </c>
      <c r="DF83" s="87" cm="1">
        <f t="array" aca="1" ref="DF83" ca="1">SUMPRODUCT(ISNUMBER(INDIRECT("TabReg["&amp;TabCalc[[#This Row],[Ticker]]&amp;"2]"))* INDIRECT("TabReg["&amp;TabCalc[[#This Row],[Ticker]]&amp;"1]") * INDIRECT("TabReg["&amp;TabCalc[[#This Row],[Ticker]]&amp;"2]") )*TabCalc[[#This Row],[Scale]]</f>
        <v>-62650.241000000009</v>
      </c>
      <c r="DI83" s="87">
        <f ca="1"/>
        <v>15030</v>
      </c>
      <c r="DJ83" s="90">
        <f t="shared" ca="1" si="6"/>
        <v>0.27037831556569397</v>
      </c>
      <c r="DK83" t="str">
        <f ca="1">_xlfn.XLOOKUP(DI83,TabCalc[Column1],TabCalc[Ticker])</f>
        <v>LUMN</v>
      </c>
      <c r="DL83" s="87">
        <f ca="1">_xlfn.XLOOKUP(DK83,TabCalc[Ticker],TabCalc[ValueBegin])</f>
        <v>-54753.100000000006</v>
      </c>
      <c r="DM83" s="87">
        <f ca="1">_xlfn.XLOOKUP(DK83,TabCalc[Ticker],TabCalc[M_V])</f>
        <v>75.149999999999991</v>
      </c>
      <c r="DN83" s="87">
        <f ca="1">_xlfn.XLOOKUP(DK83,TabCalc[Ticker],TabCalc[GL])</f>
        <v>14804.050949999999</v>
      </c>
      <c r="DO83" s="90"/>
      <c r="DP83" s="90"/>
      <c r="DQ83" s="88" t="s">
        <v>666</v>
      </c>
      <c r="DR83" s="82">
        <v>450</v>
      </c>
      <c r="DS83" s="315">
        <v>-262.89</v>
      </c>
      <c r="DU83" s="82">
        <v>110588.00000000001</v>
      </c>
      <c r="DV83" s="82">
        <f ca="1">DU83-TabCalc[[#This Row],[M_V]]</f>
        <v>5371.5000000000146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42">
        <f ca="1">_xlfn.XLOOKUP(TabCalc[[#This Row],[Ticker]],DQ$3:DQ$96,DS$3:DS$96)</f>
        <v>-59.3</v>
      </c>
      <c r="E84" s="121">
        <f t="shared" ca="1" si="7"/>
        <v>-160110</v>
      </c>
      <c r="F84" s="82">
        <f ca="1">TabCalc[[#This Row],[NAfter]]*TabCalc[[#This Row],[M]]*TabCalc[[#This Row],[Scale]]</f>
        <v>28777.499999999996</v>
      </c>
      <c r="G84" s="82">
        <f ca="1">IFERROR(TabCalc[[#This Row],[SB]]-TabCalc[[#This Row],[SST]],TabCalc[[#This Row],[SB]])</f>
        <v>4500</v>
      </c>
      <c r="H84" s="532" t="str">
        <f ca="1">[1]!RTData[[#This Row],[Ticker_Symbol]]</f>
        <v>NVAX</v>
      </c>
      <c r="I84" s="383">
        <f ca="1">_xlfn.XLOOKUP(TabCalc[[#This Row],[Ticker]],[1]!RTData[Ticker_Symbol],[1]!RTData[M-Price])</f>
        <v>6.3949999999999996</v>
      </c>
      <c r="J84" s="382">
        <v>9.7487999999999992</v>
      </c>
      <c r="K84" s="381">
        <f ca="1">_xlfn.XLOOKUP(TabCalc[[#This Row],[Ticker]],[1]!RTData[Ticker_Symbol],[1]!RTData[1YT])</f>
        <v>12.612500000000001</v>
      </c>
      <c r="L84" s="382">
        <f ca="1">IF(OR(TabCalc[[#This Row],[NAfter]]=0,TabCalc[[#This Row],[EfCost]]&gt;0),0,TabCalc[[#This Row],[EfCost]]/TabCalc[[#This Row],[NAfter]]/TabCalc[[#This Row],[Scale]])</f>
        <v>-18.571204359999992</v>
      </c>
      <c r="M84" s="732">
        <f ca="1">_xlfn.XLOOKUP(TabCalc[[#This Row],[Ticker]],[1]!RTData[Ticker_Symbol],[1]!RTData[Change%])</f>
        <v>-2.6636000000000003E-2</v>
      </c>
      <c r="N84" s="1065">
        <v>0</v>
      </c>
      <c r="O84" s="892">
        <f>TabCalc[[#This Row],[Up20]]-1+TabCalc[[#This Row],[Up20]]</f>
        <v>-1</v>
      </c>
      <c r="P84" s="892">
        <f>TabCalc[[#This Row],[Up20]]-TabCalc[[#This Row],[Up150]]</f>
        <v>-0.44444444444444442</v>
      </c>
      <c r="Q84" s="892">
        <v>0.44444444444444442</v>
      </c>
      <c r="R84" s="892">
        <f>TabCalc[[#This Row],[Up150]]-1+TabCalc[[#This Row],[Up150]]</f>
        <v>-0.11111111111111116</v>
      </c>
      <c r="S84" s="892">
        <f ca="1">IFERROR(SUMPRODUCT(DataShift!F1576:Z1576,DataShift!AB783:AV783)/SQRT(SUMPRODUCT(DataShift!F1576:Z1576,DataShift!F1576:Z1576)*SUMPRODUCT(DataShift!AB783:AV783,DataShift!AB783:AV783)),0)</f>
        <v>-0.87889483430353188</v>
      </c>
      <c r="T84" s="892">
        <f ca="1">IFERROR(SUMPRODUCT(DataShift!F1576:Z1576,DataShift!F783:Z783)/SQRT(SUMPRODUCT(DataShift!F1576:Z1576,DataShift!F1576:Z1576)*SUMPRODUCT(DataShift!F783:Z783,DataShift!F783:Z783)),0)</f>
        <v>0.11747495047749185</v>
      </c>
      <c r="U84" s="1004">
        <v>0</v>
      </c>
      <c r="V84" s="1004">
        <v>4500</v>
      </c>
      <c r="W84" s="1004">
        <v>0</v>
      </c>
      <c r="X84" s="892"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7033.3999999999987</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-15092.099999999999</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14455.000000000002</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v>
      </c>
      <c r="AL84" s="212">
        <f ca="1">IFERROR(TabCalc[[#This Row],[L_S1n]]*(TabCalc[[#This Row],[L_S1p]]-TabCalc[[#This Row],[M]])*TabCalc[[#This Row],[Scale]],0)</f>
        <v>23098.5</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-967.50000000000364</v>
      </c>
      <c r="AQ84" s="334">
        <f ca="1">_xlfn.LET(_xlpm.MVToday,DataShift!AV584,         _xlpm.MVY,DataShift!AU584,        _xlpm.MVYY, DataShift!AT584,                                IF(_xlpm.MVToday=_xlpm.MVY,_xlpm.MVY-_xlpm.MVYY,_xlpm.MVToday-_xlpm.MVY))</f>
        <v>-168</v>
      </c>
      <c r="AR84" s="334">
        <f ca="1">_xlfn.LET(_xlpm.MVToday,DataShift!AV584,         _xlpm.MVY,DataShift!AU584,        _xlpm.MVYY, DataShift!AT584,         _xlpm.MVYYY, DataShift!AS584,                      IF(_xlpm.MVToday=_xlpm.MVY,      _xlpm.MVYY-_xlpm.MVYYY,          _xlpm.MVY-_xlpm.MVYY))</f>
        <v>-1050</v>
      </c>
      <c r="AS84" s="977">
        <f ca="1">TabCalc[[#This Row],[Y]]/TabCalc[[#This Row],[M]]</f>
        <v>1.9722439405785772</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-2.9799271960874427</v>
      </c>
      <c r="AY84" s="82">
        <f t="shared" ca="1" si="8"/>
        <v>0</v>
      </c>
      <c r="AZ84" s="90">
        <f ca="1">_xlfn.XLOOKUP(TabCalc[[#This Row],[Ticker]],[1]!RTData[Ticker_Symbol],[1]!RTData[V/VA])</f>
        <v>0.72210564714953263</v>
      </c>
      <c r="BA84" s="90" t="str" cm="1">
        <f t="array" aca="1" ref="BA84" ca="1">IFERROR(_xlfn.IFS(TabCalc[[#This Row],[Cur]]="USD",Timer!F$27,                TabCalc[[#This Row],[Cur]]="EUR",Timer!F$18,                  TabCalc[[#This Row],[Cur]]="GBP",Timer!F$12,                          TabCalc[[#This Row],[Cur]]="CAD",Timer!F$27,                TabCalc[[#This Row],[Cur]]="JPY",Timer!F$31,                      TabCalc[[#This Row],[Cur]]="CHF",Timer!F$18),"Timing")</f>
        <v>Closed</v>
      </c>
      <c r="BB84" s="90">
        <f ca="1">IF(ISNUMBER(TabCalc[[#This Row],[TimeEX]]),TabCalc[[#This Row],[V/VA]]/TabCalc[[#This Row],[TimeEX]],TabCalc[[#This Row],[V/VA]])</f>
        <v>0.72210564714953263</v>
      </c>
      <c r="BC84" s="87" cm="1">
        <f t="array" aca="1" ref="BC84" ca="1">INDEX(TabReg[], 1, _xlfn.XMATCH(TabCalc[[#This Row],[Ticker]]&amp;1, TabReg[#Headers], 0))</f>
        <v>2600</v>
      </c>
      <c r="BD84" s="159">
        <f ca="1">TabCalc[[#This Row],[Nbegin]]*TabCalc[[#This Row],[M]]*TabCalc[[#This Row],[Scale]]+TabCalc[[#This Row],[ValueBegin]]</f>
        <v>-142843.5</v>
      </c>
      <c r="BE84" s="334" t="str" cm="1">
        <f t="array" aca="1" ref="BE84" ca="1">_xlfn.IFS(TabCalc[[#This Row],[Cost+Gain]]&gt;0,"Free",             TabCalc[[#This Row],[GL]]&gt;0,"Gainer",                TRUE,"Looser")</f>
        <v>Looser</v>
      </c>
      <c r="BF84" s="159">
        <f ca="1">TabCalc[[#This Row],[Tot_Paid]]-TabCalc[[#This Row],[ValueBegin]]</f>
        <v>15165.421380000014</v>
      </c>
      <c r="BG84" s="335">
        <f ca="1">IF(TabCalc[[#This Row],[EfCost]]&gt;TabCalc[[#This Row],[ValueBegin]],       0,        TabCalc[[#This Row],[EfCost]]-TabCalc[[#This Row],[ValueBegin]]*(1+Commission))</f>
        <v>0</v>
      </c>
      <c r="BH84" s="336">
        <f ca="1">TabCalc[[#This Row],[M_V]]+TabCalc[[#This Row],[ValueBegin]]</f>
        <v>-131332.5</v>
      </c>
      <c r="BI84" s="159" cm="1">
        <f t="array" aca="1" ref="BI84" ca="1">SUMPRODUCT(_xlfn._xlws.FILTER(INDIRECT("TabReg["&amp;TabCalc[[#This Row],[Ticker]]&amp;"1]") * INDIRECT("TabReg["&amp;TabCalc[[#This Row],[Ticker]]&amp;"2]"), INDIRECT("TabReg["&amp;TabCalc[[#This Row],[Ticker]]&amp;"2]")&lt;0))*(1+Commission)*TabCalc[[#This Row],[Scale]]</f>
        <v>-144944.57861999999</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61055.841</v>
      </c>
      <c r="BK84" s="159" cm="1">
        <f t="array" aca="1" ref="BK84" ca="1">SUMPRODUCT(ISNUMBER(INDIRECT("TabReg["&amp;TabCalc[[#This Row],[Ticker]]&amp;"2]"))* INDIRECT("TabReg["&amp;TabCalc[[#This Row],[Ticker]]&amp;"1]") * INDIRECT("TabReg["&amp;TabCalc[[#This Row],[Ticker]]&amp;"2]") )*TabCalc[[#This Row],[Scale]]*(1+Commission)</f>
        <v>-83570.419619999971</v>
      </c>
      <c r="BL84" s="159">
        <f ca="1">TabCalc[[#This Row],[M_V]]*(1-Commission)+TabCalc[[#This Row],[EfCost]]</f>
        <v>-54867.741119999977</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17.65</v>
      </c>
      <c r="BR84" s="174" t="str">
        <f ca="1">IF(TabCalc[[#This Row],[EfCost]]+TabCalc[[#This Row],[M_V]]&lt;TabCalc[[#This Row],[NoT_GL]],"Pile","")</f>
        <v/>
      </c>
      <c r="BS84" s="165">
        <f ca="1">_xlfn.XLOOKUP(TabCalc[[#This Row],[Ticker]],[1]!RTData[Ticker_Symbol],[1]!RTData[Last trade time])</f>
        <v>45980.727216330466</v>
      </c>
      <c r="BT84" s="175">
        <f ca="1">(TabCalc[[#This Row],[ValueBegin]]+(TabCalc[[#This Row],[M]]-TabCalc[[#This Row],[A]])*TabCalc[[#This Row],[NAfter]])*TabCalc[[#This Row],[Scale]]</f>
        <v>-175202.1</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-15092.099999999999</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-38.729999999999997</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345.90107229332409</v>
      </c>
      <c r="CV84" s="404">
        <f ca="1">IF(TabCalc[[#This Row],[ntoBuy]]*TabCalc[[#This Row],[M]]&lt;=0,0,TabCalc[[#This Row],[ntoBuy]]*TabCalc[[#This Row],[M]])</f>
        <v>2212.0373573158076</v>
      </c>
      <c r="CW84" s="404">
        <f ca="1">IF(TabCalc[[#This Row],[M]]&gt;ABS(TabCalc[[#This Row],[L_Bp]]),MIN(TabCalc[[#This Row],[NAfter]],DesiredSaleGain/(TabCalc[[#This Row],[M]]+TabCalc[[#This Row],[L_Bp]])),0)/TabCalc[[#This Row],[Scale]]</f>
        <v>781.98310916484218</v>
      </c>
      <c r="CX84" s="405">
        <f ca="1">TabCalc[[#This Row],[ntoSell]]*TabCalc[[#This Row],[M]]</f>
        <v>5000.7819831091656</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-15092.099999999999</v>
      </c>
      <c r="DB84" s="90">
        <f ca="1">IFERROR((TabCalc[[#This Row],[M]]+TabCalc[[#This Row],[L_Bp]])/ABS(TabCalc[[#This Row],[L_Bp]])/(TODAY()-TabCalc[[#This Row],[L_Bdate]])*360,"")</f>
        <v>24229.894736842103</v>
      </c>
      <c r="DC84" s="310">
        <f ca="1">MEDIAN(DataShift!F783:Z783)</f>
        <v>-4.3800000000000002E-3</v>
      </c>
      <c r="DD84" s="310" t="e"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4" s="87">
        <f ca="1">TabCalc[[#This Row],[Nbegin]]*TabCalc[[#This Row],[Scale]]*TabCalc[[#This Row],[M]]</f>
        <v>17266.5</v>
      </c>
      <c r="DF84" s="87" cm="1">
        <f t="array" aca="1" ref="DF84" ca="1">SUMPRODUCT(ISNUMBER(INDIRECT("TabReg["&amp;TabCalc[[#This Row],[Ticker]]&amp;"2]"))* INDIRECT("TabReg["&amp;TabCalc[[#This Row],[Ticker]]&amp;"1]") * INDIRECT("TabReg["&amp;TabCalc[[#This Row],[Ticker]]&amp;"2]") )*TabCalc[[#This Row],[Scale]]</f>
        <v>-83353.699999999983</v>
      </c>
      <c r="DI84" s="87">
        <f ca="1"/>
        <v>12140</v>
      </c>
      <c r="DJ84" s="90">
        <f t="shared" ca="1" si="6"/>
        <v>-2.8192880124986153</v>
      </c>
      <c r="DK84" t="str">
        <f ca="1">_xlfn.XLOOKUP(DI84,TabCalc[Column1],TabCalc[Ticker])</f>
        <v>SAFMRNA</v>
      </c>
      <c r="DL84" s="87">
        <f ca="1">_xlfn.XLOOKUP(DK84,TabCalc[Ticker],TabCalc[ValueBegin])</f>
        <v>-63175</v>
      </c>
      <c r="DM84" s="87">
        <f ca="1">_xlfn.XLOOKUP(DK84,TabCalc[Ticker],TabCalc[M_V])</f>
        <v>121400</v>
      </c>
      <c r="DN84" s="87">
        <f ca="1">_xlfn.XLOOKUP(DK84,TabCalc[Ticker],TabCalc[GL])</f>
        <v>-178108.52018960001</v>
      </c>
      <c r="DO84" s="90"/>
      <c r="DP84" s="90"/>
      <c r="DQ84" s="88" t="s">
        <v>79</v>
      </c>
      <c r="DR84" s="81">
        <v>12000</v>
      </c>
      <c r="DS84" s="315">
        <v>-13.49</v>
      </c>
      <c r="DU84" s="82">
        <v>48815</v>
      </c>
      <c r="DV84" s="82">
        <f ca="1">DU84-TabCalc[[#This Row],[M_V]]</f>
        <v>20037.500000000004</v>
      </c>
    </row>
    <row r="85" spans="1:126" x14ac:dyDescent="0.3">
      <c r="A85" s="120" t="str">
        <f ca="1">_xlfn.XLOOKUP(TabCalc[[#This Row],[Ticker]],[1]!RTData[Ticker_Symbol],[1]!RTData[Currency])</f>
        <v>USD</v>
      </c>
      <c r="B85" s="121">
        <f ca="1">IF(TabCalc[[#This Row],[Cur]]="GBP",0.01,1)</f>
        <v>1</v>
      </c>
      <c r="C85" s="82">
        <f ca="1">_xlfn.XLOOKUP(TabCalc[[#This Row],[Ticker]],DQ$3:DQ$96,DR$3:DR$96)</f>
        <v>200</v>
      </c>
      <c r="D85" s="1142">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126.84</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-9.1400000000000006E-3</v>
      </c>
      <c r="N85" s="1065">
        <v>0</v>
      </c>
      <c r="O85" s="892">
        <f>TabCalc[[#This Row],[Up20]]-1+TabCalc[[#This Row],[Up20]]</f>
        <v>-1</v>
      </c>
      <c r="P85" s="892">
        <f>TabCalc[[#This Row],[Up20]]-TabCalc[[#This Row],[Up150]]</f>
        <v>0</v>
      </c>
      <c r="Q85" s="892">
        <v>0</v>
      </c>
      <c r="R85" s="892">
        <f>TabCalc[[#This Row],[Up150]]-1+TabCalc[[#This Row],[Up150]]</f>
        <v>-1</v>
      </c>
      <c r="S85" s="892">
        <f ca="1">IFERROR(SUMPRODUCT(DataShift!F1577:Z1577,DataShift!AB784:AV784)/SQRT(SUMPRODUCT(DataShift!F1577:Z1577,DataShift!F1577:Z1577)*SUMPRODUCT(DataShift!AB784:AV784,DataShift!AB784:AV784)),0)</f>
        <v>-0.9346936654448319</v>
      </c>
      <c r="T85" s="892">
        <f ca="1">IFERROR(SUMPRODUCT(DataShift!F1577:Z1577,DataShift!F784:Z784)/SQRT(SUMPRODUCT(DataShift!F1577:Z1577,DataShift!F1577:Z1577)*SUMPRODUCT(DataShift!F784:Z784,DataShift!F784:Z784)),0)</f>
        <v>7.1101005092446934E-2</v>
      </c>
      <c r="U85" s="1004">
        <v>200</v>
      </c>
      <c r="V85" s="1004">
        <v>0</v>
      </c>
      <c r="W85" s="1004">
        <v>0</v>
      </c>
      <c r="X85" s="892"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-9531.8000000000047</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-27439.999999999996</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-203.5</v>
      </c>
      <c r="AR85" s="334">
        <f ca="1">_xlfn.LET(_xlpm.MVToday,DataShift!AV585,         _xlpm.MVY,DataShift!AU585,        _xlpm.MVYY, DataShift!AT585,         _xlpm.MVYYY, DataShift!AS585,                      IF(_xlpm.MVToday=_xlpm.MVY,      _xlpm.MVYY-_xlpm.MVYYY,          _xlpm.MVY-_xlpm.MVYY))</f>
        <v>-3726</v>
      </c>
      <c r="AS85" s="977">
        <f ca="1">TabCalc[[#This Row],[Y]]/TabCalc[[#This Row],[M]]</f>
        <v>1.0048407442447176</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-1.4318430314321452E-5</v>
      </c>
      <c r="AY85" s="82">
        <f t="shared" ca="1" si="8"/>
        <v>200</v>
      </c>
      <c r="AZ85" s="90">
        <f ca="1">_xlfn.XLOOKUP(TabCalc[[#This Row],[Ticker]],[1]!RTData[Ticker_Symbol],[1]!RTData[V/VA])</f>
        <v>0.44179256424314578</v>
      </c>
      <c r="BA85" s="90" t="str" cm="1">
        <f t="array" aca="1" ref="BA85" ca="1">IFERROR(_xlfn.IFS(TabCalc[[#This Row],[Cur]]="USD",Timer!F$27,                TabCalc[[#This Row],[Cur]]="EUR",Timer!F$18,                  TabCalc[[#This Row],[Cur]]="GBP",Timer!F$12,                          TabCalc[[#This Row],[Cur]]="CAD",Timer!F$27,                TabCalc[[#This Row],[Cur]]="JPY",Timer!F$31,                      TabCalc[[#This Row],[Cur]]="CHF",Timer!F$18),"Timing")</f>
        <v>Closed</v>
      </c>
      <c r="BB85" s="90">
        <f ca="1">IF(ISNUMBER(TabCalc[[#This Row],[TimeEX]]),TabCalc[[#This Row],[V/VA]]/TabCalc[[#This Row],[TimeEX]],TabCalc[[#This Row],[V/VA]])</f>
        <v>0.44179256424314578</v>
      </c>
      <c r="BC85" s="87" cm="1">
        <f t="array" aca="1" ref="BC85" ca="1">INDEX(TabReg[], 1, _xlfn.XMATCH(TabCalc[[#This Row],[Ticker]]&amp;1, TabReg[#Headers], 0))</f>
        <v>200</v>
      </c>
      <c r="BD85" s="159">
        <f ca="1">TabCalc[[#This Row],[Nbegin]]*TabCalc[[#This Row],[M]]*TabCalc[[#This Row],[Scale]]+TabCalc[[#This Row],[ValueBegin]]</f>
        <v>8198</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K85" s="159" cm="1">
        <f t="array" aca="1" ref="BK85" ca="1">SUMPRODUCT(ISNUMBER(INDIRECT("TabReg["&amp;TabCalc[[#This Row],[Ticker]]&amp;"2]"))* INDIRECT("TabReg["&amp;TabCalc[[#This Row],[Ticker]]&amp;"1]") * INDIRECT("TabReg["&amp;TabCalc[[#This Row],[Ticker]]&amp;"2]") )*TabCalc[[#This Row],[Scale]]*(1+Commission)</f>
        <v>13598.057164139989</v>
      </c>
      <c r="BL85" s="159">
        <f ca="1">TabCalc[[#This Row],[M_V]]*(1-Commission)+TabCalc[[#This Row],[EfCost]]</f>
        <v>13598.057164139989</v>
      </c>
      <c r="BM85" s="159">
        <f ca="1">IF(        OR( TabCalc[[#This Row],[GL]]&gt;ABS(TabCalc[[#This Row],[EfCost]]),TabCalc[[#This Row],[NAfter]]=0),             TabCalc[[#This Row],[GL]],     0)</f>
        <v>13598.057164139989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45980.727253147656</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0.33366484956984194</v>
      </c>
      <c r="DC85" s="310">
        <f ca="1">MEDIAN(DataShift!F784:Z784)</f>
        <v>-1.771E-3</v>
      </c>
      <c r="DD85" s="310" t="e"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5" s="87">
        <f ca="1">TabCalc[[#This Row],[Nbegin]]*TabCalc[[#This Row],[Scale]]*TabCalc[[#This Row],[M]]</f>
        <v>25368</v>
      </c>
      <c r="DF85" s="87" cm="1">
        <f t="array" aca="1" ref="DF85" ca="1">SUMPRODUCT(ISNUMBER(INDIRECT("TabReg["&amp;TabCalc[[#This Row],[Ticker]]&amp;"2]"))* INDIRECT("TabReg["&amp;TabCalc[[#This Row],[Ticker]]&amp;"1]") * INDIRECT("TabReg["&amp;TabCalc[[#This Row],[Ticker]]&amp;"2]") )*TabCalc[[#This Row],[Scale]]</f>
        <v>13562.79389999999</v>
      </c>
      <c r="DI85" s="87">
        <f ca="1"/>
        <v>11830</v>
      </c>
      <c r="DJ85" s="90">
        <f t="shared" ca="1" si="6"/>
        <v>-0.40858648359168853</v>
      </c>
      <c r="DK85" t="str">
        <f ca="1">_xlfn.XLOOKUP(DI85,TabCalc[Column1],TabCalc[Ticker])</f>
        <v>UNIT</v>
      </c>
      <c r="DL85" s="87">
        <f ca="1">_xlfn.XLOOKUP(DK85,TabCalc[Ticker],TabCalc[ValueBegin])</f>
        <v>-60640</v>
      </c>
      <c r="DM85" s="87">
        <f ca="1">_xlfn.XLOOKUP(DK85,TabCalc[Ticker],TabCalc[M_V])</f>
        <v>42795.025000000001</v>
      </c>
      <c r="DN85" s="87">
        <f ca="1">_xlfn.XLOOKUP(DK85,TabCalc[Ticker],TabCalc[GL])</f>
        <v>-24776.684364999994</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42">
        <f ca="1">_xlfn.XLOOKUP(TabCalc[[#This Row],[Ticker]],DQ$3:DQ$96,DS$3:DS$96)</f>
        <v>-12.54</v>
      </c>
      <c r="E86" s="121">
        <f t="shared" ca="1" si="7"/>
        <v>-96558</v>
      </c>
      <c r="F86" s="82">
        <f ca="1">TabCalc[[#This Row],[NAfter]]*TabCalc[[#This Row],[M]]*TabCalc[[#This Row],[Scale]]</f>
        <v>16536</v>
      </c>
      <c r="G86" s="82">
        <f ca="1">IFERROR(TabCalc[[#This Row],[SB]]-TabCalc[[#This Row],[SST]],TabCalc[[#This Row],[SB]])</f>
        <v>1200</v>
      </c>
      <c r="H86" s="532" t="str">
        <f ca="1">[1]!RTData[[#This Row],[Ticker_Symbol]]</f>
        <v>ORA</v>
      </c>
      <c r="I86" s="383">
        <f ca="1">_xlfn.XLOOKUP(TabCalc[[#This Row],[Ticker]],[1]!RTData[Ticker_Symbol],[1]!RTData[M-Price])</f>
        <v>13.78</v>
      </c>
      <c r="J86" s="382">
        <v>13.744999999999999</v>
      </c>
      <c r="K86" s="381">
        <f ca="1">_xlfn.XLOOKUP(TabCalc[[#This Row],[Ticker]],[1]!RTData[Ticker_Symbol],[1]!RTData[1YT])</f>
        <v>15.32222</v>
      </c>
      <c r="L86" s="382">
        <f ca="1">IF(OR(TabCalc[[#This Row],[NAfter]]=0,TabCalc[[#This Row],[EfCost]]&gt;0),0,TabCalc[[#This Row],[EfCost]]/TabCalc[[#This Row],[NAfter]]/TabCalc[[#This Row],[Scale]])</f>
        <v>-8.7968123999999897</v>
      </c>
      <c r="M86" s="732">
        <f ca="1">_xlfn.XLOOKUP(TabCalc[[#This Row],[Ticker]],[1]!RTData[Ticker_Symbol],[1]!RTData[Change%])</f>
        <v>-1.2894000000000001E-2</v>
      </c>
      <c r="N86" s="1065">
        <v>0</v>
      </c>
      <c r="O86" s="892">
        <f>TabCalc[[#This Row],[Up20]]-1+TabCalc[[#This Row],[Up20]]</f>
        <v>-1</v>
      </c>
      <c r="P86" s="892">
        <f>TabCalc[[#This Row],[Up20]]-TabCalc[[#This Row],[Up150]]</f>
        <v>-0.5</v>
      </c>
      <c r="Q86" s="892">
        <v>0.5</v>
      </c>
      <c r="R86" s="892">
        <f>TabCalc[[#This Row],[Up150]]-1+TabCalc[[#This Row],[Up150]]</f>
        <v>0</v>
      </c>
      <c r="S86" s="892">
        <f ca="1">IFERROR(SUMPRODUCT(DataShift!F1578:Z1578,DataShift!AB785:AV785)/SQRT(SUMPRODUCT(DataShift!F1578:Z1578,DataShift!F1578:Z1578)*SUMPRODUCT(DataShift!AB785:AV785,DataShift!AB785:AV785)),0)</f>
        <v>-0.75536798497580315</v>
      </c>
      <c r="T86" s="892">
        <f ca="1">IFERROR(SUMPRODUCT(DataShift!F1578:Z1578,DataShift!F785:Z785)/SQRT(SUMPRODUCT(DataShift!F1578:Z1578,DataShift!F1578:Z1578)*SUMPRODUCT(DataShift!F785:Z785,DataShift!F785:Z785)),0)</f>
        <v>0.41254450280323873</v>
      </c>
      <c r="U86" s="1004">
        <v>1200</v>
      </c>
      <c r="V86" s="1004">
        <v>0</v>
      </c>
      <c r="W86" s="1004">
        <v>0</v>
      </c>
      <c r="X86" s="892"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42.000000000000171</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4800</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-3500</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-3869.9999999999973</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-258</v>
      </c>
      <c r="AQ86" s="334">
        <f ca="1">_xlfn.LET(_xlpm.MVToday,DataShift!AV586,         _xlpm.MVY,DataShift!AU586,        _xlpm.MVYY, DataShift!AT586,                                IF(_xlpm.MVToday=_xlpm.MVY,_xlpm.MVY-_xlpm.MVYY,_xlpm.MVToday-_xlpm.MVY))</f>
        <v>-787.50000000000364</v>
      </c>
      <c r="AR86" s="334">
        <f ca="1">_xlfn.LET(_xlpm.MVToday,DataShift!AV586,         _xlpm.MVY,DataShift!AU586,        _xlpm.MVYY, DataShift!AT586,         _xlpm.MVYYY, DataShift!AS586,                      IF(_xlpm.MVToday=_xlpm.MVY,      _xlpm.MVYY-_xlpm.MVYYY,          _xlpm.MVY-_xlpm.MVYY))</f>
        <v>-15740</v>
      </c>
      <c r="AS86" s="977">
        <f ca="1">TabCalc[[#This Row],[Y]]/TabCalc[[#This Row],[M]]</f>
        <v>1.1119172714078376</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-1.7372730451519828E-2</v>
      </c>
      <c r="AY86" s="82">
        <f t="shared" ca="1" si="8"/>
        <v>6500</v>
      </c>
      <c r="AZ86" s="90">
        <f ca="1">_xlfn.XLOOKUP(TabCalc[[#This Row],[Ticker]],[1]!RTData[Ticker_Symbol],[1]!RTData[V/VA])</f>
        <v>1.2898279166741773</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1.2898279166741773</v>
      </c>
      <c r="BC86" s="87" cm="1">
        <f t="array" aca="1" ref="BC86" ca="1">INDEX(TabReg[], 1, _xlfn.XMATCH(TabCalc[[#This Row],[Ticker]]&amp;1, TabReg[#Headers], 0))</f>
        <v>7700</v>
      </c>
      <c r="BD86" s="159">
        <f ca="1">TabCalc[[#This Row],[Nbegin]]*TabCalc[[#This Row],[M]]*TabCalc[[#This Row],[Scale]]+TabCalc[[#This Row],[ValueBegin]]</f>
        <v>9548</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-80022</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K86" s="159" cm="1">
        <f t="array" aca="1" ref="BK86" ca="1">SUMPRODUCT(ISNUMBER(INDIRECT("TabReg["&amp;TabCalc[[#This Row],[Ticker]]&amp;"2]"))* INDIRECT("TabReg["&amp;TabCalc[[#This Row],[Ticker]]&amp;"1]") * INDIRECT("TabReg["&amp;TabCalc[[#This Row],[Ticker]]&amp;"2]") )*TabCalc[[#This Row],[Scale]]*(1+Commission)</f>
        <v>-10556.174879999988</v>
      </c>
      <c r="BL86" s="159">
        <f ca="1">TabCalc[[#This Row],[M_V]]*(1-Commission)+TabCalc[[#This Row],[EfCost]]</f>
        <v>5936.8315200000106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45980.708333333336</v>
      </c>
      <c r="BT86" s="175">
        <f ca="1">(TabCalc[[#This Row],[ValueBegin]]+(TabCalc[[#This Row],[M]]-TabCalc[[#This Row],[A]])*TabCalc[[#This Row],[NAfter]])*TabCalc[[#This Row],[Scale]]</f>
        <v>-96516</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42.000000000000171</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16536</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42.000000000000171</v>
      </c>
      <c r="DB86" s="90">
        <f ca="1">IFERROR((TabCalc[[#This Row],[M]]+TabCalc[[#This Row],[L_Bp]])/ABS(TabCalc[[#This Row],[L_Bp]])/(TODAY()-TabCalc[[#This Row],[L_Bdate]])*360,"")</f>
        <v>1.5027819356069928E-2</v>
      </c>
      <c r="DC86" s="310">
        <f ca="1">MEDIAN(DataShift!F785:Z785)</f>
        <v>-1.5134000000000002E-2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106106</v>
      </c>
      <c r="DF86" s="87" cm="1">
        <f t="array" aca="1" ref="DF86" ca="1">SUMPRODUCT(ISNUMBER(INDIRECT("TabReg["&amp;TabCalc[[#This Row],[Ticker]]&amp;"2]"))* INDIRECT("TabReg["&amp;TabCalc[[#This Row],[Ticker]]&amp;"1]") * INDIRECT("TabReg["&amp;TabCalc[[#This Row],[Ticker]]&amp;"2]") )*TabCalc[[#This Row],[Scale]]</f>
        <v>-10528.799999999988</v>
      </c>
      <c r="DI86" s="87">
        <f ca="1"/>
        <v>9960</v>
      </c>
      <c r="DJ86" s="90">
        <f t="shared" ca="1" si="6"/>
        <v>8.2361790807010404</v>
      </c>
      <c r="DK86" t="str">
        <f ca="1">_xlfn.XLOOKUP(DI86,TabCalc[Column1],TabCalc[Ticker])</f>
        <v>C</v>
      </c>
      <c r="DL86" s="87">
        <f ca="1">_xlfn.XLOOKUP(DK86,TabCalc[Ticker],TabCalc[ValueBegin])</f>
        <v>-4907</v>
      </c>
      <c r="DM86" s="87">
        <f ca="1">_xlfn.XLOOKUP(DK86,TabCalc[Ticker],TabCalc[M_V])</f>
        <v>10458</v>
      </c>
      <c r="DN86" s="87">
        <f ca="1">_xlfn.XLOOKUP(DK86,TabCalc[Ticker],TabCalc[GL])</f>
        <v>40414.930749000006</v>
      </c>
      <c r="DO86" s="90"/>
      <c r="DP86" s="90"/>
      <c r="DQ86" s="88" t="s">
        <v>81</v>
      </c>
      <c r="DR86" s="81">
        <v>5353</v>
      </c>
      <c r="DS86" s="315">
        <v>-47.08</v>
      </c>
      <c r="DU86" s="82">
        <v>16458</v>
      </c>
      <c r="DV86" s="82">
        <f ca="1">DU86-TabCalc[[#This Row],[M_V]]</f>
        <v>-78</v>
      </c>
    </row>
    <row r="87" spans="1:126" x14ac:dyDescent="0.3">
      <c r="A87" s="120" t="str">
        <f ca="1">_xlfn.XLOOKUP(TabCalc[[#This Row],[Ticker]],[1]!RTData[Ticker_Symbol],[1]!RTData[Currency])</f>
        <v>USD</v>
      </c>
      <c r="B87" s="121">
        <f ca="1">IF(TabCalc[[#This Row],[Cur]]="GBP",0.01,1)</f>
        <v>1</v>
      </c>
      <c r="C87" s="82">
        <f ca="1">_xlfn.XLOOKUP(TabCalc[[#This Row],[Ticker]],DQ$3:DQ$96,DR$3:DR$96)</f>
        <v>1100</v>
      </c>
      <c r="D87" s="1142">
        <f ca="1">_xlfn.XLOOKUP(TabCalc[[#This Row],[Ticker]],DQ$3:DQ$96,DS$3:DS$96)</f>
        <v>-71.47</v>
      </c>
      <c r="E87" s="121">
        <f t="shared" ca="1" si="7"/>
        <v>-78617</v>
      </c>
      <c r="F87" s="82">
        <f ca="1">TabCalc[[#This Row],[NAfter]]*TabCalc[[#This Row],[M]]*TabCalc[[#This Row],[Scale]]</f>
        <v>165940</v>
      </c>
      <c r="G87" s="82">
        <f ca="1">IFERROR(TabCalc[[#This Row],[SB]]-TabCalc[[#This Row],[SST]],TabCalc[[#This Row],[SB]])</f>
        <v>4000</v>
      </c>
      <c r="H87" s="532" t="str">
        <f ca="1">[1]!RTData[[#This Row],[Ticker_Symbol]]</f>
        <v>OXY</v>
      </c>
      <c r="I87" s="383">
        <f ca="1">_xlfn.XLOOKUP(TabCalc[[#This Row],[Ticker]],[1]!RTData[Ticker_Symbol],[1]!RTData[M-Price])</f>
        <v>41.484999999999999</v>
      </c>
      <c r="J87" s="382">
        <v>54.334474999999998</v>
      </c>
      <c r="K87" s="381">
        <f ca="1">_xlfn.XLOOKUP(TabCalc[[#This Row],[Ticker]],[1]!RTData[Ticker_Symbol],[1]!RTData[1YT])</f>
        <v>49.913040000000002</v>
      </c>
      <c r="L87" s="382">
        <f ca="1">IF(OR(TabCalc[[#This Row],[NAfter]]=0,TabCalc[[#This Row],[EfCost]]&gt;0),0,TabCalc[[#This Row],[EfCost]]/TabCalc[[#This Row],[NAfter]]/TabCalc[[#This Row],[Scale]])</f>
        <v>-58.732013736899994</v>
      </c>
      <c r="M87" s="732">
        <f ca="1">_xlfn.XLOOKUP(TabCalc[[#This Row],[Ticker]],[1]!RTData[Ticker_Symbol],[1]!RTData[Change%])</f>
        <v>-2.4340999999999998E-2</v>
      </c>
      <c r="N87" s="1065">
        <v>0</v>
      </c>
      <c r="O87" s="892">
        <f>TabCalc[[#This Row],[Up20]]-1+TabCalc[[#This Row],[Up20]]</f>
        <v>-1</v>
      </c>
      <c r="P87" s="892">
        <f>TabCalc[[#This Row],[Up20]]-TabCalc[[#This Row],[Up150]]</f>
        <v>-0.1111111111111111</v>
      </c>
      <c r="Q87" s="892">
        <v>0.1111111111111111</v>
      </c>
      <c r="R87" s="892">
        <f>TabCalc[[#This Row],[Up150]]-1+TabCalc[[#This Row],[Up150]]</f>
        <v>-0.77777777777777768</v>
      </c>
      <c r="S87" s="892">
        <f ca="1">IFERROR(SUMPRODUCT(DataShift!F1579:Z1579,DataShift!AB786:AV786)/SQRT(SUMPRODUCT(DataShift!F1579:Z1579,DataShift!F1579:Z1579)*SUMPRODUCT(DataShift!AB786:AV786,DataShift!AB786:AV786)),0)</f>
        <v>0.90629540061613978</v>
      </c>
      <c r="T87" s="892">
        <f ca="1">IFERROR(SUMPRODUCT(DataShift!F1579:Z1579,DataShift!F786:Z786)/SQRT(SUMPRODUCT(DataShift!F1579:Z1579,DataShift!F1579:Z1579)*SUMPRODUCT(DataShift!F786:Z786,DataShift!F786:Z786)),0)</f>
        <v>-0.24925979378068291</v>
      </c>
      <c r="U87" s="1004">
        <v>0</v>
      </c>
      <c r="V87" s="1004">
        <v>4000</v>
      </c>
      <c r="W87" s="1004">
        <v>0</v>
      </c>
      <c r="X87" s="892"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2,098 = $ 87,035</v>
      </c>
      <c r="Z87" s="211">
        <f ca="1">MIN(TabCalc[[#This Row],[L_Bn]],TabCalc[[#This Row],[NAfter]])*(TabCalc[[#This Row],[M]]+TabCalc[[#This Row],[L_Bp]])*TabCalc[[#This Row],[Scale]]</f>
        <v>-5755.0000000000027</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-5944.5000000000036</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10375</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42830.399999999994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300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77">
        <f ca="1">TabCalc[[#This Row],[Y]]/TabCalc[[#This Row],[M]]</f>
        <v>1.2031587320718333</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-0.28911767860802839</v>
      </c>
      <c r="AY87" s="82">
        <f t="shared" ca="1" si="8"/>
        <v>0</v>
      </c>
      <c r="AZ87" s="90">
        <f ca="1">_xlfn.XLOOKUP(TabCalc[[#This Row],[Ticker]],[1]!RTData[Ticker_Symbol],[1]!RTData[V/VA])</f>
        <v>0.35175595594262754</v>
      </c>
      <c r="BA87" s="90" t="str" cm="1">
        <f t="array" aca="1" ref="BA87" ca="1">IFERROR(_xlfn.IFS(TabCalc[[#This Row],[Cur]]="USD",Timer!F$27,                TabCalc[[#This Row],[Cur]]="EUR",Timer!F$18,                  TabCalc[[#This Row],[Cur]]="GBP",Timer!F$12,                          TabCalc[[#This Row],[Cur]]="CAD",Timer!F$27,                TabCalc[[#This Row],[Cur]]="JPY",Timer!F$31,                      TabCalc[[#This Row],[Cur]]="CHF",Timer!F$18),"Timing")</f>
        <v>Closed</v>
      </c>
      <c r="BB87" s="90">
        <f ca="1">IF(ISNUMBER(TabCalc[[#This Row],[TimeEX]]),TabCalc[[#This Row],[V/VA]]/TabCalc[[#This Row],[TimeEX]],TabCalc[[#This Row],[V/VA]])</f>
        <v>0.35175595594262754</v>
      </c>
      <c r="BC87" s="87" cm="1">
        <f t="array" aca="1" ref="BC87" ca="1">INDEX(TabReg[], 1, _xlfn.XMATCH(TabCalc[[#This Row],[Ticker]]&amp;1, TabReg[#Headers], 0))</f>
        <v>1100</v>
      </c>
      <c r="BD87" s="159">
        <f ca="1">TabCalc[[#This Row],[Nbegin]]*TabCalc[[#This Row],[M]]*TabCalc[[#This Row],[Scale]]+TabCalc[[#This Row],[ValueBegin]]</f>
        <v>-32983.5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-156106.65074759998</v>
      </c>
      <c r="BH87" s="336">
        <f ca="1">TabCalc[[#This Row],[M_V]]+TabCalc[[#This Row],[ValueBegin]]</f>
        <v>87323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K87" s="159" cm="1">
        <f t="array" aca="1" ref="BK87" ca="1">SUMPRODUCT(ISNUMBER(INDIRECT("TabReg["&amp;TabCalc[[#This Row],[Ticker]]&amp;"2]"))* INDIRECT("TabReg["&amp;TabCalc[[#This Row],[Ticker]]&amp;"1]") * INDIRECT("TabReg["&amp;TabCalc[[#This Row],[Ticker]]&amp;"2]") )*TabCalc[[#This Row],[Scale]]*(1+Commission)</f>
        <v>-234928.05494759997</v>
      </c>
      <c r="BL87" s="159">
        <f ca="1">TabCalc[[#This Row],[M_V]]*(1-Commission)+TabCalc[[#This Row],[EfCost]]</f>
        <v>-69419.49894759999</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90.35</v>
      </c>
      <c r="BR87" s="174" t="str">
        <f ca="1">IF(TabCalc[[#This Row],[EfCost]]+TabCalc[[#This Row],[M_V]]&lt;TabCalc[[#This Row],[NoT_GL]],"Pile","")</f>
        <v>Pile</v>
      </c>
      <c r="BS87" s="165">
        <f ca="1">_xlfn.XLOOKUP(TabCalc[[#This Row],[Ticker]],[1]!RTData[Ticker_Symbol],[1]!RTData[Last trade time])</f>
        <v>45980.727249536722</v>
      </c>
      <c r="BT87" s="175">
        <f ca="1">(TabCalc[[#This Row],[ValueBegin]]+(TabCalc[[#This Row],[M]]-TabCalc[[#This Row],[A]])*TabCalc[[#This Row],[NAfter]])*TabCalc[[#This Row],[Scale]]</f>
        <v>-130014.9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-51397.899999999994</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481.92771084337352</v>
      </c>
      <c r="CV87" s="404">
        <f ca="1">IF(TabCalc[[#This Row],[ntoBuy]]*TabCalc[[#This Row],[M]]&lt;=0,0,TabCalc[[#This Row],[ntoBuy]]*TabCalc[[#This Row],[M]])</f>
        <v>19992.77108433735</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-51397.899999999994</v>
      </c>
      <c r="DB87" s="90">
        <f ca="1">IFERROR((TabCalc[[#This Row],[M]]+TabCalc[[#This Row],[L_Bp]])/ABS(TabCalc[[#This Row],[L_Bp]])/(TODAY()-TabCalc[[#This Row],[L_Bdate]])*360,"")</f>
        <v>-0.17755830336604886</v>
      </c>
      <c r="DC87" s="310">
        <f ca="1">MEDIAN(DataShift!F786:Z786)</f>
        <v>6.8519999999999996E-4</v>
      </c>
      <c r="DD87" s="310" t="e"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7" s="87">
        <f ca="1">TabCalc[[#This Row],[Nbegin]]*TabCalc[[#This Row],[Scale]]*TabCalc[[#This Row],[M]]</f>
        <v>45633.5</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-0.59189918385059648</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-21904.963563000005</v>
      </c>
      <c r="DO87" s="90"/>
      <c r="DP87" s="90"/>
      <c r="DQ87" s="88" t="s">
        <v>82</v>
      </c>
      <c r="DR87" s="81">
        <v>330</v>
      </c>
      <c r="DS87" s="315">
        <v>-353.12</v>
      </c>
      <c r="DU87" s="82">
        <v>160348</v>
      </c>
      <c r="DV87" s="82">
        <f ca="1">DU87-TabCalc[[#This Row],[M_V]]</f>
        <v>-5592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42">
        <f ca="1">_xlfn.XLOOKUP(TabCalc[[#This Row],[Ticker]],DQ$3:DQ$96,DS$3:DS$96)</f>
        <v>-41.52</v>
      </c>
      <c r="E88" s="121">
        <f t="shared" ca="1" si="7"/>
        <v>-53976.000000000007</v>
      </c>
      <c r="F88" s="82">
        <f ca="1">TabCalc[[#This Row],[NAfter]]*TabCalc[[#This Row],[M]]*TabCalc[[#This Row],[Scale]]</f>
        <v>40024</v>
      </c>
      <c r="G88" s="82">
        <f ca="1">IFERROR(TabCalc[[#This Row],[SB]]-TabCalc[[#This Row],[SST]],TabCalc[[#This Row],[SB]])</f>
        <v>1600</v>
      </c>
      <c r="H88" s="532" t="str">
        <f ca="1">[1]!RTData[[#This Row],[Ticker_Symbol]]</f>
        <v>PFE</v>
      </c>
      <c r="I88" s="383">
        <f ca="1">_xlfn.XLOOKUP(TabCalc[[#This Row],[Ticker]],[1]!RTData[Ticker_Symbol],[1]!RTData[M-Price])</f>
        <v>25.015000000000001</v>
      </c>
      <c r="J88" s="382">
        <v>24.94</v>
      </c>
      <c r="K88" s="381">
        <f ca="1">_xlfn.XLOOKUP(TabCalc[[#This Row],[Ticker]],[1]!RTData[Ticker_Symbol],[1]!RTData[1YT])</f>
        <v>28.751899999999999</v>
      </c>
      <c r="L88" s="382">
        <f ca="1">IF(OR(TabCalc[[#This Row],[NAfter]]=0,TabCalc[[#This Row],[EfCost]]&gt;0),0,TabCalc[[#This Row],[EfCost]]/TabCalc[[#This Row],[NAfter]]/TabCalc[[#This Row],[Scale]])</f>
        <v>-30.048597501749999</v>
      </c>
      <c r="M88" s="732">
        <f ca="1">_xlfn.XLOOKUP(TabCalc[[#This Row],[Ticker]],[1]!RTData[Ticker_Symbol],[1]!RTData[Change%])</f>
        <v>-1.7092E-2</v>
      </c>
      <c r="N88" s="1065">
        <v>0</v>
      </c>
      <c r="O88" s="892">
        <f>TabCalc[[#This Row],[Up20]]-1+TabCalc[[#This Row],[Up20]]</f>
        <v>-1</v>
      </c>
      <c r="P88" s="892">
        <f>TabCalc[[#This Row],[Up20]]-TabCalc[[#This Row],[Up150]]</f>
        <v>-0.4</v>
      </c>
      <c r="Q88" s="892">
        <v>0.4</v>
      </c>
      <c r="R88" s="892">
        <f>TabCalc[[#This Row],[Up150]]-1+TabCalc[[#This Row],[Up150]]</f>
        <v>-0.19999999999999996</v>
      </c>
      <c r="S88" s="892">
        <f ca="1">IFERROR(SUMPRODUCT(DataShift!F1580:Z1580,DataShift!AB787:AV787)/SQRT(SUMPRODUCT(DataShift!F1580:Z1580,DataShift!F1580:Z1580)*SUMPRODUCT(DataShift!AB787:AV787,DataShift!AB787:AV787)),0)</f>
        <v>-0.832823613633768</v>
      </c>
      <c r="T88" s="892">
        <f ca="1">IFERROR(SUMPRODUCT(DataShift!F1580:Z1580,DataShift!F787:Z787)/SQRT(SUMPRODUCT(DataShift!F1580:Z1580,DataShift!F1580:Z1580)*SUMPRODUCT(DataShift!F787:Z787,DataShift!F787:Z787)),0)</f>
        <v>0.27843047205529248</v>
      </c>
      <c r="U88" s="1004">
        <v>1600</v>
      </c>
      <c r="V88" s="1004">
        <v>0</v>
      </c>
      <c r="W88" s="1004">
        <v>0</v>
      </c>
      <c r="X88" s="892"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119.99999999999886</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-4656</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9823.2720000000008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6387.9000000000015</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-552</v>
      </c>
      <c r="AQ88" s="334">
        <f ca="1">_xlfn.LET(_xlpm.MVToday,DataShift!AV588,         _xlpm.MVY,DataShift!AU588,        _xlpm.MVYY, DataShift!AT588,                                IF(_xlpm.MVToday=_xlpm.MVY,_xlpm.MVY-_xlpm.MVYY,_xlpm.MVToday-_xlpm.MVY))</f>
        <v>108</v>
      </c>
      <c r="AR88" s="334">
        <f ca="1">_xlfn.LET(_xlpm.MVToday,DataShift!AV588,         _xlpm.MVY,DataShift!AU588,        _xlpm.MVYY, DataShift!AT588,         _xlpm.MVYYY, DataShift!AS588,                      IF(_xlpm.MVToday=_xlpm.MVY,      _xlpm.MVYY-_xlpm.MVYYY,          _xlpm.MVY-_xlpm.MVYY))</f>
        <v>-396</v>
      </c>
      <c r="AS88" s="977">
        <f ca="1">TabCalc[[#This Row],[Y]]/TabCalc[[#This Row],[M]]</f>
        <v>1.1493863681790926</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-7.2555004296743317E-2</v>
      </c>
      <c r="AY88" s="82">
        <f t="shared" ca="1" si="8"/>
        <v>0</v>
      </c>
      <c r="AZ88" s="90">
        <f ca="1">_xlfn.XLOOKUP(TabCalc[[#This Row],[Ticker]],[1]!RTData[Ticker_Symbol],[1]!RTData[V/VA])</f>
        <v>0.27609049062415064</v>
      </c>
      <c r="BA88" s="90" t="str" cm="1">
        <f t="array" aca="1" ref="BA88" ca="1">IFERROR(_xlfn.IFS(TabCalc[[#This Row],[Cur]]="USD",Timer!F$27,                TabCalc[[#This Row],[Cur]]="EUR",Timer!F$18,                  TabCalc[[#This Row],[Cur]]="GBP",Timer!F$12,                          TabCalc[[#This Row],[Cur]]="CAD",Timer!F$27,                TabCalc[[#This Row],[Cur]]="JPY",Timer!F$31,                      TabCalc[[#This Row],[Cur]]="CHF",Timer!F$18),"Timing")</f>
        <v>Closed</v>
      </c>
      <c r="BB88" s="90">
        <f ca="1">IF(ISNUMBER(TabCalc[[#This Row],[TimeEX]]),TabCalc[[#This Row],[V/VA]]/TabCalc[[#This Row],[TimeEX]],TabCalc[[#This Row],[V/VA]])</f>
        <v>0.27609049062415064</v>
      </c>
      <c r="BC88" s="87" cm="1">
        <f t="array" aca="1" ref="BC88" ca="1">INDEX(TabReg[], 1, _xlfn.XMATCH(TabCalc[[#This Row],[Ticker]]&amp;1, TabReg[#Headers], 0))</f>
        <v>1300</v>
      </c>
      <c r="BD88" s="159">
        <f ca="1">TabCalc[[#This Row],[Nbegin]]*TabCalc[[#This Row],[M]]*TabCalc[[#This Row],[Scale]]+TabCalc[[#This Row],[ValueBegin]]</f>
        <v>-21456.500000000007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-13952.000000000007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K88" s="159" cm="1">
        <f t="array" aca="1" ref="BK88" ca="1">SUMPRODUCT(ISNUMBER(INDIRECT("TabReg["&amp;TabCalc[[#This Row],[Ticker]]&amp;"2]"))* INDIRECT("TabReg["&amp;TabCalc[[#This Row],[Ticker]]&amp;"1]") * INDIRECT("TabReg["&amp;TabCalc[[#This Row],[Ticker]]&amp;"2]") )*TabCalc[[#This Row],[Scale]]*(1+Commission)</f>
        <v>-48077.756002800001</v>
      </c>
      <c r="BL88" s="159">
        <f ca="1">TabCalc[[#This Row],[M_V]]*(1-Commission)+TabCalc[[#This Row],[EfCost]]</f>
        <v>-8157.8184028000032</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47.01</v>
      </c>
      <c r="BR88" s="174" t="str">
        <f ca="1">IF(TabCalc[[#This Row],[EfCost]]+TabCalc[[#This Row],[M_V]]&lt;TabCalc[[#This Row],[NoT_GL]],"Pile","")</f>
        <v/>
      </c>
      <c r="BS88" s="165">
        <f ca="1">_xlfn.XLOOKUP(TabCalc[[#This Row],[Ticker]],[1]!RTData[Ticker_Symbol],[1]!RTData[Last trade time])</f>
        <v>45980.727331816408</v>
      </c>
      <c r="BT88" s="175">
        <f ca="1">(TabCalc[[#This Row],[ValueBegin]]+(TabCalc[[#This Row],[M]]-TabCalc[[#This Row],[A]])*TabCalc[[#This Row],[NAfter]])*TabCalc[[#This Row],[Scale]]</f>
        <v>-53856.000000000007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119.99999999999886</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1023.0807006056638</v>
      </c>
      <c r="CV88" s="404">
        <f ca="1">IF(TabCalc[[#This Row],[ntoBuy]]*TabCalc[[#This Row],[M]]&lt;=0,0,TabCalc[[#This Row],[ntoBuy]]*TabCalc[[#This Row],[M]])</f>
        <v>25592.363725650681</v>
      </c>
      <c r="CW88" s="404">
        <f ca="1">IF(TabCalc[[#This Row],[M]]&gt;ABS(TabCalc[[#This Row],[L_Bp]]),MIN(TabCalc[[#This Row],[NAfter]],DesiredSaleGain/(TabCalc[[#This Row],[M]]+TabCalc[[#This Row],[L_Bp]])),0)/TabCalc[[#This Row],[Scale]]</f>
        <v>1600</v>
      </c>
      <c r="CX88" s="405">
        <f ca="1">TabCalc[[#This Row],[ntoSell]]*TabCalc[[#This Row],[M]]</f>
        <v>40024</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119.99999999999886</v>
      </c>
      <c r="DB88" s="90">
        <f ca="1">IFERROR((TabCalc[[#This Row],[M]]+TabCalc[[#This Row],[L_Bp]])/ABS(TabCalc[[#This Row],[L_Bp]])/(TODAY()-TabCalc[[#This Row],[L_Bdate]])*360,"")</f>
        <v>2.9823642858562748E-3</v>
      </c>
      <c r="DC88" s="310">
        <f ca="1">MEDIAN(DataShift!F787:Z787)</f>
        <v>-2.4720000000000002E-3</v>
      </c>
      <c r="DD88" s="310" t="e"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8" s="87">
        <f ca="1">TabCalc[[#This Row],[Nbegin]]*TabCalc[[#This Row],[Scale]]*TabCalc[[#This Row],[M]]</f>
        <v>32519.5</v>
      </c>
      <c r="DF88" s="87" cm="1">
        <f t="array" aca="1" ref="DF88" ca="1">SUMPRODUCT(ISNUMBER(INDIRECT("TabReg["&amp;TabCalc[[#This Row],[Ticker]]&amp;"2]"))* INDIRECT("TabReg["&amp;TabCalc[[#This Row],[Ticker]]&amp;"1]") * INDIRECT("TabReg["&amp;TabCalc[[#This Row],[Ticker]]&amp;"2]") )*TabCalc[[#This Row],[Scale]]</f>
        <v>-47953.078000000001</v>
      </c>
      <c r="DI88" s="87">
        <f ca="1"/>
        <v>5845</v>
      </c>
      <c r="DJ88" s="90">
        <f t="shared" ca="1" si="6"/>
        <v>-51.383790956800219</v>
      </c>
      <c r="DK88" t="str">
        <f ca="1">_xlfn.XLOOKUP(DI88,TabCalc[Column1],TabCalc[Ticker])</f>
        <v>DSY</v>
      </c>
      <c r="DL88" s="87">
        <f ca="1">_xlfn.XLOOKUP(DK88,TabCalc[Ticker],TabCalc[ValueBegin])</f>
        <v>-250</v>
      </c>
      <c r="DM88" s="87">
        <f ca="1">_xlfn.XLOOKUP(DK88,TabCalc[Ticker],TabCalc[M_V])</f>
        <v>93520</v>
      </c>
      <c r="DN88" s="87">
        <f ca="1">_xlfn.XLOOKUP(DK88,TabCalc[Ticker],TabCalc[GL])</f>
        <v>-12845.947739200055</v>
      </c>
      <c r="DO88" s="90"/>
      <c r="DP88" s="90"/>
      <c r="DQ88" s="88" t="s">
        <v>83</v>
      </c>
      <c r="DR88" s="81">
        <v>2700</v>
      </c>
      <c r="DS88" s="315">
        <v>-59.3</v>
      </c>
      <c r="DU88" s="82">
        <v>38912</v>
      </c>
      <c r="DV88" s="82">
        <f ca="1">DU88-TabCalc[[#This Row],[M_V]]</f>
        <v>-1112</v>
      </c>
    </row>
    <row r="89" spans="1:126" x14ac:dyDescent="0.3">
      <c r="A89" s="120" t="str">
        <f ca="1">_xlfn.XLOOKUP(TabCalc[[#This Row],[Ticker]],[1]!RTData[Ticker_Symbol],[1]!RTData[Currency])</f>
        <v>USD</v>
      </c>
      <c r="B89" s="121">
        <f ca="1">IF(TabCalc[[#This Row],[Cur]]="GBP",0.01,1)</f>
        <v>1</v>
      </c>
      <c r="C89" s="82">
        <f ca="1">_xlfn.XLOOKUP(TabCalc[[#This Row],[Ticker]],DQ$3:DQ$96,DR$3:DR$96)</f>
        <v>7000</v>
      </c>
      <c r="D89" s="1142">
        <f ca="1">_xlfn.XLOOKUP(TabCalc[[#This Row],[Ticker]],DQ$3:DQ$96,DS$3:DS$96)</f>
        <v>-2.87</v>
      </c>
      <c r="E89" s="121">
        <f t="shared" ca="1" si="7"/>
        <v>-20090</v>
      </c>
      <c r="F89" s="82">
        <f ca="1">TabCalc[[#This Row],[NAfter]]*TabCalc[[#This Row],[M]]*TabCalc[[#This Row],[Scale]]</f>
        <v>176085</v>
      </c>
      <c r="G89" s="82">
        <f ca="1">IFERROR(TabCalc[[#This Row],[SB]]-TabCalc[[#This Row],[SST]],TabCalc[[#This Row],[SB]])</f>
        <v>43000</v>
      </c>
      <c r="H89" s="532" t="str">
        <f ca="1">[1]!RTData[[#This Row],[Ticker_Symbol]]</f>
        <v>RIG</v>
      </c>
      <c r="I89" s="383">
        <f ca="1">_xlfn.XLOOKUP(TabCalc[[#This Row],[Ticker]],[1]!RTData[Ticker_Symbol],[1]!RTData[M-Price])</f>
        <v>4.0949999999999998</v>
      </c>
      <c r="J89" s="382">
        <v>3.2946511627906978</v>
      </c>
      <c r="K89" s="381">
        <f ca="1">_xlfn.XLOOKUP(TabCalc[[#This Row],[Ticker]],[1]!RTData[Ticker_Symbol],[1]!RTData[1YT])</f>
        <v>3.9538500000000001</v>
      </c>
      <c r="L89" s="382">
        <f ca="1">IF(OR(TabCalc[[#This Row],[NAfter]]=0,TabCalc[[#This Row],[EfCost]]&gt;0),0,TabCalc[[#This Row],[EfCost]]/TabCalc[[#This Row],[NAfter]]/TabCalc[[#This Row],[Scale]])</f>
        <v>-3.3120751102325579</v>
      </c>
      <c r="M89" s="732">
        <f ca="1">_xlfn.XLOOKUP(TabCalc[[#This Row],[Ticker]],[1]!RTData[Ticker_Symbol],[1]!RTData[Change%])</f>
        <v>-8.4749999999999999E-3</v>
      </c>
      <c r="N89" s="1065">
        <v>0</v>
      </c>
      <c r="O89" s="892">
        <f>TabCalc[[#This Row],[Up20]]-1+TabCalc[[#This Row],[Up20]]</f>
        <v>-1</v>
      </c>
      <c r="P89" s="892">
        <f>TabCalc[[#This Row],[Up20]]-TabCalc[[#This Row],[Up150]]</f>
        <v>-0.5</v>
      </c>
      <c r="Q89" s="892">
        <v>0.5</v>
      </c>
      <c r="R89" s="892">
        <f>TabCalc[[#This Row],[Up150]]-1+TabCalc[[#This Row],[Up150]]</f>
        <v>0</v>
      </c>
      <c r="S89" s="892">
        <f ca="1">IFERROR(SUMPRODUCT(DataShift!F1581:Z1581,DataShift!AB788:AV788)/SQRT(SUMPRODUCT(DataShift!F1581:Z1581,DataShift!F1581:Z1581)*SUMPRODUCT(DataShift!AB788:AV788,DataShift!AB788:AV788)),0)</f>
        <v>-0.87925262521883218</v>
      </c>
      <c r="T89" s="892">
        <f ca="1">IFERROR(SUMPRODUCT(DataShift!F1581:Z1581,DataShift!F788:Z788)/SQRT(SUMPRODUCT(DataShift!F1581:Z1581,DataShift!F1581:Z1581)*SUMPRODUCT(DataShift!F788:Z788,DataShift!F788:Z788)),0)</f>
        <v>6.0196764092370722E-2</v>
      </c>
      <c r="U89" s="1004">
        <v>41000</v>
      </c>
      <c r="V89" s="1004">
        <v>2000</v>
      </c>
      <c r="W89" s="1004">
        <v>0</v>
      </c>
      <c r="X89" s="892"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9294.9999999999982</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26374.999999999993</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-699.99999999999841</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5214.9000000000015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3440</v>
      </c>
      <c r="AQ89" s="334">
        <f ca="1">_xlfn.LET(_xlpm.MVToday,DataShift!AV589,         _xlpm.MVY,DataShift!AU589,        _xlpm.MVYY, DataShift!AT589,                                IF(_xlpm.MVToday=_xlpm.MVY,_xlpm.MVY-_xlpm.MVYY,_xlpm.MVToday-_xlpm.MVY))</f>
        <v>-4120</v>
      </c>
      <c r="AR89" s="334">
        <f ca="1">_xlfn.LET(_xlpm.MVToday,DataShift!AV589,         _xlpm.MVY,DataShift!AU589,        _xlpm.MVYY, DataShift!AT589,         _xlpm.MVYYY, DataShift!AS589,                      IF(_xlpm.MVToday=_xlpm.MVY,      _xlpm.MVYY-_xlpm.MVYYY,          _xlpm.MVY-_xlpm.MVYY))</f>
        <v>-1020</v>
      </c>
      <c r="AS89" s="977">
        <f ca="1">TabCalc[[#This Row],[Y]]/TabCalc[[#This Row],[M]]</f>
        <v>0.96553113553113556</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1.7368749523172938E-4</v>
      </c>
      <c r="AY89" s="82">
        <f t="shared" ca="1" si="8"/>
        <v>0</v>
      </c>
      <c r="AZ89" s="90">
        <f ca="1">_xlfn.XLOOKUP(TabCalc[[#This Row],[Ticker]],[1]!RTData[Ticker_Symbol],[1]!RTData[V/VA])</f>
        <v>0.28714308244093012</v>
      </c>
      <c r="BA89" s="90" t="str" cm="1">
        <f t="array" aca="1" ref="BA89" ca="1">IFERROR(_xlfn.IFS(TabCalc[[#This Row],[Cur]]="USD",Timer!F$27,                TabCalc[[#This Row],[Cur]]="EUR",Timer!F$18,                  TabCalc[[#This Row],[Cur]]="GBP",Timer!F$12,                          TabCalc[[#This Row],[Cur]]="CAD",Timer!F$27,                TabCalc[[#This Row],[Cur]]="JPY",Timer!F$31,                      TabCalc[[#This Row],[Cur]]="CHF",Timer!F$18),"Timing")</f>
        <v>Closed</v>
      </c>
      <c r="BB89" s="90">
        <f ca="1">IF(ISNUMBER(TabCalc[[#This Row],[TimeEX]]),TabCalc[[#This Row],[V/VA]]/TabCalc[[#This Row],[TimeEX]],TabCalc[[#This Row],[V/VA]])</f>
        <v>0.28714308244093012</v>
      </c>
      <c r="BC89" s="87" cm="1">
        <f t="array" aca="1" ref="BC89" ca="1">INDEX(TabReg[], 1, _xlfn.XMATCH(TabCalc[[#This Row],[Ticker]]&amp;1, TabReg[#Headers], 0))</f>
        <v>7000</v>
      </c>
      <c r="BD89" s="159">
        <f ca="1">TabCalc[[#This Row],[Nbegin]]*TabCalc[[#This Row],[M]]*TabCalc[[#This Row],[Scale]]+TabCalc[[#This Row],[ValueBegin]]</f>
        <v>8575</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-122276.99573999998</v>
      </c>
      <c r="BH89" s="336">
        <f ca="1">TabCalc[[#This Row],[M_V]]+TabCalc[[#This Row],[ValueBegin]]</f>
        <v>155995</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110342.46174</v>
      </c>
      <c r="BK89" s="159" cm="1">
        <f t="array" aca="1" ref="BK89" ca="1">SUMPRODUCT(ISNUMBER(INDIRECT("TabReg["&amp;TabCalc[[#This Row],[Ticker]]&amp;"2]"))* INDIRECT("TabReg["&amp;TabCalc[[#This Row],[Ticker]]&amp;"1]") * INDIRECT("TabReg["&amp;TabCalc[[#This Row],[Ticker]]&amp;"2]") )*TabCalc[[#This Row],[Scale]]*(1+Commission)</f>
        <v>-142419.22973999998</v>
      </c>
      <c r="BL89" s="159">
        <f ca="1">TabCalc[[#This Row],[M_V]]*(1-Commission)+TabCalc[[#This Row],[EfCost]]</f>
        <v>33207.949260000023</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45980.727193020313</v>
      </c>
      <c r="BT89" s="175">
        <f ca="1">(TabCalc[[#This Row],[ValueBegin]]+(TabCalc[[#This Row],[M]]-TabCalc[[#This Row],[A]])*TabCalc[[#This Row],[NAfter]])*TabCalc[[#This Row],[Scale]]</f>
        <v>14324.999999999985</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34414.999999999985</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6993.006993006994</v>
      </c>
      <c r="CX89" s="405">
        <f ca="1">TabCalc[[#This Row],[ntoSell]]*TabCalc[[#This Row],[M]]</f>
        <v>28636.36363636364</v>
      </c>
      <c r="CY89" s="398">
        <f ca="1">_xlfn.LET(_xlpm.nToSell,IF(TabCalc[[#This Row],[M]]-TabCalc[[#This Row],[A]]&lt;=0,"",INT(DesiredSaleGain/(TabCalc[[#This Row],[M]]-IF(TabCalc[[#This Row],[E]]&gt;0,0,TabCalc[[#This Row],[A]])))),IF(_xlpm.nToSell&lt;=TabCalc[[#This Row],[NAfter]],_xlpm.nToSell,0))</f>
        <v>6247</v>
      </c>
      <c r="CZ89" s="336">
        <f ca="1">IFERROR(TabCalc[[#This Row],[NMA]]*TabCalc[[#This Row],[M]],"")</f>
        <v>25581.465</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34414.999999999985</v>
      </c>
      <c r="DB89" s="90">
        <f ca="1">IFERROR((TabCalc[[#This Row],[M]]+TabCalc[[#This Row],[L_Bp]])/ABS(TabCalc[[#This Row],[L_Bp]])/(TODAY()-TabCalc[[#This Row],[L_Bdate]])*360,"")</f>
        <v>1.312997347480106</v>
      </c>
      <c r="DC89" s="310">
        <f ca="1">MEDIAN(DataShift!F788:Z788)</f>
        <v>-3.3E-3</v>
      </c>
      <c r="DD89" s="310" t="e"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9" s="87">
        <f ca="1">TabCalc[[#This Row],[Nbegin]]*TabCalc[[#This Row],[Scale]]*TabCalc[[#This Row],[M]]</f>
        <v>28665</v>
      </c>
      <c r="DF89" s="87" cm="1">
        <f t="array" aca="1" ref="DF89" ca="1">SUMPRODUCT(ISNUMBER(INDIRECT("TabReg["&amp;TabCalc[[#This Row],[Ticker]]&amp;"2]"))* INDIRECT("TabReg["&amp;TabCalc[[#This Row],[Ticker]]&amp;"1]") * INDIRECT("TabReg["&amp;TabCalc[[#This Row],[Ticker]]&amp;"2]") )*TabCalc[[#This Row],[Scale]]</f>
        <v>-142049.9</v>
      </c>
      <c r="DI89" s="87">
        <f ca="1"/>
        <v>4856</v>
      </c>
      <c r="DJ89" s="90">
        <f t="shared" ca="1" si="6"/>
        <v>-20.962501048576829</v>
      </c>
      <c r="DK89" t="str">
        <f ca="1">_xlfn.XLOOKUP(DI89,TabCalc[Column1],TabCalc[Ticker])</f>
        <v>MRNA</v>
      </c>
      <c r="DL89" s="87">
        <f ca="1">_xlfn.XLOOKUP(DK89,TabCalc[Ticker],TabCalc[ValueBegin])</f>
        <v>-25031.07</v>
      </c>
      <c r="DM89" s="87">
        <f ca="1">_xlfn.XLOOKUP(DK89,TabCalc[Ticker],TabCalc[M_V])</f>
        <v>291360</v>
      </c>
      <c r="DN89" s="87">
        <f ca="1">_xlfn.XLOOKUP(DK89,TabCalc[Ticker],TabCalc[GL])</f>
        <v>-524713.831122</v>
      </c>
      <c r="DO89" s="90"/>
      <c r="DP89" s="90"/>
      <c r="DQ89" s="316" t="s">
        <v>84</v>
      </c>
      <c r="DR89" s="81">
        <v>1100</v>
      </c>
      <c r="DS89" s="315">
        <v>-71.47</v>
      </c>
      <c r="DU89" s="82">
        <v>186960</v>
      </c>
      <c r="DV89" s="82">
        <f ca="1">DU89-TabCalc[[#This Row],[M_V]]</f>
        <v>10875</v>
      </c>
    </row>
    <row r="90" spans="1:126" x14ac:dyDescent="0.3">
      <c r="A90" s="120" t="str">
        <f ca="1">_xlfn.XLOOKUP(TabCalc[[#This Row],[Ticker]],[1]!RTData[Ticker_Symbol],[1]!RTData[Currency])</f>
        <v>USD</v>
      </c>
      <c r="B90" s="121">
        <f ca="1">IF(TabCalc[[#This Row],[Cur]]="GBP",0.01,1)</f>
        <v>1</v>
      </c>
      <c r="C90" s="82">
        <f ca="1">_xlfn.XLOOKUP(TabCalc[[#This Row],[Ticker]],DQ$3:DQ$96,DR$3:DR$96)</f>
        <v>2700</v>
      </c>
      <c r="D90" s="1142">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39.075000000000003</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1.1529999999999999E-3</v>
      </c>
      <c r="N90" s="1065">
        <v>0.5</v>
      </c>
      <c r="O90" s="892">
        <f>TabCalc[[#This Row],[Up20]]-1+TabCalc[[#This Row],[Up20]]</f>
        <v>0</v>
      </c>
      <c r="P90" s="892">
        <f>TabCalc[[#This Row],[Up20]]-TabCalc[[#This Row],[Up150]]</f>
        <v>-4.1284403669724745E-2</v>
      </c>
      <c r="Q90" s="892">
        <v>0.54128440366972475</v>
      </c>
      <c r="R90" s="892">
        <f>TabCalc[[#This Row],[Up150]]-1+TabCalc[[#This Row],[Up150]]</f>
        <v>8.256880733944949E-2</v>
      </c>
      <c r="S90" s="892">
        <f ca="1">IFERROR(SUMPRODUCT(DataShift!F1582:Z1582,DataShift!AB789:AV789)/SQRT(SUMPRODUCT(DataShift!F1582:Z1582,DataShift!F1582:Z1582)*SUMPRODUCT(DataShift!AB789:AV789,DataShift!AB789:AV789)),0)</f>
        <v>-0.85860041930946629</v>
      </c>
      <c r="T90" s="892">
        <f ca="1">IFERROR(SUMPRODUCT(DataShift!F1582:Z1582,DataShift!F789:Z789)/SQRT(SUMPRODUCT(DataShift!F1582:Z1582,DataShift!F1582:Z1582)*SUMPRODUCT(DataShift!F789:Z789,DataShift!F789:Z789)),0)</f>
        <v>0.28736962904142016</v>
      </c>
      <c r="U90" s="1004">
        <v>0</v>
      </c>
      <c r="V90" s="1004">
        <v>1600</v>
      </c>
      <c r="W90" s="1004">
        <v>0</v>
      </c>
      <c r="X90" s="892"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-16080.000000000005</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-7572.5000000000036</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-696</v>
      </c>
      <c r="AR90" s="334">
        <f ca="1">_xlfn.LET(_xlpm.MVToday,DataShift!AV590,         _xlpm.MVY,DataShift!AU590,        _xlpm.MVYY, DataShift!AT590,         _xlpm.MVYYY, DataShift!AS590,                      IF(_xlpm.MVToday=_xlpm.MVY,      _xlpm.MVYY-_xlpm.MVYYY,          _xlpm.MVY-_xlpm.MVYY))</f>
        <v>584</v>
      </c>
      <c r="AS90" s="977">
        <f ca="1">TabCalc[[#This Row],[Y]]/TabCalc[[#This Row],[M]]</f>
        <v>1.0598955854126677</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-7.9217356437257126E-3</v>
      </c>
      <c r="AY90" s="82">
        <f t="shared" ca="1" si="8"/>
        <v>2700</v>
      </c>
      <c r="AZ90" s="90">
        <f ca="1">_xlfn.XLOOKUP(TabCalc[[#This Row],[Ticker]],[1]!RTData[Ticker_Symbol],[1]!RTData[V/VA])</f>
        <v>0.23248882465633719</v>
      </c>
      <c r="BA90" s="90" t="str" cm="1">
        <f t="array" aca="1" ref="BA90" ca="1">IFERROR(_xlfn.IFS(TabCalc[[#This Row],[Cur]]="USD",Timer!F$27,                TabCalc[[#This Row],[Cur]]="EUR",Timer!F$18,                  TabCalc[[#This Row],[Cur]]="GBP",Timer!F$12,                          TabCalc[[#This Row],[Cur]]="CAD",Timer!F$27,                TabCalc[[#This Row],[Cur]]="JPY",Timer!F$31,                      TabCalc[[#This Row],[Cur]]="CHF",Timer!F$18),"Timing")</f>
        <v>Closed</v>
      </c>
      <c r="BB90" s="90">
        <f ca="1">IF(ISNUMBER(TabCalc[[#This Row],[TimeEX]]),TabCalc[[#This Row],[V/VA]]/TabCalc[[#This Row],[TimeEX]],TabCalc[[#This Row],[V/VA]])</f>
        <v>0.23248882465633719</v>
      </c>
      <c r="BC90" s="87" cm="1">
        <f t="array" aca="1" ref="BC90" ca="1">INDEX(TabReg[], 1, _xlfn.XMATCH(TabCalc[[#This Row],[Ticker]]&amp;1, TabReg[#Headers], 0))</f>
        <v>2700</v>
      </c>
      <c r="BD90" s="159">
        <f ca="1">TabCalc[[#This Row],[Nbegin]]*TabCalc[[#This Row],[M]]*TabCalc[[#This Row],[Scale]]+TabCalc[[#This Row],[ValueBegin]]</f>
        <v>23665.500000000015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K90" s="159" cm="1">
        <f t="array" aca="1" ref="BK90" ca="1">SUMPRODUCT(ISNUMBER(INDIRECT("TabReg["&amp;TabCalc[[#This Row],[Ticker]]&amp;"2]"))* INDIRECT("TabReg["&amp;TabCalc[[#This Row],[Ticker]]&amp;"1]") * INDIRECT("TabReg["&amp;TabCalc[[#This Row],[Ticker]]&amp;"2]") )*TabCalc[[#This Row],[Scale]]*(1+Commission)</f>
        <v>9828.9590219999718</v>
      </c>
      <c r="BL90" s="159">
        <f ca="1">TabCalc[[#This Row],[M_V]]*(1-Commission)+TabCalc[[#This Row],[EfCost]]</f>
        <v>9828.9590219999718</v>
      </c>
      <c r="BM90" s="159">
        <f ca="1">IF(        OR( TabCalc[[#This Row],[GL]]&gt;ABS(TabCalc[[#This Row],[EfCost]]),TabCalc[[#This Row],[NAfter]]=0),             TabCalc[[#This Row],[GL]],     0)</f>
        <v>9828.9590219999718</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45980.727274501565</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6.903916890842382E-2</v>
      </c>
      <c r="DC90" s="310">
        <f ca="1">MEDIAN(DataShift!F789:Z789)</f>
        <v>-1.843E-3</v>
      </c>
      <c r="DD90" s="310" t="e"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0" s="87">
        <f ca="1">TabCalc[[#This Row],[Nbegin]]*TabCalc[[#This Row],[Scale]]*TabCalc[[#This Row],[M]]</f>
        <v>105502.50000000001</v>
      </c>
      <c r="DF90" s="87" cm="1">
        <f t="array" aca="1" ref="DF90" ca="1">SUMPRODUCT(ISNUMBER(INDIRECT("TabReg["&amp;TabCalc[[#This Row],[Ticker]]&amp;"2]"))* INDIRECT("TabReg["&amp;TabCalc[[#This Row],[Ticker]]&amp;"1]") * INDIRECT("TabReg["&amp;TabCalc[[#This Row],[Ticker]]&amp;"2]") )*TabCalc[[#This Row],[Scale]]</f>
        <v>9803.4699999999721</v>
      </c>
      <c r="DI90" s="87">
        <f ca="1"/>
        <v>4741.6873999999998</v>
      </c>
      <c r="DJ90" s="90">
        <f t="shared" ca="1" si="6"/>
        <v>-1.2838438278737765</v>
      </c>
      <c r="DK90" t="str">
        <f ca="1">_xlfn.XLOOKUP(DI90,TabCalc[Column1],TabCalc[Ticker])</f>
        <v>LAZR</v>
      </c>
      <c r="DL90" s="87">
        <f ca="1">_xlfn.XLOOKUP(DK90,TabCalc[Ticker],TabCalc[ValueBegin])</f>
        <v>-252019.24</v>
      </c>
      <c r="DM90" s="87">
        <f ca="1">_xlfn.XLOOKUP(DK90,TabCalc[Ticker],TabCalc[M_V])</f>
        <v>13745.8444</v>
      </c>
      <c r="DN90" s="87">
        <f ca="1">_xlfn.XLOOKUP(DK90,TabCalc[Ticker],TabCalc[GL])</f>
        <v>-323553.34577943996</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42">
        <f ca="1">_xlfn.XLOOKUP(TabCalc[[#This Row],[Ticker]],DQ$3:DQ$96,DS$3:DS$96)</f>
        <v>-262.89</v>
      </c>
      <c r="E91" s="121">
        <f t="shared" ca="1" si="7"/>
        <v>-118300.5</v>
      </c>
      <c r="F91" s="82">
        <f ca="1">TabCalc[[#This Row],[NAfter]]*TabCalc[[#This Row],[M]]*TabCalc[[#This Row],[Scale]]</f>
        <v>34497</v>
      </c>
      <c r="G91" s="82">
        <f ca="1">IFERROR(TabCalc[[#This Row],[SB]]-TabCalc[[#This Row],[SST]],TabCalc[[#This Row],[SB]])</f>
        <v>600</v>
      </c>
      <c r="H91" s="532" t="str">
        <f ca="1">[1]!RTData[[#This Row],[Ticker_Symbol]]</f>
        <v>XYZ</v>
      </c>
      <c r="I91" s="383">
        <f ca="1">_xlfn.XLOOKUP(TabCalc[[#This Row],[Ticker]],[1]!RTData[Ticker_Symbol],[1]!RTData[M-Price])</f>
        <v>57.494999999999997</v>
      </c>
      <c r="J91" s="382">
        <v>76.94</v>
      </c>
      <c r="K91" s="381">
        <f ca="1">_xlfn.XLOOKUP(TabCalc[[#This Row],[Ticker]],[1]!RTData[Ticker_Symbol],[1]!RTData[1YT])</f>
        <v>88.505260000000007</v>
      </c>
      <c r="L91" s="382">
        <f ca="1">IF(OR(TabCalc[[#This Row],[NAfter]]=0,TabCalc[[#This Row],[EfCost]]&gt;0),0,TabCalc[[#This Row],[EfCost]]/TabCalc[[#This Row],[NAfter]]/TabCalc[[#This Row],[Scale]])</f>
        <v>-346.97796990000001</v>
      </c>
      <c r="M91" s="732">
        <f ca="1">_xlfn.XLOOKUP(TabCalc[[#This Row],[Ticker]],[1]!RTData[Ticker_Symbol],[1]!RTData[Change%])</f>
        <v>-2.516E-3</v>
      </c>
      <c r="N91" s="1065">
        <v>0</v>
      </c>
      <c r="O91" s="892">
        <f>TabCalc[[#This Row],[Up20]]-1+TabCalc[[#This Row],[Up20]]</f>
        <v>-1</v>
      </c>
      <c r="P91" s="892">
        <f>TabCalc[[#This Row],[Up20]]-TabCalc[[#This Row],[Up150]]</f>
        <v>-0.2857142857142857</v>
      </c>
      <c r="Q91" s="892">
        <v>0.2857142857142857</v>
      </c>
      <c r="R91" s="892">
        <f>TabCalc[[#This Row],[Up150]]-1+TabCalc[[#This Row],[Up150]]</f>
        <v>-0.4285714285714286</v>
      </c>
      <c r="S91" s="892">
        <f ca="1">IFERROR(SUMPRODUCT(DataShift!F1583:Z1583,DataShift!AB790:AV790)/SQRT(SUMPRODUCT(DataShift!F1583:Z1583,DataShift!F1583:Z1583)*SUMPRODUCT(DataShift!AB790:AV790,DataShift!AB790:AV790)),0)</f>
        <v>-0.57640668972531928</v>
      </c>
      <c r="T91" s="892">
        <f ca="1">IFERROR(SUMPRODUCT(DataShift!F1583:Z1583,DataShift!F790:Z790)/SQRT(SUMPRODUCT(DataShift!F1583:Z1583,DataShift!F1583:Z1583)*SUMPRODUCT(DataShift!F790:Z790,DataShift!F790:Z790)),0)</f>
        <v>-0.27616538846949495</v>
      </c>
      <c r="U91" s="1004">
        <v>0</v>
      </c>
      <c r="V91" s="1004">
        <v>600</v>
      </c>
      <c r="W91" s="1004">
        <v>0</v>
      </c>
      <c r="X91" s="892"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-11667</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-1587.0000000000018</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7530.0000000000009</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15487.499999999993</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-663</v>
      </c>
      <c r="AQ91" s="334">
        <f ca="1">_xlfn.LET(_xlpm.MVToday,DataShift!AV591,         _xlpm.MVY,DataShift!AU591,        _xlpm.MVYY, DataShift!AT591,                                IF(_xlpm.MVToday=_xlpm.MVY,_xlpm.MVY-_xlpm.MVYY,_xlpm.MVToday-_xlpm.MVY))</f>
        <v>-1505</v>
      </c>
      <c r="AR91" s="334">
        <f ca="1">_xlfn.LET(_xlpm.MVToday,DataShift!AV591,         _xlpm.MVY,DataShift!AU591,        _xlpm.MVYY, DataShift!AT591,         _xlpm.MVYYY, DataShift!AS591,                      IF(_xlpm.MVToday=_xlpm.MVY,      _xlpm.MVYY-_xlpm.MVYYY,          _xlpm.MVY-_xlpm.MVYY))</f>
        <v>5160</v>
      </c>
      <c r="AS91" s="977">
        <f ca="1">TabCalc[[#This Row],[Y]]/TabCalc[[#This Row],[M]]</f>
        <v>1.5393557700669624</v>
      </c>
      <c r="AT91" s="297" t="str" cm="1">
        <f t="array" aca="1" ref="AT91" ca="1">IFERROR(_xlfn.IFS(          TabCalc[[#This Row],[E]]&gt;0, "Free Trade",      TabCalc[[#This Row],[A]]&lt;MIN(TabCalc[[#This Row],[L_Sp]],TabCalc[[#This Row],[M]]), "Buy",            TabCalc[[#This Row],[M]]&lt;TabCalc[[#This Row],[L_Sp]],       "Refill",       TabCalc[[#This Row],[M]]&gt;TabCalc[[#This Row],[L_Sp]],"S_more"),"")</f>
        <v>Refill</v>
      </c>
      <c r="AU91" s="297" t="str">
        <f ca="1">IF(           AND(TabCalc[[#This Row],[E]]&lt;=0,          TabCalc[[#This Row],[A]]&gt;MIN(TabCalc[[#This Row],[M]],TabCalc[[#This Row],[L_Sp]]),             TabCalc[[#This Row],[L_Sp]]&lt;=TabCalc[[#This Row],[M]]),                       "S_more","")</f>
        <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-5.8602623934836613</v>
      </c>
      <c r="AY91" s="82">
        <f t="shared" ca="1" si="8"/>
        <v>0</v>
      </c>
      <c r="AZ91" s="90">
        <f ca="1">_xlfn.XLOOKUP(TabCalc[[#This Row],[Ticker]],[1]!RTData[Ticker_Symbol],[1]!RTData[V/VA])</f>
        <v>0.63831835430216688</v>
      </c>
      <c r="BA91" s="90" t="str" cm="1">
        <f t="array" aca="1" ref="BA91" ca="1">IFERROR(_xlfn.IFS(TabCalc[[#This Row],[Cur]]="USD",Timer!F$27,                TabCalc[[#This Row],[Cur]]="EUR",Timer!F$18,                  TabCalc[[#This Row],[Cur]]="GBP",Timer!F$12,                          TabCalc[[#This Row],[Cur]]="CAD",Timer!F$27,                TabCalc[[#This Row],[Cur]]="JPY",Timer!F$31,                      TabCalc[[#This Row],[Cur]]="CHF",Timer!F$18),"Timing")</f>
        <v>Closed</v>
      </c>
      <c r="BB91" s="90">
        <f ca="1">IF(ISNUMBER(TabCalc[[#This Row],[TimeEX]]),TabCalc[[#This Row],[V/VA]]/TabCalc[[#This Row],[TimeEX]],TabCalc[[#This Row],[V/VA]])</f>
        <v>0.63831835430216688</v>
      </c>
      <c r="BC91" s="87" cm="1">
        <f t="array" aca="1" ref="BC91" ca="1">INDEX(TabReg[], 1, _xlfn.XMATCH(TabCalc[[#This Row],[Ticker]]&amp;1, TabReg[#Headers], 0))</f>
        <v>450</v>
      </c>
      <c r="BD91" s="159">
        <f ca="1">TabCalc[[#This Row],[Nbegin]]*TabCalc[[#This Row],[M]]*TabCalc[[#This Row],[Scale]]+TabCalc[[#This Row],[ValueBegin]]</f>
        <v>-92427.75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-89578.700640000025</v>
      </c>
      <c r="BH91" s="336">
        <f ca="1">TabCalc[[#This Row],[M_V]]+TabCalc[[#This Row],[ValueBegin]]</f>
        <v>-83803.5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K91" s="159" cm="1">
        <f t="array" aca="1" ref="BK91" ca="1">SUMPRODUCT(ISNUMBER(INDIRECT("TabReg["&amp;TabCalc[[#This Row],[Ticker]]&amp;"2]"))* INDIRECT("TabReg["&amp;TabCalc[[#This Row],[Ticker]]&amp;"1]") * INDIRECT("TabReg["&amp;TabCalc[[#This Row],[Ticker]]&amp;"2]") )*TabCalc[[#This Row],[Scale]]*(1+Commission)</f>
        <v>-208186.78194000002</v>
      </c>
      <c r="BL91" s="159">
        <f ca="1">TabCalc[[#This Row],[M_V]]*(1-Commission)+TabCalc[[#This Row],[EfCost]]</f>
        <v>-173779.47414000001</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565.94</v>
      </c>
      <c r="BR91" s="174" t="str">
        <f ca="1">IF(TabCalc[[#This Row],[EfCost]]+TabCalc[[#This Row],[M_V]]&lt;TabCalc[[#This Row],[NoT_GL]],"Pile","")</f>
        <v>Pile</v>
      </c>
      <c r="BS91" s="165">
        <f ca="1">_xlfn.XLOOKUP(TabCalc[[#This Row],[Ticker]],[1]!RTData[Ticker_Symbol],[1]!RTData[Last trade time])</f>
        <v>45980.727218078122</v>
      </c>
      <c r="BT91" s="175">
        <f ca="1">(TabCalc[[#This Row],[ValueBegin]]+(TabCalc[[#This Row],[M]]-TabCalc[[#This Row],[A]])*TabCalc[[#This Row],[NAfter]])*TabCalc[[#This Row],[Scale]]</f>
        <v>-129967.5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-11667</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1328.0212483399732</v>
      </c>
      <c r="CV91" s="404">
        <f ca="1">IF(TabCalc[[#This Row],[ntoBuy]]*TabCalc[[#This Row],[M]]&lt;=0,0,TabCalc[[#This Row],[ntoBuy]]*TabCalc[[#This Row],[M]])</f>
        <v>76354.581673306762</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-11667</v>
      </c>
      <c r="DB91" s="90">
        <f ca="1">IFERROR((TabCalc[[#This Row],[M]]+TabCalc[[#This Row],[L_Bp]])/ABS(TabCalc[[#This Row],[L_Bp]])/(TODAY()-TabCalc[[#This Row],[L_Bdate]])*360,"")</f>
        <v>-1.4915177677304436</v>
      </c>
      <c r="DC91" s="310">
        <f ca="1">MEDIAN(DataShift!F790:Z790)</f>
        <v>4.5590000000000006E-3</v>
      </c>
      <c r="DD91" s="310" t="e"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1" s="87">
        <f ca="1">TabCalc[[#This Row],[Nbegin]]*TabCalc[[#This Row],[Scale]]*TabCalc[[#This Row],[M]]</f>
        <v>25872.75</v>
      </c>
      <c r="DF91" s="87" cm="1">
        <f t="array" aca="1" ref="DF91" ca="1">SUMPRODUCT(ISNUMBER(INDIRECT("TabReg["&amp;TabCalc[[#This Row],[Ticker]]&amp;"2]"))* INDIRECT("TabReg["&amp;TabCalc[[#This Row],[Ticker]]&amp;"1]") * INDIRECT("TabReg["&amp;TabCalc[[#This Row],[Ticker]]&amp;"2]") )*TabCalc[[#This Row],[Scale]]</f>
        <v>-207646.90000000002</v>
      </c>
      <c r="DI91" s="87">
        <f ca="1"/>
        <v>4552</v>
      </c>
      <c r="DJ91" s="90">
        <f t="shared" ca="1" si="6"/>
        <v>-1.1930927144217691</v>
      </c>
      <c r="DK91" t="str">
        <f ca="1">_xlfn.XLOOKUP(DI91,TabCalc[Column1],TabCalc[Ticker])</f>
        <v>XPER</v>
      </c>
      <c r="DL91" s="87">
        <f ca="1">_xlfn.XLOOKUP(DK91,TabCalc[Ticker],TabCalc[ValueBegin])</f>
        <v>-55366.229999999996</v>
      </c>
      <c r="DM91" s="87">
        <f ca="1">_xlfn.XLOOKUP(DK91,TabCalc[Ticker],TabCalc[M_V])</f>
        <v>56900.000000000007</v>
      </c>
      <c r="DN91" s="87">
        <f ca="1">_xlfn.XLOOKUP(DK91,TabCalc[Ticker],TabCalc[GL])</f>
        <v>-66057.045637999981</v>
      </c>
      <c r="DO91" s="90"/>
      <c r="DP91" s="90"/>
      <c r="DQ91" s="88" t="s">
        <v>86</v>
      </c>
      <c r="DR91" s="81">
        <v>2700</v>
      </c>
      <c r="DS91" s="315">
        <v>-30.31</v>
      </c>
      <c r="DU91" s="82">
        <v>43554</v>
      </c>
      <c r="DV91" s="82">
        <f ca="1">DU91-TabCalc[[#This Row],[M_V]]</f>
        <v>9057</v>
      </c>
    </row>
    <row r="92" spans="1:126" x14ac:dyDescent="0.3">
      <c r="A92" s="120" t="str">
        <f ca="1">_xlfn.XLOOKUP(TabCalc[[#This Row],[Ticker]],[1]!RTData[Ticker_Symbol],[1]!RTData[Currency])</f>
        <v>USD</v>
      </c>
      <c r="B92" s="121">
        <f ca="1">IF(TabCalc[[#This Row],[Cur]]="GBP",0.01,1)</f>
        <v>1</v>
      </c>
      <c r="C92" s="82">
        <f ca="1">_xlfn.XLOOKUP(TabCalc[[#This Row],[Ticker]],DQ$3:DQ$96,DR$3:DR$96)</f>
        <v>2000</v>
      </c>
      <c r="D92" s="1142">
        <f ca="1">_xlfn.XLOOKUP(TabCalc[[#This Row],[Ticker]],DQ$3:DQ$96,DS$3:DS$96)</f>
        <v>-46.07</v>
      </c>
      <c r="E92" s="121">
        <f t="shared" ca="1" si="7"/>
        <v>-92140</v>
      </c>
      <c r="F92" s="82">
        <f ca="1">TabCalc[[#This Row],[NAfter]]*TabCalc[[#This Row],[M]]*TabCalc[[#This Row],[Scale]]</f>
        <v>290370</v>
      </c>
      <c r="G92" s="82">
        <f ca="1">IFERROR(TabCalc[[#This Row],[SB]]-TabCalc[[#This Row],[SST]],TabCalc[[#This Row],[SB]])</f>
        <v>1500</v>
      </c>
      <c r="H92" s="532" t="str">
        <f ca="1">[1]!RTData[[#This Row],[Ticker_Symbol]]</f>
        <v>THC</v>
      </c>
      <c r="I92" s="383">
        <f ca="1">_xlfn.XLOOKUP(TabCalc[[#This Row],[Ticker]],[1]!RTData[Ticker_Symbol],[1]!RTData[M-Price])</f>
        <v>193.58</v>
      </c>
      <c r="J92" s="382">
        <v>160.48125666666667</v>
      </c>
      <c r="K92" s="381">
        <f ca="1">_xlfn.XLOOKUP(TabCalc[[#This Row],[Ticker]],[1]!RTData[Ticker_Symbol],[1]!RTData[1YT])</f>
        <v>229.61904999999999</v>
      </c>
      <c r="L92" s="382">
        <f ca="1">IF(OR(TabCalc[[#This Row],[NAfter]]=0,TabCalc[[#This Row],[EfCost]]&gt;0),0,TabCalc[[#This Row],[EfCost]]/TabCalc[[#This Row],[NAfter]]/TabCalc[[#This Row],[Scale]])</f>
        <v>-4.5679471968000014</v>
      </c>
      <c r="M92" s="732">
        <f ca="1">_xlfn.XLOOKUP(TabCalc[[#This Row],[Ticker]],[1]!RTData[Ticker_Symbol],[1]!RTData[Change%])</f>
        <v>3.0049999999999999E-3</v>
      </c>
      <c r="N92" s="1065">
        <v>0</v>
      </c>
      <c r="O92" s="892">
        <f>TabCalc[[#This Row],[Up20]]-1+TabCalc[[#This Row],[Up20]]</f>
        <v>-1</v>
      </c>
      <c r="P92" s="892">
        <f>TabCalc[[#This Row],[Up20]]-TabCalc[[#This Row],[Up150]]</f>
        <v>-0.4</v>
      </c>
      <c r="Q92" s="892">
        <v>0.4</v>
      </c>
      <c r="R92" s="892">
        <f>TabCalc[[#This Row],[Up150]]-1+TabCalc[[#This Row],[Up150]]</f>
        <v>-0.19999999999999996</v>
      </c>
      <c r="S92" s="892">
        <f ca="1">IFERROR(SUMPRODUCT(DataShift!F1584:Z1584,DataShift!AB791:AV791)/SQRT(SUMPRODUCT(DataShift!F1584:Z1584,DataShift!F1584:Z1584)*SUMPRODUCT(DataShift!AB791:AV791,DataShift!AB791:AV791)),0)</f>
        <v>-0.88769692479497908</v>
      </c>
      <c r="T92" s="892">
        <f ca="1">IFERROR(SUMPRODUCT(DataShift!F1584:Z1584,DataShift!F791:Z791)/SQRT(SUMPRODUCT(DataShift!F1584:Z1584,DataShift!F1584:Z1584)*SUMPRODUCT(DataShift!F791:Z791,DataShift!F791:Z791)),0)</f>
        <v>-6.7058634357659352E-2</v>
      </c>
      <c r="U92" s="1004">
        <v>1500</v>
      </c>
      <c r="V92" s="1004">
        <v>0</v>
      </c>
      <c r="W92" s="1004">
        <v>0</v>
      </c>
      <c r="X92" s="892"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-2297.9999999999991</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41400.000000000007</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10959.99999999998</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174.99999999999716</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1477.5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77">
        <f ca="1">TabCalc[[#This Row],[Y]]/TabCalc[[#This Row],[M]]</f>
        <v>1.18617135034611</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-1.0530563265998572</v>
      </c>
      <c r="AY92" s="82">
        <f t="shared" ca="1" si="8"/>
        <v>500</v>
      </c>
      <c r="AZ92" s="90">
        <f ca="1">_xlfn.XLOOKUP(TabCalc[[#This Row],[Ticker]],[1]!RTData[Ticker_Symbol],[1]!RTData[V/VA])</f>
        <v>0.33936913170887295</v>
      </c>
      <c r="BA92" s="90" t="str" cm="1">
        <f t="array" aca="1" ref="BA92" ca="1">IFERROR(_xlfn.IFS(TabCalc[[#This Row],[Cur]]="USD",Timer!F$27,                TabCalc[[#This Row],[Cur]]="EUR",Timer!F$18,                  TabCalc[[#This Row],[Cur]]="GBP",Timer!F$12,                          TabCalc[[#This Row],[Cur]]="CAD",Timer!F$27,                TabCalc[[#This Row],[Cur]]="JPY",Timer!F$31,                      TabCalc[[#This Row],[Cur]]="CHF",Timer!F$18),"Timing")</f>
        <v>Closed</v>
      </c>
      <c r="BB92" s="90">
        <f ca="1">IF(ISNUMBER(TabCalc[[#This Row],[TimeEX]]),TabCalc[[#This Row],[V/VA]]/TabCalc[[#This Row],[TimeEX]],TabCalc[[#This Row],[V/VA]])</f>
        <v>0.33936913170887295</v>
      </c>
      <c r="BC92" s="87" cm="1">
        <f t="array" aca="1" ref="BC92" ca="1">INDEX(TabReg[], 1, _xlfn.XMATCH(TabCalc[[#This Row],[Ticker]]&amp;1, TabReg[#Headers], 0))</f>
        <v>2000</v>
      </c>
      <c r="BD92" s="159">
        <f ca="1">TabCalc[[#This Row],[Nbegin]]*TabCalc[[#This Row],[M]]*TabCalc[[#This Row],[Scale]]+TabCalc[[#This Row],[ValueBegin]]</f>
        <v>295020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198230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K92" s="159" cm="1">
        <f t="array" aca="1" ref="BK92" ca="1">SUMPRODUCT(ISNUMBER(INDIRECT("TabReg["&amp;TabCalc[[#This Row],[Ticker]]&amp;"2]"))* INDIRECT("TabReg["&amp;TabCalc[[#This Row],[Ticker]]&amp;"1]") * INDIRECT("TabReg["&amp;TabCalc[[#This Row],[Ticker]]&amp;"2]") )*TabCalc[[#This Row],[Scale]]*(1+Commission)</f>
        <v>-6851.9207952000015</v>
      </c>
      <c r="BL92" s="159">
        <f ca="1">TabCalc[[#This Row],[M_V]]*(1-Commission)+TabCalc[[#This Row],[EfCost]]</f>
        <v>282763.11720480002</v>
      </c>
      <c r="BM92" s="159">
        <f ca="1">IF(        OR( TabCalc[[#This Row],[GL]]&gt;ABS(TabCalc[[#This Row],[EfCost]]),TabCalc[[#This Row],[NAfter]]=0),             TabCalc[[#This Row],[GL]],     0)</f>
        <v>282763.11720480002</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7.47</v>
      </c>
      <c r="BR92" s="174" t="str">
        <f ca="1">IF(TabCalc[[#This Row],[EfCost]]+TabCalc[[#This Row],[M_V]]&lt;TabCalc[[#This Row],[NoT_GL]],"Pile","")</f>
        <v>Pile</v>
      </c>
      <c r="BS92" s="165">
        <f ca="1">_xlfn.XLOOKUP(TabCalc[[#This Row],[Ticker]],[1]!RTData[Ticker_Symbol],[1]!RTData[Last trade time])</f>
        <v>45980.727111284374</v>
      </c>
      <c r="BT92" s="175">
        <f ca="1">(TabCalc[[#This Row],[ValueBegin]]+(TabCalc[[#This Row],[M]]-TabCalc[[#This Row],[A]])*TabCalc[[#This Row],[NAfter]])*TabCalc[[#This Row],[Scale]]</f>
        <v>-42491.88499999998</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49648.11500000002</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456.20437956204466</v>
      </c>
      <c r="CV92" s="404">
        <f ca="1">IF(TabCalc[[#This Row],[ntoBuy]]*TabCalc[[#This Row],[M]]&lt;=0,0,TabCalc[[#This Row],[ntoBuy]]*TabCalc[[#This Row],[M]])</f>
        <v>88312.043795620615</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151</v>
      </c>
      <c r="CZ92" s="336">
        <f ca="1">IFERROR(TabCalc[[#This Row],[NMA]]*TabCalc[[#This Row],[M]],"")</f>
        <v>29230.58</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49648.11500000002</v>
      </c>
      <c r="DB92" s="90">
        <f ca="1">IFERROR((TabCalc[[#This Row],[M]]+TabCalc[[#This Row],[L_Bp]])/ABS(TabCalc[[#This Row],[L_Bp]])/(TODAY()-TabCalc[[#This Row],[L_Bdate]])*360,"")</f>
        <v>-0.32626288440241913</v>
      </c>
      <c r="DC92" s="310">
        <f ca="1">MEDIAN(DataShift!F791:Z791)</f>
        <v>1.1529999999999999E-3</v>
      </c>
      <c r="DD92" s="310" t="e"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2" s="87">
        <f ca="1">TabCalc[[#This Row],[Nbegin]]*TabCalc[[#This Row],[Scale]]*TabCalc[[#This Row],[M]]</f>
        <v>387160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-3.6943761337203031E-3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-364.48661255999286</v>
      </c>
      <c r="DO92" s="90"/>
      <c r="DP92" s="90"/>
      <c r="DQ92" s="88" t="s">
        <v>87</v>
      </c>
      <c r="DR92" s="81">
        <v>2100</v>
      </c>
      <c r="DS92" s="315">
        <v>-44.67</v>
      </c>
      <c r="DU92" s="82">
        <v>311595</v>
      </c>
      <c r="DV92" s="82">
        <f ca="1">DU92-TabCalc[[#This Row],[M_V]]</f>
        <v>21225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42">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65">
        <v>0</v>
      </c>
      <c r="O93" s="892">
        <f>TabCalc[[#This Row],[Up20]]-1+TabCalc[[#This Row],[Up20]]</f>
        <v>-1</v>
      </c>
      <c r="P93" s="892">
        <f>TabCalc[[#This Row],[Up20]]-TabCalc[[#This Row],[Up150]]</f>
        <v>-0.16666666666666666</v>
      </c>
      <c r="Q93" s="892">
        <v>0.16666666666666666</v>
      </c>
      <c r="R93" s="892">
        <f>TabCalc[[#This Row],[Up150]]-1+TabCalc[[#This Row],[Up150]]</f>
        <v>-0.66666666666666674</v>
      </c>
      <c r="S93" s="892">
        <f ca="1">IFERROR(SUMPRODUCT(DataShift!F1585:Z1585,DataShift!AB792:AV792)/SQRT(SUMPRODUCT(DataShift!F1585:Z1585,DataShift!F1585:Z1585)*SUMPRODUCT(DataShift!AB792:AV792,DataShift!AB792:AV792)),0)</f>
        <v>-0.72666687337176505</v>
      </c>
      <c r="T93" s="892">
        <f ca="1">IFERROR(SUMPRODUCT(DataShift!F1585:Z1585,DataShift!F792:Z792)/SQRT(SUMPRODUCT(DataShift!F1585:Z1585,DataShift!F1585:Z1585)*SUMPRODUCT(DataShift!F792:Z792,DataShift!F792:Z792)),0)</f>
        <v>0.34680828672251685</v>
      </c>
      <c r="U93" s="1004">
        <v>10</v>
      </c>
      <c r="V93" s="1004">
        <v>0</v>
      </c>
      <c r="W93" s="1004">
        <v>0</v>
      </c>
      <c r="X93" s="892"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-87</v>
      </c>
      <c r="AR93" s="334">
        <f ca="1">_xlfn.LET(_xlpm.MVToday,DataShift!AV593,         _xlpm.MVY,DataShift!AU593,        _xlpm.MVYY, DataShift!AT593,         _xlpm.MVYYY, DataShift!AS593,                      IF(_xlpm.MVToday=_xlpm.MVY,      _xlpm.MVYY-_xlpm.MVYYY,          _xlpm.MVY-_xlpm.MVYY))</f>
        <v>-1695</v>
      </c>
      <c r="AS93" s="977">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                TabCalc[[#This Row],[Cur]]="EUR",Timer!F$18,                  TabCalc[[#This Row],[Cur]]="GBP",Timer!F$12,                          TabCalc[[#This Row],[Cur]]="CAD",Timer!F$27,                TabCalc[[#This Row],[Cur]]="JPY",Timer!F$31,                      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K93" s="159" cm="1">
        <f t="array" aca="1" ref="BK93" ca="1">SUMPRODUCT(ISNUMBER(INDIRECT("TabReg["&amp;TabCalc[[#This Row],[Ticker]]&amp;"2]"))* INDIRECT("TabReg["&amp;TabCalc[[#This Row],[Ticker]]&amp;"1]") * INDIRECT("TabReg["&amp;TabCalc[[#This Row],[Ticker]]&amp;"2]") )*TabCalc[[#This Row],[Scale]]*(1+Commission)</f>
        <v>59814.824443919912</v>
      </c>
      <c r="BL93" s="159">
        <f ca="1">TabCalc[[#This Row],[M_V]]*(1-Commission)+TabCalc[[#This Row],[EfCost]]</f>
        <v>60361.79860391991</v>
      </c>
      <c r="BM93" s="159">
        <f ca="1">IF(        OR( TabCalc[[#This Row],[GL]]&gt;ABS(TabCalc[[#This Row],[EfCost]]),TabCalc[[#This Row],[NAfter]]=0),             TabCalc[[#This Row],[GL]],     0)</f>
        <v>60361.79860391991</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0.86791240947261206</v>
      </c>
      <c r="DC93" s="310">
        <f ca="1">MEDIAN(DataShift!F792:Z792)</f>
        <v>-2.516E-3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1928.7</v>
      </c>
      <c r="DJ93" s="90">
        <f t="shared" ca="1" si="6"/>
        <v>-0.85630072801907153</v>
      </c>
      <c r="DK93" t="str">
        <f ca="1">_xlfn.XLOOKUP(DI93,TabCalc[Column1],TabCalc[Ticker])</f>
        <v>PW</v>
      </c>
      <c r="DL93" s="87">
        <f ca="1">_xlfn.XLOOKUP(DK93,TabCalc[Ticker],TabCalc[ValueBegin])</f>
        <v>-9500.85</v>
      </c>
      <c r="DM93" s="87">
        <f ca="1">_xlfn.XLOOKUP(DK93,TabCalc[Ticker],TabCalc[M_V])</f>
        <v>6429</v>
      </c>
      <c r="DN93" s="87">
        <f ca="1">_xlfn.XLOOKUP(DK93,TabCalc[Ticker],TabCalc[GL])</f>
        <v>-8135.5847717999959</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42">
        <f ca="1">_xlfn.XLOOKUP(TabCalc[[#This Row],[Ticker]],DQ$3:DQ$96,DS$3:DS$96)</f>
        <v>-5.34</v>
      </c>
      <c r="E94" s="121">
        <f t="shared" ca="1" si="7"/>
        <v>-411714</v>
      </c>
      <c r="F94" s="82">
        <f ca="1">TabCalc[[#This Row],[NAfter]]*TabCalc[[#This Row],[M]]*TabCalc[[#This Row],[Scale]]</f>
        <v>752881.5</v>
      </c>
      <c r="G94" s="82">
        <f ca="1">IFERROR(TabCalc[[#This Row],[SB]]-TabCalc[[#This Row],[SST]],TabCalc[[#This Row],[SB]])</f>
        <v>77100</v>
      </c>
      <c r="H94" s="532" t="str">
        <f ca="1">[1]!RTData[[#This Row],[Ticker_Symbol]]</f>
        <v>LOCK</v>
      </c>
      <c r="I94" s="383">
        <f ca="1">_xlfn.XLOOKUP(TabCalc[[#This Row],[Ticker]],[1]!RTData[Ticker_Symbol],[1]!RTData[M-Price])</f>
        <v>9.7650000000000006</v>
      </c>
      <c r="J94" s="382">
        <v>5.34</v>
      </c>
      <c r="K94" s="381">
        <f ca="1">_xlfn.XLOOKUP(TabCalc[[#This Row],[Ticker]],[1]!RTData[Ticker_Symbol],[1]!RTData[1YT])</f>
        <v>0</v>
      </c>
      <c r="L94" s="382">
        <f ca="1">IF(OR(TabCalc[[#This Row],[NAfter]]=0,TabCalc[[#This Row],[EfCost]]&gt;0),0,TabCalc[[#This Row],[EfCost]]/TabCalc[[#This Row],[NAfter]]/TabCalc[[#This Row],[Scale]])</f>
        <v>-5.3538839999999999</v>
      </c>
      <c r="M94" s="732">
        <f ca="1">_xlfn.XLOOKUP(TabCalc[[#This Row],[Ticker]],[1]!RTData[Ticker_Symbol],[1]!RTData[Change%])</f>
        <v>6.7010000000000004E-3</v>
      </c>
      <c r="N94" s="1065">
        <v>0</v>
      </c>
      <c r="O94" s="892">
        <f>TabCalc[[#This Row],[Up20]]-1+TabCalc[[#This Row],[Up20]]</f>
        <v>-1</v>
      </c>
      <c r="P94" s="892">
        <f>TabCalc[[#This Row],[Up20]]-TabCalc[[#This Row],[Up150]]</f>
        <v>-0.27272727272727271</v>
      </c>
      <c r="Q94" s="892">
        <v>0.27272727272727271</v>
      </c>
      <c r="R94" s="892">
        <f>TabCalc[[#This Row],[Up150]]-1+TabCalc[[#This Row],[Up150]]</f>
        <v>-0.45454545454545459</v>
      </c>
      <c r="S94" s="892">
        <f ca="1">IFERROR(SUMPRODUCT(DataShift!F1586:Z1586,DataShift!AB793:AV793)/SQRT(SUMPRODUCT(DataShift!F1586:Z1586,DataShift!F1586:Z1586)*SUMPRODUCT(DataShift!AB793:AV793,DataShift!AB793:AV793)),0)</f>
        <v>-0.81987951959002159</v>
      </c>
      <c r="T94" s="892">
        <f ca="1">IFERROR(SUMPRODUCT(DataShift!F1586:Z1586,DataShift!F793:Z793)/SQRT(SUMPRODUCT(DataShift!F1586:Z1586,DataShift!F1586:Z1586)*SUMPRODUCT(DataShift!F793:Z793,DataShift!F793:Z793)),0)</f>
        <v>8.5241995711715802E-3</v>
      </c>
      <c r="U94" s="1004">
        <v>77100</v>
      </c>
      <c r="V94" s="1004">
        <v>0</v>
      </c>
      <c r="W94" s="1004">
        <v>0</v>
      </c>
      <c r="X94" s="892" t="str">
        <f ca="1">IF(TabCalc[[#This Row],[EfCost]]+TabCalc[[#This Row],[M_V]]&lt;TabCalc[[#This Row],[NoT_GL]],"Pile","")</f>
        <v>Pile</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-42,163 = $ -411,722</v>
      </c>
      <c r="Z94" s="211">
        <f ca="1">MIN(TabCalc[[#This Row],[L_Bn]],TabCalc[[#This Row],[NAfter]])*(TabCalc[[#This Row],[M]]+TabCalc[[#This Row],[L_Bp]])*TabCalc[[#This Row],[Scale]]</f>
        <v>341167.50000000006</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-2544.3000000000466</v>
      </c>
      <c r="AQ94" s="334">
        <f ca="1">_xlfn.LET(_xlpm.MVToday,DataShift!AV594,         _xlpm.MVY,DataShift!AU594,        _xlpm.MVYY, DataShift!AT594,                                IF(_xlpm.MVToday=_xlpm.MVY,_xlpm.MVY-_xlpm.MVYY,_xlpm.MVToday-_xlpm.MVY))</f>
        <v>870</v>
      </c>
      <c r="AR94" s="334">
        <f ca="1">_xlfn.LET(_xlpm.MVToday,DataShift!AV594,         _xlpm.MVY,DataShift!AU594,        _xlpm.MVYY, DataShift!AT594,         _xlpm.MVYYY, DataShift!AS594,                      IF(_xlpm.MVToday=_xlpm.MVY,      _xlpm.MVYY-_xlpm.MVYYY,          _xlpm.MVY-_xlpm.MVYY))</f>
        <v>135</v>
      </c>
      <c r="AS94" s="977">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                TabCalc[[#This Row],[Cur]]="EUR",Timer!F$18,                  TabCalc[[#This Row],[Cur]]="GBP",Timer!F$12,                          TabCalc[[#This Row],[Cur]]="CAD",Timer!F$27,                TabCalc[[#This Row],[Cur]]="JPY",Timer!F$31,                      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341167.5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0</v>
      </c>
      <c r="BH94" s="336">
        <f ca="1">TabCalc[[#This Row],[M_V]]+TabCalc[[#This Row],[ValueBegin]]</f>
        <v>341167.5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94" s="159" cm="1">
        <f t="array" aca="1" ref="BK94" ca="1">SUMPRODUCT(ISNUMBER(INDIRECT("TabReg["&amp;TabCalc[[#This Row],[Ticker]]&amp;"2]"))* INDIRECT("TabReg["&amp;TabCalc[[#This Row],[Ticker]]&amp;"1]") * INDIRECT("TabReg["&amp;TabCalc[[#This Row],[Ticker]]&amp;"2]") )*TabCalc[[#This Row],[Scale]]*(1+Commission)</f>
        <v>-412784.45639999997</v>
      </c>
      <c r="BL94" s="159">
        <f ca="1">TabCalc[[#This Row],[M_V]]*(1-Commission)+TabCalc[[#This Row],[EfCost]]</f>
        <v>338139.55170000001</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Pile</v>
      </c>
      <c r="BS94" s="165">
        <f ca="1">_xlfn.XLOOKUP(TabCalc[[#This Row],[Ticker]],[1]!RTData[Ticker_Symbol],[1]!RTData[Last trade time])</f>
        <v>45980.715381944443</v>
      </c>
      <c r="BT94" s="175">
        <f ca="1">(TabCalc[[#This Row],[ValueBegin]]+(TabCalc[[#This Row],[M]]-TabCalc[[#This Row],[A]])*TabCalc[[#This Row],[NAfter]])*TabCalc[[#This Row],[Scale]]</f>
        <v>-70546.499999999942</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341167.50000000006</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1129.9435028248586</v>
      </c>
      <c r="CX94" s="405">
        <f ca="1">TabCalc[[#This Row],[ntoSell]]*TabCalc[[#This Row],[M]]</f>
        <v>11033.898305084744</v>
      </c>
      <c r="CY94" s="398">
        <f ca="1">_xlfn.LET(_xlpm.nToSell,IF(TabCalc[[#This Row],[M]]-TabCalc[[#This Row],[A]]&lt;=0,"",INT(DesiredSaleGain/(TabCalc[[#This Row],[M]]-IF(TabCalc[[#This Row],[E]]&gt;0,0,TabCalc[[#This Row],[A]])))),IF(_xlpm.nToSell&lt;=TabCalc[[#This Row],[NAfter]],_xlpm.nToSell,0))</f>
        <v>1129</v>
      </c>
      <c r="CZ94" s="336">
        <f ca="1">IFERROR(TabCalc[[#This Row],[NMA]]*TabCalc[[#This Row],[M]],"")</f>
        <v>11024.685000000001</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341167.50000000006</v>
      </c>
      <c r="DB94" s="90">
        <f ca="1">IFERROR((TabCalc[[#This Row],[M]]+TabCalc[[#This Row],[L_Bp]])/ABS(TabCalc[[#This Row],[L_Bp]])/(TODAY()-TabCalc[[#This Row],[L_Bdate]])*360,"")</f>
        <v>0.23415589226183134</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752881.5</v>
      </c>
      <c r="DF94" s="87" cm="1">
        <f t="array" aca="1" ref="DF94" ca="1">SUMPRODUCT(ISNUMBER(INDIRECT("TabReg["&amp;TabCalc[[#This Row],[Ticker]]&amp;"2]"))* INDIRECT("TabReg["&amp;TabCalc[[#This Row],[Ticker]]&amp;"1]") * INDIRECT("TabReg["&amp;TabCalc[[#This Row],[Ticker]]&amp;"2]") )*TabCalc[[#This Row],[Scale]]</f>
        <v>-411714</v>
      </c>
      <c r="DI94" s="87">
        <f ca="1"/>
        <v>1738.25</v>
      </c>
      <c r="DJ94" s="90">
        <f t="shared" ca="1" si="6"/>
        <v>-3.7636195878914349</v>
      </c>
      <c r="DK94" t="str">
        <f ca="1">_xlfn.XLOOKUP(DI94,TabCalc[Column1],TabCalc[Ticker])</f>
        <v>SAFDDD</v>
      </c>
      <c r="DL94" s="87">
        <f ca="1">_xlfn.XLOOKUP(DK94,TabCalc[Ticker],TabCalc[ValueBegin])</f>
        <v>-42168.5</v>
      </c>
      <c r="DM94" s="87">
        <f ca="1">_xlfn.XLOOKUP(DK94,TabCalc[Ticker],TabCalc[M_V])</f>
        <v>224950</v>
      </c>
      <c r="DN94" s="87">
        <f ca="1">_xlfn.XLOOKUP(DK94,TabCalc[Ticker],TabCalc[GL])</f>
        <v>-158706.19259199998</v>
      </c>
      <c r="DO94" s="90"/>
      <c r="DP94" s="90"/>
      <c r="DQ94" s="88" t="s">
        <v>89</v>
      </c>
      <c r="DR94" s="81">
        <v>3200</v>
      </c>
      <c r="DS94" s="315">
        <v>-26.21</v>
      </c>
      <c r="DU94" s="82">
        <v>801994.2</v>
      </c>
      <c r="DV94" s="82">
        <f ca="1">DU94-TabCalc[[#This Row],[M_V]]</f>
        <v>49112.699999999953</v>
      </c>
    </row>
    <row r="95" spans="1:126" x14ac:dyDescent="0.3">
      <c r="A95" s="120" t="str">
        <f ca="1">_xlfn.XLOOKUP(TabCalc[[#This Row],[Ticker]],[1]!RTData[Ticker_Symbol],[1]!RTData[Currency])</f>
        <v>EUR</v>
      </c>
      <c r="B95" s="121">
        <f ca="1">IF(TabCalc[[#This Row],[Cur]]="GBP",0.01,1)</f>
        <v>1</v>
      </c>
      <c r="C95" s="82">
        <f ca="1">_xlfn.XLOOKUP(TabCalc[[#This Row],[Ticker]],DQ$3:DQ$96,DR$3:DR$96)</f>
        <v>500</v>
      </c>
      <c r="D95" s="1142">
        <f ca="1">_xlfn.XLOOKUP(TabCalc[[#This Row],[Ticker]],DQ$3:DQ$96,DS$3:DS$96)</f>
        <v>-723.74</v>
      </c>
      <c r="E95" s="121">
        <f t="shared" ca="1" si="7"/>
        <v>-361870</v>
      </c>
      <c r="F95" s="82">
        <f ca="1">TabCalc[[#This Row],[NAfter]]*TabCalc[[#This Row],[M]]*TabCalc[[#This Row],[Scale]]</f>
        <v>177320</v>
      </c>
      <c r="G95" s="82">
        <f ca="1">IFERROR(TabCalc[[#This Row],[SB]]-TabCalc[[#This Row],[SST]],TabCalc[[#This Row],[SB]])</f>
        <v>200</v>
      </c>
      <c r="H95" s="532" t="str">
        <f ca="1">[1]!RTData[[#This Row],[Ticker_Symbol]]</f>
        <v>JBASML</v>
      </c>
      <c r="I95" s="383">
        <f ca="1">_xlfn.XLOOKUP(TabCalc[[#This Row],[Ticker]],[1]!RTData[Ticker_Symbol],[1]!RTData[M-Price])</f>
        <v>886.6</v>
      </c>
      <c r="J95" s="382">
        <v>723.74</v>
      </c>
      <c r="K95" s="381">
        <f ca="1">_xlfn.XLOOKUP(TabCalc[[#This Row],[Ticker]],[1]!RTData[Ticker_Symbol],[1]!RTData[1YT])</f>
        <v>941.90326000000005</v>
      </c>
      <c r="L95" s="382">
        <f ca="1">IF(OR(TabCalc[[#This Row],[NAfter]]=0,TabCalc[[#This Row],[EfCost]]&gt;0),0,TabCalc[[#This Row],[EfCost]]/TabCalc[[#This Row],[NAfter]]/TabCalc[[#This Row],[Scale]])</f>
        <v>-568.52432999999996</v>
      </c>
      <c r="M95" s="732">
        <f ca="1">_xlfn.XLOOKUP(TabCalc[[#This Row],[Ticker]],[1]!RTData[Ticker_Symbol],[1]!RTData[Change%])</f>
        <v>2.4260999999999998E-2</v>
      </c>
      <c r="N95" s="1065">
        <v>0</v>
      </c>
      <c r="O95" s="892">
        <f>TabCalc[[#This Row],[Up20]]-1+TabCalc[[#This Row],[Up20]]</f>
        <v>-1</v>
      </c>
      <c r="P95" s="892">
        <f>TabCalc[[#This Row],[Up20]]-TabCalc[[#This Row],[Up150]]</f>
        <v>-0.5625</v>
      </c>
      <c r="Q95" s="892">
        <v>0.5625</v>
      </c>
      <c r="R95" s="892">
        <f>TabCalc[[#This Row],[Up150]]-1+TabCalc[[#This Row],[Up150]]</f>
        <v>0.125</v>
      </c>
      <c r="S95" s="892">
        <f ca="1">IFERROR(SUMPRODUCT(DataShift!F1587:Z1587,DataShift!AB794:AV794)/SQRT(SUMPRODUCT(DataShift!F1587:Z1587,DataShift!F1587:Z1587)*SUMPRODUCT(DataShift!AB794:AV794,DataShift!AB794:AV794)),0)</f>
        <v>-0.69900039162308392</v>
      </c>
      <c r="T95" s="892">
        <f ca="1">IFERROR(SUMPRODUCT(DataShift!F1587:Z1587,DataShift!F794:Z794)/SQRT(SUMPRODUCT(DataShift!F1587:Z1587,DataShift!F1587:Z1587)*SUMPRODUCT(DataShift!F794:Z794,DataShift!F794:Z794)),0)</f>
        <v>0</v>
      </c>
      <c r="U95" s="1004">
        <v>200</v>
      </c>
      <c r="V95" s="1004">
        <v>0</v>
      </c>
      <c r="W95" s="1004">
        <v>0</v>
      </c>
      <c r="X95" s="892"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32572.000000000004</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-17519.999999999993</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5100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77">
        <f ca="1">TabCalc[[#This Row],[Y]]/TabCalc[[#This Row],[M]]</f>
        <v>1.0623767877284007</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-0.20254343505758401</v>
      </c>
      <c r="AY95" s="82">
        <f t="shared" ca="1" si="8"/>
        <v>300</v>
      </c>
      <c r="AZ95" s="90">
        <f ca="1">_xlfn.XLOOKUP(TabCalc[[#This Row],[Ticker]],[1]!RTData[Ticker_Symbol],[1]!RTData[V/VA])</f>
        <v>1.0213644846396783</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1.0213644846396783</v>
      </c>
      <c r="BC95" s="87" cm="1">
        <f t="array" aca="1" ref="BC95" ca="1">INDEX(TabReg[], 1, _xlfn.XMATCH(TabCalc[[#This Row],[Ticker]]&amp;1, TabReg[#Headers], 0))</f>
        <v>500</v>
      </c>
      <c r="BD95" s="159">
        <f ca="1">TabCalc[[#This Row],[Nbegin]]*TabCalc[[#This Row],[M]]*TabCalc[[#This Row],[Scale]]+TabCalc[[#This Row],[ValueBegin]]</f>
        <v>81430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-184550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K95" s="159" cm="1">
        <f t="array" aca="1" ref="BK95" ca="1">SUMPRODUCT(ISNUMBER(INDIRECT("TabReg["&amp;TabCalc[[#This Row],[Ticker]]&amp;"2]"))* INDIRECT("TabReg["&amp;TabCalc[[#This Row],[Ticker]]&amp;"1]") * INDIRECT("TabReg["&amp;TabCalc[[#This Row],[Ticker]]&amp;"2]") )*TabCalc[[#This Row],[Scale]]*(1+Commission)</f>
        <v>-113704.86599999999</v>
      </c>
      <c r="BL95" s="159">
        <f ca="1">TabCalc[[#This Row],[M_V]]*(1-Commission)+TabCalc[[#This Row],[EfCost]]</f>
        <v>63154.101999999999</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45980.708333333336</v>
      </c>
      <c r="BT95" s="175">
        <f ca="1">(TabCalc[[#This Row],[ValueBegin]]+(TabCalc[[#This Row],[M]]-TabCalc[[#This Row],[A]])*TabCalc[[#This Row],[NAfter]])*TabCalc[[#This Row],[Scale]]</f>
        <v>-329298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32572.000000000004</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30.701215768144415</v>
      </c>
      <c r="CX95" s="405">
        <f ca="1">TabCalc[[#This Row],[ntoSell]]*TabCalc[[#This Row],[M]]</f>
        <v>27219.697900036837</v>
      </c>
      <c r="CY95" s="398">
        <f ca="1">_xlfn.LET(_xlpm.nToSell,IF(TabCalc[[#This Row],[M]]-TabCalc[[#This Row],[A]]&lt;=0,"",INT(DesiredSaleGain/(TabCalc[[#This Row],[M]]-IF(TabCalc[[#This Row],[E]]&gt;0,0,TabCalc[[#This Row],[A]])))),IF(_xlpm.nToSell&lt;=TabCalc[[#This Row],[NAfter]],_xlpm.nToSell,0))</f>
        <v>30</v>
      </c>
      <c r="CZ95" s="336">
        <f ca="1">IFERROR(TabCalc[[#This Row],[NMA]]*TabCalc[[#This Row],[M]],"")</f>
        <v>26598</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32572.000000000004</v>
      </c>
      <c r="DB95" s="90">
        <f ca="1">IFERROR((TabCalc[[#This Row],[M]]+TabCalc[[#This Row],[L_Bp]])/ABS(TabCalc[[#This Row],[L_Bp]])/(TODAY()-TabCalc[[#This Row],[L_Bdate]])*360,"")</f>
        <v>0.26216570291160185</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443300</v>
      </c>
      <c r="DF95" s="87" cm="1">
        <f t="array" aca="1" ref="DF95" ca="1">SUMPRODUCT(ISNUMBER(INDIRECT("TabReg["&amp;TabCalc[[#This Row],[Ticker]]&amp;"2]"))* INDIRECT("TabReg["&amp;TabCalc[[#This Row],[Ticker]]&amp;"1]") * INDIRECT("TabReg["&amp;TabCalc[[#This Row],[Ticker]]&amp;"2]") )*TabCalc[[#This Row],[Scale]]</f>
        <v>-113410</v>
      </c>
      <c r="DI95" s="87">
        <f ca="1"/>
        <v>1361.25</v>
      </c>
      <c r="DJ95" s="90">
        <f t="shared" ca="1" si="6"/>
        <v>-1.9085067328287703E-2</v>
      </c>
      <c r="DK95" t="str">
        <f ca="1">_xlfn.XLOOKUP(DI95,TabCalc[Column1],TabCalc[Ticker])</f>
        <v>MVEUN0</v>
      </c>
      <c r="DL95" s="87">
        <f ca="1">_xlfn.XLOOKUP(DK95,TabCalc[Ticker],TabCalc[ValueBegin])</f>
        <v>-3543.4214999999999</v>
      </c>
      <c r="DM95" s="87">
        <f ca="1">_xlfn.XLOOKUP(DK95,TabCalc[Ticker],TabCalc[M_V])</f>
        <v>16940</v>
      </c>
      <c r="DN95" s="87">
        <f ca="1">_xlfn.XLOOKUP(DK95,TabCalc[Ticker],TabCalc[GL])</f>
        <v>-67.626437900002202</v>
      </c>
      <c r="DO95" s="90"/>
      <c r="DP95" s="90"/>
      <c r="DQ95" s="88" t="s">
        <v>1556</v>
      </c>
      <c r="DR95" s="81">
        <v>77100</v>
      </c>
      <c r="DS95" s="315">
        <v>-5.34</v>
      </c>
      <c r="DU95" s="82">
        <v>183600</v>
      </c>
      <c r="DV95" s="82">
        <f ca="1">DU95-TabCalc[[#This Row],[M_V]]</f>
        <v>6280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42">
        <f ca="1">_xlfn.XLOOKUP(TabCalc[[#This Row],[Ticker]],DQ$3:DQ$96,DS$3:DS$96)</f>
        <v>-9.02</v>
      </c>
      <c r="E96" s="121">
        <f t="shared" ca="1" si="7"/>
        <v>-451000</v>
      </c>
      <c r="F96" s="82">
        <f ca="1">TabCalc[[#This Row],[NAfter]]*TabCalc[[#This Row],[M]]*TabCalc[[#This Row],[Scale]]</f>
        <v>321300</v>
      </c>
      <c r="G96" s="82">
        <f ca="1">IFERROR(TabCalc[[#This Row],[SB]]-TabCalc[[#This Row],[SST]],TabCalc[[#This Row],[SB]])</f>
        <v>21000</v>
      </c>
      <c r="H96" s="532" t="str">
        <f ca="1">[1]!RTData[[#This Row],[Ticker_Symbol]]</f>
        <v>JBEOAN</v>
      </c>
      <c r="I96" s="383">
        <f ca="1">_xlfn.XLOOKUP(TabCalc[[#This Row],[Ticker]],[1]!RTData[Ticker_Symbol],[1]!RTData[M-Price])</f>
        <v>15.3</v>
      </c>
      <c r="J96" s="382">
        <v>14.453216142857142</v>
      </c>
      <c r="K96" s="381">
        <f ca="1">_xlfn.XLOOKUP(TabCalc[[#This Row],[Ticker]],[1]!RTData[Ticker_Symbol],[1]!RTData[1YT])</f>
        <v>16.919589999999999</v>
      </c>
      <c r="L96" s="382">
        <f ca="1">IF(OR(TabCalc[[#This Row],[NAfter]]=0,TabCalc[[#This Row],[EfCost]]&gt;0),0,TabCalc[[#This Row],[EfCost]]/TabCalc[[#This Row],[NAfter]]/TabCalc[[#This Row],[Scale]])</f>
        <v>-0.77806434025714244</v>
      </c>
      <c r="M96" s="732">
        <f ca="1">_xlfn.XLOOKUP(TabCalc[[#This Row],[Ticker]],[1]!RTData[Ticker_Symbol],[1]!RTData[Change%])</f>
        <v>-2.6079999999999996E-3</v>
      </c>
      <c r="N96" s="1065">
        <v>0</v>
      </c>
      <c r="O96" s="892">
        <f>TabCalc[[#This Row],[Up20]]-1+TabCalc[[#This Row],[Up20]]</f>
        <v>-1</v>
      </c>
      <c r="P96" s="892">
        <f>TabCalc[[#This Row],[Up20]]-TabCalc[[#This Row],[Up150]]</f>
        <v>0</v>
      </c>
      <c r="Q96" s="892">
        <v>0</v>
      </c>
      <c r="R96" s="892">
        <f>TabCalc[[#This Row],[Up150]]-1+TabCalc[[#This Row],[Up150]]</f>
        <v>-1</v>
      </c>
      <c r="S96" s="892">
        <f ca="1">IFERROR(SUMPRODUCT(DataShift!F1588:Z1588,DataShift!AB795:AV795)/SQRT(SUMPRODUCT(DataShift!F1588:Z1588,DataShift!F1588:Z1588)*SUMPRODUCT(DataShift!AB795:AV795,DataShift!AB795:AV795)),0)</f>
        <v>-0.79370914974811724</v>
      </c>
      <c r="T96" s="892">
        <f ca="1">IFERROR(SUMPRODUCT(DataShift!F1588:Z1588,DataShift!F795:Z795)/SQRT(SUMPRODUCT(DataShift!F1588:Z1588,DataShift!F1588:Z1588)*SUMPRODUCT(DataShift!F795:Z795,DataShift!F795:Z795)),0)</f>
        <v>0.3427578709265463</v>
      </c>
      <c r="U96" s="1004">
        <v>18000</v>
      </c>
      <c r="V96" s="1004">
        <v>3000</v>
      </c>
      <c r="W96" s="1004">
        <v>0</v>
      </c>
      <c r="X96" s="892"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450.00000000000108</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2400.0000000000023</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2460.0000000000009</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7920.0000000000018</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3"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-315</v>
      </c>
      <c r="AQ96" s="334">
        <f ca="1">_xlfn.LET(_xlpm.MVToday,DataShift!AV596,         _xlpm.MVY,DataShift!AU598,        _xlpm.MVYY, DataShift!AT598,                                IF(_xlpm.MVToday=_xlpm.MVY,_xlpm.MVY-_xlpm.MVYY,_xlpm.MVToday-_xlpm.MVY))</f>
        <v>431581.5</v>
      </c>
      <c r="AR96" s="334">
        <f ca="1">_xlfn.LET(_xlpm.MVToday,DataShift!AV596,         _xlpm.MVY,DataShift!AU598,        _xlpm.MVYY, DataShift!AT598,         _xlpm.MVYYY, DataShift!AS598,                      IF(_xlpm.MVToday=_xlpm.MVY,      _xlpm.MVYY-_xlpm.MVYYY,          _xlpm.MVY-_xlpm.MVYY))</f>
        <v>1470</v>
      </c>
      <c r="AS96" s="977">
        <f ca="1">TabCalc[[#This Row],[Y]]/TabCalc[[#This Row],[M]]</f>
        <v>1.1058555555555554</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-1.641096026997807E-2</v>
      </c>
      <c r="AY96" s="82">
        <f t="shared" ca="1" si="8"/>
        <v>29000</v>
      </c>
      <c r="AZ96" s="90">
        <f ca="1">_xlfn.XLOOKUP(TabCalc[[#This Row],[Ticker]],[1]!RTData[Ticker_Symbol],[1]!RTData[V/VA])</f>
        <v>3.4286087467618696E-4</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3.4286087467618696E-4</v>
      </c>
      <c r="BC96" s="87" cm="1">
        <f t="array" aca="1" ref="BC96" ca="1">INDEX(TabReg[], 1, _xlfn.XMATCH(TabCalc[[#This Row],[Ticker]]&amp;1, TabReg[#Headers], 0))</f>
        <v>50000</v>
      </c>
      <c r="BD96" s="159">
        <f ca="1">TabCalc[[#This Row],[Nbegin]]*TabCalc[[#This Row],[M]]*TabCalc[[#This Row],[Scale]]+TabCalc[[#This Row],[ValueBegin]]</f>
        <v>314000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-129700</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K96" s="159" cm="1">
        <f t="array" aca="1" ref="BK96" ca="1">SUMPRODUCT(ISNUMBER(INDIRECT("TabReg["&amp;TabCalc[[#This Row],[Ticker]]&amp;"2]"))* INDIRECT("TabReg["&amp;TabCalc[[#This Row],[Ticker]]&amp;"1]") * INDIRECT("TabReg["&amp;TabCalc[[#This Row],[Ticker]]&amp;"2]") )*TabCalc[[#This Row],[Scale]]*(1+Commission)</f>
        <v>-16339.351145399991</v>
      </c>
      <c r="BL96" s="159">
        <f ca="1">TabCalc[[#This Row],[M_V]]*(1-Commission)+TabCalc[[#This Row],[EfCost]]</f>
        <v>304125.26885460003</v>
      </c>
      <c r="BM96" s="159">
        <f ca="1">IF(        OR( TabCalc[[#This Row],[GL]]&gt;ABS(TabCalc[[#This Row],[EfCost]]),TabCalc[[#This Row],[NAfter]]=0),             TabCalc[[#This Row],[GL]],     0)</f>
        <v>304125.26885460003</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v>
      </c>
      <c r="BR96" s="174" t="str">
        <f ca="1">IF(TabCalc[[#This Row],[EfCost]]+TabCalc[[#This Row],[M_V]]&lt;TabCalc[[#This Row],[NoT_GL]],"Pile","")</f>
        <v>Pile</v>
      </c>
      <c r="BS96" s="165">
        <f ca="1">_xlfn.XLOOKUP(TabCalc[[#This Row],[Ticker]],[1]!RTData[Ticker_Symbol],[1]!RTData[Last trade time])</f>
        <v>45980.71597222222</v>
      </c>
      <c r="BT96" s="175">
        <f ca="1">(TabCalc[[#This Row],[ValueBegin]]+(TabCalc[[#This Row],[M]]-TabCalc[[#This Row],[A]])*TabCalc[[#This Row],[NAfter]])*TabCalc[[#This Row],[Scale]]</f>
        <v>-433217.53899999999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_xlfn.LET(_xlpm.LAST_T,TabCalc[[#This Row],[L_TP]],_xlfn.IFS(_xlpm.LAST_T&lt;0,"Purchase",_xlpm.LAST_T&gt;0,"Sale"))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17782.461000000025</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6097.5609756097538</v>
      </c>
      <c r="CV96" s="404">
        <f ca="1">IF(TabCalc[[#This Row],[ntoBuy]]*TabCalc[[#This Row],[M]]&lt;=0,0,TabCalc[[#This Row],[ntoBuy]]*TabCalc[[#This Row],[M]])</f>
        <v>93292.682926829235</v>
      </c>
      <c r="CW96" s="404">
        <f ca="1">IF(TabCalc[[#This Row],[M]]&gt;ABS(TabCalc[[#This Row],[L_Bp]]),MIN(TabCalc[[#This Row],[NAfter]],DesiredSaleGain/(TabCalc[[#This Row],[M]]+TabCalc[[#This Row],[L_Bp]])),0)/TabCalc[[#This Row],[Scale]]</f>
        <v>21000</v>
      </c>
      <c r="CX96" s="405">
        <f ca="1">TabCalc[[#This Row],[ntoSell]]*TabCalc[[#This Row],[M]]</f>
        <v>321300</v>
      </c>
      <c r="CY96" s="399">
        <f ca="1">_xlfn.LET(_xlpm.nToSell,IF(TabCalc[[#This Row],[M]]-TabCalc[[#This Row],[A]]&lt;=0,"",INT(DesiredSaleGain/(TabCalc[[#This Row],[M]]-IF(TabCalc[[#This Row],[E]]&gt;0,0,TabCalc[[#This Row],[A]])))),IF(_xlpm.nToSell&lt;=TabCalc[[#This Row],[NAfter]],_xlpm.nToSell,0))</f>
        <v>5904</v>
      </c>
      <c r="CZ96" s="336">
        <f ca="1">IFERROR(TabCalc[[#This Row],[NMA]]*TabCalc[[#This Row],[M]],"")</f>
        <v>90331.199999999997</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17782.461000000025</v>
      </c>
      <c r="DB96" s="90">
        <f ca="1">IFERROR((TabCalc[[#This Row],[M]]+TabCalc[[#This Row],[L_Bp]])/ABS(TabCalc[[#This Row],[L_Bp]])/(TODAY()-TabCalc[[#This Row],[L_Bdate]])*360,"")</f>
        <v>0.59405940594059536</v>
      </c>
      <c r="DC96" s="310">
        <f ca="1">MEDIAN(DataShift!F795:Z795)</f>
        <v>-1.505E-3</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765000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-2.0730615757575754</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-28732.633439999998</v>
      </c>
      <c r="DO96" s="90"/>
      <c r="DP96" s="90"/>
      <c r="DQ96" s="88" t="s">
        <v>2529</v>
      </c>
      <c r="DR96" s="81">
        <v>500</v>
      </c>
      <c r="DS96" s="315">
        <v>-723.74</v>
      </c>
      <c r="DU96" s="82">
        <v>283500</v>
      </c>
      <c r="DV96" s="82">
        <f ca="1">DU96-TabCalc[[#This Row],[M_V]]</f>
        <v>-37800</v>
      </c>
    </row>
    <row r="97" spans="1:109" ht="23" thickBot="1" x14ac:dyDescent="0.35">
      <c r="A97" s="216"/>
      <c r="B97" s="216"/>
      <c r="D97" s="216"/>
      <c r="E97" s="85">
        <f ca="1">SUBTOTAL(109,TabCalc[ValueBegin])</f>
        <v>-25594821.556763712</v>
      </c>
      <c r="F97" s="82">
        <f ca="1">SUBTOTAL(109,TabCalc[M_V])</f>
        <v>33315220.589399997</v>
      </c>
      <c r="H97" t="s">
        <v>1086</v>
      </c>
      <c r="I97" s="216"/>
      <c r="J97" s="217"/>
      <c r="K97" s="34"/>
      <c r="L97" s="217"/>
      <c r="M97" s="733"/>
      <c r="N97" s="889"/>
      <c r="O97" s="888"/>
      <c r="P97" s="888"/>
      <c r="Q97" s="888"/>
      <c r="R97" s="888"/>
      <c r="S97" s="733">
        <f ca="1">SUBTOTAL(101,TabCalc[DPWC150])</f>
        <v>-0.64734560860050339</v>
      </c>
      <c r="T97" s="733">
        <f ca="1">SUBTOTAL(101,TabCalc[DPWC20])</f>
        <v>9.5009987077457364E-2</v>
      </c>
      <c r="U97" s="733"/>
      <c r="V97" s="733"/>
      <c r="W97" s="11">
        <f>SUBTOTAL(103,TabCalc[NMZ])</f>
        <v>94</v>
      </c>
      <c r="X97" s="11">
        <f ca="1">COUNTIF(TabCalc[Type],"Pile")</f>
        <v>45</v>
      </c>
      <c r="Y97" s="216"/>
      <c r="Z97" s="368">
        <f ca="1">SUBTOTAL(109,TabCalc[Rev(MinStock)])</f>
        <v>123513.85930699986</v>
      </c>
      <c r="AA97" s="369"/>
      <c r="AB97" s="369"/>
      <c r="AC97" s="369"/>
      <c r="AD97" s="368">
        <f ca="1">SUBTOTAL(109,TabCalc[ReverseS1])</f>
        <v>17240.061140000031</v>
      </c>
      <c r="AE97" s="369"/>
      <c r="AF97" s="369"/>
      <c r="AG97" s="370"/>
      <c r="AH97" s="371">
        <f ca="1">SUBTOTAL(109,TabCalc[ReverseB])</f>
        <v>79732.369999999966</v>
      </c>
      <c r="AI97" s="372"/>
      <c r="AJ97" s="369"/>
      <c r="AK97" s="370"/>
      <c r="AL97" s="371">
        <f ca="1">SUBTOTAL(109,TabCalc[ReverseB1])</f>
        <v>219676.89059999998</v>
      </c>
      <c r="AM97" s="218"/>
      <c r="AN97" s="367"/>
      <c r="AO97" s="367"/>
      <c r="AP97" s="978">
        <f ca="1">SUBTOTAL(109,TabCalc[SaldOp])</f>
        <v>-45219.065600000955</v>
      </c>
      <c r="AQ97" s="979"/>
      <c r="AR97" s="979"/>
      <c r="AS97" s="980">
        <f ca="1">SUBTOTAL(101,TabCalc[Gravity])</f>
        <v>1.416090425132301</v>
      </c>
      <c r="AT97" s="1"/>
      <c r="AU97" s="1"/>
      <c r="AX97" s="305">
        <f ca="1">SUBTOTAL(105,TabCalc[Repulse])</f>
        <v>-12814.038275732766</v>
      </c>
      <c r="BC97" s="1360">
        <f ca="1">SUBTOTAL(109,TabCalc[NoT_C])</f>
        <v>5005553</v>
      </c>
      <c r="BD97" s="158">
        <f ca="1">SUBTOTAL(109,TabCalc[NoT_GL])</f>
        <v>9155619.7780362815</v>
      </c>
      <c r="BE97" s="158">
        <f ca="1">SUBTOTAL(109,TabCalc[GLStatus])</f>
        <v>0</v>
      </c>
      <c r="BF97" s="158">
        <f ca="1">SUBTOTAL(109,TabCalc[AddBuys])</f>
        <v>-72884256.495138019</v>
      </c>
      <c r="BG97" s="158">
        <f ca="1">SUBTOTAL(109,TabCalc[AddCash])</f>
        <v>-9646301.0888202917</v>
      </c>
      <c r="BH97" s="158">
        <f ca="1">SUBTOTAL(109,TabCalc[AddValue])</f>
        <v>7720399.0326362848</v>
      </c>
      <c r="BI97" s="158">
        <f ca="1">SUBTOTAL(109,TabCalc[Tot_Paid])</f>
        <v>-98479078.051901713</v>
      </c>
      <c r="BJ97" s="158">
        <f ca="1">SUBTOTAL(109,TabCalc[S_Income])</f>
        <v>75711843.652659714</v>
      </c>
      <c r="BK97" s="158">
        <f ca="1">SUBTOTAL(109,TabCalc[EfCost])</f>
        <v>-22372506.519761477</v>
      </c>
      <c r="BL97" s="158">
        <f ca="1">SUBTOTAL(109,TabCalc[GL])</f>
        <v>10856094.496106077</v>
      </c>
      <c r="BM97" s="158">
        <f ca="1">SUBTOTAL(109,TabCalc[Cost+Gain])</f>
        <v>10803834.942822231</v>
      </c>
      <c r="BN97" s="158">
        <f ca="1">SUBTOTAL(109,TabCalc[SB])</f>
        <v>8878037</v>
      </c>
      <c r="BO97" s="158">
        <f ca="1">SUBTOTAL(109,TabCalc[SABT])</f>
        <v>3905286</v>
      </c>
      <c r="BP97" s="158">
        <f ca="1">SUBTOTAL(109,TabCalc[SST])</f>
        <v>3873924</v>
      </c>
      <c r="BQ97" s="11"/>
      <c r="BR97" s="126"/>
      <c r="BS97" s="11"/>
      <c r="BT97" s="158">
        <f ca="1">SUBTOTAL(109,TabCalc[CostReduct])</f>
        <v>-23880144.988667578</v>
      </c>
      <c r="BU97" s="218"/>
      <c r="BV97" s="11"/>
      <c r="BW97" s="11"/>
      <c r="BX97" s="11"/>
      <c r="BY97" s="11"/>
      <c r="BZ97" s="220"/>
      <c r="CA97" s="158">
        <f ca="1">SUBTOTAL(109,TabCalc[Resale(ME)])</f>
        <v>7227734.7242731471</v>
      </c>
      <c r="CB97" s="11"/>
      <c r="CC97" s="11"/>
      <c r="CD97" s="11"/>
      <c r="CE97" s="11"/>
      <c r="CF97" s="11"/>
      <c r="CG97" s="11"/>
      <c r="CH97" s="11"/>
      <c r="CI97" s="11"/>
      <c r="CJ97" s="11"/>
      <c r="CK97" s="11"/>
      <c r="CL97" s="11"/>
      <c r="CM97" s="11"/>
      <c r="CN97" s="11"/>
      <c r="CO97" s="11"/>
      <c r="CP97" s="11"/>
      <c r="CQ97" s="11"/>
      <c r="CR97" s="11"/>
      <c r="CS97" s="11"/>
      <c r="CT97" s="219">
        <f ca="1">SUBTOTAL(109,TabCalc[WB2P])</f>
        <v>-8997.1440168888912</v>
      </c>
      <c r="CU97" s="11">
        <f ca="1">SUBTOTAL(103,TabCalc[ntoBuy])</f>
        <v>94</v>
      </c>
      <c r="CV97" s="407">
        <f ca="1">SUBTOTAL(109,TabCalc[BuyCost])</f>
        <v>187356009.36418107</v>
      </c>
      <c r="CW97" s="11"/>
      <c r="CX97" s="407">
        <f ca="1">SUBTOTAL(109,TabCalc[vReverse])</f>
        <v>27865352.140966013</v>
      </c>
      <c r="CY97" s="11"/>
      <c r="CZ97" s="11"/>
      <c r="DA97" s="11"/>
      <c r="DB97" s="1054">
        <f ca="1">SUBTOTAL(101,TabCalc[Ann%RevLB])</f>
        <v>257.70484163382224</v>
      </c>
      <c r="DC97" s="1054"/>
      <c r="DD97" s="11"/>
      <c r="DE97" s="1366">
        <f ca="1">SUBTOTAL(109,TabCalc[Column1])</f>
        <v>34750441.33479999</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34750441.33479999</v>
      </c>
      <c r="AZ99" s="82">
        <f ca="1">TabCalc[[#Totals],[GLStatus]]+TabCalc[[#Totals],[EfCost]]</f>
        <v>-22372506.519761477</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508" t="s">
        <v>945</v>
      </c>
      <c r="BK100" s="1509"/>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-25124086.208417647</v>
      </c>
      <c r="BQ101"/>
      <c r="BT101" s="82"/>
      <c r="BW101" t="s">
        <v>2422</v>
      </c>
    </row>
    <row r="102" spans="1:109" ht="23" thickBot="1" x14ac:dyDescent="0.35">
      <c r="AW102" t="s">
        <v>2746</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2745</v>
      </c>
      <c r="BK102" s="332" t="s">
        <v>2744</v>
      </c>
      <c r="BL102" s="846" t="s">
        <v>2743</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35169524.814999998</v>
      </c>
      <c r="AX103" s="704" t="s">
        <v>1461</v>
      </c>
      <c r="AY103" s="93">
        <f ca="1">BI103+BD103</f>
        <v>6237698.74796547</v>
      </c>
      <c r="AZ103" s="82">
        <f ca="1">SUMIF(TabCalc[EfCost],"&gt;=0",TabCalc[EfCost])</f>
        <v>2751579.6886561606</v>
      </c>
      <c r="BA103" s="82">
        <f ca="1">SUMIF(TabCalc[EfCost],"&lt;0",TabCalc[EfCost])</f>
        <v>-25124086.208417647</v>
      </c>
      <c r="BB103" s="93">
        <f ca="1">SUMIF(TabCalc[GL],"&gt;0",TabCalc[ValueBegin])</f>
        <v>-18101764.431799993</v>
      </c>
      <c r="BC103" s="93">
        <f ca="1">SUMIF(TabCalc[GL],"&gt;0",TabCalc[M_V])</f>
        <v>27966444.900000002</v>
      </c>
      <c r="BD103" s="93">
        <f ca="1">SUMIF(TabCalc[GL],"&gt;0",TabCalc[AddBuys])</f>
        <v>-59964719.728639558</v>
      </c>
      <c r="BE103" s="93">
        <f ca="1">SUMIF(TabCalc[GL],"&gt;=0",TabCalc[AddCash])</f>
        <v>-5681767.3096688967</v>
      </c>
      <c r="BF103" s="93">
        <f ca="1">SUMIF(TabCalc[GL],"&gt;=0",TabCalc[AddValue])</f>
        <v>9864680.4682000019</v>
      </c>
      <c r="BG103" s="93">
        <f ca="1">SUMIF(TabCalc[GL],"&gt;0",TabCalc[Tot_Paid])</f>
        <v>-78066484.160439551</v>
      </c>
      <c r="BH103" s="93">
        <f ca="1">SUMIF(TabCalc[GL],"&gt;0",TabCalc[EfCost])</f>
        <v>-11518915.717844589</v>
      </c>
      <c r="BI103" s="93">
        <f ca="1">SUMIF(TabCalc[GL],"&gt;0",TabCalc[S_Income])</f>
        <v>66202418.476605028</v>
      </c>
      <c r="BJ103" s="93">
        <f ca="1">SUMIF(TabCalc[NoT_GL],"&gt;0",TabCalc[NoT_GL])</f>
        <v>14630633.883200001</v>
      </c>
      <c r="BK103" s="93">
        <f ca="1">SUMIF(TabCalc[GL],"&gt;=0",TabCalc[GL])</f>
        <v>16374816.425415415</v>
      </c>
      <c r="BL103" s="93">
        <f ca="1">BC103+NetCash</f>
        <v>30718024.588656165</v>
      </c>
      <c r="BM103" s="93">
        <f ca="1">SUMIF(TabCalc[GL],"&gt;0",TabCalc[Cost+Gain])</f>
        <v>10832558.414982712</v>
      </c>
      <c r="BN103" s="93">
        <f ca="1">Commission*(BG103-BI103)</f>
        <v>-375099.1468563159</v>
      </c>
      <c r="BO103" s="87">
        <f ca="1">SUMIF(TabCalc[GL],"&gt;0",TabCalc[AddCash])</f>
        <v>-5681767.3096688967</v>
      </c>
      <c r="BP103" s="87">
        <f ca="1">SUMIF(TabCalc[GL],"&gt;0",TabCalc[S_Income])</f>
        <v>66202418.476605028</v>
      </c>
      <c r="BQ103" s="789" t="s">
        <v>2223</v>
      </c>
      <c r="BR103" s="790">
        <f ca="1">SUMIFS(TabCalc[M_V], TabCalc[Cur], "="&amp;$BR$102, TabCalc[GL], "&gt;0")</f>
        <v>5684332.7300000004</v>
      </c>
      <c r="BS103" s="790">
        <f ca="1">SUMIFS(TabCalc[M_V], TabCalc[Cur], "="&amp;$BS$102, TabCalc[GL], "&gt;0")</f>
        <v>20260242.169999998</v>
      </c>
      <c r="BT103" s="790">
        <f ca="1">SUMIFS(TabCalc[M_V], TabCalc[Cur], "="&amp;$BT$102, TabCalc[GL], "&gt;0")</f>
        <v>885230</v>
      </c>
      <c r="BU103" s="790">
        <v>361201</v>
      </c>
      <c r="BV103" s="789">
        <f ca="1">SUMIF(TabCalc[Cur],"="&amp;BV102,TabCalc[M_V])</f>
        <v>0</v>
      </c>
      <c r="BW103" s="87">
        <f ca="1">SUMIF(TabCalc[Cost+Gain],"&gt;0",TabCalc[M_V])</f>
        <v>10057775.4</v>
      </c>
      <c r="BX103" s="87">
        <f ca="1">SUMIF(TabCalc[GLStatus],"="&amp;BX102,TabCalc[M_V])</f>
        <v>17908669.5</v>
      </c>
      <c r="BY103" s="87">
        <f ca="1">SUMIF(TabCalc[GLStatus],"="&amp;BY102,TabCalc[M_V])</f>
        <v>5348775.6894000005</v>
      </c>
    </row>
    <row r="104" spans="1:109" x14ac:dyDescent="0.3">
      <c r="AW104" s="93" cm="1">
        <f t="array" aca="1" ref="AW104" ca="1">SUMPRODUCT(TabCalc[NoT_C],TabCalc[M]*TabCalc[Scale]*(TabCalc[GL]&lt;0))</f>
        <v>3545360.2548000007</v>
      </c>
      <c r="AX104" s="140" t="s">
        <v>1462</v>
      </c>
      <c r="AY104" s="93">
        <f ca="1">BI104+BD104</f>
        <v>-3410111.5904437378</v>
      </c>
      <c r="AZ104" s="82">
        <f ca="1">SUMIF(TabCalc[NAfter],0,TabCalc[GL])</f>
        <v>324807.49257605994</v>
      </c>
      <c r="BB104" s="93">
        <f ca="1">SUMIF(TabCalc[GL],"&lt;0",TabCalc[ValueBegin])</f>
        <v>-7493057.1249637175</v>
      </c>
      <c r="BC104" s="93">
        <f ca="1">SUMIF(TabCalc[GL],"&lt;0",TabCalc[M_V])</f>
        <v>5348775.6894000005</v>
      </c>
      <c r="BD104" s="93">
        <f ca="1">SUMIF(TabCalc[GL],"&lt;0",TabCalc[AddBuys])</f>
        <v>-12919536.766498456</v>
      </c>
      <c r="BE104" s="93">
        <f ca="1">SUMIF(TabCalc[GL],"&lt;0",TabCalc[AddCash])</f>
        <v>-3964533.7791513936</v>
      </c>
      <c r="BF104" s="93">
        <f ca="1">SUMIF(TabCalc[GL],"&lt;0",TabCalc[AddValue])</f>
        <v>-2144281.435563717</v>
      </c>
      <c r="BG104" s="93">
        <f ca="1">SUMIF(TabCalc[GL],"&lt;0",TabCalc[Tot_Paid])</f>
        <v>-20412593.891462173</v>
      </c>
      <c r="BH104" s="93">
        <f ca="1">SUMIF(TabCalc[GL],"&lt;0",TabCalc[EfCost])</f>
        <v>-10853590.801916895</v>
      </c>
      <c r="BI104" s="93">
        <f ca="1">SUMIF(TabCalc[GL],"&lt;0",TabCalc[S_Income])</f>
        <v>9509425.176054718</v>
      </c>
      <c r="BJ104" s="93">
        <f ca="1">SUMIF(TabCalc[NoT_GL],"&lt;0",TabCalc[NoT_GL])</f>
        <v>-5475014.1051637167</v>
      </c>
      <c r="BK104" s="93">
        <f ca="1">SUMIF(TabCalc[GL],"&lt;0",TabCalc[GL])</f>
        <v>-5518721.9293093337</v>
      </c>
      <c r="BL104" s="93">
        <f ca="1">BC104+BO104</f>
        <v>1384241.9102486069</v>
      </c>
      <c r="BM104" s="93">
        <f ca="1">SUMIF(TabCalc[GL],"&lt;0",TabCalc[Cost+Gain])</f>
        <v>-28723.472160479992</v>
      </c>
      <c r="BN104" s="93">
        <f ca="1">Commission*(BG104-BI104)</f>
        <v>-77797.249575543916</v>
      </c>
      <c r="BO104" s="87">
        <f ca="1">SUMIF(TabCalc[GL],"&lt;0",TabCalc[AddCash])</f>
        <v>-3964533.7791513936</v>
      </c>
      <c r="BP104" s="87">
        <f ca="1">SUMIF(TabCalc[GL],"&lt;0",TabCalc[S_Income])</f>
        <v>9509425.176054718</v>
      </c>
      <c r="BQ104" s="362" t="s">
        <v>2224</v>
      </c>
      <c r="BR104" s="795">
        <f ca="1">SUMIFS(TabCalc[M_V], TabCalc[Cur], "="&amp;$BR$102, TabCalc[GL], "&lt;0")</f>
        <v>3350750</v>
      </c>
      <c r="BS104" s="790">
        <f ca="1">SUMIFS(TabCalc[M_V], TabCalc[Cur], "="&amp;$BS$102, TabCalc[GL], "&lt;0")</f>
        <v>1998025.6893999998</v>
      </c>
      <c r="BT104" s="790">
        <f ca="1">SUMIFS(TabCalc[M_V], TabCalc[Cur], "="&amp;$BT$102, TabCalc[GL], "&lt;0")</f>
        <v>0</v>
      </c>
      <c r="BU104" s="790">
        <f ca="1">SUMIFS(TabCalc[M_V], TabCalc[Cur], BU$102, TabCalc[GL], "&lt;0")</f>
        <v>0</v>
      </c>
      <c r="BV104" s="789"/>
      <c r="BW104" s="310">
        <f ca="1">BW103/$BC$105</f>
        <v>0.30189730765883366</v>
      </c>
      <c r="BX104" s="310">
        <f ca="1">BX103/$BC$105</f>
        <v>0.5375521813503481</v>
      </c>
      <c r="BY104" s="310">
        <f ca="1">BY103/$BC$105</f>
        <v>0.1605505109908183</v>
      </c>
    </row>
    <row r="105" spans="1:109" x14ac:dyDescent="0.3">
      <c r="M105" cm="1">
        <f t="array" aca="1" ref="M105" ca="1">SUMPRODUCT((ISTEXT(TabCalc[Pile?]))*(NOT(_xlfn.ISFORMULA(TabCalc[Pile?]))))</f>
        <v>0</v>
      </c>
      <c r="AW105" s="93">
        <f ca="1">SUM(AW103:AW104)</f>
        <v>38714885.069799997</v>
      </c>
      <c r="AX105" t="s">
        <v>1908</v>
      </c>
      <c r="AZ105" s="82">
        <f ca="1">SUM(AZ103:AZ104)</f>
        <v>3076387.1812322205</v>
      </c>
      <c r="BB105" s="93">
        <f ca="1">TabCalc[[#Totals],[ValueBegin]]</f>
        <v>-25594821.556763712</v>
      </c>
      <c r="BC105" s="657">
        <f ca="1">TabCalc[[#Totals],[M_V]]</f>
        <v>33315220.589399997</v>
      </c>
      <c r="BJ105" s="93">
        <f ca="1">SUM(BJ103:BJ104)</f>
        <v>9155619.7780362852</v>
      </c>
      <c r="BK105" s="93">
        <f ca="1">SUM(BK103:BK104)</f>
        <v>10856094.496106081</v>
      </c>
      <c r="BL105" s="93">
        <f ca="1">SUM(BL103:BL104)</f>
        <v>32102266.498904772</v>
      </c>
      <c r="BN105" s="93">
        <f ca="1">SUM(BN103:BN104)</f>
        <v>-452896.39643185982</v>
      </c>
      <c r="BQ105" s="796" t="s">
        <v>2226</v>
      </c>
      <c r="BR105" s="797">
        <f ca="1">BR104-F8-F7-F57</f>
        <v>-1773549.9999999998</v>
      </c>
      <c r="BS105" s="791"/>
      <c r="BT105" s="789"/>
      <c r="BU105" s="789"/>
      <c r="BV105" s="789"/>
    </row>
    <row r="106" spans="1:109" x14ac:dyDescent="0.3">
      <c r="BA106" t="s">
        <v>2146</v>
      </c>
      <c r="BC106" s="93">
        <f ca="1">TabCalc[[#Totals],[EfCost]]</f>
        <v>-22372506.519761477</v>
      </c>
      <c r="BG106" s="82"/>
      <c r="BQ106" s="789" t="s">
        <v>2216</v>
      </c>
      <c r="BR106" s="792">
        <f ca="1">SUMIFS(TabCalc[GL], TabCalc[Cur], BR$102, TabCalc[GL], "&gt;0")</f>
        <v>3016541.6194554991</v>
      </c>
      <c r="BS106" s="790">
        <f ca="1">SUMIFS(TabCalc[GL], TabCalc[Cur], BS$102, TabCalc[GL], "&gt;0")</f>
        <v>11843935.849971753</v>
      </c>
      <c r="BT106" s="791">
        <f ca="1">SUMIFS(TabCalc[GL], TabCalc[Cur], BT$102, TabCalc[GL], "&gt;0")</f>
        <v>1380422.5667821621</v>
      </c>
      <c r="BU106" s="790">
        <f ca="1">SUMIFS(TabCalc[GL], TabCalc[Cur], BU$102, TabCalc[GL], "&gt;0")</f>
        <v>133916.38920600002</v>
      </c>
      <c r="BV106" s="789"/>
    </row>
    <row r="107" spans="1:109" x14ac:dyDescent="0.3">
      <c r="BA107" t="s">
        <v>2689</v>
      </c>
      <c r="BC107" s="82">
        <f ca="1">BC105+BC106</f>
        <v>10942714.06963852</v>
      </c>
      <c r="BF107" s="90">
        <f ca="1">ABS(BC107/BC106)</f>
        <v>0.48911435381515694</v>
      </c>
      <c r="BQ107" s="789" t="s">
        <v>2217</v>
      </c>
      <c r="BR107" s="793">
        <f ca="1">SUMIFS(TabCalc[EfCost], TabCalc[Cur], BR$102, TabCalc[GL], "&gt;0")</f>
        <v>-2653011.8454465</v>
      </c>
      <c r="BS107" s="793">
        <f ca="1">SUMIFS(TabCalc[EfCost], TabCalc[Cur], BS$102, TabCalc[GL], "&gt;0")</f>
        <v>-8363629.6903862469</v>
      </c>
      <c r="BT107" s="793">
        <f ca="1">SUMIFS(TabCalc[EfCost], TabCalc[Cur], BT$102, TabCalc[GL], "&gt;0")</f>
        <v>497494.16478216177</v>
      </c>
      <c r="BU107" s="793">
        <f ca="1">SUMIFS(TabCalc[EfCost], TabCalc[Cur], BU$102, TabCalc[GL], "&gt;0")</f>
        <v>-999768.34679400001</v>
      </c>
      <c r="BV107" s="789"/>
    </row>
    <row r="108" spans="1:109" hidden="1" x14ac:dyDescent="0.3">
      <c r="BC108" s="654" t="s">
        <v>2147</v>
      </c>
      <c r="BE108" s="655">
        <f ca="1">TabCalc[[#Totals],[AddValue]]</f>
        <v>7720399.0326362848</v>
      </c>
      <c r="BF108" s="90">
        <f ca="1">BE108/BC107</f>
        <v>0.70552871833297559</v>
      </c>
      <c r="BO108" s="789" t="s">
        <v>2218</v>
      </c>
      <c r="BP108" s="794">
        <f ca="1">+ABS(BR106/BR107)</f>
        <v>1.1370253113015474</v>
      </c>
      <c r="BQ108" s="794">
        <f ca="1">+ABS(BS106/BS107)</f>
        <v>1.4161238945796486</v>
      </c>
      <c r="BR108" s="794">
        <f ca="1">+ABS(BT106/BT107)</f>
        <v>2.7747512724829826</v>
      </c>
      <c r="BS108" s="794">
        <f ca="1">+ABS(BU106/BU107)</f>
        <v>0.13394741855494369</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1822660.9511530995</v>
      </c>
      <c r="BQ193" s="792">
        <f ca="1">SUMIFS(TabCalc[Cost+Gain], TabCalc[Cur], BS$102, TabCalc[GL], "&gt;0")</f>
        <v>7683901.5759951547</v>
      </c>
      <c r="BR193" s="792">
        <f ca="1">SUMIFS(TabCalc[Cost+Gain], TabCalc[Cur], BT$102, TabCalc[GL], "&gt;0")</f>
        <v>1325995.88783446</v>
      </c>
      <c r="BS193" s="792">
        <f ca="1">SUMIFS(TabCalc[Cost+Gain], TabCalc[Cur], BU$102, TabCalc[GL], "&gt;0")</f>
        <v>0</v>
      </c>
      <c r="BT193" s="789"/>
    </row>
    <row r="194" spans="50:246" x14ac:dyDescent="0.3">
      <c r="BO194" s="789" t="s">
        <v>2221</v>
      </c>
      <c r="BP194" s="792">
        <f ca="1">SUMIFS(TabCalc[EfCost], TabCalc[Cur], BR$102, TabCalc[EfCost], "&gt;0")</f>
        <v>1061843.5913894998</v>
      </c>
      <c r="BQ194" s="792">
        <f ca="1">SUMIFS(TabCalc[EfCost], TabCalc[Cur], BS$102, TabCalc[EfCost], "&gt;0")</f>
        <v>740358.44943220064</v>
      </c>
      <c r="BR194" s="792">
        <f ca="1">SUMIFS(TabCalc[EfCost], TabCalc[Cur], BT$102, TabCalc[EfCost], "&gt;0")</f>
        <v>949377.64783446002</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896" t="s">
        <v>965</v>
      </c>
      <c r="AZ201" s="896" t="s">
        <v>2310</v>
      </c>
      <c r="BA201" s="896" t="str">
        <f>BD102</f>
        <v>Added Buys</v>
      </c>
      <c r="BB201" s="896" t="s">
        <v>2313</v>
      </c>
      <c r="BC201" s="896" t="str">
        <f>BI102</f>
        <v>Sales Income</v>
      </c>
      <c r="BD201" s="896" t="s">
        <v>2312</v>
      </c>
      <c r="BE201" s="896" t="s">
        <v>2316</v>
      </c>
      <c r="BF201" s="896" t="s">
        <v>2309</v>
      </c>
      <c r="BG201" s="896" t="s">
        <v>2308</v>
      </c>
      <c r="BH201" s="896" t="s">
        <v>2279</v>
      </c>
      <c r="BI201" s="896" t="s">
        <v>2319</v>
      </c>
      <c r="BJ201" s="896" t="s">
        <v>2311</v>
      </c>
      <c r="BK201" s="896" t="s">
        <v>1086</v>
      </c>
      <c r="BL201" s="896" t="s">
        <v>2315</v>
      </c>
      <c r="BM201" s="896" t="s">
        <v>2317</v>
      </c>
      <c r="BN201" s="896" t="s">
        <v>2318</v>
      </c>
      <c r="BO201" s="353" t="s">
        <v>1906</v>
      </c>
      <c r="IL201" s="285"/>
    </row>
    <row r="202" spans="50:246" ht="23" thickTop="1" x14ac:dyDescent="0.3">
      <c r="AX202" s="666" t="s">
        <v>2220</v>
      </c>
      <c r="AY202" s="93">
        <f ca="1">BB103</f>
        <v>-18101764.431799993</v>
      </c>
      <c r="AZ202" s="93">
        <f ca="1">-AY202</f>
        <v>18101764.431799993</v>
      </c>
      <c r="BA202" s="93">
        <f ca="1">BD103</f>
        <v>-59964719.728639558</v>
      </c>
      <c r="BB202" s="93">
        <f ca="1">AY202+BA202</f>
        <v>-78066484.160439551</v>
      </c>
      <c r="BC202" s="93">
        <f ca="1">BI103</f>
        <v>66202418.476605028</v>
      </c>
      <c r="BD202" s="93">
        <f ca="1">BB202+BC202</f>
        <v>-11864065.683834523</v>
      </c>
      <c r="BE202" s="93">
        <f ca="1">BA202+BC202</f>
        <v>6237698.74796547</v>
      </c>
      <c r="BF202" s="93">
        <f ca="1">BE202-BG202</f>
        <v>3486119.0593093093</v>
      </c>
      <c r="BG202" s="93">
        <f ca="1">NetCash</f>
        <v>2751579.6886561606</v>
      </c>
      <c r="BH202" s="93">
        <f ca="1">BC103</f>
        <v>27966444.900000002</v>
      </c>
      <c r="BI202" s="93">
        <f ca="1">BH202-AZ202</f>
        <v>9864680.4682000093</v>
      </c>
      <c r="BJ202" s="93">
        <f ca="1">BG202+BI202</f>
        <v>12616260.15685617</v>
      </c>
      <c r="BK202" s="93"/>
      <c r="BL202" s="90">
        <f ca="1">BH202/(-BD202)</f>
        <v>2.3572395538997988</v>
      </c>
      <c r="BM202" s="93"/>
      <c r="BN202" s="90">
        <f ca="1">BI202/-BD202</f>
        <v>0.83147554397319356</v>
      </c>
      <c r="BO202" s="93">
        <f ca="1">(BB202-BC202)*Commission</f>
        <v>-375099.1468563159</v>
      </c>
    </row>
    <row r="203" spans="50:246" x14ac:dyDescent="0.3">
      <c r="AX203" s="666" t="s">
        <v>2104</v>
      </c>
      <c r="AY203" s="93">
        <f ca="1">BB104</f>
        <v>-7493057.1249637175</v>
      </c>
      <c r="AZ203" s="93">
        <f ca="1">-AY203</f>
        <v>7493057.1249637175</v>
      </c>
      <c r="BA203" s="93">
        <f ca="1">BD104</f>
        <v>-12919536.766498456</v>
      </c>
      <c r="BB203" s="93">
        <f ca="1">AY203+BA203</f>
        <v>-20412593.891462173</v>
      </c>
      <c r="BC203" s="93">
        <f ca="1">BI104</f>
        <v>9509425.176054718</v>
      </c>
      <c r="BD203" s="93">
        <f ca="1">BB203+BC203</f>
        <v>-10903168.715407455</v>
      </c>
      <c r="BE203" s="93">
        <f ca="1">BA203+BC203</f>
        <v>-3410111.5904437378</v>
      </c>
      <c r="BF203" s="685">
        <v>0</v>
      </c>
      <c r="BG203" s="685">
        <v>0</v>
      </c>
      <c r="BH203" s="93">
        <f ca="1">BC104</f>
        <v>5348775.6894000005</v>
      </c>
      <c r="BI203" s="93">
        <f ca="1">BH203-AZ203</f>
        <v>-2144281.435563717</v>
      </c>
      <c r="BJ203" s="93">
        <f ca="1">BG203+BI203</f>
        <v>-2144281.435563717</v>
      </c>
      <c r="BK203" s="93"/>
      <c r="BL203" s="90">
        <f ca="1">BH203/(-BD203)</f>
        <v>0.49057075323814386</v>
      </c>
      <c r="BM203" s="93"/>
      <c r="BN203" s="90">
        <f ca="1">BI203/-BD203</f>
        <v>-0.19666589516620026</v>
      </c>
      <c r="BO203" s="93">
        <f ca="1">(BB203-BC203)*Commission</f>
        <v>-77797.249575543916</v>
      </c>
    </row>
    <row r="204" spans="50:246" x14ac:dyDescent="0.3">
      <c r="AY204" s="725">
        <f t="shared" ref="AY204:AZ204" ca="1" si="9">AY202+AY203</f>
        <v>-25594821.556763709</v>
      </c>
      <c r="AZ204" s="725">
        <f t="shared" ca="1" si="9"/>
        <v>25594821.556763709</v>
      </c>
      <c r="BA204" s="725">
        <f ca="1">BA202+BA203</f>
        <v>-72884256.495138019</v>
      </c>
      <c r="BB204" s="725">
        <f t="shared" ref="BB204:BM204" ca="1" si="10">BB202+BB203</f>
        <v>-98479078.051901728</v>
      </c>
      <c r="BC204" s="725">
        <f t="shared" ca="1" si="10"/>
        <v>75711843.652659744</v>
      </c>
      <c r="BD204" s="725">
        <f t="shared" ca="1" si="10"/>
        <v>-22767234.399241976</v>
      </c>
      <c r="BE204" s="725">
        <f t="shared" ca="1" si="10"/>
        <v>2827587.1575217322</v>
      </c>
      <c r="BF204" s="725">
        <f ca="1">BF202+BF203</f>
        <v>3486119.0593093093</v>
      </c>
      <c r="BG204" s="725">
        <f ca="1">BG202+BG203</f>
        <v>2751579.6886561606</v>
      </c>
      <c r="BH204" s="725">
        <f t="shared" ca="1" si="10"/>
        <v>33315220.589400001</v>
      </c>
      <c r="BI204" s="725">
        <f t="shared" ca="1" si="10"/>
        <v>7720399.0326362923</v>
      </c>
      <c r="BJ204" s="725">
        <f t="shared" ca="1" si="10"/>
        <v>10471978.721292453</v>
      </c>
      <c r="BK204" s="725"/>
      <c r="BL204" s="859">
        <f ca="1">BH204/(-BD204)</f>
        <v>1.4632967713684721</v>
      </c>
      <c r="BM204" s="725">
        <f t="shared" si="10"/>
        <v>0</v>
      </c>
      <c r="BN204" s="859">
        <f ca="1">BI204/-BD204</f>
        <v>0.33910131100039709</v>
      </c>
      <c r="BO204" s="93">
        <f ca="1">(BB204-BC204)*Commission</f>
        <v>-452896.39643185982</v>
      </c>
    </row>
    <row r="216" spans="46:46" x14ac:dyDescent="0.3">
      <c r="AT216" s="140"/>
    </row>
  </sheetData>
  <mergeCells count="2">
    <mergeCell ref="N1:T1"/>
    <mergeCell ref="BJ100:BK100"/>
  </mergeCells>
  <phoneticPr fontId="48" type="noConversion"/>
  <conditionalFormatting sqref="BP18 BL18">
    <cfRule type="containsText" dxfId="591" priority="154" operator="containsText" text="Pile">
      <formula>NOT(ISERROR(SEARCH("Pile",BL18)))</formula>
    </cfRule>
  </conditionalFormatting>
  <conditionalFormatting sqref="BR2:BR97">
    <cfRule type="containsText" dxfId="590" priority="153" operator="containsText" text="Pile">
      <formula>NOT(ISERROR(SEARCH("Pile",BR2)))</formula>
    </cfRule>
    <cfRule type="containsText" dxfId="589" priority="155" operator="containsText" text="Trade">
      <formula>NOT(ISERROR(SEARCH("Trade",BR2)))</formula>
    </cfRule>
  </conditionalFormatting>
  <conditionalFormatting sqref="H3:J96">
    <cfRule type="expression" dxfId="588" priority="145">
      <formula>$L3&gt;0</formula>
    </cfRule>
  </conditionalFormatting>
  <conditionalFormatting sqref="A2:A97">
    <cfRule type="containsText" dxfId="587" priority="144" operator="containsText" text="GBP">
      <formula>NOT(ISERROR(SEARCH("GBP",A2)))</formula>
    </cfRule>
  </conditionalFormatting>
  <conditionalFormatting sqref="AT3:AU96">
    <cfRule type="containsText" dxfId="586" priority="134" operator="containsText" text="Free">
      <formula>NOT(ISERROR(SEARCH("Free",AT3)))</formula>
    </cfRule>
    <cfRule type="containsText" dxfId="585" priority="135" operator="containsText" text="Buy">
      <formula>NOT(ISERROR(SEARCH("Buy",AT3)))</formula>
    </cfRule>
    <cfRule type="containsText" dxfId="584" priority="142" operator="containsText" text="Refill">
      <formula>NOT(ISERROR(SEARCH("Refill",AT3)))</formula>
    </cfRule>
    <cfRule type="containsText" dxfId="583" priority="152" operator="containsText" text="S_more">
      <formula>NOT(ISERROR(SEARCH("S_more",AT3)))</formula>
    </cfRule>
  </conditionalFormatting>
  <conditionalFormatting sqref="AV2:AW97">
    <cfRule type="containsText" dxfId="582" priority="132" operator="containsText" text="Free">
      <formula>NOT(ISERROR(SEARCH("Free",AV2)))</formula>
    </cfRule>
    <cfRule type="containsText" dxfId="581" priority="133" operator="containsText" text="Sell">
      <formula>NOT(ISERROR(SEARCH("Sell",AV2)))</formula>
    </cfRule>
    <cfRule type="containsText" dxfId="580" priority="140" operator="containsText" text="Re-Sell">
      <formula>NOT(ISERROR(SEARCH("Re-Sell",AV2)))</formula>
    </cfRule>
    <cfRule type="containsText" dxfId="579" priority="141" operator="containsText" text="B_more">
      <formula>NOT(ISERROR(SEARCH("B_more",AV2)))</formula>
    </cfRule>
  </conditionalFormatting>
  <conditionalFormatting sqref="AW3:AW96">
    <cfRule type="cellIs" dxfId="578" priority="136" operator="lessThan">
      <formula>0</formula>
    </cfRule>
  </conditionalFormatting>
  <conditionalFormatting sqref="AS2:AS96">
    <cfRule type="cellIs" dxfId="577" priority="125" operator="equal">
      <formula>0</formula>
    </cfRule>
    <cfRule type="cellIs" dxfId="576" priority="126" operator="greaterThanOrEqual">
      <formula>200%</formula>
    </cfRule>
    <cfRule type="cellIs" dxfId="575" priority="127" operator="lessThan">
      <formula>1</formula>
    </cfRule>
  </conditionalFormatting>
  <conditionalFormatting sqref="BL3:BL96">
    <cfRule type="cellIs" dxfId="574" priority="123" operator="greaterThan">
      <formula>0</formula>
    </cfRule>
    <cfRule type="cellIs" dxfId="573"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572" priority="25">
      <formula>ROW()=CELL("row")</formula>
    </cfRule>
  </conditionalFormatting>
  <conditionalFormatting sqref="A100:BJ100 A101:BK107 A98:DI99 A108:DI120 BL100:DI107 DM100:DQ107 DM108:DO120 DJ98:DL120 DM98:DO99 DH98:DH120">
    <cfRule type="expression" dxfId="571" priority="24">
      <formula>AND(ROW()&gt;2, ROW()=SelRowNum)</formula>
    </cfRule>
  </conditionalFormatting>
  <conditionalFormatting sqref="DB2:DB97">
    <cfRule type="cellIs" dxfId="570" priority="23" operator="lessThan">
      <formula>0</formula>
    </cfRule>
  </conditionalFormatting>
  <conditionalFormatting sqref="K3:K96">
    <cfRule type="expression" dxfId="569" priority="2078">
      <formula>$K3&gt;MAX(ABS($L3),$I3)</formula>
    </cfRule>
    <cfRule type="expression" dxfId="568" priority="2079" stopIfTrue="1">
      <formula>$I3&gt;$L3</formula>
    </cfRule>
    <cfRule type="expression" dxfId="567" priority="2080">
      <formula>$K3&lt;MIN(ABS($L3),$I3)</formula>
    </cfRule>
  </conditionalFormatting>
  <conditionalFormatting sqref="L3:L96 J3:J96">
    <cfRule type="expression" dxfId="566" priority="2081">
      <formula>ABS($L3)&lt;MIN($I3,$K3)</formula>
    </cfRule>
    <cfRule type="expression" dxfId="565" priority="2082" stopIfTrue="1">
      <formula>$I3&gt;$K3</formula>
    </cfRule>
    <cfRule type="expression" dxfId="564" priority="2083" stopIfTrue="1">
      <formula>ABS($L3)&gt;$I3</formula>
    </cfRule>
    <cfRule type="expression" dxfId="563"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562" priority="3013" percent="1" rank="10"/>
  </conditionalFormatting>
  <conditionalFormatting sqref="DJ3:DJ96">
    <cfRule type="top10" dxfId="561" priority="1" percent="1" rank="25"/>
    <cfRule type="top10" dxfId="560"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45979</v>
      </c>
      <c r="C2" s="63" t="s">
        <v>2614</v>
      </c>
      <c r="D2" s="1072" t="s">
        <v>2506</v>
      </c>
      <c r="E2" s="1154"/>
      <c r="F2" s="1073"/>
      <c r="G2" s="1073"/>
      <c r="H2" s="540"/>
      <c r="I2" s="69"/>
      <c r="J2" s="583" t="s">
        <v>2582</v>
      </c>
    </row>
    <row r="3" spans="1:16" x14ac:dyDescent="0.3">
      <c r="A3" s="63" t="s">
        <v>0</v>
      </c>
      <c r="B3" s="1146">
        <f ca="1">TODAY()</f>
        <v>45980</v>
      </c>
      <c r="C3" s="1183" t="s">
        <v>2611</v>
      </c>
      <c r="D3" s="1067">
        <f ca="1">_xlfn.XLOOKUP(A3,TabCalc[Ticker],TabCalc[Ch_Today])</f>
        <v>9.6839999999999999E-3</v>
      </c>
      <c r="E3" s="1155">
        <f ca="1">_xlfn.XLOOKUP(A3,TabCalc[Ticker],TabCalc[Agiotage])</f>
        <v>0.30565067320598954</v>
      </c>
      <c r="F3" s="1030" t="str">
        <f ca="1">IFERROR( _xlfn.LET(_xlpm.nma,_xlfn.XLOOKUP(A3,TabCalc[Ticker],TabCalc[NMA]),_xlpm.revenue,_xlfn.XLOOKUP(A3,TabCalc[Ticker],TabCalc[Revenue]),_xlpm.nma&amp;"="&amp;TEXT(_xlpm.revenue,"#,#0")&amp;"@M: "&amp;H3),"")</f>
        <v>86=23,223@M: 270.03</v>
      </c>
      <c r="G3" s="1068">
        <f ca="1">IF(A3=IDTICKER,ID_Up20,_xlfn.XLOOKUP(A3,TabCalc[Ticker],TabCalc[Up20]))</f>
        <v>0</v>
      </c>
      <c r="H3" s="1033">
        <f ca="1">_xlfn.XLOOKUP(A3,TabCalc[Ticker],TabCalc[M])</f>
        <v>270.02999999999997</v>
      </c>
      <c r="I3" s="1061">
        <f ca="1">TODAY()</f>
        <v>45980</v>
      </c>
      <c r="J3" s="1159" t="str">
        <f ca="1">IFERROR("("&amp;TEXT(D3,"#0.0%")&amp;":"&amp;INT(100*E3)&amp;"%)@"&amp;TEXT(H3,"#,#0.#0")&amp;":("&amp;F3&amp;")"&amp;"&gt;UpMark "&amp;TEXT(G3,"#,#0%"),"Formulas ready to copy below")</f>
        <v>(1.0%:30%)@270.03:(86=23,223@M: 270.03)&gt;UpMark 0%</v>
      </c>
    </row>
    <row r="4" spans="1:16" x14ac:dyDescent="0.3">
      <c r="A4" s="65" t="s">
        <v>161</v>
      </c>
      <c r="B4" s="1272" t="s">
        <v>2701</v>
      </c>
      <c r="C4" s="1026" t="s">
        <v>2485</v>
      </c>
      <c r="D4" s="1" t="s">
        <v>195</v>
      </c>
      <c r="E4" s="1" t="s">
        <v>661</v>
      </c>
      <c r="F4" t="s">
        <v>2497</v>
      </c>
      <c r="G4" t="s">
        <v>2486</v>
      </c>
      <c r="H4" s="1273" t="s">
        <v>2702</v>
      </c>
      <c r="I4" t="s">
        <v>2504</v>
      </c>
      <c r="J4" t="s">
        <v>1881</v>
      </c>
      <c r="K4" t="s">
        <v>188</v>
      </c>
      <c r="L4" t="s">
        <v>187</v>
      </c>
      <c r="M4" t="s">
        <v>201</v>
      </c>
      <c r="N4" t="s">
        <v>2578</v>
      </c>
      <c r="O4" t="s">
        <v>203</v>
      </c>
      <c r="P4" t="s">
        <v>2579</v>
      </c>
    </row>
    <row r="5" spans="1:16" ht="23" thickBot="1" x14ac:dyDescent="0.35">
      <c r="A5" s="1025" t="str">
        <f ca="1">Calc!H3</f>
        <v>AAPL</v>
      </c>
      <c r="B5" s="1027">
        <v>45919</v>
      </c>
      <c r="C5" s="66" t="s">
        <v>1396</v>
      </c>
      <c r="D5" s="1067">
        <v>6.5769999999999995E-3</v>
      </c>
      <c r="E5" s="1155">
        <v>0.74760392726501756</v>
      </c>
      <c r="F5" s="1030" t="s">
        <v>2537</v>
      </c>
      <c r="G5" s="1068">
        <v>0.6</v>
      </c>
      <c r="H5" s="1033">
        <f ca="1">_xlfn.XLOOKUP(A5,TabCalc[Ticker],TabCalc[M])</f>
        <v>270.02999999999997</v>
      </c>
      <c r="I5" s="1061">
        <v>45932</v>
      </c>
      <c r="J5" s="1079"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45980</v>
      </c>
      <c r="P5" t="str">
        <f t="shared" ref="P5:P36" ca="1" si="1">IFERROR("("&amp;TEXT(J5,"#0.0%")&amp;":"&amp;INT(100*K5)&amp;"%)@"&amp;TEXT(N5,"#,#0.#0")&amp;":("&amp;L5&amp;")"&amp;"&gt;UpMark "&amp;TEXT(M5,"#,#0%"),"Formulas ready to copy below")</f>
        <v>Formulas ready to copy below</v>
      </c>
    </row>
    <row r="6" spans="1:16" ht="23" thickBot="1" x14ac:dyDescent="0.35">
      <c r="A6" s="1025" t="str">
        <f ca="1">Calc!H4</f>
        <v>ADEA</v>
      </c>
      <c r="B6" s="1027">
        <v>45460</v>
      </c>
      <c r="C6" s="66" t="s">
        <v>1397</v>
      </c>
      <c r="D6" s="1029">
        <v>5.4279999999999997E-3</v>
      </c>
      <c r="E6" s="1155">
        <v>1.1414229424244919</v>
      </c>
      <c r="F6" s="1030">
        <v>23137.960000000003</v>
      </c>
      <c r="G6" s="1031">
        <v>0.47619047619047616</v>
      </c>
      <c r="H6" s="1033">
        <f ca="1">_xlfn.XLOOKUP(A6,TabCalc[Ticker],TabCalc[M])</f>
        <v>12.26</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45980</v>
      </c>
      <c r="P6" t="str">
        <f t="shared" ca="1" si="1"/>
        <v>Formulas ready to copy below</v>
      </c>
    </row>
    <row r="7" spans="1:16" ht="23" thickBot="1" x14ac:dyDescent="0.35">
      <c r="A7" s="1025" t="str">
        <f ca="1">Calc!H5</f>
        <v>AET</v>
      </c>
      <c r="B7" s="1027">
        <v>45938</v>
      </c>
      <c r="C7" s="1184">
        <v>46</v>
      </c>
      <c r="D7" s="1067">
        <v>2.16E-3</v>
      </c>
      <c r="E7" s="1155">
        <v>1.4121423885450242</v>
      </c>
      <c r="F7" s="1030" t="s">
        <v>2623</v>
      </c>
      <c r="G7" s="1068">
        <v>0.29411764705882354</v>
      </c>
      <c r="H7" s="1033">
        <f ca="1">_xlfn.XLOOKUP(A7,TabCalc[Ticker],TabCalc[M])</f>
        <v>45</v>
      </c>
      <c r="I7" s="1061">
        <v>45939</v>
      </c>
      <c r="J7" s="1159" t="s">
        <v>2630</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45980</v>
      </c>
      <c r="P7" t="str">
        <f t="shared" ca="1" si="1"/>
        <v>Formulas ready to copy below</v>
      </c>
    </row>
    <row r="8" spans="1:16" ht="23" thickBot="1" x14ac:dyDescent="0.35">
      <c r="A8" s="1025" t="str">
        <f ca="1">Calc!H6</f>
        <v>AMZN</v>
      </c>
      <c r="B8" s="1027">
        <v>45933</v>
      </c>
      <c r="C8" s="66" t="s">
        <v>2545</v>
      </c>
      <c r="D8" s="1067">
        <v>-1.3039E-2</v>
      </c>
      <c r="E8" s="1155">
        <v>0.9807419355180127</v>
      </c>
      <c r="F8" s="1030" t="s">
        <v>2551</v>
      </c>
      <c r="G8" s="1068">
        <v>0</v>
      </c>
      <c r="H8" s="1033">
        <f ca="1">_xlfn.XLOOKUP(A8,TabCalc[Ticker],TabCalc[M])</f>
        <v>221.18199999999999</v>
      </c>
      <c r="I8" s="1061">
        <v>45933</v>
      </c>
      <c r="J8" s="1159"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45980</v>
      </c>
      <c r="P8" t="str">
        <f t="shared" ca="1" si="1"/>
        <v>Formulas ready to copy below</v>
      </c>
    </row>
    <row r="9" spans="1:16" ht="23" thickBot="1" x14ac:dyDescent="0.35">
      <c r="A9" s="1025" t="str">
        <f ca="1">Calc!H7</f>
        <v>ALDNE</v>
      </c>
      <c r="B9" s="1027">
        <v>45460</v>
      </c>
      <c r="C9" s="66" t="s">
        <v>1398</v>
      </c>
      <c r="D9" s="308">
        <v>-2.5463E-2</v>
      </c>
      <c r="E9" s="314">
        <v>2.6456</v>
      </c>
      <c r="F9" s="93"/>
      <c r="G9" s="90">
        <v>0</v>
      </c>
      <c r="H9" s="1033">
        <f ca="1">_xlfn.XLOOKUP(A9,TabCalc[Ticker],TabCalc[M])</f>
        <v>0.68799999999999994</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45980</v>
      </c>
      <c r="P9" t="str">
        <f t="shared" ca="1" si="1"/>
        <v>Formulas ready to copy below</v>
      </c>
    </row>
    <row r="10" spans="1:16" ht="23" thickBot="1" x14ac:dyDescent="0.35">
      <c r="A10" s="1025" t="str">
        <f ca="1">Calc!H8</f>
        <v>ASML</v>
      </c>
      <c r="B10" s="1027">
        <v>45460</v>
      </c>
      <c r="C10" s="66" t="s">
        <v>1399</v>
      </c>
      <c r="D10" s="1067">
        <v>4.3023999999999993E-2</v>
      </c>
      <c r="E10" s="1155">
        <v>1.1533001230453117</v>
      </c>
      <c r="F10" s="1030" t="s">
        <v>2538</v>
      </c>
      <c r="G10" s="1068">
        <v>0</v>
      </c>
      <c r="H10" s="1033">
        <f ca="1">_xlfn.XLOOKUP(A10,TabCalc[Ticker],TabCalc[M])</f>
        <v>886.6</v>
      </c>
      <c r="I10" s="1061">
        <v>45932</v>
      </c>
      <c r="J10" s="1079"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45980</v>
      </c>
      <c r="P10" t="str">
        <f t="shared" ca="1" si="1"/>
        <v>Formulas ready to copy below</v>
      </c>
    </row>
    <row r="11" spans="1:16" ht="23" thickBot="1" x14ac:dyDescent="0.35">
      <c r="A11" s="1025" t="str">
        <f ca="1">Calc!H9</f>
        <v>AVGO</v>
      </c>
      <c r="B11" s="1027">
        <v>45926</v>
      </c>
      <c r="C11" s="66" t="s">
        <v>2505</v>
      </c>
      <c r="D11" s="1067">
        <v>3.1280000000000001E-3</v>
      </c>
      <c r="E11" s="1155">
        <v>1.1640148335407843</v>
      </c>
      <c r="F11" s="1030" t="s">
        <v>2518</v>
      </c>
      <c r="G11" s="1068">
        <v>0.38095238095238093</v>
      </c>
      <c r="H11" s="1033">
        <f ca="1">_xlfn.XLOOKUP(A11,TabCalc[Ticker],TabCalc[M])</f>
        <v>347.97</v>
      </c>
      <c r="I11" s="1061">
        <v>45926</v>
      </c>
      <c r="J11" s="1032"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45980</v>
      </c>
      <c r="P11" t="str">
        <f t="shared" ca="1" si="1"/>
        <v>Formulas ready to copy below</v>
      </c>
    </row>
    <row r="12" spans="1:16" ht="23" thickBot="1" x14ac:dyDescent="0.35">
      <c r="A12" s="1025" t="str">
        <f ca="1">Calc!H10</f>
        <v>AZN</v>
      </c>
      <c r="B12" s="1027">
        <v>45460</v>
      </c>
      <c r="C12" s="66" t="s">
        <v>1400</v>
      </c>
      <c r="D12" s="1029">
        <v>1.3889E-2</v>
      </c>
      <c r="E12" s="1155">
        <v>3.4060040447918967</v>
      </c>
      <c r="F12" s="1030">
        <v>17394.439999999999</v>
      </c>
      <c r="G12" s="1031">
        <v>0.52380952380952384</v>
      </c>
      <c r="H12" s="1033">
        <f ca="1">_xlfn.XLOOKUP(A12,TabCalc[Ticker],TabCalc[M])</f>
        <v>88.970100000000002</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45980</v>
      </c>
      <c r="P12" t="str">
        <f t="shared" ca="1" si="1"/>
        <v>Formulas ready to copy below</v>
      </c>
    </row>
    <row r="13" spans="1:16" ht="23" thickBot="1" x14ac:dyDescent="0.35">
      <c r="A13" s="1025" t="str">
        <f ca="1">Calc!H11</f>
        <v>BLDP</v>
      </c>
      <c r="B13" s="1027">
        <v>45938</v>
      </c>
      <c r="C13" s="66" t="s">
        <v>2605</v>
      </c>
      <c r="D13" s="1067">
        <v>-5.5100000000000001E-3</v>
      </c>
      <c r="E13" s="1155">
        <v>1.0094409496049843</v>
      </c>
      <c r="F13" s="1030" t="s">
        <v>2624</v>
      </c>
      <c r="G13" s="1068">
        <v>0</v>
      </c>
      <c r="H13" s="1033">
        <f ca="1">_xlfn.XLOOKUP(A13,TabCalc[Ticker],TabCalc[M])</f>
        <v>2.8420000000000001</v>
      </c>
      <c r="I13" s="1061">
        <v>45939</v>
      </c>
      <c r="J13" s="1159" t="s">
        <v>2631</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45980</v>
      </c>
      <c r="P13" t="str">
        <f t="shared" ca="1" si="1"/>
        <v>Formulas ready to copy below</v>
      </c>
    </row>
    <row r="14" spans="1:16" ht="23" thickBot="1" x14ac:dyDescent="0.35">
      <c r="A14" s="1025" t="str">
        <f ca="1">Calc!H12</f>
        <v>BMRA</v>
      </c>
      <c r="B14" s="1027">
        <v>45933</v>
      </c>
      <c r="C14" s="66" t="s">
        <v>2548</v>
      </c>
      <c r="D14" s="308">
        <v>4.052E-3</v>
      </c>
      <c r="E14" s="314">
        <v>0.69965672865075734</v>
      </c>
      <c r="F14" s="93">
        <v>12750.300000000001</v>
      </c>
      <c r="G14" s="90">
        <v>0.5714285714285714</v>
      </c>
      <c r="H14" s="1033">
        <f ca="1">_xlfn.XLOOKUP(A14,TabCalc[Ticker],TabCalc[M])</f>
        <v>2.2149999999999999</v>
      </c>
      <c r="I14" s="62">
        <v>45925</v>
      </c>
      <c r="J14" s="1159"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45980</v>
      </c>
      <c r="P14" t="str">
        <f t="shared" ca="1" si="1"/>
        <v>Formulas ready to copy below</v>
      </c>
    </row>
    <row r="15" spans="1:16" ht="23" thickBot="1" x14ac:dyDescent="0.35">
      <c r="A15" s="1025" t="str">
        <f ca="1">Calc!H13</f>
        <v>C</v>
      </c>
      <c r="B15" s="1027">
        <v>45552</v>
      </c>
      <c r="C15" s="66" t="s">
        <v>1401</v>
      </c>
      <c r="D15" s="308">
        <v>-9.5150000000000009E-3</v>
      </c>
      <c r="E15" s="314">
        <v>1.1597736739769799</v>
      </c>
      <c r="F15" s="93">
        <v>37346.548499999997</v>
      </c>
      <c r="G15" s="90">
        <v>0.47619047619047616</v>
      </c>
      <c r="H15" s="1033">
        <f ca="1">_xlfn.XLOOKUP(A15,TabCalc[Ticker],TabCalc[M])</f>
        <v>99.6</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45980</v>
      </c>
      <c r="P15" t="str">
        <f t="shared" ca="1" si="1"/>
        <v>Formulas ready to copy below</v>
      </c>
    </row>
    <row r="16" spans="1:16" ht="23" thickBot="1" x14ac:dyDescent="0.35">
      <c r="A16" s="1025" t="str">
        <f ca="1">Calc!H14</f>
        <v>CSCO</v>
      </c>
      <c r="B16" s="1027">
        <v>45938</v>
      </c>
      <c r="C16" s="1069" t="s">
        <v>2607</v>
      </c>
      <c r="D16" s="1067">
        <v>1.088E-3</v>
      </c>
      <c r="E16" s="1155">
        <v>0.89079459811465034</v>
      </c>
      <c r="F16" s="1030" t="s">
        <v>2590</v>
      </c>
      <c r="G16" s="1068">
        <v>0.5</v>
      </c>
      <c r="H16" s="1033">
        <f ca="1">_xlfn.XLOOKUP(A16,TabCalc[Ticker],TabCalc[M])</f>
        <v>78.273600000000002</v>
      </c>
      <c r="I16" s="1061">
        <v>45938</v>
      </c>
      <c r="J16" s="1159" t="s">
        <v>2597</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45980</v>
      </c>
      <c r="P16" t="str">
        <f t="shared" ca="1" si="1"/>
        <v>Formulas ready to copy below</v>
      </c>
    </row>
    <row r="17" spans="1:16" ht="23" thickBot="1" x14ac:dyDescent="0.35">
      <c r="A17" s="1025" t="str">
        <f ca="1">Calc!H15</f>
        <v>CVS</v>
      </c>
      <c r="B17" s="1027">
        <v>45919</v>
      </c>
      <c r="C17" s="66" t="s">
        <v>2487</v>
      </c>
      <c r="D17" s="1067">
        <v>7.4150000000000006E-3</v>
      </c>
      <c r="E17" s="1155">
        <v>0.6563617881800351</v>
      </c>
      <c r="F17" s="1030" t="s">
        <v>2518</v>
      </c>
      <c r="G17" s="1068">
        <v>0.7142857142857143</v>
      </c>
      <c r="H17" s="1033">
        <f ca="1">_xlfn.XLOOKUP(A17,TabCalc[Ticker],TabCalc[M])</f>
        <v>76.42</v>
      </c>
      <c r="I17" s="1061">
        <v>45932</v>
      </c>
      <c r="J17" s="1079"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45980</v>
      </c>
      <c r="P17" t="str">
        <f t="shared" ca="1" si="1"/>
        <v>Formulas ready to copy below</v>
      </c>
    </row>
    <row r="18" spans="1:16" ht="23" thickBot="1" x14ac:dyDescent="0.35">
      <c r="A18" s="1025" t="str">
        <f ca="1">Calc!H16</f>
        <v>DDD</v>
      </c>
      <c r="B18" s="1027">
        <v>45932</v>
      </c>
      <c r="C18" s="66" t="s">
        <v>2546</v>
      </c>
      <c r="D18" s="308">
        <v>-2.0068000000000003E-2</v>
      </c>
      <c r="E18" s="314">
        <v>2.6599394164335122</v>
      </c>
      <c r="F18" s="93"/>
      <c r="G18" s="90">
        <v>0.38095238095238093</v>
      </c>
      <c r="H18" s="1033">
        <f ca="1">_xlfn.XLOOKUP(A18,TabCalc[Ticker],TabCalc[M])</f>
        <v>2.0449999999999999</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45980</v>
      </c>
      <c r="P18" t="str">
        <f t="shared" ca="1" si="1"/>
        <v>Formulas ready to copy below</v>
      </c>
    </row>
    <row r="19" spans="1:16" ht="23" thickBot="1" x14ac:dyDescent="0.35">
      <c r="A19" s="1025" t="str">
        <f ca="1">Calc!H17</f>
        <v>DIS</v>
      </c>
      <c r="B19" s="1027">
        <v>45919</v>
      </c>
      <c r="C19" s="66" t="s">
        <v>2498</v>
      </c>
      <c r="D19" s="1067">
        <v>-3.9050000000000001E-3</v>
      </c>
      <c r="E19" s="1155">
        <v>1.0065420143941042</v>
      </c>
      <c r="F19" s="1030" t="s">
        <v>2518</v>
      </c>
      <c r="G19" s="1068">
        <v>0.61904761904761907</v>
      </c>
      <c r="H19" s="1033">
        <f ca="1">_xlfn.XLOOKUP(A19,TabCalc[Ticker],TabCalc[M])</f>
        <v>105.3</v>
      </c>
      <c r="I19" s="62">
        <v>45926</v>
      </c>
      <c r="J19" s="1032"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45980</v>
      </c>
      <c r="P19" t="str">
        <f t="shared" ca="1" si="1"/>
        <v>Formulas ready to copy below</v>
      </c>
    </row>
    <row r="20" spans="1:16" ht="23" thickBot="1" x14ac:dyDescent="0.35">
      <c r="A20" s="1025" t="str">
        <f ca="1">Calc!H18</f>
        <v>DSY</v>
      </c>
      <c r="B20" s="1027">
        <v>45954</v>
      </c>
      <c r="C20" s="66" t="s">
        <v>2705</v>
      </c>
      <c r="D20" s="1067">
        <v>-1.984E-2</v>
      </c>
      <c r="E20" s="1155">
        <v>2.2751021072770938</v>
      </c>
      <c r="F20" s="1030" t="s">
        <v>2708</v>
      </c>
      <c r="G20" s="1068">
        <v>0.33333333333333331</v>
      </c>
      <c r="H20" s="1033">
        <f ca="1">_xlfn.XLOOKUP(A20,TabCalc[Ticker],TabCalc[M])</f>
        <v>23.38</v>
      </c>
      <c r="I20" s="1061">
        <v>45954</v>
      </c>
      <c r="J20" s="1159" t="s">
        <v>2713</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45980</v>
      </c>
      <c r="P20" t="str">
        <f t="shared" ca="1" si="1"/>
        <v>Formulas ready to copy below</v>
      </c>
    </row>
    <row r="21" spans="1:16" ht="23" thickBot="1" x14ac:dyDescent="0.35">
      <c r="A21" s="1025" t="str">
        <f ca="1">Calc!H19</f>
        <v>DVA</v>
      </c>
      <c r="B21" s="1027">
        <v>45954</v>
      </c>
      <c r="C21" s="66" t="s">
        <v>2706</v>
      </c>
      <c r="D21" s="1067">
        <v>9.1390000000000013E-3</v>
      </c>
      <c r="E21" s="1155">
        <v>0.9805457074900148</v>
      </c>
      <c r="F21" s="1030" t="s">
        <v>2709</v>
      </c>
      <c r="G21" s="1068">
        <v>0.5</v>
      </c>
      <c r="H21" s="1033">
        <f ca="1">_xlfn.XLOOKUP(A21,TabCalc[Ticker],TabCalc[M])</f>
        <v>115.155</v>
      </c>
      <c r="I21" s="1061">
        <v>45954</v>
      </c>
      <c r="J21" s="1159" t="s">
        <v>2714</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45980</v>
      </c>
      <c r="P21" t="str">
        <f t="shared" ca="1" si="1"/>
        <v>Formulas ready to copy below</v>
      </c>
    </row>
    <row r="22" spans="1:16" ht="23" thickBot="1" x14ac:dyDescent="0.35">
      <c r="A22" s="1025" t="str">
        <f ca="1">Calc!H20</f>
        <v>DXC</v>
      </c>
      <c r="B22" s="1027">
        <v>45460</v>
      </c>
      <c r="C22" s="66" t="s">
        <v>1402</v>
      </c>
      <c r="D22" s="308">
        <v>5.1700000000000001E-3</v>
      </c>
      <c r="E22" s="314">
        <v>4.0616594839527167</v>
      </c>
      <c r="F22" s="93">
        <v>100345.30499999999</v>
      </c>
      <c r="G22" s="90">
        <v>0</v>
      </c>
      <c r="H22" s="1033">
        <f ca="1">_xlfn.XLOOKUP(A22,TabCalc[Ticker],TabCalc[M])</f>
        <v>12.11</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45980</v>
      </c>
      <c r="P22" t="str">
        <f t="shared" ca="1" si="1"/>
        <v>Formulas ready to copy below</v>
      </c>
    </row>
    <row r="23" spans="1:16" ht="23" thickBot="1" x14ac:dyDescent="0.35">
      <c r="A23" s="1025" t="str">
        <f ca="1">Calc!H21</f>
        <v>EOAN</v>
      </c>
      <c r="B23" s="1027">
        <v>45553</v>
      </c>
      <c r="C23" s="66" t="s">
        <v>1403</v>
      </c>
      <c r="D23" s="308">
        <v>0</v>
      </c>
      <c r="E23" s="314">
        <v>0.12172355493878159</v>
      </c>
      <c r="F23" s="93"/>
      <c r="G23" s="90">
        <v>0</v>
      </c>
      <c r="H23" s="1033">
        <f ca="1">_xlfn.XLOOKUP(A23,TabCalc[Ticker],TabCalc[M])</f>
        <v>15.3</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45980</v>
      </c>
      <c r="P23" t="str">
        <f t="shared" ca="1" si="1"/>
        <v>Formulas ready to copy below</v>
      </c>
    </row>
    <row r="24" spans="1:16" ht="23" thickBot="1" x14ac:dyDescent="0.35">
      <c r="A24" s="1025" t="str">
        <f ca="1">Calc!H22</f>
        <v>EPIX</v>
      </c>
      <c r="B24" s="1027">
        <v>45460</v>
      </c>
      <c r="C24" s="66" t="s">
        <v>1404</v>
      </c>
      <c r="D24" s="308">
        <v>-4.2190000000000001E-4</v>
      </c>
      <c r="E24" s="314">
        <v>0.59540838817642716</v>
      </c>
      <c r="F24" s="93">
        <v>23575.53</v>
      </c>
      <c r="G24" s="90">
        <v>0</v>
      </c>
      <c r="H24" s="1033">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45980</v>
      </c>
      <c r="P24" t="str">
        <f t="shared" ca="1" si="1"/>
        <v>Formulas ready to copy below</v>
      </c>
    </row>
    <row r="25" spans="1:16" ht="23" thickBot="1" x14ac:dyDescent="0.35">
      <c r="A25" s="1025" t="str">
        <f ca="1">Calc!H23</f>
        <v>GM</v>
      </c>
      <c r="B25" s="1027">
        <v>45554</v>
      </c>
      <c r="C25" s="66" t="s">
        <v>1405</v>
      </c>
      <c r="D25" s="308">
        <v>-6.9329999999999999E-3</v>
      </c>
      <c r="E25" s="314">
        <v>0.62491300777173364</v>
      </c>
      <c r="F25" s="93">
        <v>23561.100000000002</v>
      </c>
      <c r="G25" s="90">
        <v>0</v>
      </c>
      <c r="H25" s="1033">
        <f ca="1">_xlfn.XLOOKUP(A25,TabCalc[Ticker],TabCalc[M])</f>
        <v>69.114999999999995</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45980</v>
      </c>
      <c r="P25" t="str">
        <f t="shared" ca="1" si="1"/>
        <v>Formulas ready to copy below</v>
      </c>
    </row>
    <row r="26" spans="1:16" ht="23" thickBot="1" x14ac:dyDescent="0.35">
      <c r="A26" s="1025" t="str">
        <f ca="1">Calc!H24</f>
        <v>HPE</v>
      </c>
      <c r="B26" s="1027">
        <v>45460</v>
      </c>
      <c r="C26" s="66" t="s">
        <v>1406</v>
      </c>
      <c r="D26" s="308">
        <v>-4.7799999999999995E-3</v>
      </c>
      <c r="E26" s="314">
        <v>0.39284107066996649</v>
      </c>
      <c r="F26" s="93">
        <v>44518.32</v>
      </c>
      <c r="G26" s="90">
        <v>0.52380952380952384</v>
      </c>
      <c r="H26" s="1033">
        <f ca="1">_xlfn.XLOOKUP(A26,TabCalc[Ticker],TabCalc[M])</f>
        <v>20.734999999999999</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45980</v>
      </c>
      <c r="P26" t="str">
        <f t="shared" ca="1" si="1"/>
        <v>Formulas ready to copy below</v>
      </c>
    </row>
    <row r="27" spans="1:16" ht="23" thickBot="1" x14ac:dyDescent="0.35">
      <c r="A27" s="1025" t="str">
        <f ca="1">Calc!H25</f>
        <v>HPQ</v>
      </c>
      <c r="B27" s="1027">
        <v>45461</v>
      </c>
      <c r="C27" s="66" t="s">
        <v>1407</v>
      </c>
      <c r="D27" s="308">
        <v>-1.3020000000000002E-3</v>
      </c>
      <c r="E27" s="314">
        <v>1.4521224567749358</v>
      </c>
      <c r="F27" s="93">
        <v>10738</v>
      </c>
      <c r="G27" s="90">
        <v>0.76190476190476186</v>
      </c>
      <c r="H27" s="1033">
        <f ca="1">_xlfn.XLOOKUP(A27,TabCalc[Ticker],TabCalc[M])</f>
        <v>22.54</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45980</v>
      </c>
      <c r="P27" t="str">
        <f t="shared" ca="1" si="1"/>
        <v>Formulas ready to copy below</v>
      </c>
    </row>
    <row r="28" spans="1:16" ht="23" thickBot="1" x14ac:dyDescent="0.35">
      <c r="A28" s="1025" t="str">
        <f ca="1">Calc!H26</f>
        <v>IAG</v>
      </c>
      <c r="B28" s="1027">
        <v>45938</v>
      </c>
      <c r="C28" s="66" t="s">
        <v>2604</v>
      </c>
      <c r="D28" s="1067">
        <v>4.8989999999999997E-3</v>
      </c>
      <c r="E28" s="1155">
        <v>1.4939853457793837</v>
      </c>
      <c r="F28" s="1030" t="s">
        <v>2591</v>
      </c>
      <c r="G28" s="1068">
        <v>0.82352941176470584</v>
      </c>
      <c r="H28" s="1033">
        <f ca="1">_xlfn.XLOOKUP(A28,TabCalc[Ticker],TabCalc[M])</f>
        <v>377.6</v>
      </c>
      <c r="I28" s="1061">
        <v>45938</v>
      </c>
      <c r="J28" s="1159" t="s">
        <v>2598</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45980</v>
      </c>
      <c r="P28" t="str">
        <f t="shared" ca="1" si="1"/>
        <v>Formulas ready to copy below</v>
      </c>
    </row>
    <row r="29" spans="1:16" ht="23" thickBot="1" x14ac:dyDescent="0.35">
      <c r="A29" s="1025" t="str">
        <f ca="1">Calc!H27</f>
        <v>KR</v>
      </c>
      <c r="B29" s="1027">
        <v>45460</v>
      </c>
      <c r="C29" s="66" t="s">
        <v>1408</v>
      </c>
      <c r="D29" s="308">
        <v>-2.4190000000000001E-3</v>
      </c>
      <c r="E29" s="314">
        <v>0.86651789386493594</v>
      </c>
      <c r="F29" s="93">
        <v>4997.4799999999996</v>
      </c>
      <c r="G29" s="90">
        <v>0.42857142857142855</v>
      </c>
      <c r="H29" s="1033">
        <f ca="1">_xlfn.XLOOKUP(A29,TabCalc[Ticker],TabCalc[M])</f>
        <v>67.55</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45980</v>
      </c>
      <c r="P29" t="str">
        <f t="shared" ca="1" si="1"/>
        <v>Formulas ready to copy below</v>
      </c>
    </row>
    <row r="30" spans="1:16" ht="23" thickBot="1" x14ac:dyDescent="0.35">
      <c r="A30" s="1025" t="str">
        <f ca="1">Calc!H28</f>
        <v>LNSR</v>
      </c>
      <c r="B30" s="1027">
        <v>45553</v>
      </c>
      <c r="C30" s="66" t="s">
        <v>1409</v>
      </c>
      <c r="D30" s="308">
        <v>-7.8259999999999996E-3</v>
      </c>
      <c r="E30" s="314">
        <v>0.84274486773182655</v>
      </c>
      <c r="F30" s="93">
        <v>44795.66</v>
      </c>
      <c r="G30" s="90">
        <v>0</v>
      </c>
      <c r="H30" s="1033">
        <f ca="1">_xlfn.XLOOKUP(A30,TabCalc[Ticker],TabCalc[M])</f>
        <v>10.09</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45980</v>
      </c>
      <c r="P30" t="str">
        <f t="shared" ca="1" si="1"/>
        <v>Formulas ready to copy below</v>
      </c>
    </row>
    <row r="31" spans="1:16" ht="23" thickBot="1" x14ac:dyDescent="0.35">
      <c r="A31" s="1025" t="str">
        <f ca="1">Calc!H29</f>
        <v>LUMN</v>
      </c>
      <c r="B31" s="1027">
        <v>45506</v>
      </c>
      <c r="C31" s="66" t="s">
        <v>1410</v>
      </c>
      <c r="D31" s="308">
        <v>-1.4145000000000001E-2</v>
      </c>
      <c r="E31" s="314">
        <v>0.68244646072628012</v>
      </c>
      <c r="F31" s="93"/>
      <c r="G31" s="90">
        <v>0.42857142857142855</v>
      </c>
      <c r="H31" s="1033">
        <f ca="1">_xlfn.XLOOKUP(A31,TabCalc[Ticker],TabCalc[M])</f>
        <v>7.5149999999999997</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45980</v>
      </c>
      <c r="P31" t="str">
        <f t="shared" ca="1" si="1"/>
        <v>Formulas ready to copy below</v>
      </c>
    </row>
    <row r="32" spans="1:16" ht="23" thickBot="1" x14ac:dyDescent="0.35">
      <c r="A32" s="1025" t="str">
        <f ca="1">Calc!H30</f>
        <v>MRNA</v>
      </c>
      <c r="B32" s="1027">
        <v>45495</v>
      </c>
      <c r="C32" s="66" t="s">
        <v>1411</v>
      </c>
      <c r="D32" s="308">
        <v>5.94E-3</v>
      </c>
      <c r="E32" s="314">
        <v>1.3059817664634426</v>
      </c>
      <c r="F32" s="93">
        <v>12786.75</v>
      </c>
      <c r="G32" s="90">
        <v>0</v>
      </c>
      <c r="H32" s="1033">
        <f ca="1">_xlfn.XLOOKUP(A32,TabCalc[Ticker],TabCalc[M])</f>
        <v>24.28</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45980</v>
      </c>
      <c r="P32" t="str">
        <f t="shared" ca="1" si="1"/>
        <v>Formulas ready to copy below</v>
      </c>
    </row>
    <row r="33" spans="1:16" ht="23" thickBot="1" x14ac:dyDescent="0.35">
      <c r="A33" s="1025" t="str">
        <f ca="1">Calc!H31</f>
        <v>MSFT</v>
      </c>
      <c r="B33" s="1027">
        <v>45519</v>
      </c>
      <c r="C33" s="1079" t="s">
        <v>2517</v>
      </c>
      <c r="D33" s="1067">
        <v>1.5672999999999999E-2</v>
      </c>
      <c r="E33" s="1155">
        <v>0.82798169746359851</v>
      </c>
      <c r="F33" s="1030" t="s">
        <v>2519</v>
      </c>
      <c r="G33" s="1068">
        <v>0.47619047619047616</v>
      </c>
      <c r="H33" s="1033">
        <f ca="1">_xlfn.XLOOKUP(A33,TabCalc[Ticker],TabCalc[M])</f>
        <v>486.59</v>
      </c>
      <c r="I33" s="1061">
        <v>45926</v>
      </c>
      <c r="J33" s="1079"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45980</v>
      </c>
      <c r="P33" t="str">
        <f t="shared" ca="1" si="1"/>
        <v>Formulas ready to copy below</v>
      </c>
    </row>
    <row r="34" spans="1:16" ht="23" thickBot="1" x14ac:dyDescent="0.35">
      <c r="A34" s="1025" t="str">
        <f ca="1">Calc!H32</f>
        <v>NEE</v>
      </c>
      <c r="B34" s="1027">
        <v>45460</v>
      </c>
      <c r="C34" s="1069" t="s">
        <v>1412</v>
      </c>
      <c r="D34" s="1070">
        <v>4.4305000000000004E-2</v>
      </c>
      <c r="E34" s="314">
        <v>1.1654874899045418</v>
      </c>
      <c r="F34" s="93">
        <v>11205.230000000001</v>
      </c>
      <c r="G34" s="1071">
        <v>0.61904761904761907</v>
      </c>
      <c r="H34" s="1033">
        <f ca="1">_xlfn.XLOOKUP(A34,TabCalc[Ticker],TabCalc[M])</f>
        <v>84.71</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45980</v>
      </c>
      <c r="P34" t="str">
        <f t="shared" ca="1" si="1"/>
        <v>Formulas ready to copy below</v>
      </c>
    </row>
    <row r="35" spans="1:16" ht="23" thickBot="1" x14ac:dyDescent="0.35">
      <c r="A35" s="1025" t="str">
        <f ca="1">Calc!H33</f>
        <v>NEM</v>
      </c>
      <c r="B35" s="1027">
        <v>45953</v>
      </c>
      <c r="C35" s="1069" t="s">
        <v>2696</v>
      </c>
      <c r="D35" s="1067">
        <v>2.1262E-2</v>
      </c>
      <c r="E35" s="1155">
        <v>1.1193396111995468</v>
      </c>
      <c r="F35" s="1030" t="s">
        <v>2697</v>
      </c>
      <c r="G35" s="1068">
        <v>0.33333333333333331</v>
      </c>
      <c r="H35" s="1033">
        <f ca="1">_xlfn.XLOOKUP(A35,TabCalc[Ticker],TabCalc[M])</f>
        <v>87.594999999999999</v>
      </c>
      <c r="I35" s="1061">
        <v>45953</v>
      </c>
      <c r="J35" s="1159" t="s">
        <v>2699</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45980</v>
      </c>
      <c r="P35" t="str">
        <f t="shared" ca="1" si="1"/>
        <v>Formulas ready to copy below</v>
      </c>
    </row>
    <row r="36" spans="1:16" ht="23" thickBot="1" x14ac:dyDescent="0.35">
      <c r="A36" s="1025" t="str">
        <f ca="1">Calc!H34</f>
        <v>NFLX</v>
      </c>
      <c r="B36" s="1027">
        <v>45939</v>
      </c>
      <c r="C36" s="1069" t="s">
        <v>2607</v>
      </c>
      <c r="D36" s="1185">
        <v>5.0000000000000001E-3</v>
      </c>
      <c r="E36" s="1186">
        <v>0.78</v>
      </c>
      <c r="F36" s="1187" t="s">
        <v>2609</v>
      </c>
      <c r="G36" s="1188">
        <v>0.56999999999999995</v>
      </c>
      <c r="H36" s="1033">
        <f ca="1">_xlfn.XLOOKUP(A36,TabCalc[Ticker],TabCalc[M])</f>
        <v>109.78</v>
      </c>
      <c r="I36" s="1189">
        <v>45938</v>
      </c>
      <c r="J36" s="1159" t="s">
        <v>2610</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45980</v>
      </c>
      <c r="P36" t="str">
        <f t="shared" ca="1" si="1"/>
        <v>Formulas ready to copy below</v>
      </c>
    </row>
    <row r="37" spans="1:16" ht="23" thickBot="1" x14ac:dyDescent="0.35">
      <c r="A37" s="1025" t="str">
        <f ca="1">Calc!H35</f>
        <v>NOTE</v>
      </c>
      <c r="B37" s="1027">
        <v>45939</v>
      </c>
      <c r="C37" s="1069" t="s">
        <v>2608</v>
      </c>
      <c r="D37" s="1185">
        <v>5.0000000000000001E-3</v>
      </c>
      <c r="E37" s="1186">
        <v>0.78</v>
      </c>
      <c r="F37" s="1187" t="s">
        <v>2609</v>
      </c>
      <c r="G37" s="1188">
        <v>0.56999999999999995</v>
      </c>
      <c r="H37" s="1033">
        <f ca="1">_xlfn.XLOOKUP(A37,TabCalc[Ticker],TabCalc[M])</f>
        <v>2.13</v>
      </c>
      <c r="I37" s="1189">
        <v>45938</v>
      </c>
      <c r="J37" s="1159" t="s">
        <v>2610</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45980</v>
      </c>
      <c r="P37" t="str">
        <f t="shared" ref="P37:P68" ca="1" si="3">IFERROR("("&amp;TEXT(J37,"#0.0%")&amp;":"&amp;INT(100*K37)&amp;"%)@"&amp;TEXT(N37,"#,#0.#0")&amp;":("&amp;L37&amp;")"&amp;"&gt;UpMark "&amp;TEXT(M37,"#,#0%"),"Formulas ready to copy below")</f>
        <v>Formulas ready to copy below</v>
      </c>
    </row>
    <row r="38" spans="1:16" ht="23" thickBot="1" x14ac:dyDescent="0.35">
      <c r="A38" s="1025" t="str">
        <f ca="1">Calc!H36</f>
        <v>PAAS</v>
      </c>
      <c r="B38" s="1027">
        <v>45519</v>
      </c>
      <c r="C38" s="1069" t="s">
        <v>1413</v>
      </c>
      <c r="D38" s="1070">
        <v>6.6585999999999992E-2</v>
      </c>
      <c r="E38" s="314">
        <v>0.82326283787864651</v>
      </c>
      <c r="F38" s="93"/>
      <c r="G38" s="1071">
        <v>0.42857142857142855</v>
      </c>
      <c r="H38" s="1033">
        <f ca="1">_xlfn.XLOOKUP(A38,TabCalc[Ticker],TabCalc[M])</f>
        <v>38.49</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45980</v>
      </c>
      <c r="P38" t="str">
        <f t="shared" ca="1" si="3"/>
        <v>Formulas ready to copy below</v>
      </c>
    </row>
    <row r="39" spans="1:16" ht="23" thickBot="1" x14ac:dyDescent="0.35">
      <c r="A39" s="1025" t="str">
        <f ca="1">Calc!H37</f>
        <v>PROF</v>
      </c>
      <c r="B39" s="1027">
        <v>45938</v>
      </c>
      <c r="C39" s="1069" t="s">
        <v>2612</v>
      </c>
      <c r="D39" s="1067">
        <v>4.3343999999999994E-2</v>
      </c>
      <c r="E39" s="1155">
        <v>1.3546074840192488</v>
      </c>
      <c r="F39" s="1030" t="s">
        <v>2625</v>
      </c>
      <c r="G39" s="1068">
        <v>0.61904761904761907</v>
      </c>
      <c r="H39" s="1033">
        <f ca="1">_xlfn.XLOOKUP(A39,TabCalc[Ticker],TabCalc[M])</f>
        <v>5.99</v>
      </c>
      <c r="I39" s="1061">
        <v>45939</v>
      </c>
      <c r="J39" s="1159" t="s">
        <v>2632</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45980</v>
      </c>
      <c r="P39" t="str">
        <f t="shared" ca="1" si="3"/>
        <v>Formulas ready to copy below</v>
      </c>
    </row>
    <row r="40" spans="1:16" ht="23" thickBot="1" x14ac:dyDescent="0.35">
      <c r="A40" s="1025" t="str">
        <f ca="1">Calc!H38</f>
        <v>POET</v>
      </c>
      <c r="B40" s="1027">
        <v>45939</v>
      </c>
      <c r="C40" s="1069" t="s">
        <v>2615</v>
      </c>
      <c r="D40" s="1067">
        <v>0.17005099999999998</v>
      </c>
      <c r="E40" s="1155">
        <v>13.077889924669092</v>
      </c>
      <c r="F40" s="1030" t="s">
        <v>2626</v>
      </c>
      <c r="G40" s="1068">
        <v>0.57894736842105265</v>
      </c>
      <c r="H40" s="1033">
        <f ca="1">_xlfn.XLOOKUP(A40,TabCalc[Ticker],TabCalc[M])</f>
        <v>4.1844000000000001</v>
      </c>
      <c r="I40" s="1061">
        <v>45939</v>
      </c>
      <c r="J40" s="1159" t="s">
        <v>2633</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45980</v>
      </c>
      <c r="P40" t="str">
        <f t="shared" ca="1" si="3"/>
        <v>Formulas ready to copy below</v>
      </c>
    </row>
    <row r="41" spans="1:16" ht="23" thickBot="1" x14ac:dyDescent="0.35">
      <c r="A41" s="1025" t="str">
        <f ca="1">Calc!H39</f>
        <v>PW</v>
      </c>
      <c r="B41" s="1027">
        <v>45926</v>
      </c>
      <c r="C41" s="1078" t="s">
        <v>2516</v>
      </c>
      <c r="D41" s="1067">
        <v>-2.4390000000000002E-3</v>
      </c>
      <c r="E41" s="1155">
        <v>0.92153560404259394</v>
      </c>
      <c r="F41" s="1030" t="s">
        <v>2520</v>
      </c>
      <c r="G41" s="1068">
        <v>0</v>
      </c>
      <c r="H41" s="1033">
        <f ca="1">_xlfn.XLOOKUP(A41,TabCalc[Ticker],TabCalc[M])</f>
        <v>0.64290000000000003</v>
      </c>
      <c r="I41" s="1061">
        <v>45926</v>
      </c>
      <c r="J41" s="1032" t="s">
        <v>2525</v>
      </c>
      <c r="K41" s="1181"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45980</v>
      </c>
      <c r="P41" t="str">
        <f t="shared" ca="1" si="3"/>
        <v>Formulas ready to copy below</v>
      </c>
    </row>
    <row r="42" spans="1:16" ht="23" thickBot="1" x14ac:dyDescent="0.35">
      <c r="A42" s="1025" t="str">
        <f ca="1">Calc!H40</f>
        <v>RIGL</v>
      </c>
      <c r="B42" s="1027">
        <v>45932</v>
      </c>
      <c r="C42" s="1069" t="s">
        <v>1414</v>
      </c>
      <c r="D42" s="1067">
        <v>4.5125999999999999E-2</v>
      </c>
      <c r="E42" s="1155">
        <v>0.67371162080178904</v>
      </c>
      <c r="F42" s="1030" t="s">
        <v>2518</v>
      </c>
      <c r="G42" s="1068">
        <v>0.33333333333333331</v>
      </c>
      <c r="H42" s="1033">
        <f ca="1">_xlfn.XLOOKUP(A42,TabCalc[Ticker],TabCalc[M])</f>
        <v>42.2</v>
      </c>
      <c r="I42" s="1061">
        <v>45932</v>
      </c>
      <c r="J42" s="1079"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45980</v>
      </c>
      <c r="P42" t="str">
        <f t="shared" ca="1" si="3"/>
        <v>Formulas ready to copy below</v>
      </c>
    </row>
    <row r="43" spans="1:16" ht="23" thickBot="1" x14ac:dyDescent="0.35">
      <c r="A43" s="1025" t="str">
        <f ca="1">Calc!H41</f>
        <v>RWE</v>
      </c>
      <c r="B43" s="1027">
        <v>45926</v>
      </c>
      <c r="C43" s="1069" t="s">
        <v>2550</v>
      </c>
      <c r="D43" s="1067">
        <v>7.4489999999999999E-3</v>
      </c>
      <c r="E43" s="1155">
        <v>2.8445264488105365E-4</v>
      </c>
      <c r="F43" s="1030" t="s">
        <v>2518</v>
      </c>
      <c r="G43" s="1068">
        <v>0.83333333333333337</v>
      </c>
      <c r="H43" s="1033">
        <f ca="1">_xlfn.XLOOKUP(A43,TabCalc[Ticker],TabCalc[M])</f>
        <v>43.73</v>
      </c>
      <c r="I43" s="1061">
        <v>45933</v>
      </c>
      <c r="J43" s="1159"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45980</v>
      </c>
      <c r="P43" t="str">
        <f t="shared" ca="1" si="3"/>
        <v>Formulas ready to copy below</v>
      </c>
    </row>
    <row r="44" spans="1:16" ht="23" thickBot="1" x14ac:dyDescent="0.35">
      <c r="A44" s="1025" t="str">
        <f ca="1">Calc!H42</f>
        <v>SAP</v>
      </c>
      <c r="B44" s="1027">
        <v>45944</v>
      </c>
      <c r="C44" s="1069" t="s">
        <v>2662</v>
      </c>
      <c r="D44" s="1067">
        <v>5.6179999999999997E-3</v>
      </c>
      <c r="E44" s="1155">
        <v>1.1919431065487109</v>
      </c>
      <c r="F44" s="1030" t="s">
        <v>2664</v>
      </c>
      <c r="G44" s="1068">
        <v>0.55555555555555558</v>
      </c>
      <c r="H44" s="1033">
        <f ca="1">_xlfn.XLOOKUP(A44,TabCalc[Ticker],TabCalc[M])</f>
        <v>205.5</v>
      </c>
      <c r="I44" s="1061">
        <v>45944</v>
      </c>
      <c r="J44" s="1159" t="s">
        <v>2665</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45980</v>
      </c>
      <c r="P44" t="str">
        <f t="shared" ca="1" si="3"/>
        <v>Formulas ready to copy below</v>
      </c>
    </row>
    <row r="45" spans="1:16" ht="23" thickBot="1" x14ac:dyDescent="0.35">
      <c r="A45" s="1025" t="str">
        <f ca="1">Calc!H43</f>
        <v>SHECY</v>
      </c>
      <c r="B45" s="1027">
        <v>45938</v>
      </c>
      <c r="C45" s="1069" t="s">
        <v>2613</v>
      </c>
      <c r="D45" s="1067">
        <v>-1.7564E-2</v>
      </c>
      <c r="E45" s="1155">
        <v>2.3723824396596944E-2</v>
      </c>
      <c r="F45" s="1030" t="s">
        <v>2627</v>
      </c>
      <c r="G45" s="1068">
        <v>0.6428571428571429</v>
      </c>
      <c r="H45" s="1033">
        <f ca="1">_xlfn.XLOOKUP(A45,TabCalc[Ticker],TabCalc[M])</f>
        <v>14.214499999999999</v>
      </c>
      <c r="I45" s="1061">
        <v>45939</v>
      </c>
      <c r="J45" s="1159" t="s">
        <v>2634</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45980</v>
      </c>
      <c r="P45" t="str">
        <f t="shared" ca="1" si="3"/>
        <v>Formulas ready to copy below</v>
      </c>
    </row>
    <row r="46" spans="1:16" ht="23" thickBot="1" x14ac:dyDescent="0.35">
      <c r="A46" s="1025" t="str">
        <f ca="1">Calc!H44</f>
        <v>SSYS</v>
      </c>
      <c r="B46" s="1027">
        <v>45460</v>
      </c>
      <c r="C46" s="1069" t="s">
        <v>1415</v>
      </c>
      <c r="D46" s="1070">
        <v>1.6840999999999998E-2</v>
      </c>
      <c r="E46" s="314">
        <v>1.0913498515453366</v>
      </c>
      <c r="F46" s="93">
        <v>24160.59</v>
      </c>
      <c r="G46" s="1071">
        <v>0.61904761904761907</v>
      </c>
      <c r="H46" s="1033">
        <f ca="1">_xlfn.XLOOKUP(A46,TabCalc[Ticker],TabCalc[M])</f>
        <v>8.4499999999999993</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45980</v>
      </c>
      <c r="P46" t="str">
        <f t="shared" ca="1" si="3"/>
        <v>Formulas ready to copy below</v>
      </c>
    </row>
    <row r="47" spans="1:16" ht="23" thickBot="1" x14ac:dyDescent="0.35">
      <c r="A47" s="1025" t="str">
        <f ca="1">Calc!H45</f>
        <v>TSLA</v>
      </c>
      <c r="B47" s="1027">
        <v>45525</v>
      </c>
      <c r="C47" s="1069" t="s">
        <v>1416</v>
      </c>
      <c r="D47" s="1070">
        <v>-1.3661000000000001E-2</v>
      </c>
      <c r="E47" s="314">
        <v>1.0809741863119016</v>
      </c>
      <c r="F47" s="93">
        <v>17223.050000000003</v>
      </c>
      <c r="G47" s="1071">
        <v>0.66666666666666663</v>
      </c>
      <c r="H47" s="1033">
        <f ca="1">_xlfn.XLOOKUP(A47,TabCalc[Ticker],TabCalc[M])</f>
        <v>402.11</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45980</v>
      </c>
      <c r="P47" t="str">
        <f t="shared" ca="1" si="3"/>
        <v>Formulas ready to copy below</v>
      </c>
    </row>
    <row r="48" spans="1:16" ht="23" thickBot="1" x14ac:dyDescent="0.35">
      <c r="A48" s="1025" t="str">
        <f ca="1">Calc!H46</f>
        <v>TSM</v>
      </c>
      <c r="B48" s="1027">
        <v>45460</v>
      </c>
      <c r="C48" s="1069" t="s">
        <v>1417</v>
      </c>
      <c r="D48" s="1070">
        <v>-4.8209000000000002E-2</v>
      </c>
      <c r="E48" s="314">
        <v>6.2275449101796408E-2</v>
      </c>
      <c r="F48" s="93"/>
      <c r="G48" s="1071">
        <v>0</v>
      </c>
      <c r="H48" s="1033">
        <f ca="1">_xlfn.XLOOKUP(A48,TabCalc[Ticker],TabCalc[M])</f>
        <v>279.49</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45980</v>
      </c>
      <c r="P48" t="str">
        <f t="shared" ca="1" si="3"/>
        <v>Formulas ready to copy below</v>
      </c>
    </row>
    <row r="49" spans="1:16" ht="23" thickBot="1" x14ac:dyDescent="0.35">
      <c r="A49" s="1025" t="str">
        <f ca="1">Calc!H47</f>
        <v>UN0</v>
      </c>
      <c r="B49" s="1027">
        <v>45460</v>
      </c>
      <c r="C49" s="1069" t="s">
        <v>1417</v>
      </c>
      <c r="D49" s="1070">
        <v>-2.2529E-2</v>
      </c>
      <c r="E49" s="314">
        <v>0.6230414742163608</v>
      </c>
      <c r="F49" s="93"/>
      <c r="G49" s="1071">
        <v>0</v>
      </c>
      <c r="H49" s="1033">
        <f ca="1">_xlfn.XLOOKUP(A49,TabCalc[Ticker],TabCalc[M])</f>
        <v>30.25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45980</v>
      </c>
      <c r="P49" t="str">
        <f t="shared" ca="1" si="3"/>
        <v>Formulas ready to copy below</v>
      </c>
    </row>
    <row r="50" spans="1:16" ht="23" thickBot="1" x14ac:dyDescent="0.35">
      <c r="A50" s="1025" t="str">
        <f ca="1">Calc!H48</f>
        <v>UNIT</v>
      </c>
      <c r="B50" s="1027">
        <v>45495</v>
      </c>
      <c r="C50" s="1069" t="s">
        <v>1418</v>
      </c>
      <c r="D50" s="1070">
        <v>-4.1120000000000002E-3</v>
      </c>
      <c r="E50" s="314">
        <v>0.93803543348713303</v>
      </c>
      <c r="F50" s="93">
        <v>12037.550000000001</v>
      </c>
      <c r="G50" s="1071">
        <v>0.61904761904761907</v>
      </c>
      <c r="H50" s="1033">
        <f ca="1">_xlfn.XLOOKUP(A50,TabCalc[Ticker],TabCalc[M])</f>
        <v>5.915</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45980</v>
      </c>
      <c r="P50" t="str">
        <f t="shared" ca="1" si="3"/>
        <v>Formulas ready to copy below</v>
      </c>
    </row>
    <row r="51" spans="1:16" ht="23" thickBot="1" x14ac:dyDescent="0.35">
      <c r="A51" s="1025" t="str">
        <f ca="1">Calc!H49</f>
        <v>VLVLY</v>
      </c>
      <c r="B51" s="1027">
        <v>45933</v>
      </c>
      <c r="C51" s="1069" t="s">
        <v>2549</v>
      </c>
      <c r="D51" s="1067">
        <v>1.0648999999999999E-2</v>
      </c>
      <c r="E51" s="1155">
        <v>1.3176706506242421E-2</v>
      </c>
      <c r="F51" s="1030" t="s">
        <v>2552</v>
      </c>
      <c r="G51" s="1068">
        <v>0</v>
      </c>
      <c r="H51" s="1033">
        <f ca="1">_xlfn.XLOOKUP(A51,TabCalc[Ticker],TabCalc[M])</f>
        <v>28.004999999999999</v>
      </c>
      <c r="I51" s="1061">
        <v>45933</v>
      </c>
      <c r="J51" s="1159"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45980</v>
      </c>
      <c r="P51" t="str">
        <f t="shared" ca="1" si="3"/>
        <v>Formulas ready to copy below</v>
      </c>
    </row>
    <row r="52" spans="1:16" ht="23" thickBot="1" x14ac:dyDescent="0.35">
      <c r="A52" s="1025" t="str">
        <f ca="1">Calc!H50</f>
        <v>VONN</v>
      </c>
      <c r="B52" s="1027">
        <v>45946</v>
      </c>
      <c r="C52" s="1078" t="s">
        <v>2674</v>
      </c>
      <c r="D52" s="1067">
        <v>-6.6449999999999999E-3</v>
      </c>
      <c r="E52" s="1155">
        <v>0.58865979381443301</v>
      </c>
      <c r="F52" s="1030" t="s">
        <v>2677</v>
      </c>
      <c r="G52" s="1068">
        <v>0</v>
      </c>
      <c r="H52" s="1033">
        <f ca="1">_xlfn.XLOOKUP(A52,TabCalc[Ticker],TabCalc[M])</f>
        <v>59.2</v>
      </c>
      <c r="I52" s="1061">
        <v>45946</v>
      </c>
      <c r="J52" s="1159" t="s">
        <v>2679</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45980</v>
      </c>
      <c r="P52" t="str">
        <f t="shared" ca="1" si="3"/>
        <v>Formulas ready to copy below</v>
      </c>
    </row>
    <row r="53" spans="1:16" ht="23" thickBot="1" x14ac:dyDescent="0.35">
      <c r="A53" s="1025" t="str">
        <f ca="1">Calc!H51</f>
        <v>VTRS</v>
      </c>
      <c r="B53" s="1027">
        <v>45938</v>
      </c>
      <c r="C53" s="66" t="s">
        <v>2580</v>
      </c>
      <c r="D53" s="1067">
        <v>9.8719999999999993E-4</v>
      </c>
      <c r="E53" s="1155">
        <v>0.61074588106158878</v>
      </c>
      <c r="F53" s="1030" t="s">
        <v>2592</v>
      </c>
      <c r="G53" s="1068">
        <v>0.46666666666666667</v>
      </c>
      <c r="H53" s="1033">
        <f ca="1">_xlfn.XLOOKUP(A53,TabCalc[Ticker],TabCalc[M])</f>
        <v>10.545</v>
      </c>
      <c r="I53" s="1061">
        <v>45938</v>
      </c>
      <c r="J53" s="1159" t="s">
        <v>2599</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45980</v>
      </c>
      <c r="P53" t="str">
        <f t="shared" ca="1" si="3"/>
        <v>Formulas ready to copy below</v>
      </c>
    </row>
    <row r="54" spans="1:16" ht="23" thickBot="1" x14ac:dyDescent="0.35">
      <c r="A54" s="1025" t="str">
        <f ca="1">Calc!H52</f>
        <v>WBA</v>
      </c>
      <c r="B54" s="1027">
        <v>45460</v>
      </c>
      <c r="C54" s="66" t="s">
        <v>1419</v>
      </c>
      <c r="D54" s="308">
        <v>0</v>
      </c>
      <c r="E54" s="314">
        <v>24.33668817861566</v>
      </c>
      <c r="F54" s="93">
        <v>31195.920000000002</v>
      </c>
      <c r="G54" s="90">
        <v>0</v>
      </c>
      <c r="H54" s="1033">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45980</v>
      </c>
      <c r="P54" t="str">
        <f t="shared" ca="1" si="3"/>
        <v>Formulas ready to copy below</v>
      </c>
    </row>
    <row r="55" spans="1:16" ht="23" thickBot="1" x14ac:dyDescent="0.35">
      <c r="A55" s="1025" t="str">
        <f ca="1">Calc!H53</f>
        <v>XOM</v>
      </c>
      <c r="B55" s="1027">
        <v>45460</v>
      </c>
      <c r="C55" s="66" t="s">
        <v>2499</v>
      </c>
      <c r="D55" s="1062">
        <v>9.1660000000000005E-3</v>
      </c>
      <c r="E55" s="1156">
        <v>0.89653265895548728</v>
      </c>
      <c r="F55" s="1063" t="s">
        <v>2521</v>
      </c>
      <c r="G55" s="1064">
        <v>0.66666666666666663</v>
      </c>
      <c r="H55" s="1033">
        <f ca="1">_xlfn.XLOOKUP(A55,TabCalc[Ticker],TabCalc[M])</f>
        <v>117.58</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45980</v>
      </c>
      <c r="P55" t="str">
        <f t="shared" ca="1" si="3"/>
        <v>Formulas ready to copy below</v>
      </c>
    </row>
    <row r="56" spans="1:16" ht="23" thickBot="1" x14ac:dyDescent="0.35">
      <c r="A56" s="1025" t="str">
        <f ca="1">Calc!H54</f>
        <v>XPER</v>
      </c>
      <c r="B56" s="1027">
        <v>45967</v>
      </c>
      <c r="C56" s="1069" t="s">
        <v>2763</v>
      </c>
      <c r="D56" s="1067">
        <v>2.2254999999999997E-2</v>
      </c>
      <c r="E56" s="1155">
        <v>1.6525971596294879</v>
      </c>
      <c r="F56" s="1030" t="s">
        <v>2761</v>
      </c>
      <c r="G56" s="1068">
        <v>0</v>
      </c>
      <c r="H56" s="1033">
        <f ca="1">_xlfn.XLOOKUP(A56,TabCalc[Ticker],TabCalc[M])</f>
        <v>5.69</v>
      </c>
      <c r="I56" s="1061">
        <v>45967</v>
      </c>
      <c r="J56" s="1159" t="s">
        <v>2762</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45980</v>
      </c>
      <c r="P56" t="str">
        <f t="shared" ca="1" si="3"/>
        <v>Formulas ready to copy below</v>
      </c>
    </row>
    <row r="57" spans="1:16" ht="23" thickBot="1" x14ac:dyDescent="0.35">
      <c r="A57" s="1025" t="str">
        <f ca="1">Calc!H55</f>
        <v>MVEALDNE</v>
      </c>
      <c r="B57" s="1027">
        <v>45919</v>
      </c>
      <c r="C57" s="66" t="s">
        <v>1420</v>
      </c>
      <c r="D57" s="308">
        <v>-2.5463E-2</v>
      </c>
      <c r="E57" s="314">
        <v>2.6456</v>
      </c>
      <c r="F57" s="93"/>
      <c r="G57" s="90">
        <v>0</v>
      </c>
      <c r="H57" s="1033">
        <f ca="1">_xlfn.XLOOKUP(A57,TabCalc[Ticker],TabCalc[M])</f>
        <v>0.68799999999999994</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45980</v>
      </c>
      <c r="P57" t="str">
        <f t="shared" ca="1" si="3"/>
        <v>Formulas ready to copy below</v>
      </c>
    </row>
    <row r="58" spans="1:16" ht="23" thickBot="1" x14ac:dyDescent="0.35">
      <c r="A58" s="1025" t="str">
        <f ca="1">Calc!H56</f>
        <v>MVEDDD</v>
      </c>
      <c r="B58" s="1027">
        <v>45933</v>
      </c>
      <c r="C58" s="1028" t="s">
        <v>2546</v>
      </c>
      <c r="D58" s="1067">
        <v>4.3478000000000003E-2</v>
      </c>
      <c r="E58" s="1155">
        <v>1.4351651053846612</v>
      </c>
      <c r="F58" s="1030" t="s">
        <v>2553</v>
      </c>
      <c r="G58" s="1068">
        <v>0</v>
      </c>
      <c r="H58" s="1033">
        <f ca="1">_xlfn.XLOOKUP(A58,TabCalc[Ticker],TabCalc[M])</f>
        <v>2.0449999999999999</v>
      </c>
      <c r="I58" s="1061">
        <v>45933</v>
      </c>
      <c r="J58" s="1159"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45980</v>
      </c>
      <c r="P58" t="str">
        <f t="shared" ca="1" si="3"/>
        <v>Formulas ready to copy below</v>
      </c>
    </row>
    <row r="59" spans="1:16" ht="23" thickBot="1" x14ac:dyDescent="0.35">
      <c r="A59" s="1025" t="str">
        <f ca="1">Calc!H57</f>
        <v>MVEDSY</v>
      </c>
      <c r="B59" s="1027">
        <v>45919</v>
      </c>
      <c r="C59" s="66" t="s">
        <v>1421</v>
      </c>
      <c r="D59" s="308">
        <v>-1.5178000000000001E-2</v>
      </c>
      <c r="E59" s="314">
        <v>1.9266751012719989</v>
      </c>
      <c r="F59" s="93"/>
      <c r="G59" s="90">
        <v>0</v>
      </c>
      <c r="H59" s="1033">
        <f ca="1">_xlfn.XLOOKUP(A59,TabCalc[Ticker],TabCalc[M])</f>
        <v>23.38</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45980</v>
      </c>
      <c r="P59" t="str">
        <f t="shared" ca="1" si="3"/>
        <v>Formulas ready to copy below</v>
      </c>
    </row>
    <row r="60" spans="1:16" ht="23" thickBot="1" x14ac:dyDescent="0.35">
      <c r="A60" s="1025" t="str">
        <f ca="1">Calc!H58</f>
        <v>MVEEOAN</v>
      </c>
      <c r="B60" s="1027">
        <v>45545</v>
      </c>
      <c r="C60" s="66" t="s">
        <v>1422</v>
      </c>
      <c r="D60" s="308">
        <v>5.1700000000000001E-3</v>
      </c>
      <c r="E60" s="314">
        <v>4.0616594839527167</v>
      </c>
      <c r="F60" s="93">
        <v>17297.16</v>
      </c>
      <c r="G60" s="90">
        <v>0.47619047619047616</v>
      </c>
      <c r="H60" s="1033">
        <f ca="1">_xlfn.XLOOKUP(A60,TabCalc[Ticker],TabCalc[M])</f>
        <v>15.3</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45980</v>
      </c>
      <c r="P60" t="str">
        <f t="shared" ca="1" si="3"/>
        <v>Formulas ready to copy below</v>
      </c>
    </row>
    <row r="61" spans="1:16" ht="23" thickBot="1" x14ac:dyDescent="0.35">
      <c r="A61" s="1025" t="str">
        <f ca="1">Calc!H59</f>
        <v>MVEENI</v>
      </c>
      <c r="B61" s="1027">
        <v>45460</v>
      </c>
      <c r="C61" s="66" t="s">
        <v>1423</v>
      </c>
      <c r="D61" s="308">
        <v>-7.3850000000000001E-3</v>
      </c>
      <c r="E61" s="314">
        <v>2.7279009025590284</v>
      </c>
      <c r="F61" s="93">
        <v>60563.455999999998</v>
      </c>
      <c r="G61" s="90">
        <v>0.5714285714285714</v>
      </c>
      <c r="H61" s="1033">
        <f ca="1">_xlfn.XLOOKUP(A61,TabCalc[Ticker],TabCalc[M])</f>
        <v>16.218</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45980</v>
      </c>
      <c r="P61" t="str">
        <f t="shared" ca="1" si="3"/>
        <v>Formulas ready to copy below</v>
      </c>
    </row>
    <row r="62" spans="1:16" ht="23" thickBot="1" x14ac:dyDescent="0.35">
      <c r="A62" s="1025" t="str">
        <f ca="1">Calc!H60</f>
        <v>MVEEPIX</v>
      </c>
      <c r="B62" s="1027">
        <v>45460</v>
      </c>
      <c r="C62" s="66" t="s">
        <v>1424</v>
      </c>
      <c r="D62" s="308">
        <v>0</v>
      </c>
      <c r="E62" s="314">
        <v>0.12172355493878159</v>
      </c>
      <c r="F62" s="93"/>
      <c r="G62" s="90">
        <v>0.47619047619047616</v>
      </c>
      <c r="H62" s="1033">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45980</v>
      </c>
      <c r="P62" t="str">
        <f t="shared" ca="1" si="3"/>
        <v>Formulas ready to copy below</v>
      </c>
    </row>
    <row r="63" spans="1:16" ht="23" thickBot="1" x14ac:dyDescent="0.35">
      <c r="A63" s="1025" t="str">
        <f ca="1">Calc!H61</f>
        <v>MVEGLE</v>
      </c>
      <c r="B63" s="1027">
        <v>45939</v>
      </c>
      <c r="C63" s="66" t="s">
        <v>2670</v>
      </c>
      <c r="D63" s="1067">
        <v>1.7278999999999999E-2</v>
      </c>
      <c r="E63" s="1155">
        <v>1.0877498966927428</v>
      </c>
      <c r="F63" s="1030" t="s">
        <v>2678</v>
      </c>
      <c r="G63" s="1068">
        <v>0.77777777777777779</v>
      </c>
      <c r="H63" s="1033">
        <f ca="1">_xlfn.XLOOKUP(A63,TabCalc[Ticker],TabCalc[M])</f>
        <v>56.82</v>
      </c>
      <c r="I63" s="1061">
        <v>45946</v>
      </c>
      <c r="J63" s="1159" t="s">
        <v>2680</v>
      </c>
      <c r="K63" s="1181"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45980</v>
      </c>
      <c r="P63" t="str">
        <f t="shared" ca="1" si="3"/>
        <v>Formulas ready to copy below</v>
      </c>
    </row>
    <row r="64" spans="1:16" ht="23" thickBot="1" x14ac:dyDescent="0.35">
      <c r="A64" s="1025" t="str">
        <f ca="1">Calc!H62</f>
        <v>MVEORA</v>
      </c>
      <c r="B64" s="1027">
        <v>45938</v>
      </c>
      <c r="C64" s="308" t="s">
        <v>2606</v>
      </c>
      <c r="D64" s="1067">
        <v>1.3243E-2</v>
      </c>
      <c r="E64" s="1155">
        <v>1.3549098252759246</v>
      </c>
      <c r="F64" s="1030" t="s">
        <v>2628</v>
      </c>
      <c r="G64" s="1068">
        <v>0.76470588235294112</v>
      </c>
      <c r="H64" s="1033">
        <f ca="1">_xlfn.XLOOKUP(A64,TabCalc[Ticker],TabCalc[M])</f>
        <v>13.78</v>
      </c>
      <c r="I64" s="1061">
        <v>45939</v>
      </c>
      <c r="J64" s="1159" t="s">
        <v>2635</v>
      </c>
      <c r="K64" s="1155" t="e">
        <f ca="1">_xlfn.XLOOKUP(G64,TabCalc[Ticker],TabCalc[Agiotage])</f>
        <v>#N/A</v>
      </c>
      <c r="L64" s="1030" t="str">
        <f ca="1">IFERROR( _xlfn.LET(_xlpm.nma,_xlfn.XLOOKUP(G64,TabCalc[Ticker],TabCalc[NMA]),_xlpm.revenue,_xlfn.XLOOKUP(G64,TabCalc[Ticker],TabCalc[Revenue]),_xlpm.nma&amp;"="&amp;TEXT(_xlpm.revenue,"#,#0")&amp;"@M: "&amp;N64),"")</f>
        <v/>
      </c>
      <c r="M64" s="1068" t="e">
        <f ca="1">_xlfn.XLOOKUP(G64,TabCalc[Ticker],TabCalc[Up20])</f>
        <v>#N/A</v>
      </c>
      <c r="N64" s="1033" t="e">
        <f ca="1">_xlfn.XLOOKUP(G64,TabCalc[Ticker],TabCalc[M])</f>
        <v>#N/A</v>
      </c>
      <c r="O64" s="1061">
        <f t="shared" ca="1" si="2"/>
        <v>45980</v>
      </c>
      <c r="P64" s="1159" t="str">
        <f t="shared" ca="1" si="3"/>
        <v>Formulas ready to copy below</v>
      </c>
    </row>
    <row r="65" spans="1:16" ht="23" thickBot="1" x14ac:dyDescent="0.35">
      <c r="A65" s="1025" t="str">
        <f ca="1">Calc!H63</f>
        <v>MVERWE</v>
      </c>
      <c r="B65" s="1027">
        <v>45554</v>
      </c>
      <c r="C65" s="66" t="s">
        <v>1425</v>
      </c>
      <c r="D65" s="308">
        <v>5.6740000000000002E-3</v>
      </c>
      <c r="E65" s="314">
        <v>3.165028108686923</v>
      </c>
      <c r="F65" s="93">
        <v>75260.350000000006</v>
      </c>
      <c r="G65" s="90">
        <v>0</v>
      </c>
      <c r="H65" s="1033">
        <f ca="1">_xlfn.XLOOKUP(A65,TabCalc[Ticker],TabCalc[M])</f>
        <v>43.73</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45980</v>
      </c>
      <c r="P65" t="str">
        <f t="shared" ca="1" si="3"/>
        <v>Formulas ready to copy below</v>
      </c>
    </row>
    <row r="66" spans="1:16" ht="23" thickBot="1" x14ac:dyDescent="0.35">
      <c r="A66" s="1025" t="str">
        <f ca="1">Calc!H64</f>
        <v>MVESAP</v>
      </c>
      <c r="B66" s="1027">
        <v>45460</v>
      </c>
      <c r="C66" s="66" t="s">
        <v>1426</v>
      </c>
      <c r="D66" s="308">
        <v>-8.4969999999999993E-3</v>
      </c>
      <c r="E66" s="314">
        <v>3.3634600513470878</v>
      </c>
      <c r="F66" s="93"/>
      <c r="G66" s="90">
        <v>0.42857142857142855</v>
      </c>
      <c r="H66" s="1033">
        <f ca="1">_xlfn.XLOOKUP(A66,TabCalc[Ticker],TabCalc[M])</f>
        <v>205.5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45980</v>
      </c>
      <c r="P66" t="str">
        <f t="shared" ca="1" si="3"/>
        <v>Formulas ready to copy below</v>
      </c>
    </row>
    <row r="67" spans="1:16" ht="23" thickBot="1" x14ac:dyDescent="0.35">
      <c r="A67" s="1025" t="str">
        <f ca="1">Calc!H65</f>
        <v>MVEUN0</v>
      </c>
      <c r="B67" s="1027">
        <v>45461</v>
      </c>
      <c r="C67" s="66" t="s">
        <v>1427</v>
      </c>
      <c r="D67" s="308">
        <v>-4.8209000000000002E-2</v>
      </c>
      <c r="E67" s="314">
        <v>6.2275449101796408E-2</v>
      </c>
      <c r="F67" s="93"/>
      <c r="G67" s="90">
        <v>0</v>
      </c>
      <c r="H67" s="1033">
        <f ca="1">_xlfn.XLOOKUP(A67,TabCalc[Ticker],TabCalc[M])</f>
        <v>30.25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45980</v>
      </c>
      <c r="P67" t="str">
        <f t="shared" ca="1" si="3"/>
        <v>Formulas ready to copy below</v>
      </c>
    </row>
    <row r="68" spans="1:16" ht="23" thickBot="1" x14ac:dyDescent="0.35">
      <c r="A68" s="1025" t="str">
        <f ca="1">Calc!H66</f>
        <v>SAFAAPL</v>
      </c>
      <c r="B68" s="1027">
        <v>45463</v>
      </c>
      <c r="C68" s="66" t="s">
        <v>1428</v>
      </c>
      <c r="D68" s="308">
        <v>3.0960999999999999E-2</v>
      </c>
      <c r="E68" s="314">
        <v>1.9490493965834474</v>
      </c>
      <c r="F68" s="93">
        <v>27712.685000000001</v>
      </c>
      <c r="G68" s="90">
        <v>0</v>
      </c>
      <c r="H68" s="1033">
        <f ca="1">_xlfn.XLOOKUP(A68,TabCalc[Ticker],TabCalc[M])</f>
        <v>270.02999999999997</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45980</v>
      </c>
      <c r="P68" t="str">
        <f t="shared" ca="1" si="3"/>
        <v>Formulas ready to copy below</v>
      </c>
    </row>
    <row r="69" spans="1:16" ht="23" thickBot="1" x14ac:dyDescent="0.35">
      <c r="A69" s="1025" t="str">
        <f ca="1">Calc!H67</f>
        <v>SAFAMZN</v>
      </c>
      <c r="B69" s="1027">
        <v>45932</v>
      </c>
      <c r="C69" s="1069"/>
      <c r="D69" s="1067">
        <v>-1.3039E-2</v>
      </c>
      <c r="E69" s="1155">
        <v>0.9807419355180127</v>
      </c>
      <c r="F69" s="1030" t="s">
        <v>2554</v>
      </c>
      <c r="G69" s="1068">
        <v>0.5</v>
      </c>
      <c r="H69" s="1033">
        <f ca="1">_xlfn.XLOOKUP(A69,TabCalc[Ticker],TabCalc[M])</f>
        <v>221.18199999999999</v>
      </c>
      <c r="I69" s="1061">
        <v>45933</v>
      </c>
      <c r="J69" s="1159"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45980</v>
      </c>
      <c r="P69" t="str">
        <f t="shared" ref="P69:P98" ca="1" si="5">IFERROR("("&amp;TEXT(J69,"#0.0%")&amp;":"&amp;INT(100*K69)&amp;"%)@"&amp;TEXT(N69,"#,#0.#0")&amp;":("&amp;L69&amp;")"&amp;"&gt;UpMark "&amp;TEXT(M69,"#,#0%"),"Formulas ready to copy below")</f>
        <v>Formulas ready to copy below</v>
      </c>
    </row>
    <row r="70" spans="1:16" ht="23" thickBot="1" x14ac:dyDescent="0.35">
      <c r="A70" s="1025" t="str">
        <f ca="1">Calc!H68</f>
        <v>SAFASML</v>
      </c>
      <c r="B70" s="1027">
        <v>45953</v>
      </c>
      <c r="C70" s="66" t="s">
        <v>1429</v>
      </c>
      <c r="D70" s="1067">
        <v>2.0228000000000003E-2</v>
      </c>
      <c r="E70" s="1155">
        <v>0.93860648829515581</v>
      </c>
      <c r="F70" s="1030" t="s">
        <v>2698</v>
      </c>
      <c r="G70" s="1068">
        <v>0</v>
      </c>
      <c r="H70" s="1033">
        <f ca="1">_xlfn.XLOOKUP(A70,TabCalc[Ticker],TabCalc[M])</f>
        <v>886.6</v>
      </c>
      <c r="I70" s="1061">
        <v>45953</v>
      </c>
      <c r="J70" s="1159" t="s">
        <v>2700</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45980</v>
      </c>
      <c r="P70" t="str">
        <f t="shared" ca="1" si="5"/>
        <v>Formulas ready to copy below</v>
      </c>
    </row>
    <row r="71" spans="1:16" ht="23" thickBot="1" x14ac:dyDescent="0.35">
      <c r="A71" s="1025" t="str">
        <f ca="1">Calc!H69</f>
        <v>SAFDDD</v>
      </c>
      <c r="B71" s="1027">
        <v>45506</v>
      </c>
      <c r="C71" s="1028" t="s">
        <v>2546</v>
      </c>
      <c r="D71" s="1067">
        <v>4.3478000000000003E-2</v>
      </c>
      <c r="E71" s="1155">
        <v>1.4351651053846612</v>
      </c>
      <c r="F71" s="1030" t="s">
        <v>2518</v>
      </c>
      <c r="G71" s="1068">
        <v>0.61111111111111116</v>
      </c>
      <c r="H71" s="1033">
        <f ca="1">_xlfn.XLOOKUP(A71,TabCalc[Ticker],TabCalc[M])</f>
        <v>2.0449999999999999</v>
      </c>
      <c r="I71" s="1061">
        <v>45933</v>
      </c>
      <c r="J71" s="1159"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45980</v>
      </c>
      <c r="P71" t="str">
        <f t="shared" ca="1" si="5"/>
        <v>Formulas ready to copy below</v>
      </c>
    </row>
    <row r="72" spans="1:16" ht="23" thickBot="1" x14ac:dyDescent="0.35">
      <c r="A72" s="1025" t="str">
        <f ca="1">Calc!H70</f>
        <v>SAFDIS</v>
      </c>
      <c r="B72" s="1027">
        <v>45938</v>
      </c>
      <c r="C72" s="66" t="s">
        <v>2586</v>
      </c>
      <c r="D72" s="1067">
        <v>-1.596E-3</v>
      </c>
      <c r="E72" s="1155">
        <v>0.62660727427071494</v>
      </c>
      <c r="F72" s="1030" t="s">
        <v>2593</v>
      </c>
      <c r="G72" s="1068">
        <v>0</v>
      </c>
      <c r="H72" s="1033">
        <f ca="1">_xlfn.XLOOKUP(A72,TabCalc[Ticker],TabCalc[M])</f>
        <v>105.3</v>
      </c>
      <c r="I72" s="1061">
        <v>45938</v>
      </c>
      <c r="J72" s="1159" t="s">
        <v>2600</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45980</v>
      </c>
      <c r="P72" t="str">
        <f t="shared" ca="1" si="5"/>
        <v>Formulas ready to copy below</v>
      </c>
    </row>
    <row r="73" spans="1:16" ht="23" thickBot="1" x14ac:dyDescent="0.35">
      <c r="A73" s="1025" t="str">
        <f ca="1">Calc!H71</f>
        <v>SAFGM</v>
      </c>
      <c r="B73" s="1027">
        <v>45519</v>
      </c>
      <c r="C73" s="66" t="s">
        <v>1430</v>
      </c>
      <c r="D73" s="308">
        <v>-4.2190000000000001E-4</v>
      </c>
      <c r="E73" s="314">
        <v>0.59540838817642716</v>
      </c>
      <c r="F73" s="93">
        <v>4975.74</v>
      </c>
      <c r="G73" s="90">
        <v>0.42857142857142855</v>
      </c>
      <c r="H73" s="1033">
        <f ca="1">_xlfn.XLOOKUP(A73,TabCalc[Ticker],TabCalc[M])</f>
        <v>69.114999999999995</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45980</v>
      </c>
      <c r="P73" t="str">
        <f t="shared" ca="1" si="5"/>
        <v>Formulas ready to copy below</v>
      </c>
    </row>
    <row r="74" spans="1:16" ht="23" thickBot="1" x14ac:dyDescent="0.35">
      <c r="A74" s="1025" t="str">
        <f ca="1">Calc!H72</f>
        <v>SAFIAG</v>
      </c>
      <c r="B74" s="1027">
        <v>45460</v>
      </c>
      <c r="C74" s="66" t="s">
        <v>1431</v>
      </c>
      <c r="D74" s="308">
        <v>-1.3020000000000002E-3</v>
      </c>
      <c r="E74" s="314">
        <v>1.4521224567749358</v>
      </c>
      <c r="F74" s="93">
        <v>4985.5</v>
      </c>
      <c r="G74" s="90">
        <v>0</v>
      </c>
      <c r="H74" s="1033">
        <f ca="1">_xlfn.XLOOKUP(A74,TabCalc[Ticker],TabCalc[M])</f>
        <v>377.6</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45980</v>
      </c>
      <c r="P74" t="str">
        <f t="shared" ca="1" si="5"/>
        <v>Formulas ready to copy below</v>
      </c>
    </row>
    <row r="75" spans="1:16" ht="23" thickBot="1" x14ac:dyDescent="0.35">
      <c r="A75" s="1025" t="str">
        <f ca="1">Calc!H73</f>
        <v>SAFMRNA</v>
      </c>
      <c r="B75" s="1027">
        <v>45460</v>
      </c>
      <c r="C75" s="66" t="s">
        <v>1432</v>
      </c>
      <c r="D75" s="308">
        <v>-1.4145000000000001E-2</v>
      </c>
      <c r="E75" s="314">
        <v>0.68244646072628012</v>
      </c>
      <c r="F75" s="93"/>
      <c r="G75" s="90">
        <v>0</v>
      </c>
      <c r="H75" s="1033">
        <f ca="1">_xlfn.XLOOKUP(A75,TabCalc[Ticker],TabCalc[M])</f>
        <v>24.28</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45980</v>
      </c>
      <c r="P75" t="str">
        <f t="shared" ca="1" si="5"/>
        <v>Formulas ready to copy below</v>
      </c>
    </row>
    <row r="76" spans="1:16" ht="23" thickBot="1" x14ac:dyDescent="0.35">
      <c r="A76" s="1025" t="str">
        <f ca="1">Calc!H74</f>
        <v>BLNK</v>
      </c>
      <c r="B76" s="1027">
        <v>45938</v>
      </c>
      <c r="C76" s="66" t="s">
        <v>2616</v>
      </c>
      <c r="D76" s="1067">
        <v>-2.9535999999999996E-2</v>
      </c>
      <c r="E76" s="1155">
        <v>2.2982165963309389</v>
      </c>
      <c r="F76" s="1030" t="s">
        <v>2629</v>
      </c>
      <c r="G76" s="1068">
        <v>0.5714285714285714</v>
      </c>
      <c r="H76" s="1033">
        <f ca="1">_xlfn.XLOOKUP(A76,TabCalc[Ticker],TabCalc[M])</f>
        <v>1.365</v>
      </c>
      <c r="I76" s="1061">
        <v>45939</v>
      </c>
      <c r="J76" s="1159" t="s">
        <v>2636</v>
      </c>
      <c r="K76" s="1155" t="e">
        <f ca="1">_xlfn.XLOOKUP(G76,TabCalc[Ticker],TabCalc[Agiotage])</f>
        <v>#N/A</v>
      </c>
      <c r="L76" s="1030" t="str">
        <f ca="1">IFERROR( _xlfn.LET(_xlpm.nma,_xlfn.XLOOKUP(G76,TabCalc[Ticker],TabCalc[NMA]),_xlpm.revenue,_xlfn.XLOOKUP(G76,TabCalc[Ticker],TabCalc[Revenue]),_xlpm.nma&amp;"="&amp;TEXT(_xlpm.revenue,"#,#0")&amp;"@M: "&amp;N76),"")</f>
        <v/>
      </c>
      <c r="M76" s="1068" t="e">
        <f ca="1">_xlfn.XLOOKUP(G76,TabCalc[Ticker],TabCalc[Up20])</f>
        <v>#N/A</v>
      </c>
      <c r="N76" s="1033" t="e">
        <f ca="1">_xlfn.XLOOKUP(G76,TabCalc[Ticker],TabCalc[M])</f>
        <v>#N/A</v>
      </c>
      <c r="O76" s="1061">
        <f ca="1">TODAY()</f>
        <v>45980</v>
      </c>
      <c r="P76" s="1159" t="str">
        <f ca="1">IFERROR("("&amp;TEXT(J76,"#0.0%")&amp;":"&amp;INT(100*K76)&amp;"%)@"&amp;TEXT(N76,"#,#0.#0")&amp;":("&amp;L76&amp;")"&amp;"&gt;UpMark "&amp;TEXT(M76,"#,#0%"),"Formulas ready to copy below")</f>
        <v>Formulas ready to copy below</v>
      </c>
    </row>
    <row r="77" spans="1:16" ht="23" thickBot="1" x14ac:dyDescent="0.35">
      <c r="A77" s="1025" t="str">
        <f ca="1">Calc!H75</f>
        <v>ENI</v>
      </c>
      <c r="B77" s="1027">
        <v>45932</v>
      </c>
      <c r="C77" s="66" t="s">
        <v>1433</v>
      </c>
      <c r="D77" s="308">
        <v>-7.3850000000000001E-3</v>
      </c>
      <c r="E77" s="314">
        <v>2.7279009025590284</v>
      </c>
      <c r="F77" s="93">
        <v>91495.767999999996</v>
      </c>
      <c r="G77" s="90">
        <v>0.5714285714285714</v>
      </c>
      <c r="H77" s="1033">
        <f ca="1">_xlfn.XLOOKUP(A77,TabCalc[Ticker],TabCalc[M])</f>
        <v>16.218</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45980</v>
      </c>
      <c r="P77" t="str">
        <f t="shared" ca="1" si="5"/>
        <v>Formulas ready to copy below</v>
      </c>
    </row>
    <row r="78" spans="1:16" ht="23" thickBot="1" x14ac:dyDescent="0.35">
      <c r="A78" s="1025" t="str">
        <f ca="1">Calc!H76</f>
        <v>EZJ</v>
      </c>
      <c r="B78" s="1027">
        <v>45519</v>
      </c>
      <c r="C78" s="66" t="s">
        <v>1434</v>
      </c>
      <c r="D78" s="308">
        <v>1.0704999999999999E-2</v>
      </c>
      <c r="E78" s="314">
        <v>1.1263891732660516</v>
      </c>
      <c r="F78" s="93"/>
      <c r="G78" s="90">
        <v>0.38095238095238093</v>
      </c>
      <c r="H78" s="1033">
        <f ca="1">_xlfn.XLOOKUP(A78,TabCalc[Ticker],TabCalc[M])</f>
        <v>462.1</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45980</v>
      </c>
      <c r="P78" t="str">
        <f t="shared" ca="1" si="5"/>
        <v>Formulas ready to copy below</v>
      </c>
    </row>
    <row r="79" spans="1:16" ht="23" thickBot="1" x14ac:dyDescent="0.35">
      <c r="A79" s="1025" t="str">
        <f ca="1">Calc!H77</f>
        <v>F</v>
      </c>
      <c r="B79" s="1027">
        <v>45938</v>
      </c>
      <c r="C79" s="66" t="s">
        <v>2588</v>
      </c>
      <c r="D79" s="1067">
        <v>-6.1024000000000002E-2</v>
      </c>
      <c r="E79" s="1155">
        <v>2.4374684251867063</v>
      </c>
      <c r="F79" s="1030" t="s">
        <v>2594</v>
      </c>
      <c r="G79" s="1068">
        <v>0.53333333333333333</v>
      </c>
      <c r="H79" s="1033">
        <f ca="1">_xlfn.XLOOKUP(A79,TabCalc[Ticker],TabCalc[M])</f>
        <v>12.994999999999999</v>
      </c>
      <c r="I79" s="1061">
        <v>45938</v>
      </c>
      <c r="J79" s="1159" t="s">
        <v>2601</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45980</v>
      </c>
      <c r="P79" t="str">
        <f t="shared" ca="1" si="5"/>
        <v>Formulas ready to copy below</v>
      </c>
    </row>
    <row r="80" spans="1:16" ht="23" thickBot="1" x14ac:dyDescent="0.35">
      <c r="A80" s="1025" t="str">
        <f ca="1">Calc!H78</f>
        <v>GLE</v>
      </c>
      <c r="B80" s="1027">
        <v>45519</v>
      </c>
      <c r="C80" s="66" t="s">
        <v>1435</v>
      </c>
      <c r="D80" s="308">
        <v>1.2891999999999999E-2</v>
      </c>
      <c r="E80" s="314">
        <v>1.7990639178995882</v>
      </c>
      <c r="F80" s="93">
        <v>4941.8999999999996</v>
      </c>
      <c r="G80" s="90">
        <v>0.5714285714285714</v>
      </c>
      <c r="H80" s="1033">
        <f ca="1">_xlfn.XLOOKUP(A80,TabCalc[Ticker],TabCalc[M])</f>
        <v>56.82</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45980</v>
      </c>
      <c r="P80" t="str">
        <f t="shared" ca="1" si="5"/>
        <v>Formulas ready to copy below</v>
      </c>
    </row>
    <row r="81" spans="1:16" ht="23" thickBot="1" x14ac:dyDescent="0.35">
      <c r="A81" s="1025" t="str">
        <f ca="1">Calc!H79</f>
        <v>GNRC</v>
      </c>
      <c r="B81" s="1027">
        <v>45954</v>
      </c>
      <c r="C81" s="66" t="s">
        <v>2704</v>
      </c>
      <c r="D81" s="1067">
        <v>1.5710999999999999E-2</v>
      </c>
      <c r="E81" s="1155">
        <v>0.75616120023645961</v>
      </c>
      <c r="F81" s="1030" t="s">
        <v>2710</v>
      </c>
      <c r="G81" s="1068">
        <v>0.375</v>
      </c>
      <c r="H81" s="1033">
        <f ca="1">_xlfn.XLOOKUP(A81,TabCalc[Ticker],TabCalc[M])</f>
        <v>146.88999999999999</v>
      </c>
      <c r="I81" s="1061">
        <v>45954</v>
      </c>
      <c r="J81" s="1159" t="s">
        <v>2715</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45980</v>
      </c>
      <c r="P81" t="str">
        <f t="shared" ca="1" si="5"/>
        <v>Formulas ready to copy below</v>
      </c>
    </row>
    <row r="82" spans="1:16" ht="23" thickBot="1" x14ac:dyDescent="0.35">
      <c r="A82" s="1025" t="str">
        <f ca="1">Calc!H80</f>
        <v>GS</v>
      </c>
      <c r="B82" s="1027">
        <v>45932</v>
      </c>
      <c r="C82" s="66" t="s">
        <v>1436</v>
      </c>
      <c r="D82" s="308">
        <v>2.3869999999999998E-3</v>
      </c>
      <c r="E82" s="314">
        <v>0.90497882250930028</v>
      </c>
      <c r="F82" s="93">
        <v>4837.38</v>
      </c>
      <c r="G82" s="90">
        <v>0.52380952380952384</v>
      </c>
      <c r="H82" s="1033">
        <f ca="1">_xlfn.XLOOKUP(A82,TabCalc[Ticker],TabCalc[M])</f>
        <v>780.89</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45980</v>
      </c>
      <c r="P82" t="str">
        <f t="shared" ca="1" si="5"/>
        <v>Formulas ready to copy below</v>
      </c>
    </row>
    <row r="83" spans="1:16" ht="23" thickBot="1" x14ac:dyDescent="0.35">
      <c r="A83" s="1025" t="str">
        <f ca="1">Calc!H81</f>
        <v>LAZR</v>
      </c>
      <c r="B83" s="1027">
        <v>45926</v>
      </c>
      <c r="C83" s="66" t="s">
        <v>1437</v>
      </c>
      <c r="D83" s="308">
        <v>-1.5368E-2</v>
      </c>
      <c r="E83" s="314">
        <v>1.0054906020385719</v>
      </c>
      <c r="F83" s="93"/>
      <c r="G83" s="90">
        <v>0</v>
      </c>
      <c r="H83" s="1033">
        <f ca="1">_xlfn.XLOOKUP(A83,TabCalc[Ticker],TabCalc[M])</f>
        <v>0.88580000000000003</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45980</v>
      </c>
      <c r="P83" t="str">
        <f t="shared" ca="1" si="5"/>
        <v>Formulas ready to copy below</v>
      </c>
    </row>
    <row r="84" spans="1:16" ht="23" thickBot="1" x14ac:dyDescent="0.35">
      <c r="A84" s="1025" t="str">
        <f ca="1">Calc!H82</f>
        <v>LUV</v>
      </c>
      <c r="B84" s="1027">
        <v>45939</v>
      </c>
      <c r="C84" s="66" t="s">
        <v>2617</v>
      </c>
      <c r="D84" s="1067">
        <v>7.4060000000000003E-3</v>
      </c>
      <c r="E84" s="1155">
        <v>0.99932469890125164</v>
      </c>
      <c r="F84" s="1030" t="s">
        <v>2692</v>
      </c>
      <c r="G84" s="1068">
        <v>0</v>
      </c>
      <c r="H84" s="1033">
        <f ca="1">_xlfn.XLOOKUP(A84,TabCalc[Ticker],TabCalc[M])</f>
        <v>31.82</v>
      </c>
      <c r="I84" s="1061">
        <v>45951</v>
      </c>
      <c r="J84" s="1159" t="s">
        <v>2693</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45980</v>
      </c>
      <c r="P84" t="str">
        <f t="shared" ca="1" si="5"/>
        <v>Formulas ready to copy below</v>
      </c>
    </row>
    <row r="85" spans="1:16" ht="23" thickBot="1" x14ac:dyDescent="0.35">
      <c r="A85" s="1025" t="str">
        <f ca="1">Calc!H83</f>
        <v>MA</v>
      </c>
      <c r="B85" s="1027">
        <v>45460</v>
      </c>
      <c r="C85" s="66" t="s">
        <v>1438</v>
      </c>
      <c r="D85" s="308">
        <v>-5.1449999999999994E-3</v>
      </c>
      <c r="E85" s="314">
        <v>1.0085157514639107</v>
      </c>
      <c r="F85" s="93">
        <v>80458.83</v>
      </c>
      <c r="G85" s="90">
        <v>0</v>
      </c>
      <c r="H85" s="1033">
        <f ca="1">_xlfn.XLOOKUP(A85,TabCalc[Ticker],TabCalc[M])</f>
        <v>526.08249999999998</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45980</v>
      </c>
      <c r="P85" t="str">
        <f t="shared" ca="1" si="5"/>
        <v>Formulas ready to copy below</v>
      </c>
    </row>
    <row r="86" spans="1:16" ht="23" thickBot="1" x14ac:dyDescent="0.35">
      <c r="A86" s="1025" t="str">
        <f ca="1">Calc!H84</f>
        <v>NVAX</v>
      </c>
      <c r="B86" s="1027">
        <v>45460</v>
      </c>
      <c r="C86" s="66" t="s">
        <v>1439</v>
      </c>
      <c r="D86" s="308">
        <v>1.238E-2</v>
      </c>
      <c r="E86" s="314">
        <v>0.62988447314535401</v>
      </c>
      <c r="F86" s="93"/>
      <c r="G86" s="90">
        <v>0.47619047619047616</v>
      </c>
      <c r="H86" s="1033">
        <f ca="1">_xlfn.XLOOKUP(A86,TabCalc[Ticker],TabCalc[M])</f>
        <v>6.3949999999999996</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45980</v>
      </c>
      <c r="P86" t="str">
        <f t="shared" ca="1" si="5"/>
        <v>Formulas ready to copy below</v>
      </c>
    </row>
    <row r="87" spans="1:16" ht="23" thickBot="1" x14ac:dyDescent="0.35">
      <c r="A87" s="1025" t="str">
        <f ca="1">Calc!H85</f>
        <v>NVS</v>
      </c>
      <c r="B87" s="1027">
        <v>45525</v>
      </c>
      <c r="C87" s="66" t="s">
        <v>1440</v>
      </c>
      <c r="D87" s="308">
        <v>6.1329999999999996E-3</v>
      </c>
      <c r="E87" s="314">
        <v>0.88233357611363206</v>
      </c>
      <c r="F87" s="93">
        <v>4921.6000000000004</v>
      </c>
      <c r="G87" s="90">
        <v>0.52380952380952384</v>
      </c>
      <c r="H87" s="1033">
        <f ca="1">_xlfn.XLOOKUP(A87,TabCalc[Ticker],TabCalc[M])</f>
        <v>126.84</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45980</v>
      </c>
      <c r="P87" t="str">
        <f t="shared" ca="1" si="5"/>
        <v>Formulas ready to copy below</v>
      </c>
    </row>
    <row r="88" spans="1:16" ht="23" thickBot="1" x14ac:dyDescent="0.35">
      <c r="A88" s="1025" t="str">
        <f ca="1">Calc!H86</f>
        <v>ORA</v>
      </c>
      <c r="B88" s="1027">
        <v>45460</v>
      </c>
      <c r="C88" s="66" t="s">
        <v>2547</v>
      </c>
      <c r="D88" s="1067">
        <v>-1.5885E-2</v>
      </c>
      <c r="E88" s="1155">
        <v>0.89501001621205967</v>
      </c>
      <c r="F88" s="1030" t="s">
        <v>2518</v>
      </c>
      <c r="G88" s="1068">
        <v>0</v>
      </c>
      <c r="H88" s="1033">
        <f ca="1">_xlfn.XLOOKUP(A88,TabCalc[Ticker],TabCalc[M])</f>
        <v>13.78</v>
      </c>
      <c r="I88" s="1061">
        <v>45933</v>
      </c>
      <c r="J88" s="1159"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45980</v>
      </c>
      <c r="P88" t="str">
        <f t="shared" ca="1" si="5"/>
        <v>Formulas ready to copy below</v>
      </c>
    </row>
    <row r="89" spans="1:16" ht="23" thickBot="1" x14ac:dyDescent="0.35">
      <c r="A89" s="1025" t="str">
        <f ca="1">Calc!H87</f>
        <v>OXY</v>
      </c>
      <c r="B89" s="1027">
        <v>45460</v>
      </c>
      <c r="C89" s="66" t="s">
        <v>1441</v>
      </c>
      <c r="D89" s="308">
        <v>-2.5865999999999997E-2</v>
      </c>
      <c r="E89" s="314">
        <v>1.2135663841336342</v>
      </c>
      <c r="F89" s="93"/>
      <c r="G89" s="90">
        <v>0.52380952380952384</v>
      </c>
      <c r="H89" s="1033">
        <f ca="1">_xlfn.XLOOKUP(A89,TabCalc[Ticker],TabCalc[M])</f>
        <v>41.484999999999999</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45980</v>
      </c>
      <c r="P89" t="str">
        <f t="shared" ca="1" si="5"/>
        <v>Formulas ready to copy below</v>
      </c>
    </row>
    <row r="90" spans="1:16" ht="23" thickBot="1" x14ac:dyDescent="0.35">
      <c r="A90" s="1025" t="str">
        <f ca="1">Calc!H88</f>
        <v>PFE</v>
      </c>
      <c r="B90" s="1027">
        <v>45938</v>
      </c>
      <c r="C90" s="66" t="s">
        <v>2581</v>
      </c>
      <c r="D90" s="1067">
        <v>-6.2429999999999994E-3</v>
      </c>
      <c r="E90" s="1155">
        <v>0.81984541718311521</v>
      </c>
      <c r="F90" s="1030" t="s">
        <v>2595</v>
      </c>
      <c r="G90" s="1068">
        <v>0</v>
      </c>
      <c r="H90" s="1033">
        <f ca="1">_xlfn.XLOOKUP(A90,TabCalc[Ticker],TabCalc[M])</f>
        <v>25.015000000000001</v>
      </c>
      <c r="I90" s="1061">
        <v>45938</v>
      </c>
      <c r="J90" s="1159" t="s">
        <v>2602</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45980</v>
      </c>
      <c r="P90" t="str">
        <f t="shared" ca="1" si="5"/>
        <v>Formulas ready to copy below</v>
      </c>
    </row>
    <row r="91" spans="1:16" ht="23" thickBot="1" x14ac:dyDescent="0.35">
      <c r="A91" s="1025" t="str">
        <f ca="1">Calc!H89</f>
        <v>RIG</v>
      </c>
      <c r="B91" s="1027">
        <v>45954</v>
      </c>
      <c r="C91" s="66" t="s">
        <v>2703</v>
      </c>
      <c r="D91" s="1067">
        <v>1.2850000000000001E-3</v>
      </c>
      <c r="E91" s="1155">
        <v>1.2627829667768748</v>
      </c>
      <c r="F91" s="1030" t="s">
        <v>2711</v>
      </c>
      <c r="G91" s="1068">
        <v>0.41666666666666669</v>
      </c>
      <c r="H91" s="1033">
        <f ca="1">_xlfn.XLOOKUP(A91,TabCalc[Ticker],TabCalc[M])</f>
        <v>4.0949999999999998</v>
      </c>
      <c r="I91" s="1061">
        <v>45954</v>
      </c>
      <c r="J91" s="1159" t="s">
        <v>2716</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45980</v>
      </c>
      <c r="P91" t="str">
        <f t="shared" ca="1" si="5"/>
        <v>Formulas ready to copy below</v>
      </c>
    </row>
    <row r="92" spans="1:16" ht="23" thickBot="1" x14ac:dyDescent="0.35">
      <c r="A92" s="1025" t="str">
        <f ca="1">Calc!H90</f>
        <v>RRC</v>
      </c>
      <c r="B92" s="1027">
        <v>45926</v>
      </c>
      <c r="C92" s="66" t="s">
        <v>1442</v>
      </c>
      <c r="D92" s="308">
        <v>-3.5278999999999998E-2</v>
      </c>
      <c r="E92" s="314">
        <v>1.1555488813718655</v>
      </c>
      <c r="F92" s="93">
        <v>4970.5700000000006</v>
      </c>
      <c r="G92" s="90">
        <v>0.61904761904761907</v>
      </c>
      <c r="H92" s="1033">
        <f ca="1">_xlfn.XLOOKUP(A92,TabCalc[Ticker],TabCalc[M])</f>
        <v>39.075000000000003</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45980</v>
      </c>
      <c r="P92" t="str">
        <f t="shared" ca="1" si="5"/>
        <v>Formulas ready to copy below</v>
      </c>
    </row>
    <row r="93" spans="1:16" ht="23" thickBot="1" x14ac:dyDescent="0.35">
      <c r="A93" s="1025" t="str">
        <f ca="1">Calc!H91</f>
        <v>XYZ</v>
      </c>
      <c r="B93" s="1027">
        <v>45938</v>
      </c>
      <c r="C93" s="66" t="s">
        <v>2583</v>
      </c>
      <c r="D93" s="1067">
        <v>1.6200000000000003E-2</v>
      </c>
      <c r="E93" s="1155">
        <v>0.89426721175447832</v>
      </c>
      <c r="F93" s="1030" t="s">
        <v>2596</v>
      </c>
      <c r="G93" s="1068">
        <v>0.6428571428571429</v>
      </c>
      <c r="H93" s="1033">
        <f ca="1">_xlfn.XLOOKUP(A93,TabCalc[Ticker],TabCalc[M])</f>
        <v>57.494999999999997</v>
      </c>
      <c r="I93" s="1061">
        <v>45938</v>
      </c>
      <c r="J93" s="1159" t="s">
        <v>2603</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45980</v>
      </c>
      <c r="P93" t="str">
        <f t="shared" ca="1" si="5"/>
        <v>Formulas ready to copy below</v>
      </c>
    </row>
    <row r="94" spans="1:16" ht="23" thickBot="1" x14ac:dyDescent="0.35">
      <c r="A94" s="1025" t="str">
        <f ca="1">Calc!H92</f>
        <v>THC</v>
      </c>
      <c r="B94" s="1027">
        <v>45939</v>
      </c>
      <c r="C94" s="66" t="s">
        <v>2707</v>
      </c>
      <c r="D94" s="1067">
        <v>1.6771000000000001E-2</v>
      </c>
      <c r="E94" s="1155">
        <v>1.7966538371064948</v>
      </c>
      <c r="F94" s="1030" t="s">
        <v>2712</v>
      </c>
      <c r="G94" s="1068">
        <v>0.42857142857142855</v>
      </c>
      <c r="H94" s="1033">
        <f ca="1">_xlfn.XLOOKUP(A94,TabCalc[Ticker],TabCalc[M])</f>
        <v>193.58</v>
      </c>
      <c r="I94" s="1061">
        <v>45954</v>
      </c>
      <c r="J94" s="1159" t="s">
        <v>2717</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45980</v>
      </c>
      <c r="P94" t="str">
        <f t="shared" ca="1" si="5"/>
        <v>Formulas ready to copy below</v>
      </c>
    </row>
    <row r="95" spans="1:16" ht="23" thickBot="1" x14ac:dyDescent="0.35">
      <c r="A95" s="1025" t="str">
        <f ca="1">Calc!H93</f>
        <v>X</v>
      </c>
      <c r="B95" s="1027">
        <v>45460</v>
      </c>
      <c r="C95" s="66" t="s">
        <v>1443</v>
      </c>
      <c r="D95" s="1067">
        <v>4.3023999999999993E-2</v>
      </c>
      <c r="E95" s="1155">
        <v>1.1533001230453117</v>
      </c>
      <c r="F95" s="1030" t="s">
        <v>2539</v>
      </c>
      <c r="G95" s="1068">
        <v>0</v>
      </c>
      <c r="H95" s="1033">
        <f ca="1">_xlfn.XLOOKUP(A95,TabCalc[Ticker],TabCalc[M])</f>
        <v>54.84</v>
      </c>
      <c r="I95" s="1061">
        <v>45932</v>
      </c>
      <c r="J95" s="1079"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45980</v>
      </c>
      <c r="P95" t="str">
        <f t="shared" ca="1" si="5"/>
        <v>Formulas ready to copy below</v>
      </c>
    </row>
    <row r="96" spans="1:16" ht="23" thickBot="1" x14ac:dyDescent="0.35">
      <c r="A96" s="1025" t="str">
        <f ca="1">Calc!H94</f>
        <v>LOCK</v>
      </c>
      <c r="B96" s="1027">
        <v>45932</v>
      </c>
      <c r="C96" s="66" t="s">
        <v>1444</v>
      </c>
      <c r="D96" s="1067">
        <v>9.2659999999999999E-3</v>
      </c>
      <c r="E96" s="1155">
        <v>1</v>
      </c>
      <c r="F96" s="1030" t="s">
        <v>2555</v>
      </c>
      <c r="G96" s="1068">
        <v>0</v>
      </c>
      <c r="H96" s="1033">
        <f ca="1">_xlfn.XLOOKUP(A96,TabCalc[Ticker],TabCalc[M])</f>
        <v>9.7650000000000006</v>
      </c>
      <c r="I96" s="1061">
        <v>45933</v>
      </c>
      <c r="J96" s="1159"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45980</v>
      </c>
      <c r="P96" t="str">
        <f t="shared" ca="1" si="5"/>
        <v>Formulas ready to copy below</v>
      </c>
    </row>
    <row r="97" spans="1:16" ht="23" thickBot="1" x14ac:dyDescent="0.35">
      <c r="A97" s="1025" t="str">
        <f ca="1">Calc!H95</f>
        <v>JBASML</v>
      </c>
      <c r="B97" s="1027"/>
      <c r="C97" s="1069"/>
      <c r="D97" s="1067">
        <v>2.849E-3</v>
      </c>
      <c r="E97" s="1155">
        <v>0.78368275812636634</v>
      </c>
      <c r="F97" s="1030" t="s">
        <v>2556</v>
      </c>
      <c r="G97" s="1068">
        <v>0.93333333333333335</v>
      </c>
      <c r="H97" s="1033">
        <f ca="1">_xlfn.XLOOKUP(A97,TabCalc[Ticker],TabCalc[M])</f>
        <v>886.6</v>
      </c>
      <c r="I97" s="1061">
        <v>45933</v>
      </c>
      <c r="J97" s="1159"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45980</v>
      </c>
      <c r="P97" t="str">
        <f t="shared" ca="1" si="5"/>
        <v>Formulas ready to copy below</v>
      </c>
    </row>
    <row r="98" spans="1:16" ht="23" thickBot="1" x14ac:dyDescent="0.35">
      <c r="A98" s="1025" t="str">
        <f ca="1">Calc!H96</f>
        <v>JBEOAN</v>
      </c>
      <c r="B98" s="1027"/>
      <c r="C98" s="1069"/>
      <c r="D98" s="1067">
        <v>1.0024999999999999E-2</v>
      </c>
      <c r="E98" s="1155">
        <v>2.194623000480254E-3</v>
      </c>
      <c r="F98" s="1030" t="s">
        <v>2557</v>
      </c>
      <c r="G98" s="1068">
        <v>0.76923076923076927</v>
      </c>
      <c r="H98" s="1033">
        <f ca="1">_xlfn.XLOOKUP(A98,TabCalc[Ticker],TabCalc[M])</f>
        <v>15.3</v>
      </c>
      <c r="I98" s="1061">
        <v>45933</v>
      </c>
      <c r="J98" s="1159"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45980</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8" type="noConversion"/>
  <conditionalFormatting sqref="G3 G5:G35 G38:G98">
    <cfRule type="cellIs" dxfId="558" priority="41" operator="lessThan">
      <formula>0.45</formula>
    </cfRule>
    <cfRule type="cellIs" dxfId="557"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556" priority="15">
      <formula>_xlfn.ISFORMULA(J5)</formula>
    </cfRule>
    <cfRule type="expression" dxfId="555"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554" priority="21" operator="lessThan">
      <formula>0.45</formula>
    </cfRule>
    <cfRule type="cellIs" dxfId="553" priority="22" operator="greaterThan">
      <formula>0.55</formula>
    </cfRule>
  </conditionalFormatting>
  <conditionalFormatting sqref="P64">
    <cfRule type="expression" dxfId="552" priority="20">
      <formula>_xlfn.ISFORMULA(P64)</formula>
    </cfRule>
  </conditionalFormatting>
  <conditionalFormatting sqref="M76">
    <cfRule type="cellIs" dxfId="551" priority="18" operator="lessThan">
      <formula>0.45</formula>
    </cfRule>
    <cfRule type="cellIs" dxfId="550" priority="19" operator="greaterThan">
      <formula>0.55</formula>
    </cfRule>
  </conditionalFormatting>
  <conditionalFormatting sqref="P76">
    <cfRule type="expression" dxfId="549" priority="17">
      <formula>_xlfn.ISFORMULA(P76)</formula>
    </cfRule>
  </conditionalFormatting>
  <conditionalFormatting sqref="J3">
    <cfRule type="expression" dxfId="548" priority="13">
      <formula>_xlfn.ISFORMULA(J3)</formula>
    </cfRule>
    <cfRule type="expression" dxfId="547" priority="14">
      <formula>_xlfn.ISFORMULA(J3)</formula>
    </cfRule>
  </conditionalFormatting>
  <conditionalFormatting sqref="J21">
    <cfRule type="expression" dxfId="546" priority="11">
      <formula>_xlfn.ISFORMULA(J21)</formula>
    </cfRule>
    <cfRule type="expression" dxfId="545" priority="12">
      <formula>_xlfn.ISFORMULA(J21)</formula>
    </cfRule>
  </conditionalFormatting>
  <conditionalFormatting sqref="J81">
    <cfRule type="expression" dxfId="544" priority="9">
      <formula>_xlfn.ISFORMULA(J81)</formula>
    </cfRule>
    <cfRule type="expression" dxfId="543" priority="10">
      <formula>_xlfn.ISFORMULA(J81)</formula>
    </cfRule>
  </conditionalFormatting>
  <conditionalFormatting sqref="J91">
    <cfRule type="expression" dxfId="542" priority="7">
      <formula>_xlfn.ISFORMULA(J91)</formula>
    </cfRule>
    <cfRule type="expression" dxfId="541" priority="8">
      <formula>_xlfn.ISFORMULA(J91)</formula>
    </cfRule>
  </conditionalFormatting>
  <conditionalFormatting sqref="J94">
    <cfRule type="expression" dxfId="540" priority="5">
      <formula>_xlfn.ISFORMULA(J94)</formula>
    </cfRule>
    <cfRule type="expression" dxfId="539" priority="6">
      <formula>_xlfn.ISFORMULA(J94)</formula>
    </cfRule>
  </conditionalFormatting>
  <conditionalFormatting sqref="J56">
    <cfRule type="expression" dxfId="538" priority="1">
      <formula>_xlfn.ISFORMULA(J56)</formula>
    </cfRule>
    <cfRule type="expression" dxfId="537"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B1710" zoomScale="125" zoomScaleNormal="80" workbookViewId="0">
      <selection activeCell="AT1784" sqref="AT1784"/>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7" thickBot="1" x14ac:dyDescent="0.35">
      <c r="A1" s="126" t="str">
        <f>IDTICKER</f>
        <v>AMZN</v>
      </c>
      <c r="B1" s="111" t="s">
        <v>189</v>
      </c>
      <c r="C1" s="111"/>
      <c r="D1" s="1092"/>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0" t="s">
        <v>189</v>
      </c>
      <c r="BQ1"/>
      <c r="BR1"/>
      <c r="EP1"/>
      <c r="EQ1"/>
      <c r="ER1"/>
      <c r="ES1"/>
    </row>
    <row r="2" spans="1:248" s="391" customFormat="1" ht="28" thickBot="1" x14ac:dyDescent="0.4">
      <c r="A2" s="387"/>
      <c r="B2" s="388"/>
      <c r="C2" s="389"/>
      <c r="D2" s="390"/>
      <c r="E2" s="999">
        <v>45980</v>
      </c>
      <c r="F2" s="1001">
        <f t="shared" ref="F2:W2" ca="1" si="0">WORKDAY(G2,-1)</f>
        <v>45953</v>
      </c>
      <c r="G2" s="1001">
        <f t="shared" ca="1" si="0"/>
        <v>45954</v>
      </c>
      <c r="H2" s="1001">
        <f t="shared" ca="1" si="0"/>
        <v>45957</v>
      </c>
      <c r="I2" s="1001">
        <f t="shared" ca="1" si="0"/>
        <v>45958</v>
      </c>
      <c r="J2" s="1001">
        <f t="shared" ca="1" si="0"/>
        <v>45959</v>
      </c>
      <c r="K2" s="1001">
        <f t="shared" ca="1" si="0"/>
        <v>45960</v>
      </c>
      <c r="L2" s="1001">
        <f t="shared" ca="1" si="0"/>
        <v>45961</v>
      </c>
      <c r="M2" s="1001">
        <f t="shared" ca="1" si="0"/>
        <v>45964</v>
      </c>
      <c r="N2" s="1001">
        <f t="shared" ca="1" si="0"/>
        <v>45965</v>
      </c>
      <c r="O2" s="1001">
        <f t="shared" ca="1" si="0"/>
        <v>45966</v>
      </c>
      <c r="P2" s="1001">
        <f t="shared" ca="1" si="0"/>
        <v>45967</v>
      </c>
      <c r="Q2" s="1001">
        <f t="shared" ca="1" si="0"/>
        <v>45968</v>
      </c>
      <c r="R2" s="1001">
        <f t="shared" ca="1" si="0"/>
        <v>45971</v>
      </c>
      <c r="S2" s="1001">
        <f t="shared" ca="1" si="0"/>
        <v>45972</v>
      </c>
      <c r="T2" s="1001">
        <f t="shared" ca="1" si="0"/>
        <v>45973</v>
      </c>
      <c r="U2" s="1001">
        <f t="shared" ca="1" si="0"/>
        <v>45974</v>
      </c>
      <c r="V2" s="1001">
        <f t="shared" ca="1" si="0"/>
        <v>45975</v>
      </c>
      <c r="W2" s="1001">
        <f t="shared" ca="1" si="0"/>
        <v>45978</v>
      </c>
      <c r="X2" s="1001">
        <f ca="1">WORKDAY(Y2,-1)</f>
        <v>45979</v>
      </c>
      <c r="Y2" s="1001">
        <f ca="1">WORKDAY(Z2,0)</f>
        <v>45980</v>
      </c>
      <c r="Z2" s="1469">
        <f ca="1">TODAY()</f>
        <v>45980</v>
      </c>
      <c r="AA2" s="1471" t="s">
        <v>2802</v>
      </c>
      <c r="AW2" s="392"/>
      <c r="BQ2"/>
      <c r="BR2"/>
    </row>
    <row r="3" spans="1:248" ht="22" customHeight="1" thickBot="1" x14ac:dyDescent="0.35">
      <c r="D3" s="360"/>
      <c r="E3" s="393"/>
      <c r="F3" s="62">
        <f t="shared" ref="F3:X3" ca="1" si="1">WORKDAY(G3,-1)</f>
        <v>45952</v>
      </c>
      <c r="G3" s="62">
        <f t="shared" ca="1" si="1"/>
        <v>45953</v>
      </c>
      <c r="H3" s="62">
        <f t="shared" ca="1" si="1"/>
        <v>45954</v>
      </c>
      <c r="I3" s="62">
        <f t="shared" ca="1" si="1"/>
        <v>45957</v>
      </c>
      <c r="J3" s="62">
        <f t="shared" ca="1" si="1"/>
        <v>45958</v>
      </c>
      <c r="K3" s="62">
        <f t="shared" ca="1" si="1"/>
        <v>45959</v>
      </c>
      <c r="L3" s="62">
        <f t="shared" ca="1" si="1"/>
        <v>45960</v>
      </c>
      <c r="M3" s="62">
        <f t="shared" ca="1" si="1"/>
        <v>45961</v>
      </c>
      <c r="N3" s="62">
        <f t="shared" ca="1" si="1"/>
        <v>45964</v>
      </c>
      <c r="O3" s="62">
        <f t="shared" ca="1" si="1"/>
        <v>45965</v>
      </c>
      <c r="P3" s="62">
        <f t="shared" ca="1" si="1"/>
        <v>45966</v>
      </c>
      <c r="Q3" s="62">
        <f t="shared" ca="1" si="1"/>
        <v>45967</v>
      </c>
      <c r="R3" s="62">
        <f t="shared" ca="1" si="1"/>
        <v>45968</v>
      </c>
      <c r="S3" s="62">
        <f t="shared" ca="1" si="1"/>
        <v>45971</v>
      </c>
      <c r="T3" s="62">
        <f t="shared" ca="1" si="1"/>
        <v>45972</v>
      </c>
      <c r="U3" s="62">
        <f t="shared" ca="1" si="1"/>
        <v>45973</v>
      </c>
      <c r="V3" s="62">
        <f t="shared" ca="1" si="1"/>
        <v>45974</v>
      </c>
      <c r="W3" s="62">
        <f t="shared" ca="1" si="1"/>
        <v>45975</v>
      </c>
      <c r="X3" s="62">
        <f t="shared" ca="1" si="1"/>
        <v>45978</v>
      </c>
      <c r="Y3" s="62">
        <f ca="1">WORKDAY(Z3,-1)</f>
        <v>45979</v>
      </c>
      <c r="Z3" s="62">
        <f ca="1">IF(TODAY()=WORKDAY(TODAY(),0),TODAY(),WORKDAY(TODAY(),0))-AA3</f>
        <v>45980</v>
      </c>
      <c r="AA3" s="1472"/>
      <c r="AB3" s="117">
        <f t="shared" ref="AB3:AV3" ca="1" si="2">F3</f>
        <v>45952</v>
      </c>
      <c r="AC3" s="117">
        <f t="shared" ca="1" si="2"/>
        <v>45953</v>
      </c>
      <c r="AD3" s="117">
        <f t="shared" ca="1" si="2"/>
        <v>45954</v>
      </c>
      <c r="AE3" s="117">
        <f t="shared" ca="1" si="2"/>
        <v>45957</v>
      </c>
      <c r="AF3" s="117">
        <f t="shared" ca="1" si="2"/>
        <v>45958</v>
      </c>
      <c r="AG3" s="117">
        <f t="shared" ca="1" si="2"/>
        <v>45959</v>
      </c>
      <c r="AH3" s="117">
        <f t="shared" ca="1" si="2"/>
        <v>45960</v>
      </c>
      <c r="AI3" s="117">
        <f t="shared" ca="1" si="2"/>
        <v>45961</v>
      </c>
      <c r="AJ3" s="117">
        <f t="shared" ca="1" si="2"/>
        <v>45964</v>
      </c>
      <c r="AK3" s="117">
        <f t="shared" ca="1" si="2"/>
        <v>45965</v>
      </c>
      <c r="AL3" s="117">
        <f t="shared" ca="1" si="2"/>
        <v>45966</v>
      </c>
      <c r="AM3" s="117">
        <f t="shared" ca="1" si="2"/>
        <v>45967</v>
      </c>
      <c r="AN3" s="117">
        <f t="shared" ca="1" si="2"/>
        <v>45968</v>
      </c>
      <c r="AO3" s="117">
        <f t="shared" ca="1" si="2"/>
        <v>45971</v>
      </c>
      <c r="AP3" s="117">
        <f t="shared" ca="1" si="2"/>
        <v>45972</v>
      </c>
      <c r="AQ3" s="117">
        <f t="shared" ca="1" si="2"/>
        <v>45973</v>
      </c>
      <c r="AR3" s="117">
        <f t="shared" ca="1" si="2"/>
        <v>45974</v>
      </c>
      <c r="AS3" s="117">
        <f t="shared" ca="1" si="2"/>
        <v>45975</v>
      </c>
      <c r="AT3" s="117">
        <f t="shared" ca="1" si="2"/>
        <v>45978</v>
      </c>
      <c r="AU3" s="117">
        <f t="shared" ca="1" si="2"/>
        <v>45979</v>
      </c>
      <c r="AV3" s="117">
        <f t="shared" ca="1" si="2"/>
        <v>45980</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1470"/>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45980.727273888282</v>
      </c>
      <c r="F5" s="243">
        <v>247.66</v>
      </c>
      <c r="G5" s="243">
        <v>247.77</v>
      </c>
      <c r="H5" s="243">
        <v>249.34</v>
      </c>
      <c r="I5" s="243">
        <v>247.45</v>
      </c>
      <c r="J5" s="243">
        <v>252.29</v>
      </c>
      <c r="K5" s="243">
        <v>262.24</v>
      </c>
      <c r="L5" s="243">
        <v>262.77</v>
      </c>
      <c r="M5" s="243">
        <v>262.77</v>
      </c>
      <c r="N5" s="243">
        <v>258.45</v>
      </c>
      <c r="O5" s="243">
        <v>259.58</v>
      </c>
      <c r="P5" s="243">
        <v>262.82</v>
      </c>
      <c r="Q5" s="243">
        <v>268.81</v>
      </c>
      <c r="R5" s="243">
        <v>269.7</v>
      </c>
      <c r="S5" s="243">
        <v>269.05</v>
      </c>
      <c r="T5" s="243">
        <v>270.04000000000002</v>
      </c>
      <c r="U5" s="243">
        <v>270.14</v>
      </c>
      <c r="V5" s="243">
        <v>269.77</v>
      </c>
      <c r="W5" s="244">
        <v>272.95</v>
      </c>
      <c r="X5" s="243">
        <v>267.45999999999998</v>
      </c>
      <c r="Y5" s="243">
        <v>267.44</v>
      </c>
      <c r="Z5" s="245">
        <f ca="1">[1]ExtEntry!$F3</f>
        <v>267.44</v>
      </c>
      <c r="AA5" s="268"/>
      <c r="AB5" s="378">
        <v>10500</v>
      </c>
      <c r="AC5" s="378">
        <v>10500</v>
      </c>
      <c r="AD5" s="378">
        <v>10500</v>
      </c>
      <c r="AE5" s="378">
        <v>10500</v>
      </c>
      <c r="AF5" s="378">
        <v>10500</v>
      </c>
      <c r="AG5" s="378">
        <v>10000</v>
      </c>
      <c r="AH5" s="378">
        <v>10000</v>
      </c>
      <c r="AI5" s="378">
        <v>10000</v>
      </c>
      <c r="AJ5" s="378">
        <v>10000</v>
      </c>
      <c r="AK5" s="378">
        <v>10000</v>
      </c>
      <c r="AL5" s="378">
        <v>10000</v>
      </c>
      <c r="AM5" s="378">
        <v>10000</v>
      </c>
      <c r="AN5" s="378">
        <v>10000</v>
      </c>
      <c r="AO5" s="378">
        <v>9500</v>
      </c>
      <c r="AP5" s="378">
        <v>9500</v>
      </c>
      <c r="AQ5" s="378">
        <v>9500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45980.727346041407</v>
      </c>
      <c r="F6" s="251">
        <v>15.75</v>
      </c>
      <c r="G6" s="251">
        <v>16.579999999999998</v>
      </c>
      <c r="H6" s="251">
        <v>17.27</v>
      </c>
      <c r="I6" s="251">
        <v>16.61</v>
      </c>
      <c r="J6" s="251">
        <v>16.559999999999999</v>
      </c>
      <c r="K6" s="251">
        <v>16.79</v>
      </c>
      <c r="L6" s="251">
        <v>17.010000000000002</v>
      </c>
      <c r="M6" s="251">
        <v>17.010000000000002</v>
      </c>
      <c r="N6" s="251">
        <v>16.82</v>
      </c>
      <c r="O6" s="251">
        <v>16.77</v>
      </c>
      <c r="P6" s="251">
        <v>17.100000000000001</v>
      </c>
      <c r="Q6" s="251">
        <v>17.64</v>
      </c>
      <c r="R6" s="251">
        <v>17.600000000000001</v>
      </c>
      <c r="S6" s="251">
        <v>14.3</v>
      </c>
      <c r="T6" s="251">
        <v>12.75</v>
      </c>
      <c r="U6" s="251">
        <v>13.78</v>
      </c>
      <c r="V6" s="251">
        <v>14</v>
      </c>
      <c r="W6" s="252">
        <v>13.14</v>
      </c>
      <c r="X6" s="251">
        <v>12.41</v>
      </c>
      <c r="Y6" s="251">
        <v>12.35</v>
      </c>
      <c r="Z6" s="245">
        <f ca="1">[1]ExtEntry!$F4</f>
        <v>12.35</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45980.691934432813</v>
      </c>
      <c r="F7" s="243">
        <v>43.3</v>
      </c>
      <c r="G7" s="243">
        <v>42.9</v>
      </c>
      <c r="H7" s="243">
        <v>42.1</v>
      </c>
      <c r="I7" s="243">
        <v>41</v>
      </c>
      <c r="J7" s="243">
        <v>42</v>
      </c>
      <c r="K7" s="243">
        <v>42.3</v>
      </c>
      <c r="L7" s="243">
        <v>43</v>
      </c>
      <c r="M7" s="243">
        <v>43</v>
      </c>
      <c r="N7" s="243">
        <v>43.4</v>
      </c>
      <c r="O7" s="243">
        <v>44.4</v>
      </c>
      <c r="P7" s="243">
        <v>45.8</v>
      </c>
      <c r="Q7" s="243">
        <v>44.8</v>
      </c>
      <c r="R7" s="243">
        <v>44.3</v>
      </c>
      <c r="S7" s="243">
        <v>48</v>
      </c>
      <c r="T7" s="243">
        <v>45</v>
      </c>
      <c r="U7" s="243">
        <v>46</v>
      </c>
      <c r="V7" s="243">
        <v>44.4</v>
      </c>
      <c r="W7" s="244">
        <v>46.2</v>
      </c>
      <c r="X7" s="243">
        <v>45</v>
      </c>
      <c r="Y7" s="243">
        <v>45</v>
      </c>
      <c r="Z7" s="245">
        <f ca="1">[1]ExtEntry!$F5</f>
        <v>45</v>
      </c>
      <c r="AA7" s="268"/>
      <c r="AB7" s="378">
        <v>820000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45980.727355751565</v>
      </c>
      <c r="F8" s="251">
        <v>220.07</v>
      </c>
      <c r="G8" s="251">
        <v>216.39</v>
      </c>
      <c r="H8" s="251">
        <v>215.57</v>
      </c>
      <c r="I8" s="251">
        <v>214.47</v>
      </c>
      <c r="J8" s="251">
        <v>213.04</v>
      </c>
      <c r="K8" s="251">
        <v>216.48</v>
      </c>
      <c r="L8" s="251">
        <v>222.03</v>
      </c>
      <c r="M8" s="251">
        <v>222.03</v>
      </c>
      <c r="N8" s="251">
        <v>217.95</v>
      </c>
      <c r="O8" s="251">
        <v>221.09</v>
      </c>
      <c r="P8" s="251">
        <v>224.21</v>
      </c>
      <c r="Q8" s="251">
        <v>226.97</v>
      </c>
      <c r="R8" s="251">
        <v>230.3</v>
      </c>
      <c r="S8" s="251">
        <v>254</v>
      </c>
      <c r="T8" s="251">
        <v>249.32</v>
      </c>
      <c r="U8" s="251">
        <v>250.2</v>
      </c>
      <c r="V8" s="251">
        <v>243.04</v>
      </c>
      <c r="W8" s="252">
        <v>237.58</v>
      </c>
      <c r="X8" s="251">
        <v>232.87</v>
      </c>
      <c r="Y8" s="251">
        <v>222.55</v>
      </c>
      <c r="Z8" s="245">
        <f ca="1">[1]ExtEntry!$F6</f>
        <v>222.55</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45980.708333333336</v>
      </c>
      <c r="F9" s="243">
        <v>0.83799999999999997</v>
      </c>
      <c r="G9" s="243">
        <v>0.84</v>
      </c>
      <c r="H9" s="243">
        <v>0.83799999999999997</v>
      </c>
      <c r="I9" s="243">
        <v>0.83</v>
      </c>
      <c r="J9" s="243">
        <v>0.83</v>
      </c>
      <c r="K9" s="243">
        <v>0.82</v>
      </c>
      <c r="L9" s="243">
        <v>0.83</v>
      </c>
      <c r="M9" s="243">
        <v>0.83</v>
      </c>
      <c r="N9" s="243">
        <v>0.84</v>
      </c>
      <c r="O9" s="243">
        <v>0.83799999999999997</v>
      </c>
      <c r="P9" s="243">
        <v>0.82599999999999996</v>
      </c>
      <c r="Q9" s="243">
        <v>0.81799999999999995</v>
      </c>
      <c r="R9" s="243">
        <v>0.78600000000000003</v>
      </c>
      <c r="S9" s="243">
        <v>0.79</v>
      </c>
      <c r="T9" s="243">
        <v>0.78800000000000003</v>
      </c>
      <c r="U9" s="243">
        <v>0.79</v>
      </c>
      <c r="V9" s="243">
        <v>0.78200000000000003</v>
      </c>
      <c r="W9" s="244">
        <v>0.72</v>
      </c>
      <c r="X9" s="243">
        <v>0.68</v>
      </c>
      <c r="Y9" s="243">
        <v>0.68</v>
      </c>
      <c r="Z9" s="245">
        <f ca="1">[1]ExtEntry!$F7</f>
        <v>0.68</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45980.708333333336</v>
      </c>
      <c r="F10" s="251">
        <v>844</v>
      </c>
      <c r="G10" s="251">
        <v>846.6</v>
      </c>
      <c r="H10" s="251">
        <v>873</v>
      </c>
      <c r="I10" s="251">
        <v>877.4</v>
      </c>
      <c r="J10" s="251">
        <v>875.7</v>
      </c>
      <c r="K10" s="251">
        <v>899</v>
      </c>
      <c r="L10" s="251">
        <v>889.8</v>
      </c>
      <c r="M10" s="251">
        <v>889.8</v>
      </c>
      <c r="N10" s="251">
        <v>870.1</v>
      </c>
      <c r="O10" s="251">
        <v>887.7</v>
      </c>
      <c r="P10" s="251">
        <v>894.4</v>
      </c>
      <c r="Q10" s="251">
        <v>906.5</v>
      </c>
      <c r="R10" s="251">
        <v>919.4</v>
      </c>
      <c r="S10" s="251">
        <v>926.5</v>
      </c>
      <c r="T10" s="251">
        <v>918</v>
      </c>
      <c r="U10" s="251">
        <v>906.6</v>
      </c>
      <c r="V10" s="251">
        <v>895.3</v>
      </c>
      <c r="W10" s="252">
        <v>881.5</v>
      </c>
      <c r="X10" s="251">
        <v>865.6</v>
      </c>
      <c r="Y10" s="251">
        <v>865.6</v>
      </c>
      <c r="Z10" s="245">
        <f ca="1">[1]ExtEntry!$F8</f>
        <v>865.6</v>
      </c>
      <c r="AA10" s="268"/>
      <c r="AB10" s="378">
        <v>4000</v>
      </c>
      <c r="AC10" s="378">
        <v>4000</v>
      </c>
      <c r="AD10" s="378">
        <v>3900</v>
      </c>
      <c r="AE10" s="378">
        <v>3800</v>
      </c>
      <c r="AF10" s="378">
        <v>3800</v>
      </c>
      <c r="AG10" s="378">
        <v>3800</v>
      </c>
      <c r="AH10" s="378">
        <v>3800</v>
      </c>
      <c r="AI10" s="378">
        <v>3800</v>
      </c>
      <c r="AJ10" s="378">
        <v>3800</v>
      </c>
      <c r="AK10" s="378">
        <v>3700</v>
      </c>
      <c r="AL10" s="378">
        <v>3600</v>
      </c>
      <c r="AM10" s="378">
        <v>3600</v>
      </c>
      <c r="AN10" s="378">
        <v>3600</v>
      </c>
      <c r="AO10" s="378">
        <v>3600</v>
      </c>
      <c r="AP10" s="378">
        <v>3600</v>
      </c>
      <c r="AQ10" s="378">
        <v>3100</v>
      </c>
      <c r="AR10" s="378">
        <v>3100</v>
      </c>
      <c r="AS10" s="378">
        <v>3000</v>
      </c>
      <c r="AT10" s="378">
        <v>3500</v>
      </c>
      <c r="AU10" s="378">
        <v>3500</v>
      </c>
      <c r="AV10" s="378">
        <f ca="1">Calc!G8</f>
        <v>3500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45980.727314385935</v>
      </c>
      <c r="F11" s="251">
        <v>356.7</v>
      </c>
      <c r="G11" s="251">
        <v>344.13</v>
      </c>
      <c r="H11" s="251">
        <v>351.33</v>
      </c>
      <c r="I11" s="251">
        <v>354.15</v>
      </c>
      <c r="J11" s="251">
        <v>349.33</v>
      </c>
      <c r="K11" s="251">
        <v>349.24</v>
      </c>
      <c r="L11" s="251">
        <v>342.66</v>
      </c>
      <c r="M11" s="251">
        <v>342.66</v>
      </c>
      <c r="N11" s="251">
        <v>340.3</v>
      </c>
      <c r="O11" s="251">
        <v>344.29</v>
      </c>
      <c r="P11" s="251">
        <v>354.13</v>
      </c>
      <c r="Q11" s="251">
        <v>362.05</v>
      </c>
      <c r="R11" s="251">
        <v>385.98</v>
      </c>
      <c r="S11" s="251">
        <v>362.55</v>
      </c>
      <c r="T11" s="251">
        <v>351.94</v>
      </c>
      <c r="U11" s="251">
        <v>358.98</v>
      </c>
      <c r="V11" s="251">
        <v>355.59</v>
      </c>
      <c r="W11" s="252">
        <v>339.98</v>
      </c>
      <c r="X11" s="251">
        <v>342.65</v>
      </c>
      <c r="Y11" s="251">
        <v>340.5</v>
      </c>
      <c r="Z11" s="245">
        <f ca="1">[1]ExtEntry!$F9</f>
        <v>340.5</v>
      </c>
      <c r="AA11" s="268"/>
      <c r="AB11" s="378">
        <v>400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200</v>
      </c>
      <c r="AU11" s="378">
        <v>200</v>
      </c>
      <c r="AV11" s="378">
        <f ca="1">Calc!G9</f>
        <v>200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45980.719461457811</v>
      </c>
      <c r="F12" s="251">
        <v>84.51</v>
      </c>
      <c r="G12" s="251">
        <v>85.12</v>
      </c>
      <c r="H12" s="251">
        <v>84.83</v>
      </c>
      <c r="I12" s="251">
        <v>83.83</v>
      </c>
      <c r="J12" s="251">
        <v>84.69</v>
      </c>
      <c r="K12" s="251">
        <v>83.87</v>
      </c>
      <c r="L12" s="251">
        <v>83.22</v>
      </c>
      <c r="M12" s="251">
        <v>83.22</v>
      </c>
      <c r="N12" s="251">
        <v>83.43</v>
      </c>
      <c r="O12" s="251">
        <v>83.4</v>
      </c>
      <c r="P12" s="251">
        <v>83.29</v>
      </c>
      <c r="Q12" s="251">
        <v>84.06</v>
      </c>
      <c r="R12" s="251">
        <v>82.23</v>
      </c>
      <c r="S12" s="251">
        <v>81.72</v>
      </c>
      <c r="T12" s="251">
        <v>82.03</v>
      </c>
      <c r="U12" s="251">
        <v>81.150000000000006</v>
      </c>
      <c r="V12" s="251">
        <v>83.77</v>
      </c>
      <c r="W12" s="252">
        <v>88.61</v>
      </c>
      <c r="X12" s="251">
        <v>89.4</v>
      </c>
      <c r="Y12" s="251">
        <v>89.55</v>
      </c>
      <c r="Z12" s="245">
        <f ca="1">[1]ExtEntry!$F10</f>
        <v>89.55</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45980.727282267966</v>
      </c>
      <c r="F13" s="251">
        <v>3.49</v>
      </c>
      <c r="G13" s="251">
        <v>3.98</v>
      </c>
      <c r="H13" s="251">
        <v>3.76</v>
      </c>
      <c r="I13" s="251">
        <v>3.67</v>
      </c>
      <c r="J13" s="251">
        <v>3.63</v>
      </c>
      <c r="K13" s="251">
        <v>3.64</v>
      </c>
      <c r="L13" s="251">
        <v>3.33</v>
      </c>
      <c r="M13" s="251">
        <v>3.33</v>
      </c>
      <c r="N13" s="251">
        <v>3.28</v>
      </c>
      <c r="O13" s="251">
        <v>3.28</v>
      </c>
      <c r="P13" s="251">
        <v>3.44</v>
      </c>
      <c r="Q13" s="251">
        <v>3.41</v>
      </c>
      <c r="R13" s="251">
        <v>3.54</v>
      </c>
      <c r="S13" s="251">
        <v>3.56</v>
      </c>
      <c r="T13" s="251">
        <v>3.37</v>
      </c>
      <c r="U13" s="251">
        <v>3.65</v>
      </c>
      <c r="V13" s="251">
        <v>3.55</v>
      </c>
      <c r="W13" s="252">
        <v>3.19</v>
      </c>
      <c r="X13" s="251">
        <v>2.91</v>
      </c>
      <c r="Y13" s="251">
        <v>2.89</v>
      </c>
      <c r="Z13" s="245">
        <f ca="1">[1]ExtEntry!$F11</f>
        <v>2.89</v>
      </c>
      <c r="AA13" s="268"/>
      <c r="AB13" s="378">
        <v>20000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45980.727344305466</v>
      </c>
      <c r="F14" s="251">
        <v>2.8</v>
      </c>
      <c r="G14" s="251">
        <v>2.88</v>
      </c>
      <c r="H14" s="251">
        <v>2.86</v>
      </c>
      <c r="I14" s="251">
        <v>3.01</v>
      </c>
      <c r="J14" s="251">
        <v>2.98</v>
      </c>
      <c r="K14" s="251">
        <v>3.12</v>
      </c>
      <c r="L14" s="251">
        <v>3.2</v>
      </c>
      <c r="M14" s="251">
        <v>3.18</v>
      </c>
      <c r="N14" s="251">
        <v>2.93</v>
      </c>
      <c r="O14" s="251">
        <v>2.91</v>
      </c>
      <c r="P14" s="251">
        <v>2.96</v>
      </c>
      <c r="Q14" s="251">
        <v>2.96</v>
      </c>
      <c r="R14" s="251">
        <v>2.79</v>
      </c>
      <c r="S14" s="251">
        <v>2.71</v>
      </c>
      <c r="T14" s="251">
        <v>2.48</v>
      </c>
      <c r="U14" s="251">
        <v>2.58</v>
      </c>
      <c r="V14" s="251">
        <v>2.5499999999999998</v>
      </c>
      <c r="W14" s="252">
        <v>2.5</v>
      </c>
      <c r="X14" s="251">
        <v>2.29</v>
      </c>
      <c r="Y14" s="251">
        <v>2.25</v>
      </c>
      <c r="Z14" s="245">
        <f ca="1">[1]ExtEntry!$F12</f>
        <v>2.25</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27500</v>
      </c>
      <c r="AP14" s="378">
        <v>27500</v>
      </c>
      <c r="AQ14" s="378">
        <v>12500</v>
      </c>
      <c r="AR14" s="378">
        <v>12500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45980.727293332813</v>
      </c>
      <c r="F15" s="251">
        <v>96.1</v>
      </c>
      <c r="G15" s="251">
        <v>99.84</v>
      </c>
      <c r="H15" s="251">
        <v>99.78</v>
      </c>
      <c r="I15" s="251">
        <v>96.26</v>
      </c>
      <c r="J15" s="251">
        <v>97.07</v>
      </c>
      <c r="K15" s="251">
        <v>99.3</v>
      </c>
      <c r="L15" s="251">
        <v>98.25</v>
      </c>
      <c r="M15" s="251">
        <v>98.25</v>
      </c>
      <c r="N15" s="251">
        <v>96.3</v>
      </c>
      <c r="O15" s="251">
        <v>96.69</v>
      </c>
      <c r="P15" s="251">
        <v>98.78</v>
      </c>
      <c r="Q15" s="251">
        <v>100.99</v>
      </c>
      <c r="R15" s="251">
        <v>99.12</v>
      </c>
      <c r="S15" s="251">
        <v>101.61</v>
      </c>
      <c r="T15" s="251">
        <v>101.01</v>
      </c>
      <c r="U15" s="251">
        <v>101.69</v>
      </c>
      <c r="V15" s="251">
        <v>100.85</v>
      </c>
      <c r="W15" s="252">
        <v>100.67</v>
      </c>
      <c r="X15" s="251">
        <v>98.19</v>
      </c>
      <c r="Y15" s="251">
        <v>98.32</v>
      </c>
      <c r="Z15" s="245">
        <f ca="1">[1]ExtEntry!$F13</f>
        <v>98.32</v>
      </c>
      <c r="AA15" s="268"/>
      <c r="AB15" s="378">
        <v>5</v>
      </c>
      <c r="AC15" s="378">
        <v>5</v>
      </c>
      <c r="AD15" s="378">
        <v>5</v>
      </c>
      <c r="AE15" s="378">
        <v>5</v>
      </c>
      <c r="AF15" s="378">
        <v>5</v>
      </c>
      <c r="AG15" s="378">
        <v>5</v>
      </c>
      <c r="AH15" s="378">
        <v>5</v>
      </c>
      <c r="AI15" s="378">
        <v>5</v>
      </c>
      <c r="AJ15" s="378">
        <v>5</v>
      </c>
      <c r="AK15" s="378">
        <v>5</v>
      </c>
      <c r="AL15" s="378">
        <v>5</v>
      </c>
      <c r="AM15" s="378">
        <v>5</v>
      </c>
      <c r="AN15" s="378">
        <v>5</v>
      </c>
      <c r="AO15" s="378">
        <v>105</v>
      </c>
      <c r="AP15" s="378">
        <v>105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45980.727311353905</v>
      </c>
      <c r="F16" s="251">
        <v>67.459999999999994</v>
      </c>
      <c r="G16" s="251">
        <v>68.66</v>
      </c>
      <c r="H16" s="251">
        <v>69.52</v>
      </c>
      <c r="I16" s="251">
        <v>69.09</v>
      </c>
      <c r="J16" s="251">
        <v>70.13</v>
      </c>
      <c r="K16" s="251">
        <v>70.650000000000006</v>
      </c>
      <c r="L16" s="251">
        <v>70.72</v>
      </c>
      <c r="M16" s="251">
        <v>70.72</v>
      </c>
      <c r="N16" s="251">
        <v>70.66</v>
      </c>
      <c r="O16" s="251">
        <v>70.27</v>
      </c>
      <c r="P16" s="251">
        <v>70.63</v>
      </c>
      <c r="Q16" s="251">
        <v>71.39</v>
      </c>
      <c r="R16" s="251">
        <v>71.33</v>
      </c>
      <c r="S16" s="251">
        <v>74.45</v>
      </c>
      <c r="T16" s="251">
        <v>72.319999999999993</v>
      </c>
      <c r="U16" s="251">
        <v>72.099999999999994</v>
      </c>
      <c r="V16" s="251">
        <v>71.040000000000006</v>
      </c>
      <c r="W16" s="252">
        <v>77.38</v>
      </c>
      <c r="X16" s="251">
        <v>77.78</v>
      </c>
      <c r="Y16" s="251">
        <v>77.37</v>
      </c>
      <c r="Z16" s="245">
        <f ca="1">[1]ExtEntry!$F14</f>
        <v>77.37</v>
      </c>
      <c r="AA16" s="268"/>
      <c r="AB16" s="378">
        <v>2000</v>
      </c>
      <c r="AC16" s="378">
        <v>1000</v>
      </c>
      <c r="AD16" s="378">
        <v>1000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45980.72734399297</v>
      </c>
      <c r="F17" s="251">
        <v>78.44</v>
      </c>
      <c r="G17" s="251">
        <v>79.66</v>
      </c>
      <c r="H17" s="251">
        <v>80.67</v>
      </c>
      <c r="I17" s="251">
        <v>81.37</v>
      </c>
      <c r="J17" s="251">
        <v>82.52</v>
      </c>
      <c r="K17" s="251">
        <v>82.48</v>
      </c>
      <c r="L17" s="251">
        <v>83.04</v>
      </c>
      <c r="M17" s="251">
        <v>83.04</v>
      </c>
      <c r="N17" s="251">
        <v>81.344999999999999</v>
      </c>
      <c r="O17" s="251">
        <v>81.069999999999993</v>
      </c>
      <c r="P17" s="251">
        <v>81.93</v>
      </c>
      <c r="Q17" s="251">
        <v>82.45</v>
      </c>
      <c r="R17" s="251">
        <v>80.599999999999994</v>
      </c>
      <c r="S17" s="251">
        <v>78.44</v>
      </c>
      <c r="T17" s="251">
        <v>78.08</v>
      </c>
      <c r="U17" s="251">
        <v>78.55</v>
      </c>
      <c r="V17" s="251">
        <v>78.66</v>
      </c>
      <c r="W17" s="252">
        <v>79.239999999999995</v>
      </c>
      <c r="X17" s="251">
        <v>78.41</v>
      </c>
      <c r="Y17" s="251">
        <v>77.94</v>
      </c>
      <c r="Z17" s="245">
        <f ca="1">[1]ExtEntry!$F15</f>
        <v>77.94</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45980.708333333336</v>
      </c>
      <c r="F18" s="251">
        <v>3.11</v>
      </c>
      <c r="G18" s="251">
        <v>3.08</v>
      </c>
      <c r="H18" s="251">
        <v>3.27</v>
      </c>
      <c r="I18" s="251">
        <v>3.26</v>
      </c>
      <c r="J18" s="251">
        <v>3.11</v>
      </c>
      <c r="K18" s="251">
        <v>3.78</v>
      </c>
      <c r="L18" s="251">
        <v>3.38</v>
      </c>
      <c r="M18" s="251">
        <v>3.38</v>
      </c>
      <c r="N18" s="251">
        <v>3.01</v>
      </c>
      <c r="O18" s="251">
        <v>3.08</v>
      </c>
      <c r="P18" s="251">
        <v>3.13</v>
      </c>
      <c r="Q18" s="251">
        <v>3.07</v>
      </c>
      <c r="R18" s="251">
        <v>3.03</v>
      </c>
      <c r="S18" s="251">
        <v>2.76</v>
      </c>
      <c r="T18" s="251">
        <v>2.62</v>
      </c>
      <c r="U18" s="251">
        <v>2.6</v>
      </c>
      <c r="V18" s="251">
        <v>2.25</v>
      </c>
      <c r="W18" s="252">
        <v>2.16</v>
      </c>
      <c r="X18" s="251">
        <v>2.08</v>
      </c>
      <c r="Y18" s="251">
        <v>2.08</v>
      </c>
      <c r="Z18" s="245">
        <f ca="1">[1]ExtEntry!$F16</f>
        <v>2.08</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45980.727213414066</v>
      </c>
      <c r="F19" s="251">
        <v>110.27</v>
      </c>
      <c r="G19" s="251">
        <v>111.17</v>
      </c>
      <c r="H19" s="251">
        <v>111.71</v>
      </c>
      <c r="I19" s="251">
        <v>109.88</v>
      </c>
      <c r="J19" s="251">
        <v>110.67</v>
      </c>
      <c r="K19" s="251">
        <v>111.96</v>
      </c>
      <c r="L19" s="251">
        <v>114.3</v>
      </c>
      <c r="M19" s="251">
        <v>114.3</v>
      </c>
      <c r="N19" s="251">
        <v>113.08</v>
      </c>
      <c r="O19" s="251">
        <v>113.03</v>
      </c>
      <c r="P19" s="251">
        <v>111.68</v>
      </c>
      <c r="Q19" s="251">
        <v>112.34</v>
      </c>
      <c r="R19" s="251">
        <v>110.24</v>
      </c>
      <c r="S19" s="251">
        <v>112.12</v>
      </c>
      <c r="T19" s="251">
        <v>111.47</v>
      </c>
      <c r="U19" s="251">
        <v>111.36</v>
      </c>
      <c r="V19" s="251">
        <v>110.49</v>
      </c>
      <c r="W19" s="252">
        <v>107.61</v>
      </c>
      <c r="X19" s="251">
        <v>105.69</v>
      </c>
      <c r="Y19" s="251">
        <v>106.28</v>
      </c>
      <c r="Z19" s="245">
        <f ca="1">[1]ExtEntry!$F17</f>
        <v>106.28</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45980.727108367966</v>
      </c>
      <c r="F20" s="251">
        <v>28.81</v>
      </c>
      <c r="G20" s="251">
        <v>28.35</v>
      </c>
      <c r="H20" s="251">
        <v>28.88</v>
      </c>
      <c r="I20" s="251">
        <v>29.38</v>
      </c>
      <c r="J20" s="251">
        <v>29.33</v>
      </c>
      <c r="K20" s="251">
        <v>29.78</v>
      </c>
      <c r="L20" s="251">
        <v>30.27</v>
      </c>
      <c r="M20" s="251">
        <v>30.27</v>
      </c>
      <c r="N20" s="251">
        <v>30.12</v>
      </c>
      <c r="O20" s="251">
        <v>26.21</v>
      </c>
      <c r="P20" s="251">
        <v>25.69</v>
      </c>
      <c r="Q20" s="251">
        <v>25.41</v>
      </c>
      <c r="R20" s="251">
        <v>24.53</v>
      </c>
      <c r="S20" s="251">
        <v>24.36</v>
      </c>
      <c r="T20" s="251">
        <v>24.04</v>
      </c>
      <c r="U20" s="251">
        <v>23.98</v>
      </c>
      <c r="V20" s="251">
        <v>23.26</v>
      </c>
      <c r="W20" s="252">
        <v>24.23</v>
      </c>
      <c r="X20" s="251">
        <v>23.18</v>
      </c>
      <c r="Y20" s="251">
        <v>23.18</v>
      </c>
      <c r="Z20" s="245">
        <f ca="1">[1]ExtEntry!$F18</f>
        <v>23.18</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45980.71597222222</v>
      </c>
      <c r="F21" s="251">
        <v>123.91</v>
      </c>
      <c r="G21" s="251">
        <v>126.62</v>
      </c>
      <c r="H21" s="251">
        <v>126</v>
      </c>
      <c r="I21" s="251">
        <v>125.25</v>
      </c>
      <c r="J21" s="251">
        <v>125.88</v>
      </c>
      <c r="K21" s="251">
        <v>128.05000000000001</v>
      </c>
      <c r="L21" s="251">
        <v>128.41</v>
      </c>
      <c r="M21" s="251">
        <v>128.41</v>
      </c>
      <c r="N21" s="251">
        <v>129.08000000000001</v>
      </c>
      <c r="O21" s="251">
        <v>128.02000000000001</v>
      </c>
      <c r="P21" s="251">
        <v>129.19</v>
      </c>
      <c r="Q21" s="251">
        <v>129.55000000000001</v>
      </c>
      <c r="R21" s="251">
        <v>126.56</v>
      </c>
      <c r="S21" s="251">
        <v>119.05</v>
      </c>
      <c r="T21" s="251">
        <v>119.97</v>
      </c>
      <c r="U21" s="251">
        <v>121.16</v>
      </c>
      <c r="V21" s="251">
        <v>121.53</v>
      </c>
      <c r="W21" s="252">
        <v>123.05</v>
      </c>
      <c r="X21" s="251">
        <v>117.27</v>
      </c>
      <c r="Y21" s="251">
        <v>116.56</v>
      </c>
      <c r="Z21" s="245">
        <f ca="1">[1]ExtEntry!$F19</f>
        <v>116.56</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3000</v>
      </c>
      <c r="AP21" s="378">
        <v>3000</v>
      </c>
      <c r="AQ21" s="378">
        <v>3000</v>
      </c>
      <c r="AR21" s="378">
        <v>1400</v>
      </c>
      <c r="AS21" s="378">
        <v>1400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13.22</v>
      </c>
      <c r="G22" s="251">
        <v>13.32</v>
      </c>
      <c r="H22" s="251">
        <v>13.1</v>
      </c>
      <c r="I22" s="251">
        <v>12.82</v>
      </c>
      <c r="J22" s="251">
        <v>12.85</v>
      </c>
      <c r="K22" s="251">
        <v>12.99</v>
      </c>
      <c r="L22" s="251">
        <v>13.27</v>
      </c>
      <c r="M22" s="251">
        <v>13.27</v>
      </c>
      <c r="N22" s="251">
        <v>13.27</v>
      </c>
      <c r="O22" s="251">
        <v>13.37</v>
      </c>
      <c r="P22" s="251">
        <v>13.54</v>
      </c>
      <c r="Q22" s="251">
        <v>13.43</v>
      </c>
      <c r="R22" s="251">
        <v>13.17</v>
      </c>
      <c r="S22" s="251">
        <v>13.27</v>
      </c>
      <c r="T22" s="251">
        <v>13.54</v>
      </c>
      <c r="U22" s="251">
        <v>13.81</v>
      </c>
      <c r="V22" s="251">
        <v>13.64</v>
      </c>
      <c r="W22" s="252">
        <v>13.32</v>
      </c>
      <c r="X22" s="251">
        <v>12.46</v>
      </c>
      <c r="Y22" s="251">
        <v>12.22</v>
      </c>
      <c r="Z22" s="245">
        <f ca="1">[1]ExtEntry!$F20</f>
        <v>12.22</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45980.72735310156</v>
      </c>
      <c r="F23" s="251">
        <v>16.260000000000002</v>
      </c>
      <c r="G23" s="251">
        <v>16.37</v>
      </c>
      <c r="H23" s="251">
        <v>16.2</v>
      </c>
      <c r="I23" s="251">
        <v>16.25</v>
      </c>
      <c r="J23" s="251">
        <v>16.27</v>
      </c>
      <c r="K23" s="251">
        <v>16.420000000000002</v>
      </c>
      <c r="L23" s="251">
        <v>16.364999999999998</v>
      </c>
      <c r="M23" s="251">
        <v>16.364999999999998</v>
      </c>
      <c r="N23" s="251">
        <v>16.100000000000001</v>
      </c>
      <c r="O23" s="251">
        <v>15.98</v>
      </c>
      <c r="P23" s="251">
        <v>16.059999999999999</v>
      </c>
      <c r="Q23" s="251">
        <v>16.094999999999999</v>
      </c>
      <c r="R23" s="251">
        <v>16.305</v>
      </c>
      <c r="S23" s="251">
        <v>15.914999999999999</v>
      </c>
      <c r="T23" s="251">
        <v>15.75</v>
      </c>
      <c r="U23" s="251">
        <v>16.05</v>
      </c>
      <c r="V23" s="251">
        <v>16.079999999999998</v>
      </c>
      <c r="W23" s="252">
        <v>15.225</v>
      </c>
      <c r="X23" s="251">
        <v>15.34</v>
      </c>
      <c r="Y23" s="251">
        <v>15.34</v>
      </c>
      <c r="Z23" s="245">
        <f ca="1">[1]ExtEntry!$F21</f>
        <v>15.34</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15000</v>
      </c>
      <c r="AQ23" s="378">
        <v>15000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45980.727392904686</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45980.727297846875</v>
      </c>
      <c r="F25" s="251">
        <v>55.62</v>
      </c>
      <c r="G25" s="251">
        <v>57.15</v>
      </c>
      <c r="H25" s="251">
        <v>57.8</v>
      </c>
      <c r="I25" s="251">
        <v>57.34</v>
      </c>
      <c r="J25" s="251">
        <v>58.38</v>
      </c>
      <c r="K25" s="251">
        <v>58</v>
      </c>
      <c r="L25" s="251">
        <v>66.62</v>
      </c>
      <c r="M25" s="251">
        <v>66.62</v>
      </c>
      <c r="N25" s="251">
        <v>67.31</v>
      </c>
      <c r="O25" s="251">
        <v>66.849999999999994</v>
      </c>
      <c r="P25" s="251">
        <v>69.66</v>
      </c>
      <c r="Q25" s="251">
        <v>69.38</v>
      </c>
      <c r="R25" s="251">
        <v>69.13</v>
      </c>
      <c r="S25" s="251">
        <v>68.22</v>
      </c>
      <c r="T25" s="251">
        <v>66.87</v>
      </c>
      <c r="U25" s="251">
        <v>68.77</v>
      </c>
      <c r="V25" s="251">
        <v>68.84</v>
      </c>
      <c r="W25" s="252">
        <v>71.89</v>
      </c>
      <c r="X25" s="251">
        <v>67.91</v>
      </c>
      <c r="Y25" s="251">
        <v>67.930000000000007</v>
      </c>
      <c r="Z25" s="245">
        <f ca="1">[1]ExtEntry!$F23</f>
        <v>67.930000000000007</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45980.679229015623</v>
      </c>
      <c r="F26" s="251">
        <v>24.8</v>
      </c>
      <c r="G26" s="251">
        <v>25</v>
      </c>
      <c r="H26" s="251">
        <v>25.04</v>
      </c>
      <c r="I26" s="251">
        <v>22.5</v>
      </c>
      <c r="J26" s="251">
        <v>22.96</v>
      </c>
      <c r="K26" s="251">
        <v>22.87</v>
      </c>
      <c r="L26" s="251">
        <v>23.27</v>
      </c>
      <c r="M26" s="251">
        <v>23.27</v>
      </c>
      <c r="N26" s="251">
        <v>23.09</v>
      </c>
      <c r="O26" s="251">
        <v>23.19</v>
      </c>
      <c r="P26" s="251">
        <v>23.5</v>
      </c>
      <c r="Q26" s="251">
        <v>24.18</v>
      </c>
      <c r="R26" s="251">
        <v>24.27</v>
      </c>
      <c r="S26" s="251">
        <v>24.5</v>
      </c>
      <c r="T26" s="251">
        <v>23.56</v>
      </c>
      <c r="U26" s="251">
        <v>23.71</v>
      </c>
      <c r="V26" s="251">
        <v>23.4</v>
      </c>
      <c r="W26" s="252">
        <v>22.93</v>
      </c>
      <c r="X26" s="251">
        <v>21.23</v>
      </c>
      <c r="Y26" s="251">
        <v>20.9</v>
      </c>
      <c r="Z26" s="245">
        <f ca="1">[1]ExtEntry!$F24</f>
        <v>20.9</v>
      </c>
      <c r="AA26" s="268"/>
      <c r="AB26" s="378">
        <v>9200</v>
      </c>
      <c r="AC26" s="378">
        <v>9200</v>
      </c>
      <c r="AD26" s="378">
        <v>9200</v>
      </c>
      <c r="AE26" s="378">
        <v>9200</v>
      </c>
      <c r="AF26" s="378">
        <v>11000</v>
      </c>
      <c r="AG26" s="378">
        <v>11000</v>
      </c>
      <c r="AH26" s="378">
        <v>11000</v>
      </c>
      <c r="AI26" s="378">
        <v>11000</v>
      </c>
      <c r="AJ26" s="378">
        <v>11000</v>
      </c>
      <c r="AK26" s="378">
        <v>11000</v>
      </c>
      <c r="AL26" s="378">
        <v>11000</v>
      </c>
      <c r="AM26" s="378">
        <v>9200</v>
      </c>
      <c r="AN26" s="378">
        <v>9200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45980.727271122654</v>
      </c>
      <c r="F27" s="251">
        <v>27.35</v>
      </c>
      <c r="G27" s="251">
        <v>28.54</v>
      </c>
      <c r="H27" s="251">
        <v>28.61</v>
      </c>
      <c r="I27" s="251">
        <v>27.2</v>
      </c>
      <c r="J27" s="251">
        <v>27.37</v>
      </c>
      <c r="K27" s="251">
        <v>27.66</v>
      </c>
      <c r="L27" s="251">
        <v>28.16</v>
      </c>
      <c r="M27" s="251">
        <v>28.16</v>
      </c>
      <c r="N27" s="251">
        <v>27.66</v>
      </c>
      <c r="O27" s="251">
        <v>27.83</v>
      </c>
      <c r="P27" s="251">
        <v>27.66</v>
      </c>
      <c r="Q27" s="251">
        <v>27.92</v>
      </c>
      <c r="R27" s="251">
        <v>27.7</v>
      </c>
      <c r="S27" s="251">
        <v>27.01</v>
      </c>
      <c r="T27" s="251">
        <v>25.94</v>
      </c>
      <c r="U27" s="251">
        <v>26.64</v>
      </c>
      <c r="V27" s="251">
        <v>26.17</v>
      </c>
      <c r="W27" s="252">
        <v>24.98</v>
      </c>
      <c r="X27" s="251">
        <v>22.87</v>
      </c>
      <c r="Y27" s="251">
        <v>22.71</v>
      </c>
      <c r="Z27" s="245">
        <f ca="1">[1]ExtEntry!$F25</f>
        <v>22.71</v>
      </c>
      <c r="AA27" s="268"/>
      <c r="AB27" s="378">
        <v>5000</v>
      </c>
      <c r="AC27" s="378">
        <v>4000</v>
      </c>
      <c r="AD27" s="378">
        <v>5000</v>
      </c>
      <c r="AE27" s="378">
        <v>5000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45980.71875893516</v>
      </c>
      <c r="F28" s="251">
        <v>408.2</v>
      </c>
      <c r="G28" s="251">
        <v>408</v>
      </c>
      <c r="H28" s="251">
        <v>407.5</v>
      </c>
      <c r="I28" s="251">
        <v>406.3</v>
      </c>
      <c r="J28" s="251">
        <v>391.2</v>
      </c>
      <c r="K28" s="251">
        <v>396</v>
      </c>
      <c r="L28" s="251">
        <v>393.8</v>
      </c>
      <c r="M28" s="251">
        <v>393.8</v>
      </c>
      <c r="N28" s="251">
        <v>402.6</v>
      </c>
      <c r="O28" s="251">
        <v>403.5</v>
      </c>
      <c r="P28" s="251">
        <v>410</v>
      </c>
      <c r="Q28" s="251">
        <v>409.3</v>
      </c>
      <c r="R28" s="251">
        <v>407.7</v>
      </c>
      <c r="S28" s="251">
        <v>427.6</v>
      </c>
      <c r="T28" s="251">
        <v>422.6</v>
      </c>
      <c r="U28" s="251">
        <v>425.2</v>
      </c>
      <c r="V28" s="251">
        <v>414.1</v>
      </c>
      <c r="W28" s="252">
        <v>395.8</v>
      </c>
      <c r="X28" s="251">
        <v>371.3</v>
      </c>
      <c r="Y28" s="251">
        <v>371.3</v>
      </c>
      <c r="Z28" s="245">
        <f ca="1">[1]ExtEntry!$F26</f>
        <v>371.3</v>
      </c>
      <c r="AA28" s="268"/>
      <c r="AB28" s="378">
        <v>240000</v>
      </c>
      <c r="AC28" s="378">
        <v>240000</v>
      </c>
      <c r="AD28" s="378">
        <v>240000</v>
      </c>
      <c r="AE28" s="378">
        <v>240000</v>
      </c>
      <c r="AF28" s="378">
        <v>240000</v>
      </c>
      <c r="AG28" s="378">
        <v>240000</v>
      </c>
      <c r="AH28" s="378">
        <v>230000</v>
      </c>
      <c r="AI28" s="378">
        <v>230000</v>
      </c>
      <c r="AJ28" s="378">
        <v>220000</v>
      </c>
      <c r="AK28" s="378">
        <v>200000</v>
      </c>
      <c r="AL28" s="378">
        <v>199000</v>
      </c>
      <c r="AM28" s="378">
        <v>190000</v>
      </c>
      <c r="AN28" s="378">
        <v>185000</v>
      </c>
      <c r="AO28" s="378">
        <v>150000</v>
      </c>
      <c r="AP28" s="378">
        <v>130000</v>
      </c>
      <c r="AQ28" s="378">
        <v>130000</v>
      </c>
      <c r="AR28" s="378">
        <v>110000</v>
      </c>
      <c r="AS28" s="378">
        <v>100000</v>
      </c>
      <c r="AT28" s="378">
        <v>100000</v>
      </c>
      <c r="AU28" s="378">
        <v>100000</v>
      </c>
      <c r="AV28" s="379">
        <f ca="1">Calc!G26</f>
        <v>100000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45980.727293182812</v>
      </c>
      <c r="F29" s="251">
        <v>67.13</v>
      </c>
      <c r="G29" s="251">
        <v>69.13</v>
      </c>
      <c r="H29" s="251">
        <v>69.099999999999994</v>
      </c>
      <c r="I29" s="251">
        <v>68.88</v>
      </c>
      <c r="J29" s="251">
        <v>68.989999999999995</v>
      </c>
      <c r="K29" s="251">
        <v>69.150000000000006</v>
      </c>
      <c r="L29" s="251">
        <v>67.599999999999994</v>
      </c>
      <c r="M29" s="251">
        <v>67.599999999999994</v>
      </c>
      <c r="N29" s="251">
        <v>68.599999999999994</v>
      </c>
      <c r="O29" s="251">
        <v>68.66</v>
      </c>
      <c r="P29" s="251">
        <v>67.11</v>
      </c>
      <c r="Q29" s="251">
        <v>68.03</v>
      </c>
      <c r="R29" s="251">
        <v>66.040000000000006</v>
      </c>
      <c r="S29" s="251">
        <v>63.44</v>
      </c>
      <c r="T29" s="251">
        <v>63.76</v>
      </c>
      <c r="U29" s="251">
        <v>63.15</v>
      </c>
      <c r="V29" s="251">
        <v>63.43</v>
      </c>
      <c r="W29" s="252">
        <v>65.62</v>
      </c>
      <c r="X29" s="251">
        <v>66.099999999999994</v>
      </c>
      <c r="Y29" s="251">
        <v>67.38</v>
      </c>
      <c r="Z29" s="245">
        <f ca="1">[1]ExtEntry!$F27</f>
        <v>67.38</v>
      </c>
      <c r="AA29" s="268"/>
      <c r="AB29" s="378">
        <v>2660</v>
      </c>
      <c r="AC29" s="378">
        <v>2660</v>
      </c>
      <c r="AD29" s="378">
        <v>2660</v>
      </c>
      <c r="AE29" s="378">
        <v>2660</v>
      </c>
      <c r="AF29" s="378">
        <v>4000</v>
      </c>
      <c r="AG29" s="378">
        <v>4000</v>
      </c>
      <c r="AH29" s="378">
        <v>4000</v>
      </c>
      <c r="AI29" s="378">
        <v>4000</v>
      </c>
      <c r="AJ29" s="378">
        <v>4000</v>
      </c>
      <c r="AK29" s="378">
        <v>5000</v>
      </c>
      <c r="AL29" s="378">
        <v>5000</v>
      </c>
      <c r="AM29" s="378">
        <v>5000</v>
      </c>
      <c r="AN29" s="378">
        <v>5000</v>
      </c>
      <c r="AO29" s="378">
        <v>7000</v>
      </c>
      <c r="AP29" s="378">
        <v>7000</v>
      </c>
      <c r="AQ29" s="378">
        <v>7000</v>
      </c>
      <c r="AR29" s="378">
        <v>6000</v>
      </c>
      <c r="AS29" s="378">
        <v>6000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45980.727279837498</v>
      </c>
      <c r="F30" s="251">
        <v>11.97</v>
      </c>
      <c r="G30" s="251">
        <v>11.98</v>
      </c>
      <c r="H30" s="251">
        <v>11.61</v>
      </c>
      <c r="I30" s="251">
        <v>11.82</v>
      </c>
      <c r="J30" s="251">
        <v>11.85</v>
      </c>
      <c r="K30" s="251">
        <v>12.28</v>
      </c>
      <c r="L30" s="251">
        <v>12.26</v>
      </c>
      <c r="M30" s="251">
        <v>12.26</v>
      </c>
      <c r="N30" s="251">
        <v>12.22</v>
      </c>
      <c r="O30" s="251">
        <v>11.98</v>
      </c>
      <c r="P30" s="251">
        <v>11.97</v>
      </c>
      <c r="Q30" s="251">
        <v>11.86</v>
      </c>
      <c r="R30" s="251">
        <v>11.9</v>
      </c>
      <c r="S30" s="251">
        <v>12.5</v>
      </c>
      <c r="T30" s="251">
        <v>12.16</v>
      </c>
      <c r="U30" s="251">
        <v>12.52</v>
      </c>
      <c r="V30" s="251">
        <v>11.44</v>
      </c>
      <c r="W30" s="252">
        <v>10.25</v>
      </c>
      <c r="X30" s="251">
        <v>9.86</v>
      </c>
      <c r="Y30" s="251">
        <v>9.9700000000000006</v>
      </c>
      <c r="Z30" s="245">
        <f ca="1">[1]ExtEntry!$F28</f>
        <v>9.9700000000000006</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45980.727308957816</v>
      </c>
      <c r="F31" s="251">
        <v>6.75</v>
      </c>
      <c r="G31" s="251">
        <v>6.87</v>
      </c>
      <c r="H31" s="251">
        <v>7.27</v>
      </c>
      <c r="I31" s="251">
        <v>7.02</v>
      </c>
      <c r="J31" s="251">
        <v>6.9</v>
      </c>
      <c r="K31" s="251">
        <v>7.16</v>
      </c>
      <c r="L31" s="251">
        <v>7.17</v>
      </c>
      <c r="M31" s="251">
        <v>7.17</v>
      </c>
      <c r="N31" s="251">
        <v>7.04</v>
      </c>
      <c r="O31" s="251">
        <v>7.79</v>
      </c>
      <c r="P31" s="251">
        <v>8.09</v>
      </c>
      <c r="Q31" s="251">
        <v>9.36</v>
      </c>
      <c r="R31" s="251">
        <v>11</v>
      </c>
      <c r="S31" s="251">
        <v>11.83</v>
      </c>
      <c r="T31" s="251">
        <v>10.54</v>
      </c>
      <c r="U31" s="251">
        <v>10.86</v>
      </c>
      <c r="V31" s="251">
        <v>10.94</v>
      </c>
      <c r="W31" s="252">
        <v>8.1199999999999992</v>
      </c>
      <c r="X31" s="251">
        <v>8.06</v>
      </c>
      <c r="Y31" s="251">
        <v>7.62</v>
      </c>
      <c r="Z31" s="245">
        <f ca="1">[1]ExtEntry!$F29</f>
        <v>7.62</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45980.727280566403</v>
      </c>
      <c r="F32" s="251">
        <v>26.74</v>
      </c>
      <c r="G32" s="251">
        <v>26.25</v>
      </c>
      <c r="H32" s="251">
        <v>27.72</v>
      </c>
      <c r="I32" s="251">
        <v>27.14</v>
      </c>
      <c r="J32" s="251">
        <v>26.01</v>
      </c>
      <c r="K32" s="251">
        <v>27.24</v>
      </c>
      <c r="L32" s="251">
        <v>27.49</v>
      </c>
      <c r="M32" s="251">
        <v>27.49</v>
      </c>
      <c r="N32" s="251">
        <v>26.85</v>
      </c>
      <c r="O32" s="251">
        <v>26.25</v>
      </c>
      <c r="P32" s="251">
        <v>26.74</v>
      </c>
      <c r="Q32" s="251">
        <v>26.66</v>
      </c>
      <c r="R32" s="251">
        <v>24.7</v>
      </c>
      <c r="S32" s="251">
        <v>24.91</v>
      </c>
      <c r="T32" s="251">
        <v>23.75</v>
      </c>
      <c r="U32" s="251">
        <v>23.56</v>
      </c>
      <c r="V32" s="251">
        <v>24.33</v>
      </c>
      <c r="W32" s="252">
        <v>24.96</v>
      </c>
      <c r="X32" s="251">
        <v>24.76</v>
      </c>
      <c r="Y32" s="251">
        <v>24.92</v>
      </c>
      <c r="Z32" s="245">
        <f ca="1">[1]ExtEntry!$F30</f>
        <v>24.92</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45980.727387267965</v>
      </c>
      <c r="F33" s="251">
        <v>514.04999999999995</v>
      </c>
      <c r="G33" s="251">
        <v>513.57000000000005</v>
      </c>
      <c r="H33" s="251">
        <v>513.42999999999995</v>
      </c>
      <c r="I33" s="251">
        <v>511.61</v>
      </c>
      <c r="J33" s="251">
        <v>513.58000000000004</v>
      </c>
      <c r="K33" s="251">
        <v>516.79</v>
      </c>
      <c r="L33" s="251">
        <v>517.66</v>
      </c>
      <c r="M33" s="251">
        <v>517.66</v>
      </c>
      <c r="N33" s="251">
        <v>520.54</v>
      </c>
      <c r="O33" s="251">
        <v>520.55999999999995</v>
      </c>
      <c r="P33" s="251">
        <v>523.61</v>
      </c>
      <c r="Q33" s="251">
        <v>531.52</v>
      </c>
      <c r="R33" s="251">
        <v>541.54999999999995</v>
      </c>
      <c r="S33" s="251">
        <v>517.03</v>
      </c>
      <c r="T33" s="251">
        <v>514.33000000000004</v>
      </c>
      <c r="U33" s="251">
        <v>507.16</v>
      </c>
      <c r="V33" s="251">
        <v>497.1</v>
      </c>
      <c r="W33" s="252">
        <v>503.29</v>
      </c>
      <c r="X33" s="251">
        <v>507.49</v>
      </c>
      <c r="Y33" s="251">
        <v>493.79</v>
      </c>
      <c r="Z33" s="245">
        <f ca="1">[1]ExtEntry!$F31</f>
        <v>493.79</v>
      </c>
      <c r="AA33" s="268"/>
      <c r="AB33" s="378">
        <v>9800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45980.727363923441</v>
      </c>
      <c r="F34" s="251">
        <v>84.3</v>
      </c>
      <c r="G34" s="251">
        <v>84.64</v>
      </c>
      <c r="H34" s="251">
        <v>85.79</v>
      </c>
      <c r="I34" s="251">
        <v>85.05</v>
      </c>
      <c r="J34" s="251">
        <v>84.53</v>
      </c>
      <c r="K34" s="251">
        <v>84.77</v>
      </c>
      <c r="L34" s="251">
        <v>83.99</v>
      </c>
      <c r="M34" s="251">
        <v>83.99</v>
      </c>
      <c r="N34" s="251">
        <v>82.84</v>
      </c>
      <c r="O34" s="251">
        <v>83.25</v>
      </c>
      <c r="P34" s="251">
        <v>84.41</v>
      </c>
      <c r="Q34" s="251">
        <v>86.03</v>
      </c>
      <c r="R34" s="251">
        <v>81.760000000000005</v>
      </c>
      <c r="S34" s="251">
        <v>81.78</v>
      </c>
      <c r="T34" s="251">
        <v>81.69</v>
      </c>
      <c r="U34" s="251">
        <v>82.14</v>
      </c>
      <c r="V34" s="251">
        <v>82</v>
      </c>
      <c r="W34" s="252">
        <v>83.99</v>
      </c>
      <c r="X34" s="251">
        <v>85.75</v>
      </c>
      <c r="Y34" s="251">
        <v>84.64</v>
      </c>
      <c r="Z34" s="245">
        <f ca="1">[1]ExtEntry!$F32</f>
        <v>84.64</v>
      </c>
      <c r="AA34" s="268"/>
      <c r="AB34" s="378">
        <v>400</v>
      </c>
      <c r="AC34" s="378">
        <v>400</v>
      </c>
      <c r="AD34" s="378">
        <v>400</v>
      </c>
      <c r="AE34" s="378">
        <v>400</v>
      </c>
      <c r="AF34" s="378">
        <v>400</v>
      </c>
      <c r="AG34" s="378">
        <v>400</v>
      </c>
      <c r="AH34" s="378">
        <v>400</v>
      </c>
      <c r="AI34" s="378">
        <v>400</v>
      </c>
      <c r="AJ34" s="378">
        <v>400</v>
      </c>
      <c r="AK34" s="378">
        <v>400</v>
      </c>
      <c r="AL34" s="378">
        <v>400</v>
      </c>
      <c r="AM34" s="378">
        <v>400</v>
      </c>
      <c r="AN34" s="378">
        <v>400</v>
      </c>
      <c r="AO34" s="378">
        <v>1</v>
      </c>
      <c r="AP34" s="378">
        <v>1</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45980.725908946093</v>
      </c>
      <c r="F35" s="251">
        <v>89.4</v>
      </c>
      <c r="G35" s="251">
        <v>90.54</v>
      </c>
      <c r="H35" s="251">
        <v>93.58</v>
      </c>
      <c r="I35" s="251">
        <v>98.27</v>
      </c>
      <c r="J35" s="251">
        <v>90.77</v>
      </c>
      <c r="K35" s="251">
        <v>94.89</v>
      </c>
      <c r="L35" s="251">
        <v>86.32</v>
      </c>
      <c r="M35" s="251">
        <v>86.32</v>
      </c>
      <c r="N35" s="251">
        <v>87.01</v>
      </c>
      <c r="O35" s="251">
        <v>88.91</v>
      </c>
      <c r="P35" s="251">
        <v>83.37</v>
      </c>
      <c r="Q35" s="251">
        <v>78.63</v>
      </c>
      <c r="R35" s="251">
        <v>79.67</v>
      </c>
      <c r="S35" s="251">
        <v>81.62</v>
      </c>
      <c r="T35" s="251">
        <v>78.900000000000006</v>
      </c>
      <c r="U35" s="251">
        <v>81.63</v>
      </c>
      <c r="V35" s="251">
        <v>82.53</v>
      </c>
      <c r="W35" s="252">
        <v>89.72</v>
      </c>
      <c r="X35" s="251">
        <v>87.09</v>
      </c>
      <c r="Y35" s="251">
        <v>86.6</v>
      </c>
      <c r="Z35" s="245">
        <f ca="1">[1]ExtEntry!$F33</f>
        <v>86.6</v>
      </c>
      <c r="AA35" s="268"/>
      <c r="AB35" s="378">
        <v>14000</v>
      </c>
      <c r="AC35" s="378">
        <v>14000</v>
      </c>
      <c r="AD35" s="378">
        <v>14000</v>
      </c>
      <c r="AE35" s="378">
        <v>14000</v>
      </c>
      <c r="AF35" s="378">
        <v>13000</v>
      </c>
      <c r="AG35" s="378">
        <v>17000</v>
      </c>
      <c r="AH35" s="378">
        <v>17000</v>
      </c>
      <c r="AI35" s="378">
        <v>17000</v>
      </c>
      <c r="AJ35" s="378">
        <v>15000</v>
      </c>
      <c r="AK35" s="378">
        <v>17000</v>
      </c>
      <c r="AL35" s="378">
        <v>17000</v>
      </c>
      <c r="AM35" s="378">
        <v>18000</v>
      </c>
      <c r="AN35" s="378">
        <v>18000</v>
      </c>
      <c r="AO35" s="378">
        <v>22000</v>
      </c>
      <c r="AP35" s="378">
        <v>20000</v>
      </c>
      <c r="AQ35" s="378">
        <v>20000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45980.727289791408</v>
      </c>
      <c r="F36" s="251">
        <v>1219.03</v>
      </c>
      <c r="G36" s="251">
        <v>1215.3499999999999</v>
      </c>
      <c r="H36" s="251">
        <v>1203.29</v>
      </c>
      <c r="I36" s="251">
        <v>1183.5899999999999</v>
      </c>
      <c r="J36" s="251">
        <v>1199.3599999999999</v>
      </c>
      <c r="K36" s="251">
        <v>1238.56</v>
      </c>
      <c r="L36" s="251">
        <v>1241.3499999999999</v>
      </c>
      <c r="M36" s="251">
        <v>1241.3499999999999</v>
      </c>
      <c r="N36" s="251">
        <v>1116.3699999999999</v>
      </c>
      <c r="O36" s="251">
        <v>1113.5899999999999</v>
      </c>
      <c r="P36" s="251">
        <v>1094.69</v>
      </c>
      <c r="Q36" s="251">
        <v>1094.56</v>
      </c>
      <c r="R36" s="251">
        <v>1100.4100000000001</v>
      </c>
      <c r="S36" s="251">
        <v>1100.0899999999999</v>
      </c>
      <c r="T36" s="251">
        <v>1092.96</v>
      </c>
      <c r="U36" s="251">
        <v>1098.46</v>
      </c>
      <c r="V36" s="251">
        <v>1097.02</v>
      </c>
      <c r="W36" s="252">
        <v>1154.23</v>
      </c>
      <c r="X36" s="251">
        <v>110.29</v>
      </c>
      <c r="Y36" s="251">
        <v>114.09</v>
      </c>
      <c r="Z36" s="245">
        <f ca="1">[1]ExtEntry!$F34</f>
        <v>114.09</v>
      </c>
      <c r="AA36" s="268"/>
      <c r="AB36" s="378">
        <v>700</v>
      </c>
      <c r="AC36" s="378">
        <v>700</v>
      </c>
      <c r="AD36" s="378">
        <v>800</v>
      </c>
      <c r="AE36" s="378">
        <v>800</v>
      </c>
      <c r="AF36" s="378">
        <v>700</v>
      </c>
      <c r="AG36" s="378">
        <v>700</v>
      </c>
      <c r="AH36" s="378">
        <v>2000</v>
      </c>
      <c r="AI36" s="378">
        <v>2000</v>
      </c>
      <c r="AJ36" s="378">
        <v>2500</v>
      </c>
      <c r="AK36" s="378">
        <v>3000</v>
      </c>
      <c r="AL36" s="378">
        <v>3000</v>
      </c>
      <c r="AM36" s="378">
        <v>3000</v>
      </c>
      <c r="AN36" s="378">
        <v>3000</v>
      </c>
      <c r="AO36" s="378">
        <v>3000</v>
      </c>
      <c r="AP36" s="378">
        <v>3000</v>
      </c>
      <c r="AQ36" s="378">
        <v>3000</v>
      </c>
      <c r="AR36" s="378">
        <v>3000</v>
      </c>
      <c r="AS36" s="378">
        <v>3000</v>
      </c>
      <c r="AT36" s="378">
        <v>30000</v>
      </c>
      <c r="AU36" s="378">
        <v>30000</v>
      </c>
      <c r="AV36" s="379">
        <f ca="1">Calc!G34</f>
        <v>30000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45980.725743089846</v>
      </c>
      <c r="F37" s="251">
        <v>4.6100000000000003</v>
      </c>
      <c r="G37" s="251">
        <v>4.7300000000000004</v>
      </c>
      <c r="H37" s="251">
        <v>4.67</v>
      </c>
      <c r="I37" s="251">
        <v>4.3899999999999997</v>
      </c>
      <c r="J37" s="251">
        <v>4.25</v>
      </c>
      <c r="K37" s="251">
        <v>4.45</v>
      </c>
      <c r="L37" s="251">
        <v>4.49</v>
      </c>
      <c r="M37" s="251">
        <v>4.49</v>
      </c>
      <c r="N37" s="251">
        <v>4.24</v>
      </c>
      <c r="O37" s="251">
        <v>4.45</v>
      </c>
      <c r="P37" s="251">
        <v>4.37</v>
      </c>
      <c r="Q37" s="251">
        <v>4.3</v>
      </c>
      <c r="R37" s="251">
        <v>4</v>
      </c>
      <c r="S37" s="251">
        <v>4.01</v>
      </c>
      <c r="T37" s="251">
        <v>3.71</v>
      </c>
      <c r="U37" s="251">
        <v>3.31</v>
      </c>
      <c r="V37" s="251">
        <v>3</v>
      </c>
      <c r="W37" s="252">
        <v>2.5299999999999998</v>
      </c>
      <c r="X37" s="251">
        <v>2.38</v>
      </c>
      <c r="Y37" s="251">
        <v>2.2400000000000002</v>
      </c>
      <c r="Z37" s="245">
        <f ca="1">[1]ExtEntry!$F35</f>
        <v>2.2400000000000002</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30000</v>
      </c>
      <c r="AT37" s="378">
        <v>30000</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45980.727216932813</v>
      </c>
      <c r="F38" s="251">
        <v>40.83</v>
      </c>
      <c r="G38" s="251">
        <v>39.54</v>
      </c>
      <c r="H38" s="251">
        <v>41.01</v>
      </c>
      <c r="I38" s="251">
        <v>42.03</v>
      </c>
      <c r="J38" s="251">
        <v>38.44</v>
      </c>
      <c r="K38" s="251">
        <v>39.380000000000003</v>
      </c>
      <c r="L38" s="251">
        <v>35.44</v>
      </c>
      <c r="M38" s="251">
        <v>35.44</v>
      </c>
      <c r="N38" s="251">
        <v>35.880000000000003</v>
      </c>
      <c r="O38" s="251">
        <v>36.22</v>
      </c>
      <c r="P38" s="251">
        <v>36.340000000000003</v>
      </c>
      <c r="Q38" s="251">
        <v>34.729999999999997</v>
      </c>
      <c r="R38" s="251">
        <v>35.090000000000003</v>
      </c>
      <c r="S38" s="251">
        <v>34.68</v>
      </c>
      <c r="T38" s="251">
        <v>33.200000000000003</v>
      </c>
      <c r="U38" s="251">
        <v>33.770000000000003</v>
      </c>
      <c r="V38" s="251">
        <v>33.83</v>
      </c>
      <c r="W38" s="252">
        <v>39.049999999999997</v>
      </c>
      <c r="X38" s="251">
        <v>37.39</v>
      </c>
      <c r="Y38" s="251">
        <v>38.07</v>
      </c>
      <c r="Z38" s="245">
        <f ca="1">[1]ExtEntry!$F36</f>
        <v>38.07</v>
      </c>
      <c r="AA38" s="268"/>
      <c r="AB38" s="378">
        <v>2500</v>
      </c>
      <c r="AC38" s="378">
        <v>2500</v>
      </c>
      <c r="AD38" s="378">
        <v>2500</v>
      </c>
      <c r="AE38" s="378">
        <v>2500</v>
      </c>
      <c r="AF38" s="378">
        <v>2500</v>
      </c>
      <c r="AG38" s="378">
        <v>4000</v>
      </c>
      <c r="AH38" s="378">
        <v>4000</v>
      </c>
      <c r="AI38" s="378">
        <v>4000</v>
      </c>
      <c r="AJ38" s="378">
        <v>4000</v>
      </c>
      <c r="AK38" s="378">
        <v>4000</v>
      </c>
      <c r="AL38" s="378">
        <v>4000</v>
      </c>
      <c r="AM38" s="378">
        <v>4000</v>
      </c>
      <c r="AN38" s="378">
        <v>4000</v>
      </c>
      <c r="AO38" s="378">
        <v>4000</v>
      </c>
      <c r="AP38" s="378">
        <v>4000</v>
      </c>
      <c r="AQ38" s="378">
        <v>4000</v>
      </c>
      <c r="AR38" s="378">
        <v>4000</v>
      </c>
      <c r="AS38" s="378">
        <v>2000</v>
      </c>
      <c r="AT38" s="378">
        <v>2000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45980.710997233597</v>
      </c>
      <c r="F39" s="251">
        <v>5.98</v>
      </c>
      <c r="G39" s="251">
        <v>5.83</v>
      </c>
      <c r="H39" s="251">
        <v>5.76</v>
      </c>
      <c r="I39" s="251">
        <v>5.56</v>
      </c>
      <c r="J39" s="251">
        <v>5.53</v>
      </c>
      <c r="K39" s="251">
        <v>5.78</v>
      </c>
      <c r="L39" s="251">
        <v>5.86</v>
      </c>
      <c r="M39" s="251">
        <v>5.86</v>
      </c>
      <c r="N39" s="251">
        <v>5.42</v>
      </c>
      <c r="O39" s="251">
        <v>5.306</v>
      </c>
      <c r="P39" s="251">
        <v>5.5</v>
      </c>
      <c r="Q39" s="251">
        <v>5.5</v>
      </c>
      <c r="R39" s="251">
        <v>6.13</v>
      </c>
      <c r="S39" s="251">
        <v>5.96</v>
      </c>
      <c r="T39" s="251">
        <v>5.89</v>
      </c>
      <c r="U39" s="251">
        <v>5.86</v>
      </c>
      <c r="V39" s="251">
        <v>5.85</v>
      </c>
      <c r="W39" s="252">
        <v>6.35</v>
      </c>
      <c r="X39" s="251">
        <v>6.46</v>
      </c>
      <c r="Y39" s="251">
        <v>6.23</v>
      </c>
      <c r="Z39" s="245">
        <f ca="1">[1]ExtEntry!$F37</f>
        <v>6.23</v>
      </c>
      <c r="AA39" s="268"/>
      <c r="AB39" s="378">
        <v>6000</v>
      </c>
      <c r="AC39" s="378">
        <v>4000</v>
      </c>
      <c r="AD39" s="378">
        <v>4000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45980.7273096875</v>
      </c>
      <c r="F40" s="251">
        <v>8.43</v>
      </c>
      <c r="G40" s="251">
        <v>9.0500000000000007</v>
      </c>
      <c r="H40" s="251">
        <v>8.32</v>
      </c>
      <c r="I40" s="251">
        <v>7.56</v>
      </c>
      <c r="J40" s="251">
        <v>7.02</v>
      </c>
      <c r="K40" s="251">
        <v>7.59</v>
      </c>
      <c r="L40" s="251">
        <v>7.45</v>
      </c>
      <c r="M40" s="251">
        <v>7.45</v>
      </c>
      <c r="N40" s="251">
        <v>7.37</v>
      </c>
      <c r="O40" s="251">
        <v>7.31</v>
      </c>
      <c r="P40" s="251">
        <v>8.23</v>
      </c>
      <c r="Q40" s="251">
        <v>7.41</v>
      </c>
      <c r="R40" s="251">
        <v>6.63</v>
      </c>
      <c r="S40" s="251">
        <v>6.6</v>
      </c>
      <c r="T40" s="251">
        <v>5.95</v>
      </c>
      <c r="U40" s="251">
        <v>6.0350000000000001</v>
      </c>
      <c r="V40" s="251">
        <v>5.32</v>
      </c>
      <c r="W40" s="252">
        <v>4.7</v>
      </c>
      <c r="X40" s="251">
        <v>4.17</v>
      </c>
      <c r="Y40" s="251">
        <v>4.29</v>
      </c>
      <c r="Z40" s="245">
        <f ca="1">[1]ExtEntry!$F38</f>
        <v>4.29</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47500</v>
      </c>
      <c r="AT40" s="378">
        <v>47500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45980.714583333334</v>
      </c>
      <c r="F41" s="251">
        <v>0.91180000000000005</v>
      </c>
      <c r="G41" s="251">
        <v>0.87939999999999996</v>
      </c>
      <c r="H41" s="251">
        <v>0.91279999999999994</v>
      </c>
      <c r="I41" s="251">
        <v>0.89990000000000003</v>
      </c>
      <c r="J41" s="251">
        <v>0.82040000000000002</v>
      </c>
      <c r="K41" s="251">
        <v>0.78110000000000002</v>
      </c>
      <c r="L41" s="251">
        <v>0.7641</v>
      </c>
      <c r="M41" s="251">
        <v>0.7641</v>
      </c>
      <c r="N41" s="251">
        <v>0.70950000000000002</v>
      </c>
      <c r="O41" s="251">
        <v>0.70289999999999997</v>
      </c>
      <c r="P41" s="251">
        <v>0.75349999999999995</v>
      </c>
      <c r="Q41" s="251">
        <v>0.81399999999999995</v>
      </c>
      <c r="R41" s="251">
        <v>0.69</v>
      </c>
      <c r="S41" s="251">
        <v>0.72</v>
      </c>
      <c r="T41" s="251">
        <v>0.69330000000000003</v>
      </c>
      <c r="U41" s="251">
        <v>0.745</v>
      </c>
      <c r="V41" s="251">
        <v>0.68189999999999995</v>
      </c>
      <c r="W41" s="252">
        <v>0.61990000000000001</v>
      </c>
      <c r="X41" s="251">
        <v>0.70789999999999997</v>
      </c>
      <c r="Y41" s="251">
        <v>0.66420000000000001</v>
      </c>
      <c r="Z41" s="245">
        <f ca="1">[1]ExtEntry!$F39</f>
        <v>0.66420000000000001</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45980.697916666664</v>
      </c>
      <c r="F42" s="251">
        <v>26.83</v>
      </c>
      <c r="G42" s="251">
        <v>27.38</v>
      </c>
      <c r="H42" s="251">
        <v>28.11</v>
      </c>
      <c r="I42" s="251">
        <v>28.11</v>
      </c>
      <c r="J42" s="251">
        <v>27.94</v>
      </c>
      <c r="K42" s="251">
        <v>29.46</v>
      </c>
      <c r="L42" s="251">
        <v>30.27</v>
      </c>
      <c r="M42" s="251">
        <v>30.27</v>
      </c>
      <c r="N42" s="251">
        <v>30.69</v>
      </c>
      <c r="O42" s="251">
        <v>29.39</v>
      </c>
      <c r="P42" s="251">
        <v>29.97</v>
      </c>
      <c r="Q42" s="251">
        <v>29.58</v>
      </c>
      <c r="R42" s="251">
        <v>29.4</v>
      </c>
      <c r="S42" s="251">
        <v>30.65</v>
      </c>
      <c r="T42" s="251">
        <v>28.38</v>
      </c>
      <c r="U42" s="251">
        <v>37.85</v>
      </c>
      <c r="V42" s="251">
        <v>36.119999999999997</v>
      </c>
      <c r="W42" s="252">
        <v>39.880000000000003</v>
      </c>
      <c r="X42" s="251">
        <v>42.51</v>
      </c>
      <c r="Y42" s="251">
        <v>46.22</v>
      </c>
      <c r="Z42" s="245">
        <f ca="1">[1]ExtEntry!$F40</f>
        <v>46.22</v>
      </c>
      <c r="AA42" s="268"/>
      <c r="AB42" s="378">
        <v>4000</v>
      </c>
      <c r="AC42" s="378">
        <v>4000</v>
      </c>
      <c r="AD42" s="378">
        <v>4000</v>
      </c>
      <c r="AE42" s="378">
        <v>4000</v>
      </c>
      <c r="AF42" s="378">
        <v>4000</v>
      </c>
      <c r="AG42" s="378">
        <v>2000</v>
      </c>
      <c r="AH42" s="378">
        <v>2000</v>
      </c>
      <c r="AI42" s="378">
        <v>2000</v>
      </c>
      <c r="AJ42" s="378">
        <v>2000</v>
      </c>
      <c r="AK42" s="378">
        <v>2000</v>
      </c>
      <c r="AL42" s="378">
        <v>2000</v>
      </c>
      <c r="AM42" s="378">
        <v>2000</v>
      </c>
      <c r="AN42" s="378">
        <v>2000</v>
      </c>
      <c r="AO42" s="378">
        <v>3000</v>
      </c>
      <c r="AP42" s="378">
        <v>1000</v>
      </c>
      <c r="AQ42" s="378">
        <v>1000</v>
      </c>
      <c r="AR42" s="378">
        <v>1000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45980.716578171094</v>
      </c>
      <c r="F43" s="251">
        <v>40.96</v>
      </c>
      <c r="G43" s="251">
        <v>40.58</v>
      </c>
      <c r="H43" s="251">
        <v>40.770000000000003</v>
      </c>
      <c r="I43" s="251">
        <v>41.38</v>
      </c>
      <c r="J43" s="251">
        <v>41.06</v>
      </c>
      <c r="K43" s="251">
        <v>40.92</v>
      </c>
      <c r="L43" s="251">
        <v>40.47</v>
      </c>
      <c r="M43" s="251">
        <v>40.47</v>
      </c>
      <c r="N43" s="251">
        <v>40.22</v>
      </c>
      <c r="O43" s="251">
        <v>40</v>
      </c>
      <c r="P43" s="251">
        <v>40.479999999999997</v>
      </c>
      <c r="Q43" s="251">
        <v>40.5</v>
      </c>
      <c r="R43" s="251">
        <v>42.3</v>
      </c>
      <c r="S43" s="251">
        <v>42.8</v>
      </c>
      <c r="T43" s="251">
        <v>42.34</v>
      </c>
      <c r="U43" s="251">
        <v>42.61</v>
      </c>
      <c r="V43" s="251">
        <v>43.09</v>
      </c>
      <c r="W43" s="252">
        <v>45.47</v>
      </c>
      <c r="X43" s="251">
        <v>44.67</v>
      </c>
      <c r="Y43" s="251">
        <v>44.67</v>
      </c>
      <c r="Z43" s="245">
        <f ca="1">[1]ExtEntry!$F41</f>
        <v>44.67</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45980.727275914061</v>
      </c>
      <c r="F44" s="251">
        <v>231.4</v>
      </c>
      <c r="G44" s="251">
        <v>232.7</v>
      </c>
      <c r="H44" s="251">
        <v>234.2</v>
      </c>
      <c r="I44" s="251">
        <v>233.2</v>
      </c>
      <c r="J44" s="251">
        <v>230.95</v>
      </c>
      <c r="K44" s="251">
        <v>238.6</v>
      </c>
      <c r="L44" s="251">
        <v>240.4</v>
      </c>
      <c r="M44" s="251">
        <v>240.4</v>
      </c>
      <c r="N44" s="251">
        <v>236.85</v>
      </c>
      <c r="O44" s="251">
        <v>242</v>
      </c>
      <c r="P44" s="251">
        <v>233.35</v>
      </c>
      <c r="Q44" s="251">
        <v>235.55</v>
      </c>
      <c r="R44" s="251">
        <v>224.3</v>
      </c>
      <c r="S44" s="251">
        <v>228.85</v>
      </c>
      <c r="T44" s="251">
        <v>226.05</v>
      </c>
      <c r="U44" s="251">
        <v>227.95</v>
      </c>
      <c r="V44" s="251">
        <v>217.95</v>
      </c>
      <c r="W44" s="252">
        <v>218.1</v>
      </c>
      <c r="X44" s="251">
        <v>205.35</v>
      </c>
      <c r="Y44" s="251">
        <v>205.35</v>
      </c>
      <c r="Z44" s="245">
        <f ca="1">[1]ExtEntry!$F42</f>
        <v>205.35</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45980.727292626565</v>
      </c>
      <c r="F45" s="251">
        <v>16.399999999999999</v>
      </c>
      <c r="G45" s="251">
        <v>16.61</v>
      </c>
      <c r="H45" s="251">
        <v>16.54</v>
      </c>
      <c r="I45" s="251">
        <v>16.45</v>
      </c>
      <c r="J45" s="251">
        <v>16.5</v>
      </c>
      <c r="K45" s="251">
        <v>16.34</v>
      </c>
      <c r="L45" s="251">
        <v>16.27</v>
      </c>
      <c r="M45" s="251">
        <v>16.27</v>
      </c>
      <c r="N45" s="251">
        <v>16.04</v>
      </c>
      <c r="O45" s="251">
        <v>16.149999999999999</v>
      </c>
      <c r="P45" s="251">
        <v>15.67</v>
      </c>
      <c r="Q45" s="251">
        <v>15.37</v>
      </c>
      <c r="R45" s="251">
        <v>15.05</v>
      </c>
      <c r="S45" s="251">
        <v>15.07</v>
      </c>
      <c r="T45" s="251">
        <v>14.93</v>
      </c>
      <c r="U45" s="251">
        <v>14.9</v>
      </c>
      <c r="V45" s="251">
        <v>14.46</v>
      </c>
      <c r="W45" s="252">
        <v>14.8</v>
      </c>
      <c r="X45" s="251">
        <v>14.68</v>
      </c>
      <c r="Y45" s="251">
        <v>14.33</v>
      </c>
      <c r="Z45" s="245">
        <f ca="1">[1]ExtEntry!$F43</f>
        <v>14.33</v>
      </c>
      <c r="AA45" s="268"/>
      <c r="AB45" s="378">
        <v>23000</v>
      </c>
      <c r="AC45" s="378">
        <v>22851</v>
      </c>
      <c r="AD45" s="378">
        <v>22368</v>
      </c>
      <c r="AE45" s="378">
        <v>22368</v>
      </c>
      <c r="AF45" s="378">
        <v>22368</v>
      </c>
      <c r="AG45" s="378">
        <v>22368</v>
      </c>
      <c r="AH45" s="378">
        <v>22368</v>
      </c>
      <c r="AI45" s="378">
        <v>22368</v>
      </c>
      <c r="AJ45" s="378">
        <v>22368</v>
      </c>
      <c r="AK45" s="378">
        <v>22368</v>
      </c>
      <c r="AL45" s="378">
        <v>22368</v>
      </c>
      <c r="AM45" s="378">
        <v>22368</v>
      </c>
      <c r="AN45" s="378">
        <v>25000</v>
      </c>
      <c r="AO45" s="378">
        <v>25000</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45980.727366284373</v>
      </c>
      <c r="F46" s="251">
        <v>10.87</v>
      </c>
      <c r="G46" s="251">
        <v>10.86</v>
      </c>
      <c r="H46" s="251">
        <v>11.54</v>
      </c>
      <c r="I46" s="251">
        <v>11.48</v>
      </c>
      <c r="J46" s="251">
        <v>10.92</v>
      </c>
      <c r="K46" s="251">
        <v>12.44</v>
      </c>
      <c r="L46" s="251">
        <v>12.35</v>
      </c>
      <c r="M46" s="251">
        <v>12.35</v>
      </c>
      <c r="N46" s="251">
        <v>11.3</v>
      </c>
      <c r="O46" s="251">
        <v>11.78</v>
      </c>
      <c r="P46" s="251">
        <v>11.99</v>
      </c>
      <c r="Q46" s="251">
        <v>11.91</v>
      </c>
      <c r="R46" s="251">
        <v>11.1</v>
      </c>
      <c r="S46" s="251">
        <v>10.59</v>
      </c>
      <c r="T46" s="251">
        <v>9.8699999999999992</v>
      </c>
      <c r="U46" s="251">
        <v>9.85</v>
      </c>
      <c r="V46" s="251">
        <v>9.4600000000000009</v>
      </c>
      <c r="W46" s="252">
        <v>9.33</v>
      </c>
      <c r="X46" s="251">
        <v>8.5299999999999994</v>
      </c>
      <c r="Y46" s="251">
        <v>8.5</v>
      </c>
      <c r="Z46" s="245">
        <f ca="1">[1]ExtEntry!$F44</f>
        <v>8.5</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45980.711805555555</v>
      </c>
      <c r="F47" s="251">
        <v>435.9</v>
      </c>
      <c r="G47" s="251">
        <v>429.24</v>
      </c>
      <c r="H47" s="251">
        <v>435.15</v>
      </c>
      <c r="I47" s="251">
        <v>428.75</v>
      </c>
      <c r="J47" s="251">
        <v>439.31</v>
      </c>
      <c r="K47" s="251">
        <v>447.43</v>
      </c>
      <c r="L47" s="251">
        <v>442.6</v>
      </c>
      <c r="M47" s="251">
        <v>442.6</v>
      </c>
      <c r="N47" s="251">
        <v>438.97</v>
      </c>
      <c r="O47" s="251">
        <v>448.98</v>
      </c>
      <c r="P47" s="251">
        <v>433.72</v>
      </c>
      <c r="Q47" s="251">
        <v>452.42</v>
      </c>
      <c r="R47" s="251">
        <v>461.51</v>
      </c>
      <c r="S47" s="251">
        <v>468.37</v>
      </c>
      <c r="T47" s="251">
        <v>444.26</v>
      </c>
      <c r="U47" s="251">
        <v>462.07</v>
      </c>
      <c r="V47" s="251">
        <v>445.91</v>
      </c>
      <c r="W47" s="252">
        <v>401.99</v>
      </c>
      <c r="X47" s="251">
        <v>408.92</v>
      </c>
      <c r="Y47" s="251">
        <v>401.25</v>
      </c>
      <c r="Z47" s="245">
        <f ca="1">[1]ExtEntry!$F45</f>
        <v>401.25</v>
      </c>
      <c r="AA47" s="268"/>
      <c r="AB47" s="378">
        <v>1</v>
      </c>
      <c r="AC47" s="378">
        <v>1</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45980.727241631248</v>
      </c>
      <c r="F48" s="251">
        <v>302.89</v>
      </c>
      <c r="G48" s="251">
        <v>295.94</v>
      </c>
      <c r="H48" s="251">
        <v>304.70999999999998</v>
      </c>
      <c r="I48" s="251">
        <v>299.83999999999997</v>
      </c>
      <c r="J48" s="251">
        <v>295.08</v>
      </c>
      <c r="K48" s="251">
        <v>297.7</v>
      </c>
      <c r="L48" s="251">
        <v>294.51</v>
      </c>
      <c r="M48" s="251">
        <v>294.51</v>
      </c>
      <c r="N48" s="251">
        <v>288.88</v>
      </c>
      <c r="O48" s="251">
        <v>290.73</v>
      </c>
      <c r="P48" s="251">
        <v>294.95999999999998</v>
      </c>
      <c r="Q48" s="251">
        <v>298.25</v>
      </c>
      <c r="R48" s="251">
        <v>305.08999999999997</v>
      </c>
      <c r="S48" s="251">
        <v>304.86</v>
      </c>
      <c r="T48" s="251">
        <v>294.05</v>
      </c>
      <c r="U48" s="251">
        <v>293.64</v>
      </c>
      <c r="V48" s="251">
        <v>289.24</v>
      </c>
      <c r="W48" s="252">
        <v>282.2</v>
      </c>
      <c r="X48" s="251">
        <v>282.01</v>
      </c>
      <c r="Y48" s="251">
        <v>277.91000000000003</v>
      </c>
      <c r="Z48" s="245">
        <f ca="1">[1]ExtEntry!$F46</f>
        <v>277.91000000000003</v>
      </c>
      <c r="AA48" s="268"/>
      <c r="AB48" s="378">
        <v>4500</v>
      </c>
      <c r="AC48" s="378">
        <v>4500</v>
      </c>
      <c r="AD48" s="378">
        <v>4500</v>
      </c>
      <c r="AE48" s="378">
        <v>4000</v>
      </c>
      <c r="AF48" s="378">
        <v>4000</v>
      </c>
      <c r="AG48" s="378">
        <v>4000</v>
      </c>
      <c r="AH48" s="378">
        <v>4800</v>
      </c>
      <c r="AI48" s="378">
        <v>4800</v>
      </c>
      <c r="AJ48" s="378">
        <v>4800</v>
      </c>
      <c r="AK48" s="378">
        <v>4800</v>
      </c>
      <c r="AL48" s="378">
        <v>4800</v>
      </c>
      <c r="AM48" s="378">
        <v>4800</v>
      </c>
      <c r="AN48" s="378">
        <v>4800</v>
      </c>
      <c r="AO48" s="378">
        <v>4800</v>
      </c>
      <c r="AP48" s="378">
        <v>4800</v>
      </c>
      <c r="AQ48" s="378">
        <v>4500</v>
      </c>
      <c r="AR48" s="378">
        <v>4500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45980.716177928123</v>
      </c>
      <c r="F49" s="251">
        <v>31.9</v>
      </c>
      <c r="G49" s="251">
        <v>31.55</v>
      </c>
      <c r="H49" s="251">
        <v>31.6</v>
      </c>
      <c r="I49" s="251">
        <v>31.75</v>
      </c>
      <c r="J49" s="251">
        <v>31.55</v>
      </c>
      <c r="K49" s="251">
        <v>33</v>
      </c>
      <c r="L49" s="251">
        <v>31.7</v>
      </c>
      <c r="M49" s="251">
        <v>31.7</v>
      </c>
      <c r="N49" s="251">
        <v>31.8</v>
      </c>
      <c r="O49" s="251">
        <v>30.95</v>
      </c>
      <c r="P49" s="251">
        <v>30.15</v>
      </c>
      <c r="Q49" s="251">
        <v>30.85</v>
      </c>
      <c r="R49" s="251">
        <v>30.5</v>
      </c>
      <c r="S49" s="251">
        <v>29.55</v>
      </c>
      <c r="T49" s="251">
        <v>29.6</v>
      </c>
      <c r="U49" s="251">
        <v>29.5</v>
      </c>
      <c r="V49" s="251">
        <v>27.95</v>
      </c>
      <c r="W49" s="252">
        <v>28.65</v>
      </c>
      <c r="X49" s="251">
        <v>30.45</v>
      </c>
      <c r="Y49" s="251">
        <v>30.45</v>
      </c>
      <c r="Z49" s="245">
        <f ca="1">[1]ExtEntry!$F47</f>
        <v>30.45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45980.694444444445</v>
      </c>
      <c r="F50" s="251">
        <v>5.45</v>
      </c>
      <c r="G50" s="251">
        <v>5.36</v>
      </c>
      <c r="H50" s="251">
        <v>5.72</v>
      </c>
      <c r="I50" s="251">
        <v>5.61</v>
      </c>
      <c r="J50" s="251">
        <v>5.65</v>
      </c>
      <c r="K50" s="251">
        <v>5.6</v>
      </c>
      <c r="L50" s="251">
        <v>5.6</v>
      </c>
      <c r="M50" s="251">
        <v>5.6</v>
      </c>
      <c r="N50" s="251">
        <v>5.55</v>
      </c>
      <c r="O50" s="251">
        <v>5.8</v>
      </c>
      <c r="P50" s="251">
        <v>6</v>
      </c>
      <c r="Q50" s="251">
        <v>6.22</v>
      </c>
      <c r="R50" s="251">
        <v>5.84</v>
      </c>
      <c r="S50" s="251">
        <v>6.13</v>
      </c>
      <c r="T50" s="251">
        <v>6</v>
      </c>
      <c r="U50" s="251">
        <v>6.4</v>
      </c>
      <c r="V50" s="251">
        <v>6.26</v>
      </c>
      <c r="W50" s="252">
        <v>6.0350000000000001</v>
      </c>
      <c r="X50" s="251">
        <v>6.29</v>
      </c>
      <c r="Y50" s="251">
        <v>6.15</v>
      </c>
      <c r="Z50" s="245">
        <f ca="1">[1]ExtEntry!$F48</f>
        <v>6.15</v>
      </c>
      <c r="AA50" s="268"/>
      <c r="AB50" s="378">
        <v>18087</v>
      </c>
      <c r="AC50" s="378">
        <v>18087</v>
      </c>
      <c r="AD50" s="378">
        <v>18087</v>
      </c>
      <c r="AE50" s="378">
        <v>18087</v>
      </c>
      <c r="AF50" s="378">
        <v>7235</v>
      </c>
      <c r="AG50" s="378">
        <v>7235</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45980.716177928123</v>
      </c>
      <c r="F51" s="251">
        <v>27.9</v>
      </c>
      <c r="G51" s="251">
        <v>27.65</v>
      </c>
      <c r="H51" s="251">
        <v>27.81</v>
      </c>
      <c r="I51" s="251">
        <v>28.16</v>
      </c>
      <c r="J51" s="251">
        <v>26.36</v>
      </c>
      <c r="K51" s="251">
        <v>27.09</v>
      </c>
      <c r="L51" s="251">
        <v>27.33</v>
      </c>
      <c r="M51" s="251">
        <v>27.33</v>
      </c>
      <c r="N51" s="251">
        <v>27.18</v>
      </c>
      <c r="O51" s="251">
        <v>27.41</v>
      </c>
      <c r="P51" s="251">
        <v>27.61</v>
      </c>
      <c r="Q51" s="251">
        <v>27.78</v>
      </c>
      <c r="R51" s="251">
        <v>27.73</v>
      </c>
      <c r="S51" s="251">
        <v>27.187999999999999</v>
      </c>
      <c r="T51" s="251">
        <v>26.82</v>
      </c>
      <c r="U51" s="251">
        <v>27.5806</v>
      </c>
      <c r="V51" s="251">
        <v>27.27</v>
      </c>
      <c r="W51" s="252">
        <v>28.37</v>
      </c>
      <c r="X51" s="251">
        <v>27.62</v>
      </c>
      <c r="Y51" s="251">
        <v>27.61</v>
      </c>
      <c r="Z51" s="245">
        <f ca="1">[1]ExtEntry!$F49</f>
        <v>27.61</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3000</v>
      </c>
      <c r="AO51" s="378">
        <v>3000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45980.694444444445</v>
      </c>
      <c r="F52" s="251">
        <v>60.5</v>
      </c>
      <c r="G52" s="251">
        <v>60.7</v>
      </c>
      <c r="H52" s="251">
        <v>60.2</v>
      </c>
      <c r="I52" s="251">
        <v>59.8</v>
      </c>
      <c r="J52" s="251">
        <v>59</v>
      </c>
      <c r="K52" s="251">
        <v>59.1</v>
      </c>
      <c r="L52" s="251">
        <v>58.7</v>
      </c>
      <c r="M52" s="251">
        <v>58.7</v>
      </c>
      <c r="N52" s="251">
        <v>60.3</v>
      </c>
      <c r="O52" s="251">
        <v>61.1</v>
      </c>
      <c r="P52" s="251">
        <v>61.3</v>
      </c>
      <c r="Q52" s="251">
        <v>61.2</v>
      </c>
      <c r="R52" s="251">
        <v>60.2</v>
      </c>
      <c r="S52" s="251">
        <v>60.1</v>
      </c>
      <c r="T52" s="251">
        <v>59.4</v>
      </c>
      <c r="U52" s="251">
        <v>59.1</v>
      </c>
      <c r="V52" s="251">
        <v>58.2</v>
      </c>
      <c r="W52" s="252">
        <v>60.2</v>
      </c>
      <c r="X52" s="251">
        <v>58.8</v>
      </c>
      <c r="Y52" s="251">
        <v>58.8</v>
      </c>
      <c r="Z52" s="245">
        <f ca="1">[1]ExtEntry!$F50</f>
        <v>58.8</v>
      </c>
      <c r="AA52" s="268"/>
      <c r="AB52" s="378">
        <v>14000</v>
      </c>
      <c r="AC52" s="378">
        <v>14000</v>
      </c>
      <c r="AD52" s="378">
        <v>15000</v>
      </c>
      <c r="AE52" s="378">
        <v>16000</v>
      </c>
      <c r="AF52" s="378">
        <v>16000</v>
      </c>
      <c r="AG52" s="378">
        <v>16000</v>
      </c>
      <c r="AH52" s="378">
        <v>16000</v>
      </c>
      <c r="AI52" s="378">
        <v>16000</v>
      </c>
      <c r="AJ52" s="378">
        <v>16000</v>
      </c>
      <c r="AK52" s="378">
        <v>16000</v>
      </c>
      <c r="AL52" s="378">
        <v>16000</v>
      </c>
      <c r="AM52" s="378">
        <v>15979</v>
      </c>
      <c r="AN52" s="378">
        <v>15979</v>
      </c>
      <c r="AO52" s="378">
        <v>15000</v>
      </c>
      <c r="AP52" s="378">
        <v>16000</v>
      </c>
      <c r="AQ52" s="378">
        <v>18000</v>
      </c>
      <c r="AR52" s="378">
        <v>20000</v>
      </c>
      <c r="AS52" s="378">
        <v>19200</v>
      </c>
      <c r="AT52" s="378">
        <v>19200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45980.727246388284</v>
      </c>
      <c r="F53" s="251">
        <v>9.86</v>
      </c>
      <c r="G53" s="251">
        <v>9.93</v>
      </c>
      <c r="H53" s="251">
        <v>9.98</v>
      </c>
      <c r="I53" s="251">
        <v>10.1</v>
      </c>
      <c r="J53" s="251">
        <v>10.17</v>
      </c>
      <c r="K53" s="251">
        <v>10.31</v>
      </c>
      <c r="L53" s="251">
        <v>10.39</v>
      </c>
      <c r="M53" s="251">
        <v>10.39</v>
      </c>
      <c r="N53" s="251">
        <v>10.41</v>
      </c>
      <c r="O53" s="251">
        <v>10.31</v>
      </c>
      <c r="P53" s="251">
        <v>10.35</v>
      </c>
      <c r="Q53" s="251">
        <v>10.42</v>
      </c>
      <c r="R53" s="251">
        <v>10.27</v>
      </c>
      <c r="S53" s="251">
        <v>10.53</v>
      </c>
      <c r="T53" s="251">
        <v>10.49</v>
      </c>
      <c r="U53" s="251">
        <v>10.75</v>
      </c>
      <c r="V53" s="251">
        <v>10.11</v>
      </c>
      <c r="W53" s="252">
        <v>10.91</v>
      </c>
      <c r="X53" s="251">
        <v>10.66</v>
      </c>
      <c r="Y53" s="251">
        <v>10.71</v>
      </c>
      <c r="Z53" s="245">
        <f ca="1">[1]ExtEntry!$F51</f>
        <v>10.71</v>
      </c>
      <c r="AA53" s="268"/>
      <c r="AB53" s="378">
        <v>10000</v>
      </c>
      <c r="AC53" s="378">
        <v>10000</v>
      </c>
      <c r="AD53" s="378">
        <v>5000</v>
      </c>
      <c r="AE53" s="378">
        <v>5000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45980.727227696094</v>
      </c>
      <c r="F55" s="251">
        <v>112.24</v>
      </c>
      <c r="G55" s="251">
        <v>112.29</v>
      </c>
      <c r="H55" s="251">
        <v>111.61</v>
      </c>
      <c r="I55" s="251">
        <v>110.64</v>
      </c>
      <c r="J55" s="251">
        <v>112.24</v>
      </c>
      <c r="K55" s="251">
        <v>112.7</v>
      </c>
      <c r="L55" s="251">
        <v>112.71</v>
      </c>
      <c r="M55" s="251">
        <v>112.71</v>
      </c>
      <c r="N55" s="251">
        <v>114.71</v>
      </c>
      <c r="O55" s="251">
        <v>115.98</v>
      </c>
      <c r="P55" s="251">
        <v>115.39</v>
      </c>
      <c r="Q55" s="251">
        <v>115.94</v>
      </c>
      <c r="R55" s="251">
        <v>116.45</v>
      </c>
      <c r="S55" s="251">
        <v>113.76</v>
      </c>
      <c r="T55" s="251">
        <v>114.14</v>
      </c>
      <c r="U55" s="251">
        <v>113.68</v>
      </c>
      <c r="V55" s="251">
        <v>114.5</v>
      </c>
      <c r="W55" s="252">
        <v>117.76</v>
      </c>
      <c r="X55" s="251">
        <v>117.68</v>
      </c>
      <c r="Y55" s="251">
        <v>119.03</v>
      </c>
      <c r="Z55" s="245">
        <f ca="1">[1]ExtEntry!$F53</f>
        <v>119.03</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45980.726906435157</v>
      </c>
      <c r="F56" s="251">
        <v>6.49</v>
      </c>
      <c r="G56" s="251">
        <v>6.71</v>
      </c>
      <c r="H56" s="251">
        <v>6.76</v>
      </c>
      <c r="I56" s="251">
        <v>6.72</v>
      </c>
      <c r="J56" s="251">
        <v>6.61</v>
      </c>
      <c r="K56" s="251">
        <v>6.73</v>
      </c>
      <c r="L56" s="251">
        <v>6.78</v>
      </c>
      <c r="M56" s="251">
        <v>6.78</v>
      </c>
      <c r="N56" s="251">
        <v>6.55</v>
      </c>
      <c r="O56" s="251">
        <v>6.61</v>
      </c>
      <c r="P56" s="251">
        <v>6.67</v>
      </c>
      <c r="Q56" s="251">
        <v>6.64</v>
      </c>
      <c r="R56" s="251">
        <v>6.65</v>
      </c>
      <c r="S56" s="251">
        <v>6.6</v>
      </c>
      <c r="T56" s="251">
        <v>6.37</v>
      </c>
      <c r="U56" s="251">
        <v>6.74</v>
      </c>
      <c r="V56" s="251">
        <v>6.87</v>
      </c>
      <c r="W56" s="252">
        <v>6.3</v>
      </c>
      <c r="X56" s="251">
        <v>5.96</v>
      </c>
      <c r="Y56" s="251">
        <v>5.82</v>
      </c>
      <c r="Z56" s="245">
        <f ca="1">[1]ExtEntry!$F54</f>
        <v>5.82</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45980.708333333336</v>
      </c>
      <c r="F57" s="251">
        <v>0.83799999999999997</v>
      </c>
      <c r="G57" s="251">
        <v>0.84</v>
      </c>
      <c r="H57" s="251">
        <v>0.83799999999999997</v>
      </c>
      <c r="I57" s="251">
        <v>0.83</v>
      </c>
      <c r="J57" s="251">
        <v>0.83</v>
      </c>
      <c r="K57" s="251">
        <v>0.82</v>
      </c>
      <c r="L57" s="251">
        <v>0.83</v>
      </c>
      <c r="M57" s="251">
        <v>0.83</v>
      </c>
      <c r="N57" s="251">
        <v>0.84</v>
      </c>
      <c r="O57" s="251">
        <v>0.83799999999999997</v>
      </c>
      <c r="P57" s="251">
        <v>0.82599999999999996</v>
      </c>
      <c r="Q57" s="251">
        <v>0.81799999999999995</v>
      </c>
      <c r="R57" s="251">
        <v>0.78600000000000003</v>
      </c>
      <c r="S57" s="251">
        <v>0.79</v>
      </c>
      <c r="T57" s="251">
        <v>0.78800000000000003</v>
      </c>
      <c r="U57" s="251">
        <v>0.79</v>
      </c>
      <c r="V57" s="251">
        <v>0.78200000000000003</v>
      </c>
      <c r="W57" s="252">
        <v>0.72</v>
      </c>
      <c r="X57" s="251">
        <v>0.68</v>
      </c>
      <c r="Y57" s="251">
        <v>0.68</v>
      </c>
      <c r="Z57" s="245">
        <f ca="1">[1]ExtEntry!$F55</f>
        <v>0.68</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45980.727311353905</v>
      </c>
      <c r="F58" s="251">
        <v>3.11</v>
      </c>
      <c r="G58" s="251">
        <v>3.08</v>
      </c>
      <c r="H58" s="251">
        <v>3.27</v>
      </c>
      <c r="I58" s="251">
        <v>3.26</v>
      </c>
      <c r="J58" s="251">
        <v>3.11</v>
      </c>
      <c r="K58" s="251">
        <v>3.78</v>
      </c>
      <c r="L58" s="251">
        <v>3.38</v>
      </c>
      <c r="M58" s="251">
        <v>3.38</v>
      </c>
      <c r="N58" s="251">
        <v>3.01</v>
      </c>
      <c r="O58" s="251">
        <v>3.08</v>
      </c>
      <c r="P58" s="251">
        <v>3.13</v>
      </c>
      <c r="Q58" s="251">
        <v>3.07</v>
      </c>
      <c r="R58" s="251">
        <v>3.03</v>
      </c>
      <c r="S58" s="251">
        <v>2.76</v>
      </c>
      <c r="T58" s="251">
        <v>2.62</v>
      </c>
      <c r="U58" s="251">
        <v>2.6</v>
      </c>
      <c r="V58" s="251">
        <v>2.25</v>
      </c>
      <c r="W58" s="252">
        <v>2.16</v>
      </c>
      <c r="X58" s="251">
        <v>2.08</v>
      </c>
      <c r="Y58" s="251">
        <v>2.08</v>
      </c>
      <c r="Z58" s="245">
        <f ca="1">[1]ExtEntry!$F56</f>
        <v>2.08</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45980.708333333336</v>
      </c>
      <c r="F59" s="251">
        <v>28.81</v>
      </c>
      <c r="G59" s="251">
        <v>28.35</v>
      </c>
      <c r="H59" s="251">
        <v>28.88</v>
      </c>
      <c r="I59" s="251">
        <v>29.38</v>
      </c>
      <c r="J59" s="251">
        <v>29.33</v>
      </c>
      <c r="K59" s="251">
        <v>29.78</v>
      </c>
      <c r="L59" s="251">
        <v>30.27</v>
      </c>
      <c r="M59" s="251">
        <v>30.27</v>
      </c>
      <c r="N59" s="251">
        <v>30.12</v>
      </c>
      <c r="O59" s="251">
        <v>26.21</v>
      </c>
      <c r="P59" s="251">
        <v>25.69</v>
      </c>
      <c r="Q59" s="251">
        <v>25.41</v>
      </c>
      <c r="R59" s="251">
        <v>24.53</v>
      </c>
      <c r="S59" s="251">
        <v>24.36</v>
      </c>
      <c r="T59" s="251">
        <v>24.04</v>
      </c>
      <c r="U59" s="251">
        <v>23.98</v>
      </c>
      <c r="V59" s="251">
        <v>23.26</v>
      </c>
      <c r="W59" s="252">
        <v>24.23</v>
      </c>
      <c r="X59" s="251">
        <v>23.18</v>
      </c>
      <c r="Y59" s="251">
        <v>23.18</v>
      </c>
      <c r="Z59" s="245">
        <f ca="1">[1]ExtEntry!$F57</f>
        <v>23.18</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45980.71597222222</v>
      </c>
      <c r="F60" s="251">
        <v>16.260000000000002</v>
      </c>
      <c r="G60" s="251">
        <v>16.37</v>
      </c>
      <c r="H60" s="251">
        <v>16.2</v>
      </c>
      <c r="I60" s="251">
        <v>16.25</v>
      </c>
      <c r="J60" s="251">
        <v>16.27</v>
      </c>
      <c r="K60" s="251">
        <v>16.420000000000002</v>
      </c>
      <c r="L60" s="251">
        <v>16.364999999999998</v>
      </c>
      <c r="M60" s="251">
        <v>16.364999999999998</v>
      </c>
      <c r="N60" s="251">
        <v>16.100000000000001</v>
      </c>
      <c r="O60" s="251">
        <v>15.98</v>
      </c>
      <c r="P60" s="251">
        <v>16.059999999999999</v>
      </c>
      <c r="Q60" s="251">
        <v>16.094999999999999</v>
      </c>
      <c r="R60" s="251">
        <v>16.305</v>
      </c>
      <c r="S60" s="251">
        <v>15.914999999999999</v>
      </c>
      <c r="T60" s="251">
        <v>15.75</v>
      </c>
      <c r="U60" s="251">
        <v>16.05</v>
      </c>
      <c r="V60" s="251">
        <v>16.079999999999998</v>
      </c>
      <c r="W60" s="252">
        <v>15.225</v>
      </c>
      <c r="X60" s="251">
        <v>15.34</v>
      </c>
      <c r="Y60" s="251">
        <v>15.34</v>
      </c>
      <c r="Z60" s="245">
        <f ca="1">[1]ExtEntry!$F58</f>
        <v>15.34</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45980.708333333336</v>
      </c>
      <c r="F61" s="251">
        <v>14.972</v>
      </c>
      <c r="G61" s="251">
        <v>14.7</v>
      </c>
      <c r="H61" s="251">
        <v>14.722</v>
      </c>
      <c r="I61" s="251">
        <v>14.766</v>
      </c>
      <c r="J61" s="251">
        <v>14.843999999999999</v>
      </c>
      <c r="K61" s="251">
        <v>14.875999999999999</v>
      </c>
      <c r="L61" s="251">
        <v>14.9</v>
      </c>
      <c r="M61" s="251">
        <v>14.9</v>
      </c>
      <c r="N61" s="251">
        <v>15.125999999999999</v>
      </c>
      <c r="O61" s="251">
        <v>15.586</v>
      </c>
      <c r="P61" s="251">
        <v>15.836</v>
      </c>
      <c r="Q61" s="251">
        <v>15.942</v>
      </c>
      <c r="R61" s="251">
        <v>15.962</v>
      </c>
      <c r="S61" s="251">
        <v>15.952</v>
      </c>
      <c r="T61" s="251">
        <v>15.91</v>
      </c>
      <c r="U61" s="251">
        <v>15.968</v>
      </c>
      <c r="V61" s="251">
        <v>15.948</v>
      </c>
      <c r="W61" s="252">
        <v>16.457999999999998</v>
      </c>
      <c r="X61" s="251">
        <v>16.329999999999998</v>
      </c>
      <c r="Y61" s="251">
        <v>16.329999999999998</v>
      </c>
      <c r="Z61" s="245">
        <f ca="1">[1]ExtEntry!$F59</f>
        <v>16.329999999999998</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45980.708333333336</v>
      </c>
      <c r="F63" s="251">
        <v>53.72</v>
      </c>
      <c r="G63" s="251">
        <v>55.02</v>
      </c>
      <c r="H63" s="251">
        <v>55.56</v>
      </c>
      <c r="I63" s="251">
        <v>56.52</v>
      </c>
      <c r="J63" s="251">
        <v>53.64</v>
      </c>
      <c r="K63" s="251">
        <v>53</v>
      </c>
      <c r="L63" s="251">
        <v>53.12</v>
      </c>
      <c r="M63" s="251">
        <v>53.12</v>
      </c>
      <c r="N63" s="251">
        <v>52.88</v>
      </c>
      <c r="O63" s="251">
        <v>53.58</v>
      </c>
      <c r="P63" s="251">
        <v>53.68</v>
      </c>
      <c r="Q63" s="251">
        <v>53.6</v>
      </c>
      <c r="R63" s="251">
        <v>54.96</v>
      </c>
      <c r="S63" s="251">
        <v>54.76</v>
      </c>
      <c r="T63" s="251">
        <v>54.58</v>
      </c>
      <c r="U63" s="251">
        <v>54.64</v>
      </c>
      <c r="V63" s="251">
        <v>55.8</v>
      </c>
      <c r="W63" s="252">
        <v>59.16</v>
      </c>
      <c r="X63" s="251">
        <v>56.48</v>
      </c>
      <c r="Y63" s="251">
        <v>56.48</v>
      </c>
      <c r="Z63" s="245">
        <f ca="1">[1]ExtEntry!$F61</f>
        <v>56.48</v>
      </c>
      <c r="AA63" s="268"/>
      <c r="AB63" s="378">
        <v>6000</v>
      </c>
      <c r="AC63" s="378">
        <v>6000</v>
      </c>
      <c r="AD63" s="378">
        <v>6000</v>
      </c>
      <c r="AE63" s="378">
        <v>7000</v>
      </c>
      <c r="AF63" s="378">
        <v>7000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45980.708333333336</v>
      </c>
      <c r="F64" s="251">
        <v>13.43</v>
      </c>
      <c r="G64" s="251">
        <v>13.57</v>
      </c>
      <c r="H64" s="251">
        <v>14.015000000000001</v>
      </c>
      <c r="I64" s="251">
        <v>14.085000000000001</v>
      </c>
      <c r="J64" s="251">
        <v>14.335000000000001</v>
      </c>
      <c r="K64" s="251">
        <v>14.16</v>
      </c>
      <c r="L64" s="251">
        <v>14.125</v>
      </c>
      <c r="M64" s="251">
        <v>14.125</v>
      </c>
      <c r="N64" s="251">
        <v>14.07</v>
      </c>
      <c r="O64" s="251">
        <v>14.15</v>
      </c>
      <c r="P64" s="251">
        <v>13.92</v>
      </c>
      <c r="Q64" s="251">
        <v>13.85</v>
      </c>
      <c r="R64" s="251">
        <v>13.715</v>
      </c>
      <c r="S64" s="251">
        <v>13.855</v>
      </c>
      <c r="T64" s="251">
        <v>13.715</v>
      </c>
      <c r="U64" s="251">
        <v>13.715</v>
      </c>
      <c r="V64" s="251">
        <v>13.94</v>
      </c>
      <c r="W64" s="252">
        <v>14.33</v>
      </c>
      <c r="X64" s="251">
        <v>13.96</v>
      </c>
      <c r="Y64" s="251">
        <v>13.96</v>
      </c>
      <c r="Z64" s="245">
        <f ca="1">[1]ExtEntry!$F62</f>
        <v>13.96</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45980.714583333334</v>
      </c>
      <c r="F65" s="251">
        <v>40.96</v>
      </c>
      <c r="G65" s="251">
        <v>40.58</v>
      </c>
      <c r="H65" s="251">
        <v>40.770000000000003</v>
      </c>
      <c r="I65" s="251">
        <v>41.38</v>
      </c>
      <c r="J65" s="251">
        <v>41.06</v>
      </c>
      <c r="K65" s="251">
        <v>40.92</v>
      </c>
      <c r="L65" s="251">
        <v>40.47</v>
      </c>
      <c r="M65" s="251">
        <v>40.47</v>
      </c>
      <c r="N65" s="251">
        <v>40.22</v>
      </c>
      <c r="O65" s="251">
        <v>40</v>
      </c>
      <c r="P65" s="251">
        <v>40.479999999999997</v>
      </c>
      <c r="Q65" s="251">
        <v>40.5</v>
      </c>
      <c r="R65" s="251">
        <v>42.3</v>
      </c>
      <c r="S65" s="251">
        <v>42.8</v>
      </c>
      <c r="T65" s="251">
        <v>42.34</v>
      </c>
      <c r="U65" s="251">
        <v>42.61</v>
      </c>
      <c r="V65" s="251">
        <v>43.09</v>
      </c>
      <c r="W65" s="252">
        <v>45.47</v>
      </c>
      <c r="X65" s="251">
        <v>44.67</v>
      </c>
      <c r="Y65" s="251">
        <v>44.67</v>
      </c>
      <c r="Z65" s="245">
        <f ca="1">[1]ExtEntry!$F63</f>
        <v>44.67</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45980.697916666664</v>
      </c>
      <c r="F66" s="251">
        <v>231.4</v>
      </c>
      <c r="G66" s="251">
        <v>232.7</v>
      </c>
      <c r="H66" s="251">
        <v>234.2</v>
      </c>
      <c r="I66" s="251">
        <v>233.2</v>
      </c>
      <c r="J66" s="251">
        <v>230.95</v>
      </c>
      <c r="K66" s="251">
        <v>238.6</v>
      </c>
      <c r="L66" s="251">
        <v>240.4</v>
      </c>
      <c r="M66" s="251">
        <v>240.4</v>
      </c>
      <c r="N66" s="251">
        <v>236.85</v>
      </c>
      <c r="O66" s="251">
        <v>242</v>
      </c>
      <c r="P66" s="251">
        <v>233.35</v>
      </c>
      <c r="Q66" s="251">
        <v>235.55</v>
      </c>
      <c r="R66" s="251">
        <v>224.3</v>
      </c>
      <c r="S66" s="251">
        <v>228.85</v>
      </c>
      <c r="T66" s="251">
        <v>226.05</v>
      </c>
      <c r="U66" s="251">
        <v>227.95</v>
      </c>
      <c r="V66" s="251">
        <v>217.95</v>
      </c>
      <c r="W66" s="252">
        <v>218.1</v>
      </c>
      <c r="X66" s="251">
        <v>205.35</v>
      </c>
      <c r="Y66" s="251">
        <v>205.35</v>
      </c>
      <c r="Z66" s="245">
        <f ca="1">[1]ExtEntry!$F64</f>
        <v>205.35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45980.711805555555</v>
      </c>
      <c r="F67" s="251">
        <v>31.9</v>
      </c>
      <c r="G67" s="251">
        <v>31.55</v>
      </c>
      <c r="H67" s="251">
        <v>31.6</v>
      </c>
      <c r="I67" s="251">
        <v>31.75</v>
      </c>
      <c r="J67" s="251">
        <v>31.55</v>
      </c>
      <c r="K67" s="251">
        <v>33</v>
      </c>
      <c r="L67" s="251">
        <v>31.7</v>
      </c>
      <c r="M67" s="251">
        <v>31.7</v>
      </c>
      <c r="N67" s="251">
        <v>31.8</v>
      </c>
      <c r="O67" s="251">
        <v>30.95</v>
      </c>
      <c r="P67" s="251">
        <v>30.15</v>
      </c>
      <c r="Q67" s="251">
        <v>30.85</v>
      </c>
      <c r="R67" s="251">
        <v>30.5</v>
      </c>
      <c r="S67" s="251">
        <v>29.55</v>
      </c>
      <c r="T67" s="251">
        <v>29.6</v>
      </c>
      <c r="U67" s="251">
        <v>29.5</v>
      </c>
      <c r="V67" s="251">
        <v>27.95</v>
      </c>
      <c r="W67" s="252">
        <v>28.65</v>
      </c>
      <c r="X67" s="251">
        <v>30.45</v>
      </c>
      <c r="Y67" s="251">
        <v>30.45</v>
      </c>
      <c r="Z67" s="245">
        <f ca="1">[1]ExtEntry!$F65</f>
        <v>30.45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45980.727273888282</v>
      </c>
      <c r="F68" s="251">
        <v>247.66</v>
      </c>
      <c r="G68" s="251">
        <v>247.77</v>
      </c>
      <c r="H68" s="251">
        <v>249.34</v>
      </c>
      <c r="I68" s="251">
        <v>247.45</v>
      </c>
      <c r="J68" s="251">
        <v>252.29</v>
      </c>
      <c r="K68" s="251">
        <v>262.24</v>
      </c>
      <c r="L68" s="251">
        <v>262.77</v>
      </c>
      <c r="M68" s="251">
        <v>262.77</v>
      </c>
      <c r="N68" s="251">
        <v>258.45</v>
      </c>
      <c r="O68" s="251">
        <v>259.58</v>
      </c>
      <c r="P68" s="251">
        <v>262.82</v>
      </c>
      <c r="Q68" s="251">
        <v>268.81</v>
      </c>
      <c r="R68" s="251">
        <v>269.7</v>
      </c>
      <c r="S68" s="251">
        <v>269.05</v>
      </c>
      <c r="T68" s="251">
        <v>270.04000000000002</v>
      </c>
      <c r="U68" s="251">
        <v>270.14</v>
      </c>
      <c r="V68" s="251">
        <v>269.77</v>
      </c>
      <c r="W68" s="252">
        <v>272.95</v>
      </c>
      <c r="X68" s="251">
        <v>267.45999999999998</v>
      </c>
      <c r="Y68" s="251">
        <v>267.44</v>
      </c>
      <c r="Z68" s="245">
        <f ca="1">[1]ExtEntry!$F66</f>
        <v>267.44</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45980.727355751565</v>
      </c>
      <c r="F69" s="251">
        <v>220.07</v>
      </c>
      <c r="G69" s="251">
        <v>216.39</v>
      </c>
      <c r="H69" s="251">
        <v>215.57</v>
      </c>
      <c r="I69" s="251">
        <v>214.47</v>
      </c>
      <c r="J69" s="251">
        <v>213.04</v>
      </c>
      <c r="K69" s="251">
        <v>216.48</v>
      </c>
      <c r="L69" s="251">
        <v>222.03</v>
      </c>
      <c r="M69" s="251">
        <v>222.03</v>
      </c>
      <c r="N69" s="251">
        <v>217.95</v>
      </c>
      <c r="O69" s="251">
        <v>221.09</v>
      </c>
      <c r="P69" s="251">
        <v>224.21</v>
      </c>
      <c r="Q69" s="251">
        <v>226.97</v>
      </c>
      <c r="R69" s="251">
        <v>230.3</v>
      </c>
      <c r="S69" s="251">
        <v>254</v>
      </c>
      <c r="T69" s="251">
        <v>249.32</v>
      </c>
      <c r="U69" s="251">
        <v>250.2</v>
      </c>
      <c r="V69" s="251">
        <v>243.04</v>
      </c>
      <c r="W69" s="252">
        <v>237.58</v>
      </c>
      <c r="X69" s="251">
        <v>232.87</v>
      </c>
      <c r="Y69" s="251">
        <v>222.55</v>
      </c>
      <c r="Z69" s="245">
        <f ca="1">[1]ExtEntry!$F67</f>
        <v>222.55</v>
      </c>
      <c r="AA69" s="268"/>
      <c r="AB69" s="378">
        <v>2000</v>
      </c>
      <c r="AC69" s="378">
        <v>2000</v>
      </c>
      <c r="AD69" s="378">
        <v>2000</v>
      </c>
      <c r="AE69" s="378">
        <v>2000</v>
      </c>
      <c r="AF69" s="378">
        <v>2000</v>
      </c>
      <c r="AG69" s="378">
        <v>1500</v>
      </c>
      <c r="AH69" s="378">
        <v>1500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45980.708333333336</v>
      </c>
      <c r="F70" s="251">
        <v>844</v>
      </c>
      <c r="G70" s="251">
        <v>846.6</v>
      </c>
      <c r="H70" s="251">
        <v>873</v>
      </c>
      <c r="I70" s="251">
        <v>877.4</v>
      </c>
      <c r="J70" s="251">
        <v>875.7</v>
      </c>
      <c r="K70" s="251">
        <v>899</v>
      </c>
      <c r="L70" s="251">
        <v>889.8</v>
      </c>
      <c r="M70" s="251">
        <v>889.8</v>
      </c>
      <c r="N70" s="251">
        <v>870.1</v>
      </c>
      <c r="O70" s="251">
        <v>887.7</v>
      </c>
      <c r="P70" s="251">
        <v>894.4</v>
      </c>
      <c r="Q70" s="251">
        <v>906.5</v>
      </c>
      <c r="R70" s="251">
        <v>919.4</v>
      </c>
      <c r="S70" s="251">
        <v>926.5</v>
      </c>
      <c r="T70" s="251">
        <v>918</v>
      </c>
      <c r="U70" s="251">
        <v>906.6</v>
      </c>
      <c r="V70" s="251">
        <v>895.3</v>
      </c>
      <c r="W70" s="252">
        <v>881.5</v>
      </c>
      <c r="X70" s="251">
        <v>865.6</v>
      </c>
      <c r="Y70" s="251">
        <v>865.6</v>
      </c>
      <c r="Z70" s="245">
        <f ca="1">[1]ExtEntry!$F68</f>
        <v>865.6</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45980.727311353905</v>
      </c>
      <c r="F71" s="251">
        <v>3.11</v>
      </c>
      <c r="G71" s="251">
        <v>3.08</v>
      </c>
      <c r="H71" s="251">
        <v>3.27</v>
      </c>
      <c r="I71" s="251">
        <v>3.26</v>
      </c>
      <c r="J71" s="251">
        <v>3.11</v>
      </c>
      <c r="K71" s="251">
        <v>3.78</v>
      </c>
      <c r="L71" s="251">
        <v>3.38</v>
      </c>
      <c r="M71" s="251">
        <v>3.38</v>
      </c>
      <c r="N71" s="251">
        <v>3.01</v>
      </c>
      <c r="O71" s="251">
        <v>3.08</v>
      </c>
      <c r="P71" s="251">
        <v>3.13</v>
      </c>
      <c r="Q71" s="251">
        <v>3.07</v>
      </c>
      <c r="R71" s="251">
        <v>3.03</v>
      </c>
      <c r="S71" s="251">
        <v>2.76</v>
      </c>
      <c r="T71" s="251">
        <v>2.62</v>
      </c>
      <c r="U71" s="251">
        <v>2.6</v>
      </c>
      <c r="V71" s="251">
        <v>2.25</v>
      </c>
      <c r="W71" s="252">
        <v>2.16</v>
      </c>
      <c r="X71" s="251">
        <v>2.08</v>
      </c>
      <c r="Y71" s="251">
        <v>2.08</v>
      </c>
      <c r="Z71" s="245">
        <f ca="1">[1]ExtEntry!$F69</f>
        <v>2.08</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45980.72734399297</v>
      </c>
      <c r="F72" s="251">
        <v>110.27</v>
      </c>
      <c r="G72" s="251">
        <v>111.17</v>
      </c>
      <c r="H72" s="251">
        <v>111.71</v>
      </c>
      <c r="I72" s="251">
        <v>109.88</v>
      </c>
      <c r="J72" s="251">
        <v>110.67</v>
      </c>
      <c r="K72" s="251">
        <v>111.96</v>
      </c>
      <c r="L72" s="251">
        <v>114.3</v>
      </c>
      <c r="M72" s="251">
        <v>114.3</v>
      </c>
      <c r="N72" s="251">
        <v>113.08</v>
      </c>
      <c r="O72" s="251">
        <v>113.03</v>
      </c>
      <c r="P72" s="251">
        <v>111.68</v>
      </c>
      <c r="Q72" s="251">
        <v>112.34</v>
      </c>
      <c r="R72" s="251">
        <v>110.24</v>
      </c>
      <c r="S72" s="251">
        <v>112.12</v>
      </c>
      <c r="T72" s="251">
        <v>111.47</v>
      </c>
      <c r="U72" s="251">
        <v>111.36</v>
      </c>
      <c r="V72" s="251">
        <v>110.49</v>
      </c>
      <c r="W72" s="252">
        <v>107.61</v>
      </c>
      <c r="X72" s="251">
        <v>105.69</v>
      </c>
      <c r="Y72" s="251">
        <v>106.28</v>
      </c>
      <c r="Z72" s="245">
        <f ca="1">[1]ExtEntry!$F70</f>
        <v>106.28</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45980.72735310156</v>
      </c>
      <c r="F73" s="251">
        <v>55.62</v>
      </c>
      <c r="G73" s="251">
        <v>57.15</v>
      </c>
      <c r="H73" s="251">
        <v>57.8</v>
      </c>
      <c r="I73" s="251">
        <v>57.34</v>
      </c>
      <c r="J73" s="251">
        <v>58.38</v>
      </c>
      <c r="K73" s="251">
        <v>58</v>
      </c>
      <c r="L73" s="251">
        <v>66.62</v>
      </c>
      <c r="M73" s="251">
        <v>66.62</v>
      </c>
      <c r="N73" s="251">
        <v>67.31</v>
      </c>
      <c r="O73" s="251">
        <v>66.849999999999994</v>
      </c>
      <c r="P73" s="251">
        <v>69.66</v>
      </c>
      <c r="Q73" s="251">
        <v>69.38</v>
      </c>
      <c r="R73" s="251">
        <v>69.13</v>
      </c>
      <c r="S73" s="251">
        <v>68.22</v>
      </c>
      <c r="T73" s="251">
        <v>66.87</v>
      </c>
      <c r="U73" s="251">
        <v>68.77</v>
      </c>
      <c r="V73" s="251">
        <v>68.84</v>
      </c>
      <c r="W73" s="252">
        <v>71.89</v>
      </c>
      <c r="X73" s="251">
        <v>67.91</v>
      </c>
      <c r="Y73" s="251">
        <v>67.930000000000007</v>
      </c>
      <c r="Z73" s="245">
        <f ca="1">[1]ExtEntry!$F71</f>
        <v>67.930000000000007</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45980.679229015623</v>
      </c>
      <c r="F74" s="251">
        <v>408.2</v>
      </c>
      <c r="G74" s="251">
        <v>408</v>
      </c>
      <c r="H74" s="251">
        <v>407.5</v>
      </c>
      <c r="I74" s="251">
        <v>406.3</v>
      </c>
      <c r="J74" s="251">
        <v>391.2</v>
      </c>
      <c r="K74" s="251">
        <v>396</v>
      </c>
      <c r="L74" s="251">
        <v>393.8</v>
      </c>
      <c r="M74" s="251">
        <v>393.8</v>
      </c>
      <c r="N74" s="251">
        <v>402.6</v>
      </c>
      <c r="O74" s="251">
        <v>403.5</v>
      </c>
      <c r="P74" s="251">
        <v>410</v>
      </c>
      <c r="Q74" s="251">
        <v>409.3</v>
      </c>
      <c r="R74" s="251">
        <v>407.7</v>
      </c>
      <c r="S74" s="251">
        <v>427.6</v>
      </c>
      <c r="T74" s="251">
        <v>422.6</v>
      </c>
      <c r="U74" s="251">
        <v>425.2</v>
      </c>
      <c r="V74" s="251">
        <v>414.1</v>
      </c>
      <c r="W74" s="252">
        <v>395.8</v>
      </c>
      <c r="X74" s="251">
        <v>371.3</v>
      </c>
      <c r="Y74" s="251">
        <v>371.3</v>
      </c>
      <c r="Z74" s="245">
        <f ca="1">[1]ExtEntry!$F72</f>
        <v>371.3</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45980.727279837498</v>
      </c>
      <c r="F75" s="251">
        <v>26.74</v>
      </c>
      <c r="G75" s="251">
        <v>26.25</v>
      </c>
      <c r="H75" s="251">
        <v>27.72</v>
      </c>
      <c r="I75" s="251">
        <v>27.14</v>
      </c>
      <c r="J75" s="251">
        <v>26.01</v>
      </c>
      <c r="K75" s="251">
        <v>27.24</v>
      </c>
      <c r="L75" s="251">
        <v>27.49</v>
      </c>
      <c r="M75" s="251">
        <v>27.49</v>
      </c>
      <c r="N75" s="251">
        <v>26.85</v>
      </c>
      <c r="O75" s="251">
        <v>26.25</v>
      </c>
      <c r="P75" s="251">
        <v>26.74</v>
      </c>
      <c r="Q75" s="251">
        <v>26.66</v>
      </c>
      <c r="R75" s="251">
        <v>24.7</v>
      </c>
      <c r="S75" s="251">
        <v>24.91</v>
      </c>
      <c r="T75" s="251">
        <v>23.75</v>
      </c>
      <c r="U75" s="251">
        <v>23.56</v>
      </c>
      <c r="V75" s="251">
        <v>24.33</v>
      </c>
      <c r="W75" s="252">
        <v>24.96</v>
      </c>
      <c r="X75" s="251">
        <v>24.76</v>
      </c>
      <c r="Y75" s="251">
        <v>24.92</v>
      </c>
      <c r="Z75" s="245">
        <f ca="1">[1]ExtEntry!$F73</f>
        <v>24.92</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45980.727097395313</v>
      </c>
      <c r="F76" s="251">
        <v>2.23</v>
      </c>
      <c r="G76" s="251">
        <v>2.27</v>
      </c>
      <c r="H76" s="251">
        <v>2.16</v>
      </c>
      <c r="I76" s="251">
        <v>1.91</v>
      </c>
      <c r="J76" s="251">
        <v>1.82</v>
      </c>
      <c r="K76" s="251">
        <v>1.89</v>
      </c>
      <c r="L76" s="251">
        <v>1.77</v>
      </c>
      <c r="M76" s="251">
        <v>1.77</v>
      </c>
      <c r="N76" s="251">
        <v>1.79</v>
      </c>
      <c r="O76" s="251">
        <v>1.79</v>
      </c>
      <c r="P76" s="251">
        <v>1.93</v>
      </c>
      <c r="Q76" s="251">
        <v>1.82</v>
      </c>
      <c r="R76" s="251">
        <v>1.69</v>
      </c>
      <c r="S76" s="251">
        <v>1.56</v>
      </c>
      <c r="T76" s="251">
        <v>1.48</v>
      </c>
      <c r="U76" s="251">
        <v>1.64</v>
      </c>
      <c r="V76" s="251">
        <v>1.51</v>
      </c>
      <c r="W76" s="252">
        <v>1.46</v>
      </c>
      <c r="X76" s="251">
        <v>1.4</v>
      </c>
      <c r="Y76" s="251">
        <v>1.41</v>
      </c>
      <c r="Z76" s="245">
        <f ca="1">[1]ExtEntry!$F74</f>
        <v>1.41</v>
      </c>
      <c r="AA76" s="268"/>
      <c r="AB76" s="378">
        <v>132000</v>
      </c>
      <c r="AC76" s="378">
        <v>132000</v>
      </c>
      <c r="AD76" s="378">
        <v>120000</v>
      </c>
      <c r="AE76" s="378">
        <v>120000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45980.708333333336</v>
      </c>
      <c r="F77" s="251">
        <v>14.972</v>
      </c>
      <c r="G77" s="251">
        <v>14.7</v>
      </c>
      <c r="H77" s="251">
        <v>14.722</v>
      </c>
      <c r="I77" s="251">
        <v>14.766</v>
      </c>
      <c r="J77" s="251">
        <v>14.843999999999999</v>
      </c>
      <c r="K77" s="251">
        <v>14.875999999999999</v>
      </c>
      <c r="L77" s="251">
        <v>14.9</v>
      </c>
      <c r="M77" s="251">
        <v>14.9</v>
      </c>
      <c r="N77" s="251">
        <v>15.125999999999999</v>
      </c>
      <c r="O77" s="251">
        <v>15.586</v>
      </c>
      <c r="P77" s="251">
        <v>15.836</v>
      </c>
      <c r="Q77" s="251">
        <v>15.942</v>
      </c>
      <c r="R77" s="251">
        <v>15.962</v>
      </c>
      <c r="S77" s="251">
        <v>15.952</v>
      </c>
      <c r="T77" s="251">
        <v>15.91</v>
      </c>
      <c r="U77" s="251">
        <v>15.968</v>
      </c>
      <c r="V77" s="251">
        <v>15.948</v>
      </c>
      <c r="W77" s="252">
        <v>16.457999999999998</v>
      </c>
      <c r="X77" s="251">
        <v>16.329999999999998</v>
      </c>
      <c r="Y77" s="251">
        <v>16.329999999999998</v>
      </c>
      <c r="Z77" s="245">
        <f ca="1">[1]ExtEntry!$F75</f>
        <v>16.329999999999998</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17000</v>
      </c>
      <c r="AP77" s="378">
        <v>17000</v>
      </c>
      <c r="AQ77" s="378">
        <v>17000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45980.683071411717</v>
      </c>
      <c r="F78" s="251">
        <v>464</v>
      </c>
      <c r="G78" s="251">
        <v>501.2</v>
      </c>
      <c r="H78" s="251">
        <v>480.7</v>
      </c>
      <c r="I78" s="251">
        <v>489.7</v>
      </c>
      <c r="J78" s="251">
        <v>487.9</v>
      </c>
      <c r="K78" s="251">
        <v>486</v>
      </c>
      <c r="L78" s="251">
        <v>480.3</v>
      </c>
      <c r="M78" s="251">
        <v>480.3</v>
      </c>
      <c r="N78" s="251">
        <v>493.3</v>
      </c>
      <c r="O78" s="251">
        <v>479.5</v>
      </c>
      <c r="P78" s="251">
        <v>486.1</v>
      </c>
      <c r="Q78" s="251">
        <v>486</v>
      </c>
      <c r="R78" s="251">
        <v>476.5</v>
      </c>
      <c r="S78" s="251">
        <v>490.8</v>
      </c>
      <c r="T78" s="251">
        <v>480.3</v>
      </c>
      <c r="U78" s="251">
        <v>484.1</v>
      </c>
      <c r="V78" s="251">
        <v>478.5</v>
      </c>
      <c r="W78" s="252">
        <v>477</v>
      </c>
      <c r="X78" s="251">
        <v>455.8</v>
      </c>
      <c r="Y78" s="251">
        <v>455.8</v>
      </c>
      <c r="Z78" s="245">
        <f ca="1">[1]ExtEntry!$F76</f>
        <v>455.8</v>
      </c>
      <c r="AA78" s="268"/>
      <c r="AB78" s="378">
        <v>40000</v>
      </c>
      <c r="AC78" s="378">
        <v>40000</v>
      </c>
      <c r="AD78" s="378">
        <v>40000</v>
      </c>
      <c r="AE78" s="378">
        <v>40000</v>
      </c>
      <c r="AF78" s="378">
        <v>40000</v>
      </c>
      <c r="AG78" s="378">
        <v>40000</v>
      </c>
      <c r="AH78" s="378">
        <v>30000</v>
      </c>
      <c r="AI78" s="378">
        <v>30000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45980.727233506252</v>
      </c>
      <c r="F79" s="251">
        <v>11.54</v>
      </c>
      <c r="G79" s="251">
        <v>11.65</v>
      </c>
      <c r="H79" s="251">
        <v>11.76</v>
      </c>
      <c r="I79" s="251">
        <v>11.74</v>
      </c>
      <c r="J79" s="251">
        <v>11.92</v>
      </c>
      <c r="K79" s="251">
        <v>11.99</v>
      </c>
      <c r="L79" s="251">
        <v>12.56</v>
      </c>
      <c r="M79" s="251">
        <v>12.56</v>
      </c>
      <c r="N79" s="251">
        <v>12.43</v>
      </c>
      <c r="O79" s="251">
        <v>12.34</v>
      </c>
      <c r="P79" s="251">
        <v>13.84</v>
      </c>
      <c r="Q79" s="251">
        <v>13.26</v>
      </c>
      <c r="R79" s="251">
        <v>13.24</v>
      </c>
      <c r="S79" s="251">
        <v>13.01</v>
      </c>
      <c r="T79" s="251">
        <v>12.79</v>
      </c>
      <c r="U79" s="251">
        <v>13.11</v>
      </c>
      <c r="V79" s="251">
        <v>12.97</v>
      </c>
      <c r="W79" s="252">
        <v>13.28</v>
      </c>
      <c r="X79" s="251">
        <v>12.88</v>
      </c>
      <c r="Y79" s="251">
        <v>13.02</v>
      </c>
      <c r="Z79" s="245">
        <f ca="1">[1]ExtEntry!$F77</f>
        <v>13.02</v>
      </c>
      <c r="AA79" s="268"/>
      <c r="AB79" s="378">
        <v>3000</v>
      </c>
      <c r="AC79" s="378">
        <v>3000</v>
      </c>
      <c r="AD79" s="378">
        <v>3000</v>
      </c>
      <c r="AE79" s="378">
        <v>3000</v>
      </c>
      <c r="AF79" s="378">
        <v>0</v>
      </c>
      <c r="AG79" s="378">
        <v>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45980.708333333336</v>
      </c>
      <c r="F80" s="251">
        <v>53.72</v>
      </c>
      <c r="G80" s="251">
        <v>55.02</v>
      </c>
      <c r="H80" s="251">
        <v>55.56</v>
      </c>
      <c r="I80" s="251">
        <v>56.52</v>
      </c>
      <c r="J80" s="251">
        <v>53.64</v>
      </c>
      <c r="K80" s="251">
        <v>53</v>
      </c>
      <c r="L80" s="251">
        <v>53.12</v>
      </c>
      <c r="M80" s="251">
        <v>53.12</v>
      </c>
      <c r="N80" s="251">
        <v>52.88</v>
      </c>
      <c r="O80" s="251">
        <v>53.58</v>
      </c>
      <c r="P80" s="251">
        <v>53.68</v>
      </c>
      <c r="Q80" s="251">
        <v>53.6</v>
      </c>
      <c r="R80" s="251">
        <v>54.96</v>
      </c>
      <c r="S80" s="251">
        <v>54.76</v>
      </c>
      <c r="T80" s="251">
        <v>54.58</v>
      </c>
      <c r="U80" s="251">
        <v>54.64</v>
      </c>
      <c r="V80" s="251">
        <v>55.8</v>
      </c>
      <c r="W80" s="252">
        <v>59.16</v>
      </c>
      <c r="X80" s="251">
        <v>56.48</v>
      </c>
      <c r="Y80" s="251">
        <v>56.48</v>
      </c>
      <c r="Z80" s="245">
        <f ca="1">[1]ExtEntry!$F78</f>
        <v>56.48</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45980.727217303123</v>
      </c>
      <c r="F81" s="251">
        <v>174.12</v>
      </c>
      <c r="G81" s="251">
        <v>183.82</v>
      </c>
      <c r="H81" s="251">
        <v>191.67</v>
      </c>
      <c r="I81" s="251">
        <v>192.64</v>
      </c>
      <c r="J81" s="251">
        <v>190.49</v>
      </c>
      <c r="K81" s="251">
        <v>195.77</v>
      </c>
      <c r="L81" s="251">
        <v>192.5</v>
      </c>
      <c r="M81" s="251">
        <v>192.5</v>
      </c>
      <c r="N81" s="251">
        <v>183.09</v>
      </c>
      <c r="O81" s="251">
        <v>189.04</v>
      </c>
      <c r="P81" s="251">
        <v>191.95</v>
      </c>
      <c r="Q81" s="251">
        <v>190.41</v>
      </c>
      <c r="R81" s="251">
        <v>180.86</v>
      </c>
      <c r="S81" s="251">
        <v>163.75</v>
      </c>
      <c r="T81" s="251">
        <v>156.59</v>
      </c>
      <c r="U81" s="251">
        <v>159.18</v>
      </c>
      <c r="V81" s="251">
        <v>153.79</v>
      </c>
      <c r="W81" s="252">
        <v>154.63</v>
      </c>
      <c r="X81" s="251">
        <v>140.51</v>
      </c>
      <c r="Y81" s="251">
        <v>142.46</v>
      </c>
      <c r="Z81" s="245">
        <f ca="1">[1]ExtEntry!$F79</f>
        <v>142.46</v>
      </c>
      <c r="AA81" s="268"/>
      <c r="AB81" s="378">
        <v>800</v>
      </c>
      <c r="AC81" s="378">
        <v>800</v>
      </c>
      <c r="AD81" s="378">
        <v>600</v>
      </c>
      <c r="AE81" s="378">
        <v>600</v>
      </c>
      <c r="AF81" s="378">
        <v>600</v>
      </c>
      <c r="AG81" s="378">
        <v>600</v>
      </c>
      <c r="AH81" s="378">
        <v>900</v>
      </c>
      <c r="AI81" s="378">
        <v>900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45980.72729609922</v>
      </c>
      <c r="F82" s="251">
        <v>786.78</v>
      </c>
      <c r="G82" s="251">
        <v>770.76</v>
      </c>
      <c r="H82" s="251">
        <v>767.93</v>
      </c>
      <c r="I82" s="251">
        <v>758.09</v>
      </c>
      <c r="J82" s="251">
        <v>750.77</v>
      </c>
      <c r="K82" s="251">
        <v>763.32</v>
      </c>
      <c r="L82" s="251">
        <v>758.98</v>
      </c>
      <c r="M82" s="251">
        <v>758.98</v>
      </c>
      <c r="N82" s="251">
        <v>744.6</v>
      </c>
      <c r="O82" s="251">
        <v>750.78</v>
      </c>
      <c r="P82" s="251">
        <v>783.88</v>
      </c>
      <c r="Q82" s="251">
        <v>789.99</v>
      </c>
      <c r="R82" s="251">
        <v>783.06</v>
      </c>
      <c r="S82" s="251">
        <v>785.52</v>
      </c>
      <c r="T82" s="251">
        <v>790.83</v>
      </c>
      <c r="U82" s="251">
        <v>793.09</v>
      </c>
      <c r="V82" s="251">
        <v>787.58</v>
      </c>
      <c r="W82" s="252">
        <v>805.5</v>
      </c>
      <c r="X82" s="251">
        <v>775.56</v>
      </c>
      <c r="Y82" s="251">
        <v>776.3</v>
      </c>
      <c r="Z82" s="245">
        <f ca="1">[1]ExtEntry!$F80</f>
        <v>776.3</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45980.727182789065</v>
      </c>
      <c r="F83" s="251">
        <v>2.1</v>
      </c>
      <c r="G83" s="251">
        <v>2.09</v>
      </c>
      <c r="H83" s="251">
        <v>2.02</v>
      </c>
      <c r="I83" s="251">
        <v>1.89</v>
      </c>
      <c r="J83" s="251">
        <v>1.94</v>
      </c>
      <c r="K83" s="251">
        <v>2</v>
      </c>
      <c r="L83" s="251">
        <v>1.8149999999999999</v>
      </c>
      <c r="M83" s="251">
        <v>1.8149999999999999</v>
      </c>
      <c r="N83" s="251">
        <v>1.72</v>
      </c>
      <c r="O83" s="251">
        <v>1.69</v>
      </c>
      <c r="P83" s="251">
        <v>2.2200000000000002</v>
      </c>
      <c r="Q83" s="251">
        <v>2.3199999999999998</v>
      </c>
      <c r="R83" s="251">
        <v>2.09</v>
      </c>
      <c r="S83" s="251">
        <v>1.36</v>
      </c>
      <c r="T83" s="251">
        <v>1.35</v>
      </c>
      <c r="U83" s="251">
        <v>1.24</v>
      </c>
      <c r="V83" s="251">
        <v>1.1499999999999999</v>
      </c>
      <c r="W83" s="252">
        <v>1.06</v>
      </c>
      <c r="X83" s="251">
        <v>0.90739999999999998</v>
      </c>
      <c r="Y83" s="251">
        <v>0.86609999999999998</v>
      </c>
      <c r="Z83" s="245">
        <f ca="1">[1]ExtEntry!$F81</f>
        <v>0.86609999999999998</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45980.727174235937</v>
      </c>
      <c r="F84" s="251">
        <v>31.9</v>
      </c>
      <c r="G84" s="251">
        <v>33.42</v>
      </c>
      <c r="H84" s="251">
        <v>33.56</v>
      </c>
      <c r="I84" s="251">
        <v>33.29</v>
      </c>
      <c r="J84" s="251">
        <v>33.520000000000003</v>
      </c>
      <c r="K84" s="251">
        <v>34.43</v>
      </c>
      <c r="L84" s="251">
        <v>34.68</v>
      </c>
      <c r="M84" s="251">
        <v>34.68</v>
      </c>
      <c r="N84" s="251">
        <v>33.76</v>
      </c>
      <c r="O84" s="251">
        <v>31.65</v>
      </c>
      <c r="P84" s="251">
        <v>32.200000000000003</v>
      </c>
      <c r="Q84" s="251">
        <v>32.25</v>
      </c>
      <c r="R84" s="251">
        <v>30.66</v>
      </c>
      <c r="S84" s="251">
        <v>30.43</v>
      </c>
      <c r="T84" s="251">
        <v>29.67</v>
      </c>
      <c r="U84" s="251">
        <v>31.62</v>
      </c>
      <c r="V84" s="251">
        <v>31.51</v>
      </c>
      <c r="W84" s="252">
        <v>33.04</v>
      </c>
      <c r="X84" s="251">
        <v>31.85</v>
      </c>
      <c r="Y84" s="251">
        <v>31.96</v>
      </c>
      <c r="Z84" s="245">
        <f ca="1">[1]ExtEntry!$F82</f>
        <v>31.96</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45980.727312719529</v>
      </c>
      <c r="F85" s="251">
        <v>559.24</v>
      </c>
      <c r="G85" s="251">
        <v>567.91999999999996</v>
      </c>
      <c r="H85" s="251">
        <v>562.80999999999995</v>
      </c>
      <c r="I85" s="251">
        <v>549.88</v>
      </c>
      <c r="J85" s="251">
        <v>560.97</v>
      </c>
      <c r="K85" s="251">
        <v>566.36</v>
      </c>
      <c r="L85" s="251">
        <v>572.03</v>
      </c>
      <c r="M85" s="251">
        <v>572.03</v>
      </c>
      <c r="N85" s="251">
        <v>571.36</v>
      </c>
      <c r="O85" s="251">
        <v>573.77</v>
      </c>
      <c r="P85" s="251">
        <v>573.66999999999996</v>
      </c>
      <c r="Q85" s="251">
        <v>572.36</v>
      </c>
      <c r="R85" s="251">
        <v>554.58000000000004</v>
      </c>
      <c r="S85" s="251">
        <v>544.07000000000005</v>
      </c>
      <c r="T85" s="251">
        <v>552.75</v>
      </c>
      <c r="U85" s="251">
        <v>553.30999999999995</v>
      </c>
      <c r="V85" s="251">
        <v>553.28</v>
      </c>
      <c r="W85" s="252">
        <v>555.57000000000005</v>
      </c>
      <c r="X85" s="251">
        <v>536.85</v>
      </c>
      <c r="Y85" s="251">
        <v>527.58000000000004</v>
      </c>
      <c r="Z85" s="245">
        <f ca="1">[1]ExtEntry!$F83</f>
        <v>527.58000000000004</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45980.727216330466</v>
      </c>
      <c r="F86" s="251">
        <v>8.6199999999999992</v>
      </c>
      <c r="G86" s="251">
        <v>8.89</v>
      </c>
      <c r="H86" s="251">
        <v>8.91</v>
      </c>
      <c r="I86" s="251">
        <v>8.48</v>
      </c>
      <c r="J86" s="251">
        <v>8.1</v>
      </c>
      <c r="K86" s="251">
        <v>8.7899999999999991</v>
      </c>
      <c r="L86" s="251">
        <v>8.59</v>
      </c>
      <c r="M86" s="251">
        <v>8.59</v>
      </c>
      <c r="N86" s="251">
        <v>8.4600000000000009</v>
      </c>
      <c r="O86" s="251">
        <v>8.36</v>
      </c>
      <c r="P86" s="251">
        <v>8.52</v>
      </c>
      <c r="Q86" s="251">
        <v>8.6999999999999993</v>
      </c>
      <c r="R86" s="251">
        <v>8.3800000000000008</v>
      </c>
      <c r="S86" s="251">
        <v>7.91</v>
      </c>
      <c r="T86" s="251">
        <v>7.51</v>
      </c>
      <c r="U86" s="251">
        <v>7.69</v>
      </c>
      <c r="V86" s="251">
        <v>7.59</v>
      </c>
      <c r="W86" s="252">
        <v>7.06</v>
      </c>
      <c r="X86" s="251">
        <v>6.8</v>
      </c>
      <c r="Y86" s="251">
        <v>6.57</v>
      </c>
      <c r="Z86" s="245">
        <f ca="1">[1]ExtEntry!$F84</f>
        <v>6.57</v>
      </c>
      <c r="AA86" s="268"/>
      <c r="AB86" s="378">
        <v>6500</v>
      </c>
      <c r="AC86" s="378">
        <v>6500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4500</v>
      </c>
      <c r="AU86" s="378">
        <v>4500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45980.727253147656</v>
      </c>
      <c r="F87" s="251">
        <v>129.12</v>
      </c>
      <c r="G87" s="251">
        <v>130.26</v>
      </c>
      <c r="H87" s="251">
        <v>129.97</v>
      </c>
      <c r="I87" s="251">
        <v>130.77000000000001</v>
      </c>
      <c r="J87" s="251">
        <v>131.43</v>
      </c>
      <c r="K87" s="251">
        <v>131.79</v>
      </c>
      <c r="L87" s="251">
        <v>131.34</v>
      </c>
      <c r="M87" s="251">
        <v>131.34</v>
      </c>
      <c r="N87" s="251">
        <v>131.43</v>
      </c>
      <c r="O87" s="251">
        <v>131.63999999999999</v>
      </c>
      <c r="P87" s="251">
        <v>130.36000000000001</v>
      </c>
      <c r="Q87" s="251">
        <v>129.13999999999999</v>
      </c>
      <c r="R87" s="251">
        <v>121.8</v>
      </c>
      <c r="S87" s="251">
        <v>123.86</v>
      </c>
      <c r="T87" s="251">
        <v>125.01</v>
      </c>
      <c r="U87" s="251">
        <v>125.5</v>
      </c>
      <c r="V87" s="251">
        <v>126.57</v>
      </c>
      <c r="W87" s="252">
        <v>131.91</v>
      </c>
      <c r="X87" s="251">
        <v>131.55000000000001</v>
      </c>
      <c r="Y87" s="251">
        <v>128.01</v>
      </c>
      <c r="Z87" s="245">
        <f ca="1">[1]ExtEntry!$F85</f>
        <v>128.01</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45980.708333333336</v>
      </c>
      <c r="F88" s="251">
        <v>13.43</v>
      </c>
      <c r="G88" s="251">
        <v>13.57</v>
      </c>
      <c r="H88" s="251">
        <v>14.015000000000001</v>
      </c>
      <c r="I88" s="251">
        <v>14.085000000000001</v>
      </c>
      <c r="J88" s="251">
        <v>14.335000000000001</v>
      </c>
      <c r="K88" s="251">
        <v>14.16</v>
      </c>
      <c r="L88" s="251">
        <v>14.125</v>
      </c>
      <c r="M88" s="251">
        <v>14.125</v>
      </c>
      <c r="N88" s="251">
        <v>14.07</v>
      </c>
      <c r="O88" s="251">
        <v>14.15</v>
      </c>
      <c r="P88" s="251">
        <v>13.92</v>
      </c>
      <c r="Q88" s="251">
        <v>13.85</v>
      </c>
      <c r="R88" s="251">
        <v>13.715</v>
      </c>
      <c r="S88" s="251">
        <v>13.855</v>
      </c>
      <c r="T88" s="251">
        <v>13.715</v>
      </c>
      <c r="U88" s="251">
        <v>13.715</v>
      </c>
      <c r="V88" s="251">
        <v>13.94</v>
      </c>
      <c r="W88" s="252">
        <v>14.33</v>
      </c>
      <c r="X88" s="251">
        <v>13.96</v>
      </c>
      <c r="Y88" s="251">
        <v>13.96</v>
      </c>
      <c r="Z88" s="245">
        <f ca="1">[1]ExtEntry!$F86</f>
        <v>13.96</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45980.727249536722</v>
      </c>
      <c r="F89" s="251">
        <v>42.42</v>
      </c>
      <c r="G89" s="251">
        <v>42.28</v>
      </c>
      <c r="H89" s="251">
        <v>41.88</v>
      </c>
      <c r="I89" s="251">
        <v>41.04</v>
      </c>
      <c r="J89" s="251">
        <v>40.9</v>
      </c>
      <c r="K89" s="251">
        <v>41.03</v>
      </c>
      <c r="L89" s="251">
        <v>40.909999999999997</v>
      </c>
      <c r="M89" s="251">
        <v>40.909999999999997</v>
      </c>
      <c r="N89" s="251">
        <v>41.73</v>
      </c>
      <c r="O89" s="251">
        <v>42.88</v>
      </c>
      <c r="P89" s="251">
        <v>42.57</v>
      </c>
      <c r="Q89" s="251">
        <v>42.3</v>
      </c>
      <c r="R89" s="251">
        <v>40.58</v>
      </c>
      <c r="S89" s="251">
        <v>40.92</v>
      </c>
      <c r="T89" s="251">
        <v>40.08</v>
      </c>
      <c r="U89" s="251">
        <v>39.75</v>
      </c>
      <c r="V89" s="251">
        <v>40.299999999999997</v>
      </c>
      <c r="W89" s="252">
        <v>42.02</v>
      </c>
      <c r="X89" s="251">
        <v>41.69</v>
      </c>
      <c r="Y89" s="251">
        <v>42.52</v>
      </c>
      <c r="Z89" s="245">
        <f ca="1">[1]ExtEntry!$F87</f>
        <v>42.52</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45980.727331816408</v>
      </c>
      <c r="F90" s="251">
        <v>24.73</v>
      </c>
      <c r="G90" s="251">
        <v>24.52</v>
      </c>
      <c r="H90" s="251">
        <v>24.39</v>
      </c>
      <c r="I90" s="251">
        <v>24.23</v>
      </c>
      <c r="J90" s="251">
        <v>24.51</v>
      </c>
      <c r="K90" s="251">
        <v>24.69</v>
      </c>
      <c r="L90" s="251">
        <v>24.85</v>
      </c>
      <c r="M90" s="251">
        <v>24.85</v>
      </c>
      <c r="N90" s="251">
        <v>24.72</v>
      </c>
      <c r="O90" s="251">
        <v>24.67</v>
      </c>
      <c r="P90" s="251">
        <v>24.76</v>
      </c>
      <c r="Q90" s="251">
        <v>24.77</v>
      </c>
      <c r="R90" s="251">
        <v>24.29</v>
      </c>
      <c r="S90" s="251">
        <v>24.66</v>
      </c>
      <c r="T90" s="251">
        <v>24.3</v>
      </c>
      <c r="U90" s="251">
        <v>24.61</v>
      </c>
      <c r="V90" s="251">
        <v>24.42</v>
      </c>
      <c r="W90" s="252">
        <v>25.79</v>
      </c>
      <c r="X90" s="251">
        <v>25.08</v>
      </c>
      <c r="Y90" s="251">
        <v>25.45</v>
      </c>
      <c r="Z90" s="245">
        <f ca="1">[1]ExtEntry!$F88</f>
        <v>25.45</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45980.727193020313</v>
      </c>
      <c r="F91" s="251">
        <v>3.2</v>
      </c>
      <c r="G91" s="251">
        <v>3.12</v>
      </c>
      <c r="H91" s="251">
        <v>3.31</v>
      </c>
      <c r="I91" s="251">
        <v>3.23</v>
      </c>
      <c r="J91" s="251">
        <v>3.26</v>
      </c>
      <c r="K91" s="251">
        <v>3.29</v>
      </c>
      <c r="L91" s="251">
        <v>3.31</v>
      </c>
      <c r="M91" s="251">
        <v>3.31</v>
      </c>
      <c r="N91" s="251">
        <v>3.42</v>
      </c>
      <c r="O91" s="251">
        <v>3.89</v>
      </c>
      <c r="P91" s="251">
        <v>3.9</v>
      </c>
      <c r="Q91" s="251">
        <v>3.86</v>
      </c>
      <c r="R91" s="251">
        <v>3.83</v>
      </c>
      <c r="S91" s="251">
        <v>3.96</v>
      </c>
      <c r="T91" s="251">
        <v>3.9</v>
      </c>
      <c r="U91" s="251">
        <v>3.9</v>
      </c>
      <c r="V91" s="251">
        <v>3.9</v>
      </c>
      <c r="W91" s="252">
        <v>4.01</v>
      </c>
      <c r="X91" s="251">
        <v>4.08</v>
      </c>
      <c r="Y91" s="251">
        <v>4.13</v>
      </c>
      <c r="Z91" s="245">
        <f ca="1">[1]ExtEntry!$F89</f>
        <v>4.13</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43000</v>
      </c>
      <c r="AS91" s="378">
        <v>43000</v>
      </c>
      <c r="AT91" s="378">
        <v>43000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45980.727274501565</v>
      </c>
      <c r="F92" s="251">
        <v>36.97</v>
      </c>
      <c r="G92" s="251">
        <v>36.130000000000003</v>
      </c>
      <c r="H92" s="251">
        <v>37.159999999999997</v>
      </c>
      <c r="I92" s="251">
        <v>35.700000000000003</v>
      </c>
      <c r="J92" s="251">
        <v>35.97</v>
      </c>
      <c r="K92" s="251">
        <v>37.119999999999997</v>
      </c>
      <c r="L92" s="251">
        <v>36.79</v>
      </c>
      <c r="M92" s="251">
        <v>36.79</v>
      </c>
      <c r="N92" s="251">
        <v>36.25</v>
      </c>
      <c r="O92" s="251">
        <v>37.5</v>
      </c>
      <c r="P92" s="251">
        <v>37.619999999999997</v>
      </c>
      <c r="Q92" s="251">
        <v>37.36</v>
      </c>
      <c r="R92" s="251">
        <v>34.99</v>
      </c>
      <c r="S92" s="251">
        <v>36.92</v>
      </c>
      <c r="T92" s="251">
        <v>37.03</v>
      </c>
      <c r="U92" s="251">
        <v>37.07</v>
      </c>
      <c r="V92" s="251">
        <v>36.729999999999997</v>
      </c>
      <c r="W92" s="252">
        <v>38.020000000000003</v>
      </c>
      <c r="X92" s="251">
        <v>38.15</v>
      </c>
      <c r="Y92" s="251">
        <v>39.03</v>
      </c>
      <c r="Z92" s="245">
        <f ca="1">[1]ExtEntry!$F90</f>
        <v>39.03</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45980.727218078122</v>
      </c>
      <c r="F93" s="243">
        <v>75.02</v>
      </c>
      <c r="G93" s="243">
        <v>76.180000000000007</v>
      </c>
      <c r="H93" s="243">
        <v>76.13</v>
      </c>
      <c r="I93" s="243">
        <v>74.540000000000006</v>
      </c>
      <c r="J93" s="243">
        <v>75.2</v>
      </c>
      <c r="K93" s="243">
        <v>76.5</v>
      </c>
      <c r="L93" s="243">
        <v>77.73</v>
      </c>
      <c r="M93" s="243">
        <v>77.73</v>
      </c>
      <c r="N93" s="243">
        <v>75.92</v>
      </c>
      <c r="O93" s="243">
        <v>78.56</v>
      </c>
      <c r="P93" s="243">
        <v>79.540000000000006</v>
      </c>
      <c r="Q93" s="243">
        <v>80.150000000000006</v>
      </c>
      <c r="R93" s="243">
        <v>76.510000000000005</v>
      </c>
      <c r="S93" s="243">
        <v>74.3</v>
      </c>
      <c r="T93" s="243">
        <v>72.58</v>
      </c>
      <c r="U93" s="243">
        <v>73.650000000000006</v>
      </c>
      <c r="V93" s="243">
        <v>70.930000000000007</v>
      </c>
      <c r="W93" s="244">
        <v>62.3</v>
      </c>
      <c r="X93" s="243">
        <v>58.89</v>
      </c>
      <c r="Y93" s="243">
        <v>57.64</v>
      </c>
      <c r="Z93" s="245">
        <f ca="1">[1]ExtEntry!$F91</f>
        <v>57.64</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45980.727111284374</v>
      </c>
      <c r="F94" s="251">
        <v>190</v>
      </c>
      <c r="G94" s="251">
        <v>196.33</v>
      </c>
      <c r="H94" s="251">
        <v>199.23</v>
      </c>
      <c r="I94" s="251">
        <v>199.13</v>
      </c>
      <c r="J94" s="251">
        <v>200</v>
      </c>
      <c r="K94" s="251">
        <v>202.11</v>
      </c>
      <c r="L94" s="251">
        <v>202.35</v>
      </c>
      <c r="M94" s="251">
        <v>202.35</v>
      </c>
      <c r="N94" s="251">
        <v>205.12</v>
      </c>
      <c r="O94" s="251">
        <v>206.91</v>
      </c>
      <c r="P94" s="251">
        <v>210.38</v>
      </c>
      <c r="Q94" s="251">
        <v>216.17</v>
      </c>
      <c r="R94" s="251">
        <v>209.14</v>
      </c>
      <c r="S94" s="251">
        <v>201.39</v>
      </c>
      <c r="T94" s="251">
        <v>207.73</v>
      </c>
      <c r="U94" s="251">
        <v>208.62</v>
      </c>
      <c r="V94" s="251">
        <v>204.19</v>
      </c>
      <c r="W94" s="252">
        <v>196.66</v>
      </c>
      <c r="X94" s="251">
        <v>192.4</v>
      </c>
      <c r="Y94" s="251">
        <v>193</v>
      </c>
      <c r="Z94" s="245">
        <f ca="1">[1]ExtEntry!$F92</f>
        <v>193</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45980.715381944443</v>
      </c>
      <c r="F96" s="251">
        <v>10.3</v>
      </c>
      <c r="G96" s="251">
        <v>10.208</v>
      </c>
      <c r="H96" s="251">
        <v>10.353999999999999</v>
      </c>
      <c r="I96" s="251">
        <v>10.356</v>
      </c>
      <c r="J96" s="251">
        <v>10.156000000000001</v>
      </c>
      <c r="K96" s="251">
        <v>10.25</v>
      </c>
      <c r="L96" s="251">
        <v>10.465999999999999</v>
      </c>
      <c r="M96" s="251">
        <v>10.465999999999999</v>
      </c>
      <c r="N96" s="251">
        <v>10.353999999999999</v>
      </c>
      <c r="O96" s="251">
        <v>10.384</v>
      </c>
      <c r="P96" s="251">
        <v>10.587999999999999</v>
      </c>
      <c r="Q96" s="251">
        <v>10.63</v>
      </c>
      <c r="R96" s="251">
        <v>10.468</v>
      </c>
      <c r="S96" s="251">
        <v>10.571999999999999</v>
      </c>
      <c r="T96" s="251">
        <v>10.401999999999999</v>
      </c>
      <c r="U96" s="251">
        <v>10.316000000000001</v>
      </c>
      <c r="V96" s="251">
        <v>10.199999999999999</v>
      </c>
      <c r="W96" s="252">
        <v>10.302</v>
      </c>
      <c r="X96" s="251">
        <v>9.6999999999999993</v>
      </c>
      <c r="Y96" s="251">
        <v>9.6999999999999993</v>
      </c>
      <c r="Z96" s="245">
        <f ca="1">[1]ExtEntry!$F94</f>
        <v>9.6999999999999993</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45980.708333333336</v>
      </c>
      <c r="F97" s="243">
        <v>844</v>
      </c>
      <c r="G97" s="243">
        <v>846.6</v>
      </c>
      <c r="H97" s="243">
        <v>873</v>
      </c>
      <c r="I97" s="243">
        <v>877.4</v>
      </c>
      <c r="J97" s="243">
        <v>875.7</v>
      </c>
      <c r="K97" s="243">
        <v>899</v>
      </c>
      <c r="L97" s="243">
        <v>889.8</v>
      </c>
      <c r="M97" s="243">
        <v>889.8</v>
      </c>
      <c r="N97" s="243">
        <v>870.1</v>
      </c>
      <c r="O97" s="243">
        <v>887.7</v>
      </c>
      <c r="P97" s="243">
        <v>894.4</v>
      </c>
      <c r="Q97" s="243">
        <v>906.5</v>
      </c>
      <c r="R97" s="243">
        <v>919.4</v>
      </c>
      <c r="S97" s="243">
        <v>926.5</v>
      </c>
      <c r="T97" s="243">
        <v>918</v>
      </c>
      <c r="U97" s="243">
        <v>906.6</v>
      </c>
      <c r="V97" s="243">
        <v>895.3</v>
      </c>
      <c r="W97" s="244">
        <v>881.5</v>
      </c>
      <c r="X97" s="243">
        <v>865.6</v>
      </c>
      <c r="Y97" s="243">
        <v>865.6</v>
      </c>
      <c r="Z97" s="245">
        <f ca="1">[1]ExtEntry!$F95</f>
        <v>865.6</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45980.71597222222</v>
      </c>
      <c r="F98" s="251">
        <v>16.260000000000002</v>
      </c>
      <c r="G98" s="251">
        <v>16.37</v>
      </c>
      <c r="H98" s="251">
        <v>16.2</v>
      </c>
      <c r="I98" s="251">
        <v>16.25</v>
      </c>
      <c r="J98" s="251">
        <v>16.27</v>
      </c>
      <c r="K98" s="251">
        <v>16.420000000000002</v>
      </c>
      <c r="L98" s="251">
        <v>16.364999999999998</v>
      </c>
      <c r="M98" s="251">
        <v>16.364999999999998</v>
      </c>
      <c r="N98" s="251">
        <v>16.100000000000001</v>
      </c>
      <c r="O98" s="251">
        <v>15.98</v>
      </c>
      <c r="P98" s="251">
        <v>16.059999999999999</v>
      </c>
      <c r="Q98" s="251">
        <v>16.094999999999999</v>
      </c>
      <c r="R98" s="251">
        <v>16.305</v>
      </c>
      <c r="S98" s="251">
        <v>15.914999999999999</v>
      </c>
      <c r="T98" s="251">
        <v>15.75</v>
      </c>
      <c r="U98" s="251">
        <v>16.05</v>
      </c>
      <c r="V98" s="251">
        <v>16.079999999999998</v>
      </c>
      <c r="W98" s="252">
        <v>15.225</v>
      </c>
      <c r="X98" s="251">
        <v>15.34</v>
      </c>
      <c r="Y98" s="251">
        <v>15.34</v>
      </c>
      <c r="Z98" s="245">
        <f ca="1">[1]ExtEntry!$F96</f>
        <v>15.34</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21000</v>
      </c>
      <c r="AT98" s="378">
        <v>21000</v>
      </c>
      <c r="AU98" s="378">
        <v>21000</v>
      </c>
      <c r="AV98" s="378">
        <f ca="1">Calc!G96</f>
        <v>21000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Z100">
        <f ca="1">IF(TODAY()=WORKDAY(TODAY(),0),TODAY(),WORKDAY(TODAY(),0))</f>
        <v>45980</v>
      </c>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45980.727273888282</v>
      </c>
      <c r="E102" s="1148"/>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45952</v>
      </c>
      <c r="G103" s="117">
        <f t="shared" ca="1" si="5"/>
        <v>45953</v>
      </c>
      <c r="H103" s="117">
        <f t="shared" ca="1" si="5"/>
        <v>45954</v>
      </c>
      <c r="I103" s="117">
        <f t="shared" ca="1" si="5"/>
        <v>45957</v>
      </c>
      <c r="J103" s="117">
        <f t="shared" ca="1" si="5"/>
        <v>45958</v>
      </c>
      <c r="K103" s="117">
        <f t="shared" ca="1" si="5"/>
        <v>45959</v>
      </c>
      <c r="L103" s="117">
        <f t="shared" ca="1" si="5"/>
        <v>45960</v>
      </c>
      <c r="M103" s="117">
        <f t="shared" ca="1" si="5"/>
        <v>45961</v>
      </c>
      <c r="N103" s="117">
        <f t="shared" ca="1" si="5"/>
        <v>45964</v>
      </c>
      <c r="O103" s="117">
        <f t="shared" ca="1" si="5"/>
        <v>45965</v>
      </c>
      <c r="P103" s="117">
        <f t="shared" ca="1" si="5"/>
        <v>45966</v>
      </c>
      <c r="Q103" s="117">
        <f t="shared" ca="1" si="5"/>
        <v>45967</v>
      </c>
      <c r="R103" s="117">
        <f t="shared" ca="1" si="5"/>
        <v>45968</v>
      </c>
      <c r="S103" s="117">
        <f t="shared" ca="1" si="5"/>
        <v>45971</v>
      </c>
      <c r="T103" s="117">
        <f t="shared" ca="1" si="5"/>
        <v>45972</v>
      </c>
      <c r="U103" s="117">
        <f t="shared" ca="1" si="5"/>
        <v>45973</v>
      </c>
      <c r="V103" s="117">
        <f t="shared" ca="1" si="5"/>
        <v>45974</v>
      </c>
      <c r="W103" s="117">
        <f t="shared" ca="1" si="5"/>
        <v>45975</v>
      </c>
      <c r="X103" s="117">
        <f t="shared" ca="1" si="5"/>
        <v>45978</v>
      </c>
      <c r="Y103" s="117">
        <f t="shared" ca="1" si="5"/>
        <v>45979</v>
      </c>
      <c r="Z103" s="117">
        <f t="shared" ca="1" si="5"/>
        <v>45980</v>
      </c>
      <c r="AB103" s="117">
        <f t="shared" ref="AB103:AV103" ca="1" si="6">F103</f>
        <v>45952</v>
      </c>
      <c r="AC103" s="117">
        <f t="shared" ca="1" si="6"/>
        <v>45953</v>
      </c>
      <c r="AD103" s="117">
        <f t="shared" ca="1" si="6"/>
        <v>45954</v>
      </c>
      <c r="AE103" s="117">
        <f t="shared" ca="1" si="6"/>
        <v>45957</v>
      </c>
      <c r="AF103" s="117">
        <f t="shared" ca="1" si="6"/>
        <v>45958</v>
      </c>
      <c r="AG103" s="117">
        <f t="shared" ca="1" si="6"/>
        <v>45959</v>
      </c>
      <c r="AH103" s="117">
        <f t="shared" ca="1" si="6"/>
        <v>45960</v>
      </c>
      <c r="AI103" s="117">
        <f t="shared" ca="1" si="6"/>
        <v>45961</v>
      </c>
      <c r="AJ103" s="117">
        <f t="shared" ca="1" si="6"/>
        <v>45964</v>
      </c>
      <c r="AK103" s="117">
        <f t="shared" ca="1" si="6"/>
        <v>45965</v>
      </c>
      <c r="AL103" s="117">
        <f t="shared" ca="1" si="6"/>
        <v>45966</v>
      </c>
      <c r="AM103" s="117">
        <f t="shared" ca="1" si="6"/>
        <v>45967</v>
      </c>
      <c r="AN103" s="117">
        <f t="shared" ca="1" si="6"/>
        <v>45968</v>
      </c>
      <c r="AO103" s="117">
        <f t="shared" ca="1" si="6"/>
        <v>45971</v>
      </c>
      <c r="AP103" s="117">
        <f t="shared" ca="1" si="6"/>
        <v>45972</v>
      </c>
      <c r="AQ103" s="117">
        <f t="shared" ca="1" si="6"/>
        <v>45973</v>
      </c>
      <c r="AR103" s="117">
        <f t="shared" ca="1" si="6"/>
        <v>45974</v>
      </c>
      <c r="AS103" s="117">
        <f t="shared" ca="1" si="6"/>
        <v>45975</v>
      </c>
      <c r="AT103" s="117">
        <f t="shared" ca="1" si="6"/>
        <v>45978</v>
      </c>
      <c r="AU103" s="117">
        <f t="shared" ca="1" si="6"/>
        <v>45979</v>
      </c>
      <c r="AV103" s="117">
        <f t="shared" ca="1" si="6"/>
        <v>45980</v>
      </c>
      <c r="AW103" s="272"/>
      <c r="AX103" s="88"/>
      <c r="AY103" t="s">
        <v>1015</v>
      </c>
      <c r="AZ103" t="s">
        <v>2213</v>
      </c>
      <c r="BA103" s="251">
        <v>1391</v>
      </c>
      <c r="EH103" s="110"/>
    </row>
    <row r="104" spans="1:248" x14ac:dyDescent="0.3">
      <c r="A104" s="258" t="s">
        <v>477</v>
      </c>
      <c r="B104" s="259" t="s">
        <v>478</v>
      </c>
      <c r="C104" s="259" t="s">
        <v>479</v>
      </c>
      <c r="D104" s="1093"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094">
        <f>ROW()</f>
        <v>105</v>
      </c>
      <c r="E105" s="242"/>
      <c r="F105" s="243">
        <v>246.57</v>
      </c>
      <c r="G105" s="243">
        <v>249.38</v>
      </c>
      <c r="H105" s="243">
        <v>248.25</v>
      </c>
      <c r="I105" s="243">
        <v>248.02</v>
      </c>
      <c r="J105" s="243">
        <v>255.88499999999999</v>
      </c>
      <c r="K105" s="243">
        <v>261.88</v>
      </c>
      <c r="L105" s="243">
        <v>262.64999999999998</v>
      </c>
      <c r="M105" s="243">
        <v>262.64999999999998</v>
      </c>
      <c r="N105" s="243">
        <v>259.94</v>
      </c>
      <c r="O105" s="243">
        <v>261.19</v>
      </c>
      <c r="P105" s="243">
        <v>264.88</v>
      </c>
      <c r="Q105" s="243">
        <v>268.98500000000001</v>
      </c>
      <c r="R105" s="243">
        <v>271.99</v>
      </c>
      <c r="S105" s="243">
        <v>268.48</v>
      </c>
      <c r="T105" s="243">
        <v>268.61</v>
      </c>
      <c r="U105" s="243">
        <v>268.2</v>
      </c>
      <c r="V105" s="243">
        <v>269.77</v>
      </c>
      <c r="W105" s="243">
        <v>271.05</v>
      </c>
      <c r="X105" s="243">
        <v>269.99</v>
      </c>
      <c r="Y105" s="243">
        <v>265.5</v>
      </c>
      <c r="Z105" s="245">
        <f ca="1">[1]ExtEntry!$G3</f>
        <v>265.5</v>
      </c>
      <c r="AB105" s="1102">
        <v>0.60657144989722056</v>
      </c>
      <c r="AC105" s="1102">
        <v>0.39265376879586078</v>
      </c>
      <c r="AD105" s="1102">
        <v>0.75344364335389391</v>
      </c>
      <c r="AE105" s="1102">
        <v>0.94159957139339034</v>
      </c>
      <c r="AF105" s="1102">
        <v>1.7373275336209155</v>
      </c>
      <c r="AG105" s="1102">
        <v>0.86578114345634261</v>
      </c>
      <c r="AH105" s="1102">
        <v>0.80723094074890434</v>
      </c>
      <c r="AI105" s="1102">
        <v>0.80726296983213941</v>
      </c>
      <c r="AJ105" s="1102">
        <v>0.61447361422266678</v>
      </c>
      <c r="AK105" s="1102">
        <v>0.72431334071401965</v>
      </c>
      <c r="AL105" s="1102">
        <v>0.93677182791042202</v>
      </c>
      <c r="AM105" s="1102">
        <v>0.91598450258708664</v>
      </c>
      <c r="AN105" s="1102">
        <v>1.2695567990499188</v>
      </c>
      <c r="AO105" s="1102">
        <v>0.7450988412892311</v>
      </c>
      <c r="AP105" s="1102">
        <v>0.91183594378728339</v>
      </c>
      <c r="AQ105" s="1102">
        <v>0.67764877152594571</v>
      </c>
      <c r="AR105" s="1102">
        <v>0.75361006056948199</v>
      </c>
      <c r="AS105" s="1102">
        <v>0.96101685205948351</v>
      </c>
      <c r="AT105" s="1102">
        <v>2.7084323056126642E-4</v>
      </c>
      <c r="AU105" s="1102">
        <v>0.30565067320598954</v>
      </c>
      <c r="AV105" s="1102">
        <f ca="1">Calc!BB3</f>
        <v>0.30565067320598954</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15.45</v>
      </c>
      <c r="G106" s="251">
        <v>16.82</v>
      </c>
      <c r="H106" s="251">
        <v>17.309999999999999</v>
      </c>
      <c r="I106" s="251">
        <v>16.46</v>
      </c>
      <c r="J106" s="251">
        <v>16.66</v>
      </c>
      <c r="K106" s="251">
        <v>16.809999999999999</v>
      </c>
      <c r="L106" s="251">
        <v>17.010000000000002</v>
      </c>
      <c r="M106" s="251">
        <v>17.010000000000002</v>
      </c>
      <c r="N106" s="251">
        <v>16.8</v>
      </c>
      <c r="O106" s="251">
        <v>17.09</v>
      </c>
      <c r="P106" s="251">
        <v>17.170000000000002</v>
      </c>
      <c r="Q106" s="251">
        <v>17.62</v>
      </c>
      <c r="R106" s="251">
        <v>17.45</v>
      </c>
      <c r="S106" s="251">
        <v>13.87</v>
      </c>
      <c r="T106" s="251">
        <v>12.84</v>
      </c>
      <c r="U106" s="251">
        <v>13.55</v>
      </c>
      <c r="V106" s="251">
        <v>13.81</v>
      </c>
      <c r="W106" s="251">
        <v>12.96</v>
      </c>
      <c r="X106" s="251">
        <v>12.28</v>
      </c>
      <c r="Y106" s="251">
        <v>12.39</v>
      </c>
      <c r="Z106" s="245">
        <f ca="1">[1]ExtEntry!$G4</f>
        <v>12.39</v>
      </c>
      <c r="AA106" s="273"/>
      <c r="AB106" s="1143">
        <v>1.3069500825111233</v>
      </c>
      <c r="AC106" s="1143">
        <v>0.61555108031539063</v>
      </c>
      <c r="AD106" s="1143">
        <v>0.75660112241377864</v>
      </c>
      <c r="AE106" s="1143">
        <v>0.94764519528264723</v>
      </c>
      <c r="AF106" s="1143">
        <v>0.54967207745857927</v>
      </c>
      <c r="AG106" s="1143">
        <v>0.5190497228898604</v>
      </c>
      <c r="AH106" s="1143">
        <v>0.70321921661977926</v>
      </c>
      <c r="AI106" s="1143">
        <v>0.70321921661977926</v>
      </c>
      <c r="AJ106" s="1143">
        <v>0.55193031269098103</v>
      </c>
      <c r="AK106" s="1143">
        <v>0.68484341580886332</v>
      </c>
      <c r="AL106" s="1143">
        <v>0.93491038964241213</v>
      </c>
      <c r="AM106" s="1143">
        <v>0.93112308219943796</v>
      </c>
      <c r="AN106" s="1143">
        <v>1.2392952858617055</v>
      </c>
      <c r="AO106" s="1143">
        <v>2.4955411929630706</v>
      </c>
      <c r="AP106" s="1143">
        <v>2.5836012908904209</v>
      </c>
      <c r="AQ106" s="1143">
        <v>1.5549669091640477</v>
      </c>
      <c r="AR106" s="1143">
        <v>1.3883562973538</v>
      </c>
      <c r="AS106" s="1143">
        <v>1.0518758811862261</v>
      </c>
      <c r="AT106" s="1143">
        <v>1.206108443752707</v>
      </c>
      <c r="AU106" s="1143">
        <v>0.26803017315275157</v>
      </c>
      <c r="AV106" s="1102">
        <f ca="1">Calc!BB4</f>
        <v>0.26803017315275157</v>
      </c>
      <c r="AW106" s="273"/>
      <c r="AX106" s="88" t="str">
        <f t="shared" ca="1" si="8"/>
        <v>ADEA</v>
      </c>
      <c r="CP106" s="273"/>
      <c r="EH106" s="110"/>
    </row>
    <row r="107" spans="1:248" x14ac:dyDescent="0.3">
      <c r="A107" s="239" t="str">
        <f t="shared" ca="1" si="7"/>
        <v>AET</v>
      </c>
      <c r="B107" s="240" t="str">
        <f ca="1">[1]ExtEntry!$D5</f>
        <v>GBp</v>
      </c>
      <c r="C107" s="241"/>
      <c r="D107" s="1094">
        <f>ROW()</f>
        <v>107</v>
      </c>
      <c r="E107" s="242"/>
      <c r="F107" s="243">
        <v>43.9</v>
      </c>
      <c r="G107" s="243">
        <v>43</v>
      </c>
      <c r="H107" s="243">
        <v>42.2</v>
      </c>
      <c r="I107" s="243">
        <v>41</v>
      </c>
      <c r="J107" s="243">
        <v>42</v>
      </c>
      <c r="K107" s="243">
        <v>42.1</v>
      </c>
      <c r="L107" s="243">
        <v>43.7</v>
      </c>
      <c r="M107" s="243">
        <v>43.7</v>
      </c>
      <c r="N107" s="243">
        <v>44.3</v>
      </c>
      <c r="O107" s="243">
        <v>44.9</v>
      </c>
      <c r="P107" s="243">
        <v>46</v>
      </c>
      <c r="Q107" s="243">
        <v>44.2</v>
      </c>
      <c r="R107" s="243">
        <v>45.1</v>
      </c>
      <c r="S107" s="243">
        <v>48.4</v>
      </c>
      <c r="T107" s="243">
        <v>44.3</v>
      </c>
      <c r="U107" s="243">
        <v>45.9</v>
      </c>
      <c r="V107" s="243">
        <v>44.7</v>
      </c>
      <c r="W107" s="243">
        <v>46.2</v>
      </c>
      <c r="X107" s="243">
        <v>46.6</v>
      </c>
      <c r="Y107" s="243">
        <v>46.6</v>
      </c>
      <c r="Z107" s="245">
        <f ca="1">[1]ExtEntry!$G5</f>
        <v>46.6</v>
      </c>
      <c r="AA107" s="274"/>
      <c r="AB107" s="1102">
        <v>2.9322457014441752</v>
      </c>
      <c r="AC107" s="1102">
        <v>1.4961007392557324</v>
      </c>
      <c r="AD107" s="1102">
        <v>1.1407004134820198</v>
      </c>
      <c r="AE107" s="1102">
        <v>0.9813619864071671</v>
      </c>
      <c r="AF107" s="1102">
        <v>0.4496659715786222</v>
      </c>
      <c r="AG107" s="1102">
        <v>1.0057408679000763</v>
      </c>
      <c r="AH107" s="1102">
        <v>0.61415197439046798</v>
      </c>
      <c r="AI107" s="1102">
        <v>0.61415197439046798</v>
      </c>
      <c r="AJ107" s="1102">
        <v>0.49391772032458953</v>
      </c>
      <c r="AK107" s="1102">
        <v>0.26970466125684089</v>
      </c>
      <c r="AL107" s="1102">
        <v>0.28269696405289624</v>
      </c>
      <c r="AM107" s="1102">
        <v>0.15864499906872789</v>
      </c>
      <c r="AN107" s="1102">
        <v>0.27326128231342195</v>
      </c>
      <c r="AO107" s="1102">
        <v>1.3388384290648587</v>
      </c>
      <c r="AP107" s="1102">
        <v>0.22244185768578054</v>
      </c>
      <c r="AQ107" s="1102">
        <v>0.38472635052221099</v>
      </c>
      <c r="AR107" s="1102">
        <v>0.22856548590445105</v>
      </c>
      <c r="AS107" s="1102">
        <v>1.7302942746773029</v>
      </c>
      <c r="AT107" s="1102">
        <v>1.6905858443023751</v>
      </c>
      <c r="AU107" s="1102">
        <v>1.831612965464017</v>
      </c>
      <c r="AV107" s="1102">
        <f ca="1">Calc!BB5</f>
        <v>1.831612965464017</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215.5</v>
      </c>
      <c r="G108" s="251">
        <v>216.31</v>
      </c>
      <c r="H108" s="251">
        <v>215.67</v>
      </c>
      <c r="I108" s="251">
        <v>214.56</v>
      </c>
      <c r="J108" s="251">
        <v>213.88</v>
      </c>
      <c r="K108" s="251">
        <v>218.43</v>
      </c>
      <c r="L108" s="251">
        <v>219.3</v>
      </c>
      <c r="M108" s="251">
        <v>219.3</v>
      </c>
      <c r="N108" s="251">
        <v>219</v>
      </c>
      <c r="O108" s="251">
        <v>221.97</v>
      </c>
      <c r="P108" s="251">
        <v>227.66</v>
      </c>
      <c r="Q108" s="251">
        <v>228.215</v>
      </c>
      <c r="R108" s="251">
        <v>227.06</v>
      </c>
      <c r="S108" s="251">
        <v>250.48</v>
      </c>
      <c r="T108" s="251">
        <v>249.03</v>
      </c>
      <c r="U108" s="251">
        <v>249.15</v>
      </c>
      <c r="V108" s="251">
        <v>243</v>
      </c>
      <c r="W108" s="251">
        <v>235.06</v>
      </c>
      <c r="X108" s="251">
        <v>228.1</v>
      </c>
      <c r="Y108" s="251">
        <v>223.59</v>
      </c>
      <c r="Z108" s="245">
        <f ca="1">[1]ExtEntry!$G6</f>
        <v>223.59</v>
      </c>
      <c r="AA108" s="275"/>
      <c r="AB108" s="1143">
        <v>0.94732269094894184</v>
      </c>
      <c r="AC108" s="1143">
        <v>0.76307702905125563</v>
      </c>
      <c r="AD108" s="1143">
        <v>0.89533238299505757</v>
      </c>
      <c r="AE108" s="1143">
        <v>0.97221744725581261</v>
      </c>
      <c r="AF108" s="1143">
        <v>0.79809917993253798</v>
      </c>
      <c r="AG108" s="1143">
        <v>1.015253951189238</v>
      </c>
      <c r="AH108" s="1143">
        <v>0.90204044987612564</v>
      </c>
      <c r="AI108" s="1143">
        <v>0.90220558528560924</v>
      </c>
      <c r="AJ108" s="1143">
        <v>0.64920445918256142</v>
      </c>
      <c r="AK108" s="1143">
        <v>0.80093660307369696</v>
      </c>
      <c r="AL108" s="1143">
        <v>0.82910471818717135</v>
      </c>
      <c r="AM108" s="1143">
        <v>1.0310410249263953</v>
      </c>
      <c r="AN108" s="1143">
        <v>1.9825181304189066</v>
      </c>
      <c r="AO108" s="1143">
        <v>0.75486270605619821</v>
      </c>
      <c r="AP108" s="1143">
        <v>0.75409060425367169</v>
      </c>
      <c r="AQ108" s="1143">
        <v>0.61932402019166766</v>
      </c>
      <c r="AR108" s="1143">
        <v>0.6942070189669548</v>
      </c>
      <c r="AS108" s="1143">
        <v>0.7408131718550709</v>
      </c>
      <c r="AT108" s="1143">
        <v>8.3155655847150288E-4</v>
      </c>
      <c r="AU108" s="1143">
        <v>0.55227376593669197</v>
      </c>
      <c r="AV108" s="1102">
        <f ca="1">Calc!BB6</f>
        <v>0.55227376593669197</v>
      </c>
      <c r="AW108" s="277"/>
      <c r="AX108" s="88" t="str">
        <f t="shared" ca="1" si="8"/>
        <v>AMZN</v>
      </c>
      <c r="BA108" s="251">
        <v>1886</v>
      </c>
      <c r="CP108" s="275"/>
      <c r="EH108" s="110"/>
    </row>
    <row r="109" spans="1:248" x14ac:dyDescent="0.3">
      <c r="A109" s="239" t="str">
        <f t="shared" ca="1" si="7"/>
        <v>ALDNE</v>
      </c>
      <c r="B109" s="240" t="str">
        <f ca="1">[1]ExtEntry!$D7</f>
        <v>EUR</v>
      </c>
      <c r="C109" s="241"/>
      <c r="D109" s="1094">
        <f>ROW()</f>
        <v>109</v>
      </c>
      <c r="E109" s="242"/>
      <c r="F109" s="243">
        <v>0.83599999999999997</v>
      </c>
      <c r="G109" s="243">
        <v>0.82</v>
      </c>
      <c r="H109" s="243">
        <v>0.82</v>
      </c>
      <c r="I109" s="243">
        <v>0.82799999999999996</v>
      </c>
      <c r="J109" s="243">
        <v>0.81</v>
      </c>
      <c r="K109" s="243">
        <v>0.81</v>
      </c>
      <c r="L109" s="243">
        <v>0.82</v>
      </c>
      <c r="M109" s="243">
        <v>0.82</v>
      </c>
      <c r="N109" s="243">
        <v>0.84</v>
      </c>
      <c r="O109" s="243">
        <v>0.82</v>
      </c>
      <c r="P109" s="243">
        <v>0.81599999999999995</v>
      </c>
      <c r="Q109" s="243">
        <v>0.81799999999999995</v>
      </c>
      <c r="R109" s="243">
        <v>0.79</v>
      </c>
      <c r="S109" s="243">
        <v>0.79</v>
      </c>
      <c r="T109" s="243">
        <v>0.78800000000000003</v>
      </c>
      <c r="U109" s="243">
        <v>0.78</v>
      </c>
      <c r="V109" s="243">
        <v>0.78</v>
      </c>
      <c r="W109" s="243">
        <v>0.72</v>
      </c>
      <c r="X109" s="243">
        <v>0.68200000000000005</v>
      </c>
      <c r="Y109" s="243">
        <v>0.68200000000000005</v>
      </c>
      <c r="Z109" s="245">
        <f ca="1">[1]ExtEntry!$G7</f>
        <v>0.68200000000000005</v>
      </c>
      <c r="AA109" s="275"/>
      <c r="AB109" s="1102">
        <v>0.19280821917808219</v>
      </c>
      <c r="AC109" s="1102">
        <v>1.2678929765886289</v>
      </c>
      <c r="AD109" s="1102">
        <v>0.38364312267657991</v>
      </c>
      <c r="AE109" s="1102">
        <v>0.51637931034482754</v>
      </c>
      <c r="AF109" s="1102">
        <v>2.8112820512820513</v>
      </c>
      <c r="AG109" s="1102">
        <v>18.112820512820512</v>
      </c>
      <c r="AH109" s="1102">
        <v>2.5646017699115045</v>
      </c>
      <c r="AI109" s="1102">
        <v>2.5646017699115045</v>
      </c>
      <c r="AJ109" s="1102">
        <v>0.39964726631393299</v>
      </c>
      <c r="AK109" s="1102">
        <v>1.8546737213403881</v>
      </c>
      <c r="AL109" s="1102">
        <v>0.21558872305140961</v>
      </c>
      <c r="AM109" s="1102">
        <v>0.15041459369817578</v>
      </c>
      <c r="AN109" s="1102">
        <v>1.011094674556213</v>
      </c>
      <c r="AO109" s="1102">
        <v>1.0307280513918629</v>
      </c>
      <c r="AP109" s="1102">
        <v>0.40250737463126846</v>
      </c>
      <c r="AQ109" s="1102">
        <v>0.29159292035398232</v>
      </c>
      <c r="AR109" s="1102">
        <v>0.32673879443585779</v>
      </c>
      <c r="AS109" s="1102">
        <v>2.0120065789473682</v>
      </c>
      <c r="AT109" s="1102">
        <v>2.0191582934982475</v>
      </c>
      <c r="AU109" s="1102">
        <v>0.55366568914956016</v>
      </c>
      <c r="AV109" s="1102">
        <f ca="1">Calc!BB7</f>
        <v>0.55366568914956016</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834.7</v>
      </c>
      <c r="G110" s="251">
        <v>875.6</v>
      </c>
      <c r="H110" s="251">
        <v>883.7</v>
      </c>
      <c r="I110" s="251">
        <v>859.6</v>
      </c>
      <c r="J110" s="251">
        <v>884</v>
      </c>
      <c r="K110" s="251">
        <v>890</v>
      </c>
      <c r="L110" s="251">
        <v>876.7</v>
      </c>
      <c r="M110" s="251">
        <v>876.7</v>
      </c>
      <c r="N110" s="251">
        <v>872</v>
      </c>
      <c r="O110" s="251">
        <v>900</v>
      </c>
      <c r="P110" s="251">
        <v>900</v>
      </c>
      <c r="Q110" s="251">
        <v>904.1</v>
      </c>
      <c r="R110" s="251">
        <v>925</v>
      </c>
      <c r="S110" s="251">
        <v>909.2</v>
      </c>
      <c r="T110" s="251">
        <v>882.9</v>
      </c>
      <c r="U110" s="251">
        <v>901.1</v>
      </c>
      <c r="V110" s="251">
        <v>899</v>
      </c>
      <c r="W110" s="251">
        <v>866.9</v>
      </c>
      <c r="X110" s="251">
        <v>861.1</v>
      </c>
      <c r="Y110" s="251">
        <v>861.1</v>
      </c>
      <c r="Z110" s="245">
        <f ca="1">[1]ExtEntry!$G8</f>
        <v>861.1</v>
      </c>
      <c r="AA110" s="275"/>
      <c r="AB110" s="1143">
        <v>0.9212649675214567</v>
      </c>
      <c r="AC110" s="1143">
        <v>1.4815572344549928</v>
      </c>
      <c r="AD110" s="1143">
        <v>0.87383194989810631</v>
      </c>
      <c r="AE110" s="1143">
        <v>1.0246818701744351</v>
      </c>
      <c r="AF110" s="1143">
        <v>0.63246115718234674</v>
      </c>
      <c r="AG110" s="1143">
        <v>0.53697097512153269</v>
      </c>
      <c r="AH110" s="1143">
        <v>0.66238980546663384</v>
      </c>
      <c r="AI110" s="1143">
        <v>0.66238980546663384</v>
      </c>
      <c r="AJ110" s="1143">
        <v>0.93860648829515581</v>
      </c>
      <c r="AK110" s="1143">
        <v>0.62959608538686995</v>
      </c>
      <c r="AL110" s="1143">
        <v>0.70439053270361551</v>
      </c>
      <c r="AM110" s="1143">
        <v>0.55103540144512175</v>
      </c>
      <c r="AN110" s="1143">
        <v>0.97038282181975921</v>
      </c>
      <c r="AO110" s="1143">
        <v>0.91785407110091743</v>
      </c>
      <c r="AP110" s="1143">
        <v>1.2120666350052971</v>
      </c>
      <c r="AQ110" s="1143">
        <v>0.8690636176438713</v>
      </c>
      <c r="AR110" s="1143">
        <v>1.4227731762002704</v>
      </c>
      <c r="AS110" s="1143">
        <v>1.221879975841432</v>
      </c>
      <c r="AT110" s="1143">
        <v>0.31928218946295994</v>
      </c>
      <c r="AU110" s="1143">
        <v>1.0213644846396783</v>
      </c>
      <c r="AV110" s="1102">
        <f ca="1">Calc!BB8</f>
        <v>1.0213644846396783</v>
      </c>
      <c r="AW110" s="277"/>
      <c r="AX110" s="88" t="str">
        <f t="shared" ca="1" si="8"/>
        <v>ASML</v>
      </c>
      <c r="BA110" s="251">
        <v>2084</v>
      </c>
      <c r="CP110" s="275"/>
      <c r="EH110" s="110"/>
    </row>
    <row r="111" spans="1:248" x14ac:dyDescent="0.3">
      <c r="A111" s="239" t="str">
        <f t="shared" ca="1" si="7"/>
        <v>AVGO</v>
      </c>
      <c r="B111" s="240" t="str">
        <f ca="1">[1]ExtEntry!$D11</f>
        <v>USD</v>
      </c>
      <c r="C111" s="241"/>
      <c r="D111" s="1094">
        <f>ROW()</f>
        <v>111</v>
      </c>
      <c r="E111" s="242"/>
      <c r="F111" s="251">
        <v>350.15</v>
      </c>
      <c r="G111" s="251">
        <v>354.69</v>
      </c>
      <c r="H111" s="251">
        <v>356.8</v>
      </c>
      <c r="I111" s="251">
        <v>349.61</v>
      </c>
      <c r="J111" s="251">
        <v>353.8</v>
      </c>
      <c r="K111" s="251">
        <v>350</v>
      </c>
      <c r="L111" s="251">
        <v>347.3</v>
      </c>
      <c r="M111" s="251">
        <v>347.3</v>
      </c>
      <c r="N111" s="251">
        <v>340.4</v>
      </c>
      <c r="O111" s="251">
        <v>352.51</v>
      </c>
      <c r="P111" s="251">
        <v>361.54</v>
      </c>
      <c r="Q111" s="251">
        <v>362.62</v>
      </c>
      <c r="R111" s="251">
        <v>386.4</v>
      </c>
      <c r="S111" s="251">
        <v>359.12</v>
      </c>
      <c r="T111" s="251">
        <v>350.89</v>
      </c>
      <c r="U111" s="251">
        <v>360.09</v>
      </c>
      <c r="V111" s="251">
        <v>354.18</v>
      </c>
      <c r="W111" s="251">
        <v>331.47</v>
      </c>
      <c r="X111" s="251">
        <v>343.2</v>
      </c>
      <c r="Y111" s="251">
        <v>340.7</v>
      </c>
      <c r="Z111" s="245">
        <f ca="1">[1]ExtEntry!$G9</f>
        <v>340.7</v>
      </c>
      <c r="AA111" s="275"/>
      <c r="AB111" s="1143">
        <v>0.80216446760711146</v>
      </c>
      <c r="AC111" s="1143">
        <v>0.55451763111355123</v>
      </c>
      <c r="AD111" s="1143">
        <v>0.80853902009610334</v>
      </c>
      <c r="AE111" s="1143">
        <v>0.86132830987641518</v>
      </c>
      <c r="AF111" s="1143">
        <v>0.65379784733096658</v>
      </c>
      <c r="AG111" s="1143">
        <v>0.63751111342154199</v>
      </c>
      <c r="AH111" s="1143">
        <v>0.79592749244558147</v>
      </c>
      <c r="AI111" s="1143">
        <v>0.79597652339876246</v>
      </c>
      <c r="AJ111" s="1143">
        <v>0.57076066215276466</v>
      </c>
      <c r="AK111" s="1143">
        <v>0.73545962785661001</v>
      </c>
      <c r="AL111" s="1143">
        <v>0.91724531815010535</v>
      </c>
      <c r="AM111" s="1143">
        <v>0.98049383669743728</v>
      </c>
      <c r="AN111" s="1143">
        <v>1.1537316590935585</v>
      </c>
      <c r="AO111" s="1143">
        <v>0.75964648256172496</v>
      </c>
      <c r="AP111" s="1143">
        <v>0.81002624826093828</v>
      </c>
      <c r="AQ111" s="1143">
        <v>0.55395811178011334</v>
      </c>
      <c r="AR111" s="1143">
        <v>0.80981317518787777</v>
      </c>
      <c r="AS111" s="1143">
        <v>0.88573118326383926</v>
      </c>
      <c r="AT111" s="1143">
        <v>6.4734812886568403E-4</v>
      </c>
      <c r="AU111" s="1143">
        <v>0.51410314470649965</v>
      </c>
      <c r="AV111" s="1102">
        <f ca="1">Calc!BB9</f>
        <v>0.51410314470649965</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84.56</v>
      </c>
      <c r="G112" s="251">
        <v>83.53</v>
      </c>
      <c r="H112" s="251">
        <v>83.52</v>
      </c>
      <c r="I112" s="251">
        <v>83.834999999999994</v>
      </c>
      <c r="J112" s="251">
        <v>84.86</v>
      </c>
      <c r="K112" s="251">
        <v>83.84</v>
      </c>
      <c r="L112" s="251">
        <v>83.45</v>
      </c>
      <c r="M112" s="251">
        <v>83.45</v>
      </c>
      <c r="N112" s="251">
        <v>83.17</v>
      </c>
      <c r="O112" s="251">
        <v>83.45</v>
      </c>
      <c r="P112" s="251">
        <v>83.46</v>
      </c>
      <c r="Q112" s="251">
        <v>84.04</v>
      </c>
      <c r="R112" s="251">
        <v>82.09</v>
      </c>
      <c r="S112" s="251">
        <v>80.64</v>
      </c>
      <c r="T112" s="251">
        <v>81.38</v>
      </c>
      <c r="U112" s="251">
        <v>84.31</v>
      </c>
      <c r="V112" s="251">
        <v>84.51</v>
      </c>
      <c r="W112" s="251">
        <v>88.515000000000001</v>
      </c>
      <c r="X112" s="251">
        <v>89.03</v>
      </c>
      <c r="Y112" s="251">
        <v>89.52</v>
      </c>
      <c r="Z112" s="245">
        <f ca="1">[1]ExtEntry!$G10</f>
        <v>89.52</v>
      </c>
      <c r="AA112" s="275"/>
      <c r="AB112" s="1143">
        <v>0.85264563029176133</v>
      </c>
      <c r="AC112" s="1143">
        <v>0.57689105706104093</v>
      </c>
      <c r="AD112" s="1143">
        <v>0.73687209526747599</v>
      </c>
      <c r="AE112" s="1143">
        <v>0.52712289405301316</v>
      </c>
      <c r="AF112" s="1143">
        <v>0.8536911725936368</v>
      </c>
      <c r="AG112" s="1143">
        <v>0.95222591345228724</v>
      </c>
      <c r="AH112" s="1143">
        <v>0.54512429566236764</v>
      </c>
      <c r="AI112" s="1143">
        <v>0.54512429566236764</v>
      </c>
      <c r="AJ112" s="1143">
        <v>0.36231390855907697</v>
      </c>
      <c r="AK112" s="1143">
        <v>0.40783556958149653</v>
      </c>
      <c r="AL112" s="1143">
        <v>1.10283396693414</v>
      </c>
      <c r="AM112" s="1143">
        <v>0.64008142171943949</v>
      </c>
      <c r="AN112" s="1143">
        <v>1.0097040185332478</v>
      </c>
      <c r="AO112" s="1143">
        <v>0.64318896333682496</v>
      </c>
      <c r="AP112" s="1143">
        <v>0.99652867418753688</v>
      </c>
      <c r="AQ112" s="1143">
        <v>1.1013282963804547</v>
      </c>
      <c r="AR112" s="1143">
        <v>0.66882833672373876</v>
      </c>
      <c r="AS112" s="1143">
        <v>0.83372780244964917</v>
      </c>
      <c r="AT112" s="1143">
        <v>2.2658390756993244E-3</v>
      </c>
      <c r="AU112" s="1143">
        <v>0.83565875907624187</v>
      </c>
      <c r="AV112" s="1149">
        <f ca="1">Calc!BB10</f>
        <v>0.83565875907624187</v>
      </c>
      <c r="AW112" s="277"/>
      <c r="AX112" s="88" t="str">
        <f t="shared" ca="1" si="8"/>
        <v>AZN</v>
      </c>
      <c r="BA112" s="251">
        <v>2282</v>
      </c>
      <c r="CP112" s="275"/>
      <c r="EH112" s="110"/>
    </row>
    <row r="113" spans="1:138" x14ac:dyDescent="0.3">
      <c r="A113" s="239" t="str">
        <f t="shared" ca="1" si="7"/>
        <v>BLDP</v>
      </c>
      <c r="B113" s="240" t="str">
        <f ca="1">[1]ExtEntry!$D13</f>
        <v>USD</v>
      </c>
      <c r="C113" s="241"/>
      <c r="D113" s="1094">
        <f>ROW()</f>
        <v>113</v>
      </c>
      <c r="E113" s="242"/>
      <c r="F113" s="251">
        <v>3.35</v>
      </c>
      <c r="G113" s="251">
        <v>4.01</v>
      </c>
      <c r="H113" s="251">
        <v>3.86</v>
      </c>
      <c r="I113" s="251">
        <v>3.54</v>
      </c>
      <c r="J113" s="251">
        <v>3.72</v>
      </c>
      <c r="K113" s="251">
        <v>3.64</v>
      </c>
      <c r="L113" s="251">
        <v>3.15</v>
      </c>
      <c r="M113" s="251">
        <v>3.15</v>
      </c>
      <c r="N113" s="251">
        <v>3.2650000000000001</v>
      </c>
      <c r="O113" s="251">
        <v>3.38</v>
      </c>
      <c r="P113" s="251">
        <v>3.5</v>
      </c>
      <c r="Q113" s="251">
        <v>3.4350000000000001</v>
      </c>
      <c r="R113" s="251">
        <v>3.46</v>
      </c>
      <c r="S113" s="251">
        <v>3.39</v>
      </c>
      <c r="T113" s="251">
        <v>3.37</v>
      </c>
      <c r="U113" s="251">
        <v>3.65</v>
      </c>
      <c r="V113" s="251">
        <v>3.41</v>
      </c>
      <c r="W113" s="251">
        <v>2.94</v>
      </c>
      <c r="X113" s="251">
        <v>2.82</v>
      </c>
      <c r="Y113" s="251">
        <v>2.86</v>
      </c>
      <c r="Z113" s="245">
        <f ca="1">[1]ExtEntry!$G11</f>
        <v>2.86</v>
      </c>
      <c r="AA113" s="275"/>
      <c r="AB113" s="1143">
        <v>1.5514271573646514</v>
      </c>
      <c r="AC113" s="1143">
        <v>0.89121284358231889</v>
      </c>
      <c r="AD113" s="1143">
        <v>0.73939403349519239</v>
      </c>
      <c r="AE113" s="1143">
        <v>0.76126302878191787</v>
      </c>
      <c r="AF113" s="1143">
        <v>0.64564488925847696</v>
      </c>
      <c r="AG113" s="1143">
        <v>0.66233479003030804</v>
      </c>
      <c r="AH113" s="1143">
        <v>0.87384978754815712</v>
      </c>
      <c r="AI113" s="1143">
        <v>0.87385057262587107</v>
      </c>
      <c r="AJ113" s="1143">
        <v>0.53149565957757405</v>
      </c>
      <c r="AK113" s="1143">
        <v>0.56891564421659602</v>
      </c>
      <c r="AL113" s="1143">
        <v>0.52810298091018915</v>
      </c>
      <c r="AM113" s="1143">
        <v>0.6022246203856142</v>
      </c>
      <c r="AN113" s="1143">
        <v>0.63450372052156767</v>
      </c>
      <c r="AO113" s="1143">
        <v>0.75073595727991094</v>
      </c>
      <c r="AP113" s="1143">
        <v>0.77953282765896881</v>
      </c>
      <c r="AQ113" s="1143">
        <v>0.67893606605320811</v>
      </c>
      <c r="AR113" s="1143">
        <v>0.67292193067776529</v>
      </c>
      <c r="AS113" s="1143">
        <v>0.83474150222763288</v>
      </c>
      <c r="AT113" s="1143">
        <v>2.6643484510231378E-4</v>
      </c>
      <c r="AU113" s="1143">
        <v>0.20414935791775768</v>
      </c>
      <c r="AV113" s="1149">
        <f ca="1">Calc!BB11</f>
        <v>0.20414935791775768</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2.78</v>
      </c>
      <c r="G114" s="251">
        <v>2.84</v>
      </c>
      <c r="H114" s="251">
        <v>2.6850000000000001</v>
      </c>
      <c r="I114" s="251">
        <v>2.96</v>
      </c>
      <c r="J114" s="251">
        <v>3.01</v>
      </c>
      <c r="K114" s="251">
        <v>3.12</v>
      </c>
      <c r="L114" s="251">
        <v>3.1871</v>
      </c>
      <c r="M114" s="251">
        <v>3.1871</v>
      </c>
      <c r="N114" s="251">
        <v>2.93</v>
      </c>
      <c r="O114" s="251">
        <v>2.9</v>
      </c>
      <c r="P114" s="251">
        <v>2.99</v>
      </c>
      <c r="Q114" s="251">
        <v>2.96</v>
      </c>
      <c r="R114" s="251">
        <v>2.81</v>
      </c>
      <c r="S114" s="251">
        <v>2.66</v>
      </c>
      <c r="T114" s="251">
        <v>2.5</v>
      </c>
      <c r="U114" s="251">
        <v>2.56</v>
      </c>
      <c r="V114" s="251">
        <v>2.4700000000000002</v>
      </c>
      <c r="W114" s="251">
        <v>2.4704000000000002</v>
      </c>
      <c r="X114" s="251">
        <v>2.27</v>
      </c>
      <c r="Y114" s="251">
        <v>2.2599999999999998</v>
      </c>
      <c r="Z114" s="245">
        <f ca="1">[1]ExtEntry!$G12</f>
        <v>2.2599999999999998</v>
      </c>
      <c r="AA114" s="275"/>
      <c r="AB114" s="1143">
        <v>1.1737423364407491</v>
      </c>
      <c r="AC114" s="1143">
        <v>0.49645097634965984</v>
      </c>
      <c r="AD114" s="1143">
        <v>123.89530412667656</v>
      </c>
      <c r="AE114" s="1143">
        <v>0.61085988980211225</v>
      </c>
      <c r="AF114" s="1143">
        <v>0.62386259839179026</v>
      </c>
      <c r="AG114" s="1143">
        <v>0.21131875466216482</v>
      </c>
      <c r="AH114" s="1143">
        <v>0.414327884742477</v>
      </c>
      <c r="AI114" s="1143">
        <v>0.41722107180097223</v>
      </c>
      <c r="AJ114" s="1143">
        <v>9.5077810806084975E-2</v>
      </c>
      <c r="AK114" s="1143">
        <v>0.12064370544007937</v>
      </c>
      <c r="AL114" s="1143">
        <v>0.14605407781930094</v>
      </c>
      <c r="AM114" s="1143">
        <v>7.6314177184168608E-2</v>
      </c>
      <c r="AN114" s="1143">
        <v>0.1346990999470557</v>
      </c>
      <c r="AO114" s="1143">
        <v>0.15704392511929524</v>
      </c>
      <c r="AP114" s="1143">
        <v>8.1333222735634092E-2</v>
      </c>
      <c r="AQ114" s="1143">
        <v>0.12993649922583933</v>
      </c>
      <c r="AR114" s="1143">
        <v>0.11485061080312024</v>
      </c>
      <c r="AS114" s="1143">
        <v>8.7184002012325498E-2</v>
      </c>
      <c r="AT114" s="1143">
        <v>8.080158412632496E-2</v>
      </c>
      <c r="AU114" s="1143">
        <v>1.6497235143042414E-2</v>
      </c>
      <c r="AV114" s="1149">
        <f ca="1">Calc!BB12</f>
        <v>1.6497235143042414E-2</v>
      </c>
      <c r="AW114" s="277"/>
      <c r="AX114" s="88" t="str">
        <f t="shared" ca="1" si="8"/>
        <v>BMRA</v>
      </c>
      <c r="BA114" s="251">
        <v>2480</v>
      </c>
      <c r="CP114" s="275"/>
      <c r="EH114" s="110"/>
    </row>
    <row r="115" spans="1:138" x14ac:dyDescent="0.3">
      <c r="A115" s="239" t="str">
        <f t="shared" ca="1" si="7"/>
        <v>C</v>
      </c>
      <c r="B115" s="240" t="str">
        <f ca="1">[1]ExtEntry!$D15</f>
        <v>USD</v>
      </c>
      <c r="C115" s="241"/>
      <c r="D115" s="1094">
        <f>ROW()</f>
        <v>115</v>
      </c>
      <c r="E115" s="242"/>
      <c r="F115" s="251">
        <v>95.47</v>
      </c>
      <c r="G115" s="251">
        <v>101.09</v>
      </c>
      <c r="H115" s="251">
        <v>100.21</v>
      </c>
      <c r="I115" s="251">
        <v>96.204999999999998</v>
      </c>
      <c r="J115" s="251">
        <v>97.465000000000003</v>
      </c>
      <c r="K115" s="251">
        <v>98.924999999999997</v>
      </c>
      <c r="L115" s="251">
        <v>98.19</v>
      </c>
      <c r="M115" s="251">
        <v>98.19</v>
      </c>
      <c r="N115" s="251">
        <v>96.814999999999998</v>
      </c>
      <c r="O115" s="251">
        <v>97.385000000000005</v>
      </c>
      <c r="P115" s="251">
        <v>99.3</v>
      </c>
      <c r="Q115" s="251">
        <v>101</v>
      </c>
      <c r="R115" s="251">
        <v>98.63</v>
      </c>
      <c r="S115" s="251">
        <v>100.27</v>
      </c>
      <c r="T115" s="251">
        <v>101.25</v>
      </c>
      <c r="U115" s="251">
        <v>101.47</v>
      </c>
      <c r="V115" s="251">
        <v>100.41</v>
      </c>
      <c r="W115" s="251">
        <v>99.83</v>
      </c>
      <c r="X115" s="251">
        <v>97.5</v>
      </c>
      <c r="Y115" s="251">
        <v>98.26</v>
      </c>
      <c r="Z115" s="245">
        <f ca="1">[1]ExtEntry!$G13</f>
        <v>98.26</v>
      </c>
      <c r="AA115" s="275"/>
      <c r="AB115" s="1143">
        <v>2.4140723563409954</v>
      </c>
      <c r="AC115" s="1143">
        <v>0.8825744736162493</v>
      </c>
      <c r="AD115" s="1143">
        <v>1.4168334603509216</v>
      </c>
      <c r="AE115" s="1143">
        <v>0.96946530439533352</v>
      </c>
      <c r="AF115" s="1143">
        <v>0.76341975204250734</v>
      </c>
      <c r="AG115" s="1143">
        <v>0.62057464446164723</v>
      </c>
      <c r="AH115" s="1143">
        <v>0.97318446620920207</v>
      </c>
      <c r="AI115" s="1143">
        <v>0.97318467270014852</v>
      </c>
      <c r="AJ115" s="1143">
        <v>0.56342415209949348</v>
      </c>
      <c r="AK115" s="1143">
        <v>0.81580242414209403</v>
      </c>
      <c r="AL115" s="1143">
        <v>0.94122825656681741</v>
      </c>
      <c r="AM115" s="1143">
        <v>0.6276333278373164</v>
      </c>
      <c r="AN115" s="1143">
        <v>0.69713980205483039</v>
      </c>
      <c r="AO115" s="1143">
        <v>0.79820508013802949</v>
      </c>
      <c r="AP115" s="1143">
        <v>0.74514423987340539</v>
      </c>
      <c r="AQ115" s="1143">
        <v>0.49907059551290756</v>
      </c>
      <c r="AR115" s="1143">
        <v>0.88466405030695294</v>
      </c>
      <c r="AS115" s="1143">
        <v>0.75426842802015048</v>
      </c>
      <c r="AT115" s="1143">
        <v>7.1958656083905348E-5</v>
      </c>
      <c r="AU115" s="1143">
        <v>0.30231117846724859</v>
      </c>
      <c r="AV115" s="1149">
        <f ca="1">Calc!BB13</f>
        <v>0.30231117846724859</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67.010000000000005</v>
      </c>
      <c r="G116" s="251">
        <v>69.17</v>
      </c>
      <c r="H116" s="251">
        <v>69.78</v>
      </c>
      <c r="I116" s="251">
        <v>69.06</v>
      </c>
      <c r="J116" s="251">
        <v>70.12</v>
      </c>
      <c r="K116" s="251">
        <v>70.58</v>
      </c>
      <c r="L116" s="251">
        <v>70.86</v>
      </c>
      <c r="M116" s="251">
        <v>70.86</v>
      </c>
      <c r="N116" s="251">
        <v>70.599999999999994</v>
      </c>
      <c r="O116" s="251">
        <v>70.635000000000005</v>
      </c>
      <c r="P116" s="251">
        <v>70.540000000000006</v>
      </c>
      <c r="Q116" s="251">
        <v>71.2</v>
      </c>
      <c r="R116" s="251">
        <v>71.37</v>
      </c>
      <c r="S116" s="251">
        <v>73.739999999999995</v>
      </c>
      <c r="T116" s="251">
        <v>72.22</v>
      </c>
      <c r="U116" s="251">
        <v>71.709999999999994</v>
      </c>
      <c r="V116" s="251">
        <v>71.39</v>
      </c>
      <c r="W116" s="251">
        <v>76.58</v>
      </c>
      <c r="X116" s="251">
        <v>77.55</v>
      </c>
      <c r="Y116" s="251">
        <v>77.25</v>
      </c>
      <c r="Z116" s="245">
        <f ca="1">[1]ExtEntry!$G14</f>
        <v>77.25</v>
      </c>
      <c r="AA116" s="275"/>
      <c r="AB116" s="1143">
        <v>0.73044471084879892</v>
      </c>
      <c r="AC116" s="1143">
        <v>0.48667546794322358</v>
      </c>
      <c r="AD116" s="1143">
        <v>0.70748798961228643</v>
      </c>
      <c r="AE116" s="1143">
        <v>0.83297563355667836</v>
      </c>
      <c r="AF116" s="1143">
        <v>0.6235406940957775</v>
      </c>
      <c r="AG116" s="1143">
        <v>0.81338717372499358</v>
      </c>
      <c r="AH116" s="1143">
        <v>0.77829062859573483</v>
      </c>
      <c r="AI116" s="1143">
        <v>0.77833481973087859</v>
      </c>
      <c r="AJ116" s="1143">
        <v>0.76463055642963029</v>
      </c>
      <c r="AK116" s="1143">
        <v>0.69374426425554125</v>
      </c>
      <c r="AL116" s="1143">
        <v>0.91015627462656457</v>
      </c>
      <c r="AM116" s="1143">
        <v>1.1502641251885886</v>
      </c>
      <c r="AN116" s="1143">
        <v>1.0474291085244638</v>
      </c>
      <c r="AO116" s="1143">
        <v>0.74658455958715064</v>
      </c>
      <c r="AP116" s="1143">
        <v>0.90727255628300707</v>
      </c>
      <c r="AQ116" s="1143">
        <v>0.56566608501227522</v>
      </c>
      <c r="AR116" s="1143">
        <v>0.61914118961950071</v>
      </c>
      <c r="AS116" s="1143">
        <v>1.8796093016027062</v>
      </c>
      <c r="AT116" s="1143">
        <v>1.0255663200009408E-5</v>
      </c>
      <c r="AU116" s="1143">
        <v>0.40983121293491032</v>
      </c>
      <c r="AV116" s="1149">
        <f ca="1">Calc!BB14</f>
        <v>0.40983121293491032</v>
      </c>
      <c r="AW116" s="277"/>
      <c r="AX116" s="88" t="str">
        <f t="shared" ca="1" si="8"/>
        <v>CSCO</v>
      </c>
      <c r="BA116" s="251">
        <v>2678</v>
      </c>
      <c r="CP116" s="275"/>
      <c r="EH116" s="110"/>
    </row>
    <row r="117" spans="1:138" x14ac:dyDescent="0.3">
      <c r="A117" s="239" t="str">
        <f t="shared" ca="1" si="7"/>
        <v>CVS</v>
      </c>
      <c r="B117" s="240" t="str">
        <f ca="1">[1]ExtEntry!$D17</f>
        <v>USD</v>
      </c>
      <c r="C117" s="241"/>
      <c r="D117" s="1094">
        <f>ROW()</f>
        <v>117</v>
      </c>
      <c r="E117" s="242"/>
      <c r="F117" s="251">
        <v>78.3</v>
      </c>
      <c r="G117" s="251">
        <v>79.98</v>
      </c>
      <c r="H117" s="251">
        <v>80.73</v>
      </c>
      <c r="I117" s="251">
        <v>81.400000000000006</v>
      </c>
      <c r="J117" s="251">
        <v>82.46</v>
      </c>
      <c r="K117" s="251">
        <v>82.36</v>
      </c>
      <c r="L117" s="251">
        <v>82.96</v>
      </c>
      <c r="M117" s="251">
        <v>82.96</v>
      </c>
      <c r="N117" s="251">
        <v>81.239999999999995</v>
      </c>
      <c r="O117" s="251">
        <v>81.52</v>
      </c>
      <c r="P117" s="251">
        <v>81.349999999999994</v>
      </c>
      <c r="Q117" s="251">
        <v>83.74</v>
      </c>
      <c r="R117" s="251">
        <v>76.08</v>
      </c>
      <c r="S117" s="251">
        <v>78.314999999999998</v>
      </c>
      <c r="T117" s="251">
        <v>77.989999999999995</v>
      </c>
      <c r="U117" s="251">
        <v>78.760000000000005</v>
      </c>
      <c r="V117" s="251">
        <v>78.989999999999995</v>
      </c>
      <c r="W117" s="251">
        <v>79.39</v>
      </c>
      <c r="X117" s="251">
        <v>78.349999999999994</v>
      </c>
      <c r="Y117" s="251">
        <v>77.905000000000001</v>
      </c>
      <c r="Z117" s="245">
        <f ca="1">[1]ExtEntry!$G15</f>
        <v>77.905000000000001</v>
      </c>
      <c r="AA117" s="275"/>
      <c r="AB117" s="1143">
        <v>1.2565254500172465</v>
      </c>
      <c r="AC117" s="1143">
        <v>0.585578409073232</v>
      </c>
      <c r="AD117" s="1143">
        <v>0.91157753100070571</v>
      </c>
      <c r="AE117" s="1143">
        <v>0.9511277027891395</v>
      </c>
      <c r="AF117" s="1143">
        <v>0.77681624909509983</v>
      </c>
      <c r="AG117" s="1143">
        <v>0.85329448220896442</v>
      </c>
      <c r="AH117" s="1143">
        <v>0.87843111892721493</v>
      </c>
      <c r="AI117" s="1143">
        <v>0.87849413419100419</v>
      </c>
      <c r="AJ117" s="1143">
        <v>0.81876217254205175</v>
      </c>
      <c r="AK117" s="1143">
        <v>0.7671670269382217</v>
      </c>
      <c r="AL117" s="1143">
        <v>0.86319880806961091</v>
      </c>
      <c r="AM117" s="1143">
        <v>1.4008547883942406</v>
      </c>
      <c r="AN117" s="1143">
        <v>1.8813645859248658</v>
      </c>
      <c r="AO117" s="1143">
        <v>0.64677553095309015</v>
      </c>
      <c r="AP117" s="1143">
        <v>0.7595232112832816</v>
      </c>
      <c r="AQ117" s="1143">
        <v>0.45745946870055576</v>
      </c>
      <c r="AR117" s="1143">
        <v>0.36095784006590592</v>
      </c>
      <c r="AS117" s="1143">
        <v>0.6428430591525538</v>
      </c>
      <c r="AT117" s="1143">
        <v>1.3372551072737217E-5</v>
      </c>
      <c r="AU117" s="1143">
        <v>0.28707137293814855</v>
      </c>
      <c r="AV117" s="1149">
        <f ca="1">Calc!BB15</f>
        <v>0.28707137293814855</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2.94</v>
      </c>
      <c r="G118" s="251">
        <v>3.21</v>
      </c>
      <c r="H118" s="251">
        <v>3.31</v>
      </c>
      <c r="I118" s="251">
        <v>3.18</v>
      </c>
      <c r="J118" s="251">
        <v>3.24</v>
      </c>
      <c r="K118" s="251">
        <v>3.66</v>
      </c>
      <c r="L118" s="251">
        <v>3.37</v>
      </c>
      <c r="M118" s="251">
        <v>3.37</v>
      </c>
      <c r="N118" s="251">
        <v>3.08</v>
      </c>
      <c r="O118" s="251">
        <v>3.18</v>
      </c>
      <c r="P118" s="251">
        <v>3.2</v>
      </c>
      <c r="Q118" s="251">
        <v>3.24</v>
      </c>
      <c r="R118" s="251">
        <v>3.04</v>
      </c>
      <c r="S118" s="251">
        <v>2.68</v>
      </c>
      <c r="T118" s="251">
        <v>2.5</v>
      </c>
      <c r="U118" s="251">
        <v>2.6</v>
      </c>
      <c r="V118" s="251">
        <v>2.2200000000000002</v>
      </c>
      <c r="W118" s="251">
        <v>2.085</v>
      </c>
      <c r="X118" s="251">
        <v>2.0499999999999998</v>
      </c>
      <c r="Y118" s="251">
        <v>2.1</v>
      </c>
      <c r="Z118" s="245">
        <f ca="1">[1]ExtEntry!$G16</f>
        <v>2.1</v>
      </c>
      <c r="AA118" s="275"/>
      <c r="AB118" s="1143">
        <v>0.6190723562989483</v>
      </c>
      <c r="AC118" s="1143">
        <v>0.64307343677691386</v>
      </c>
      <c r="AD118" s="1143">
        <v>1.0942968182263135</v>
      </c>
      <c r="AE118" s="1143">
        <v>0.82300357163750415</v>
      </c>
      <c r="AF118" s="1143">
        <v>1.5671814220431834</v>
      </c>
      <c r="AG118" s="1143">
        <v>1.2154801258593895</v>
      </c>
      <c r="AH118" s="1143">
        <v>0.97920444289454789</v>
      </c>
      <c r="AI118" s="1143">
        <v>0.97921204565739195</v>
      </c>
      <c r="AJ118" s="1143">
        <v>0.55260867669021085</v>
      </c>
      <c r="AK118" s="1143">
        <v>0.66203796015800986</v>
      </c>
      <c r="AL118" s="1143">
        <v>0.96370970010294721</v>
      </c>
      <c r="AM118" s="1143">
        <v>1.1731551306897487</v>
      </c>
      <c r="AN118" s="1143">
        <v>0.93252881992191239</v>
      </c>
      <c r="AO118" s="1143">
        <v>0.62287445509948736</v>
      </c>
      <c r="AP118" s="1143">
        <v>1.2252003181089997</v>
      </c>
      <c r="AQ118" s="1143">
        <v>0.8139190547095726</v>
      </c>
      <c r="AR118" s="1143">
        <v>0.54788075577674089</v>
      </c>
      <c r="AS118" s="1143">
        <v>0.41848479514912329</v>
      </c>
      <c r="AT118" s="1143">
        <v>2.6589571091605594E-6</v>
      </c>
      <c r="AU118" s="1143">
        <v>0.20013259900261549</v>
      </c>
      <c r="AV118" s="1149">
        <f ca="1">Calc!BB16</f>
        <v>0.20013259900261549</v>
      </c>
      <c r="AW118" s="277"/>
      <c r="AX118" s="88" t="str">
        <f t="shared" ca="1" si="8"/>
        <v>DDD</v>
      </c>
      <c r="BA118" s="251">
        <v>2876</v>
      </c>
      <c r="CP118" s="275"/>
      <c r="EH118" s="110"/>
    </row>
    <row r="119" spans="1:138" x14ac:dyDescent="0.3">
      <c r="A119" s="239" t="str">
        <f t="shared" ca="1" si="7"/>
        <v>DIS</v>
      </c>
      <c r="B119" s="240" t="str">
        <f ca="1">[1]ExtEntry!$D19</f>
        <v>USD</v>
      </c>
      <c r="C119" s="241"/>
      <c r="D119" s="1094">
        <f>ROW()</f>
        <v>119</v>
      </c>
      <c r="E119" s="242"/>
      <c r="F119" s="251">
        <v>109.77</v>
      </c>
      <c r="G119" s="251">
        <v>111.55</v>
      </c>
      <c r="H119" s="251">
        <v>111.79</v>
      </c>
      <c r="I119" s="251">
        <v>109.74</v>
      </c>
      <c r="J119" s="251">
        <v>111.03</v>
      </c>
      <c r="K119" s="251">
        <v>112.25</v>
      </c>
      <c r="L119" s="251">
        <v>114</v>
      </c>
      <c r="M119" s="251">
        <v>114</v>
      </c>
      <c r="N119" s="251">
        <v>113.17</v>
      </c>
      <c r="O119" s="251">
        <v>113.23</v>
      </c>
      <c r="P119" s="251">
        <v>111.94</v>
      </c>
      <c r="Q119" s="251">
        <v>111.91</v>
      </c>
      <c r="R119" s="251">
        <v>110.13</v>
      </c>
      <c r="S119" s="251">
        <v>110.67</v>
      </c>
      <c r="T119" s="251">
        <v>111.35</v>
      </c>
      <c r="U119" s="251">
        <v>111.49</v>
      </c>
      <c r="V119" s="251">
        <v>110.35</v>
      </c>
      <c r="W119" s="251">
        <v>107.52</v>
      </c>
      <c r="X119" s="251">
        <v>105.1</v>
      </c>
      <c r="Y119" s="251">
        <v>106.065</v>
      </c>
      <c r="Z119" s="245">
        <f ca="1">[1]ExtEntry!$G17</f>
        <v>106.065</v>
      </c>
      <c r="AA119" s="275"/>
      <c r="AB119" s="1143">
        <v>0.85301167510938047</v>
      </c>
      <c r="AC119" s="1143">
        <v>0.50262524901304584</v>
      </c>
      <c r="AD119" s="1143">
        <v>0.8465237465149057</v>
      </c>
      <c r="AE119" s="1143">
        <v>1.1438019472378613</v>
      </c>
      <c r="AF119" s="1143">
        <v>0.88033970715874299</v>
      </c>
      <c r="AG119" s="1143">
        <v>0.88166346203234114</v>
      </c>
      <c r="AH119" s="1143">
        <v>0.78694006290939056</v>
      </c>
      <c r="AI119" s="1143">
        <v>0.78694838836868952</v>
      </c>
      <c r="AJ119" s="1143">
        <v>0.76978575783389658</v>
      </c>
      <c r="AK119" s="1143">
        <v>0.69813840971538321</v>
      </c>
      <c r="AL119" s="1143">
        <v>0.73204243285457826</v>
      </c>
      <c r="AM119" s="1143">
        <v>0.86391115912806438</v>
      </c>
      <c r="AN119" s="1143">
        <v>1.089463844205405</v>
      </c>
      <c r="AO119" s="1143">
        <v>0.66768678076587551</v>
      </c>
      <c r="AP119" s="1143">
        <v>0.75299585026129023</v>
      </c>
      <c r="AQ119" s="1143">
        <v>0.99298904622139816</v>
      </c>
      <c r="AR119" s="1143">
        <v>0.86820077434090825</v>
      </c>
      <c r="AS119" s="1143">
        <v>1.7119132694577612</v>
      </c>
      <c r="AT119" s="1143">
        <v>1.2954188458828137E-4</v>
      </c>
      <c r="AU119" s="1143">
        <v>0.43204780109496366</v>
      </c>
      <c r="AV119" s="1149">
        <f ca="1">Calc!BB17</f>
        <v>0.43204780109496366</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28.65</v>
      </c>
      <c r="G120" s="251">
        <v>28.59</v>
      </c>
      <c r="H120" s="251">
        <v>28.83</v>
      </c>
      <c r="I120" s="251">
        <v>29.02</v>
      </c>
      <c r="J120" s="251">
        <v>29.45</v>
      </c>
      <c r="K120" s="251">
        <v>29.79</v>
      </c>
      <c r="L120" s="251">
        <v>30.05</v>
      </c>
      <c r="M120" s="251">
        <v>30.05</v>
      </c>
      <c r="N120" s="251">
        <v>26</v>
      </c>
      <c r="O120" s="251">
        <v>26.3</v>
      </c>
      <c r="P120" s="251">
        <v>25.72</v>
      </c>
      <c r="Q120" s="251">
        <v>25.31</v>
      </c>
      <c r="R120" s="251">
        <v>24.58</v>
      </c>
      <c r="S120" s="251">
        <v>24.14</v>
      </c>
      <c r="T120" s="251">
        <v>23.86</v>
      </c>
      <c r="U120" s="251">
        <v>23.83</v>
      </c>
      <c r="V120" s="251">
        <v>23.34</v>
      </c>
      <c r="W120" s="251">
        <v>24.01</v>
      </c>
      <c r="X120" s="251">
        <v>23.2</v>
      </c>
      <c r="Y120" s="251">
        <v>23.2</v>
      </c>
      <c r="Z120" s="245">
        <f ca="1">[1]ExtEntry!$G18</f>
        <v>23.2</v>
      </c>
      <c r="AA120" s="275"/>
      <c r="AB120" s="1143">
        <v>1.4749027360988527</v>
      </c>
      <c r="AC120" s="1143">
        <v>1.2615483322108398</v>
      </c>
      <c r="AD120" s="1143">
        <v>0.9765418502202643</v>
      </c>
      <c r="AE120" s="1143">
        <v>1.1551305544346169</v>
      </c>
      <c r="AF120" s="1143">
        <v>0.69999801538736328</v>
      </c>
      <c r="AG120" s="1143">
        <v>0.9729700694888288</v>
      </c>
      <c r="AH120" s="1143">
        <v>1.2820478126657329</v>
      </c>
      <c r="AI120" s="1143">
        <v>1.2820478126657329</v>
      </c>
      <c r="AJ120" s="1143">
        <v>5.2664647136247069</v>
      </c>
      <c r="AK120" s="1143">
        <v>2.2751021072770938</v>
      </c>
      <c r="AL120" s="1143">
        <v>1.164572473176624</v>
      </c>
      <c r="AM120" s="1143">
        <v>1.5948084413696879</v>
      </c>
      <c r="AN120" s="1143">
        <v>0.76719305698852946</v>
      </c>
      <c r="AO120" s="1143">
        <v>0.61711680290929616</v>
      </c>
      <c r="AP120" s="1143">
        <v>0.51993470790378005</v>
      </c>
      <c r="AQ120" s="1143">
        <v>0.7400236731576938</v>
      </c>
      <c r="AR120" s="1143">
        <v>0.97018179551316519</v>
      </c>
      <c r="AS120" s="1143">
        <v>1.2360891553533109</v>
      </c>
      <c r="AT120" s="1143">
        <v>0.42472573240049966</v>
      </c>
      <c r="AU120" s="1143">
        <v>1.4375302511891848</v>
      </c>
      <c r="AV120" s="1149">
        <f ca="1">Calc!BB18</f>
        <v>1.4375302511891848</v>
      </c>
      <c r="AW120" s="277"/>
      <c r="AX120" s="88" t="str">
        <f t="shared" ca="1" si="8"/>
        <v>DSY</v>
      </c>
      <c r="BA120" s="251">
        <v>3074</v>
      </c>
      <c r="CP120" s="275"/>
      <c r="EH120" s="110"/>
    </row>
    <row r="121" spans="1:138" x14ac:dyDescent="0.3">
      <c r="A121" s="239" t="str">
        <f t="shared" ca="1" si="7"/>
        <v>DVA</v>
      </c>
      <c r="B121" s="240" t="str">
        <f ca="1">[1]ExtEntry!$D21</f>
        <v>EUR</v>
      </c>
      <c r="C121" s="241"/>
      <c r="D121" s="1094">
        <f>ROW()</f>
        <v>121</v>
      </c>
      <c r="E121" s="242"/>
      <c r="F121" s="251">
        <v>123.84</v>
      </c>
      <c r="G121" s="251">
        <v>126.06</v>
      </c>
      <c r="H121" s="251">
        <v>126</v>
      </c>
      <c r="I121" s="251">
        <v>125.37</v>
      </c>
      <c r="J121" s="251">
        <v>126.43</v>
      </c>
      <c r="K121" s="251">
        <v>128.09</v>
      </c>
      <c r="L121" s="251">
        <v>128.44999999999999</v>
      </c>
      <c r="M121" s="251">
        <v>128.44999999999999</v>
      </c>
      <c r="N121" s="251">
        <v>128.21</v>
      </c>
      <c r="O121" s="251">
        <v>129.29</v>
      </c>
      <c r="P121" s="251">
        <v>129.16999999999999</v>
      </c>
      <c r="Q121" s="251">
        <v>129.55000000000001</v>
      </c>
      <c r="R121" s="251">
        <v>124.87</v>
      </c>
      <c r="S121" s="251">
        <v>118.5</v>
      </c>
      <c r="T121" s="251">
        <v>119.69</v>
      </c>
      <c r="U121" s="251">
        <v>121.18</v>
      </c>
      <c r="V121" s="251">
        <v>121.06</v>
      </c>
      <c r="W121" s="251">
        <v>123.4</v>
      </c>
      <c r="X121" s="251">
        <v>116.75</v>
      </c>
      <c r="Y121" s="251">
        <v>116.73</v>
      </c>
      <c r="Z121" s="245">
        <f ca="1">[1]ExtEntry!$G19</f>
        <v>116.73</v>
      </c>
      <c r="AA121" s="275"/>
      <c r="AB121" s="1143">
        <v>0.95368745108945219</v>
      </c>
      <c r="AC121" s="1143">
        <v>0.62744913119307544</v>
      </c>
      <c r="AD121" s="1143">
        <v>0.69290828363798096</v>
      </c>
      <c r="AE121" s="1143">
        <v>0.50495891443259588</v>
      </c>
      <c r="AF121" s="1143">
        <v>0.63132102769934428</v>
      </c>
      <c r="AG121" s="1143">
        <v>0.48659804048343974</v>
      </c>
      <c r="AH121" s="1143">
        <v>0.80818960925515593</v>
      </c>
      <c r="AI121" s="1143">
        <v>0.80818960925515593</v>
      </c>
      <c r="AJ121" s="1143">
        <v>0.74611570293863072</v>
      </c>
      <c r="AK121" s="1143">
        <v>0.9805457074900148</v>
      </c>
      <c r="AL121" s="1143">
        <v>0.88051753100539687</v>
      </c>
      <c r="AM121" s="1143">
        <v>0.89777885541612235</v>
      </c>
      <c r="AN121" s="1143">
        <v>3.9463415089757721</v>
      </c>
      <c r="AO121" s="1143">
        <v>1.2373562302944798</v>
      </c>
      <c r="AP121" s="1143">
        <v>1.143750312914803</v>
      </c>
      <c r="AQ121" s="1143">
        <v>0.79856052460665994</v>
      </c>
      <c r="AR121" s="1143">
        <v>0.87413345869595827</v>
      </c>
      <c r="AS121" s="1143">
        <v>0.77739301290205343</v>
      </c>
      <c r="AT121" s="1143">
        <v>0.87269386377095548</v>
      </c>
      <c r="AU121" s="1143">
        <v>0.25765225257265678</v>
      </c>
      <c r="AV121" s="1149">
        <f ca="1">Calc!BB19</f>
        <v>0.25765225257265678</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13.01</v>
      </c>
      <c r="G122" s="251">
        <v>13.36</v>
      </c>
      <c r="H122" s="251">
        <v>13.07</v>
      </c>
      <c r="I122" s="251">
        <v>12.69</v>
      </c>
      <c r="J122" s="251">
        <v>12.97</v>
      </c>
      <c r="K122" s="251">
        <v>13</v>
      </c>
      <c r="L122" s="251">
        <v>13.2</v>
      </c>
      <c r="M122" s="251">
        <v>13.2</v>
      </c>
      <c r="N122" s="251">
        <v>13.13</v>
      </c>
      <c r="O122" s="251">
        <v>13.51</v>
      </c>
      <c r="P122" s="251">
        <v>13.72</v>
      </c>
      <c r="Q122" s="251">
        <v>13.31</v>
      </c>
      <c r="R122" s="251">
        <v>12.99</v>
      </c>
      <c r="S122" s="251">
        <v>13.115</v>
      </c>
      <c r="T122" s="251">
        <v>13.59</v>
      </c>
      <c r="U122" s="251">
        <v>13.88</v>
      </c>
      <c r="V122" s="251">
        <v>13.5</v>
      </c>
      <c r="W122" s="251">
        <v>13.25</v>
      </c>
      <c r="X122" s="251">
        <v>12.36</v>
      </c>
      <c r="Y122" s="251">
        <v>12.22</v>
      </c>
      <c r="Z122" s="245">
        <f ca="1">[1]ExtEntry!$G20</f>
        <v>12.22</v>
      </c>
      <c r="AA122" s="275"/>
      <c r="AB122" s="1143">
        <v>0.72205758724366276</v>
      </c>
      <c r="AC122" s="1143">
        <v>0.45319555984811399</v>
      </c>
      <c r="AD122" s="1143">
        <v>1.1550204298735525</v>
      </c>
      <c r="AE122" s="1143">
        <v>0.60663797155780075</v>
      </c>
      <c r="AF122" s="1143">
        <v>0.75635487595636086</v>
      </c>
      <c r="AG122" s="1143">
        <v>0.79138027962719248</v>
      </c>
      <c r="AH122" s="1143">
        <v>0.90762737606983701</v>
      </c>
      <c r="AI122" s="1143">
        <v>0.90762737606983701</v>
      </c>
      <c r="AJ122" s="1143">
        <v>0.91871160050536138</v>
      </c>
      <c r="AK122" s="1143">
        <v>0.75176230736812832</v>
      </c>
      <c r="AL122" s="1143">
        <v>0.89021506802273964</v>
      </c>
      <c r="AM122" s="1143">
        <v>1.2842230808485819</v>
      </c>
      <c r="AN122" s="1143">
        <v>1.5000793849198675</v>
      </c>
      <c r="AO122" s="1143">
        <v>0.976962831678997</v>
      </c>
      <c r="AP122" s="1143">
        <v>1.294481685506162</v>
      </c>
      <c r="AQ122" s="1143">
        <v>0.68863495841416233</v>
      </c>
      <c r="AR122" s="1143">
        <v>0.58101947699442602</v>
      </c>
      <c r="AS122" s="1143">
        <v>1.1967604945582291</v>
      </c>
      <c r="AT122" s="1143">
        <v>1.5952857361027753E-4</v>
      </c>
      <c r="AU122" s="1143">
        <v>0.2292985220081705</v>
      </c>
      <c r="AV122" s="1149">
        <f ca="1">Calc!BB20</f>
        <v>0.2292985220081705</v>
      </c>
      <c r="AW122" s="277"/>
      <c r="AX122" s="88" t="str">
        <f t="shared" ca="1" si="8"/>
        <v>DXC</v>
      </c>
      <c r="BA122" s="251">
        <v>3272</v>
      </c>
      <c r="CP122" s="275"/>
      <c r="EH122" s="110"/>
    </row>
    <row r="123" spans="1:138" x14ac:dyDescent="0.3">
      <c r="A123" s="239" t="str">
        <f t="shared" ca="1" si="7"/>
        <v>EOAN</v>
      </c>
      <c r="B123" s="240" t="str">
        <f ca="1">[1]ExtEntry!$D23</f>
        <v>USD</v>
      </c>
      <c r="C123" s="241"/>
      <c r="D123" s="1094">
        <f>ROW()</f>
        <v>123</v>
      </c>
      <c r="E123" s="242"/>
      <c r="F123" s="251">
        <v>16.164999999999999</v>
      </c>
      <c r="G123" s="251">
        <v>16.37</v>
      </c>
      <c r="H123" s="251">
        <v>16.239999999999998</v>
      </c>
      <c r="I123" s="251">
        <v>16.164999999999999</v>
      </c>
      <c r="J123" s="251">
        <v>16.315000000000001</v>
      </c>
      <c r="K123" s="251">
        <v>16.355</v>
      </c>
      <c r="L123" s="251">
        <v>16.3</v>
      </c>
      <c r="M123" s="251">
        <v>16.3</v>
      </c>
      <c r="N123" s="251">
        <v>16.13</v>
      </c>
      <c r="O123" s="251">
        <v>15.984999999999999</v>
      </c>
      <c r="P123" s="251">
        <v>16.05</v>
      </c>
      <c r="Q123" s="251">
        <v>16.024999999999999</v>
      </c>
      <c r="R123" s="251">
        <v>16.225000000000001</v>
      </c>
      <c r="S123" s="251">
        <v>15.85</v>
      </c>
      <c r="T123" s="251">
        <v>15.824999999999999</v>
      </c>
      <c r="U123" s="251">
        <v>16.004999999999999</v>
      </c>
      <c r="V123" s="251">
        <v>16.105</v>
      </c>
      <c r="W123" s="251">
        <v>15.225</v>
      </c>
      <c r="X123" s="251">
        <v>15.315</v>
      </c>
      <c r="Y123" s="251">
        <v>15.315</v>
      </c>
      <c r="Z123" s="245">
        <f ca="1">[1]ExtEntry!$G21</f>
        <v>15.315</v>
      </c>
      <c r="AA123" s="275"/>
      <c r="AB123" s="1143">
        <v>1.0223008095157225E-3</v>
      </c>
      <c r="AC123" s="1143">
        <v>1.8751914365397946E-3</v>
      </c>
      <c r="AD123" s="1143">
        <v>2.621069224044295E-3</v>
      </c>
      <c r="AE123" s="1143">
        <v>1.6947205747222455E-3</v>
      </c>
      <c r="AF123" s="1143">
        <v>2.8769426684523477E-3</v>
      </c>
      <c r="AG123" s="1143">
        <v>3.9924448583246409E-3</v>
      </c>
      <c r="AH123" s="1143">
        <v>2.9646218410092277E-3</v>
      </c>
      <c r="AI123" s="1143">
        <v>2.9646218410092277E-3</v>
      </c>
      <c r="AJ123" s="1143">
        <v>2.0957802059433446E-3</v>
      </c>
      <c r="AK123" s="1143">
        <v>1.3643016391740198E-3</v>
      </c>
      <c r="AL123" s="1143">
        <v>7.4818016234157736E-3</v>
      </c>
      <c r="AM123" s="1143">
        <v>1.3413171372541554E-3</v>
      </c>
      <c r="AN123" s="1143">
        <v>2.7306417007996877E-4</v>
      </c>
      <c r="AO123" s="1143">
        <v>3.9124109425137327E-3</v>
      </c>
      <c r="AP123" s="1143">
        <v>1.4626982707625427E-3</v>
      </c>
      <c r="AQ123" s="1143">
        <v>1.3417069156255903E-3</v>
      </c>
      <c r="AR123" s="1143">
        <v>1.3773604663339033E-3</v>
      </c>
      <c r="AS123" s="1143">
        <v>4.2504365405498928E-3</v>
      </c>
      <c r="AT123" s="1143">
        <v>4.4907760902519392E-4</v>
      </c>
      <c r="AU123" s="1143">
        <v>3.4286087467618696E-4</v>
      </c>
      <c r="AV123" s="1149">
        <f ca="1">Calc!BB21</f>
        <v>3.4286087467618696E-4</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43">
        <v>1.8522760022071003</v>
      </c>
      <c r="AC124" s="1143">
        <v>1.8522760022071003</v>
      </c>
      <c r="AD124" s="1143">
        <v>1.8522760022071003</v>
      </c>
      <c r="AE124" s="1143">
        <v>1.8522760022071003</v>
      </c>
      <c r="AF124" s="1143">
        <v>1.8522760022071003</v>
      </c>
      <c r="AG124" s="1143">
        <v>1.8522760022071003</v>
      </c>
      <c r="AH124" s="1143">
        <v>1.8522760022071003</v>
      </c>
      <c r="AI124" s="1143">
        <v>1.8522760022071003</v>
      </c>
      <c r="AJ124" s="1143">
        <v>1.8522760022071003</v>
      </c>
      <c r="AK124" s="1143">
        <v>1.8522760022071003</v>
      </c>
      <c r="AL124" s="1143">
        <v>1.8522760022071003</v>
      </c>
      <c r="AM124" s="1143">
        <v>1.8522760022071003</v>
      </c>
      <c r="AN124" s="1143">
        <v>1.8522760022071003</v>
      </c>
      <c r="AO124" s="1143">
        <v>1.8522760022071003</v>
      </c>
      <c r="AP124" s="1143">
        <v>1.8522760022071003</v>
      </c>
      <c r="AQ124" s="1143">
        <v>1.8522760022071003</v>
      </c>
      <c r="AR124" s="1143">
        <v>1.8522760022071003</v>
      </c>
      <c r="AS124" s="1143">
        <v>1.8522760022071003</v>
      </c>
      <c r="AT124" s="1143">
        <v>1.8522760022071003</v>
      </c>
      <c r="AU124" s="1143">
        <v>1.8522760022071003</v>
      </c>
      <c r="AV124" s="1149">
        <f ca="1">Calc!BB22</f>
        <v>1.8522760022071003</v>
      </c>
      <c r="AW124" s="277"/>
      <c r="AX124" s="88" t="str">
        <f t="shared" ca="1" si="8"/>
        <v>EPIX</v>
      </c>
      <c r="BA124" s="251">
        <v>3470</v>
      </c>
      <c r="CP124" s="275"/>
      <c r="EH124" s="110"/>
    </row>
    <row r="125" spans="1:138" x14ac:dyDescent="0.3">
      <c r="A125" s="239" t="str">
        <f t="shared" ca="1" si="7"/>
        <v>GM</v>
      </c>
      <c r="B125" s="240" t="str">
        <f ca="1">[1]ExtEntry!$D25</f>
        <v>USD</v>
      </c>
      <c r="C125" s="241"/>
      <c r="D125" s="1094">
        <f>ROW()</f>
        <v>125</v>
      </c>
      <c r="E125" s="242"/>
      <c r="F125" s="251">
        <v>54.6</v>
      </c>
      <c r="G125" s="251">
        <v>57.2</v>
      </c>
      <c r="H125" s="251">
        <v>57.884999999999998</v>
      </c>
      <c r="I125" s="251">
        <v>57.73</v>
      </c>
      <c r="J125" s="251">
        <v>58.54</v>
      </c>
      <c r="K125" s="251">
        <v>63.76</v>
      </c>
      <c r="L125" s="251">
        <v>67.05</v>
      </c>
      <c r="M125" s="251">
        <v>67.05</v>
      </c>
      <c r="N125" s="251">
        <v>67.97</v>
      </c>
      <c r="O125" s="251">
        <v>67.459999999999994</v>
      </c>
      <c r="P125" s="251">
        <v>69.569999999999993</v>
      </c>
      <c r="Q125" s="251">
        <v>69.459999999999994</v>
      </c>
      <c r="R125" s="251">
        <v>68.66</v>
      </c>
      <c r="S125" s="251">
        <v>68.010000000000005</v>
      </c>
      <c r="T125" s="251">
        <v>67.040000000000006</v>
      </c>
      <c r="U125" s="251">
        <v>68.73</v>
      </c>
      <c r="V125" s="251">
        <v>68.94</v>
      </c>
      <c r="W125" s="251">
        <v>71.36</v>
      </c>
      <c r="X125" s="251">
        <v>67.83</v>
      </c>
      <c r="Y125" s="251">
        <v>68.06</v>
      </c>
      <c r="Z125" s="245">
        <f ca="1">[1]ExtEntry!$G23</f>
        <v>68.06</v>
      </c>
      <c r="AA125" s="275"/>
      <c r="AB125" s="1143">
        <v>1.0529401626284398</v>
      </c>
      <c r="AC125" s="1143">
        <v>0.68116440055188077</v>
      </c>
      <c r="AD125" s="1143">
        <v>0.75419760970212113</v>
      </c>
      <c r="AE125" s="1143">
        <v>0.99417900387791502</v>
      </c>
      <c r="AF125" s="1143">
        <v>1.2955149742773697</v>
      </c>
      <c r="AG125" s="1143">
        <v>5.4018802671740422</v>
      </c>
      <c r="AH125" s="1143">
        <v>1.9704623898806355</v>
      </c>
      <c r="AI125" s="1143">
        <v>1.9705173545024051</v>
      </c>
      <c r="AJ125" s="1143">
        <v>1.2596415025948138</v>
      </c>
      <c r="AK125" s="1143">
        <v>1.2180288765240113</v>
      </c>
      <c r="AL125" s="1143">
        <v>0.94536417561191943</v>
      </c>
      <c r="AM125" s="1143">
        <v>1.2608048361442783</v>
      </c>
      <c r="AN125" s="1143">
        <v>0.7091698971906184</v>
      </c>
      <c r="AO125" s="1143">
        <v>0.54443155164350476</v>
      </c>
      <c r="AP125" s="1143">
        <v>0.73294563061293616</v>
      </c>
      <c r="AQ125" s="1143">
        <v>0.39916381824005581</v>
      </c>
      <c r="AR125" s="1143">
        <v>0.5369764209337996</v>
      </c>
      <c r="AS125" s="1143">
        <v>0.68196638139848331</v>
      </c>
      <c r="AT125" s="1143">
        <v>3.7223569174410375E-5</v>
      </c>
      <c r="AU125" s="1143">
        <v>0.29901271886794123</v>
      </c>
      <c r="AV125" s="1149">
        <f ca="1">Calc!BB23</f>
        <v>0.29901271886794123</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24.31</v>
      </c>
      <c r="G126" s="251">
        <v>25.25</v>
      </c>
      <c r="H126" s="251">
        <v>22.97</v>
      </c>
      <c r="I126" s="251">
        <v>22.35</v>
      </c>
      <c r="J126" s="251">
        <v>23.065000000000001</v>
      </c>
      <c r="K126" s="251">
        <v>22.96</v>
      </c>
      <c r="L126" s="251">
        <v>23.14</v>
      </c>
      <c r="M126" s="251">
        <v>23.14</v>
      </c>
      <c r="N126" s="251">
        <v>23.14</v>
      </c>
      <c r="O126" s="251">
        <v>23.66</v>
      </c>
      <c r="P126" s="251">
        <v>23.78</v>
      </c>
      <c r="Q126" s="251">
        <v>24.25</v>
      </c>
      <c r="R126" s="251">
        <v>24.15</v>
      </c>
      <c r="S126" s="251">
        <v>23.914999999999999</v>
      </c>
      <c r="T126" s="251">
        <v>23.6</v>
      </c>
      <c r="U126" s="251">
        <v>23.64</v>
      </c>
      <c r="V126" s="251">
        <v>23.27</v>
      </c>
      <c r="W126" s="251">
        <v>22.48</v>
      </c>
      <c r="X126" s="251">
        <v>21.01</v>
      </c>
      <c r="Y126" s="251">
        <v>20.82</v>
      </c>
      <c r="Z126" s="245">
        <f ca="1">[1]ExtEntry!$G24</f>
        <v>20.82</v>
      </c>
      <c r="AA126" s="275"/>
      <c r="AB126" s="1143">
        <v>1.4374948855322061</v>
      </c>
      <c r="AC126" s="1143">
        <v>1.4920703466272041</v>
      </c>
      <c r="AD126" s="1143">
        <v>3.0558414464938299</v>
      </c>
      <c r="AE126" s="1143">
        <v>2.3353131464191823</v>
      </c>
      <c r="AF126" s="1143">
        <v>2.0086307622244406</v>
      </c>
      <c r="AG126" s="1143">
        <v>2.5717468887075294</v>
      </c>
      <c r="AH126" s="1143">
        <v>1.4840864923363435</v>
      </c>
      <c r="AI126" s="1143">
        <v>1.4840852862048535</v>
      </c>
      <c r="AJ126" s="1143">
        <v>0.87724076472502532</v>
      </c>
      <c r="AK126" s="1143">
        <v>0.56563566243556174</v>
      </c>
      <c r="AL126" s="1143">
        <v>1.019040334412733</v>
      </c>
      <c r="AM126" s="1143">
        <v>1.0895995176138971</v>
      </c>
      <c r="AN126" s="1143">
        <v>0.97732504217377814</v>
      </c>
      <c r="AO126" s="1143">
        <v>0.70807892326138866</v>
      </c>
      <c r="AP126" s="1143">
        <v>0.72697473833744641</v>
      </c>
      <c r="AQ126" s="1143">
        <v>0.43781814019864496</v>
      </c>
      <c r="AR126" s="1143">
        <v>0.50246663956149196</v>
      </c>
      <c r="AS126" s="1143">
        <v>0.74256574650013152</v>
      </c>
      <c r="AT126" s="1143">
        <v>9.2584161718804472E-6</v>
      </c>
      <c r="AU126" s="1143">
        <v>0.19064964394428682</v>
      </c>
      <c r="AV126" s="1149">
        <f ca="1">Calc!BB24</f>
        <v>0.19064964394428682</v>
      </c>
      <c r="AW126" s="277"/>
      <c r="AX126" s="88" t="str">
        <f t="shared" ca="1" si="8"/>
        <v>HPE</v>
      </c>
      <c r="BA126" s="251">
        <v>3668</v>
      </c>
      <c r="CP126" s="275"/>
      <c r="EH126" s="110"/>
    </row>
    <row r="127" spans="1:138" hidden="1" x14ac:dyDescent="0.3">
      <c r="A127" s="239" t="str">
        <f t="shared" ca="1" si="7"/>
        <v>HPQ</v>
      </c>
      <c r="B127" s="240" t="str">
        <f ca="1">[1]ExtEntry!$D27</f>
        <v>USD</v>
      </c>
      <c r="C127" s="241"/>
      <c r="D127" s="1094">
        <f>ROW()</f>
        <v>127</v>
      </c>
      <c r="E127" s="242"/>
      <c r="F127" s="251">
        <v>27.61</v>
      </c>
      <c r="G127" s="251">
        <v>28.85</v>
      </c>
      <c r="H127" s="251">
        <v>28.69</v>
      </c>
      <c r="I127" s="251">
        <v>27.1</v>
      </c>
      <c r="J127" s="251">
        <v>27.56</v>
      </c>
      <c r="K127" s="251">
        <v>27.73</v>
      </c>
      <c r="L127" s="251">
        <v>27.2</v>
      </c>
      <c r="M127" s="251">
        <v>27.2</v>
      </c>
      <c r="N127" s="251">
        <v>27.78</v>
      </c>
      <c r="O127" s="251">
        <v>28.26</v>
      </c>
      <c r="P127" s="251">
        <v>27.94</v>
      </c>
      <c r="Q127" s="251">
        <v>27.8</v>
      </c>
      <c r="R127" s="251">
        <v>27.39</v>
      </c>
      <c r="S127" s="251">
        <v>26.54</v>
      </c>
      <c r="T127" s="251">
        <v>25.94</v>
      </c>
      <c r="U127" s="251">
        <v>26.67</v>
      </c>
      <c r="V127" s="251">
        <v>26.03</v>
      </c>
      <c r="W127" s="251">
        <v>24.7</v>
      </c>
      <c r="X127" s="251">
        <v>22.71</v>
      </c>
      <c r="Y127" s="251">
        <v>22.68</v>
      </c>
      <c r="Z127" s="245">
        <f ca="1">[1]ExtEntry!$G25</f>
        <v>22.68</v>
      </c>
      <c r="AA127" s="275"/>
      <c r="AB127" s="1143">
        <v>1.9877102347325035</v>
      </c>
      <c r="AC127" s="1143">
        <v>1.2903675431804529</v>
      </c>
      <c r="AD127" s="1143">
        <v>2.1861402823373002</v>
      </c>
      <c r="AE127" s="1143">
        <v>0.91401756913961008</v>
      </c>
      <c r="AF127" s="1143">
        <v>0.58095213224478581</v>
      </c>
      <c r="AG127" s="1143">
        <v>0.66983644290413091</v>
      </c>
      <c r="AH127" s="1143">
        <v>0.72782972275004665</v>
      </c>
      <c r="AI127" s="1143">
        <v>0.72782972275004665</v>
      </c>
      <c r="AJ127" s="1143">
        <v>0.98794391915320234</v>
      </c>
      <c r="AK127" s="1143">
        <v>0.71089841747584015</v>
      </c>
      <c r="AL127" s="1143">
        <v>0.907759493566202</v>
      </c>
      <c r="AM127" s="1143">
        <v>0.61236721867535249</v>
      </c>
      <c r="AN127" s="1143">
        <v>0.85755858594338463</v>
      </c>
      <c r="AO127" s="1143">
        <v>0.61129312017074833</v>
      </c>
      <c r="AP127" s="1143">
        <v>0.98361954994622525</v>
      </c>
      <c r="AQ127" s="1143">
        <v>0.55763221080945125</v>
      </c>
      <c r="AR127" s="1143">
        <v>0.50945639164193712</v>
      </c>
      <c r="AS127" s="1143">
        <v>0.80008641649152312</v>
      </c>
      <c r="AT127" s="1143">
        <v>2.8306773099042699E-5</v>
      </c>
      <c r="AU127" s="1143">
        <v>0.26374238355573848</v>
      </c>
      <c r="AV127" s="1149">
        <f ca="1">Calc!BB25</f>
        <v>0.26374238355573848</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407.9</v>
      </c>
      <c r="G128" s="251">
        <v>412.1</v>
      </c>
      <c r="H128" s="251">
        <v>409.9</v>
      </c>
      <c r="I128" s="251">
        <v>402</v>
      </c>
      <c r="J128" s="251">
        <v>394.7</v>
      </c>
      <c r="K128" s="251">
        <v>398</v>
      </c>
      <c r="L128" s="251">
        <v>400</v>
      </c>
      <c r="M128" s="251">
        <v>400</v>
      </c>
      <c r="N128" s="251">
        <v>400.5</v>
      </c>
      <c r="O128" s="251">
        <v>407.6</v>
      </c>
      <c r="P128" s="251">
        <v>411.1</v>
      </c>
      <c r="Q128" s="251">
        <v>409.4</v>
      </c>
      <c r="R128" s="251">
        <v>410.4</v>
      </c>
      <c r="S128" s="251">
        <v>423.8</v>
      </c>
      <c r="T128" s="251">
        <v>421.1</v>
      </c>
      <c r="U128" s="251">
        <v>422.8</v>
      </c>
      <c r="V128" s="251">
        <v>388</v>
      </c>
      <c r="W128" s="251">
        <v>391</v>
      </c>
      <c r="X128" s="251">
        <v>371</v>
      </c>
      <c r="Y128" s="251">
        <v>371</v>
      </c>
      <c r="Z128" s="245">
        <f ca="1">[1]ExtEntry!$G26</f>
        <v>371</v>
      </c>
      <c r="AA128" s="275"/>
      <c r="AB128" s="1143">
        <v>0.85468700062329439</v>
      </c>
      <c r="AC128" s="1143">
        <v>0.97428559115998292</v>
      </c>
      <c r="AD128" s="1143">
        <v>0.66279256341103421</v>
      </c>
      <c r="AE128" s="1143">
        <v>0.90880882613755443</v>
      </c>
      <c r="AF128" s="1143">
        <v>0.61999341459571478</v>
      </c>
      <c r="AG128" s="1143">
        <v>0.52750861861252885</v>
      </c>
      <c r="AH128" s="1143">
        <v>0.88356348219671166</v>
      </c>
      <c r="AI128" s="1143">
        <v>0.88356348219671166</v>
      </c>
      <c r="AJ128" s="1143">
        <v>0.72426202212246571</v>
      </c>
      <c r="AK128" s="1143">
        <v>1.079762418214359</v>
      </c>
      <c r="AL128" s="1143">
        <v>0.66758635573959957</v>
      </c>
      <c r="AM128" s="1143">
        <v>0.88577342395348757</v>
      </c>
      <c r="AN128" s="1143">
        <v>1.3098834328411235</v>
      </c>
      <c r="AO128" s="1143">
        <v>1.3178730979495854</v>
      </c>
      <c r="AP128" s="1143">
        <v>0.84687004418415468</v>
      </c>
      <c r="AQ128" s="1143">
        <v>1.6734616290843325</v>
      </c>
      <c r="AR128" s="1143">
        <v>3.8509130711539581</v>
      </c>
      <c r="AS128" s="1143">
        <v>0.58691016038586719</v>
      </c>
      <c r="AT128" s="1143">
        <v>0.27463843313132724</v>
      </c>
      <c r="AU128" s="1143">
        <v>0.83798052886889074</v>
      </c>
      <c r="AV128" s="1149">
        <f ca="1">Calc!BB26</f>
        <v>0.83798052886889074</v>
      </c>
      <c r="AW128" s="277"/>
      <c r="AX128" s="88" t="str">
        <f t="shared" ca="1" si="8"/>
        <v>IAG</v>
      </c>
      <c r="BA128" s="251">
        <v>3866</v>
      </c>
      <c r="CP128" s="275"/>
      <c r="EH128" s="110"/>
    </row>
    <row r="129" spans="1:138" hidden="1" x14ac:dyDescent="0.3">
      <c r="A129" s="239" t="str">
        <f t="shared" ca="1" si="7"/>
        <v>KR</v>
      </c>
      <c r="B129" s="240" t="str">
        <f ca="1">[1]ExtEntry!$D29</f>
        <v>USD</v>
      </c>
      <c r="C129" s="241"/>
      <c r="D129" s="1094">
        <f>ROW()</f>
        <v>129</v>
      </c>
      <c r="E129" s="242"/>
      <c r="F129" s="251">
        <v>67.75</v>
      </c>
      <c r="G129" s="251">
        <v>68.87</v>
      </c>
      <c r="H129" s="251">
        <v>68.959999999999994</v>
      </c>
      <c r="I129" s="251">
        <v>69.37</v>
      </c>
      <c r="J129" s="251">
        <v>69</v>
      </c>
      <c r="K129" s="251">
        <v>68.75</v>
      </c>
      <c r="L129" s="251">
        <v>67.790000000000006</v>
      </c>
      <c r="M129" s="251">
        <v>67.790000000000006</v>
      </c>
      <c r="N129" s="251">
        <v>68.680000000000007</v>
      </c>
      <c r="O129" s="251">
        <v>68.87</v>
      </c>
      <c r="P129" s="251">
        <v>66.819999999999993</v>
      </c>
      <c r="Q129" s="251">
        <v>67.739999999999995</v>
      </c>
      <c r="R129" s="251">
        <v>65.930000000000007</v>
      </c>
      <c r="S129" s="251">
        <v>63.93</v>
      </c>
      <c r="T129" s="251">
        <v>63.77</v>
      </c>
      <c r="U129" s="251">
        <v>63.424999999999997</v>
      </c>
      <c r="V129" s="251">
        <v>63.805</v>
      </c>
      <c r="W129" s="251">
        <v>65.94</v>
      </c>
      <c r="X129" s="251">
        <v>66.52</v>
      </c>
      <c r="Y129" s="251">
        <v>67.56</v>
      </c>
      <c r="Z129" s="245">
        <f ca="1">[1]ExtEntry!$G27</f>
        <v>67.56</v>
      </c>
      <c r="AA129" s="275"/>
      <c r="AB129" s="1143">
        <v>0.73886116913484023</v>
      </c>
      <c r="AC129" s="1143">
        <v>0.46054764034943496</v>
      </c>
      <c r="AD129" s="1143">
        <v>0.5935507210314559</v>
      </c>
      <c r="AE129" s="1143">
        <v>0.73656239569887283</v>
      </c>
      <c r="AF129" s="1143">
        <v>0.57420556183947657</v>
      </c>
      <c r="AG129" s="1143">
        <v>0.82478815996850641</v>
      </c>
      <c r="AH129" s="1143">
        <v>0.94227211360923591</v>
      </c>
      <c r="AI129" s="1143">
        <v>0.94227424685428129</v>
      </c>
      <c r="AJ129" s="1143">
        <v>0.7295502249070227</v>
      </c>
      <c r="AK129" s="1143">
        <v>0.90460365503203155</v>
      </c>
      <c r="AL129" s="1143">
        <v>0.73252178218183606</v>
      </c>
      <c r="AM129" s="1143">
        <v>0.71332472858274854</v>
      </c>
      <c r="AN129" s="1143">
        <v>1.0937247854470769</v>
      </c>
      <c r="AO129" s="1143">
        <v>0.75195133284756088</v>
      </c>
      <c r="AP129" s="1143">
        <v>1.078670459228545</v>
      </c>
      <c r="AQ129" s="1143">
        <v>0.57730816965640996</v>
      </c>
      <c r="AR129" s="1143">
        <v>0.85989897177837271</v>
      </c>
      <c r="AS129" s="1143">
        <v>0.88662923829511275</v>
      </c>
      <c r="AT129" s="1143">
        <v>9.3075378025647846E-6</v>
      </c>
      <c r="AU129" s="1143">
        <v>0.37935129172396009</v>
      </c>
      <c r="AV129" s="1149">
        <f ca="1">Calc!BB27</f>
        <v>0.37935129172396009</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11.91</v>
      </c>
      <c r="G130" s="251">
        <v>12.01</v>
      </c>
      <c r="H130" s="251">
        <v>11.61</v>
      </c>
      <c r="I130" s="251">
        <v>11.77</v>
      </c>
      <c r="J130" s="251">
        <v>11.88</v>
      </c>
      <c r="K130" s="251">
        <v>12.22</v>
      </c>
      <c r="L130" s="251">
        <v>12.15</v>
      </c>
      <c r="M130" s="251">
        <v>12.15</v>
      </c>
      <c r="N130" s="251">
        <v>12.21</v>
      </c>
      <c r="O130" s="251">
        <v>12.18</v>
      </c>
      <c r="P130" s="251">
        <v>11.97</v>
      </c>
      <c r="Q130" s="251">
        <v>11.9582</v>
      </c>
      <c r="R130" s="251">
        <v>11.85</v>
      </c>
      <c r="S130" s="251">
        <v>12.5</v>
      </c>
      <c r="T130" s="251">
        <v>12.11</v>
      </c>
      <c r="U130" s="251">
        <v>12.37</v>
      </c>
      <c r="V130" s="251">
        <v>11.44</v>
      </c>
      <c r="W130" s="251">
        <v>10.31</v>
      </c>
      <c r="X130" s="251">
        <v>9.89</v>
      </c>
      <c r="Y130" s="251">
        <v>9.9499999999999993</v>
      </c>
      <c r="Z130" s="245">
        <f ca="1">[1]ExtEntry!$G28</f>
        <v>9.9499999999999993</v>
      </c>
      <c r="AA130" s="275"/>
      <c r="AB130" s="1143">
        <v>1.0141960606404294</v>
      </c>
      <c r="AC130" s="1143">
        <v>0.73281258974211705</v>
      </c>
      <c r="AD130" s="1143">
        <v>0.66009214782864423</v>
      </c>
      <c r="AE130" s="1143">
        <v>0.76877748836414872</v>
      </c>
      <c r="AF130" s="1143">
        <v>1.2625117008076279</v>
      </c>
      <c r="AG130" s="1143">
        <v>1.3002552042688713</v>
      </c>
      <c r="AH130" s="1143">
        <v>1.3522182070598803</v>
      </c>
      <c r="AI130" s="1143">
        <v>1.3522182070598803</v>
      </c>
      <c r="AJ130" s="1143">
        <v>0.70939429609896121</v>
      </c>
      <c r="AK130" s="1143">
        <v>0.99786689419795227</v>
      </c>
      <c r="AL130" s="1143">
        <v>0.87068453061411133</v>
      </c>
      <c r="AM130" s="1143">
        <v>1.1103667053336805</v>
      </c>
      <c r="AN130" s="1143">
        <v>0.74827992459943449</v>
      </c>
      <c r="AO130" s="1143">
        <v>0.48276417155340923</v>
      </c>
      <c r="AP130" s="1143">
        <v>0.50217010930079309</v>
      </c>
      <c r="AQ130" s="1143">
        <v>5.3632564475537396</v>
      </c>
      <c r="AR130" s="1143">
        <v>2.7624119502200064</v>
      </c>
      <c r="AS130" s="1143">
        <v>0.67310504152532458</v>
      </c>
      <c r="AT130" s="1143">
        <v>0.91963906280987051</v>
      </c>
      <c r="AU130" s="1143">
        <v>0.23353369276031477</v>
      </c>
      <c r="AV130" s="1149">
        <f ca="1">Calc!BB28</f>
        <v>0.23353369276031477</v>
      </c>
      <c r="AW130" s="277"/>
      <c r="AX130" s="88" t="str">
        <f t="shared" ca="1" si="8"/>
        <v>LNSR</v>
      </c>
      <c r="BA130" s="251">
        <v>4064</v>
      </c>
      <c r="CP130" s="275"/>
      <c r="EH130" s="110"/>
    </row>
    <row r="131" spans="1:138" hidden="1" x14ac:dyDescent="0.3">
      <c r="A131" s="239" t="str">
        <f t="shared" ca="1" si="7"/>
        <v>LUMN</v>
      </c>
      <c r="B131" s="240" t="str">
        <f ca="1">[1]ExtEntry!$D31</f>
        <v>USD</v>
      </c>
      <c r="C131" s="241"/>
      <c r="D131" s="1094">
        <f>ROW()</f>
        <v>131</v>
      </c>
      <c r="E131" s="242"/>
      <c r="F131" s="251">
        <v>6.55</v>
      </c>
      <c r="G131" s="251">
        <v>7.07</v>
      </c>
      <c r="H131" s="251">
        <v>7.31</v>
      </c>
      <c r="I131" s="251">
        <v>6.96</v>
      </c>
      <c r="J131" s="251">
        <v>7</v>
      </c>
      <c r="K131" s="251">
        <v>7.08</v>
      </c>
      <c r="L131" s="251">
        <v>7.07</v>
      </c>
      <c r="M131" s="251">
        <v>7.07</v>
      </c>
      <c r="N131" s="251">
        <v>7.25</v>
      </c>
      <c r="O131" s="251">
        <v>8.0299999999999994</v>
      </c>
      <c r="P131" s="251">
        <v>8.6199999999999992</v>
      </c>
      <c r="Q131" s="251">
        <v>9.3800000000000008</v>
      </c>
      <c r="R131" s="251">
        <v>10.54</v>
      </c>
      <c r="S131" s="251">
        <v>10.98</v>
      </c>
      <c r="T131" s="251">
        <v>10.65</v>
      </c>
      <c r="U131" s="251">
        <v>10.91</v>
      </c>
      <c r="V131" s="251">
        <v>10.88</v>
      </c>
      <c r="W131" s="251">
        <v>7.75</v>
      </c>
      <c r="X131" s="251">
        <v>7.9</v>
      </c>
      <c r="Y131" s="251">
        <v>7.73</v>
      </c>
      <c r="Z131" s="245">
        <f ca="1">[1]ExtEntry!$G29</f>
        <v>7.73</v>
      </c>
      <c r="AA131" s="275"/>
      <c r="AB131" s="1143">
        <v>0.6025645032075615</v>
      </c>
      <c r="AC131" s="1143">
        <v>0.55850831081474261</v>
      </c>
      <c r="AD131" s="1143">
        <v>0.55661194174857531</v>
      </c>
      <c r="AE131" s="1143">
        <v>0.57304661604382467</v>
      </c>
      <c r="AF131" s="1143">
        <v>0.51878582771656068</v>
      </c>
      <c r="AG131" s="1143">
        <v>0.63437631993723498</v>
      </c>
      <c r="AH131" s="1143">
        <v>0.79514935195499259</v>
      </c>
      <c r="AI131" s="1143">
        <v>0.79520198711722623</v>
      </c>
      <c r="AJ131" s="1143">
        <v>1.5561201664581401</v>
      </c>
      <c r="AK131" s="1143">
        <v>1.5376647273642639</v>
      </c>
      <c r="AL131" s="1143">
        <v>2.6608519824763204</v>
      </c>
      <c r="AM131" s="1143">
        <v>2.9625343681224332</v>
      </c>
      <c r="AN131" s="1143">
        <v>2.4219366886247116</v>
      </c>
      <c r="AO131" s="1143">
        <v>1.326124582668087</v>
      </c>
      <c r="AP131" s="1143">
        <v>0.799641736478933</v>
      </c>
      <c r="AQ131" s="1143">
        <v>0.74121660661953592</v>
      </c>
      <c r="AR131" s="1143">
        <v>0.77531527078625462</v>
      </c>
      <c r="AS131" s="1143">
        <v>0.71089577648300206</v>
      </c>
      <c r="AT131" s="1143">
        <v>1.6688047719024724E-6</v>
      </c>
      <c r="AU131" s="1143">
        <v>0.20229302989454986</v>
      </c>
      <c r="AV131" s="1149">
        <f ca="1">Calc!BB29</f>
        <v>0.20229302989454986</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26.32</v>
      </c>
      <c r="G132" s="251">
        <v>26.57</v>
      </c>
      <c r="H132" s="251">
        <v>27.844999999999999</v>
      </c>
      <c r="I132" s="251">
        <v>26.42</v>
      </c>
      <c r="J132" s="251">
        <v>26.41</v>
      </c>
      <c r="K132" s="251">
        <v>27.25</v>
      </c>
      <c r="L132" s="251">
        <v>27.21</v>
      </c>
      <c r="M132" s="251">
        <v>27.21</v>
      </c>
      <c r="N132" s="251">
        <v>25.82</v>
      </c>
      <c r="O132" s="251">
        <v>26.52</v>
      </c>
      <c r="P132" s="251">
        <v>27.01</v>
      </c>
      <c r="Q132" s="251">
        <v>26.67</v>
      </c>
      <c r="R132" s="251">
        <v>24.425000000000001</v>
      </c>
      <c r="S132" s="251">
        <v>24.62</v>
      </c>
      <c r="T132" s="251">
        <v>23.914999999999999</v>
      </c>
      <c r="U132" s="251">
        <v>25.19</v>
      </c>
      <c r="V132" s="251">
        <v>23.87</v>
      </c>
      <c r="W132" s="251">
        <v>24.434999999999999</v>
      </c>
      <c r="X132" s="251">
        <v>24.49</v>
      </c>
      <c r="Y132" s="251">
        <v>24.95</v>
      </c>
      <c r="Z132" s="245">
        <f ca="1">[1]ExtEntry!$G30</f>
        <v>24.95</v>
      </c>
      <c r="AA132" s="275"/>
      <c r="AB132" s="1143">
        <v>0.60182849497342061</v>
      </c>
      <c r="AC132" s="1143">
        <v>0.55183080617723457</v>
      </c>
      <c r="AD132" s="1143">
        <v>0.68106523740567049</v>
      </c>
      <c r="AE132" s="1143">
        <v>0.8901075085454867</v>
      </c>
      <c r="AF132" s="1143">
        <v>1.0920877480360058</v>
      </c>
      <c r="AG132" s="1143">
        <v>0.58337054498431395</v>
      </c>
      <c r="AH132" s="1143">
        <v>0.70843140830169582</v>
      </c>
      <c r="AI132" s="1143">
        <v>0.71264852075918106</v>
      </c>
      <c r="AJ132" s="1143">
        <v>0.87973962211205969</v>
      </c>
      <c r="AK132" s="1143">
        <v>0.6585892112132421</v>
      </c>
      <c r="AL132" s="1143">
        <v>0.7151078875405914</v>
      </c>
      <c r="AM132" s="1143">
        <v>0.97696341217713212</v>
      </c>
      <c r="AN132" s="1143">
        <v>5.3716423266923945</v>
      </c>
      <c r="AO132" s="1143">
        <v>0.94162875901965937</v>
      </c>
      <c r="AP132" s="1143">
        <v>0.99724643164088633</v>
      </c>
      <c r="AQ132" s="1143">
        <v>1.4043350353151909</v>
      </c>
      <c r="AR132" s="1143">
        <v>0.77200431078922915</v>
      </c>
      <c r="AS132" s="1143">
        <v>0.77376277633751334</v>
      </c>
      <c r="AT132" s="1143">
        <v>1.6918018212364272E-4</v>
      </c>
      <c r="AU132" s="1143">
        <v>0.28173453881169197</v>
      </c>
      <c r="AV132" s="1149">
        <f ca="1">Calc!BB30</f>
        <v>0.28173453881169197</v>
      </c>
      <c r="AW132" s="277"/>
      <c r="AX132" s="88" t="str">
        <f t="shared" ca="1" si="8"/>
        <v>MRNA</v>
      </c>
      <c r="BA132" s="251">
        <v>4262</v>
      </c>
      <c r="CP132" s="275"/>
      <c r="EH132" s="110"/>
    </row>
    <row r="133" spans="1:138" hidden="1" x14ac:dyDescent="0.3">
      <c r="A133" s="239" t="str">
        <f t="shared" ca="1" si="7"/>
        <v>MSFT</v>
      </c>
      <c r="B133" s="240" t="str">
        <f ca="1">[1]ExtEntry!$D33</f>
        <v>USD</v>
      </c>
      <c r="C133" s="241"/>
      <c r="D133" s="1094">
        <f>ROW()</f>
        <v>133</v>
      </c>
      <c r="E133" s="242"/>
      <c r="F133" s="251">
        <v>510</v>
      </c>
      <c r="G133" s="251">
        <v>514.95000000000005</v>
      </c>
      <c r="H133" s="251">
        <v>512.58000000000004</v>
      </c>
      <c r="I133" s="251">
        <v>509.04</v>
      </c>
      <c r="J133" s="251">
        <v>514.61</v>
      </c>
      <c r="K133" s="251">
        <v>517.5</v>
      </c>
      <c r="L133" s="251">
        <v>521.15</v>
      </c>
      <c r="M133" s="251">
        <v>521.15</v>
      </c>
      <c r="N133" s="251">
        <v>522.46</v>
      </c>
      <c r="O133" s="251">
        <v>522.79</v>
      </c>
      <c r="P133" s="251">
        <v>531.78</v>
      </c>
      <c r="Q133" s="251">
        <v>550</v>
      </c>
      <c r="R133" s="251">
        <v>530.48</v>
      </c>
      <c r="S133" s="251">
        <v>511.64</v>
      </c>
      <c r="T133" s="251">
        <v>513.29999999999995</v>
      </c>
      <c r="U133" s="251">
        <v>505.7</v>
      </c>
      <c r="V133" s="251">
        <v>497</v>
      </c>
      <c r="W133" s="251">
        <v>498.23</v>
      </c>
      <c r="X133" s="251">
        <v>495.36500000000001</v>
      </c>
      <c r="Y133" s="251">
        <v>489.46</v>
      </c>
      <c r="Z133" s="245">
        <f ca="1">[1]ExtEntry!$G31</f>
        <v>489.46</v>
      </c>
      <c r="AA133" s="275"/>
      <c r="AB133" s="1143">
        <v>0.68902944612026418</v>
      </c>
      <c r="AC133" s="1143">
        <v>0.46282941301935088</v>
      </c>
      <c r="AD133" s="1143">
        <v>0.79103754530934811</v>
      </c>
      <c r="AE133" s="1143">
        <v>1.0339002887440607</v>
      </c>
      <c r="AF133" s="1143">
        <v>0.76814982197929815</v>
      </c>
      <c r="AG133" s="1143">
        <v>0.82069361306253552</v>
      </c>
      <c r="AH133" s="1143">
        <v>0.96644224946369739</v>
      </c>
      <c r="AI133" s="1143">
        <v>0.96647974570210671</v>
      </c>
      <c r="AJ133" s="1143">
        <v>0.73842700630239333</v>
      </c>
      <c r="AK133" s="1143">
        <v>0.82617251519368551</v>
      </c>
      <c r="AL133" s="1143">
        <v>1.081164898060524</v>
      </c>
      <c r="AM133" s="1143">
        <v>1.7358141700482519</v>
      </c>
      <c r="AN133" s="1143">
        <v>2.1712001593039552</v>
      </c>
      <c r="AO133" s="1143">
        <v>0.680673569613792</v>
      </c>
      <c r="AP133" s="1143">
        <v>1.1231538776464656</v>
      </c>
      <c r="AQ133" s="1143">
        <v>0.87472833248213899</v>
      </c>
      <c r="AR133" s="1143">
        <v>0.80134100862322255</v>
      </c>
      <c r="AS133" s="1143">
        <v>1.2824915706112248</v>
      </c>
      <c r="AT133" s="1143">
        <v>4.2529824116641698E-4</v>
      </c>
      <c r="AU133" s="1143">
        <v>0.3615117522740065</v>
      </c>
      <c r="AV133" s="1149">
        <f ca="1">Calc!BB31</f>
        <v>0.3615117522740065</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84.19</v>
      </c>
      <c r="G134" s="251">
        <v>85.04</v>
      </c>
      <c r="H134" s="251">
        <v>86.22</v>
      </c>
      <c r="I134" s="251">
        <v>85.45</v>
      </c>
      <c r="J134" s="251">
        <v>85.19</v>
      </c>
      <c r="K134" s="251">
        <v>85</v>
      </c>
      <c r="L134" s="251">
        <v>84.07</v>
      </c>
      <c r="M134" s="251">
        <v>84.07</v>
      </c>
      <c r="N134" s="251">
        <v>83.89</v>
      </c>
      <c r="O134" s="251">
        <v>83.58</v>
      </c>
      <c r="P134" s="251">
        <v>83.984999999999999</v>
      </c>
      <c r="Q134" s="251">
        <v>87.52</v>
      </c>
      <c r="R134" s="251">
        <v>81.814999999999998</v>
      </c>
      <c r="S134" s="251">
        <v>81.760000000000005</v>
      </c>
      <c r="T134" s="251">
        <v>81.42</v>
      </c>
      <c r="U134" s="251">
        <v>82.1</v>
      </c>
      <c r="V134" s="251">
        <v>81.78</v>
      </c>
      <c r="W134" s="251">
        <v>83.51</v>
      </c>
      <c r="X134" s="251">
        <v>86.12</v>
      </c>
      <c r="Y134" s="251">
        <v>85.14</v>
      </c>
      <c r="Z134" s="245">
        <f ca="1">[1]ExtEntry!$G32</f>
        <v>85.14</v>
      </c>
      <c r="AA134" s="275"/>
      <c r="AB134" s="1143">
        <v>0.80985333101938861</v>
      </c>
      <c r="AC134" s="1143">
        <v>0.61611036751258641</v>
      </c>
      <c r="AD134" s="1143">
        <v>0.78374842490654884</v>
      </c>
      <c r="AE134" s="1143">
        <v>0.85775774189495779</v>
      </c>
      <c r="AF134" s="1143">
        <v>0.49045133395317253</v>
      </c>
      <c r="AG134" s="1143">
        <v>0.69706675358816927</v>
      </c>
      <c r="AH134" s="1143">
        <v>0.88360520054394565</v>
      </c>
      <c r="AI134" s="1143">
        <v>0.88360548852870313</v>
      </c>
      <c r="AJ134" s="1143">
        <v>0.54348858705048197</v>
      </c>
      <c r="AK134" s="1143">
        <v>0.60980803050369836</v>
      </c>
      <c r="AL134" s="1143">
        <v>1.878066219498973</v>
      </c>
      <c r="AM134" s="1143">
        <v>1.3622409658791463</v>
      </c>
      <c r="AN134" s="1143">
        <v>0.71163957340655792</v>
      </c>
      <c r="AO134" s="1143">
        <v>0.43236732700575148</v>
      </c>
      <c r="AP134" s="1143">
        <v>0.71769001328936355</v>
      </c>
      <c r="AQ134" s="1143">
        <v>0.39207830672938176</v>
      </c>
      <c r="AR134" s="1143">
        <v>0.69580457722675726</v>
      </c>
      <c r="AS134" s="1143">
        <v>0.90798921449140468</v>
      </c>
      <c r="AT134" s="1143">
        <v>3.3518369147530564E-5</v>
      </c>
      <c r="AU134" s="1143">
        <v>0.3830959332564437</v>
      </c>
      <c r="AV134" s="1149">
        <f ca="1">Calc!BB32</f>
        <v>0.3830959332564437</v>
      </c>
      <c r="AW134" s="277"/>
      <c r="AX134" s="88" t="str">
        <f t="shared" ca="1" si="8"/>
        <v>NEE</v>
      </c>
      <c r="BA134" s="251">
        <v>4460</v>
      </c>
      <c r="CP134" s="275"/>
      <c r="EH134" s="110"/>
    </row>
    <row r="135" spans="1:138" hidden="1" x14ac:dyDescent="0.3">
      <c r="A135" s="239" t="str">
        <f t="shared" ca="1" si="7"/>
        <v>NEM</v>
      </c>
      <c r="B135" s="240" t="str">
        <f ca="1">[1]ExtEntry!$D35</f>
        <v>USD</v>
      </c>
      <c r="C135" s="241"/>
      <c r="D135" s="1094">
        <f>ROW()</f>
        <v>135</v>
      </c>
      <c r="E135" s="242"/>
      <c r="F135" s="251">
        <v>87.7</v>
      </c>
      <c r="G135" s="251">
        <v>92.26</v>
      </c>
      <c r="H135" s="251">
        <v>95.04</v>
      </c>
      <c r="I135" s="251">
        <v>96.36</v>
      </c>
      <c r="J135" s="251">
        <v>93.86</v>
      </c>
      <c r="K135" s="251">
        <v>89.03</v>
      </c>
      <c r="L135" s="251">
        <v>83.09</v>
      </c>
      <c r="M135" s="251">
        <v>83.09</v>
      </c>
      <c r="N135" s="251">
        <v>89.15</v>
      </c>
      <c r="O135" s="251">
        <v>82.54</v>
      </c>
      <c r="P135" s="251">
        <v>79.239999999999995</v>
      </c>
      <c r="Q135" s="251">
        <v>76.739999999999995</v>
      </c>
      <c r="R135" s="251">
        <v>79.81</v>
      </c>
      <c r="S135" s="251">
        <v>79.010000000000005</v>
      </c>
      <c r="T135" s="251">
        <v>80.709999999999994</v>
      </c>
      <c r="U135" s="251">
        <v>82.43</v>
      </c>
      <c r="V135" s="251">
        <v>83.28</v>
      </c>
      <c r="W135" s="251">
        <v>86.19</v>
      </c>
      <c r="X135" s="251">
        <v>87.07</v>
      </c>
      <c r="Y135" s="251">
        <v>88.14</v>
      </c>
      <c r="Z135" s="245">
        <f ca="1">[1]ExtEntry!$G33</f>
        <v>88.14</v>
      </c>
      <c r="AA135" s="275"/>
      <c r="AB135" s="1143">
        <v>0.73614304363528482</v>
      </c>
      <c r="AC135" s="1143">
        <v>0.58182048030769118</v>
      </c>
      <c r="AD135" s="1143">
        <v>1.0799935463894499</v>
      </c>
      <c r="AE135" s="1143">
        <v>1.6389004097376347</v>
      </c>
      <c r="AF135" s="1143">
        <v>0.94729675777519262</v>
      </c>
      <c r="AG135" s="1143">
        <v>1.3575846715291022</v>
      </c>
      <c r="AH135" s="1143">
        <v>1.1985824101588962</v>
      </c>
      <c r="AI135" s="1143">
        <v>1.1985872034550706</v>
      </c>
      <c r="AJ135" s="1143">
        <v>1.1193396111995468</v>
      </c>
      <c r="AK135" s="1143">
        <v>1.626865193587236</v>
      </c>
      <c r="AL135" s="1143">
        <v>1.9150402187959894</v>
      </c>
      <c r="AM135" s="1143">
        <v>1.0514365528455953</v>
      </c>
      <c r="AN135" s="1143">
        <v>0.83748720950738875</v>
      </c>
      <c r="AO135" s="1143">
        <v>0.58158708125287895</v>
      </c>
      <c r="AP135" s="1143">
        <v>0.70988661036447553</v>
      </c>
      <c r="AQ135" s="1143">
        <v>0.593655574422572</v>
      </c>
      <c r="AR135" s="1143">
        <v>0.40252538018308653</v>
      </c>
      <c r="AS135" s="1143">
        <v>0.79406715312605769</v>
      </c>
      <c r="AT135" s="1143">
        <v>5.0409966514682275E-4</v>
      </c>
      <c r="AU135" s="1143">
        <v>0.25524794759567165</v>
      </c>
      <c r="AV135" s="1149">
        <f ca="1">Calc!BB33</f>
        <v>0.25524794759567165</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1214.75</v>
      </c>
      <c r="G136" s="251">
        <v>1213.01</v>
      </c>
      <c r="H136" s="251">
        <v>1212.1500000000001</v>
      </c>
      <c r="I136" s="251">
        <v>1183.5999999999999</v>
      </c>
      <c r="J136" s="251">
        <v>1207.875</v>
      </c>
      <c r="K136" s="251">
        <v>1242.83</v>
      </c>
      <c r="L136" s="251">
        <v>1142.9000000000001</v>
      </c>
      <c r="M136" s="251">
        <v>1142.9000000000001</v>
      </c>
      <c r="N136" s="251">
        <v>1126.9000000000001</v>
      </c>
      <c r="O136" s="251">
        <v>1111</v>
      </c>
      <c r="P136" s="251">
        <v>1100.67</v>
      </c>
      <c r="Q136" s="251">
        <v>1094</v>
      </c>
      <c r="R136" s="251">
        <v>1094.4000000000001</v>
      </c>
      <c r="S136" s="251">
        <v>1100</v>
      </c>
      <c r="T136" s="251">
        <v>1085</v>
      </c>
      <c r="U136" s="251">
        <v>1095.4100000000001</v>
      </c>
      <c r="V136" s="251">
        <v>1093.06</v>
      </c>
      <c r="W136" s="251">
        <v>1142.73</v>
      </c>
      <c r="X136" s="251">
        <v>110.29</v>
      </c>
      <c r="Y136" s="251">
        <v>112.82</v>
      </c>
      <c r="Z136" s="245">
        <f ca="1">[1]ExtEntry!$G34</f>
        <v>112.82</v>
      </c>
      <c r="AA136" s="275"/>
      <c r="AB136" s="1143">
        <v>0.70670703237535137</v>
      </c>
      <c r="AC136" s="1143">
        <v>0.43091709232963743</v>
      </c>
      <c r="AD136" s="1143">
        <v>0.88190796320128106</v>
      </c>
      <c r="AE136" s="1143">
        <v>0.9582596111095989</v>
      </c>
      <c r="AF136" s="1143">
        <v>1.2981285340576534</v>
      </c>
      <c r="AG136" s="1143">
        <v>1.9413076509623137</v>
      </c>
      <c r="AH136" s="1143">
        <v>4.466409653455476</v>
      </c>
      <c r="AI136" s="1143">
        <v>4.4668826575591396</v>
      </c>
      <c r="AJ136" s="1143">
        <v>1.8388845903905087</v>
      </c>
      <c r="AK136" s="1143">
        <v>1.5521820491512814</v>
      </c>
      <c r="AL136" s="1143">
        <v>1.196347191047503</v>
      </c>
      <c r="AM136" s="1143">
        <v>1.0050037624724333</v>
      </c>
      <c r="AN136" s="1143">
        <v>0.94018705761164389</v>
      </c>
      <c r="AO136" s="1143">
        <v>0.65134519445942096</v>
      </c>
      <c r="AP136" s="1143">
        <v>0.79349949233994399</v>
      </c>
      <c r="AQ136" s="1143">
        <v>0.61467276118380287</v>
      </c>
      <c r="AR136" s="1143">
        <v>0.70146614838085575</v>
      </c>
      <c r="AS136" s="1143">
        <v>1.0417323853468543</v>
      </c>
      <c r="AT136" s="1143">
        <v>3.9369876951413611E-4</v>
      </c>
      <c r="AU136" s="1143">
        <v>0.31860468043048967</v>
      </c>
      <c r="AV136" s="1149">
        <f ca="1">Calc!BB34</f>
        <v>0.31860468043048967</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094">
        <f>ROW()</f>
        <v>137</v>
      </c>
      <c r="E137" s="242"/>
      <c r="F137" s="251">
        <v>4.53</v>
      </c>
      <c r="G137" s="251">
        <v>4.93</v>
      </c>
      <c r="H137" s="251">
        <v>4.68</v>
      </c>
      <c r="I137" s="251">
        <v>4.34</v>
      </c>
      <c r="J137" s="251">
        <v>4.37</v>
      </c>
      <c r="K137" s="251">
        <v>4.46</v>
      </c>
      <c r="L137" s="251">
        <v>4.5</v>
      </c>
      <c r="M137" s="251">
        <v>4.5</v>
      </c>
      <c r="N137" s="251">
        <v>4.2699999999999996</v>
      </c>
      <c r="O137" s="251">
        <v>4.4800000000000004</v>
      </c>
      <c r="P137" s="251">
        <v>4.38</v>
      </c>
      <c r="Q137" s="251">
        <v>4.3</v>
      </c>
      <c r="R137" s="251">
        <v>3.99</v>
      </c>
      <c r="S137" s="251">
        <v>3.83</v>
      </c>
      <c r="T137" s="251">
        <v>3.57</v>
      </c>
      <c r="U137" s="251">
        <v>3.44</v>
      </c>
      <c r="V137" s="251">
        <v>2.67</v>
      </c>
      <c r="W137" s="251">
        <v>2.52</v>
      </c>
      <c r="X137" s="251">
        <v>2.39</v>
      </c>
      <c r="Y137" s="251">
        <v>2.23</v>
      </c>
      <c r="Z137" s="245">
        <f ca="1">[1]ExtEntry!$G35</f>
        <v>2.23</v>
      </c>
      <c r="AA137" s="275"/>
      <c r="AB137" s="1143">
        <v>0.82179547644923823</v>
      </c>
      <c r="AC137" s="1143">
        <v>0.81423601543124824</v>
      </c>
      <c r="AD137" s="1143">
        <v>1.3290193768942387</v>
      </c>
      <c r="AE137" s="1143">
        <v>0.89102842629193557</v>
      </c>
      <c r="AF137" s="1143">
        <v>0.66600253186408498</v>
      </c>
      <c r="AG137" s="1143">
        <v>0.47786254516728355</v>
      </c>
      <c r="AH137" s="1143">
        <v>0.69580783253227063</v>
      </c>
      <c r="AI137" s="1143">
        <v>0.69580783253227063</v>
      </c>
      <c r="AJ137" s="1143">
        <v>0.68196739189705002</v>
      </c>
      <c r="AK137" s="1143">
        <v>0.73667907647482966</v>
      </c>
      <c r="AL137" s="1143">
        <v>0.43052732631831581</v>
      </c>
      <c r="AM137" s="1143">
        <v>0.66523455643288432</v>
      </c>
      <c r="AN137" s="1143">
        <v>0.76279120400609624</v>
      </c>
      <c r="AO137" s="1143">
        <v>1.0010321183382895</v>
      </c>
      <c r="AP137" s="1143">
        <v>1.8922552774746138</v>
      </c>
      <c r="AQ137" s="1143">
        <v>1.1658055573057777</v>
      </c>
      <c r="AR137" s="1143">
        <v>1.7209378846883396</v>
      </c>
      <c r="AS137" s="1143">
        <v>1.1446733744668449</v>
      </c>
      <c r="AT137" s="1143">
        <v>8.3503820299778709E-5</v>
      </c>
      <c r="AU137" s="1143">
        <v>0.41464384557603706</v>
      </c>
      <c r="AV137" s="1149">
        <f ca="1">Calc!BB35</f>
        <v>0.41464384557603706</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39.85</v>
      </c>
      <c r="G138" s="251">
        <v>40.44</v>
      </c>
      <c r="H138" s="251">
        <v>41.6</v>
      </c>
      <c r="I138" s="251">
        <v>40.950000000000003</v>
      </c>
      <c r="J138" s="251">
        <v>39.409999999999997</v>
      </c>
      <c r="K138" s="251">
        <v>36.049999999999997</v>
      </c>
      <c r="L138" s="251">
        <v>34.36</v>
      </c>
      <c r="M138" s="251">
        <v>34.36</v>
      </c>
      <c r="N138" s="251">
        <v>36.950000000000003</v>
      </c>
      <c r="O138" s="251">
        <v>35.619999999999997</v>
      </c>
      <c r="P138" s="251">
        <v>35.130000000000003</v>
      </c>
      <c r="Q138" s="251">
        <v>33.96</v>
      </c>
      <c r="R138" s="251">
        <v>35.14</v>
      </c>
      <c r="S138" s="251">
        <v>33.700000000000003</v>
      </c>
      <c r="T138" s="251">
        <v>34.01</v>
      </c>
      <c r="U138" s="251">
        <v>34.075000000000003</v>
      </c>
      <c r="V138" s="251">
        <v>34.090000000000003</v>
      </c>
      <c r="W138" s="251">
        <v>36.81</v>
      </c>
      <c r="X138" s="251">
        <v>37.634999999999998</v>
      </c>
      <c r="Y138" s="251">
        <v>38.86</v>
      </c>
      <c r="Z138" s="245">
        <f ca="1">[1]ExtEntry!$G36</f>
        <v>38.86</v>
      </c>
      <c r="AA138" s="275"/>
      <c r="AB138" s="1143">
        <v>1.0418068687774156</v>
      </c>
      <c r="AC138" s="1143">
        <v>0.76687161679430604</v>
      </c>
      <c r="AD138" s="1143">
        <v>1.0212383039709105</v>
      </c>
      <c r="AE138" s="1143">
        <v>1.2920173521623526</v>
      </c>
      <c r="AF138" s="1143">
        <v>0.68061552419611904</v>
      </c>
      <c r="AG138" s="1143">
        <v>1.3565011172883199</v>
      </c>
      <c r="AH138" s="1143">
        <v>0.92575741302016068</v>
      </c>
      <c r="AI138" s="1143">
        <v>0.92576737037744627</v>
      </c>
      <c r="AJ138" s="1143">
        <v>0.47076347077658948</v>
      </c>
      <c r="AK138" s="1143">
        <v>0.52309837743145404</v>
      </c>
      <c r="AL138" s="1143">
        <v>1.0091461055034507</v>
      </c>
      <c r="AM138" s="1143">
        <v>0.74505920819039861</v>
      </c>
      <c r="AN138" s="1143">
        <v>0.60417748885172418</v>
      </c>
      <c r="AO138" s="1143">
        <v>0.55529782827014817</v>
      </c>
      <c r="AP138" s="1143">
        <v>0.66621528773103111</v>
      </c>
      <c r="AQ138" s="1143">
        <v>0.52926230386351591</v>
      </c>
      <c r="AR138" s="1143">
        <v>0.4777762763177395</v>
      </c>
      <c r="AS138" s="1143">
        <v>1.0116293068471442</v>
      </c>
      <c r="AT138" s="1143">
        <v>8.5097521334452056E-4</v>
      </c>
      <c r="AU138" s="1143">
        <v>0.41100608779237424</v>
      </c>
      <c r="AV138" s="1149">
        <f ca="1">Calc!BB36</f>
        <v>0.41100608779237424</v>
      </c>
      <c r="AW138" s="277"/>
      <c r="AX138" s="88" t="str">
        <f t="shared" ca="1" si="10"/>
        <v>PAAS</v>
      </c>
      <c r="BA138" s="251">
        <v>4856</v>
      </c>
      <c r="CP138" s="275"/>
      <c r="EH138" s="110"/>
    </row>
    <row r="139" spans="1:138" hidden="1" x14ac:dyDescent="0.3">
      <c r="A139" s="239" t="str">
        <f t="shared" ca="1" si="9"/>
        <v>PROF</v>
      </c>
      <c r="B139" s="240" t="str">
        <f ca="1">[1]ExtEntry!$D39</f>
        <v>USD</v>
      </c>
      <c r="C139" s="241"/>
      <c r="D139" s="1094">
        <f>ROW()</f>
        <v>139</v>
      </c>
      <c r="E139" s="242"/>
      <c r="F139" s="251">
        <v>5.95</v>
      </c>
      <c r="G139" s="251">
        <v>5.89</v>
      </c>
      <c r="H139" s="251">
        <v>5.77</v>
      </c>
      <c r="I139" s="251">
        <v>5.54</v>
      </c>
      <c r="J139" s="251">
        <v>5.6</v>
      </c>
      <c r="K139" s="251">
        <v>5.83</v>
      </c>
      <c r="L139" s="251">
        <v>5.7</v>
      </c>
      <c r="M139" s="251">
        <v>5.7</v>
      </c>
      <c r="N139" s="251">
        <v>5.6</v>
      </c>
      <c r="O139" s="251">
        <v>5.38</v>
      </c>
      <c r="P139" s="251">
        <v>5.47</v>
      </c>
      <c r="Q139" s="251">
        <v>5.49</v>
      </c>
      <c r="R139" s="251">
        <v>6.02</v>
      </c>
      <c r="S139" s="251">
        <v>5.93</v>
      </c>
      <c r="T139" s="251">
        <v>5.83</v>
      </c>
      <c r="U139" s="251">
        <v>5.86</v>
      </c>
      <c r="V139" s="251">
        <v>5.81</v>
      </c>
      <c r="W139" s="251">
        <v>5.99</v>
      </c>
      <c r="X139" s="251">
        <v>6.46</v>
      </c>
      <c r="Y139" s="251">
        <v>6.25</v>
      </c>
      <c r="Z139" s="245">
        <f ca="1">[1]ExtEntry!$G37</f>
        <v>6.25</v>
      </c>
      <c r="AA139" s="275"/>
      <c r="AB139" s="1143">
        <v>0.43079191898099811</v>
      </c>
      <c r="AC139" s="1143">
        <v>0.22563622657204502</v>
      </c>
      <c r="AD139" s="1143">
        <v>0.35328250851794318</v>
      </c>
      <c r="AE139" s="1143">
        <v>8.5319958125173928E-2</v>
      </c>
      <c r="AF139" s="1143">
        <v>0.32619071593998589</v>
      </c>
      <c r="AG139" s="1143">
        <v>0.14379855669130578</v>
      </c>
      <c r="AH139" s="1143">
        <v>0.43676550598476604</v>
      </c>
      <c r="AI139" s="1143">
        <v>0.43676550598476604</v>
      </c>
      <c r="AJ139" s="1143">
        <v>0.28369034019859002</v>
      </c>
      <c r="AK139" s="1143">
        <v>0.70349137663733641</v>
      </c>
      <c r="AL139" s="1143">
        <v>0.12710215906739325</v>
      </c>
      <c r="AM139" s="1143">
        <v>0.78849900326205147</v>
      </c>
      <c r="AN139" s="1143">
        <v>0.76814975656466211</v>
      </c>
      <c r="AO139" s="1143">
        <v>0.45734339786581224</v>
      </c>
      <c r="AP139" s="1143">
        <v>0.64126160567995627</v>
      </c>
      <c r="AQ139" s="1143">
        <v>0.25422779553588504</v>
      </c>
      <c r="AR139" s="1143">
        <v>0.46411032434901783</v>
      </c>
      <c r="AS139" s="1143">
        <v>6.0746796594593659</v>
      </c>
      <c r="AT139" s="1143">
        <v>1.2384528981094285</v>
      </c>
      <c r="AU139" s="1143">
        <v>0.23560663703229079</v>
      </c>
      <c r="AV139" s="1149">
        <f ca="1">Calc!BB37</f>
        <v>0.23560663703229079</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8</v>
      </c>
      <c r="G140" s="251">
        <v>9.35</v>
      </c>
      <c r="H140" s="251">
        <v>8.56</v>
      </c>
      <c r="I140" s="251">
        <v>7.4</v>
      </c>
      <c r="J140" s="251">
        <v>7.19</v>
      </c>
      <c r="K140" s="251">
        <v>7.8949999999999996</v>
      </c>
      <c r="L140" s="251">
        <v>7.74</v>
      </c>
      <c r="M140" s="251">
        <v>7.74</v>
      </c>
      <c r="N140" s="251">
        <v>7.2750000000000004</v>
      </c>
      <c r="O140" s="251">
        <v>7.5750000000000002</v>
      </c>
      <c r="P140" s="251">
        <v>8.2100000000000009</v>
      </c>
      <c r="Q140" s="251">
        <v>7.55</v>
      </c>
      <c r="R140" s="251">
        <v>6.5449999999999999</v>
      </c>
      <c r="S140" s="251">
        <v>6.21</v>
      </c>
      <c r="T140" s="251">
        <v>6.07</v>
      </c>
      <c r="U140" s="251">
        <v>6.13</v>
      </c>
      <c r="V140" s="251">
        <v>5.1100000000000003</v>
      </c>
      <c r="W140" s="251">
        <v>4.2</v>
      </c>
      <c r="X140" s="251">
        <v>4.0880000000000001</v>
      </c>
      <c r="Y140" s="251">
        <v>4.29</v>
      </c>
      <c r="Z140" s="245">
        <f ca="1">[1]ExtEntry!$G38</f>
        <v>4.29</v>
      </c>
      <c r="AA140" s="275"/>
      <c r="AB140" s="1143">
        <v>1.9951578742484031</v>
      </c>
      <c r="AC140" s="1143">
        <v>1.7350178573023305</v>
      </c>
      <c r="AD140" s="1143">
        <v>1.0962783350362724</v>
      </c>
      <c r="AE140" s="1143">
        <v>0.86713133451711966</v>
      </c>
      <c r="AF140" s="1143">
        <v>0.98463979046828165</v>
      </c>
      <c r="AG140" s="1143">
        <v>0.90922091106489467</v>
      </c>
      <c r="AH140" s="1143">
        <v>1.8875301669134383</v>
      </c>
      <c r="AI140" s="1143">
        <v>1.887625254673692</v>
      </c>
      <c r="AJ140" s="1143">
        <v>0.78222876062564051</v>
      </c>
      <c r="AK140" s="1143">
        <v>1.3153972389448818</v>
      </c>
      <c r="AL140" s="1143">
        <v>1.3100242749741313</v>
      </c>
      <c r="AM140" s="1143">
        <v>0.74492807571162867</v>
      </c>
      <c r="AN140" s="1143">
        <v>0.53770216324667119</v>
      </c>
      <c r="AO140" s="1143">
        <v>0.78723125710981046</v>
      </c>
      <c r="AP140" s="1143">
        <v>0.44004048838580384</v>
      </c>
      <c r="AQ140" s="1143">
        <v>0.66763223325435916</v>
      </c>
      <c r="AR140" s="1143">
        <v>0.54843184414934687</v>
      </c>
      <c r="AS140" s="1143">
        <v>0.76300790785497974</v>
      </c>
      <c r="AT140" s="1143">
        <v>7.6522959564288064E-5</v>
      </c>
      <c r="AU140" s="1143">
        <v>0.27700442895846106</v>
      </c>
      <c r="AV140" s="1149">
        <f ca="1">Calc!BB38</f>
        <v>0.27700442895846106</v>
      </c>
      <c r="AW140" s="277"/>
      <c r="AX140" s="88" t="str">
        <f t="shared" ca="1" si="10"/>
        <v>POET</v>
      </c>
      <c r="BA140" s="251">
        <v>5054</v>
      </c>
      <c r="CP140" s="275"/>
      <c r="EH140" s="110"/>
    </row>
    <row r="141" spans="1:138" hidden="1" x14ac:dyDescent="0.3">
      <c r="A141" s="239" t="str">
        <f t="shared" ca="1" si="9"/>
        <v>PW</v>
      </c>
      <c r="B141" s="240" t="str">
        <f ca="1">[1]ExtEntry!$D41</f>
        <v>EUR</v>
      </c>
      <c r="C141" s="241"/>
      <c r="D141" s="1094">
        <f>ROW()</f>
        <v>141</v>
      </c>
      <c r="E141" s="242"/>
      <c r="F141" s="251">
        <v>0.8619</v>
      </c>
      <c r="G141" s="251">
        <v>0.9</v>
      </c>
      <c r="H141" s="251">
        <v>0.93989999999999996</v>
      </c>
      <c r="I141" s="251">
        <v>0.9</v>
      </c>
      <c r="J141" s="251">
        <v>0.84</v>
      </c>
      <c r="K141" s="251">
        <v>0.78</v>
      </c>
      <c r="L141" s="251">
        <v>0.72</v>
      </c>
      <c r="M141" s="251">
        <v>0.72</v>
      </c>
      <c r="N141" s="251">
        <v>0.69</v>
      </c>
      <c r="O141" s="251">
        <v>0.71</v>
      </c>
      <c r="P141" s="251">
        <v>0.75349999999999995</v>
      </c>
      <c r="Q141" s="251">
        <v>0.80740000000000001</v>
      </c>
      <c r="R141" s="251">
        <v>0.79</v>
      </c>
      <c r="S141" s="251">
        <v>0.71699999999999997</v>
      </c>
      <c r="T141" s="251">
        <v>0.70030000000000003</v>
      </c>
      <c r="U141" s="251">
        <v>0.75</v>
      </c>
      <c r="V141" s="251">
        <v>0.65069999999999995</v>
      </c>
      <c r="W141" s="251">
        <v>0.6</v>
      </c>
      <c r="X141" s="251">
        <v>0.68669999999999998</v>
      </c>
      <c r="Y141" s="251">
        <v>0.66679999999999995</v>
      </c>
      <c r="Z141" s="245">
        <f ca="1">[1]ExtEntry!$G39</f>
        <v>0.66679999999999995</v>
      </c>
      <c r="AA141" s="275"/>
      <c r="AB141" s="1143">
        <v>0.39466161114621889</v>
      </c>
      <c r="AC141" s="1143">
        <v>9.7452967722995928E-2</v>
      </c>
      <c r="AD141" s="1143">
        <v>0.32614738526147385</v>
      </c>
      <c r="AE141" s="1143">
        <v>0.34969690598829672</v>
      </c>
      <c r="AF141" s="1143">
        <v>0.10088357948748428</v>
      </c>
      <c r="AG141" s="1143">
        <v>0.27680494148891199</v>
      </c>
      <c r="AH141" s="1143">
        <v>0.31051960755253877</v>
      </c>
      <c r="AI141" s="1143">
        <v>0.31051960755253877</v>
      </c>
      <c r="AJ141" s="1143">
        <v>2.6567245037696949</v>
      </c>
      <c r="AK141" s="1143">
        <v>4.5799264275562246</v>
      </c>
      <c r="AL141" s="1143">
        <v>0.43888107854799757</v>
      </c>
      <c r="AM141" s="1143">
        <v>0.61033717720506664</v>
      </c>
      <c r="AN141" s="1143">
        <v>0.54608906110574629</v>
      </c>
      <c r="AO141" s="1143">
        <v>0.64076901328809721</v>
      </c>
      <c r="AP141" s="1143">
        <v>0.69372648270919191</v>
      </c>
      <c r="AQ141" s="1143">
        <v>0.39287623630045443</v>
      </c>
      <c r="AR141" s="1143">
        <v>0.20576201264667096</v>
      </c>
      <c r="AS141" s="1143">
        <v>2.2977779841649446</v>
      </c>
      <c r="AT141" s="1143">
        <v>0.81991952709751126</v>
      </c>
      <c r="AU141" s="1143">
        <v>0.11316280361962217</v>
      </c>
      <c r="AV141" s="1149">
        <f ca="1">Calc!BB39</f>
        <v>0.11316280361962217</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26.49</v>
      </c>
      <c r="G142" s="251">
        <v>27.45</v>
      </c>
      <c r="H142" s="251">
        <v>28.45</v>
      </c>
      <c r="I142" s="251">
        <v>28.02</v>
      </c>
      <c r="J142" s="251">
        <v>28.3</v>
      </c>
      <c r="K142" s="251">
        <v>29.5</v>
      </c>
      <c r="L142" s="251">
        <v>30.25</v>
      </c>
      <c r="M142" s="251">
        <v>30.25</v>
      </c>
      <c r="N142" s="251">
        <v>30.69</v>
      </c>
      <c r="O142" s="251">
        <v>29.71</v>
      </c>
      <c r="P142" s="251">
        <v>30.13</v>
      </c>
      <c r="Q142" s="251">
        <v>29.33</v>
      </c>
      <c r="R142" s="251">
        <v>29.36</v>
      </c>
      <c r="S142" s="251">
        <v>30.09</v>
      </c>
      <c r="T142" s="251">
        <v>34.869999999999997</v>
      </c>
      <c r="U142" s="251">
        <v>37.97</v>
      </c>
      <c r="V142" s="251">
        <v>35.369999999999997</v>
      </c>
      <c r="W142" s="251">
        <v>39.53</v>
      </c>
      <c r="X142" s="251">
        <v>42.01</v>
      </c>
      <c r="Y142" s="251">
        <v>46.1</v>
      </c>
      <c r="Z142" s="245">
        <f ca="1">[1]ExtEntry!$G40</f>
        <v>46.1</v>
      </c>
      <c r="AA142" s="275"/>
      <c r="AB142" s="1143">
        <v>0.59891528659324278</v>
      </c>
      <c r="AC142" s="1143">
        <v>0.37785167191409857</v>
      </c>
      <c r="AD142" s="1143">
        <v>0.53181731409441602</v>
      </c>
      <c r="AE142" s="1143">
        <v>0.607124315426256</v>
      </c>
      <c r="AF142" s="1143">
        <v>0.53916974850022703</v>
      </c>
      <c r="AG142" s="1143">
        <v>0.63169977724235127</v>
      </c>
      <c r="AH142" s="1143">
        <v>0.97536825715181963</v>
      </c>
      <c r="AI142" s="1143">
        <v>0.97536825715181963</v>
      </c>
      <c r="AJ142" s="1143">
        <v>0.71945610330754073</v>
      </c>
      <c r="AK142" s="1143">
        <v>0.48854032891128196</v>
      </c>
      <c r="AL142" s="1143">
        <v>0.73013586483191084</v>
      </c>
      <c r="AM142" s="1143">
        <v>0.46802580364190643</v>
      </c>
      <c r="AN142" s="1143">
        <v>1.0051841149975111</v>
      </c>
      <c r="AO142" s="1143">
        <v>1.2756641361283805</v>
      </c>
      <c r="AP142" s="1143">
        <v>4.7355896728708862</v>
      </c>
      <c r="AQ142" s="1143">
        <v>1.0775654825819074</v>
      </c>
      <c r="AR142" s="1143">
        <v>0.80964531679843854</v>
      </c>
      <c r="AS142" s="1143">
        <v>1.1956010767953285</v>
      </c>
      <c r="AT142" s="1143">
        <v>7.2531019374024331E-5</v>
      </c>
      <c r="AU142" s="1143">
        <v>0.84475008589206868</v>
      </c>
      <c r="AV142" s="1149">
        <f ca="1">Calc!BB40</f>
        <v>0.84475008589206868</v>
      </c>
      <c r="AW142" s="277"/>
      <c r="AX142" s="88" t="str">
        <f t="shared" ca="1" si="10"/>
        <v>RIGL</v>
      </c>
      <c r="BA142" s="251">
        <v>5252</v>
      </c>
      <c r="CP142" s="275"/>
      <c r="EH142" s="110"/>
    </row>
    <row r="143" spans="1:138" hidden="1" x14ac:dyDescent="0.3">
      <c r="A143" s="239" t="str">
        <f t="shared" ca="1" si="9"/>
        <v>RWE</v>
      </c>
      <c r="B143" s="240" t="str">
        <f ca="1">[1]ExtEntry!$D43</f>
        <v>USD</v>
      </c>
      <c r="C143" s="241"/>
      <c r="D143" s="1094">
        <f>ROW()</f>
        <v>143</v>
      </c>
      <c r="E143" s="242"/>
      <c r="F143" s="251">
        <v>40.700000000000003</v>
      </c>
      <c r="G143" s="251">
        <v>40.67</v>
      </c>
      <c r="H143" s="251">
        <v>40.85</v>
      </c>
      <c r="I143" s="251">
        <v>41.14</v>
      </c>
      <c r="J143" s="251">
        <v>40.86</v>
      </c>
      <c r="K143" s="251">
        <v>40.869999999999997</v>
      </c>
      <c r="L143" s="251">
        <v>40.58</v>
      </c>
      <c r="M143" s="251">
        <v>40.58</v>
      </c>
      <c r="N143" s="251">
        <v>39.78</v>
      </c>
      <c r="O143" s="251">
        <v>40.340000000000003</v>
      </c>
      <c r="P143" s="251">
        <v>40.54</v>
      </c>
      <c r="Q143" s="251">
        <v>40.43</v>
      </c>
      <c r="R143" s="251">
        <v>42.24</v>
      </c>
      <c r="S143" s="251">
        <v>42.46</v>
      </c>
      <c r="T143" s="251">
        <v>42.28</v>
      </c>
      <c r="U143" s="251">
        <v>42.5</v>
      </c>
      <c r="V143" s="251">
        <v>43.11</v>
      </c>
      <c r="W143" s="251">
        <v>45.45</v>
      </c>
      <c r="X143" s="251">
        <v>44.96</v>
      </c>
      <c r="Y143" s="251">
        <v>44.96</v>
      </c>
      <c r="Z143" s="245">
        <f ca="1">[1]ExtEntry!$G41</f>
        <v>44.96</v>
      </c>
      <c r="AA143" s="275"/>
      <c r="AB143" s="1143">
        <v>1.0585849090342457E-3</v>
      </c>
      <c r="AC143" s="1143">
        <v>3.3320044160942098E-3</v>
      </c>
      <c r="AD143" s="1143">
        <v>3.4787200771112009E-3</v>
      </c>
      <c r="AE143" s="1143">
        <v>2.6549612375659317E-3</v>
      </c>
      <c r="AF143" s="1143">
        <v>1.819630684912659E-3</v>
      </c>
      <c r="AG143" s="1143">
        <v>2.6084812905962816E-3</v>
      </c>
      <c r="AH143" s="1143">
        <v>1.7585367412511838E-2</v>
      </c>
      <c r="AI143" s="1143">
        <v>1.7585367412511838E-2</v>
      </c>
      <c r="AJ143" s="1143">
        <v>1.3090727062124202E-3</v>
      </c>
      <c r="AK143" s="1143">
        <v>1.0127996926676795E-3</v>
      </c>
      <c r="AL143" s="1143">
        <v>4.9424178325354713E-3</v>
      </c>
      <c r="AM143" s="1143">
        <v>1.7274650239358742E-3</v>
      </c>
      <c r="AN143" s="1143">
        <v>3.5312240786823084E-3</v>
      </c>
      <c r="AO143" s="1143">
        <v>3.1655184986713663E-3</v>
      </c>
      <c r="AP143" s="1143">
        <v>3.2275726924296129E-3</v>
      </c>
      <c r="AQ143" s="1143">
        <v>5.2418769337309696E-3</v>
      </c>
      <c r="AR143" s="1143">
        <v>4.4524727823072796E-3</v>
      </c>
      <c r="AS143" s="1143">
        <v>2.8542469819550775E-3</v>
      </c>
      <c r="AT143" s="1143">
        <v>7.7837800651932073E-3</v>
      </c>
      <c r="AU143" s="1143">
        <v>5.5391708193498089E-3</v>
      </c>
      <c r="AV143" s="1149">
        <f ca="1">Calc!BB41</f>
        <v>5.5391708193498089E-3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230.95</v>
      </c>
      <c r="G144" s="251">
        <v>231.8</v>
      </c>
      <c r="H144" s="251">
        <v>231.2</v>
      </c>
      <c r="I144" s="251">
        <v>229.25</v>
      </c>
      <c r="J144" s="251">
        <v>233.8</v>
      </c>
      <c r="K144" s="251">
        <v>238.15</v>
      </c>
      <c r="L144" s="251">
        <v>241.15</v>
      </c>
      <c r="M144" s="251">
        <v>241.15</v>
      </c>
      <c r="N144" s="251">
        <v>239.4</v>
      </c>
      <c r="O144" s="251">
        <v>241.25</v>
      </c>
      <c r="P144" s="251">
        <v>234</v>
      </c>
      <c r="Q144" s="251">
        <v>233.9</v>
      </c>
      <c r="R144" s="251">
        <v>224.3</v>
      </c>
      <c r="S144" s="251">
        <v>226</v>
      </c>
      <c r="T144" s="251">
        <v>224.95</v>
      </c>
      <c r="U144" s="251">
        <v>225.6</v>
      </c>
      <c r="V144" s="251">
        <v>219.65</v>
      </c>
      <c r="W144" s="251">
        <v>213.75</v>
      </c>
      <c r="X144" s="251">
        <v>205.2</v>
      </c>
      <c r="Y144" s="251">
        <v>205.2</v>
      </c>
      <c r="Z144" s="245">
        <f ca="1">[1]ExtEntry!$G42</f>
        <v>205.2</v>
      </c>
      <c r="AA144" s="275"/>
      <c r="AB144" s="1143">
        <v>1.1919431065487109</v>
      </c>
      <c r="AC144" s="1143">
        <v>0.97916485351189575</v>
      </c>
      <c r="AD144" s="1143">
        <v>1.035415409827209</v>
      </c>
      <c r="AE144" s="1143">
        <v>1.0497599001618751</v>
      </c>
      <c r="AF144" s="1143">
        <v>1.2601543085273403</v>
      </c>
      <c r="AG144" s="1143">
        <v>1.2221288444286464</v>
      </c>
      <c r="AH144" s="1143">
        <v>1.4835821527107771</v>
      </c>
      <c r="AI144" s="1143">
        <v>1.4835821527107771</v>
      </c>
      <c r="AJ144" s="1143">
        <v>2.6649710633079384</v>
      </c>
      <c r="AK144" s="1143">
        <v>1.514105482432194</v>
      </c>
      <c r="AL144" s="1143">
        <v>0.93913206074599198</v>
      </c>
      <c r="AM144" s="1143">
        <v>0.73112677422483752</v>
      </c>
      <c r="AN144" s="1143">
        <v>0.8612364119469329</v>
      </c>
      <c r="AO144" s="1143">
        <v>0.61165650280024886</v>
      </c>
      <c r="AP144" s="1143">
        <v>0.60507338761860219</v>
      </c>
      <c r="AQ144" s="1143">
        <v>0.85338166536039561</v>
      </c>
      <c r="AR144" s="1143">
        <v>1.1597733249552002</v>
      </c>
      <c r="AS144" s="1143">
        <v>1.9349794493852532</v>
      </c>
      <c r="AT144" s="1143">
        <v>0.61255694363384539</v>
      </c>
      <c r="AU144" s="1143">
        <v>0.93717056647786734</v>
      </c>
      <c r="AV144" s="1149">
        <f ca="1">Calc!BB42</f>
        <v>0.93717056647786734</v>
      </c>
      <c r="AW144" s="277"/>
      <c r="AX144" s="88" t="str">
        <f t="shared" ca="1" si="10"/>
        <v>SAP</v>
      </c>
      <c r="BA144" s="251">
        <v>5450</v>
      </c>
      <c r="CP144" s="275"/>
      <c r="EH144" s="110"/>
    </row>
    <row r="145" spans="1:138" hidden="1" x14ac:dyDescent="0.3">
      <c r="A145" s="239" t="str">
        <f t="shared" ca="1" si="9"/>
        <v>SHECY</v>
      </c>
      <c r="B145" s="240" t="str">
        <f ca="1">[1]ExtEntry!$D45</f>
        <v>USD</v>
      </c>
      <c r="C145" s="241"/>
      <c r="D145" s="1094">
        <f>ROW()</f>
        <v>145</v>
      </c>
      <c r="E145" s="242"/>
      <c r="F145" s="251">
        <v>16.884</v>
      </c>
      <c r="G145" s="251">
        <v>15.86</v>
      </c>
      <c r="H145" s="251">
        <v>16.46</v>
      </c>
      <c r="I145" s="251">
        <v>16</v>
      </c>
      <c r="J145" s="251">
        <v>15.77</v>
      </c>
      <c r="K145" s="251">
        <v>16.2</v>
      </c>
      <c r="L145" s="251">
        <v>15.775</v>
      </c>
      <c r="M145" s="251">
        <v>15.775</v>
      </c>
      <c r="N145" s="251">
        <v>16.690000000000001</v>
      </c>
      <c r="O145" s="251">
        <v>15.75</v>
      </c>
      <c r="P145" s="251">
        <v>16.059999999999999</v>
      </c>
      <c r="Q145" s="251">
        <v>15.969900000000001</v>
      </c>
      <c r="R145" s="251">
        <v>14.38</v>
      </c>
      <c r="S145" s="251">
        <v>14.540100000000001</v>
      </c>
      <c r="T145" s="251">
        <v>14.27</v>
      </c>
      <c r="U145" s="251">
        <v>14.89</v>
      </c>
      <c r="V145" s="251">
        <v>14.335000000000001</v>
      </c>
      <c r="W145" s="251">
        <v>14.94</v>
      </c>
      <c r="X145" s="251">
        <v>14.074</v>
      </c>
      <c r="Y145" s="251">
        <v>14.73</v>
      </c>
      <c r="Z145" s="245">
        <f ca="1">[1]ExtEntry!$G43</f>
        <v>14.73</v>
      </c>
      <c r="AA145" s="275"/>
      <c r="AB145" s="1143">
        <v>3.6620393132719919E-2</v>
      </c>
      <c r="AC145" s="1143">
        <v>3.535648347899379E-2</v>
      </c>
      <c r="AD145" s="1143">
        <v>6.1078787442914166E-2</v>
      </c>
      <c r="AE145" s="1143">
        <v>3.2400491969840108E-2</v>
      </c>
      <c r="AF145" s="1143">
        <v>4.3984663769129663E-2</v>
      </c>
      <c r="AG145" s="1143">
        <v>2.3490461660072886E-2</v>
      </c>
      <c r="AH145" s="1143">
        <v>2.6674979357281667E-2</v>
      </c>
      <c r="AI145" s="1143">
        <v>2.6674979357281667E-2</v>
      </c>
      <c r="AJ145" s="1143">
        <v>3.0973564445025758E-2</v>
      </c>
      <c r="AK145" s="1143">
        <v>2.6870142640134636E-2</v>
      </c>
      <c r="AL145" s="1143">
        <v>3.3487970450863845E-2</v>
      </c>
      <c r="AM145" s="1143">
        <v>3.9149138675457454E-2</v>
      </c>
      <c r="AN145" s="1143">
        <v>8.4237051947046532E-2</v>
      </c>
      <c r="AO145" s="1143">
        <v>4.1012835646772293E-2</v>
      </c>
      <c r="AP145" s="1143">
        <v>5.2620208057457693E-2</v>
      </c>
      <c r="AQ145" s="1143">
        <v>4.770532454926138E-2</v>
      </c>
      <c r="AR145" s="1143">
        <v>4.9657928425179201E-2</v>
      </c>
      <c r="AS145" s="1143">
        <v>0.11697225850621372</v>
      </c>
      <c r="AT145" s="1143">
        <v>0.10632524944324619</v>
      </c>
      <c r="AU145" s="1143">
        <v>1.5859329791151559E-2</v>
      </c>
      <c r="AV145" s="1149">
        <f ca="1">Calc!BB43</f>
        <v>1.5859329791151559E-2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10.7</v>
      </c>
      <c r="G146" s="251">
        <v>11.08</v>
      </c>
      <c r="H146" s="251">
        <v>11.93</v>
      </c>
      <c r="I146" s="251">
        <v>11.29</v>
      </c>
      <c r="J146" s="251">
        <v>11.154999999999999</v>
      </c>
      <c r="K146" s="251">
        <v>12.625</v>
      </c>
      <c r="L146" s="251">
        <v>12.21</v>
      </c>
      <c r="M146" s="251">
        <v>12.21</v>
      </c>
      <c r="N146" s="251">
        <v>11.3</v>
      </c>
      <c r="O146" s="251">
        <v>11.923999999999999</v>
      </c>
      <c r="P146" s="251">
        <v>12.01</v>
      </c>
      <c r="Q146" s="251">
        <v>11.81</v>
      </c>
      <c r="R146" s="251">
        <v>11</v>
      </c>
      <c r="S146" s="251">
        <v>10.3</v>
      </c>
      <c r="T146" s="251">
        <v>9.8800000000000008</v>
      </c>
      <c r="U146" s="251">
        <v>9.81</v>
      </c>
      <c r="V146" s="251">
        <v>9.26</v>
      </c>
      <c r="W146" s="251">
        <v>8.91</v>
      </c>
      <c r="X146" s="251">
        <v>8.4499999999999993</v>
      </c>
      <c r="Y146" s="251">
        <v>8.5</v>
      </c>
      <c r="Z146" s="245">
        <f ca="1">[1]ExtEntry!$G44</f>
        <v>8.5</v>
      </c>
      <c r="AA146" s="275"/>
      <c r="AB146" s="1143">
        <v>0.66479875569407576</v>
      </c>
      <c r="AC146" s="1143">
        <v>0.61099516340325066</v>
      </c>
      <c r="AD146" s="1143">
        <v>1.11202453187186</v>
      </c>
      <c r="AE146" s="1143">
        <v>0.65580465962526879</v>
      </c>
      <c r="AF146" s="1143">
        <v>2.910354231859221</v>
      </c>
      <c r="AG146" s="1143">
        <v>2.1985103034462545</v>
      </c>
      <c r="AH146" s="1143">
        <v>1.5191974079765986</v>
      </c>
      <c r="AI146" s="1143">
        <v>1.5192904190875867</v>
      </c>
      <c r="AJ146" s="1143">
        <v>1.5504808410485886</v>
      </c>
      <c r="AK146" s="1143">
        <v>0.82854509982713709</v>
      </c>
      <c r="AL146" s="1143">
        <v>0.66220649614609584</v>
      </c>
      <c r="AM146" s="1143">
        <v>0.67734414847523794</v>
      </c>
      <c r="AN146" s="1143">
        <v>0.5963148460512574</v>
      </c>
      <c r="AO146" s="1143">
        <v>0.81170270008669665</v>
      </c>
      <c r="AP146" s="1143">
        <v>0.60825029900563954</v>
      </c>
      <c r="AQ146" s="1143">
        <v>0.58574286513280216</v>
      </c>
      <c r="AR146" s="1143">
        <v>0.53756772213783643</v>
      </c>
      <c r="AS146" s="1143">
        <v>1.2800717915502677</v>
      </c>
      <c r="AT146" s="1143">
        <v>9.8125315840860355E-7</v>
      </c>
      <c r="AU146" s="1143">
        <v>0.19927042419481539</v>
      </c>
      <c r="AV146" s="1149">
        <f ca="1">Calc!BB44</f>
        <v>0.19927042419481539</v>
      </c>
      <c r="AW146" s="277"/>
      <c r="AX146" s="88" t="str">
        <f t="shared" ca="1" si="10"/>
        <v>SSYS</v>
      </c>
      <c r="BA146" s="251">
        <v>5648</v>
      </c>
      <c r="CP146" s="275"/>
      <c r="EH146" s="110"/>
    </row>
    <row r="147" spans="1:138" hidden="1" x14ac:dyDescent="0.3">
      <c r="A147" s="239" t="str">
        <f t="shared" ca="1" si="9"/>
        <v>TSLA</v>
      </c>
      <c r="B147" s="240" t="str">
        <f ca="1">[1]ExtEntry!$D47</f>
        <v>EUR</v>
      </c>
      <c r="C147" s="241"/>
      <c r="D147" s="1094">
        <f>ROW()</f>
        <v>147</v>
      </c>
      <c r="E147" s="242"/>
      <c r="F147" s="251">
        <v>426.65</v>
      </c>
      <c r="G147" s="251">
        <v>434.82</v>
      </c>
      <c r="H147" s="251">
        <v>434.73</v>
      </c>
      <c r="I147" s="251">
        <v>425.5</v>
      </c>
      <c r="J147" s="251">
        <v>443.86500000000001</v>
      </c>
      <c r="K147" s="251">
        <v>445.755</v>
      </c>
      <c r="L147" s="251">
        <v>443.45</v>
      </c>
      <c r="M147" s="251">
        <v>443.45</v>
      </c>
      <c r="N147" s="251">
        <v>420</v>
      </c>
      <c r="O147" s="251">
        <v>446.83</v>
      </c>
      <c r="P147" s="251">
        <v>439.98</v>
      </c>
      <c r="Q147" s="251">
        <v>454.77499999999998</v>
      </c>
      <c r="R147" s="251">
        <v>451.05</v>
      </c>
      <c r="S147" s="251">
        <v>454.58</v>
      </c>
      <c r="T147" s="251">
        <v>452.05</v>
      </c>
      <c r="U147" s="251">
        <v>461.97</v>
      </c>
      <c r="V147" s="251">
        <v>437.6</v>
      </c>
      <c r="W147" s="251">
        <v>386.3</v>
      </c>
      <c r="X147" s="251">
        <v>405.38</v>
      </c>
      <c r="Y147" s="251">
        <v>406</v>
      </c>
      <c r="Z147" s="245">
        <f ca="1">[1]ExtEntry!$G45</f>
        <v>406</v>
      </c>
      <c r="AA147" s="275"/>
      <c r="AB147" s="1143">
        <v>0.71742718948264472</v>
      </c>
      <c r="AC147" s="1143">
        <v>0.65092030446675231</v>
      </c>
      <c r="AD147" s="1143">
        <v>0.76927828517685259</v>
      </c>
      <c r="AE147" s="1143">
        <v>0.90731582652005316</v>
      </c>
      <c r="AF147" s="1143">
        <v>0.66394148517749874</v>
      </c>
      <c r="AG147" s="1143">
        <v>0.59112200036449147</v>
      </c>
      <c r="AH147" s="1143">
        <v>0.86182232256813707</v>
      </c>
      <c r="AI147" s="1143">
        <v>0.86256970631351648</v>
      </c>
      <c r="AJ147" s="1143">
        <v>1.4249487358445652</v>
      </c>
      <c r="AK147" s="1143">
        <v>1.0477103714449929</v>
      </c>
      <c r="AL147" s="1143">
        <v>1.1697492439473114</v>
      </c>
      <c r="AM147" s="1143">
        <v>0.88357141488459479</v>
      </c>
      <c r="AN147" s="1143">
        <v>0.79671607017289447</v>
      </c>
      <c r="AO147" s="1143">
        <v>0.86723959719596755</v>
      </c>
      <c r="AP147" s="1143">
        <v>0.96856748751132227</v>
      </c>
      <c r="AQ147" s="1143">
        <v>1.0552380877212335</v>
      </c>
      <c r="AR147" s="1143">
        <v>1.0965756499001196</v>
      </c>
      <c r="AS147" s="1143">
        <v>1.2415051337010823</v>
      </c>
      <c r="AT147" s="1143">
        <v>1.1634429137137015E-3</v>
      </c>
      <c r="AU147" s="1143">
        <v>0.48129913738814045</v>
      </c>
      <c r="AV147" s="1149">
        <f ca="1">Calc!BB45</f>
        <v>0.48129913738814045</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295.63</v>
      </c>
      <c r="G148" s="251">
        <v>306.18</v>
      </c>
      <c r="H148" s="251">
        <v>310.93</v>
      </c>
      <c r="I148" s="251">
        <v>298.39499999999998</v>
      </c>
      <c r="J148" s="251">
        <v>300</v>
      </c>
      <c r="K148" s="251">
        <v>299</v>
      </c>
      <c r="L148" s="251">
        <v>293</v>
      </c>
      <c r="M148" s="251">
        <v>293</v>
      </c>
      <c r="N148" s="251">
        <v>289.8</v>
      </c>
      <c r="O148" s="251">
        <v>295.57</v>
      </c>
      <c r="P148" s="251">
        <v>298.64999999999998</v>
      </c>
      <c r="Q148" s="251">
        <v>298.315</v>
      </c>
      <c r="R148" s="251">
        <v>303.08</v>
      </c>
      <c r="S148" s="251">
        <v>297.25</v>
      </c>
      <c r="T148" s="251">
        <v>292.62</v>
      </c>
      <c r="U148" s="251">
        <v>294.10000000000002</v>
      </c>
      <c r="V148" s="251">
        <v>285.10500000000002</v>
      </c>
      <c r="W148" s="251">
        <v>275.91000000000003</v>
      </c>
      <c r="X148" s="251">
        <v>277.55</v>
      </c>
      <c r="Y148" s="251">
        <v>277.11</v>
      </c>
      <c r="Z148" s="245">
        <f ca="1">[1]ExtEntry!$G46</f>
        <v>277.11</v>
      </c>
      <c r="AA148" s="275"/>
      <c r="AB148" s="1143">
        <v>1.2417617423362584</v>
      </c>
      <c r="AC148" s="1143">
        <v>1.2637628073714362</v>
      </c>
      <c r="AD148" s="1143">
        <v>1.96843000951859</v>
      </c>
      <c r="AE148" s="1143">
        <v>1.2625571766894672</v>
      </c>
      <c r="AF148" s="1143">
        <v>0.92922352875506087</v>
      </c>
      <c r="AG148" s="1143">
        <v>0.76301880538428424</v>
      </c>
      <c r="AH148" s="1143">
        <v>1.0505439646118693</v>
      </c>
      <c r="AI148" s="1143">
        <v>1.0506142270792374</v>
      </c>
      <c r="AJ148" s="1143">
        <v>0.69864389458113563</v>
      </c>
      <c r="AK148" s="1143">
        <v>0.6007698365315336</v>
      </c>
      <c r="AL148" s="1143">
        <v>0.95805825327761396</v>
      </c>
      <c r="AM148" s="1143">
        <v>0.83195055945150931</v>
      </c>
      <c r="AN148" s="1143">
        <v>1.0221487054783911</v>
      </c>
      <c r="AO148" s="1143">
        <v>0.91592730141821455</v>
      </c>
      <c r="AP148" s="1143">
        <v>0.71086516188999471</v>
      </c>
      <c r="AQ148" s="1143">
        <v>0.6648420911837325</v>
      </c>
      <c r="AR148" s="1143">
        <v>0.9367792081917965</v>
      </c>
      <c r="AS148" s="1143">
        <v>0.78947522286431715</v>
      </c>
      <c r="AT148" s="1143">
        <v>2.2312176438479335E-3</v>
      </c>
      <c r="AU148" s="1143">
        <v>0.40744502227916013</v>
      </c>
      <c r="AV148" s="1149">
        <f ca="1">Calc!BB46</f>
        <v>0.40744502227916013</v>
      </c>
      <c r="AW148" s="277"/>
      <c r="AX148" s="88" t="str">
        <f t="shared" ca="1" si="10"/>
        <v>TSM</v>
      </c>
      <c r="BA148" s="251">
        <v>5846</v>
      </c>
      <c r="CP148" s="275"/>
      <c r="EH148" s="110"/>
    </row>
    <row r="149" spans="1:138" hidden="1" x14ac:dyDescent="0.3">
      <c r="A149" s="239" t="str">
        <f t="shared" ca="1" si="9"/>
        <v>UN0</v>
      </c>
      <c r="B149" s="240" t="e">
        <f>[1]ExtEntry!#REF!</f>
        <v>#REF!</v>
      </c>
      <c r="C149" s="241"/>
      <c r="D149" s="1094">
        <f>ROW()</f>
        <v>149</v>
      </c>
      <c r="E149" s="242"/>
      <c r="F149" s="251">
        <v>32</v>
      </c>
      <c r="G149" s="251">
        <v>31.75</v>
      </c>
      <c r="H149" s="251">
        <v>31.7</v>
      </c>
      <c r="I149" s="251">
        <v>31.35</v>
      </c>
      <c r="J149" s="251">
        <v>32.049999999999997</v>
      </c>
      <c r="K149" s="251">
        <v>32.1</v>
      </c>
      <c r="L149" s="251">
        <v>31.6</v>
      </c>
      <c r="M149" s="251">
        <v>31.6</v>
      </c>
      <c r="N149" s="251">
        <v>31.3</v>
      </c>
      <c r="O149" s="251">
        <v>31</v>
      </c>
      <c r="P149" s="251">
        <v>30.2</v>
      </c>
      <c r="Q149" s="251">
        <v>30.25</v>
      </c>
      <c r="R149" s="251">
        <v>30.2</v>
      </c>
      <c r="S149" s="251">
        <v>29.55</v>
      </c>
      <c r="T149" s="251">
        <v>29.5</v>
      </c>
      <c r="U149" s="251">
        <v>28.9</v>
      </c>
      <c r="V149" s="251">
        <v>28.4</v>
      </c>
      <c r="W149" s="251">
        <v>28.45</v>
      </c>
      <c r="X149" s="251">
        <v>29.55</v>
      </c>
      <c r="Y149" s="251">
        <v>29.55</v>
      </c>
      <c r="Z149" s="245">
        <f ca="1">[1]ExtEntry!$G47</f>
        <v>29.55</v>
      </c>
      <c r="AA149" s="275"/>
      <c r="AB149" s="1143">
        <v>5.6710775047258983E-3</v>
      </c>
      <c r="AC149" s="1143">
        <v>6.1450381679389314E-2</v>
      </c>
      <c r="AD149" s="1143">
        <v>1.2727272727272728E-2</v>
      </c>
      <c r="AE149" s="1143">
        <v>3.1596638655462188E-2</v>
      </c>
      <c r="AF149" s="1143">
        <v>1.2522361359570662E-3</v>
      </c>
      <c r="AG149" s="1143">
        <v>1.9856887298747763E-2</v>
      </c>
      <c r="AH149" s="1143">
        <v>0.1020952380952381</v>
      </c>
      <c r="AI149" s="1143">
        <v>0.1020952380952381</v>
      </c>
      <c r="AJ149" s="1143">
        <v>2.4789915966386553E-2</v>
      </c>
      <c r="AK149" s="1143">
        <v>3.907563025210084E-2</v>
      </c>
      <c r="AL149" s="1143">
        <v>6.5509761388286333E-2</v>
      </c>
      <c r="AM149" s="1143">
        <v>2.0607375271149676E-2</v>
      </c>
      <c r="AN149" s="1143">
        <v>4.9916805324459236E-4</v>
      </c>
      <c r="AO149" s="1143">
        <v>5.6818181818181816E-2</v>
      </c>
      <c r="AP149" s="1143">
        <v>8.608534322820037E-2</v>
      </c>
      <c r="AQ149" s="1143">
        <v>5.0092764378478663E-2</v>
      </c>
      <c r="AR149" s="1143">
        <v>1.1342155009451797E-2</v>
      </c>
      <c r="AS149" s="1143">
        <v>1.5023474178403756E-2</v>
      </c>
      <c r="AT149" s="1143">
        <v>1.5643492163968318</v>
      </c>
      <c r="AU149" s="1143">
        <v>1.1235955056179776E-3</v>
      </c>
      <c r="AV149" s="1149">
        <f ca="1">Calc!BB47</f>
        <v>1.1235955056179776E-3</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5.33</v>
      </c>
      <c r="G150" s="251">
        <v>5.36</v>
      </c>
      <c r="H150" s="251">
        <v>5.75</v>
      </c>
      <c r="I150" s="251">
        <v>5.56</v>
      </c>
      <c r="J150" s="251">
        <v>5.72</v>
      </c>
      <c r="K150" s="251">
        <v>5.52</v>
      </c>
      <c r="L150" s="251">
        <v>5.58</v>
      </c>
      <c r="M150" s="251">
        <v>5.58</v>
      </c>
      <c r="N150" s="251">
        <v>5.5</v>
      </c>
      <c r="O150" s="251">
        <v>5.97</v>
      </c>
      <c r="P150" s="251">
        <v>5.98</v>
      </c>
      <c r="Q150" s="251">
        <v>6.18</v>
      </c>
      <c r="R150" s="251">
        <v>5.74</v>
      </c>
      <c r="S150" s="251">
        <v>5.9</v>
      </c>
      <c r="T150" s="251">
        <v>6</v>
      </c>
      <c r="U150" s="251">
        <v>6.34</v>
      </c>
      <c r="V150" s="251">
        <v>6.24</v>
      </c>
      <c r="W150" s="251">
        <v>5.9</v>
      </c>
      <c r="X150" s="251">
        <v>6.27</v>
      </c>
      <c r="Y150" s="251">
        <v>6.18</v>
      </c>
      <c r="Z150" s="245">
        <f ca="1">[1]ExtEntry!$G48</f>
        <v>6.18</v>
      </c>
      <c r="AA150" s="275"/>
      <c r="AB150" s="1143">
        <v>0.74677918002136756</v>
      </c>
      <c r="AC150" s="1143">
        <v>0.56752995372100723</v>
      </c>
      <c r="AD150" s="1143">
        <v>0.68188203631178579</v>
      </c>
      <c r="AE150" s="1143">
        <v>2.1706485322132338</v>
      </c>
      <c r="AF150" s="1143">
        <v>0.99644028368383208</v>
      </c>
      <c r="AG150" s="1143">
        <v>0.41364699531617916</v>
      </c>
      <c r="AH150" s="1143">
        <v>0.50917524819837379</v>
      </c>
      <c r="AI150" s="1143">
        <v>0.50917524819837379</v>
      </c>
      <c r="AJ150" s="1143">
        <v>0.83861883249820035</v>
      </c>
      <c r="AK150" s="1143">
        <v>0.77817479443032178</v>
      </c>
      <c r="AL150" s="1143">
        <v>0.98210745233688468</v>
      </c>
      <c r="AM150" s="1143">
        <v>0.9677036151999916</v>
      </c>
      <c r="AN150" s="1143">
        <v>0.99944492640831839</v>
      </c>
      <c r="AO150" s="1143">
        <v>1.1504227963202505</v>
      </c>
      <c r="AP150" s="1143">
        <v>1.7685368312762075</v>
      </c>
      <c r="AQ150" s="1143">
        <v>0.82936536586440945</v>
      </c>
      <c r="AR150" s="1143">
        <v>0.91417887555869204</v>
      </c>
      <c r="AS150" s="1143">
        <v>0.898275610340179</v>
      </c>
      <c r="AT150" s="1143">
        <v>0.78077286213542829</v>
      </c>
      <c r="AU150" s="1143">
        <v>0.26303192443508255</v>
      </c>
      <c r="AV150" s="1149">
        <f ca="1">Calc!BB48</f>
        <v>0.26303192443508255</v>
      </c>
      <c r="AW150" s="277"/>
      <c r="AX150" s="88" t="str">
        <f t="shared" ca="1" si="10"/>
        <v>UNIT</v>
      </c>
      <c r="BA150" s="251">
        <v>6044</v>
      </c>
      <c r="CP150" s="275"/>
      <c r="EH150" s="110"/>
    </row>
    <row r="151" spans="1:138" hidden="1" x14ac:dyDescent="0.3">
      <c r="A151" s="239" t="str">
        <f t="shared" ca="1" si="9"/>
        <v>VLVLY</v>
      </c>
      <c r="B151" s="240" t="str">
        <f ca="1">[1]ExtEntry!$D49</f>
        <v>USD</v>
      </c>
      <c r="C151" s="241"/>
      <c r="D151" s="1094">
        <f>ROW()</f>
        <v>151</v>
      </c>
      <c r="E151" s="242"/>
      <c r="F151" s="251">
        <v>27.58</v>
      </c>
      <c r="G151" s="251">
        <v>27.838999999999999</v>
      </c>
      <c r="H151" s="251">
        <v>28.114999999999998</v>
      </c>
      <c r="I151" s="251">
        <v>26.19</v>
      </c>
      <c r="J151" s="251">
        <v>26.914999999999999</v>
      </c>
      <c r="K151" s="251">
        <v>27</v>
      </c>
      <c r="L151" s="251">
        <v>27.25</v>
      </c>
      <c r="M151" s="251">
        <v>27.25</v>
      </c>
      <c r="N151" s="251">
        <v>27.57</v>
      </c>
      <c r="O151" s="251">
        <v>27.72</v>
      </c>
      <c r="P151" s="251">
        <v>27.81</v>
      </c>
      <c r="Q151" s="251">
        <v>27.67</v>
      </c>
      <c r="R151" s="251">
        <v>27.6</v>
      </c>
      <c r="S151" s="251">
        <v>27.15</v>
      </c>
      <c r="T151" s="251">
        <v>27.375</v>
      </c>
      <c r="U151" s="251">
        <v>27.68</v>
      </c>
      <c r="V151" s="251">
        <v>27.04</v>
      </c>
      <c r="W151" s="251">
        <v>27.82</v>
      </c>
      <c r="X151" s="251">
        <v>26.96</v>
      </c>
      <c r="Y151" s="251">
        <v>28.06</v>
      </c>
      <c r="Z151" s="245">
        <f ca="1">[1]ExtEntry!$G49</f>
        <v>28.06</v>
      </c>
      <c r="AA151" s="275"/>
      <c r="AB151" s="1143">
        <v>5.5978905246517142E-2</v>
      </c>
      <c r="AC151" s="1143">
        <v>4.4839242392789531E-2</v>
      </c>
      <c r="AD151" s="1143">
        <v>1.9044177180242025E-2</v>
      </c>
      <c r="AE151" s="1143">
        <v>6.8520942010019056E-2</v>
      </c>
      <c r="AF151" s="1143">
        <v>1.7259943597890161E-2</v>
      </c>
      <c r="AG151" s="1143">
        <v>2.1178372206887557E-2</v>
      </c>
      <c r="AH151" s="1143">
        <v>9.0414311114930465E-3</v>
      </c>
      <c r="AI151" s="1143">
        <v>9.0414311114930465E-3</v>
      </c>
      <c r="AJ151" s="1143">
        <v>1.3258127396829765E-2</v>
      </c>
      <c r="AK151" s="1143">
        <v>1.2957002388870289E-2</v>
      </c>
      <c r="AL151" s="1143">
        <v>1.7269486334041878E-2</v>
      </c>
      <c r="AM151" s="1143">
        <v>1.096979764674377E-2</v>
      </c>
      <c r="AN151" s="1143">
        <v>3.2465039884156367E-2</v>
      </c>
      <c r="AO151" s="1143">
        <v>3.3302599817973171E-2</v>
      </c>
      <c r="AP151" s="1143">
        <v>3.8938710602466176E-2</v>
      </c>
      <c r="AQ151" s="1143">
        <v>4.5936744645277271E-2</v>
      </c>
      <c r="AR151" s="1143">
        <v>2.7336551328617856E-2</v>
      </c>
      <c r="AS151" s="1143">
        <v>3.3097397679942173E-2</v>
      </c>
      <c r="AT151" s="1143">
        <v>4.8701576500033983E-2</v>
      </c>
      <c r="AU151" s="1143">
        <v>1.0111510489342732E-2</v>
      </c>
      <c r="AV151" s="1102">
        <f ca="1">Calc!BB49</f>
        <v>1.0111510489342732E-2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60.7</v>
      </c>
      <c r="G152" s="251">
        <v>60.6</v>
      </c>
      <c r="H152" s="251">
        <v>60.5</v>
      </c>
      <c r="I152" s="251">
        <v>58.9</v>
      </c>
      <c r="J152" s="251">
        <v>59.2</v>
      </c>
      <c r="K152" s="251">
        <v>59</v>
      </c>
      <c r="L152" s="251">
        <v>58.9</v>
      </c>
      <c r="M152" s="251">
        <v>58.9</v>
      </c>
      <c r="N152" s="251">
        <v>60.2</v>
      </c>
      <c r="O152" s="251">
        <v>61.1</v>
      </c>
      <c r="P152" s="251">
        <v>61.3</v>
      </c>
      <c r="Q152" s="251">
        <v>61</v>
      </c>
      <c r="R152" s="251">
        <v>60.3</v>
      </c>
      <c r="S152" s="251">
        <v>59.8</v>
      </c>
      <c r="T152" s="251">
        <v>59.3</v>
      </c>
      <c r="U152" s="251">
        <v>59</v>
      </c>
      <c r="V152" s="251">
        <v>58.4</v>
      </c>
      <c r="W152" s="251">
        <v>60</v>
      </c>
      <c r="X152" s="251">
        <v>58.4</v>
      </c>
      <c r="Y152" s="251">
        <v>58.4</v>
      </c>
      <c r="Z152" s="245">
        <f ca="1">[1]ExtEntry!$G50</f>
        <v>58.4</v>
      </c>
      <c r="AA152" s="275"/>
      <c r="AB152" s="1143">
        <v>1.1297297297297297</v>
      </c>
      <c r="AC152" s="1143">
        <v>0.71825703254274686</v>
      </c>
      <c r="AD152" s="1143">
        <v>0.58865979381443301</v>
      </c>
      <c r="AE152" s="1143">
        <v>0.92442035531466427</v>
      </c>
      <c r="AF152" s="1143">
        <v>0.80496838301716356</v>
      </c>
      <c r="AG152" s="1143">
        <v>0.98232460102378805</v>
      </c>
      <c r="AH152" s="1143">
        <v>1.6349795533186537</v>
      </c>
      <c r="AI152" s="1143">
        <v>1.6349795533186537</v>
      </c>
      <c r="AJ152" s="1143">
        <v>1.1165364176305095</v>
      </c>
      <c r="AK152" s="1143">
        <v>1.023976242575805</v>
      </c>
      <c r="AL152" s="1143">
        <v>1.5111828588200764</v>
      </c>
      <c r="AM152" s="1143">
        <v>1.3865570883475198</v>
      </c>
      <c r="AN152" s="1143">
        <v>1.0960698689956332</v>
      </c>
      <c r="AO152" s="1143">
        <v>1.3062614618810584</v>
      </c>
      <c r="AP152" s="1143">
        <v>0.71565656565656566</v>
      </c>
      <c r="AQ152" s="1143">
        <v>0.85954785954785951</v>
      </c>
      <c r="AR152" s="1143">
        <v>0.76176321138211378</v>
      </c>
      <c r="AS152" s="1143">
        <v>0.73185011709601877</v>
      </c>
      <c r="AT152" s="1143">
        <v>1.6712383588890012</v>
      </c>
      <c r="AU152" s="1143">
        <v>1.2246027397260273</v>
      </c>
      <c r="AV152" s="1102">
        <f ca="1">Calc!BB50</f>
        <v>1.2246027397260273</v>
      </c>
      <c r="AW152" s="277"/>
      <c r="AX152" s="88" t="str">
        <f t="shared" ca="1" si="10"/>
        <v>VONN</v>
      </c>
      <c r="BA152" s="251">
        <v>6242</v>
      </c>
      <c r="CP152" s="275"/>
      <c r="EH152" s="110"/>
    </row>
    <row r="153" spans="1:138" hidden="1" x14ac:dyDescent="0.3">
      <c r="A153" s="239" t="str">
        <f t="shared" ca="1" si="9"/>
        <v>VTRS</v>
      </c>
      <c r="B153" s="240" t="str">
        <f ca="1">[1]ExtEntry!$D51</f>
        <v>USD</v>
      </c>
      <c r="C153" s="241"/>
      <c r="D153" s="1094">
        <f>ROW()</f>
        <v>153</v>
      </c>
      <c r="E153" s="242"/>
      <c r="F153" s="251">
        <v>9.75</v>
      </c>
      <c r="G153" s="251">
        <v>10.02</v>
      </c>
      <c r="H153" s="251">
        <v>10.08</v>
      </c>
      <c r="I153" s="251">
        <v>10.09</v>
      </c>
      <c r="J153" s="251">
        <v>10.17</v>
      </c>
      <c r="K153" s="251">
        <v>10.31</v>
      </c>
      <c r="L153" s="251">
        <v>10.4</v>
      </c>
      <c r="M153" s="251">
        <v>10.4</v>
      </c>
      <c r="N153" s="251">
        <v>10.39</v>
      </c>
      <c r="O153" s="251">
        <v>10.36</v>
      </c>
      <c r="P153" s="251">
        <v>10.35</v>
      </c>
      <c r="Q153" s="251">
        <v>10.38</v>
      </c>
      <c r="R153" s="251">
        <v>10.27</v>
      </c>
      <c r="S153" s="251">
        <v>10.44</v>
      </c>
      <c r="T153" s="251">
        <v>10.45</v>
      </c>
      <c r="U153" s="251">
        <v>10.75</v>
      </c>
      <c r="V153" s="251">
        <v>10.07</v>
      </c>
      <c r="W153" s="251">
        <v>10.83</v>
      </c>
      <c r="X153" s="251">
        <v>10.64</v>
      </c>
      <c r="Y153" s="251">
        <v>10.68</v>
      </c>
      <c r="Z153" s="245">
        <f ca="1">[1]ExtEntry!$G51</f>
        <v>10.68</v>
      </c>
      <c r="AA153" s="275"/>
      <c r="AB153" s="1143">
        <v>0.59892988795484203</v>
      </c>
      <c r="AC153" s="1143">
        <v>0.42340258349755344</v>
      </c>
      <c r="AD153" s="1143">
        <v>0.56990054201772988</v>
      </c>
      <c r="AE153" s="1143">
        <v>0.53844223476745012</v>
      </c>
      <c r="AF153" s="1143">
        <v>0.66468639129783402</v>
      </c>
      <c r="AG153" s="1143">
        <v>0.66042873288301307</v>
      </c>
      <c r="AH153" s="1143">
        <v>0.79633270301566239</v>
      </c>
      <c r="AI153" s="1143">
        <v>0.79633270301566239</v>
      </c>
      <c r="AJ153" s="1143">
        <v>0.57453757684175366</v>
      </c>
      <c r="AK153" s="1143">
        <v>0.56861550729916477</v>
      </c>
      <c r="AL153" s="1143">
        <v>0.91453379237947818</v>
      </c>
      <c r="AM153" s="1143">
        <v>1.0001469815486108</v>
      </c>
      <c r="AN153" s="1143">
        <v>1.047333871963259</v>
      </c>
      <c r="AO153" s="1143">
        <v>0.89678716506995293</v>
      </c>
      <c r="AP153" s="1143">
        <v>2.3721269171062245</v>
      </c>
      <c r="AQ153" s="1143">
        <v>1.8114957337165822</v>
      </c>
      <c r="AR153" s="1143">
        <v>1.133621174719351</v>
      </c>
      <c r="AS153" s="1143">
        <v>0.83134752986065796</v>
      </c>
      <c r="AT153" s="1143">
        <v>0.87498047687430502</v>
      </c>
      <c r="AU153" s="1143">
        <v>0.24387796432297706</v>
      </c>
      <c r="AV153" s="1102">
        <f ca="1">Calc!BB51</f>
        <v>0.24387796432297706</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43">
        <v>14.986033366586197</v>
      </c>
      <c r="AC154" s="1143">
        <v>14.986033366586197</v>
      </c>
      <c r="AD154" s="1143">
        <v>14.986033366586197</v>
      </c>
      <c r="AE154" s="1143">
        <v>14.986033366586197</v>
      </c>
      <c r="AF154" s="1143">
        <v>14.986033366586197</v>
      </c>
      <c r="AG154" s="1143">
        <v>14.986033366586197</v>
      </c>
      <c r="AH154" s="1143">
        <v>14.986033366586197</v>
      </c>
      <c r="AI154" s="1143">
        <v>14.986033366586197</v>
      </c>
      <c r="AJ154" s="1143">
        <v>14.986033366586197</v>
      </c>
      <c r="AK154" s="1143">
        <v>14.986033366586197</v>
      </c>
      <c r="AL154" s="1143">
        <v>14.986033366586197</v>
      </c>
      <c r="AM154" s="1143">
        <v>14.986033366586197</v>
      </c>
      <c r="AN154" s="1143">
        <v>14.986033366586197</v>
      </c>
      <c r="AO154" s="1143">
        <v>14.986033366586197</v>
      </c>
      <c r="AP154" s="1143">
        <v>14.986033366586197</v>
      </c>
      <c r="AQ154" s="1143">
        <v>14.986033366586197</v>
      </c>
      <c r="AR154" s="1143">
        <v>14.986033366586197</v>
      </c>
      <c r="AS154" s="1143">
        <v>14.986033366586197</v>
      </c>
      <c r="AT154" s="1143">
        <v>14.986033366586197</v>
      </c>
      <c r="AU154" s="1143">
        <v>14.986033366586197</v>
      </c>
      <c r="AV154" s="1102">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094">
        <f>ROW()</f>
        <v>155</v>
      </c>
      <c r="E155" s="242"/>
      <c r="F155" s="251">
        <v>110.77</v>
      </c>
      <c r="G155" s="251">
        <v>112.73</v>
      </c>
      <c r="H155" s="251">
        <v>111.88</v>
      </c>
      <c r="I155" s="251">
        <v>111.63</v>
      </c>
      <c r="J155" s="251">
        <v>112</v>
      </c>
      <c r="K155" s="251">
        <v>112.89</v>
      </c>
      <c r="L155" s="251">
        <v>113.45</v>
      </c>
      <c r="M155" s="251">
        <v>113.45</v>
      </c>
      <c r="N155" s="251">
        <v>116.63</v>
      </c>
      <c r="O155" s="251">
        <v>116.35</v>
      </c>
      <c r="P155" s="251">
        <v>115.69499999999999</v>
      </c>
      <c r="Q155" s="251">
        <v>115.49</v>
      </c>
      <c r="R155" s="251">
        <v>116.425</v>
      </c>
      <c r="S155" s="251">
        <v>113.26</v>
      </c>
      <c r="T155" s="251">
        <v>114.09</v>
      </c>
      <c r="U155" s="251">
        <v>113.6</v>
      </c>
      <c r="V155" s="251">
        <v>115.17</v>
      </c>
      <c r="W155" s="251">
        <v>118.45</v>
      </c>
      <c r="X155" s="251">
        <v>117.26</v>
      </c>
      <c r="Y155" s="251">
        <v>116.93</v>
      </c>
      <c r="Z155" s="245">
        <f ca="1">[1]ExtEntry!$G53</f>
        <v>116.93</v>
      </c>
      <c r="AA155" s="275"/>
      <c r="AB155" s="1143">
        <v>0.6303221631781647</v>
      </c>
      <c r="AC155" s="1143">
        <v>0.38751137389551682</v>
      </c>
      <c r="AD155" s="1143">
        <v>0.7673308468559914</v>
      </c>
      <c r="AE155" s="1143">
        <v>0.87726339802780984</v>
      </c>
      <c r="AF155" s="1143">
        <v>0.61675194213127038</v>
      </c>
      <c r="AG155" s="1143">
        <v>0.60126390996570833</v>
      </c>
      <c r="AH155" s="1143">
        <v>0.81095085677230183</v>
      </c>
      <c r="AI155" s="1143">
        <v>0.81096594061544347</v>
      </c>
      <c r="AJ155" s="1143">
        <v>1.0018508336567928</v>
      </c>
      <c r="AK155" s="1143">
        <v>0.66131036426994239</v>
      </c>
      <c r="AL155" s="1143">
        <v>0.79323740799120768</v>
      </c>
      <c r="AM155" s="1143">
        <v>0.69799652716424343</v>
      </c>
      <c r="AN155" s="1143">
        <v>1.2398602845469764</v>
      </c>
      <c r="AO155" s="1143">
        <v>0.61471279169568915</v>
      </c>
      <c r="AP155" s="1143">
        <v>0.97546767920130895</v>
      </c>
      <c r="AQ155" s="1143">
        <v>0.64944720493180497</v>
      </c>
      <c r="AR155" s="1143">
        <v>0.81372672061593609</v>
      </c>
      <c r="AS155" s="1143">
        <v>1.285187847355838</v>
      </c>
      <c r="AT155" s="1143">
        <v>1.7673554488411832E-5</v>
      </c>
      <c r="AU155" s="1143">
        <v>0.38161593020093482</v>
      </c>
      <c r="AV155" s="1102">
        <f ca="1">Calc!BB53</f>
        <v>0.38161593020093482</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6.415</v>
      </c>
      <c r="G156" s="251">
        <v>6.76</v>
      </c>
      <c r="H156" s="251">
        <v>6.78</v>
      </c>
      <c r="I156" s="251">
        <v>6.65</v>
      </c>
      <c r="J156" s="251">
        <v>6.7</v>
      </c>
      <c r="K156" s="251">
        <v>6.7</v>
      </c>
      <c r="L156" s="251">
        <v>6.73</v>
      </c>
      <c r="M156" s="251">
        <v>6.73</v>
      </c>
      <c r="N156" s="251">
        <v>6.54</v>
      </c>
      <c r="O156" s="251">
        <v>6.69</v>
      </c>
      <c r="P156" s="251">
        <v>6.74</v>
      </c>
      <c r="Q156" s="251">
        <v>6.61</v>
      </c>
      <c r="R156" s="251">
        <v>6.56</v>
      </c>
      <c r="S156" s="251">
        <v>6.4850000000000003</v>
      </c>
      <c r="T156" s="251">
        <v>6.4</v>
      </c>
      <c r="U156" s="251">
        <v>7.02</v>
      </c>
      <c r="V156" s="251">
        <v>6.6749999999999998</v>
      </c>
      <c r="W156" s="251">
        <v>6.21</v>
      </c>
      <c r="X156" s="251">
        <v>5.93</v>
      </c>
      <c r="Y156" s="251">
        <v>5.82</v>
      </c>
      <c r="Z156" s="245">
        <f ca="1">[1]ExtEntry!$G54</f>
        <v>5.82</v>
      </c>
      <c r="AA156" s="275"/>
      <c r="AB156" s="1143">
        <v>1.0281055148224438</v>
      </c>
      <c r="AC156" s="1143">
        <v>0.63080307250181833</v>
      </c>
      <c r="AD156" s="1143">
        <v>0.91642032727663347</v>
      </c>
      <c r="AE156" s="1143">
        <v>1.0362244827128002</v>
      </c>
      <c r="AF156" s="1143">
        <v>0.94296886382698886</v>
      </c>
      <c r="AG156" s="1143">
        <v>0.87092553725862787</v>
      </c>
      <c r="AH156" s="1143">
        <v>0.86219779535162622</v>
      </c>
      <c r="AI156" s="1143">
        <v>0.86219779535162622</v>
      </c>
      <c r="AJ156" s="1143">
        <v>0.81885188920329377</v>
      </c>
      <c r="AK156" s="1143">
        <v>0.37629362380090553</v>
      </c>
      <c r="AL156" s="1143">
        <v>0.77686990090095642</v>
      </c>
      <c r="AM156" s="1143">
        <v>0.90155066094450131</v>
      </c>
      <c r="AN156" s="1143">
        <v>0.85390242079297785</v>
      </c>
      <c r="AO156" s="1143">
        <v>0.80983832702315439</v>
      </c>
      <c r="AP156" s="1143">
        <v>1.555800804217143</v>
      </c>
      <c r="AQ156" s="1143">
        <v>1.6525971596294879</v>
      </c>
      <c r="AR156" s="1143">
        <v>0.78591379491869373</v>
      </c>
      <c r="AS156" s="1143">
        <v>1.1060872052413513</v>
      </c>
      <c r="AT156" s="1143">
        <v>1.0295746529912848</v>
      </c>
      <c r="AU156" s="1143">
        <v>0.4082525686653613</v>
      </c>
      <c r="AV156" s="1102">
        <f ca="1">Calc!BB54</f>
        <v>0.4082525686653613</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094">
        <f>ROW()</f>
        <v>157</v>
      </c>
      <c r="E157" s="242"/>
      <c r="F157" s="251">
        <v>0.83599999999999997</v>
      </c>
      <c r="G157" s="251">
        <v>0.82</v>
      </c>
      <c r="H157" s="251">
        <v>0.82</v>
      </c>
      <c r="I157" s="251">
        <v>0.82799999999999996</v>
      </c>
      <c r="J157" s="251">
        <v>0.81</v>
      </c>
      <c r="K157" s="251">
        <v>0.81</v>
      </c>
      <c r="L157" s="251">
        <v>0.82</v>
      </c>
      <c r="M157" s="251">
        <v>0.82</v>
      </c>
      <c r="N157" s="251">
        <v>0.84</v>
      </c>
      <c r="O157" s="251">
        <v>0.82</v>
      </c>
      <c r="P157" s="251">
        <v>0.81599999999999995</v>
      </c>
      <c r="Q157" s="251">
        <v>0.81799999999999995</v>
      </c>
      <c r="R157" s="251">
        <v>0.79</v>
      </c>
      <c r="S157" s="251">
        <v>0.79</v>
      </c>
      <c r="T157" s="251">
        <v>0.78800000000000003</v>
      </c>
      <c r="U157" s="251">
        <v>0.78</v>
      </c>
      <c r="V157" s="251">
        <v>0.78</v>
      </c>
      <c r="W157" s="251">
        <v>0.72</v>
      </c>
      <c r="X157" s="251">
        <v>0.68200000000000005</v>
      </c>
      <c r="Y157" s="251">
        <v>0.68200000000000005</v>
      </c>
      <c r="Z157" s="245">
        <f ca="1">[1]ExtEntry!$G55</f>
        <v>0.68200000000000005</v>
      </c>
      <c r="AA157" s="275"/>
      <c r="AB157" s="1143">
        <v>0.19280821917808219</v>
      </c>
      <c r="AC157" s="1143">
        <v>1.2678929765886289</v>
      </c>
      <c r="AD157" s="1143">
        <v>0.38364312267657991</v>
      </c>
      <c r="AE157" s="1143">
        <v>0.51637931034482754</v>
      </c>
      <c r="AF157" s="1143">
        <v>2.8112820512820513</v>
      </c>
      <c r="AG157" s="1143">
        <v>18.112820512820512</v>
      </c>
      <c r="AH157" s="1143">
        <v>2.5646017699115045</v>
      </c>
      <c r="AI157" s="1143">
        <v>2.5646017699115045</v>
      </c>
      <c r="AJ157" s="1143">
        <v>0.39964726631393299</v>
      </c>
      <c r="AK157" s="1143">
        <v>1.8546737213403881</v>
      </c>
      <c r="AL157" s="1143">
        <v>0.21558872305140961</v>
      </c>
      <c r="AM157" s="1143">
        <v>0.15041459369817578</v>
      </c>
      <c r="AN157" s="1143">
        <v>1.011094674556213</v>
      </c>
      <c r="AO157" s="1143">
        <v>1.0307280513918629</v>
      </c>
      <c r="AP157" s="1143">
        <v>0.40250737463126846</v>
      </c>
      <c r="AQ157" s="1143">
        <v>0.29159292035398232</v>
      </c>
      <c r="AR157" s="1143">
        <v>0.32673879443585779</v>
      </c>
      <c r="AS157" s="1143">
        <v>2.0120065789473682</v>
      </c>
      <c r="AT157" s="1143">
        <v>2.0191582934982475</v>
      </c>
      <c r="AU157" s="1143">
        <v>0.55366568914956016</v>
      </c>
      <c r="AV157" s="1102">
        <f ca="1">Calc!BB55</f>
        <v>0.55366568914956016</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2.94</v>
      </c>
      <c r="G158" s="251">
        <v>3.21</v>
      </c>
      <c r="H158" s="251">
        <v>3.31</v>
      </c>
      <c r="I158" s="251">
        <v>3.18</v>
      </c>
      <c r="J158" s="251">
        <v>3.24</v>
      </c>
      <c r="K158" s="251">
        <v>3.66</v>
      </c>
      <c r="L158" s="251">
        <v>3.37</v>
      </c>
      <c r="M158" s="251">
        <v>3.37</v>
      </c>
      <c r="N158" s="251">
        <v>3.08</v>
      </c>
      <c r="O158" s="251">
        <v>3.18</v>
      </c>
      <c r="P158" s="251">
        <v>3.2</v>
      </c>
      <c r="Q158" s="251">
        <v>3.24</v>
      </c>
      <c r="R158" s="251">
        <v>3.04</v>
      </c>
      <c r="S158" s="251">
        <v>2.68</v>
      </c>
      <c r="T158" s="251">
        <v>2.5</v>
      </c>
      <c r="U158" s="251">
        <v>2.6</v>
      </c>
      <c r="V158" s="251">
        <v>2.2200000000000002</v>
      </c>
      <c r="W158" s="251">
        <v>2.085</v>
      </c>
      <c r="X158" s="251">
        <v>2.0499999999999998</v>
      </c>
      <c r="Y158" s="251">
        <v>2.1</v>
      </c>
      <c r="Z158" s="245">
        <f ca="1">[1]ExtEntry!$G56</f>
        <v>2.1</v>
      </c>
      <c r="AA158" s="275"/>
      <c r="AB158" s="1143">
        <v>0.6190723562989483</v>
      </c>
      <c r="AC158" s="1143">
        <v>0.64307343677691386</v>
      </c>
      <c r="AD158" s="1143">
        <v>1.0942968182263135</v>
      </c>
      <c r="AE158" s="1143">
        <v>0.82300357163750415</v>
      </c>
      <c r="AF158" s="1143">
        <v>1.5671814220431834</v>
      </c>
      <c r="AG158" s="1143">
        <v>1.2154801258593895</v>
      </c>
      <c r="AH158" s="1143">
        <v>0.97920444289454789</v>
      </c>
      <c r="AI158" s="1143">
        <v>0.97921204565739195</v>
      </c>
      <c r="AJ158" s="1143">
        <v>0.55260867669021085</v>
      </c>
      <c r="AK158" s="1143">
        <v>0.66203796015800986</v>
      </c>
      <c r="AL158" s="1143">
        <v>0.96370970010294721</v>
      </c>
      <c r="AM158" s="1143">
        <v>1.1731551306897487</v>
      </c>
      <c r="AN158" s="1143">
        <v>0.93252881992191239</v>
      </c>
      <c r="AO158" s="1143">
        <v>0.62287445509948736</v>
      </c>
      <c r="AP158" s="1143">
        <v>1.2252003181089997</v>
      </c>
      <c r="AQ158" s="1143">
        <v>0.8139190547095726</v>
      </c>
      <c r="AR158" s="1143">
        <v>0.54788075577674089</v>
      </c>
      <c r="AS158" s="1143">
        <v>0.41848479514912329</v>
      </c>
      <c r="AT158" s="1143">
        <v>2.6589571091605594E-6</v>
      </c>
      <c r="AU158" s="1143">
        <v>0.20013259900261549</v>
      </c>
      <c r="AV158" s="1102">
        <f ca="1">Calc!BB56</f>
        <v>0.20013259900261549</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094">
        <f>ROW()</f>
        <v>159</v>
      </c>
      <c r="E159" s="242"/>
      <c r="F159" s="251">
        <v>28.65</v>
      </c>
      <c r="G159" s="251">
        <v>28.59</v>
      </c>
      <c r="H159" s="251">
        <v>28.83</v>
      </c>
      <c r="I159" s="251">
        <v>29.02</v>
      </c>
      <c r="J159" s="251">
        <v>29.45</v>
      </c>
      <c r="K159" s="251">
        <v>29.79</v>
      </c>
      <c r="L159" s="251">
        <v>30.05</v>
      </c>
      <c r="M159" s="251">
        <v>30.05</v>
      </c>
      <c r="N159" s="251">
        <v>26</v>
      </c>
      <c r="O159" s="251">
        <v>26.3</v>
      </c>
      <c r="P159" s="251">
        <v>25.72</v>
      </c>
      <c r="Q159" s="251">
        <v>25.31</v>
      </c>
      <c r="R159" s="251">
        <v>24.58</v>
      </c>
      <c r="S159" s="251">
        <v>24.14</v>
      </c>
      <c r="T159" s="251">
        <v>23.86</v>
      </c>
      <c r="U159" s="251">
        <v>23.83</v>
      </c>
      <c r="V159" s="251">
        <v>23.34</v>
      </c>
      <c r="W159" s="251">
        <v>24.01</v>
      </c>
      <c r="X159" s="251">
        <v>23.2</v>
      </c>
      <c r="Y159" s="251">
        <v>23.2</v>
      </c>
      <c r="Z159" s="245">
        <f ca="1">[1]ExtEntry!$G57</f>
        <v>23.2</v>
      </c>
      <c r="AA159" s="275"/>
      <c r="AB159" s="1143">
        <v>1.4749027360988527</v>
      </c>
      <c r="AC159" s="1143">
        <v>1.2615483322108398</v>
      </c>
      <c r="AD159" s="1143">
        <v>0.9765418502202643</v>
      </c>
      <c r="AE159" s="1143">
        <v>1.1551305544346169</v>
      </c>
      <c r="AF159" s="1143">
        <v>0.69999801538736328</v>
      </c>
      <c r="AG159" s="1143">
        <v>0.9729700694888288</v>
      </c>
      <c r="AH159" s="1143">
        <v>1.2820478126657329</v>
      </c>
      <c r="AI159" s="1143">
        <v>1.2820478126657329</v>
      </c>
      <c r="AJ159" s="1143">
        <v>5.2664647136247069</v>
      </c>
      <c r="AK159" s="1143">
        <v>2.2751021072770938</v>
      </c>
      <c r="AL159" s="1143">
        <v>1.164572473176624</v>
      </c>
      <c r="AM159" s="1143">
        <v>1.5948084413696879</v>
      </c>
      <c r="AN159" s="1143">
        <v>0.76719305698852946</v>
      </c>
      <c r="AO159" s="1143">
        <v>0.61711680290929616</v>
      </c>
      <c r="AP159" s="1143">
        <v>0.51993470790378005</v>
      </c>
      <c r="AQ159" s="1143">
        <v>0.7400236731576938</v>
      </c>
      <c r="AR159" s="1143">
        <v>0.97018179551316519</v>
      </c>
      <c r="AS159" s="1143">
        <v>1.2360891553533109</v>
      </c>
      <c r="AT159" s="1143">
        <v>0.42472573240049966</v>
      </c>
      <c r="AU159" s="1143">
        <v>1.4375302511891848</v>
      </c>
      <c r="AV159" s="1102">
        <f ca="1">Calc!BB57</f>
        <v>1.4375302511891848</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16.164999999999999</v>
      </c>
      <c r="G160" s="251">
        <v>16.37</v>
      </c>
      <c r="H160" s="251">
        <v>16.239999999999998</v>
      </c>
      <c r="I160" s="251">
        <v>16.164999999999999</v>
      </c>
      <c r="J160" s="251">
        <v>16.315000000000001</v>
      </c>
      <c r="K160" s="251">
        <v>16.355</v>
      </c>
      <c r="L160" s="251">
        <v>16.3</v>
      </c>
      <c r="M160" s="251">
        <v>16.3</v>
      </c>
      <c r="N160" s="251">
        <v>16.13</v>
      </c>
      <c r="O160" s="251">
        <v>15.984999999999999</v>
      </c>
      <c r="P160" s="251">
        <v>16.05</v>
      </c>
      <c r="Q160" s="251">
        <v>16.024999999999999</v>
      </c>
      <c r="R160" s="251">
        <v>16.225000000000001</v>
      </c>
      <c r="S160" s="251">
        <v>15.85</v>
      </c>
      <c r="T160" s="251">
        <v>15.824999999999999</v>
      </c>
      <c r="U160" s="251">
        <v>16.004999999999999</v>
      </c>
      <c r="V160" s="251">
        <v>16.105</v>
      </c>
      <c r="W160" s="251">
        <v>15.225</v>
      </c>
      <c r="X160" s="251">
        <v>15.315</v>
      </c>
      <c r="Y160" s="251">
        <v>15.315</v>
      </c>
      <c r="Z160" s="245">
        <f ca="1">[1]ExtEntry!$G58</f>
        <v>15.315</v>
      </c>
      <c r="AA160" s="275"/>
      <c r="AB160" s="1143">
        <v>1.0223008095157225E-3</v>
      </c>
      <c r="AC160" s="1143">
        <v>1.8751914365397946E-3</v>
      </c>
      <c r="AD160" s="1143">
        <v>2.621069224044295E-3</v>
      </c>
      <c r="AE160" s="1143">
        <v>1.6947205747222455E-3</v>
      </c>
      <c r="AF160" s="1143">
        <v>2.8769426684523477E-3</v>
      </c>
      <c r="AG160" s="1143">
        <v>3.9924448583246409E-3</v>
      </c>
      <c r="AH160" s="1143">
        <v>2.9646218410092277E-3</v>
      </c>
      <c r="AI160" s="1143">
        <v>2.9646218410092277E-3</v>
      </c>
      <c r="AJ160" s="1143">
        <v>2.0957802059433446E-3</v>
      </c>
      <c r="AK160" s="1143">
        <v>1.3643016391740198E-3</v>
      </c>
      <c r="AL160" s="1143">
        <v>7.4818016234157736E-3</v>
      </c>
      <c r="AM160" s="1143">
        <v>1.3413171372541554E-3</v>
      </c>
      <c r="AN160" s="1143">
        <v>2.7306417007996877E-4</v>
      </c>
      <c r="AO160" s="1143">
        <v>3.9124109425137327E-3</v>
      </c>
      <c r="AP160" s="1143">
        <v>1.4626982707625427E-3</v>
      </c>
      <c r="AQ160" s="1143">
        <v>1.3417069156255903E-3</v>
      </c>
      <c r="AR160" s="1143">
        <v>1.3773604663339033E-3</v>
      </c>
      <c r="AS160" s="1143">
        <v>4.2504365405498928E-3</v>
      </c>
      <c r="AT160" s="1143">
        <v>4.4907760902519392E-4</v>
      </c>
      <c r="AU160" s="1143">
        <v>3.4286087467618696E-4</v>
      </c>
      <c r="AV160" s="1102">
        <f ca="1">Calc!BB58</f>
        <v>3.4286087467618696E-4</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094">
        <f>ROW()</f>
        <v>161</v>
      </c>
      <c r="E161" s="242"/>
      <c r="F161" s="251">
        <v>14.91</v>
      </c>
      <c r="G161" s="251">
        <v>14.696</v>
      </c>
      <c r="H161" s="251">
        <v>14.78</v>
      </c>
      <c r="I161" s="251">
        <v>14.58</v>
      </c>
      <c r="J161" s="251">
        <v>14.86</v>
      </c>
      <c r="K161" s="251">
        <v>14.914</v>
      </c>
      <c r="L161" s="251">
        <v>15.05</v>
      </c>
      <c r="M161" s="251">
        <v>15.05</v>
      </c>
      <c r="N161" s="251">
        <v>15.35</v>
      </c>
      <c r="O161" s="251">
        <v>15.83</v>
      </c>
      <c r="P161" s="251">
        <v>15.9</v>
      </c>
      <c r="Q161" s="251">
        <v>15.8</v>
      </c>
      <c r="R161" s="251">
        <v>15.98</v>
      </c>
      <c r="S161" s="251">
        <v>15.9</v>
      </c>
      <c r="T161" s="251">
        <v>15.848000000000001</v>
      </c>
      <c r="U161" s="251">
        <v>15.901999999999999</v>
      </c>
      <c r="V161" s="251">
        <v>16.010000000000002</v>
      </c>
      <c r="W161" s="251">
        <v>16.457999999999998</v>
      </c>
      <c r="X161" s="251">
        <v>16.38</v>
      </c>
      <c r="Y161" s="251">
        <v>16.38</v>
      </c>
      <c r="Z161" s="245">
        <f ca="1">[1]ExtEntry!$G59</f>
        <v>16.38</v>
      </c>
      <c r="AA161" s="275"/>
      <c r="AB161" s="1143">
        <v>1.2917570956538709</v>
      </c>
      <c r="AC161" s="1143">
        <v>0.84163950578146351</v>
      </c>
      <c r="AD161" s="1143">
        <v>0.62041217543961047</v>
      </c>
      <c r="AE161" s="1143">
        <v>1.0628734632284409</v>
      </c>
      <c r="AF161" s="1143">
        <v>0.74638657849185563</v>
      </c>
      <c r="AG161" s="1143">
        <v>0.70859119990735986</v>
      </c>
      <c r="AH161" s="1143">
        <v>1.1178150489617786</v>
      </c>
      <c r="AI161" s="1143">
        <v>1.1178150489617786</v>
      </c>
      <c r="AJ161" s="1143">
        <v>2.8045750663013216</v>
      </c>
      <c r="AK161" s="1143">
        <v>1.9757191354967922</v>
      </c>
      <c r="AL161" s="1143">
        <v>0.79539864433624363</v>
      </c>
      <c r="AM161" s="1143">
        <v>0.66685940470229454</v>
      </c>
      <c r="AN161" s="1143">
        <v>0.6767312645060648</v>
      </c>
      <c r="AO161" s="1143">
        <v>0.83079013693263626</v>
      </c>
      <c r="AP161" s="1143">
        <v>0.56816166587431072</v>
      </c>
      <c r="AQ161" s="1143">
        <v>0.5806903730260059</v>
      </c>
      <c r="AR161" s="1143">
        <v>0.59620640604938813</v>
      </c>
      <c r="AS161" s="1143">
        <v>0.84320123827020799</v>
      </c>
      <c r="AT161" s="1143">
        <v>0.62246323860563713</v>
      </c>
      <c r="AU161" s="1143">
        <v>0.92243783340360397</v>
      </c>
      <c r="AV161" s="1102">
        <f ca="1">Calc!BB59</f>
        <v>0.92243783340360397</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43">
        <v>1.8522760022071003</v>
      </c>
      <c r="AC162" s="1143">
        <v>1.8522760022071003</v>
      </c>
      <c r="AD162" s="1143">
        <v>1.8522760022071003</v>
      </c>
      <c r="AE162" s="1143">
        <v>1.8522760022071003</v>
      </c>
      <c r="AF162" s="1143">
        <v>1.8522760022071003</v>
      </c>
      <c r="AG162" s="1143">
        <v>1.8522760022071003</v>
      </c>
      <c r="AH162" s="1143">
        <v>1.8522760022071003</v>
      </c>
      <c r="AI162" s="1143">
        <v>1.8522760022071003</v>
      </c>
      <c r="AJ162" s="1143">
        <v>1.8522760022071003</v>
      </c>
      <c r="AK162" s="1143">
        <v>1.8522760022071003</v>
      </c>
      <c r="AL162" s="1143">
        <v>1.8522760022071003</v>
      </c>
      <c r="AM162" s="1143">
        <v>1.8522760022071003</v>
      </c>
      <c r="AN162" s="1143">
        <v>1.8522760022071003</v>
      </c>
      <c r="AO162" s="1143">
        <v>1.8522760022071003</v>
      </c>
      <c r="AP162" s="1143">
        <v>1.8522760022071003</v>
      </c>
      <c r="AQ162" s="1143">
        <v>1.8522760022071003</v>
      </c>
      <c r="AR162" s="1143">
        <v>1.8522760022071003</v>
      </c>
      <c r="AS162" s="1143">
        <v>1.8522760022071003</v>
      </c>
      <c r="AT162" s="1143">
        <v>1.8522760022071003</v>
      </c>
      <c r="AU162" s="1143">
        <v>1.8522760022071003</v>
      </c>
      <c r="AV162" s="1102">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094">
        <f>ROW()</f>
        <v>163</v>
      </c>
      <c r="E163" s="242"/>
      <c r="F163" s="251">
        <v>53.12</v>
      </c>
      <c r="G163" s="251">
        <v>56.12</v>
      </c>
      <c r="H163" s="251">
        <v>55.42</v>
      </c>
      <c r="I163" s="251">
        <v>54.6</v>
      </c>
      <c r="J163" s="251">
        <v>54.58</v>
      </c>
      <c r="K163" s="251">
        <v>53.44</v>
      </c>
      <c r="L163" s="251">
        <v>52.98</v>
      </c>
      <c r="M163" s="251">
        <v>52.98</v>
      </c>
      <c r="N163" s="251">
        <v>53.22</v>
      </c>
      <c r="O163" s="251">
        <v>53.94</v>
      </c>
      <c r="P163" s="251">
        <v>53.58</v>
      </c>
      <c r="Q163" s="251">
        <v>53.48</v>
      </c>
      <c r="R163" s="251">
        <v>56.62</v>
      </c>
      <c r="S163" s="251">
        <v>54.1</v>
      </c>
      <c r="T163" s="251">
        <v>53.96</v>
      </c>
      <c r="U163" s="251">
        <v>54.8</v>
      </c>
      <c r="V163" s="251">
        <v>56.08</v>
      </c>
      <c r="W163" s="251">
        <v>58.72</v>
      </c>
      <c r="X163" s="251">
        <v>56.42</v>
      </c>
      <c r="Y163" s="251">
        <v>56.42</v>
      </c>
      <c r="Z163" s="245">
        <f ca="1">[1]ExtEntry!$G61</f>
        <v>56.42</v>
      </c>
      <c r="AA163" s="275"/>
      <c r="AB163" s="1143">
        <v>1.07937464573109</v>
      </c>
      <c r="AC163" s="1143">
        <v>1.0890179245190565</v>
      </c>
      <c r="AD163" s="1143">
        <v>1.0877498966927428</v>
      </c>
      <c r="AE163" s="1143">
        <v>1.3148190631243988</v>
      </c>
      <c r="AF163" s="1143">
        <v>1.0984845868587452</v>
      </c>
      <c r="AG163" s="1143">
        <v>0.73005935740133565</v>
      </c>
      <c r="AH163" s="1143">
        <v>0.63591547720756303</v>
      </c>
      <c r="AI163" s="1143">
        <v>0.63591547720756303</v>
      </c>
      <c r="AJ163" s="1143">
        <v>1.0063348373621503</v>
      </c>
      <c r="AK163" s="1143">
        <v>0.76575199083438239</v>
      </c>
      <c r="AL163" s="1143">
        <v>0.66606570020780009</v>
      </c>
      <c r="AM163" s="1143">
        <v>0.64864291293518894</v>
      </c>
      <c r="AN163" s="1143">
        <v>2.3635928559566404</v>
      </c>
      <c r="AO163" s="1143">
        <v>0.76322577666989799</v>
      </c>
      <c r="AP163" s="1143">
        <v>0.80030734555885663</v>
      </c>
      <c r="AQ163" s="1143">
        <v>1.1191914852536564</v>
      </c>
      <c r="AR163" s="1143">
        <v>0.71645315441424917</v>
      </c>
      <c r="AS163" s="1143">
        <v>0.90405480216789558</v>
      </c>
      <c r="AT163" s="1143">
        <v>0.57417620165699945</v>
      </c>
      <c r="AU163" s="1143">
        <v>1.1777482661130008</v>
      </c>
      <c r="AV163" s="1102">
        <f ca="1">Calc!BB61</f>
        <v>1.1777482661130008</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13.47</v>
      </c>
      <c r="G164" s="251">
        <v>14.05</v>
      </c>
      <c r="H164" s="251">
        <v>13.98</v>
      </c>
      <c r="I164" s="251">
        <v>14.03</v>
      </c>
      <c r="J164" s="251">
        <v>14.244999999999999</v>
      </c>
      <c r="K164" s="251">
        <v>14.185</v>
      </c>
      <c r="L164" s="251">
        <v>14.11</v>
      </c>
      <c r="M164" s="251">
        <v>14.11</v>
      </c>
      <c r="N164" s="251">
        <v>14.1</v>
      </c>
      <c r="O164" s="251">
        <v>14.13</v>
      </c>
      <c r="P164" s="251">
        <v>13.925000000000001</v>
      </c>
      <c r="Q164" s="251">
        <v>13.9</v>
      </c>
      <c r="R164" s="251">
        <v>13.775</v>
      </c>
      <c r="S164" s="251">
        <v>13.76</v>
      </c>
      <c r="T164" s="251">
        <v>13.73</v>
      </c>
      <c r="U164" s="251">
        <v>13.83</v>
      </c>
      <c r="V164" s="251">
        <v>13.95</v>
      </c>
      <c r="W164" s="251">
        <v>14.35</v>
      </c>
      <c r="X164" s="251">
        <v>13.994999999999999</v>
      </c>
      <c r="Y164" s="251">
        <v>13.994999999999999</v>
      </c>
      <c r="Z164" s="245">
        <f ca="1">[1]ExtEntry!$G62</f>
        <v>13.994999999999999</v>
      </c>
      <c r="AA164" s="275"/>
      <c r="AB164" s="1143">
        <v>0.81416688067055143</v>
      </c>
      <c r="AC164" s="1143">
        <v>2.3893283101988514</v>
      </c>
      <c r="AD164" s="1143">
        <v>0.83116709229148122</v>
      </c>
      <c r="AE164" s="1143">
        <v>1.2407510778527331</v>
      </c>
      <c r="AF164" s="1143">
        <v>0.66577661206280814</v>
      </c>
      <c r="AG164" s="1143">
        <v>0.72038804257461686</v>
      </c>
      <c r="AH164" s="1143">
        <v>1.0817189651816796</v>
      </c>
      <c r="AI164" s="1143">
        <v>1.0817189651816796</v>
      </c>
      <c r="AJ164" s="1143">
        <v>1.1072291862113017</v>
      </c>
      <c r="AK164" s="1143">
        <v>0.94411390446915111</v>
      </c>
      <c r="AL164" s="1143">
        <v>0.68348439454464749</v>
      </c>
      <c r="AM164" s="1143">
        <v>0.89272182544486145</v>
      </c>
      <c r="AN164" s="1143">
        <v>0.96407538756281108</v>
      </c>
      <c r="AO164" s="1143">
        <v>0.79362596317456802</v>
      </c>
      <c r="AP164" s="1143">
        <v>0.93614477517696715</v>
      </c>
      <c r="AQ164" s="1143">
        <v>1.0147540298657129</v>
      </c>
      <c r="AR164" s="1143">
        <v>1.0808883296742351</v>
      </c>
      <c r="AS164" s="1143">
        <v>1.3060037337623358</v>
      </c>
      <c r="AT164" s="1143">
        <v>0.68889065677858563</v>
      </c>
      <c r="AU164" s="1143">
        <v>1.2898279166741773</v>
      </c>
      <c r="AV164" s="1102">
        <f ca="1">Calc!BB62</f>
        <v>1.2898279166741773</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094">
        <f>ROW()</f>
        <v>165</v>
      </c>
      <c r="E165" s="242"/>
      <c r="F165" s="251">
        <v>40.700000000000003</v>
      </c>
      <c r="G165" s="251">
        <v>40.67</v>
      </c>
      <c r="H165" s="251">
        <v>40.85</v>
      </c>
      <c r="I165" s="251">
        <v>41.14</v>
      </c>
      <c r="J165" s="251">
        <v>40.86</v>
      </c>
      <c r="K165" s="251">
        <v>40.869999999999997</v>
      </c>
      <c r="L165" s="251">
        <v>40.58</v>
      </c>
      <c r="M165" s="251">
        <v>40.58</v>
      </c>
      <c r="N165" s="251">
        <v>39.78</v>
      </c>
      <c r="O165" s="251">
        <v>40.340000000000003</v>
      </c>
      <c r="P165" s="251">
        <v>40.54</v>
      </c>
      <c r="Q165" s="251">
        <v>40.43</v>
      </c>
      <c r="R165" s="251">
        <v>42.24</v>
      </c>
      <c r="S165" s="251">
        <v>42.46</v>
      </c>
      <c r="T165" s="251">
        <v>42.28</v>
      </c>
      <c r="U165" s="251">
        <v>42.5</v>
      </c>
      <c r="V165" s="251">
        <v>43.11</v>
      </c>
      <c r="W165" s="251">
        <v>45.45</v>
      </c>
      <c r="X165" s="251">
        <v>44.96</v>
      </c>
      <c r="Y165" s="251">
        <v>44.96</v>
      </c>
      <c r="Z165" s="245">
        <f ca="1">[1]ExtEntry!$G63</f>
        <v>44.96</v>
      </c>
      <c r="AA165" s="275"/>
      <c r="AB165" s="1143">
        <v>1.0585849090342457E-3</v>
      </c>
      <c r="AC165" s="1143">
        <v>3.3320044160942098E-3</v>
      </c>
      <c r="AD165" s="1143">
        <v>3.4787200771112009E-3</v>
      </c>
      <c r="AE165" s="1143">
        <v>2.6549612375659317E-3</v>
      </c>
      <c r="AF165" s="1143">
        <v>1.819630684912659E-3</v>
      </c>
      <c r="AG165" s="1143">
        <v>2.6084812905962816E-3</v>
      </c>
      <c r="AH165" s="1143">
        <v>1.7585367412511838E-2</v>
      </c>
      <c r="AI165" s="1143">
        <v>1.7585367412511838E-2</v>
      </c>
      <c r="AJ165" s="1143">
        <v>1.3090727062124202E-3</v>
      </c>
      <c r="AK165" s="1143">
        <v>1.0127996926676795E-3</v>
      </c>
      <c r="AL165" s="1143">
        <v>4.9424178325354713E-3</v>
      </c>
      <c r="AM165" s="1143">
        <v>1.7274650239358742E-3</v>
      </c>
      <c r="AN165" s="1143">
        <v>3.5312240786823084E-3</v>
      </c>
      <c r="AO165" s="1143">
        <v>3.1655184986713663E-3</v>
      </c>
      <c r="AP165" s="1143">
        <v>3.2275726924296129E-3</v>
      </c>
      <c r="AQ165" s="1143">
        <v>5.2418769337309696E-3</v>
      </c>
      <c r="AR165" s="1143">
        <v>4.4524727823072796E-3</v>
      </c>
      <c r="AS165" s="1143">
        <v>2.8542469819550775E-3</v>
      </c>
      <c r="AT165" s="1143">
        <v>7.7837800651932073E-3</v>
      </c>
      <c r="AU165" s="1143">
        <v>5.5391708193498089E-3</v>
      </c>
      <c r="AV165" s="1102">
        <f ca="1">Calc!BB63</f>
        <v>5.5391708193498089E-3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230.95</v>
      </c>
      <c r="G166" s="251">
        <v>231.8</v>
      </c>
      <c r="H166" s="251">
        <v>231.2</v>
      </c>
      <c r="I166" s="251">
        <v>229.25</v>
      </c>
      <c r="J166" s="251">
        <v>233.8</v>
      </c>
      <c r="K166" s="251">
        <v>238.15</v>
      </c>
      <c r="L166" s="251">
        <v>241.15</v>
      </c>
      <c r="M166" s="251">
        <v>241.15</v>
      </c>
      <c r="N166" s="251">
        <v>239.4</v>
      </c>
      <c r="O166" s="251">
        <v>241.25</v>
      </c>
      <c r="P166" s="251">
        <v>234</v>
      </c>
      <c r="Q166" s="251">
        <v>233.9</v>
      </c>
      <c r="R166" s="251">
        <v>224.3</v>
      </c>
      <c r="S166" s="251">
        <v>226</v>
      </c>
      <c r="T166" s="251">
        <v>224.95</v>
      </c>
      <c r="U166" s="251">
        <v>225.6</v>
      </c>
      <c r="V166" s="251">
        <v>219.65</v>
      </c>
      <c r="W166" s="251">
        <v>213.75</v>
      </c>
      <c r="X166" s="251">
        <v>205.2</v>
      </c>
      <c r="Y166" s="251">
        <v>205.2</v>
      </c>
      <c r="Z166" s="245">
        <f ca="1">[1]ExtEntry!$G64</f>
        <v>205.2</v>
      </c>
      <c r="AA166" s="275"/>
      <c r="AB166" s="1143">
        <v>1.1919431065487109</v>
      </c>
      <c r="AC166" s="1143">
        <v>0.97916485351189575</v>
      </c>
      <c r="AD166" s="1143">
        <v>1.035415409827209</v>
      </c>
      <c r="AE166" s="1143">
        <v>1.0497599001618751</v>
      </c>
      <c r="AF166" s="1143">
        <v>1.2601543085273403</v>
      </c>
      <c r="AG166" s="1143">
        <v>1.2221288444286464</v>
      </c>
      <c r="AH166" s="1143">
        <v>1.4835821527107771</v>
      </c>
      <c r="AI166" s="1143">
        <v>1.4835821527107771</v>
      </c>
      <c r="AJ166" s="1143">
        <v>2.6649710633079384</v>
      </c>
      <c r="AK166" s="1143">
        <v>1.514105482432194</v>
      </c>
      <c r="AL166" s="1143">
        <v>0.93913206074599198</v>
      </c>
      <c r="AM166" s="1143">
        <v>0.73112677422483752</v>
      </c>
      <c r="AN166" s="1143">
        <v>0.8612364119469329</v>
      </c>
      <c r="AO166" s="1143">
        <v>0.61165650280024886</v>
      </c>
      <c r="AP166" s="1143">
        <v>0.60507338761860219</v>
      </c>
      <c r="AQ166" s="1143">
        <v>0.85338166536039561</v>
      </c>
      <c r="AR166" s="1143">
        <v>1.1597733249552002</v>
      </c>
      <c r="AS166" s="1143">
        <v>1.9349794493852532</v>
      </c>
      <c r="AT166" s="1143">
        <v>0.61255694363384539</v>
      </c>
      <c r="AU166" s="1143">
        <v>0.93717056647786734</v>
      </c>
      <c r="AV166" s="1102">
        <f ca="1">Calc!BB64</f>
        <v>0.93717056647786734</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094">
        <f>ROW()</f>
        <v>167</v>
      </c>
      <c r="E167" s="242"/>
      <c r="F167" s="251">
        <v>32</v>
      </c>
      <c r="G167" s="251">
        <v>31.75</v>
      </c>
      <c r="H167" s="251">
        <v>31.7</v>
      </c>
      <c r="I167" s="251">
        <v>31.35</v>
      </c>
      <c r="J167" s="251">
        <v>32.049999999999997</v>
      </c>
      <c r="K167" s="251">
        <v>32.1</v>
      </c>
      <c r="L167" s="251">
        <v>31.6</v>
      </c>
      <c r="M167" s="251">
        <v>31.6</v>
      </c>
      <c r="N167" s="251">
        <v>31.3</v>
      </c>
      <c r="O167" s="251">
        <v>31</v>
      </c>
      <c r="P167" s="251">
        <v>30.2</v>
      </c>
      <c r="Q167" s="251">
        <v>30.25</v>
      </c>
      <c r="R167" s="251">
        <v>30.2</v>
      </c>
      <c r="S167" s="251">
        <v>29.55</v>
      </c>
      <c r="T167" s="251">
        <v>29.5</v>
      </c>
      <c r="U167" s="251">
        <v>28.9</v>
      </c>
      <c r="V167" s="251">
        <v>28.4</v>
      </c>
      <c r="W167" s="251">
        <v>28.45</v>
      </c>
      <c r="X167" s="251">
        <v>29.55</v>
      </c>
      <c r="Y167" s="251">
        <v>29.55</v>
      </c>
      <c r="Z167" s="245">
        <f ca="1">[1]ExtEntry!$G65</f>
        <v>29.55</v>
      </c>
      <c r="AA167" s="275"/>
      <c r="AB167" s="1143">
        <v>5.6710775047258983E-3</v>
      </c>
      <c r="AC167" s="1143">
        <v>6.1450381679389314E-2</v>
      </c>
      <c r="AD167" s="1143">
        <v>1.2727272727272728E-2</v>
      </c>
      <c r="AE167" s="1143">
        <v>3.1596638655462188E-2</v>
      </c>
      <c r="AF167" s="1143">
        <v>1.2522361359570662E-3</v>
      </c>
      <c r="AG167" s="1143">
        <v>1.9856887298747763E-2</v>
      </c>
      <c r="AH167" s="1143">
        <v>0.1020952380952381</v>
      </c>
      <c r="AI167" s="1143">
        <v>0.1020952380952381</v>
      </c>
      <c r="AJ167" s="1143">
        <v>2.4789915966386553E-2</v>
      </c>
      <c r="AK167" s="1143">
        <v>3.907563025210084E-2</v>
      </c>
      <c r="AL167" s="1143">
        <v>6.5509761388286333E-2</v>
      </c>
      <c r="AM167" s="1143">
        <v>2.0607375271149676E-2</v>
      </c>
      <c r="AN167" s="1143">
        <v>4.9916805324459236E-4</v>
      </c>
      <c r="AO167" s="1143">
        <v>5.6818181818181816E-2</v>
      </c>
      <c r="AP167" s="1143">
        <v>8.608534322820037E-2</v>
      </c>
      <c r="AQ167" s="1143">
        <v>5.0092764378478663E-2</v>
      </c>
      <c r="AR167" s="1143">
        <v>1.1342155009451797E-2</v>
      </c>
      <c r="AS167" s="1143">
        <v>1.5023474178403756E-2</v>
      </c>
      <c r="AT167" s="1143">
        <v>1.5643492163968318</v>
      </c>
      <c r="AU167" s="1143">
        <v>1.1235955056179776E-3</v>
      </c>
      <c r="AV167" s="1102">
        <f ca="1">Calc!BB65</f>
        <v>1.1235955056179776E-3</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246.57</v>
      </c>
      <c r="G168" s="251">
        <v>249.38</v>
      </c>
      <c r="H168" s="251">
        <v>248.25</v>
      </c>
      <c r="I168" s="251">
        <v>248.02</v>
      </c>
      <c r="J168" s="251">
        <v>255.88499999999999</v>
      </c>
      <c r="K168" s="251">
        <v>261.88</v>
      </c>
      <c r="L168" s="251">
        <v>262.64999999999998</v>
      </c>
      <c r="M168" s="251">
        <v>262.64999999999998</v>
      </c>
      <c r="N168" s="251">
        <v>259.94</v>
      </c>
      <c r="O168" s="251">
        <v>261.19</v>
      </c>
      <c r="P168" s="251">
        <v>264.88</v>
      </c>
      <c r="Q168" s="251">
        <v>268.98500000000001</v>
      </c>
      <c r="R168" s="251">
        <v>271.99</v>
      </c>
      <c r="S168" s="251">
        <v>268.48</v>
      </c>
      <c r="T168" s="251">
        <v>268.61</v>
      </c>
      <c r="U168" s="251">
        <v>268.2</v>
      </c>
      <c r="V168" s="251">
        <v>269.77</v>
      </c>
      <c r="W168" s="251">
        <v>271.05</v>
      </c>
      <c r="X168" s="251">
        <v>269.99</v>
      </c>
      <c r="Y168" s="251">
        <v>265.5</v>
      </c>
      <c r="Z168" s="245">
        <f ca="1">[1]ExtEntry!$G66</f>
        <v>265.5</v>
      </c>
      <c r="AA168" s="275"/>
      <c r="AB168" s="1143">
        <v>0.60657144989722056</v>
      </c>
      <c r="AC168" s="1143">
        <v>0.39265376879586078</v>
      </c>
      <c r="AD168" s="1143">
        <v>0.75344364335389391</v>
      </c>
      <c r="AE168" s="1143">
        <v>0.94159957139339034</v>
      </c>
      <c r="AF168" s="1143">
        <v>1.7373275336209155</v>
      </c>
      <c r="AG168" s="1143">
        <v>0.86578114345634261</v>
      </c>
      <c r="AH168" s="1143">
        <v>0.80723094074890434</v>
      </c>
      <c r="AI168" s="1143">
        <v>0.80726296983213941</v>
      </c>
      <c r="AJ168" s="1143">
        <v>0.61447361422266678</v>
      </c>
      <c r="AK168" s="1143">
        <v>0.72431334071401965</v>
      </c>
      <c r="AL168" s="1143">
        <v>0.93677182791042202</v>
      </c>
      <c r="AM168" s="1143">
        <v>0.91598450258708664</v>
      </c>
      <c r="AN168" s="1143">
        <v>1.2695567990499188</v>
      </c>
      <c r="AO168" s="1143">
        <v>0.7450988412892311</v>
      </c>
      <c r="AP168" s="1143">
        <v>0.91183594378728339</v>
      </c>
      <c r="AQ168" s="1143">
        <v>0.67764877152594571</v>
      </c>
      <c r="AR168" s="1143">
        <v>0.75361006056948199</v>
      </c>
      <c r="AS168" s="1143">
        <v>0.96101685205948351</v>
      </c>
      <c r="AT168" s="1143">
        <v>2.7084323056126642E-4</v>
      </c>
      <c r="AU168" s="1143">
        <v>0.30565067320598954</v>
      </c>
      <c r="AV168" s="1102">
        <f ca="1">Calc!BB66</f>
        <v>0.30565067320598954</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094">
        <f>ROW()</f>
        <v>169</v>
      </c>
      <c r="E169" s="242"/>
      <c r="F169" s="251">
        <v>215.5</v>
      </c>
      <c r="G169" s="251">
        <v>216.31</v>
      </c>
      <c r="H169" s="251">
        <v>215.67</v>
      </c>
      <c r="I169" s="251">
        <v>214.56</v>
      </c>
      <c r="J169" s="251">
        <v>213.88</v>
      </c>
      <c r="K169" s="251">
        <v>218.43</v>
      </c>
      <c r="L169" s="251">
        <v>219.3</v>
      </c>
      <c r="M169" s="251">
        <v>219.3</v>
      </c>
      <c r="N169" s="251">
        <v>219</v>
      </c>
      <c r="O169" s="251">
        <v>221.97</v>
      </c>
      <c r="P169" s="251">
        <v>227.66</v>
      </c>
      <c r="Q169" s="251">
        <v>228.215</v>
      </c>
      <c r="R169" s="251">
        <v>227.06</v>
      </c>
      <c r="S169" s="251">
        <v>250.48</v>
      </c>
      <c r="T169" s="251">
        <v>249.03</v>
      </c>
      <c r="U169" s="251">
        <v>249.15</v>
      </c>
      <c r="V169" s="251">
        <v>243</v>
      </c>
      <c r="W169" s="251">
        <v>235.06</v>
      </c>
      <c r="X169" s="251">
        <v>228.1</v>
      </c>
      <c r="Y169" s="251">
        <v>223.59</v>
      </c>
      <c r="Z169" s="245">
        <f ca="1">[1]ExtEntry!$G67</f>
        <v>223.59</v>
      </c>
      <c r="AA169" s="275"/>
      <c r="AB169" s="1143">
        <v>0.94732269094894184</v>
      </c>
      <c r="AC169" s="1143">
        <v>0.76307702905125563</v>
      </c>
      <c r="AD169" s="1143">
        <v>0.89533238299505757</v>
      </c>
      <c r="AE169" s="1143">
        <v>0.97221744725581261</v>
      </c>
      <c r="AF169" s="1143">
        <v>0.79809917993253798</v>
      </c>
      <c r="AG169" s="1143">
        <v>1.015253951189238</v>
      </c>
      <c r="AH169" s="1143">
        <v>0.90204044987612564</v>
      </c>
      <c r="AI169" s="1143">
        <v>0.90220558528560924</v>
      </c>
      <c r="AJ169" s="1143">
        <v>0.64920445918256142</v>
      </c>
      <c r="AK169" s="1143">
        <v>0.80093660307369696</v>
      </c>
      <c r="AL169" s="1143">
        <v>0.82910471818717135</v>
      </c>
      <c r="AM169" s="1143">
        <v>1.0310410249263953</v>
      </c>
      <c r="AN169" s="1143">
        <v>1.9825181304189066</v>
      </c>
      <c r="AO169" s="1143">
        <v>0.75486270605619821</v>
      </c>
      <c r="AP169" s="1143">
        <v>0.75409060425367169</v>
      </c>
      <c r="AQ169" s="1143">
        <v>0.61932402019166766</v>
      </c>
      <c r="AR169" s="1143">
        <v>0.6942070189669548</v>
      </c>
      <c r="AS169" s="1143">
        <v>0.7408131718550709</v>
      </c>
      <c r="AT169" s="1143">
        <v>8.3155655847150288E-4</v>
      </c>
      <c r="AU169" s="1143">
        <v>0.55227376593669197</v>
      </c>
      <c r="AV169" s="1102">
        <f ca="1">Calc!BB67</f>
        <v>0.55227376593669197</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834.7</v>
      </c>
      <c r="G170" s="251">
        <v>875.6</v>
      </c>
      <c r="H170" s="251">
        <v>883.7</v>
      </c>
      <c r="I170" s="251">
        <v>859.6</v>
      </c>
      <c r="J170" s="251">
        <v>884</v>
      </c>
      <c r="K170" s="251">
        <v>890</v>
      </c>
      <c r="L170" s="251">
        <v>876.7</v>
      </c>
      <c r="M170" s="251">
        <v>876.7</v>
      </c>
      <c r="N170" s="251">
        <v>872</v>
      </c>
      <c r="O170" s="251">
        <v>900</v>
      </c>
      <c r="P170" s="251">
        <v>900</v>
      </c>
      <c r="Q170" s="251">
        <v>904.1</v>
      </c>
      <c r="R170" s="251">
        <v>925</v>
      </c>
      <c r="S170" s="251">
        <v>909.2</v>
      </c>
      <c r="T170" s="251">
        <v>882.9</v>
      </c>
      <c r="U170" s="251">
        <v>901.1</v>
      </c>
      <c r="V170" s="251">
        <v>899</v>
      </c>
      <c r="W170" s="251">
        <v>866.9</v>
      </c>
      <c r="X170" s="251">
        <v>861.1</v>
      </c>
      <c r="Y170" s="251">
        <v>861.1</v>
      </c>
      <c r="Z170" s="245">
        <f ca="1">[1]ExtEntry!$G68</f>
        <v>861.1</v>
      </c>
      <c r="AA170" s="275"/>
      <c r="AB170" s="1143">
        <v>0.9212649675214567</v>
      </c>
      <c r="AC170" s="1143">
        <v>1.4815572344549928</v>
      </c>
      <c r="AD170" s="1143">
        <v>0.87383194989810631</v>
      </c>
      <c r="AE170" s="1143">
        <v>1.0246818701744351</v>
      </c>
      <c r="AF170" s="1143">
        <v>0.63246115718234674</v>
      </c>
      <c r="AG170" s="1143">
        <v>0.53697097512153269</v>
      </c>
      <c r="AH170" s="1143">
        <v>0.66238980546663384</v>
      </c>
      <c r="AI170" s="1143">
        <v>0.66238980546663384</v>
      </c>
      <c r="AJ170" s="1143">
        <v>0.93860648829515581</v>
      </c>
      <c r="AK170" s="1143">
        <v>0.62959608538686995</v>
      </c>
      <c r="AL170" s="1143">
        <v>0.70439053270361551</v>
      </c>
      <c r="AM170" s="1143">
        <v>0.55103540144512175</v>
      </c>
      <c r="AN170" s="1143">
        <v>0.97038282181975921</v>
      </c>
      <c r="AO170" s="1143">
        <v>0.91785407110091743</v>
      </c>
      <c r="AP170" s="1143">
        <v>1.2120666350052971</v>
      </c>
      <c r="AQ170" s="1143">
        <v>0.8690636176438713</v>
      </c>
      <c r="AR170" s="1143">
        <v>1.4227731762002704</v>
      </c>
      <c r="AS170" s="1143">
        <v>1.221879975841432</v>
      </c>
      <c r="AT170" s="1143">
        <v>0.31928218946295994</v>
      </c>
      <c r="AU170" s="1143">
        <v>1.0213644846396783</v>
      </c>
      <c r="AV170" s="1102">
        <f ca="1">Calc!BB68</f>
        <v>1.0213644846396783</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094">
        <f>ROW()</f>
        <v>171</v>
      </c>
      <c r="E171" s="242"/>
      <c r="F171" s="251">
        <v>2.94</v>
      </c>
      <c r="G171" s="251">
        <v>3.21</v>
      </c>
      <c r="H171" s="251">
        <v>3.31</v>
      </c>
      <c r="I171" s="251">
        <v>3.18</v>
      </c>
      <c r="J171" s="251">
        <v>3.24</v>
      </c>
      <c r="K171" s="251">
        <v>3.66</v>
      </c>
      <c r="L171" s="251">
        <v>3.37</v>
      </c>
      <c r="M171" s="251">
        <v>3.37</v>
      </c>
      <c r="N171" s="251">
        <v>3.08</v>
      </c>
      <c r="O171" s="251">
        <v>3.18</v>
      </c>
      <c r="P171" s="251">
        <v>3.2</v>
      </c>
      <c r="Q171" s="251">
        <v>3.24</v>
      </c>
      <c r="R171" s="251">
        <v>3.04</v>
      </c>
      <c r="S171" s="251">
        <v>2.68</v>
      </c>
      <c r="T171" s="251">
        <v>2.5</v>
      </c>
      <c r="U171" s="251">
        <v>2.6</v>
      </c>
      <c r="V171" s="251">
        <v>2.2200000000000002</v>
      </c>
      <c r="W171" s="251">
        <v>2.085</v>
      </c>
      <c r="X171" s="251">
        <v>2.0499999999999998</v>
      </c>
      <c r="Y171" s="251">
        <v>2.1</v>
      </c>
      <c r="Z171" s="245">
        <f ca="1">[1]ExtEntry!$G69</f>
        <v>2.1</v>
      </c>
      <c r="AA171" s="275"/>
      <c r="AB171" s="1143">
        <v>0.6190723562989483</v>
      </c>
      <c r="AC171" s="1143">
        <v>0.64307343677691386</v>
      </c>
      <c r="AD171" s="1143">
        <v>1.0942968182263135</v>
      </c>
      <c r="AE171" s="1143">
        <v>0.82300357163750415</v>
      </c>
      <c r="AF171" s="1143">
        <v>1.5671814220431834</v>
      </c>
      <c r="AG171" s="1143">
        <v>1.2154801258593895</v>
      </c>
      <c r="AH171" s="1143">
        <v>0.97920444289454789</v>
      </c>
      <c r="AI171" s="1143">
        <v>0.97921204565739195</v>
      </c>
      <c r="AJ171" s="1143">
        <v>0.55260867669021085</v>
      </c>
      <c r="AK171" s="1143">
        <v>0.66203796015800986</v>
      </c>
      <c r="AL171" s="1143">
        <v>0.96370970010294721</v>
      </c>
      <c r="AM171" s="1143">
        <v>1.1731551306897487</v>
      </c>
      <c r="AN171" s="1143">
        <v>0.93252881992191239</v>
      </c>
      <c r="AO171" s="1143">
        <v>0.62287445509948736</v>
      </c>
      <c r="AP171" s="1143">
        <v>1.2252003181089997</v>
      </c>
      <c r="AQ171" s="1143">
        <v>0.8139190547095726</v>
      </c>
      <c r="AR171" s="1143">
        <v>0.54788075577674089</v>
      </c>
      <c r="AS171" s="1143">
        <v>0.41848479514912329</v>
      </c>
      <c r="AT171" s="1143">
        <v>2.6589571091605594E-6</v>
      </c>
      <c r="AU171" s="1143">
        <v>0.20013259900261549</v>
      </c>
      <c r="AV171" s="1102">
        <f ca="1">Calc!BB69</f>
        <v>0.20013259900261549</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109.77</v>
      </c>
      <c r="G172" s="251">
        <v>111.55</v>
      </c>
      <c r="H172" s="251">
        <v>111.79</v>
      </c>
      <c r="I172" s="251">
        <v>109.74</v>
      </c>
      <c r="J172" s="251">
        <v>111.03</v>
      </c>
      <c r="K172" s="251">
        <v>112.25</v>
      </c>
      <c r="L172" s="251">
        <v>114</v>
      </c>
      <c r="M172" s="251">
        <v>114</v>
      </c>
      <c r="N172" s="251">
        <v>113.17</v>
      </c>
      <c r="O172" s="251">
        <v>113.23</v>
      </c>
      <c r="P172" s="251">
        <v>111.94</v>
      </c>
      <c r="Q172" s="251">
        <v>111.91</v>
      </c>
      <c r="R172" s="251">
        <v>110.13</v>
      </c>
      <c r="S172" s="251">
        <v>110.67</v>
      </c>
      <c r="T172" s="251">
        <v>111.35</v>
      </c>
      <c r="U172" s="251">
        <v>111.49</v>
      </c>
      <c r="V172" s="251">
        <v>110.35</v>
      </c>
      <c r="W172" s="251">
        <v>107.52</v>
      </c>
      <c r="X172" s="251">
        <v>105.1</v>
      </c>
      <c r="Y172" s="251">
        <v>106.065</v>
      </c>
      <c r="Z172" s="245">
        <f ca="1">[1]ExtEntry!$G70</f>
        <v>106.065</v>
      </c>
      <c r="AA172" s="275"/>
      <c r="AB172" s="1143">
        <v>0.85301167510938047</v>
      </c>
      <c r="AC172" s="1143">
        <v>0.50262524901304584</v>
      </c>
      <c r="AD172" s="1143">
        <v>0.8465237465149057</v>
      </c>
      <c r="AE172" s="1143">
        <v>1.1438019472378613</v>
      </c>
      <c r="AF172" s="1143">
        <v>0.88033970715874299</v>
      </c>
      <c r="AG172" s="1143">
        <v>0.88166346203234114</v>
      </c>
      <c r="AH172" s="1143">
        <v>0.78694006290939056</v>
      </c>
      <c r="AI172" s="1143">
        <v>0.78694838836868952</v>
      </c>
      <c r="AJ172" s="1143">
        <v>0.76978575783389658</v>
      </c>
      <c r="AK172" s="1143">
        <v>0.69813840971538321</v>
      </c>
      <c r="AL172" s="1143">
        <v>0.73204243285457826</v>
      </c>
      <c r="AM172" s="1143">
        <v>0.86391115912806438</v>
      </c>
      <c r="AN172" s="1143">
        <v>1.089463844205405</v>
      </c>
      <c r="AO172" s="1143">
        <v>0.66768678076587551</v>
      </c>
      <c r="AP172" s="1143">
        <v>0.75299585026129023</v>
      </c>
      <c r="AQ172" s="1143">
        <v>0.99298904622139816</v>
      </c>
      <c r="AR172" s="1143">
        <v>0.86820077434090825</v>
      </c>
      <c r="AS172" s="1143">
        <v>1.7119132694577612</v>
      </c>
      <c r="AT172" s="1143">
        <v>1.2954188458828137E-4</v>
      </c>
      <c r="AU172" s="1143">
        <v>0.43204780109496366</v>
      </c>
      <c r="AV172" s="1102">
        <f ca="1">Calc!BB70</f>
        <v>0.43204780109496366</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094">
        <f>ROW()</f>
        <v>173</v>
      </c>
      <c r="E173" s="242"/>
      <c r="F173" s="251">
        <v>54.6</v>
      </c>
      <c r="G173" s="251">
        <v>57.2</v>
      </c>
      <c r="H173" s="251">
        <v>57.884999999999998</v>
      </c>
      <c r="I173" s="251">
        <v>57.73</v>
      </c>
      <c r="J173" s="251">
        <v>58.54</v>
      </c>
      <c r="K173" s="251">
        <v>63.76</v>
      </c>
      <c r="L173" s="251">
        <v>67.05</v>
      </c>
      <c r="M173" s="251">
        <v>67.05</v>
      </c>
      <c r="N173" s="251">
        <v>67.97</v>
      </c>
      <c r="O173" s="251">
        <v>67.459999999999994</v>
      </c>
      <c r="P173" s="251">
        <v>69.569999999999993</v>
      </c>
      <c r="Q173" s="251">
        <v>69.459999999999994</v>
      </c>
      <c r="R173" s="251">
        <v>68.66</v>
      </c>
      <c r="S173" s="251">
        <v>68.010000000000005</v>
      </c>
      <c r="T173" s="251">
        <v>67.040000000000006</v>
      </c>
      <c r="U173" s="251">
        <v>68.73</v>
      </c>
      <c r="V173" s="251">
        <v>68.94</v>
      </c>
      <c r="W173" s="251">
        <v>71.36</v>
      </c>
      <c r="X173" s="251">
        <v>67.83</v>
      </c>
      <c r="Y173" s="251">
        <v>68.06</v>
      </c>
      <c r="Z173" s="245">
        <f ca="1">[1]ExtEntry!$G71</f>
        <v>68.06</v>
      </c>
      <c r="AA173" s="275"/>
      <c r="AB173" s="1143">
        <v>1.0529401626284398</v>
      </c>
      <c r="AC173" s="1143">
        <v>0.68116440055188077</v>
      </c>
      <c r="AD173" s="1143">
        <v>0.75419760970212113</v>
      </c>
      <c r="AE173" s="1143">
        <v>0.99417900387791502</v>
      </c>
      <c r="AF173" s="1143">
        <v>1.2955149742773697</v>
      </c>
      <c r="AG173" s="1143">
        <v>5.4018802671740422</v>
      </c>
      <c r="AH173" s="1143">
        <v>1.9704623898806355</v>
      </c>
      <c r="AI173" s="1143">
        <v>1.9705173545024051</v>
      </c>
      <c r="AJ173" s="1143">
        <v>1.2596415025948138</v>
      </c>
      <c r="AK173" s="1143">
        <v>1.2180288765240113</v>
      </c>
      <c r="AL173" s="1143">
        <v>0.94536417561191943</v>
      </c>
      <c r="AM173" s="1143">
        <v>1.2608048361442783</v>
      </c>
      <c r="AN173" s="1143">
        <v>0.7091698971906184</v>
      </c>
      <c r="AO173" s="1143">
        <v>0.54443155164350476</v>
      </c>
      <c r="AP173" s="1143">
        <v>0.73294563061293616</v>
      </c>
      <c r="AQ173" s="1143">
        <v>0.39916381824005581</v>
      </c>
      <c r="AR173" s="1143">
        <v>0.5369764209337996</v>
      </c>
      <c r="AS173" s="1143">
        <v>0.68196638139848331</v>
      </c>
      <c r="AT173" s="1143">
        <v>3.7223569174410375E-5</v>
      </c>
      <c r="AU173" s="1143">
        <v>0.29901271886794123</v>
      </c>
      <c r="AV173" s="1102">
        <f ca="1">Calc!BB71</f>
        <v>0.29901271886794123</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407.9</v>
      </c>
      <c r="G174" s="251">
        <v>412.1</v>
      </c>
      <c r="H174" s="251">
        <v>409.9</v>
      </c>
      <c r="I174" s="251">
        <v>402</v>
      </c>
      <c r="J174" s="251">
        <v>394.7</v>
      </c>
      <c r="K174" s="251">
        <v>398</v>
      </c>
      <c r="L174" s="251">
        <v>400</v>
      </c>
      <c r="M174" s="251">
        <v>400</v>
      </c>
      <c r="N174" s="251">
        <v>400.5</v>
      </c>
      <c r="O174" s="251">
        <v>407.6</v>
      </c>
      <c r="P174" s="251">
        <v>411.1</v>
      </c>
      <c r="Q174" s="251">
        <v>409.4</v>
      </c>
      <c r="R174" s="251">
        <v>410.4</v>
      </c>
      <c r="S174" s="251">
        <v>423.8</v>
      </c>
      <c r="T174" s="251">
        <v>421.1</v>
      </c>
      <c r="U174" s="251">
        <v>422.8</v>
      </c>
      <c r="V174" s="251">
        <v>388</v>
      </c>
      <c r="W174" s="251">
        <v>391</v>
      </c>
      <c r="X174" s="251">
        <v>371</v>
      </c>
      <c r="Y174" s="251">
        <v>371</v>
      </c>
      <c r="Z174" s="245">
        <f ca="1">[1]ExtEntry!$G72</f>
        <v>371</v>
      </c>
      <c r="AA174" s="275"/>
      <c r="AB174" s="1143">
        <v>0.85468700062329439</v>
      </c>
      <c r="AC174" s="1143">
        <v>0.97428559115998292</v>
      </c>
      <c r="AD174" s="1143">
        <v>0.66279256341103421</v>
      </c>
      <c r="AE174" s="1143">
        <v>0.90880882613755443</v>
      </c>
      <c r="AF174" s="1143">
        <v>0.61999341459571478</v>
      </c>
      <c r="AG174" s="1143">
        <v>0.52750861861252885</v>
      </c>
      <c r="AH174" s="1143">
        <v>0.88356348219671166</v>
      </c>
      <c r="AI174" s="1143">
        <v>0.88356348219671166</v>
      </c>
      <c r="AJ174" s="1143">
        <v>0.72426202212246571</v>
      </c>
      <c r="AK174" s="1143">
        <v>1.079762418214359</v>
      </c>
      <c r="AL174" s="1143">
        <v>0.66758635573959957</v>
      </c>
      <c r="AM174" s="1143">
        <v>0.88577342395348757</v>
      </c>
      <c r="AN174" s="1143">
        <v>1.3098834328411235</v>
      </c>
      <c r="AO174" s="1143">
        <v>1.3178730979495854</v>
      </c>
      <c r="AP174" s="1143">
        <v>0.84687004418415468</v>
      </c>
      <c r="AQ174" s="1143">
        <v>1.6734616290843325</v>
      </c>
      <c r="AR174" s="1143">
        <v>3.8509130711539581</v>
      </c>
      <c r="AS174" s="1143">
        <v>0.58691016038586719</v>
      </c>
      <c r="AT174" s="1143">
        <v>0.27463843313132724</v>
      </c>
      <c r="AU174" s="1143">
        <v>0.83798052886889074</v>
      </c>
      <c r="AV174" s="1102">
        <f ca="1">Calc!BB72</f>
        <v>0.83798052886889074</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094">
        <f>ROW()</f>
        <v>175</v>
      </c>
      <c r="E175" s="242"/>
      <c r="F175" s="251">
        <v>26.32</v>
      </c>
      <c r="G175" s="251">
        <v>26.57</v>
      </c>
      <c r="H175" s="251">
        <v>27.844999999999999</v>
      </c>
      <c r="I175" s="251">
        <v>26.42</v>
      </c>
      <c r="J175" s="251">
        <v>26.41</v>
      </c>
      <c r="K175" s="251">
        <v>27.25</v>
      </c>
      <c r="L175" s="251">
        <v>27.21</v>
      </c>
      <c r="M175" s="251">
        <v>27.21</v>
      </c>
      <c r="N175" s="251">
        <v>25.82</v>
      </c>
      <c r="O175" s="251">
        <v>26.52</v>
      </c>
      <c r="P175" s="251">
        <v>27.01</v>
      </c>
      <c r="Q175" s="251">
        <v>26.67</v>
      </c>
      <c r="R175" s="251">
        <v>24.425000000000001</v>
      </c>
      <c r="S175" s="251">
        <v>24.62</v>
      </c>
      <c r="T175" s="251">
        <v>23.914999999999999</v>
      </c>
      <c r="U175" s="251">
        <v>25.19</v>
      </c>
      <c r="V175" s="251">
        <v>23.87</v>
      </c>
      <c r="W175" s="251">
        <v>24.434999999999999</v>
      </c>
      <c r="X175" s="251">
        <v>24.49</v>
      </c>
      <c r="Y175" s="251">
        <v>24.95</v>
      </c>
      <c r="Z175" s="245">
        <f ca="1">[1]ExtEntry!$G73</f>
        <v>24.95</v>
      </c>
      <c r="AA175" s="275"/>
      <c r="AB175" s="1143">
        <v>0.60182849497342061</v>
      </c>
      <c r="AC175" s="1143">
        <v>0.55183080617723457</v>
      </c>
      <c r="AD175" s="1143">
        <v>0.68106523740567049</v>
      </c>
      <c r="AE175" s="1143">
        <v>0.8901075085454867</v>
      </c>
      <c r="AF175" s="1143">
        <v>1.0920877480360058</v>
      </c>
      <c r="AG175" s="1143">
        <v>0.58337054498431395</v>
      </c>
      <c r="AH175" s="1143">
        <v>0.70843140830169582</v>
      </c>
      <c r="AI175" s="1143">
        <v>0.71264852075918106</v>
      </c>
      <c r="AJ175" s="1143">
        <v>0.87973962211205969</v>
      </c>
      <c r="AK175" s="1143">
        <v>0.6585892112132421</v>
      </c>
      <c r="AL175" s="1143">
        <v>0.7151078875405914</v>
      </c>
      <c r="AM175" s="1143">
        <v>0.97696341217713212</v>
      </c>
      <c r="AN175" s="1143">
        <v>5.3716423266923945</v>
      </c>
      <c r="AO175" s="1143">
        <v>0.94162875901965937</v>
      </c>
      <c r="AP175" s="1143">
        <v>0.99724643164088633</v>
      </c>
      <c r="AQ175" s="1143">
        <v>1.4043350353151909</v>
      </c>
      <c r="AR175" s="1143">
        <v>0.77200431078922915</v>
      </c>
      <c r="AS175" s="1143">
        <v>0.77376277633751334</v>
      </c>
      <c r="AT175" s="1143">
        <v>1.6918018212364272E-4</v>
      </c>
      <c r="AU175" s="1143">
        <v>0.28173453881169197</v>
      </c>
      <c r="AV175" s="1102">
        <f ca="1">Calc!BB73</f>
        <v>0.28173453881169197</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2.15</v>
      </c>
      <c r="G176" s="251">
        <v>2.2999999999999998</v>
      </c>
      <c r="H176" s="251">
        <v>2.13</v>
      </c>
      <c r="I176" s="251">
        <v>1.86</v>
      </c>
      <c r="J176" s="251">
        <v>1.9</v>
      </c>
      <c r="K176" s="251">
        <v>1.86</v>
      </c>
      <c r="L176" s="251">
        <v>1.71</v>
      </c>
      <c r="M176" s="251">
        <v>1.71</v>
      </c>
      <c r="N176" s="251">
        <v>1.8</v>
      </c>
      <c r="O176" s="251">
        <v>1.83</v>
      </c>
      <c r="P176" s="251">
        <v>1.95</v>
      </c>
      <c r="Q176" s="251">
        <v>1.82</v>
      </c>
      <c r="R176" s="251">
        <v>1.66</v>
      </c>
      <c r="S176" s="251">
        <v>1.49</v>
      </c>
      <c r="T176" s="251">
        <v>1.5</v>
      </c>
      <c r="U176" s="251">
        <v>1.63</v>
      </c>
      <c r="V176" s="251">
        <v>1.37</v>
      </c>
      <c r="W176" s="251">
        <v>1.4</v>
      </c>
      <c r="X176" s="251">
        <v>1.345</v>
      </c>
      <c r="Y176" s="251">
        <v>1.41</v>
      </c>
      <c r="Z176" s="245">
        <f ca="1">[1]ExtEntry!$G74</f>
        <v>1.41</v>
      </c>
      <c r="AA176" s="275"/>
      <c r="AB176" s="1143">
        <v>0.93926707725867664</v>
      </c>
      <c r="AC176" s="1143">
        <v>0.81173851901890859</v>
      </c>
      <c r="AD176" s="1143">
        <v>0.98127082834905621</v>
      </c>
      <c r="AE176" s="1143">
        <v>0.59904199912241951</v>
      </c>
      <c r="AF176" s="1143">
        <v>0.41234340852520479</v>
      </c>
      <c r="AG176" s="1143">
        <v>0.48735355132230695</v>
      </c>
      <c r="AH176" s="1143">
        <v>0.63153900413854636</v>
      </c>
      <c r="AI176" s="1143">
        <v>0.6315465681388881</v>
      </c>
      <c r="AJ176" s="1143">
        <v>0.2581769997287599</v>
      </c>
      <c r="AK176" s="1143">
        <v>0.66816090876707235</v>
      </c>
      <c r="AL176" s="1143">
        <v>0.44535340023593595</v>
      </c>
      <c r="AM176" s="1143">
        <v>0.52257544974464887</v>
      </c>
      <c r="AN176" s="1143">
        <v>0.36629766254919904</v>
      </c>
      <c r="AO176" s="1143">
        <v>0.35254701531632987</v>
      </c>
      <c r="AP176" s="1143">
        <v>0.4251459375099001</v>
      </c>
      <c r="AQ176" s="1143">
        <v>0.41471836327748468</v>
      </c>
      <c r="AR176" s="1143">
        <v>0.47099359807750735</v>
      </c>
      <c r="AS176" s="1143">
        <v>0.62442709245049166</v>
      </c>
      <c r="AT176" s="1143">
        <v>1.5247672519028333E-4</v>
      </c>
      <c r="AU176" s="1143">
        <v>0.25815887401400817</v>
      </c>
      <c r="AV176" s="1102">
        <f ca="1">Calc!BB74</f>
        <v>0.25815887401400817</v>
      </c>
      <c r="AW176" s="277"/>
      <c r="AX176" s="88" t="str">
        <f t="shared" ca="1" si="12"/>
        <v>BLNK</v>
      </c>
      <c r="BA176" s="251">
        <v>8618</v>
      </c>
      <c r="CP176" s="275"/>
      <c r="EH176" s="110"/>
    </row>
    <row r="177" spans="1:138" hidden="1" x14ac:dyDescent="0.3">
      <c r="A177" s="239" t="str">
        <f t="shared" ca="1" si="11"/>
        <v>ENI</v>
      </c>
      <c r="B177" s="240" t="str">
        <f ca="1">[1]ExtEntry!$D75</f>
        <v>EUR</v>
      </c>
      <c r="C177" s="241"/>
      <c r="D177" s="1094">
        <f>ROW()</f>
        <v>177</v>
      </c>
      <c r="E177" s="242"/>
      <c r="F177" s="251">
        <v>14.91</v>
      </c>
      <c r="G177" s="251">
        <v>14.696</v>
      </c>
      <c r="H177" s="251">
        <v>14.78</v>
      </c>
      <c r="I177" s="251">
        <v>14.58</v>
      </c>
      <c r="J177" s="251">
        <v>14.86</v>
      </c>
      <c r="K177" s="251">
        <v>14.914</v>
      </c>
      <c r="L177" s="251">
        <v>15.05</v>
      </c>
      <c r="M177" s="251">
        <v>15.05</v>
      </c>
      <c r="N177" s="251">
        <v>15.35</v>
      </c>
      <c r="O177" s="251">
        <v>15.83</v>
      </c>
      <c r="P177" s="251">
        <v>15.9</v>
      </c>
      <c r="Q177" s="251">
        <v>15.8</v>
      </c>
      <c r="R177" s="251">
        <v>15.98</v>
      </c>
      <c r="S177" s="251">
        <v>15.9</v>
      </c>
      <c r="T177" s="251">
        <v>15.848000000000001</v>
      </c>
      <c r="U177" s="251">
        <v>15.901999999999999</v>
      </c>
      <c r="V177" s="251">
        <v>16.010000000000002</v>
      </c>
      <c r="W177" s="251">
        <v>16.457999999999998</v>
      </c>
      <c r="X177" s="251">
        <v>16.38</v>
      </c>
      <c r="Y177" s="251">
        <v>16.38</v>
      </c>
      <c r="Z177" s="245">
        <f ca="1">[1]ExtEntry!$G75</f>
        <v>16.38</v>
      </c>
      <c r="AA177" s="275"/>
      <c r="AB177" s="1143">
        <v>1.2917570956538709</v>
      </c>
      <c r="AC177" s="1143">
        <v>0.84163950578146351</v>
      </c>
      <c r="AD177" s="1143">
        <v>0.62041217543961047</v>
      </c>
      <c r="AE177" s="1143">
        <v>1.0628734632284409</v>
      </c>
      <c r="AF177" s="1143">
        <v>0.74638657849185563</v>
      </c>
      <c r="AG177" s="1143">
        <v>0.70859119990735986</v>
      </c>
      <c r="AH177" s="1143">
        <v>1.1178150489617786</v>
      </c>
      <c r="AI177" s="1143">
        <v>1.1178150489617786</v>
      </c>
      <c r="AJ177" s="1143">
        <v>2.8045750663013216</v>
      </c>
      <c r="AK177" s="1143">
        <v>1.9757191354967922</v>
      </c>
      <c r="AL177" s="1143">
        <v>0.79539864433624363</v>
      </c>
      <c r="AM177" s="1143">
        <v>0.66685940470229454</v>
      </c>
      <c r="AN177" s="1143">
        <v>0.6767312645060648</v>
      </c>
      <c r="AO177" s="1143">
        <v>0.83079013693263626</v>
      </c>
      <c r="AP177" s="1143">
        <v>0.56816166587431072</v>
      </c>
      <c r="AQ177" s="1143">
        <v>0.5806903730260059</v>
      </c>
      <c r="AR177" s="1143">
        <v>0.59620640604938813</v>
      </c>
      <c r="AS177" s="1143">
        <v>0.84320123827020799</v>
      </c>
      <c r="AT177" s="1143">
        <v>0.62246323860563713</v>
      </c>
      <c r="AU177" s="1143">
        <v>0.92243783340360397</v>
      </c>
      <c r="AV177" s="1102">
        <f ca="1">Calc!BB75</f>
        <v>0.92243783340360397</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509.8</v>
      </c>
      <c r="G178" s="251">
        <v>500.6</v>
      </c>
      <c r="H178" s="251">
        <v>481.3</v>
      </c>
      <c r="I178" s="251">
        <v>484.2</v>
      </c>
      <c r="J178" s="251">
        <v>488.7</v>
      </c>
      <c r="K178" s="251">
        <v>485.4</v>
      </c>
      <c r="L178" s="251">
        <v>483.2</v>
      </c>
      <c r="M178" s="251">
        <v>483.2</v>
      </c>
      <c r="N178" s="251">
        <v>487.6</v>
      </c>
      <c r="O178" s="251">
        <v>483</v>
      </c>
      <c r="P178" s="251">
        <v>485.2</v>
      </c>
      <c r="Q178" s="251">
        <v>484.6</v>
      </c>
      <c r="R178" s="251">
        <v>478.3</v>
      </c>
      <c r="S178" s="251">
        <v>489</v>
      </c>
      <c r="T178" s="251">
        <v>478.3</v>
      </c>
      <c r="U178" s="251">
        <v>486.6</v>
      </c>
      <c r="V178" s="251">
        <v>478.5</v>
      </c>
      <c r="W178" s="251">
        <v>472.2</v>
      </c>
      <c r="X178" s="251">
        <v>457.5</v>
      </c>
      <c r="Y178" s="251">
        <v>457.5</v>
      </c>
      <c r="Z178" s="245">
        <f ca="1">[1]ExtEntry!$G76</f>
        <v>457.5</v>
      </c>
      <c r="AA178" s="275"/>
      <c r="AB178" s="1143">
        <v>6.4432758179595782</v>
      </c>
      <c r="AC178" s="1143">
        <v>2.21332017202936</v>
      </c>
      <c r="AD178" s="1143">
        <v>1.1396095180972412</v>
      </c>
      <c r="AE178" s="1143">
        <v>1.0189422381134805</v>
      </c>
      <c r="AF178" s="1143">
        <v>0.56883433363129443</v>
      </c>
      <c r="AG178" s="1143">
        <v>0.88963010258374831</v>
      </c>
      <c r="AH178" s="1143">
        <v>0.7596014826777211</v>
      </c>
      <c r="AI178" s="1143">
        <v>0.7596014826777211</v>
      </c>
      <c r="AJ178" s="1143">
        <v>0.53339211146274634</v>
      </c>
      <c r="AK178" s="1143">
        <v>0.54181956057955771</v>
      </c>
      <c r="AL178" s="1143">
        <v>0.58917672429058832</v>
      </c>
      <c r="AM178" s="1143">
        <v>0.45537963705325479</v>
      </c>
      <c r="AN178" s="1143">
        <v>0.69695562435500513</v>
      </c>
      <c r="AO178" s="1143">
        <v>1.0295735580301637</v>
      </c>
      <c r="AP178" s="1143">
        <v>0.75620665732125469</v>
      </c>
      <c r="AQ178" s="1143">
        <v>0.99111127502323459</v>
      </c>
      <c r="AR178" s="1143">
        <v>1.0236134740717646</v>
      </c>
      <c r="AS178" s="1143">
        <v>0.6701518140492323</v>
      </c>
      <c r="AT178" s="1143">
        <v>0.27065177514157479</v>
      </c>
      <c r="AU178" s="1143">
        <v>1.0172654070187122</v>
      </c>
      <c r="AV178" s="1102">
        <f ca="1">Calc!BB76</f>
        <v>1.0172654070187122</v>
      </c>
      <c r="AW178" s="277"/>
      <c r="AX178" s="88" t="str">
        <f t="shared" ca="1" si="12"/>
        <v>EZJ</v>
      </c>
      <c r="BA178" s="251">
        <v>8816</v>
      </c>
      <c r="CP178" s="275"/>
      <c r="EH178" s="110"/>
    </row>
    <row r="179" spans="1:138" hidden="1" x14ac:dyDescent="0.3">
      <c r="A179" s="239" t="str">
        <f t="shared" ca="1" si="11"/>
        <v>F</v>
      </c>
      <c r="B179" s="240" t="str">
        <f ca="1">[1]ExtEntry!$D77</f>
        <v>USD</v>
      </c>
      <c r="C179" s="241"/>
      <c r="D179" s="1094">
        <f>ROW()</f>
        <v>179</v>
      </c>
      <c r="E179" s="242"/>
      <c r="F179" s="251">
        <v>11.4</v>
      </c>
      <c r="G179" s="251">
        <v>11.66</v>
      </c>
      <c r="H179" s="251">
        <v>11.74</v>
      </c>
      <c r="I179" s="251">
        <v>11.74</v>
      </c>
      <c r="J179" s="251">
        <v>11.93</v>
      </c>
      <c r="K179" s="251">
        <v>12.255000000000001</v>
      </c>
      <c r="L179" s="251">
        <v>12.53</v>
      </c>
      <c r="M179" s="251">
        <v>12.53</v>
      </c>
      <c r="N179" s="251">
        <v>12.47</v>
      </c>
      <c r="O179" s="251">
        <v>12.73</v>
      </c>
      <c r="P179" s="251">
        <v>13.8</v>
      </c>
      <c r="Q179" s="251">
        <v>13.24</v>
      </c>
      <c r="R179" s="251">
        <v>13.14</v>
      </c>
      <c r="S179" s="251">
        <v>12.89</v>
      </c>
      <c r="T179" s="251">
        <v>12.92</v>
      </c>
      <c r="U179" s="251">
        <v>13.15</v>
      </c>
      <c r="V179" s="251">
        <v>12.95</v>
      </c>
      <c r="W179" s="251">
        <v>13.18</v>
      </c>
      <c r="X179" s="251">
        <v>12.87</v>
      </c>
      <c r="Y179" s="251">
        <v>13.04</v>
      </c>
      <c r="Z179" s="245">
        <f ca="1">[1]ExtEntry!$G77</f>
        <v>13.04</v>
      </c>
      <c r="AA179" s="275"/>
      <c r="AB179" s="1143">
        <v>1.2199923291167667</v>
      </c>
      <c r="AC179" s="1143">
        <v>1.0697795184978547</v>
      </c>
      <c r="AD179" s="1143">
        <v>1.4120590985796362</v>
      </c>
      <c r="AE179" s="1143">
        <v>1.3777547569257016</v>
      </c>
      <c r="AF179" s="1143">
        <v>0.9679223115757678</v>
      </c>
      <c r="AG179" s="1143">
        <v>3.638960593793922</v>
      </c>
      <c r="AH179" s="1143">
        <v>4.538835679307887</v>
      </c>
      <c r="AI179" s="1143">
        <v>4.5388653882373653</v>
      </c>
      <c r="AJ179" s="1143">
        <v>4.5519344200899905</v>
      </c>
      <c r="AK179" s="1143">
        <v>2.4428035420599854</v>
      </c>
      <c r="AL179" s="1143">
        <v>1.0729301682566765</v>
      </c>
      <c r="AM179" s="1143">
        <v>0.71921188233032396</v>
      </c>
      <c r="AN179" s="1143">
        <v>0.57408974679191438</v>
      </c>
      <c r="AO179" s="1143">
        <v>0.44895025921159837</v>
      </c>
      <c r="AP179" s="1143">
        <v>0.57673994533196105</v>
      </c>
      <c r="AQ179" s="1143">
        <v>0.5190124489209953</v>
      </c>
      <c r="AR179" s="1143">
        <v>0.50174709695241093</v>
      </c>
      <c r="AS179" s="1143">
        <v>0.51397900098943639</v>
      </c>
      <c r="AT179" s="1143">
        <v>3.423488285332807E-6</v>
      </c>
      <c r="AU179" s="1143">
        <v>0.14782518890528135</v>
      </c>
      <c r="AV179" s="1102">
        <f ca="1">Calc!BB77</f>
        <v>0.14782518890528135</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53.12</v>
      </c>
      <c r="G180" s="251">
        <v>56.12</v>
      </c>
      <c r="H180" s="251">
        <v>55.42</v>
      </c>
      <c r="I180" s="251">
        <v>54.6</v>
      </c>
      <c r="J180" s="251">
        <v>54.58</v>
      </c>
      <c r="K180" s="251">
        <v>53.44</v>
      </c>
      <c r="L180" s="251">
        <v>52.98</v>
      </c>
      <c r="M180" s="251">
        <v>52.98</v>
      </c>
      <c r="N180" s="251">
        <v>53.22</v>
      </c>
      <c r="O180" s="251">
        <v>53.94</v>
      </c>
      <c r="P180" s="251">
        <v>53.58</v>
      </c>
      <c r="Q180" s="251">
        <v>53.48</v>
      </c>
      <c r="R180" s="251">
        <v>56.62</v>
      </c>
      <c r="S180" s="251">
        <v>54.1</v>
      </c>
      <c r="T180" s="251">
        <v>53.96</v>
      </c>
      <c r="U180" s="251">
        <v>54.8</v>
      </c>
      <c r="V180" s="251">
        <v>56.08</v>
      </c>
      <c r="W180" s="251">
        <v>58.72</v>
      </c>
      <c r="X180" s="251">
        <v>56.42</v>
      </c>
      <c r="Y180" s="251">
        <v>56.42</v>
      </c>
      <c r="Z180" s="245">
        <f ca="1">[1]ExtEntry!$G78</f>
        <v>56.42</v>
      </c>
      <c r="AA180" s="275"/>
      <c r="AB180" s="1143">
        <v>1.07937464573109</v>
      </c>
      <c r="AC180" s="1143">
        <v>1.0890179245190565</v>
      </c>
      <c r="AD180" s="1143">
        <v>1.0877498966927428</v>
      </c>
      <c r="AE180" s="1143">
        <v>1.3148190631243988</v>
      </c>
      <c r="AF180" s="1143">
        <v>1.0984845868587452</v>
      </c>
      <c r="AG180" s="1143">
        <v>0.73005935740133565</v>
      </c>
      <c r="AH180" s="1143">
        <v>0.63591547720756303</v>
      </c>
      <c r="AI180" s="1143">
        <v>0.63591547720756303</v>
      </c>
      <c r="AJ180" s="1143">
        <v>1.0063348373621503</v>
      </c>
      <c r="AK180" s="1143">
        <v>0.76575199083438239</v>
      </c>
      <c r="AL180" s="1143">
        <v>0.66606570020780009</v>
      </c>
      <c r="AM180" s="1143">
        <v>0.64864291293518894</v>
      </c>
      <c r="AN180" s="1143">
        <v>2.3635928559566404</v>
      </c>
      <c r="AO180" s="1143">
        <v>0.76322577666989799</v>
      </c>
      <c r="AP180" s="1143">
        <v>0.80030734555885663</v>
      </c>
      <c r="AQ180" s="1143">
        <v>1.1191914852536564</v>
      </c>
      <c r="AR180" s="1143">
        <v>0.71645315441424917</v>
      </c>
      <c r="AS180" s="1143">
        <v>0.90405480216789558</v>
      </c>
      <c r="AT180" s="1143">
        <v>0.57417620165699945</v>
      </c>
      <c r="AU180" s="1143">
        <v>1.1777482661130008</v>
      </c>
      <c r="AV180" s="1102">
        <f ca="1">Calc!BB78</f>
        <v>1.1777482661130008</v>
      </c>
      <c r="AW180" s="277"/>
      <c r="AX180" s="88" t="str">
        <f t="shared" ca="1" si="12"/>
        <v>GLE</v>
      </c>
      <c r="BA180" s="251">
        <v>9014</v>
      </c>
      <c r="CP180" s="275"/>
      <c r="EH180" s="110"/>
    </row>
    <row r="181" spans="1:138" hidden="1" x14ac:dyDescent="0.3">
      <c r="A181" s="239" t="str">
        <f t="shared" ca="1" si="11"/>
        <v>GNRC</v>
      </c>
      <c r="B181" s="240" t="str">
        <f ca="1">[1]ExtEntry!$D79</f>
        <v>USD</v>
      </c>
      <c r="C181" s="241"/>
      <c r="D181" s="1094">
        <f>ROW()</f>
        <v>181</v>
      </c>
      <c r="E181" s="242"/>
      <c r="F181" s="251">
        <v>170.95</v>
      </c>
      <c r="G181" s="251">
        <v>186.92</v>
      </c>
      <c r="H181" s="251">
        <v>193.38</v>
      </c>
      <c r="I181" s="251">
        <v>190.86</v>
      </c>
      <c r="J181" s="251">
        <v>193</v>
      </c>
      <c r="K181" s="251">
        <v>193.74</v>
      </c>
      <c r="L181" s="251">
        <v>193</v>
      </c>
      <c r="M181" s="251">
        <v>193</v>
      </c>
      <c r="N181" s="251">
        <v>183.1</v>
      </c>
      <c r="O181" s="251">
        <v>192.71</v>
      </c>
      <c r="P181" s="251">
        <v>194.5</v>
      </c>
      <c r="Q181" s="251">
        <v>191.36</v>
      </c>
      <c r="R181" s="251">
        <v>178.56</v>
      </c>
      <c r="S181" s="251">
        <v>161</v>
      </c>
      <c r="T181" s="251">
        <v>156.53</v>
      </c>
      <c r="U181" s="251">
        <v>158.5</v>
      </c>
      <c r="V181" s="251">
        <v>152.28</v>
      </c>
      <c r="W181" s="251">
        <v>150.91</v>
      </c>
      <c r="X181" s="251">
        <v>139.11000000000001</v>
      </c>
      <c r="Y181" s="251">
        <v>144</v>
      </c>
      <c r="Z181" s="245">
        <f ca="1">[1]ExtEntry!$G79</f>
        <v>144</v>
      </c>
      <c r="AA181" s="275"/>
      <c r="AB181" s="1143">
        <v>1.4022129471080669</v>
      </c>
      <c r="AC181" s="1143">
        <v>1.2954917747780466</v>
      </c>
      <c r="AD181" s="1143">
        <v>0.99146470838836509</v>
      </c>
      <c r="AE181" s="1143">
        <v>0.66183227719214743</v>
      </c>
      <c r="AF181" s="1143">
        <v>0.63735464911249562</v>
      </c>
      <c r="AG181" s="1143">
        <v>0.97019519965594614</v>
      </c>
      <c r="AH181" s="1143">
        <v>1.0069017548567991</v>
      </c>
      <c r="AI181" s="1143">
        <v>1.0069017548567991</v>
      </c>
      <c r="AJ181" s="1143">
        <v>0.74670903817598977</v>
      </c>
      <c r="AK181" s="1143">
        <v>0.75616120023645961</v>
      </c>
      <c r="AL181" s="1143">
        <v>0.87601993695282143</v>
      </c>
      <c r="AM181" s="1143">
        <v>1.5305947763173948</v>
      </c>
      <c r="AN181" s="1143">
        <v>2.1990336239363382</v>
      </c>
      <c r="AO181" s="1143">
        <v>0.83110245406204297</v>
      </c>
      <c r="AP181" s="1143">
        <v>0.71401952325311135</v>
      </c>
      <c r="AQ181" s="1143">
        <v>0.72298706321580508</v>
      </c>
      <c r="AR181" s="1143">
        <v>0.73573772972622398</v>
      </c>
      <c r="AS181" s="1143">
        <v>0.91801500009706705</v>
      </c>
      <c r="AT181" s="1143">
        <v>1.1191190522232712</v>
      </c>
      <c r="AU181" s="1143">
        <v>0.30248791926879282</v>
      </c>
      <c r="AV181" s="1102">
        <f ca="1">Calc!BB79</f>
        <v>0.30248791926879282</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765.2</v>
      </c>
      <c r="G182" s="251">
        <v>778.81</v>
      </c>
      <c r="H182" s="251">
        <v>770.66</v>
      </c>
      <c r="I182" s="251">
        <v>758.15</v>
      </c>
      <c r="J182" s="251">
        <v>757</v>
      </c>
      <c r="K182" s="251">
        <v>759</v>
      </c>
      <c r="L182" s="251">
        <v>760.61</v>
      </c>
      <c r="M182" s="251">
        <v>760.61</v>
      </c>
      <c r="N182" s="251">
        <v>749.34</v>
      </c>
      <c r="O182" s="251">
        <v>759.85</v>
      </c>
      <c r="P182" s="251">
        <v>789</v>
      </c>
      <c r="Q182" s="251">
        <v>792.05</v>
      </c>
      <c r="R182" s="251">
        <v>783.56</v>
      </c>
      <c r="S182" s="251">
        <v>777.03</v>
      </c>
      <c r="T182" s="251">
        <v>790.44</v>
      </c>
      <c r="U182" s="251">
        <v>793.09</v>
      </c>
      <c r="V182" s="251">
        <v>782.4</v>
      </c>
      <c r="W182" s="251">
        <v>795.55</v>
      </c>
      <c r="X182" s="251">
        <v>772.06</v>
      </c>
      <c r="Y182" s="251">
        <v>776.73</v>
      </c>
      <c r="Z182" s="245">
        <f ca="1">[1]ExtEntry!$G80</f>
        <v>776.73</v>
      </c>
      <c r="AA182" s="275"/>
      <c r="AB182" s="1143">
        <v>2.5769542212816892</v>
      </c>
      <c r="AC182" s="1143">
        <v>1.2746839484169143</v>
      </c>
      <c r="AD182" s="1143">
        <v>1.6267524535251052</v>
      </c>
      <c r="AE182" s="1143">
        <v>1.4538623667706227</v>
      </c>
      <c r="AF182" s="1143">
        <v>0.9324019813405281</v>
      </c>
      <c r="AG182" s="1143">
        <v>0.85583964669218437</v>
      </c>
      <c r="AH182" s="1143">
        <v>0.99012871267241631</v>
      </c>
      <c r="AI182" s="1143">
        <v>0.99017892754424408</v>
      </c>
      <c r="AJ182" s="1143">
        <v>0.76871693742463176</v>
      </c>
      <c r="AK182" s="1143">
        <v>1.1899313588177629</v>
      </c>
      <c r="AL182" s="1143">
        <v>0.80064852726611746</v>
      </c>
      <c r="AM182" s="1143">
        <v>0.59882218190295666</v>
      </c>
      <c r="AN182" s="1143">
        <v>0.86432506887052341</v>
      </c>
      <c r="AO182" s="1143">
        <v>0.69716690311967033</v>
      </c>
      <c r="AP182" s="1143">
        <v>0.87130723658501563</v>
      </c>
      <c r="AQ182" s="1143">
        <v>0.5143098986536554</v>
      </c>
      <c r="AR182" s="1143">
        <v>0.79592194313113518</v>
      </c>
      <c r="AS182" s="1143">
        <v>1.1535218906349571</v>
      </c>
      <c r="AT182" s="1143">
        <v>1.1469184137292556E-5</v>
      </c>
      <c r="AU182" s="1143">
        <v>0.30271831547034872</v>
      </c>
      <c r="AV182" s="1102">
        <f ca="1">Calc!BB80</f>
        <v>0.30271831547034872</v>
      </c>
      <c r="AW182" s="277"/>
      <c r="AX182" s="88" t="str">
        <f t="shared" ca="1" si="12"/>
        <v>GS</v>
      </c>
      <c r="BA182" s="251">
        <v>9212</v>
      </c>
      <c r="CP182" s="275"/>
      <c r="EH182" s="110"/>
    </row>
    <row r="183" spans="1:138" hidden="1" x14ac:dyDescent="0.3">
      <c r="A183" s="239" t="str">
        <f t="shared" ca="1" si="11"/>
        <v>LAZR</v>
      </c>
      <c r="B183" s="240" t="str">
        <f ca="1">[1]ExtEntry!$D81</f>
        <v>USD</v>
      </c>
      <c r="C183" s="241"/>
      <c r="D183" s="1094">
        <f>ROW()</f>
        <v>183</v>
      </c>
      <c r="E183" s="242"/>
      <c r="F183" s="251">
        <v>2.0299999999999998</v>
      </c>
      <c r="G183" s="251">
        <v>2.17</v>
      </c>
      <c r="H183" s="251">
        <v>2.06</v>
      </c>
      <c r="I183" s="251">
        <v>2.04</v>
      </c>
      <c r="J183" s="251">
        <v>1.96</v>
      </c>
      <c r="K183" s="251">
        <v>2.0099999999999998</v>
      </c>
      <c r="L183" s="251">
        <v>1.84</v>
      </c>
      <c r="M183" s="251">
        <v>1.84</v>
      </c>
      <c r="N183" s="251">
        <v>1.72</v>
      </c>
      <c r="O183" s="251">
        <v>1.7250000000000001</v>
      </c>
      <c r="P183" s="251">
        <v>2.2200000000000002</v>
      </c>
      <c r="Q183" s="251">
        <v>2.2949999999999999</v>
      </c>
      <c r="R183" s="251">
        <v>2.06</v>
      </c>
      <c r="S183" s="251">
        <v>1.25</v>
      </c>
      <c r="T183" s="251">
        <v>1.34</v>
      </c>
      <c r="U183" s="251">
        <v>1.24</v>
      </c>
      <c r="V183" s="251">
        <v>1.1599999999999999</v>
      </c>
      <c r="W183" s="251">
        <v>1.1499999999999999</v>
      </c>
      <c r="X183" s="251">
        <v>0.86990000000000001</v>
      </c>
      <c r="Y183" s="251">
        <v>0.9</v>
      </c>
      <c r="Z183" s="245">
        <f ca="1">[1]ExtEntry!$G81</f>
        <v>0.9</v>
      </c>
      <c r="AA183" s="275"/>
      <c r="AB183" s="1143">
        <v>1.0329389893114798</v>
      </c>
      <c r="AC183" s="1143">
        <v>0.8717020326036844</v>
      </c>
      <c r="AD183" s="1143">
        <v>1.3006954096030219</v>
      </c>
      <c r="AE183" s="1143">
        <v>1.1594893071456749</v>
      </c>
      <c r="AF183" s="1143">
        <v>0.90352909551538962</v>
      </c>
      <c r="AG183" s="1143">
        <v>1.5405126620120135</v>
      </c>
      <c r="AH183" s="1143">
        <v>1.1201535149901223</v>
      </c>
      <c r="AI183" s="1143">
        <v>1.1202995771754074</v>
      </c>
      <c r="AJ183" s="1143">
        <v>0.81259272822739703</v>
      </c>
      <c r="AK183" s="1143">
        <v>4.0456424932234007</v>
      </c>
      <c r="AL183" s="1143">
        <v>1.3919977190054309</v>
      </c>
      <c r="AM183" s="1143">
        <v>0.82186910858018158</v>
      </c>
      <c r="AN183" s="1143">
        <v>0.83329606173214876</v>
      </c>
      <c r="AO183" s="1143">
        <v>1.1319147417347721</v>
      </c>
      <c r="AP183" s="1143">
        <v>0.62008787944104105</v>
      </c>
      <c r="AQ183" s="1143">
        <v>0.42837500097967723</v>
      </c>
      <c r="AR183" s="1143">
        <v>0.35601021921338849</v>
      </c>
      <c r="AS183" s="1143">
        <v>0.92710069242185555</v>
      </c>
      <c r="AT183" s="1143">
        <v>2.6984428648806833E-5</v>
      </c>
      <c r="AU183" s="1143">
        <v>0.3115700601485013</v>
      </c>
      <c r="AV183" s="1102">
        <f ca="1">Calc!BB81</f>
        <v>0.3115700601485013</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31.535</v>
      </c>
      <c r="G184" s="251">
        <v>33.634999999999998</v>
      </c>
      <c r="H184" s="251">
        <v>33.67</v>
      </c>
      <c r="I184" s="251">
        <v>33.229999999999997</v>
      </c>
      <c r="J184" s="251">
        <v>33.78</v>
      </c>
      <c r="K184" s="251">
        <v>34.119999999999997</v>
      </c>
      <c r="L184" s="251">
        <v>34.36</v>
      </c>
      <c r="M184" s="251">
        <v>34.36</v>
      </c>
      <c r="N184" s="251">
        <v>32.82</v>
      </c>
      <c r="O184" s="251">
        <v>32.049999999999997</v>
      </c>
      <c r="P184" s="251">
        <v>32.46</v>
      </c>
      <c r="Q184" s="251">
        <v>32.15</v>
      </c>
      <c r="R184" s="251">
        <v>30.49</v>
      </c>
      <c r="S184" s="251">
        <v>30.01</v>
      </c>
      <c r="T184" s="251">
        <v>29.8</v>
      </c>
      <c r="U184" s="251">
        <v>31.43</v>
      </c>
      <c r="V184" s="251">
        <v>31.16</v>
      </c>
      <c r="W184" s="251">
        <v>32.549999999999997</v>
      </c>
      <c r="X184" s="251">
        <v>31.66</v>
      </c>
      <c r="Y184" s="251">
        <v>32.35</v>
      </c>
      <c r="Z184" s="245">
        <f ca="1">[1]ExtEntry!$G82</f>
        <v>32.35</v>
      </c>
      <c r="AA184" s="275"/>
      <c r="AB184" s="1143">
        <v>1.160324442906695</v>
      </c>
      <c r="AC184" s="1143">
        <v>0.43430842846199558</v>
      </c>
      <c r="AD184" s="1143">
        <v>1.1514543315313943</v>
      </c>
      <c r="AE184" s="1143">
        <v>0.86566413294138944</v>
      </c>
      <c r="AF184" s="1143">
        <v>0.80691046857111937</v>
      </c>
      <c r="AG184" s="1143">
        <v>0.99932469890125164</v>
      </c>
      <c r="AH184" s="1143">
        <v>1.1086168356301351</v>
      </c>
      <c r="AI184" s="1143">
        <v>1.1090302461996828</v>
      </c>
      <c r="AJ184" s="1143">
        <v>2.9378540814870608</v>
      </c>
      <c r="AK184" s="1143">
        <v>1.4886294836006286</v>
      </c>
      <c r="AL184" s="1143">
        <v>0.97012001076054577</v>
      </c>
      <c r="AM184" s="1143">
        <v>1.1525749330789909</v>
      </c>
      <c r="AN184" s="1143">
        <v>0.66233331681835061</v>
      </c>
      <c r="AO184" s="1143">
        <v>0.75840392682731816</v>
      </c>
      <c r="AP184" s="1143">
        <v>0.91160415755727153</v>
      </c>
      <c r="AQ184" s="1143">
        <v>0.53316593169016746</v>
      </c>
      <c r="AR184" s="1143">
        <v>0.64167079567908047</v>
      </c>
      <c r="AS184" s="1143">
        <v>0.77448041986273719</v>
      </c>
      <c r="AT184" s="1143">
        <v>1.5104692131633566E-5</v>
      </c>
      <c r="AU184" s="1143">
        <v>0.20642376670487633</v>
      </c>
      <c r="AV184" s="1102">
        <f ca="1">Calc!BB82</f>
        <v>0.20642376670487633</v>
      </c>
      <c r="AW184" s="277"/>
      <c r="AX184" s="88" t="str">
        <f t="shared" ca="1" si="12"/>
        <v>LUV</v>
      </c>
      <c r="BA184" s="251">
        <v>9410</v>
      </c>
      <c r="CP184" s="275"/>
      <c r="EH184" s="110"/>
    </row>
    <row r="185" spans="1:138" hidden="1" x14ac:dyDescent="0.3">
      <c r="A185" s="239" t="str">
        <f t="shared" ca="1" si="11"/>
        <v>MA</v>
      </c>
      <c r="B185" s="240" t="str">
        <f ca="1">[1]ExtEntry!$D83</f>
        <v>USD</v>
      </c>
      <c r="C185" s="241"/>
      <c r="D185" s="1094">
        <f>ROW()</f>
        <v>185</v>
      </c>
      <c r="E185" s="242"/>
      <c r="F185" s="251">
        <v>556.77</v>
      </c>
      <c r="G185" s="251">
        <v>565.34</v>
      </c>
      <c r="H185" s="251">
        <v>562.79999999999995</v>
      </c>
      <c r="I185" s="251">
        <v>552.49</v>
      </c>
      <c r="J185" s="251">
        <v>561.70000000000005</v>
      </c>
      <c r="K185" s="251">
        <v>562.16</v>
      </c>
      <c r="L185" s="251">
        <v>571.04999999999995</v>
      </c>
      <c r="M185" s="251">
        <v>571.04999999999995</v>
      </c>
      <c r="N185" s="251">
        <v>574.36</v>
      </c>
      <c r="O185" s="251">
        <v>577.24</v>
      </c>
      <c r="P185" s="251">
        <v>575.72</v>
      </c>
      <c r="Q185" s="251">
        <v>573.08000000000004</v>
      </c>
      <c r="R185" s="251">
        <v>551.55999999999995</v>
      </c>
      <c r="S185" s="251">
        <v>544.09</v>
      </c>
      <c r="T185" s="251">
        <v>553</v>
      </c>
      <c r="U185" s="251">
        <v>550.66999999999996</v>
      </c>
      <c r="V185" s="251">
        <v>553.75</v>
      </c>
      <c r="W185" s="251">
        <v>556.04</v>
      </c>
      <c r="X185" s="251">
        <v>533.55999999999995</v>
      </c>
      <c r="Y185" s="251">
        <v>528.29999999999995</v>
      </c>
      <c r="Z185" s="245">
        <f ca="1">[1]ExtEntry!$G83</f>
        <v>528.29999999999995</v>
      </c>
      <c r="AA185" s="275"/>
      <c r="AB185" s="1143">
        <v>0.89684335209604293</v>
      </c>
      <c r="AC185" s="1143">
        <v>0.52006756380536601</v>
      </c>
      <c r="AD185" s="1143">
        <v>1.1354121745369075</v>
      </c>
      <c r="AE185" s="1143">
        <v>0.96430023065283077</v>
      </c>
      <c r="AF185" s="1143">
        <v>0.71039773396212458</v>
      </c>
      <c r="AG185" s="1143">
        <v>0.94723431070137931</v>
      </c>
      <c r="AH185" s="1143">
        <v>0.63214326764376305</v>
      </c>
      <c r="AI185" s="1143">
        <v>0.63214361489528459</v>
      </c>
      <c r="AJ185" s="1143">
        <v>0.76857291793782612</v>
      </c>
      <c r="AK185" s="1143">
        <v>0.65897065483458594</v>
      </c>
      <c r="AL185" s="1143">
        <v>1.1317097233542788</v>
      </c>
      <c r="AM185" s="1143">
        <v>1.1275600818761875</v>
      </c>
      <c r="AN185" s="1143">
        <v>1.6406878368553925</v>
      </c>
      <c r="AO185" s="1143">
        <v>0.68384009418193969</v>
      </c>
      <c r="AP185" s="1143">
        <v>0.79567124822572854</v>
      </c>
      <c r="AQ185" s="1143">
        <v>0.57069141843696192</v>
      </c>
      <c r="AR185" s="1143">
        <v>0.61408189407985569</v>
      </c>
      <c r="AS185" s="1143">
        <v>0.96862293618852791</v>
      </c>
      <c r="AT185" s="1143">
        <v>1.1526595402237701E-4</v>
      </c>
      <c r="AU185" s="1143">
        <v>0.37491543836259045</v>
      </c>
      <c r="AV185" s="1102">
        <f ca="1">Calc!BB83</f>
        <v>0.37491543836259045</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8.66</v>
      </c>
      <c r="G186" s="251">
        <v>8.91</v>
      </c>
      <c r="H186" s="251">
        <v>8.93</v>
      </c>
      <c r="I186" s="251">
        <v>8.27</v>
      </c>
      <c r="J186" s="251">
        <v>8.1999999999999993</v>
      </c>
      <c r="K186" s="251">
        <v>8.7100000000000009</v>
      </c>
      <c r="L186" s="251">
        <v>8.4079999999999995</v>
      </c>
      <c r="M186" s="251">
        <v>8.4079999999999995</v>
      </c>
      <c r="N186" s="251">
        <v>8.4749999999999996</v>
      </c>
      <c r="O186" s="251">
        <v>8.59</v>
      </c>
      <c r="P186" s="251">
        <v>8.6</v>
      </c>
      <c r="Q186" s="251">
        <v>8.75</v>
      </c>
      <c r="R186" s="251">
        <v>8.3000000000000007</v>
      </c>
      <c r="S186" s="251">
        <v>7.6</v>
      </c>
      <c r="T186" s="251">
        <v>7.54</v>
      </c>
      <c r="U186" s="251">
        <v>7.48</v>
      </c>
      <c r="V186" s="251">
        <v>7.46</v>
      </c>
      <c r="W186" s="251">
        <v>6.92</v>
      </c>
      <c r="X186" s="251">
        <v>6.61</v>
      </c>
      <c r="Y186" s="251">
        <v>6.61</v>
      </c>
      <c r="Z186" s="245">
        <f ca="1">[1]ExtEntry!$G84</f>
        <v>6.61</v>
      </c>
      <c r="AA186" s="275"/>
      <c r="AB186" s="1143">
        <v>1.214376709609718</v>
      </c>
      <c r="AC186" s="1143">
        <v>0.99990957414040427</v>
      </c>
      <c r="AD186" s="1143">
        <v>1.1129478364238394</v>
      </c>
      <c r="AE186" s="1143">
        <v>1.3162481989396873</v>
      </c>
      <c r="AF186" s="1143">
        <v>1.2685758203123909</v>
      </c>
      <c r="AG186" s="1143">
        <v>0.89156954787972809</v>
      </c>
      <c r="AH186" s="1143">
        <v>0.84847949736305339</v>
      </c>
      <c r="AI186" s="1143">
        <v>0.84847949736305339</v>
      </c>
      <c r="AJ186" s="1143">
        <v>0.65164523351652526</v>
      </c>
      <c r="AK186" s="1143">
        <v>0.59810604765202235</v>
      </c>
      <c r="AL186" s="1143">
        <v>0.59238399048560741</v>
      </c>
      <c r="AM186" s="1143">
        <v>0.47331256311600312</v>
      </c>
      <c r="AN186" s="1143">
        <v>0.69556339006631474</v>
      </c>
      <c r="AO186" s="1143">
        <v>0.88797948266093163</v>
      </c>
      <c r="AP186" s="1143">
        <v>1.1353973792746423</v>
      </c>
      <c r="AQ186" s="1143">
        <v>1.0585002831016916</v>
      </c>
      <c r="AR186" s="1143">
        <v>0.9044910655758166</v>
      </c>
      <c r="AS186" s="1143">
        <v>0.78601268045620065</v>
      </c>
      <c r="AT186" s="1143">
        <v>7.5113181396309063E-5</v>
      </c>
      <c r="AU186" s="1143">
        <v>0.72210564714953263</v>
      </c>
      <c r="AV186" s="1102">
        <f ca="1">Calc!BB84</f>
        <v>0.72210564714953263</v>
      </c>
      <c r="AW186" s="277"/>
      <c r="AX186" s="88" t="str">
        <f t="shared" ca="1" si="12"/>
        <v>NVAX</v>
      </c>
      <c r="BA186" s="251">
        <v>9608</v>
      </c>
      <c r="CP186" s="275"/>
      <c r="EH186" s="110"/>
    </row>
    <row r="187" spans="1:138" hidden="1" x14ac:dyDescent="0.3">
      <c r="A187" s="239" t="str">
        <f t="shared" ca="1" si="11"/>
        <v>NVS</v>
      </c>
      <c r="B187" s="240" t="str">
        <f ca="1">[1]ExtEntry!$D85</f>
        <v>USD</v>
      </c>
      <c r="C187" s="241"/>
      <c r="D187" s="1094">
        <f>ROW()</f>
        <v>187</v>
      </c>
      <c r="E187" s="242"/>
      <c r="F187" s="251">
        <v>129.46</v>
      </c>
      <c r="G187" s="251">
        <v>128.30000000000001</v>
      </c>
      <c r="H187" s="251">
        <v>129.88</v>
      </c>
      <c r="I187" s="251">
        <v>130.57</v>
      </c>
      <c r="J187" s="251">
        <v>131.41</v>
      </c>
      <c r="K187" s="251">
        <v>131.33000000000001</v>
      </c>
      <c r="L187" s="251">
        <v>131.06</v>
      </c>
      <c r="M187" s="251">
        <v>131.06</v>
      </c>
      <c r="N187" s="251">
        <v>130.82</v>
      </c>
      <c r="O187" s="251">
        <v>131.53</v>
      </c>
      <c r="P187" s="251">
        <v>128</v>
      </c>
      <c r="Q187" s="251">
        <v>125.52</v>
      </c>
      <c r="R187" s="251">
        <v>122.65</v>
      </c>
      <c r="S187" s="251">
        <v>123.51</v>
      </c>
      <c r="T187" s="251">
        <v>124.53</v>
      </c>
      <c r="U187" s="251">
        <v>126.35</v>
      </c>
      <c r="V187" s="251">
        <v>126.47</v>
      </c>
      <c r="W187" s="251">
        <v>132.46</v>
      </c>
      <c r="X187" s="251">
        <v>127.83</v>
      </c>
      <c r="Y187" s="251">
        <v>128.19999999999999</v>
      </c>
      <c r="Z187" s="245">
        <f ca="1">[1]ExtEntry!$G85</f>
        <v>128.19999999999999</v>
      </c>
      <c r="AA187" s="275"/>
      <c r="AB187" s="1143">
        <v>1.0553357222016493</v>
      </c>
      <c r="AC187" s="1143">
        <v>0.80574501565227596</v>
      </c>
      <c r="AD187" s="1143">
        <v>0.77032014753123768</v>
      </c>
      <c r="AE187" s="1143">
        <v>0.86848051923390479</v>
      </c>
      <c r="AF187" s="1143">
        <v>0.91814553351441452</v>
      </c>
      <c r="AG187" s="1143">
        <v>0.48477023706139943</v>
      </c>
      <c r="AH187" s="1143">
        <v>0.68297392321329842</v>
      </c>
      <c r="AI187" s="1143">
        <v>0.68297392321329842</v>
      </c>
      <c r="AJ187" s="1143">
        <v>1.1163365691380034</v>
      </c>
      <c r="AK187" s="1143">
        <v>0.8097989652878913</v>
      </c>
      <c r="AL187" s="1143">
        <v>1.7133044664728616</v>
      </c>
      <c r="AM187" s="1143">
        <v>2.9542917298030145</v>
      </c>
      <c r="AN187" s="1143">
        <v>1.3107476791446706</v>
      </c>
      <c r="AO187" s="1143">
        <v>0.59511080483886547</v>
      </c>
      <c r="AP187" s="1143">
        <v>0.67879337974871057</v>
      </c>
      <c r="AQ187" s="1143">
        <v>0.51201027711423863</v>
      </c>
      <c r="AR187" s="1143">
        <v>0.69127556692117309</v>
      </c>
      <c r="AS187" s="1143">
        <v>1.0769146692992981</v>
      </c>
      <c r="AT187" s="1143">
        <v>1.8330362412299734E-3</v>
      </c>
      <c r="AU187" s="1143">
        <v>0.44179256424314578</v>
      </c>
      <c r="AV187" s="1102">
        <f ca="1">Calc!BB85</f>
        <v>0.44179256424314578</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13.47</v>
      </c>
      <c r="G188" s="251">
        <v>14.05</v>
      </c>
      <c r="H188" s="251">
        <v>13.98</v>
      </c>
      <c r="I188" s="251">
        <v>14.03</v>
      </c>
      <c r="J188" s="251">
        <v>14.244999999999999</v>
      </c>
      <c r="K188" s="251">
        <v>14.185</v>
      </c>
      <c r="L188" s="251">
        <v>14.11</v>
      </c>
      <c r="M188" s="251">
        <v>14.11</v>
      </c>
      <c r="N188" s="251">
        <v>14.1</v>
      </c>
      <c r="O188" s="251">
        <v>14.13</v>
      </c>
      <c r="P188" s="251">
        <v>13.925000000000001</v>
      </c>
      <c r="Q188" s="251">
        <v>13.9</v>
      </c>
      <c r="R188" s="251">
        <v>13.775</v>
      </c>
      <c r="S188" s="251">
        <v>13.76</v>
      </c>
      <c r="T188" s="251">
        <v>13.73</v>
      </c>
      <c r="U188" s="251">
        <v>13.83</v>
      </c>
      <c r="V188" s="251">
        <v>13.95</v>
      </c>
      <c r="W188" s="251">
        <v>14.35</v>
      </c>
      <c r="X188" s="251">
        <v>13.994999999999999</v>
      </c>
      <c r="Y188" s="251">
        <v>13.994999999999999</v>
      </c>
      <c r="Z188" s="245">
        <f ca="1">[1]ExtEntry!$G86</f>
        <v>13.994999999999999</v>
      </c>
      <c r="AA188" s="275"/>
      <c r="AB188" s="1143">
        <v>0.81416688067055143</v>
      </c>
      <c r="AC188" s="1143">
        <v>2.3893283101988514</v>
      </c>
      <c r="AD188" s="1143">
        <v>0.83116709229148122</v>
      </c>
      <c r="AE188" s="1143">
        <v>1.2407510778527331</v>
      </c>
      <c r="AF188" s="1143">
        <v>0.66577661206280814</v>
      </c>
      <c r="AG188" s="1143">
        <v>0.72038804257461686</v>
      </c>
      <c r="AH188" s="1143">
        <v>1.0817189651816796</v>
      </c>
      <c r="AI188" s="1143">
        <v>1.0817189651816796</v>
      </c>
      <c r="AJ188" s="1143">
        <v>1.1072291862113017</v>
      </c>
      <c r="AK188" s="1143">
        <v>0.94411390446915111</v>
      </c>
      <c r="AL188" s="1143">
        <v>0.68348439454464749</v>
      </c>
      <c r="AM188" s="1143">
        <v>0.89272182544486145</v>
      </c>
      <c r="AN188" s="1143">
        <v>0.96407538756281108</v>
      </c>
      <c r="AO188" s="1143">
        <v>0.79362596317456802</v>
      </c>
      <c r="AP188" s="1143">
        <v>0.93614477517696715</v>
      </c>
      <c r="AQ188" s="1143">
        <v>1.0147540298657129</v>
      </c>
      <c r="AR188" s="1143">
        <v>1.0808883296742351</v>
      </c>
      <c r="AS188" s="1143">
        <v>1.3060037337623358</v>
      </c>
      <c r="AT188" s="1143">
        <v>0.68889065677858563</v>
      </c>
      <c r="AU188" s="1143">
        <v>1.2898279166741773</v>
      </c>
      <c r="AV188" s="1102">
        <f ca="1">Calc!BB86</f>
        <v>1.2898279166741773</v>
      </c>
      <c r="AW188" s="277"/>
      <c r="AX188" s="88" t="str">
        <f t="shared" ca="1" si="12"/>
        <v>ORA</v>
      </c>
      <c r="CP188" s="275"/>
      <c r="EH188" s="110"/>
    </row>
    <row r="189" spans="1:138" hidden="1" x14ac:dyDescent="0.3">
      <c r="A189" s="239" t="str">
        <f t="shared" ca="1" si="11"/>
        <v>OXY</v>
      </c>
      <c r="B189" s="240" t="str">
        <f ca="1">[1]ExtEntry!$D87</f>
        <v>USD</v>
      </c>
      <c r="C189" s="241"/>
      <c r="D189" s="1094">
        <f>ROW()</f>
        <v>189</v>
      </c>
      <c r="E189" s="242"/>
      <c r="F189" s="251">
        <v>41.94</v>
      </c>
      <c r="G189" s="251">
        <v>42.46</v>
      </c>
      <c r="H189" s="251">
        <v>41.99</v>
      </c>
      <c r="I189" s="251">
        <v>40.799999999999997</v>
      </c>
      <c r="J189" s="251">
        <v>40.96</v>
      </c>
      <c r="K189" s="251">
        <v>41</v>
      </c>
      <c r="L189" s="251">
        <v>41.22</v>
      </c>
      <c r="M189" s="251">
        <v>41.22</v>
      </c>
      <c r="N189" s="251">
        <v>43.14</v>
      </c>
      <c r="O189" s="251">
        <v>43</v>
      </c>
      <c r="P189" s="251">
        <v>42.85</v>
      </c>
      <c r="Q189" s="251">
        <v>42</v>
      </c>
      <c r="R189" s="251">
        <v>40.32</v>
      </c>
      <c r="S189" s="251">
        <v>40.24</v>
      </c>
      <c r="T189" s="251">
        <v>40.08</v>
      </c>
      <c r="U189" s="251">
        <v>40</v>
      </c>
      <c r="V189" s="251">
        <v>40.42</v>
      </c>
      <c r="W189" s="251">
        <v>42.024999999999999</v>
      </c>
      <c r="X189" s="251">
        <v>41.5</v>
      </c>
      <c r="Y189" s="251">
        <v>41.41</v>
      </c>
      <c r="Z189" s="245">
        <f ca="1">[1]ExtEntry!$G87</f>
        <v>41.41</v>
      </c>
      <c r="AA189" s="275"/>
      <c r="AB189" s="1143">
        <v>0.76415863638763271</v>
      </c>
      <c r="AC189" s="1143">
        <v>0.52978801882138249</v>
      </c>
      <c r="AD189" s="1143">
        <v>0.901602987513483</v>
      </c>
      <c r="AE189" s="1143">
        <v>0.78923329386050323</v>
      </c>
      <c r="AF189" s="1143">
        <v>0.71725774233724315</v>
      </c>
      <c r="AG189" s="1143">
        <v>0.69090778476752879</v>
      </c>
      <c r="AH189" s="1143">
        <v>0.90035373636086236</v>
      </c>
      <c r="AI189" s="1143">
        <v>0.90056327205147357</v>
      </c>
      <c r="AJ189" s="1143">
        <v>1.125350623780133</v>
      </c>
      <c r="AK189" s="1143">
        <v>0.57780340788839613</v>
      </c>
      <c r="AL189" s="1143">
        <v>0.6161531185906699</v>
      </c>
      <c r="AM189" s="1143">
        <v>1.09677339606183</v>
      </c>
      <c r="AN189" s="1143">
        <v>0.76688634133045608</v>
      </c>
      <c r="AO189" s="1143">
        <v>0.50414258887017804</v>
      </c>
      <c r="AP189" s="1143">
        <v>0.71260016402092197</v>
      </c>
      <c r="AQ189" s="1143">
        <v>0.63212805900613556</v>
      </c>
      <c r="AR189" s="1143">
        <v>0.73549582470054142</v>
      </c>
      <c r="AS189" s="1143">
        <v>0.84502996103642525</v>
      </c>
      <c r="AT189" s="1143">
        <v>2.2063258310121159E-4</v>
      </c>
      <c r="AU189" s="1143">
        <v>0.35175595594262754</v>
      </c>
      <c r="AV189" s="1102">
        <f ca="1">Calc!BB87</f>
        <v>0.35175595594262754</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24.64</v>
      </c>
      <c r="G190" s="251">
        <v>24.48</v>
      </c>
      <c r="H190" s="251">
        <v>24.44</v>
      </c>
      <c r="I190" s="251">
        <v>24.2</v>
      </c>
      <c r="J190" s="251">
        <v>24.57</v>
      </c>
      <c r="K190" s="251">
        <v>24.72</v>
      </c>
      <c r="L190" s="251">
        <v>24.79</v>
      </c>
      <c r="M190" s="251">
        <v>24.79</v>
      </c>
      <c r="N190" s="251">
        <v>24.76</v>
      </c>
      <c r="O190" s="251">
        <v>24.695</v>
      </c>
      <c r="P190" s="251">
        <v>24.74</v>
      </c>
      <c r="Q190" s="251">
        <v>24.78</v>
      </c>
      <c r="R190" s="251">
        <v>24.31</v>
      </c>
      <c r="S190" s="251">
        <v>24.38</v>
      </c>
      <c r="T190" s="251">
        <v>24.38</v>
      </c>
      <c r="U190" s="251">
        <v>24.72</v>
      </c>
      <c r="V190" s="251">
        <v>24.34</v>
      </c>
      <c r="W190" s="251">
        <v>25.67</v>
      </c>
      <c r="X190" s="251">
        <v>25.05</v>
      </c>
      <c r="Y190" s="251">
        <v>25.36</v>
      </c>
      <c r="Z190" s="245">
        <f ca="1">[1]ExtEntry!$G88</f>
        <v>25.36</v>
      </c>
      <c r="AA190" s="275"/>
      <c r="AB190" s="1143">
        <v>0.68823037603562665</v>
      </c>
      <c r="AC190" s="1143">
        <v>0.66475388945262548</v>
      </c>
      <c r="AD190" s="1143">
        <v>0.72155247439134085</v>
      </c>
      <c r="AE190" s="1143">
        <v>0.65116620403536085</v>
      </c>
      <c r="AF190" s="1143">
        <v>0.59743503913596152</v>
      </c>
      <c r="AG190" s="1143">
        <v>0.68513829958092265</v>
      </c>
      <c r="AH190" s="1143">
        <v>0.82102542924277722</v>
      </c>
      <c r="AI190" s="1143">
        <v>0.82107528769656946</v>
      </c>
      <c r="AJ190" s="1143">
        <v>0.58071975834601952</v>
      </c>
      <c r="AK190" s="1143">
        <v>0.46588750873799595</v>
      </c>
      <c r="AL190" s="1143">
        <v>0.6161956322461063</v>
      </c>
      <c r="AM190" s="1143">
        <v>0.90822909774429261</v>
      </c>
      <c r="AN190" s="1143">
        <v>2.7808122034377227</v>
      </c>
      <c r="AO190" s="1143">
        <v>2.2197749598060299</v>
      </c>
      <c r="AP190" s="1143">
        <v>1.5599755473789623</v>
      </c>
      <c r="AQ190" s="1143">
        <v>1.5132955060012763</v>
      </c>
      <c r="AR190" s="1143">
        <v>1.5310946563079202</v>
      </c>
      <c r="AS190" s="1143">
        <v>1.1613022186401964</v>
      </c>
      <c r="AT190" s="1143">
        <v>2.3700198487418644E-4</v>
      </c>
      <c r="AU190" s="1143">
        <v>0.27609049062415064</v>
      </c>
      <c r="AV190" s="1102">
        <f ca="1">Calc!BB88</f>
        <v>0.27609049062415064</v>
      </c>
      <c r="AW190" s="277"/>
      <c r="AX190" s="88" t="str">
        <f t="shared" ca="1" si="12"/>
        <v>PFE</v>
      </c>
      <c r="CP190" s="275"/>
      <c r="EH190" s="110"/>
    </row>
    <row r="191" spans="1:138" hidden="1" x14ac:dyDescent="0.3">
      <c r="A191" s="239" t="str">
        <f t="shared" ca="1" si="11"/>
        <v>RIG</v>
      </c>
      <c r="B191" s="240" t="str">
        <f ca="1">[1]ExtEntry!$D89</f>
        <v>USD</v>
      </c>
      <c r="C191" s="241"/>
      <c r="D191" s="1094">
        <f>ROW()</f>
        <v>191</v>
      </c>
      <c r="E191" s="242"/>
      <c r="F191" s="251">
        <v>3.13</v>
      </c>
      <c r="G191" s="251">
        <v>3.16</v>
      </c>
      <c r="H191" s="251">
        <v>3.33</v>
      </c>
      <c r="I191" s="251">
        <v>3.21</v>
      </c>
      <c r="J191" s="251">
        <v>3.28</v>
      </c>
      <c r="K191" s="251">
        <v>3.29</v>
      </c>
      <c r="L191" s="251">
        <v>3.33</v>
      </c>
      <c r="M191" s="251">
        <v>3.33</v>
      </c>
      <c r="N191" s="251">
        <v>3.53</v>
      </c>
      <c r="O191" s="251">
        <v>3.9</v>
      </c>
      <c r="P191" s="251">
        <v>3.92</v>
      </c>
      <c r="Q191" s="251">
        <v>3.78</v>
      </c>
      <c r="R191" s="251">
        <v>3.78</v>
      </c>
      <c r="S191" s="251">
        <v>3.8250000000000002</v>
      </c>
      <c r="T191" s="251">
        <v>3.86</v>
      </c>
      <c r="U191" s="251">
        <v>3.89</v>
      </c>
      <c r="V191" s="251">
        <v>3.89</v>
      </c>
      <c r="W191" s="251">
        <v>4.01</v>
      </c>
      <c r="X191" s="251">
        <v>4.03</v>
      </c>
      <c r="Y191" s="251">
        <v>4.0149999999999997</v>
      </c>
      <c r="Z191" s="245">
        <f ca="1">[1]ExtEntry!$G89</f>
        <v>4.0149999999999997</v>
      </c>
      <c r="AA191" s="275"/>
      <c r="AB191" s="1143">
        <v>1.3030577321167645</v>
      </c>
      <c r="AC191" s="1143">
        <v>1.2494722827896811</v>
      </c>
      <c r="AD191" s="1143">
        <v>1.2470113762012067</v>
      </c>
      <c r="AE191" s="1143">
        <v>0.94492706566336493</v>
      </c>
      <c r="AF191" s="1143">
        <v>0.89571598006288444</v>
      </c>
      <c r="AG191" s="1143">
        <v>1.1224946120304649</v>
      </c>
      <c r="AH191" s="1143">
        <v>1.3817783758774485</v>
      </c>
      <c r="AI191" s="1143">
        <v>1.3819564449084591</v>
      </c>
      <c r="AJ191" s="1143">
        <v>2.2853528960567053</v>
      </c>
      <c r="AK191" s="1143">
        <v>1.2627829667768748</v>
      </c>
      <c r="AL191" s="1143">
        <v>0.87214681266728977</v>
      </c>
      <c r="AM191" s="1143">
        <v>0.83361644853319528</v>
      </c>
      <c r="AN191" s="1143">
        <v>0.90673531846290956</v>
      </c>
      <c r="AO191" s="1143">
        <v>0.57094631838345611</v>
      </c>
      <c r="AP191" s="1143">
        <v>0.71321713746444682</v>
      </c>
      <c r="AQ191" s="1143">
        <v>0.60137355687799299</v>
      </c>
      <c r="AR191" s="1143">
        <v>0.60737840672962018</v>
      </c>
      <c r="AS191" s="1143">
        <v>0.5092200428853404</v>
      </c>
      <c r="AT191" s="1143">
        <v>0.69688252291243458</v>
      </c>
      <c r="AU191" s="1143">
        <v>0.28714308244093012</v>
      </c>
      <c r="AV191" s="1102">
        <f ca="1">Calc!BB89</f>
        <v>0.28714308244093012</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35.72</v>
      </c>
      <c r="G192" s="251">
        <v>36.35</v>
      </c>
      <c r="H192" s="251">
        <v>37.340000000000003</v>
      </c>
      <c r="I192" s="251">
        <v>35.56</v>
      </c>
      <c r="J192" s="251">
        <v>36.68</v>
      </c>
      <c r="K192" s="251">
        <v>36.94</v>
      </c>
      <c r="L192" s="251">
        <v>37.11</v>
      </c>
      <c r="M192" s="251">
        <v>37.11</v>
      </c>
      <c r="N192" s="251">
        <v>37.25</v>
      </c>
      <c r="O192" s="251">
        <v>37.85</v>
      </c>
      <c r="P192" s="251">
        <v>37.86</v>
      </c>
      <c r="Q192" s="251">
        <v>36.97</v>
      </c>
      <c r="R192" s="251">
        <v>35.119999999999997</v>
      </c>
      <c r="S192" s="251">
        <v>36.36</v>
      </c>
      <c r="T192" s="251">
        <v>36.909999999999997</v>
      </c>
      <c r="U192" s="251">
        <v>37.58</v>
      </c>
      <c r="V192" s="251">
        <v>36.58</v>
      </c>
      <c r="W192" s="251">
        <v>37.479999999999997</v>
      </c>
      <c r="X192" s="251">
        <v>37.299999999999997</v>
      </c>
      <c r="Y192" s="251">
        <v>38.53</v>
      </c>
      <c r="Z192" s="245">
        <f ca="1">[1]ExtEntry!$G90</f>
        <v>38.53</v>
      </c>
      <c r="AA192" s="275"/>
      <c r="AB192" s="1143">
        <v>0.74796179871263613</v>
      </c>
      <c r="AC192" s="1143">
        <v>0.51624387543460615</v>
      </c>
      <c r="AD192" s="1143">
        <v>0.9454066468227047</v>
      </c>
      <c r="AE192" s="1143">
        <v>0.85971508940788455</v>
      </c>
      <c r="AF192" s="1143">
        <v>1.0676355193662113</v>
      </c>
      <c r="AG192" s="1143">
        <v>0.88846526220365873</v>
      </c>
      <c r="AH192" s="1143">
        <v>0.77298963079836114</v>
      </c>
      <c r="AI192" s="1143">
        <v>0.77298963079836114</v>
      </c>
      <c r="AJ192" s="1143">
        <v>1.387664515166652</v>
      </c>
      <c r="AK192" s="1143">
        <v>0.84253994315459091</v>
      </c>
      <c r="AL192" s="1143">
        <v>0.87297273183664936</v>
      </c>
      <c r="AM192" s="1143">
        <v>0.84789120761631709</v>
      </c>
      <c r="AN192" s="1143">
        <v>1.7019384949289731</v>
      </c>
      <c r="AO192" s="1143">
        <v>0.52090266222961734</v>
      </c>
      <c r="AP192" s="1143">
        <v>0.83458826380194662</v>
      </c>
      <c r="AQ192" s="1143">
        <v>0.4804587746140489</v>
      </c>
      <c r="AR192" s="1143">
        <v>0.49833028033451637</v>
      </c>
      <c r="AS192" s="1143">
        <v>0.65011551878952545</v>
      </c>
      <c r="AT192" s="1143">
        <v>0.93967348248747895</v>
      </c>
      <c r="AU192" s="1143">
        <v>0.23248882465633719</v>
      </c>
      <c r="AV192" s="1102">
        <f ca="1">Calc!BB90</f>
        <v>0.23248882465633719</v>
      </c>
      <c r="AW192" s="277"/>
      <c r="AX192" s="88" t="str">
        <f t="shared" ca="1" si="12"/>
        <v>RRC</v>
      </c>
      <c r="BS192" s="275"/>
      <c r="CP192" s="275"/>
      <c r="EH192" s="110"/>
    </row>
    <row r="193" spans="1:159" x14ac:dyDescent="0.3">
      <c r="A193" s="239" t="str">
        <f t="shared" ca="1" si="11"/>
        <v>XYZ</v>
      </c>
      <c r="B193" s="240" t="str">
        <f ca="1">[1]ExtEntry!$D91</f>
        <v>USD</v>
      </c>
      <c r="C193" s="241"/>
      <c r="D193" s="1094">
        <f>ROW()</f>
        <v>193</v>
      </c>
      <c r="E193" s="242"/>
      <c r="F193" s="243">
        <v>73.52</v>
      </c>
      <c r="G193" s="243">
        <v>76.86</v>
      </c>
      <c r="H193" s="243">
        <v>76.349999999999994</v>
      </c>
      <c r="I193" s="243">
        <v>73.78</v>
      </c>
      <c r="J193" s="243">
        <v>75.94</v>
      </c>
      <c r="K193" s="243">
        <v>76.239999999999995</v>
      </c>
      <c r="L193" s="243">
        <v>77.34</v>
      </c>
      <c r="M193" s="243">
        <v>77.34</v>
      </c>
      <c r="N193" s="243">
        <v>76.13</v>
      </c>
      <c r="O193" s="243">
        <v>79.8</v>
      </c>
      <c r="P193" s="243">
        <v>80.58</v>
      </c>
      <c r="Q193" s="243">
        <v>80.16</v>
      </c>
      <c r="R193" s="243">
        <v>76.47</v>
      </c>
      <c r="S193" s="243">
        <v>73.349999999999994</v>
      </c>
      <c r="T193" s="243">
        <v>72.88</v>
      </c>
      <c r="U193" s="243">
        <v>74.510000000000005</v>
      </c>
      <c r="V193" s="243">
        <v>60.77</v>
      </c>
      <c r="W193" s="243">
        <v>61.03</v>
      </c>
      <c r="X193" s="243">
        <v>58.38</v>
      </c>
      <c r="Y193" s="243">
        <v>58.6</v>
      </c>
      <c r="Z193" s="245">
        <f ca="1">[1]ExtEntry!$G91</f>
        <v>58.6</v>
      </c>
      <c r="AA193" s="275"/>
      <c r="AB193" s="1102">
        <v>0.83521668285762896</v>
      </c>
      <c r="AC193" s="1102">
        <v>0.37864051210881622</v>
      </c>
      <c r="AD193" s="1102">
        <v>0.9063431679655175</v>
      </c>
      <c r="AE193" s="1102">
        <v>0.7111966216037785</v>
      </c>
      <c r="AF193" s="1102">
        <v>0.73051406289578324</v>
      </c>
      <c r="AG193" s="1102">
        <v>0.70983740255541761</v>
      </c>
      <c r="AH193" s="1102">
        <v>0.75731269057495543</v>
      </c>
      <c r="AI193" s="1102">
        <v>0.75741024521089817</v>
      </c>
      <c r="AJ193" s="1102">
        <v>0.77384672639950713</v>
      </c>
      <c r="AK193" s="1102">
        <v>0.6406530335131243</v>
      </c>
      <c r="AL193" s="1102">
        <v>0.8736285145671312</v>
      </c>
      <c r="AM193" s="1102">
        <v>0.69039340334554611</v>
      </c>
      <c r="AN193" s="1102">
        <v>1.093373984893939</v>
      </c>
      <c r="AO193" s="1102">
        <v>0.67575885698246729</v>
      </c>
      <c r="AP193" s="1102">
        <v>0.96457004111467748</v>
      </c>
      <c r="AQ193" s="1102">
        <v>1.1562624712850669</v>
      </c>
      <c r="AR193" s="1102">
        <v>3.4106299247859022</v>
      </c>
      <c r="AS193" s="1102">
        <v>1.423304407209671</v>
      </c>
      <c r="AT193" s="1102">
        <v>4.9094677326380341E-5</v>
      </c>
      <c r="AU193" s="1102">
        <v>0.63831835430216688</v>
      </c>
      <c r="AV193" s="1102">
        <f ca="1">Calc!BB91</f>
        <v>0.63831835430216688</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190.16</v>
      </c>
      <c r="G194" s="251">
        <v>197.05</v>
      </c>
      <c r="H194" s="251">
        <v>199.26</v>
      </c>
      <c r="I194" s="251">
        <v>199.13</v>
      </c>
      <c r="J194" s="251">
        <v>201.31</v>
      </c>
      <c r="K194" s="251">
        <v>202.64</v>
      </c>
      <c r="L194" s="251">
        <v>203.42</v>
      </c>
      <c r="M194" s="251">
        <v>203.42</v>
      </c>
      <c r="N194" s="251">
        <v>204.27</v>
      </c>
      <c r="O194" s="251">
        <v>209.51</v>
      </c>
      <c r="P194" s="251">
        <v>210.39</v>
      </c>
      <c r="Q194" s="251">
        <v>209.93</v>
      </c>
      <c r="R194" s="251">
        <v>208.04</v>
      </c>
      <c r="S194" s="251">
        <v>200.255</v>
      </c>
      <c r="T194" s="251">
        <v>206.49</v>
      </c>
      <c r="U194" s="251">
        <v>208.2</v>
      </c>
      <c r="V194" s="251">
        <v>204.51</v>
      </c>
      <c r="W194" s="251">
        <v>196.18</v>
      </c>
      <c r="X194" s="251">
        <v>191.46</v>
      </c>
      <c r="Y194" s="251">
        <v>192.595</v>
      </c>
      <c r="Z194" s="245">
        <f ca="1">[1]ExtEntry!$G92</f>
        <v>192.595</v>
      </c>
      <c r="AA194" s="275"/>
      <c r="AB194" s="1143">
        <v>0.94739959532734219</v>
      </c>
      <c r="AC194" s="1143">
        <v>0.48551922792806901</v>
      </c>
      <c r="AD194" s="1143">
        <v>0.67212464599613853</v>
      </c>
      <c r="AE194" s="1143">
        <v>0.72657850037094007</v>
      </c>
      <c r="AF194" s="1143">
        <v>0.66730857246483188</v>
      </c>
      <c r="AG194" s="1143">
        <v>0.77052826450510747</v>
      </c>
      <c r="AH194" s="1143">
        <v>1.0126952955372843</v>
      </c>
      <c r="AI194" s="1143">
        <v>1.0126952955372843</v>
      </c>
      <c r="AJ194" s="1143">
        <v>1.2351514412822231</v>
      </c>
      <c r="AK194" s="1143">
        <v>1.7966538371064948</v>
      </c>
      <c r="AL194" s="1143">
        <v>1.9739677114169745</v>
      </c>
      <c r="AM194" s="1143">
        <v>1.8451321469211694</v>
      </c>
      <c r="AN194" s="1143">
        <v>1.21606770538104</v>
      </c>
      <c r="AO194" s="1143">
        <v>0.82114533680232449</v>
      </c>
      <c r="AP194" s="1143">
        <v>0.92623198220716429</v>
      </c>
      <c r="AQ194" s="1143">
        <v>0.27003280755668646</v>
      </c>
      <c r="AR194" s="1143">
        <v>0.3401580045479054</v>
      </c>
      <c r="AS194" s="1143">
        <v>0.89615911578528396</v>
      </c>
      <c r="AT194" s="1143">
        <v>1.0234463099126878E-4</v>
      </c>
      <c r="AU194" s="1143">
        <v>0.33936913170887295</v>
      </c>
      <c r="AV194" s="1102">
        <f ca="1">Calc!BB92</f>
        <v>0.33936913170887295</v>
      </c>
      <c r="AW194" s="277"/>
      <c r="AX194" s="88" t="str">
        <f t="shared" ca="1" si="12"/>
        <v>THC</v>
      </c>
      <c r="BS194" s="275"/>
      <c r="CP194" s="275"/>
      <c r="EH194" s="110"/>
    </row>
    <row r="195" spans="1:159" x14ac:dyDescent="0.3">
      <c r="A195" s="239" t="str">
        <f t="shared" ca="1" si="11"/>
        <v>X</v>
      </c>
      <c r="B195" s="240" t="str">
        <f ca="1">[1]ExtEntry!$D93</f>
        <v>USD</v>
      </c>
      <c r="C195" s="241"/>
      <c r="D195" s="1094">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02">
        <v>7.2077806511077887E-5</v>
      </c>
      <c r="AC195" s="1102">
        <v>7.2077806511077887E-5</v>
      </c>
      <c r="AD195" s="1102">
        <v>7.2077806511077887E-5</v>
      </c>
      <c r="AE195" s="1102">
        <v>7.2077806511077887E-5</v>
      </c>
      <c r="AF195" s="1102">
        <v>7.2077806511077887E-5</v>
      </c>
      <c r="AG195" s="1102">
        <v>7.2077806511077887E-5</v>
      </c>
      <c r="AH195" s="1102">
        <v>7.2077806511077887E-5</v>
      </c>
      <c r="AI195" s="1102">
        <v>7.2077806511077887E-5</v>
      </c>
      <c r="AJ195" s="1102">
        <v>7.2077806511077887E-5</v>
      </c>
      <c r="AK195" s="1102">
        <v>7.2077806511077887E-5</v>
      </c>
      <c r="AL195" s="1102">
        <v>7.2077806511077887E-5</v>
      </c>
      <c r="AM195" s="1102">
        <v>7.2077806511077887E-5</v>
      </c>
      <c r="AN195" s="1102">
        <v>7.2077806511077887E-5</v>
      </c>
      <c r="AO195" s="1102">
        <v>7.2077806511077887E-5</v>
      </c>
      <c r="AP195" s="1102">
        <v>7.2077806511077887E-5</v>
      </c>
      <c r="AQ195" s="1102">
        <v>7.2077806511077887E-5</v>
      </c>
      <c r="AR195" s="1102">
        <v>7.2077806511077887E-5</v>
      </c>
      <c r="AS195" s="1102">
        <v>7.2077806511077887E-5</v>
      </c>
      <c r="AT195" s="1102">
        <v>7.2077806511077887E-5</v>
      </c>
      <c r="AU195" s="1102">
        <v>7.2077806511077887E-5</v>
      </c>
      <c r="AV195" s="1102">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10.242000000000001</v>
      </c>
      <c r="G196" s="251">
        <v>10.353999999999999</v>
      </c>
      <c r="H196" s="251">
        <v>10.382</v>
      </c>
      <c r="I196" s="251">
        <v>10.17</v>
      </c>
      <c r="J196" s="251">
        <v>10.25</v>
      </c>
      <c r="K196" s="251">
        <v>10.391999999999999</v>
      </c>
      <c r="L196" s="251">
        <v>10.492000000000001</v>
      </c>
      <c r="M196" s="251">
        <v>10.492000000000001</v>
      </c>
      <c r="N196" s="251">
        <v>10.384</v>
      </c>
      <c r="O196" s="251">
        <v>10.494</v>
      </c>
      <c r="P196" s="251">
        <v>10.662000000000001</v>
      </c>
      <c r="Q196" s="251">
        <v>10.614000000000001</v>
      </c>
      <c r="R196" s="251">
        <v>10.481999999999999</v>
      </c>
      <c r="S196" s="251">
        <v>10.401999999999999</v>
      </c>
      <c r="T196" s="251">
        <v>10.25</v>
      </c>
      <c r="U196" s="251">
        <v>10.282</v>
      </c>
      <c r="V196" s="251">
        <v>10.226000000000001</v>
      </c>
      <c r="W196" s="251">
        <v>10.050000000000001</v>
      </c>
      <c r="X196" s="251">
        <v>9.798</v>
      </c>
      <c r="Y196" s="251">
        <v>9.798</v>
      </c>
      <c r="Z196" s="245">
        <f ca="1">[1]ExtEntry!$G94</f>
        <v>9.798</v>
      </c>
      <c r="AA196" s="275"/>
      <c r="AB196" s="1143">
        <v>1</v>
      </c>
      <c r="AC196" s="1143">
        <v>1</v>
      </c>
      <c r="AD196" s="1143">
        <v>1</v>
      </c>
      <c r="AE196" s="1143">
        <v>1</v>
      </c>
      <c r="AF196" s="1143">
        <v>1</v>
      </c>
      <c r="AG196" s="1143">
        <v>1</v>
      </c>
      <c r="AH196" s="1143">
        <v>1</v>
      </c>
      <c r="AI196" s="1143">
        <v>1</v>
      </c>
      <c r="AJ196" s="1143">
        <v>1</v>
      </c>
      <c r="AK196" s="1143">
        <v>1</v>
      </c>
      <c r="AL196" s="1143">
        <v>1</v>
      </c>
      <c r="AM196" s="1143">
        <v>1</v>
      </c>
      <c r="AN196" s="1143">
        <v>1</v>
      </c>
      <c r="AO196" s="1143">
        <v>1</v>
      </c>
      <c r="AP196" s="1143">
        <v>1</v>
      </c>
      <c r="AQ196" s="1143">
        <v>1</v>
      </c>
      <c r="AR196" s="1143">
        <v>1</v>
      </c>
      <c r="AS196" s="1143">
        <v>1</v>
      </c>
      <c r="AT196" s="1143">
        <v>1</v>
      </c>
      <c r="AU196" s="1143">
        <v>1</v>
      </c>
      <c r="AV196" s="1102">
        <f ca="1">Calc!BB94</f>
        <v>1</v>
      </c>
      <c r="AW196" s="277"/>
      <c r="AX196" s="88" t="str">
        <f t="shared" ca="1" si="12"/>
        <v>LOCK</v>
      </c>
      <c r="BS196" s="275"/>
      <c r="CP196" s="275"/>
      <c r="EH196" s="110"/>
    </row>
    <row r="197" spans="1:159" x14ac:dyDescent="0.3">
      <c r="A197" s="239" t="str">
        <f t="shared" ca="1" si="11"/>
        <v>JBASML</v>
      </c>
      <c r="B197" s="81" t="s">
        <v>1134</v>
      </c>
      <c r="D197" s="1">
        <v>196</v>
      </c>
      <c r="F197" s="243">
        <v>834.7</v>
      </c>
      <c r="G197" s="243">
        <v>875.6</v>
      </c>
      <c r="H197" s="243">
        <v>883.7</v>
      </c>
      <c r="I197" s="243">
        <v>859.6</v>
      </c>
      <c r="J197" s="243">
        <v>884</v>
      </c>
      <c r="K197" s="243">
        <v>890</v>
      </c>
      <c r="L197" s="243">
        <v>876.7</v>
      </c>
      <c r="M197" s="243">
        <v>876.7</v>
      </c>
      <c r="N197" s="243">
        <v>872</v>
      </c>
      <c r="O197" s="243">
        <v>900</v>
      </c>
      <c r="P197" s="243">
        <v>900</v>
      </c>
      <c r="Q197" s="243">
        <v>904.1</v>
      </c>
      <c r="R197" s="243">
        <v>925</v>
      </c>
      <c r="S197" s="243">
        <v>909.2</v>
      </c>
      <c r="T197" s="243">
        <v>882.9</v>
      </c>
      <c r="U197" s="243">
        <v>901.1</v>
      </c>
      <c r="V197" s="243">
        <v>899</v>
      </c>
      <c r="W197" s="243">
        <v>866.9</v>
      </c>
      <c r="X197" s="243">
        <v>861.1</v>
      </c>
      <c r="Y197" s="243">
        <v>861.1</v>
      </c>
      <c r="Z197" s="245">
        <f ca="1">[1]ExtEntry!$G95</f>
        <v>861.1</v>
      </c>
      <c r="AA197" s="275"/>
      <c r="AB197" s="1102">
        <v>0.9212649675214567</v>
      </c>
      <c r="AC197" s="1102">
        <v>1.4815572344549928</v>
      </c>
      <c r="AD197" s="1102">
        <v>0.87383194989810631</v>
      </c>
      <c r="AE197" s="1102">
        <v>1.0246818701744351</v>
      </c>
      <c r="AF197" s="1102">
        <v>0.63246115718234674</v>
      </c>
      <c r="AG197" s="1102">
        <v>0.53697097512153269</v>
      </c>
      <c r="AH197" s="1102">
        <v>0.66238980546663384</v>
      </c>
      <c r="AI197" s="1102">
        <v>0.66238980546663384</v>
      </c>
      <c r="AJ197" s="1102">
        <v>0.93860648829515581</v>
      </c>
      <c r="AK197" s="1102">
        <v>0.62959608538686995</v>
      </c>
      <c r="AL197" s="1102">
        <v>0.70439053270361551</v>
      </c>
      <c r="AM197" s="1102">
        <v>0.55103540144512175</v>
      </c>
      <c r="AN197" s="1102">
        <v>0.97038282181975921</v>
      </c>
      <c r="AO197" s="1102">
        <v>0.91785407110091743</v>
      </c>
      <c r="AP197" s="1102">
        <v>1.2120666350052971</v>
      </c>
      <c r="AQ197" s="1102">
        <v>0.8690636176438713</v>
      </c>
      <c r="AR197" s="1102">
        <v>1.4227731762002704</v>
      </c>
      <c r="AS197" s="1102">
        <v>1.221879975841432</v>
      </c>
      <c r="AT197" s="1102">
        <v>0.31928218946295994</v>
      </c>
      <c r="AU197" s="1102">
        <v>1.0213644846396783</v>
      </c>
      <c r="AV197" s="1102">
        <f ca="1">Calc!BB95</f>
        <v>1.0213644846396783</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16.164999999999999</v>
      </c>
      <c r="G198" s="251">
        <v>16.37</v>
      </c>
      <c r="H198" s="251">
        <v>16.239999999999998</v>
      </c>
      <c r="I198" s="251">
        <v>16.164999999999999</v>
      </c>
      <c r="J198" s="251">
        <v>16.315000000000001</v>
      </c>
      <c r="K198" s="251">
        <v>16.355</v>
      </c>
      <c r="L198" s="251">
        <v>16.3</v>
      </c>
      <c r="M198" s="251">
        <v>16.3</v>
      </c>
      <c r="N198" s="251">
        <v>16.13</v>
      </c>
      <c r="O198" s="251">
        <v>15.984999999999999</v>
      </c>
      <c r="P198" s="251">
        <v>16.05</v>
      </c>
      <c r="Q198" s="251">
        <v>16.024999999999999</v>
      </c>
      <c r="R198" s="251">
        <v>16.225000000000001</v>
      </c>
      <c r="S198" s="251">
        <v>15.85</v>
      </c>
      <c r="T198" s="251">
        <v>15.824999999999999</v>
      </c>
      <c r="U198" s="251">
        <v>16.004999999999999</v>
      </c>
      <c r="V198" s="251">
        <v>16.105</v>
      </c>
      <c r="W198" s="251">
        <v>15.225</v>
      </c>
      <c r="X198" s="251">
        <v>15.315</v>
      </c>
      <c r="Y198" s="251">
        <v>15.315</v>
      </c>
      <c r="Z198" s="245">
        <f ca="1">[1]ExtEntry!$G96</f>
        <v>15.315</v>
      </c>
      <c r="AA198" s="275"/>
      <c r="AB198" s="1143">
        <v>1.0223008095157225E-3</v>
      </c>
      <c r="AC198" s="1143">
        <v>1.8751914365397946E-3</v>
      </c>
      <c r="AD198" s="1143">
        <v>2.621069224044295E-3</v>
      </c>
      <c r="AE198" s="1143">
        <v>1.6947205747222455E-3</v>
      </c>
      <c r="AF198" s="1143">
        <v>2.8769426684523477E-3</v>
      </c>
      <c r="AG198" s="1143">
        <v>3.9924448583246409E-3</v>
      </c>
      <c r="AH198" s="1143">
        <v>2.9646218410092277E-3</v>
      </c>
      <c r="AI198" s="1143">
        <v>2.9646218410092277E-3</v>
      </c>
      <c r="AJ198" s="1143">
        <v>2.0957802059433446E-3</v>
      </c>
      <c r="AK198" s="1143">
        <v>1.3643016391740198E-3</v>
      </c>
      <c r="AL198" s="1143">
        <v>7.4818016234157736E-3</v>
      </c>
      <c r="AM198" s="1143">
        <v>1.3413171372541554E-3</v>
      </c>
      <c r="AN198" s="1143">
        <v>2.7306417007996877E-4</v>
      </c>
      <c r="AO198" s="1143">
        <v>3.9124109425137327E-3</v>
      </c>
      <c r="AP198" s="1143">
        <v>1.4626982707625427E-3</v>
      </c>
      <c r="AQ198" s="1143">
        <v>1.3417069156255903E-3</v>
      </c>
      <c r="AR198" s="1143">
        <v>1.3773604663339033E-3</v>
      </c>
      <c r="AS198" s="1143">
        <v>4.2504365405498928E-3</v>
      </c>
      <c r="AT198" s="1143">
        <v>4.4907760902519392E-4</v>
      </c>
      <c r="AU198" s="1143">
        <v>3.4286087467618696E-4</v>
      </c>
      <c r="AV198" s="1102">
        <f ca="1">Calc!BB96</f>
        <v>3.4286087467618696E-4</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216.39</v>
      </c>
      <c r="O201"/>
      <c r="P201"/>
      <c r="AA201" s="275"/>
      <c r="AW201" s="277"/>
      <c r="AX201" s="88"/>
      <c r="BS201" s="275"/>
      <c r="CP201" s="275"/>
      <c r="EH201" s="110"/>
    </row>
    <row r="202" spans="1:159" x14ac:dyDescent="0.3">
      <c r="F202" s="93" cm="1">
        <f t="array" aca="1" ref="F202" ca="1">_xlfn.XLOOKUP(DataShiftChartTicker,ListTickers,Tab1Price[Price0])</f>
        <v>216.39</v>
      </c>
      <c r="G202" s="93" cm="1">
        <f t="array" aca="1" ref="G202" ca="1">_xlfn.XLOOKUP(DataShiftChartTicker,ListTickers,Tab1Price[Price1])</f>
        <v>215.16</v>
      </c>
      <c r="H202" s="93" cm="1">
        <f t="array" aca="1" ref="H202" ca="1">_xlfn.XLOOKUP(DataShiftChartTicker,ListTickers,Tab1Price[Price2])</f>
        <v>214.47</v>
      </c>
      <c r="I202" s="93" cm="1">
        <f t="array" aca="1" ref="I202" ca="1">_xlfn.XLOOKUP(DataShiftChartTicker,ListTickers,Tab1Price[Price3])</f>
        <v>213.04</v>
      </c>
      <c r="J202" s="93" cm="1">
        <f t="array" aca="1" ref="J202" ca="1">_xlfn.XLOOKUP(DataShiftChartTicker,ListTickers,Tab1Price[Price4])</f>
        <v>216.48</v>
      </c>
      <c r="K202" s="93" cm="1">
        <f t="array" aca="1" ref="K202" ca="1">_xlfn.XLOOKUP(DataShiftChartTicker,ListTickers,Tab1Price[Price5])</f>
        <v>222.03</v>
      </c>
      <c r="L202" s="93" cm="1">
        <f t="array" aca="1" ref="L202" ca="1">_xlfn.XLOOKUP(DataShiftChartTicker,ListTickers,Tab1Price[Price6])</f>
        <v>217.95</v>
      </c>
      <c r="M202" s="93" cm="1">
        <f t="array" aca="1" ref="M202" ca="1">_xlfn.XLOOKUP(DataShiftChartTicker,ListTickers,Tab1Price[Price7])</f>
        <v>217.95</v>
      </c>
      <c r="N202" s="93" cm="1">
        <f t="array" aca="1" ref="N202" ca="1">_xlfn.XLOOKUP(DataShiftChartTicker,ListTickers,Tab1Price[Price8])</f>
        <v>221.09</v>
      </c>
      <c r="O202" s="93" cm="1">
        <f t="array" aca="1" ref="O202" ca="1">_xlfn.XLOOKUP(DataShiftChartTicker,ListTickers,Tab1Price[Price9])</f>
        <v>224.21</v>
      </c>
      <c r="P202" s="93" cm="1">
        <f t="array" aca="1" ref="P202" ca="1">_xlfn.XLOOKUP(DataShiftChartTicker,ListTickers,Tab1Price[Price10])</f>
        <v>226.97</v>
      </c>
      <c r="Q202" s="93" cm="1">
        <f t="array" aca="1" ref="Q202" ca="1">_xlfn.XLOOKUP(DataShiftChartTicker,ListTickers,Tab1Price[Price11])</f>
        <v>229.25</v>
      </c>
      <c r="R202" s="93" cm="1">
        <f t="array" aca="1" ref="R202" ca="1">_xlfn.XLOOKUP(DataShiftChartTicker,ListTickers,Tab1Price[Price12])</f>
        <v>222.86</v>
      </c>
      <c r="S202" s="93" cm="1">
        <f t="array" aca="1" ref="S202" ca="1">_xlfn.XLOOKUP(DataShiftChartTicker,ListTickers,Tab1Price[Price13])</f>
        <v>248.82</v>
      </c>
      <c r="T202" s="93" cm="1">
        <f t="array" aca="1" ref="T202" ca="1">_xlfn.XLOOKUP(DataShiftChartTicker,ListTickers,Tab1Price[Price14])</f>
        <v>250.2</v>
      </c>
      <c r="U202" s="93" cm="1">
        <f t="array" aca="1" ref="U202" ca="1">_xlfn.XLOOKUP(DataShiftChartTicker,ListTickers,Tab1Price[Price15])</f>
        <v>243.8064</v>
      </c>
      <c r="V202" s="93" cm="1">
        <f t="array" aca="1" ref="V202" ca="1">_xlfn.XLOOKUP(DataShiftChartTicker,ListTickers,Tab1Price[Price16])</f>
        <v>244.56</v>
      </c>
      <c r="W202" s="93" cm="1">
        <f t="array" aca="1" ref="W202" ca="1">_xlfn.XLOOKUP(DataShiftChartTicker,ListTickers,Tab1Price[Price17])</f>
        <v>234.69</v>
      </c>
      <c r="X202" s="93" cm="1">
        <f t="array" aca="1" ref="X202" ca="1">_xlfn.XLOOKUP(DataShiftChartTicker,ListTickers,Tab1Price[Price18])</f>
        <v>222.55</v>
      </c>
      <c r="Y202" s="93" cm="1">
        <f t="array" aca="1" ref="Y202" ca="1">_xlfn.XLOOKUP(DataShiftChartTicker,ListTickers,Tab1Price[Price19])</f>
        <v>221.18199999999999</v>
      </c>
      <c r="Z202" s="93" cm="1">
        <f t="array" aca="1" ref="Z202" ca="1">_xlfn.XLOOKUP(DataShiftChartTicker,ListTickers,Tab1Price[Price20])</f>
        <v>221.18199999999999</v>
      </c>
      <c r="AA202" s="275"/>
      <c r="AW202" s="277"/>
      <c r="AX202" s="88"/>
      <c r="BS202" s="275"/>
      <c r="CP202" s="275"/>
      <c r="EH202" s="110"/>
    </row>
    <row r="203" spans="1:159" x14ac:dyDescent="0.3">
      <c r="E203" s="1148"/>
      <c r="F203" s="117">
        <f t="shared" ref="F203:Z203" ca="1" si="13">F103</f>
        <v>45952</v>
      </c>
      <c r="G203" s="117">
        <f t="shared" ca="1" si="13"/>
        <v>45953</v>
      </c>
      <c r="H203" s="117">
        <f t="shared" ca="1" si="13"/>
        <v>45954</v>
      </c>
      <c r="I203" s="117">
        <f t="shared" ca="1" si="13"/>
        <v>45957</v>
      </c>
      <c r="J203" s="117">
        <f t="shared" ca="1" si="13"/>
        <v>45958</v>
      </c>
      <c r="K203" s="117">
        <f t="shared" ca="1" si="13"/>
        <v>45959</v>
      </c>
      <c r="L203" s="117">
        <f t="shared" ca="1" si="13"/>
        <v>45960</v>
      </c>
      <c r="M203" s="117">
        <f t="shared" ca="1" si="13"/>
        <v>45961</v>
      </c>
      <c r="N203" s="117">
        <f t="shared" ca="1" si="13"/>
        <v>45964</v>
      </c>
      <c r="O203" s="117">
        <f t="shared" ca="1" si="13"/>
        <v>45965</v>
      </c>
      <c r="P203" s="117">
        <f t="shared" ca="1" si="13"/>
        <v>45966</v>
      </c>
      <c r="Q203" s="117">
        <f t="shared" ca="1" si="13"/>
        <v>45967</v>
      </c>
      <c r="R203" s="117">
        <f t="shared" ca="1" si="13"/>
        <v>45968</v>
      </c>
      <c r="S203" s="117">
        <f t="shared" ca="1" si="13"/>
        <v>45971</v>
      </c>
      <c r="T203" s="117">
        <f t="shared" ca="1" si="13"/>
        <v>45972</v>
      </c>
      <c r="U203" s="117">
        <f t="shared" ca="1" si="13"/>
        <v>45973</v>
      </c>
      <c r="V203" s="117">
        <f t="shared" ca="1" si="13"/>
        <v>45974</v>
      </c>
      <c r="W203" s="117">
        <f t="shared" ca="1" si="13"/>
        <v>45975</v>
      </c>
      <c r="X203" s="117">
        <f t="shared" ca="1" si="13"/>
        <v>45978</v>
      </c>
      <c r="Y203" s="117">
        <f t="shared" ca="1" si="13"/>
        <v>45979</v>
      </c>
      <c r="Z203" s="117">
        <f t="shared" ca="1" si="13"/>
        <v>45980</v>
      </c>
      <c r="AA203" s="275"/>
      <c r="AB203" s="117">
        <f t="shared" ref="AB203:AV203" ca="1" si="14">F203</f>
        <v>45952</v>
      </c>
      <c r="AC203" s="117">
        <f t="shared" ca="1" si="14"/>
        <v>45953</v>
      </c>
      <c r="AD203" s="117">
        <f t="shared" ca="1" si="14"/>
        <v>45954</v>
      </c>
      <c r="AE203" s="117">
        <f t="shared" ca="1" si="14"/>
        <v>45957</v>
      </c>
      <c r="AF203" s="117">
        <f t="shared" ca="1" si="14"/>
        <v>45958</v>
      </c>
      <c r="AG203" s="117">
        <f t="shared" ca="1" si="14"/>
        <v>45959</v>
      </c>
      <c r="AH203" s="117">
        <f t="shared" ca="1" si="14"/>
        <v>45960</v>
      </c>
      <c r="AI203" s="117">
        <f t="shared" ca="1" si="14"/>
        <v>45961</v>
      </c>
      <c r="AJ203" s="117">
        <f t="shared" ca="1" si="14"/>
        <v>45964</v>
      </c>
      <c r="AK203" s="117">
        <f t="shared" ca="1" si="14"/>
        <v>45965</v>
      </c>
      <c r="AL203" s="117">
        <f t="shared" ca="1" si="14"/>
        <v>45966</v>
      </c>
      <c r="AM203" s="117">
        <f t="shared" ca="1" si="14"/>
        <v>45967</v>
      </c>
      <c r="AN203" s="117">
        <f t="shared" ca="1" si="14"/>
        <v>45968</v>
      </c>
      <c r="AO203" s="117">
        <f t="shared" ca="1" si="14"/>
        <v>45971</v>
      </c>
      <c r="AP203" s="117">
        <f t="shared" ca="1" si="14"/>
        <v>45972</v>
      </c>
      <c r="AQ203" s="117">
        <f t="shared" ca="1" si="14"/>
        <v>45973</v>
      </c>
      <c r="AR203" s="117">
        <f t="shared" ca="1" si="14"/>
        <v>45974</v>
      </c>
      <c r="AS203" s="117">
        <f t="shared" ca="1" si="14"/>
        <v>45975</v>
      </c>
      <c r="AT203" s="117">
        <f t="shared" ca="1" si="14"/>
        <v>45978</v>
      </c>
      <c r="AU203" s="117">
        <f t="shared" ca="1" si="14"/>
        <v>45979</v>
      </c>
      <c r="AV203" s="117">
        <f t="shared" ca="1" si="14"/>
        <v>45980</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247.77</v>
      </c>
      <c r="G205" s="243">
        <v>249.4</v>
      </c>
      <c r="H205" s="243">
        <v>247.45</v>
      </c>
      <c r="I205" s="243">
        <v>252.29</v>
      </c>
      <c r="J205" s="243">
        <v>262.24</v>
      </c>
      <c r="K205" s="243">
        <v>262.77</v>
      </c>
      <c r="L205" s="243">
        <v>258.45</v>
      </c>
      <c r="M205" s="243">
        <v>258.45</v>
      </c>
      <c r="N205" s="243">
        <v>259.58</v>
      </c>
      <c r="O205" s="243">
        <v>262.82</v>
      </c>
      <c r="P205" s="243">
        <v>268.81</v>
      </c>
      <c r="Q205" s="243">
        <v>269</v>
      </c>
      <c r="R205" s="243">
        <v>271.39999999999998</v>
      </c>
      <c r="S205" s="243">
        <v>270.02999999999997</v>
      </c>
      <c r="T205" s="243">
        <v>270.14</v>
      </c>
      <c r="U205" s="243">
        <v>270.5</v>
      </c>
      <c r="V205" s="243">
        <v>267.99700000000001</v>
      </c>
      <c r="W205" s="243">
        <v>272.41000000000003</v>
      </c>
      <c r="X205" s="243">
        <v>267.44</v>
      </c>
      <c r="Y205" s="243">
        <v>270.02999999999997</v>
      </c>
      <c r="Z205" s="245">
        <f ca="1">[1]ExtEntry!$H3</f>
        <v>270.02999999999997</v>
      </c>
      <c r="AB205" s="260">
        <v>-5.4315446428571433E-3</v>
      </c>
      <c r="AC205" s="260">
        <v>-5.2095327380952388E-3</v>
      </c>
      <c r="AD205" s="260">
        <v>-5.9369910714285722E-3</v>
      </c>
      <c r="AE205" s="260">
        <v>-4.5423476190476174E-3</v>
      </c>
      <c r="AF205" s="260">
        <v>-7.351392857142874E-4</v>
      </c>
      <c r="AG205" s="260">
        <v>2.8938785714285719E-3</v>
      </c>
      <c r="AH205" s="260">
        <v>5.2251761904761902E-3</v>
      </c>
      <c r="AI205" s="260">
        <v>2.4282238095238093E-3</v>
      </c>
      <c r="AJ205" s="260">
        <v>2.3142464285714295E-3</v>
      </c>
      <c r="AK205" s="260">
        <v>3.3183595238095239E-3</v>
      </c>
      <c r="AL205" s="260">
        <v>5.7680678571428584E-3</v>
      </c>
      <c r="AM205" s="260">
        <v>2.9779511904761912E-3</v>
      </c>
      <c r="AN205" s="260">
        <v>-1.4267583333333325E-3</v>
      </c>
      <c r="AO205" s="260">
        <v>-1.2442285714285711E-3</v>
      </c>
      <c r="AP205" s="260">
        <v>1.1526160714285714E-3</v>
      </c>
      <c r="AQ205" s="260">
        <v>3.4755744047619045E-3</v>
      </c>
      <c r="AR205" s="260">
        <v>2.3815696428571413E-3</v>
      </c>
      <c r="AS205" s="260">
        <v>9.6159345238095231E-4</v>
      </c>
      <c r="AT205" s="260">
        <v>-2.6348776190476203E-3</v>
      </c>
      <c r="AU205" s="260">
        <v>-2.7156800000000016E-3</v>
      </c>
      <c r="AV205" s="260">
        <f t="shared" ref="AV205:AV210" ca="1" si="16">AVERAGE(S704:Z704)-AVERAGE(F704:Z704)</f>
        <v>-2.2901978571428583E-3</v>
      </c>
      <c r="AX205" s="88" t="str">
        <f t="shared" ref="AX205:AX236" ca="1" si="17">A205</f>
        <v>AAPL</v>
      </c>
      <c r="EH205" s="110"/>
    </row>
    <row r="206" spans="1:159" x14ac:dyDescent="0.3">
      <c r="A206" s="88" t="str">
        <f t="shared" ca="1" si="15"/>
        <v>ADEA</v>
      </c>
      <c r="F206" s="251">
        <v>16.579999999999998</v>
      </c>
      <c r="G206" s="251">
        <v>17.18</v>
      </c>
      <c r="H206" s="251">
        <v>16.61</v>
      </c>
      <c r="I206" s="251">
        <v>16.559999999999999</v>
      </c>
      <c r="J206" s="251">
        <v>16.79</v>
      </c>
      <c r="K206" s="251">
        <v>17.010000000000002</v>
      </c>
      <c r="L206" s="251">
        <v>16.82</v>
      </c>
      <c r="M206" s="251">
        <v>16.82</v>
      </c>
      <c r="N206" s="251">
        <v>16.77</v>
      </c>
      <c r="O206" s="251">
        <v>17.100000000000001</v>
      </c>
      <c r="P206" s="251">
        <v>17.64</v>
      </c>
      <c r="Q206" s="251">
        <v>17.73</v>
      </c>
      <c r="R206" s="251">
        <v>17.12</v>
      </c>
      <c r="S206" s="251">
        <v>12.725</v>
      </c>
      <c r="T206" s="251">
        <v>13.78</v>
      </c>
      <c r="U206" s="251">
        <v>13.935</v>
      </c>
      <c r="V206" s="251">
        <v>14.045</v>
      </c>
      <c r="W206" s="251">
        <v>12.86</v>
      </c>
      <c r="X206" s="251">
        <v>12.35</v>
      </c>
      <c r="Y206" s="251">
        <v>12.26</v>
      </c>
      <c r="Z206" s="245">
        <f ca="1">[1]ExtEntry!$H4</f>
        <v>12.26</v>
      </c>
      <c r="AB206" s="263">
        <v>-5.7362261904761874E-3</v>
      </c>
      <c r="AC206" s="263">
        <v>-5.0746428571428548E-3</v>
      </c>
      <c r="AD206" s="263">
        <v>-7.6003630952380949E-3</v>
      </c>
      <c r="AE206" s="263">
        <v>1.2211904761904758E-3</v>
      </c>
      <c r="AF206" s="263">
        <v>6.491142857142855E-3</v>
      </c>
      <c r="AG206" s="263">
        <v>8.584273809523809E-3</v>
      </c>
      <c r="AH206" s="263">
        <v>9.0274226190476189E-3</v>
      </c>
      <c r="AI206" s="263">
        <v>7.6200654761904747E-3</v>
      </c>
      <c r="AJ206" s="263">
        <v>7.1809523809523686E-4</v>
      </c>
      <c r="AK206" s="263">
        <v>-2.7917023809523813E-3</v>
      </c>
      <c r="AL206" s="263">
        <v>4.9149404761904755E-3</v>
      </c>
      <c r="AM206" s="263">
        <v>5.1767023809523825E-3</v>
      </c>
      <c r="AN206" s="263">
        <v>1.5294047619047622E-3</v>
      </c>
      <c r="AO206" s="263">
        <v>-7.8092083333333338E-3</v>
      </c>
      <c r="AP206" s="263">
        <v>4.7904166666666841E-4</v>
      </c>
      <c r="AQ206" s="263">
        <v>2.6631964285714323E-3</v>
      </c>
      <c r="AR206" s="263">
        <v>8.510000000000016E-4</v>
      </c>
      <c r="AS206" s="263">
        <v>-4.7901845238095212E-3</v>
      </c>
      <c r="AT206" s="263">
        <v>-9.4571726190476168E-3</v>
      </c>
      <c r="AU206" s="263">
        <v>-1.1004273809523809E-2</v>
      </c>
      <c r="AV206" s="260">
        <f t="shared" ca="1" si="16"/>
        <v>-8.0377857142857126E-3</v>
      </c>
      <c r="AX206" s="88" t="str">
        <f t="shared" ca="1" si="17"/>
        <v>ADEA</v>
      </c>
    </row>
    <row r="207" spans="1:159" x14ac:dyDescent="0.3">
      <c r="A207" s="88" t="str">
        <f t="shared" ca="1" si="15"/>
        <v>AET</v>
      </c>
      <c r="F207" s="243">
        <v>42.9</v>
      </c>
      <c r="G207" s="243">
        <v>42.1</v>
      </c>
      <c r="H207" s="243">
        <v>41</v>
      </c>
      <c r="I207" s="243">
        <v>42</v>
      </c>
      <c r="J207" s="243">
        <v>42.3</v>
      </c>
      <c r="K207" s="243">
        <v>43</v>
      </c>
      <c r="L207" s="243">
        <v>43.4</v>
      </c>
      <c r="M207" s="243">
        <v>43.4</v>
      </c>
      <c r="N207" s="243">
        <v>44.4</v>
      </c>
      <c r="O207" s="243">
        <v>45.8</v>
      </c>
      <c r="P207" s="243">
        <v>44.8</v>
      </c>
      <c r="Q207" s="243">
        <v>43.8</v>
      </c>
      <c r="R207" s="243">
        <v>45</v>
      </c>
      <c r="S207" s="243">
        <v>45</v>
      </c>
      <c r="T207" s="243">
        <v>46</v>
      </c>
      <c r="U207" s="243">
        <v>44.4</v>
      </c>
      <c r="V207" s="243">
        <v>44.7</v>
      </c>
      <c r="W207" s="243">
        <v>45.2</v>
      </c>
      <c r="X207" s="243">
        <v>45</v>
      </c>
      <c r="Y207" s="243">
        <v>45</v>
      </c>
      <c r="Z207" s="245">
        <f ca="1">[1]ExtEntry!$H5</f>
        <v>45</v>
      </c>
      <c r="AB207" s="260">
        <v>1.9749464285714288E-3</v>
      </c>
      <c r="AC207" s="260">
        <v>-1.4276249999999983E-3</v>
      </c>
      <c r="AD207" s="260">
        <v>-1.7680238095238087E-3</v>
      </c>
      <c r="AE207" s="260">
        <v>3.4806071428571438E-3</v>
      </c>
      <c r="AF207" s="260">
        <v>2.709386904761905E-3</v>
      </c>
      <c r="AG207" s="260">
        <v>5.0910595238095237E-3</v>
      </c>
      <c r="AH207" s="260">
        <v>5.8952976190476186E-3</v>
      </c>
      <c r="AI207" s="260">
        <v>3.9242559523809534E-3</v>
      </c>
      <c r="AJ207" s="260">
        <v>7.245988095238097E-3</v>
      </c>
      <c r="AK207" s="260">
        <v>1.2207440476190476E-2</v>
      </c>
      <c r="AL207" s="260">
        <v>1.3594190476190478E-2</v>
      </c>
      <c r="AM207" s="260">
        <v>7.9610773809523847E-3</v>
      </c>
      <c r="AN207" s="260">
        <v>8.3878988095238104E-3</v>
      </c>
      <c r="AO207" s="260">
        <v>-4.5262500000000164E-4</v>
      </c>
      <c r="AP207" s="260">
        <v>7.0951785714285431E-4</v>
      </c>
      <c r="AQ207" s="260">
        <v>-4.141011904761906E-3</v>
      </c>
      <c r="AR207" s="260">
        <v>-7.4062738095238096E-3</v>
      </c>
      <c r="AS207" s="260">
        <v>-1.2919827380952383E-2</v>
      </c>
      <c r="AT207" s="260">
        <v>-1.1011577380952382E-2</v>
      </c>
      <c r="AU207" s="260">
        <v>-8.6642142857142872E-3</v>
      </c>
      <c r="AV207" s="260">
        <f t="shared" ca="1" si="16"/>
        <v>-8.8122440476190479E-3</v>
      </c>
      <c r="AX207" s="88" t="str">
        <f t="shared" ca="1" si="17"/>
        <v>AET</v>
      </c>
    </row>
    <row r="208" spans="1:159" x14ac:dyDescent="0.3">
      <c r="A208" s="88" t="str">
        <f t="shared" ca="1" si="15"/>
        <v>AMZN</v>
      </c>
      <c r="F208" s="251">
        <v>216.39</v>
      </c>
      <c r="G208" s="251">
        <v>215.16</v>
      </c>
      <c r="H208" s="251">
        <v>214.47</v>
      </c>
      <c r="I208" s="251">
        <v>213.04</v>
      </c>
      <c r="J208" s="251">
        <v>216.48</v>
      </c>
      <c r="K208" s="251">
        <v>222.03</v>
      </c>
      <c r="L208" s="251">
        <v>217.95</v>
      </c>
      <c r="M208" s="251">
        <v>217.95</v>
      </c>
      <c r="N208" s="251">
        <v>221.09</v>
      </c>
      <c r="O208" s="251">
        <v>224.21</v>
      </c>
      <c r="P208" s="251">
        <v>226.97</v>
      </c>
      <c r="Q208" s="251">
        <v>229.25</v>
      </c>
      <c r="R208" s="251">
        <v>222.86</v>
      </c>
      <c r="S208" s="251">
        <v>248.82</v>
      </c>
      <c r="T208" s="251">
        <v>250.2</v>
      </c>
      <c r="U208" s="251">
        <v>243.8064</v>
      </c>
      <c r="V208" s="251">
        <v>244.56</v>
      </c>
      <c r="W208" s="251">
        <v>234.69</v>
      </c>
      <c r="X208" s="251">
        <v>222.55</v>
      </c>
      <c r="Y208" s="251">
        <v>221.18199999999999</v>
      </c>
      <c r="Z208" s="245">
        <f ca="1">[1]ExtEntry!$H6</f>
        <v>221.18199999999999</v>
      </c>
      <c r="AB208" s="263">
        <v>3.9488571428571428E-3</v>
      </c>
      <c r="AC208" s="263">
        <v>3.1851428571428577E-3</v>
      </c>
      <c r="AD208" s="263">
        <v>4.9592380952380947E-3</v>
      </c>
      <c r="AE208" s="263">
        <v>3.8650714285714287E-3</v>
      </c>
      <c r="AF208" s="263">
        <v>3.2271428571428572E-3</v>
      </c>
      <c r="AG208" s="263">
        <v>3.863809523809525E-3</v>
      </c>
      <c r="AH208" s="263">
        <v>4.3432738095238165E-4</v>
      </c>
      <c r="AI208" s="263">
        <v>-4.5727440476190477E-3</v>
      </c>
      <c r="AJ208" s="263">
        <v>-1.4755238095238085E-3</v>
      </c>
      <c r="AK208" s="263">
        <v>-1.1849999999999881E-4</v>
      </c>
      <c r="AL208" s="263">
        <v>1.8277440476190481E-3</v>
      </c>
      <c r="AM208" s="263">
        <v>3.7093928571428577E-3</v>
      </c>
      <c r="AN208" s="263">
        <v>-1.3661369047619043E-3</v>
      </c>
      <c r="AO208" s="263">
        <v>-5.9189642857142852E-3</v>
      </c>
      <c r="AP208" s="263">
        <v>-2.9646190476190484E-3</v>
      </c>
      <c r="AQ208" s="263">
        <v>-3.2659166666666665E-3</v>
      </c>
      <c r="AR208" s="263">
        <v>-4.393136904761904E-3</v>
      </c>
      <c r="AS208" s="263">
        <v>-6.3597797619047627E-3</v>
      </c>
      <c r="AT208" s="263">
        <v>-1.0795011904761906E-2</v>
      </c>
      <c r="AU208" s="263">
        <v>-1.1993488095238099E-2</v>
      </c>
      <c r="AV208" s="260">
        <f t="shared" ca="1" si="16"/>
        <v>-7.6166130952380956E-3</v>
      </c>
      <c r="AX208" s="88" t="str">
        <f t="shared" ca="1" si="17"/>
        <v>AMZN</v>
      </c>
    </row>
    <row r="209" spans="1:50" hidden="1" x14ac:dyDescent="0.3">
      <c r="A209" s="88" t="str">
        <f t="shared" ca="1" si="15"/>
        <v>ALDNE</v>
      </c>
      <c r="F209" s="243">
        <v>0.84</v>
      </c>
      <c r="G209" s="243">
        <v>0.83799999999999997</v>
      </c>
      <c r="H209" s="243">
        <v>0.83</v>
      </c>
      <c r="I209" s="243">
        <v>0.83</v>
      </c>
      <c r="J209" s="243">
        <v>0.82</v>
      </c>
      <c r="K209" s="243">
        <v>0.83</v>
      </c>
      <c r="L209" s="243">
        <v>0.84</v>
      </c>
      <c r="M209" s="243">
        <v>0.84</v>
      </c>
      <c r="N209" s="243">
        <v>0.83799999999999997</v>
      </c>
      <c r="O209" s="243">
        <v>0.82599999999999996</v>
      </c>
      <c r="P209" s="243">
        <v>0.81799999999999995</v>
      </c>
      <c r="Q209" s="243">
        <v>0.82</v>
      </c>
      <c r="R209" s="243">
        <v>0.81</v>
      </c>
      <c r="S209" s="243">
        <v>0.78800000000000003</v>
      </c>
      <c r="T209" s="243">
        <v>0.79</v>
      </c>
      <c r="U209" s="243">
        <v>0.78200000000000003</v>
      </c>
      <c r="V209" s="243">
        <v>0.78</v>
      </c>
      <c r="W209" s="243">
        <v>0.66600000000000004</v>
      </c>
      <c r="X209" s="243">
        <v>0.67</v>
      </c>
      <c r="Y209" s="243">
        <v>0.68799999999999994</v>
      </c>
      <c r="Z209" s="245">
        <f ca="1">[1]ExtEntry!$H7</f>
        <v>0.68799999999999994</v>
      </c>
      <c r="AB209" s="260">
        <v>-1.2078869047619052E-3</v>
      </c>
      <c r="AC209" s="260">
        <v>2.8369047619046604E-5</v>
      </c>
      <c r="AD209" s="260">
        <v>-5.3001190476190596E-4</v>
      </c>
      <c r="AE209" s="260">
        <v>-1.8170119047619055E-3</v>
      </c>
      <c r="AF209" s="260">
        <v>-1.2831964285714291E-3</v>
      </c>
      <c r="AG209" s="260">
        <v>-1.5520595238095246E-3</v>
      </c>
      <c r="AH209" s="260">
        <v>8.5065476190476178E-4</v>
      </c>
      <c r="AI209" s="260">
        <v>-2.8253452380952388E-3</v>
      </c>
      <c r="AJ209" s="260">
        <v>-3.4294404761904766E-3</v>
      </c>
      <c r="AK209" s="260">
        <v>-2.9002440476190482E-3</v>
      </c>
      <c r="AL209" s="260">
        <v>-2.1009226190476203E-3</v>
      </c>
      <c r="AM209" s="260">
        <v>1.3804642857142856E-3</v>
      </c>
      <c r="AN209" s="260">
        <v>5.3591666666666675E-3</v>
      </c>
      <c r="AO209" s="260">
        <v>4.297196428571428E-3</v>
      </c>
      <c r="AP209" s="260">
        <v>2.4464464285714285E-3</v>
      </c>
      <c r="AQ209" s="260">
        <v>4.7333333333333147E-5</v>
      </c>
      <c r="AR209" s="260">
        <v>1.4701785714285717E-4</v>
      </c>
      <c r="AS209" s="260">
        <v>-4.8869821428571426E-3</v>
      </c>
      <c r="AT209" s="260">
        <v>-4.8143214285714282E-3</v>
      </c>
      <c r="AU209" s="260">
        <v>-4.2095595238095234E-3</v>
      </c>
      <c r="AV209" s="260">
        <f t="shared" ca="1" si="16"/>
        <v>-7.1159226190476189E-3</v>
      </c>
      <c r="AX209" s="88" t="str">
        <f t="shared" ca="1" si="17"/>
        <v>ALDNE</v>
      </c>
    </row>
    <row r="210" spans="1:50" hidden="1" x14ac:dyDescent="0.3">
      <c r="A210" s="88" t="str">
        <f t="shared" ca="1" si="15"/>
        <v>ASML</v>
      </c>
      <c r="F210" s="251">
        <v>846.6</v>
      </c>
      <c r="G210" s="251">
        <v>873</v>
      </c>
      <c r="H210" s="251">
        <v>877.4</v>
      </c>
      <c r="I210" s="251">
        <v>875.7</v>
      </c>
      <c r="J210" s="251">
        <v>899</v>
      </c>
      <c r="K210" s="251">
        <v>889.8</v>
      </c>
      <c r="L210" s="251">
        <v>870.1</v>
      </c>
      <c r="M210" s="251">
        <v>870.1</v>
      </c>
      <c r="N210" s="251">
        <v>887.7</v>
      </c>
      <c r="O210" s="251">
        <v>894.4</v>
      </c>
      <c r="P210" s="251">
        <v>908.1</v>
      </c>
      <c r="Q210" s="251">
        <v>907.4</v>
      </c>
      <c r="R210" s="251">
        <v>937.5</v>
      </c>
      <c r="S210" s="251">
        <v>918</v>
      </c>
      <c r="T210" s="251">
        <v>906.6</v>
      </c>
      <c r="U210" s="251">
        <v>895.3</v>
      </c>
      <c r="V210" s="251">
        <v>870.8</v>
      </c>
      <c r="W210" s="251">
        <v>874.1</v>
      </c>
      <c r="X210" s="251">
        <v>859.4</v>
      </c>
      <c r="Y210" s="251">
        <v>886.6</v>
      </c>
      <c r="Z210" s="245">
        <f ca="1">[1]ExtEntry!$H8</f>
        <v>886.6</v>
      </c>
      <c r="AB210" s="263">
        <v>-7.6093107142857124E-3</v>
      </c>
      <c r="AC210" s="263">
        <v>-7.8405488095238084E-3</v>
      </c>
      <c r="AD210" s="263">
        <v>-7.5781976190476162E-3</v>
      </c>
      <c r="AE210" s="263">
        <v>-9.1088214285714366E-4</v>
      </c>
      <c r="AF210" s="263">
        <v>4.4165023809523809E-3</v>
      </c>
      <c r="AG210" s="263">
        <v>3.9000952380952398E-3</v>
      </c>
      <c r="AH210" s="263">
        <v>4.3160833333333358E-3</v>
      </c>
      <c r="AI210" s="263">
        <v>-1.4913095238095245E-3</v>
      </c>
      <c r="AJ210" s="263">
        <v>-9.9660119047619185E-4</v>
      </c>
      <c r="AK210" s="263">
        <v>-4.0924821428571434E-3</v>
      </c>
      <c r="AL210" s="263">
        <v>-3.4726369047619055E-3</v>
      </c>
      <c r="AM210" s="263">
        <v>-2.4095154761904769E-3</v>
      </c>
      <c r="AN210" s="263">
        <v>-4.0619916666666672E-3</v>
      </c>
      <c r="AO210" s="263">
        <v>-2.7278249999999988E-3</v>
      </c>
      <c r="AP210" s="263">
        <v>1.1275202380952383E-3</v>
      </c>
      <c r="AQ210" s="263">
        <v>3.0662107142857154E-3</v>
      </c>
      <c r="AR210" s="263">
        <v>-2.7738666666666666E-3</v>
      </c>
      <c r="AS210" s="263">
        <v>-5.6189797619047629E-3</v>
      </c>
      <c r="AT210" s="263">
        <v>-8.1998190476190499E-3</v>
      </c>
      <c r="AU210" s="263">
        <v>-6.8668654761904774E-3</v>
      </c>
      <c r="AV210" s="260">
        <f t="shared" ca="1" si="16"/>
        <v>-5.6893535714285723E-3</v>
      </c>
      <c r="AX210" s="88" t="str">
        <f t="shared" ca="1" si="17"/>
        <v>ASML</v>
      </c>
    </row>
    <row r="211" spans="1:50" hidden="1" x14ac:dyDescent="0.3">
      <c r="A211" s="88" t="str">
        <f t="shared" ca="1" si="15"/>
        <v>AVGO</v>
      </c>
      <c r="F211" s="251">
        <v>344.13</v>
      </c>
      <c r="G211" s="251">
        <v>350.79</v>
      </c>
      <c r="H211" s="251">
        <v>354.15</v>
      </c>
      <c r="I211" s="251">
        <v>349.33</v>
      </c>
      <c r="J211" s="251">
        <v>349.24</v>
      </c>
      <c r="K211" s="251">
        <v>342.66</v>
      </c>
      <c r="L211" s="251">
        <v>340.3</v>
      </c>
      <c r="M211" s="251">
        <v>340.3</v>
      </c>
      <c r="N211" s="251">
        <v>344.29</v>
      </c>
      <c r="O211" s="251">
        <v>354.13</v>
      </c>
      <c r="P211" s="251">
        <v>362.05</v>
      </c>
      <c r="Q211" s="251">
        <v>372.97</v>
      </c>
      <c r="R211" s="251">
        <v>376.47</v>
      </c>
      <c r="S211" s="251">
        <v>352.2389</v>
      </c>
      <c r="T211" s="251">
        <v>358.98</v>
      </c>
      <c r="U211" s="251">
        <v>355.6</v>
      </c>
      <c r="V211" s="251">
        <v>347.38499999999999</v>
      </c>
      <c r="W211" s="251">
        <v>342.46</v>
      </c>
      <c r="X211" s="251">
        <v>340.5</v>
      </c>
      <c r="Y211" s="251">
        <v>347.97</v>
      </c>
      <c r="Z211" s="245">
        <f ca="1">[1]ExtEntry!$H9</f>
        <v>347.97</v>
      </c>
      <c r="AB211" s="260">
        <v>-1.697034523809524E-3</v>
      </c>
      <c r="AC211" s="260">
        <v>-1.7078916666666661E-3</v>
      </c>
      <c r="AD211" s="260">
        <v>-5.3996357142857138E-3</v>
      </c>
      <c r="AE211" s="260">
        <v>-5.5414095238095233E-3</v>
      </c>
      <c r="AF211" s="260">
        <v>-6.0654571428571426E-3</v>
      </c>
      <c r="AG211" s="260">
        <v>-6.6555047619047611E-3</v>
      </c>
      <c r="AH211" s="260">
        <v>-5.2009035714285709E-3</v>
      </c>
      <c r="AI211" s="260">
        <v>-5.9161916666666649E-3</v>
      </c>
      <c r="AJ211" s="260">
        <v>-7.2286011904761907E-3</v>
      </c>
      <c r="AK211" s="260">
        <v>-8.2299999999999977E-3</v>
      </c>
      <c r="AL211" s="260">
        <v>-5.8921607142857135E-3</v>
      </c>
      <c r="AM211" s="260">
        <v>-8.3802619047619025E-3</v>
      </c>
      <c r="AN211" s="260">
        <v>-5.4027142857142859E-3</v>
      </c>
      <c r="AO211" s="260">
        <v>5.3070833333333323E-4</v>
      </c>
      <c r="AP211" s="260">
        <v>-1.0155714285714286E-3</v>
      </c>
      <c r="AQ211" s="260">
        <v>2.0408750000000006E-3</v>
      </c>
      <c r="AR211" s="260">
        <v>3.0226285714285714E-3</v>
      </c>
      <c r="AS211" s="260">
        <v>3.3437059523809521E-3</v>
      </c>
      <c r="AT211" s="260">
        <v>2.1283071428571431E-3</v>
      </c>
      <c r="AU211" s="260">
        <v>3.593819047619047E-3</v>
      </c>
      <c r="AV211" s="260">
        <f t="shared" ref="AV211:AV249" ca="1" si="18">AVERAGE(S711:Z711)-AVERAGE(F711:Z711)</f>
        <v>2.9141833333333339E-3</v>
      </c>
      <c r="AX211" s="88" t="str">
        <f t="shared" ca="1" si="17"/>
        <v>AVGO</v>
      </c>
    </row>
    <row r="212" spans="1:50" hidden="1" x14ac:dyDescent="0.3">
      <c r="A212" s="88" t="str">
        <f t="shared" ca="1" si="15"/>
        <v>AZN</v>
      </c>
      <c r="F212" s="251">
        <v>85.12</v>
      </c>
      <c r="G212" s="251">
        <v>84.944999999999993</v>
      </c>
      <c r="H212" s="251">
        <v>83.83</v>
      </c>
      <c r="I212" s="251">
        <v>84.69</v>
      </c>
      <c r="J212" s="251">
        <v>83.87</v>
      </c>
      <c r="K212" s="251">
        <v>83.22</v>
      </c>
      <c r="L212" s="251">
        <v>83.43</v>
      </c>
      <c r="M212" s="251">
        <v>83.43</v>
      </c>
      <c r="N212" s="251">
        <v>83.4</v>
      </c>
      <c r="O212" s="251">
        <v>83.29</v>
      </c>
      <c r="P212" s="251">
        <v>84.06</v>
      </c>
      <c r="Q212" s="251">
        <v>82.61</v>
      </c>
      <c r="R212" s="251">
        <v>82.34</v>
      </c>
      <c r="S212" s="251">
        <v>81.955100000000002</v>
      </c>
      <c r="T212" s="251">
        <v>81.150000000000006</v>
      </c>
      <c r="U212" s="251">
        <v>83.694999999999993</v>
      </c>
      <c r="V212" s="251">
        <v>84.555000000000007</v>
      </c>
      <c r="W212" s="251">
        <v>89.1</v>
      </c>
      <c r="X212" s="251">
        <v>89.55</v>
      </c>
      <c r="Y212" s="251">
        <v>88.970100000000002</v>
      </c>
      <c r="Z212" s="245">
        <f ca="1">[1]ExtEntry!$H10</f>
        <v>88.970100000000002</v>
      </c>
      <c r="AB212" s="263">
        <v>1.9340202380952382E-2</v>
      </c>
      <c r="AC212" s="263">
        <v>2.1455517857142857E-2</v>
      </c>
      <c r="AD212" s="263">
        <v>-8.4839642857142874E-3</v>
      </c>
      <c r="AE212" s="263">
        <v>-6.7527976190476166E-3</v>
      </c>
      <c r="AF212" s="263">
        <v>-3.6698154761904776E-3</v>
      </c>
      <c r="AG212" s="263">
        <v>-7.3864166666666713E-3</v>
      </c>
      <c r="AH212" s="263">
        <v>-7.5968392857142884E-3</v>
      </c>
      <c r="AI212" s="263">
        <v>-1.6507083333333339E-2</v>
      </c>
      <c r="AJ212" s="263">
        <v>-3.2915636904761916E-2</v>
      </c>
      <c r="AK212" s="263">
        <v>-2.3658065476190475E-2</v>
      </c>
      <c r="AL212" s="263">
        <v>-2.4266285714285712E-2</v>
      </c>
      <c r="AM212" s="263">
        <v>-2.3004065476190477E-2</v>
      </c>
      <c r="AN212" s="263">
        <v>-2.5881946428571431E-2</v>
      </c>
      <c r="AO212" s="263">
        <v>-1.4621107142857144E-2</v>
      </c>
      <c r="AP212" s="263">
        <v>-7.762815476190477E-3</v>
      </c>
      <c r="AQ212" s="263">
        <v>3.3687380952380961E-3</v>
      </c>
      <c r="AR212" s="263">
        <v>1.6909880952380954E-3</v>
      </c>
      <c r="AS212" s="263">
        <v>-8.5500892857142859E-3</v>
      </c>
      <c r="AT212" s="263">
        <v>-8.2556130952380936E-3</v>
      </c>
      <c r="AU212" s="263">
        <v>-1.0904392857142856E-2</v>
      </c>
      <c r="AV212" s="260">
        <f t="shared" ca="1" si="18"/>
        <v>-5.4547738095238087E-3</v>
      </c>
      <c r="AX212" s="88" t="str">
        <f t="shared" ca="1" si="17"/>
        <v>AZN</v>
      </c>
    </row>
    <row r="213" spans="1:50" hidden="1" x14ac:dyDescent="0.3">
      <c r="A213" s="88" t="str">
        <f t="shared" ca="1" si="15"/>
        <v>BLDP</v>
      </c>
      <c r="F213" s="251">
        <v>3.98</v>
      </c>
      <c r="G213" s="251">
        <v>3.7749999999999999</v>
      </c>
      <c r="H213" s="251">
        <v>3.67</v>
      </c>
      <c r="I213" s="251">
        <v>3.63</v>
      </c>
      <c r="J213" s="251">
        <v>3.64</v>
      </c>
      <c r="K213" s="251">
        <v>3.33</v>
      </c>
      <c r="L213" s="251">
        <v>3.28</v>
      </c>
      <c r="M213" s="251">
        <v>3.28</v>
      </c>
      <c r="N213" s="251">
        <v>3.28</v>
      </c>
      <c r="O213" s="251">
        <v>3.44</v>
      </c>
      <c r="P213" s="251">
        <v>3.41</v>
      </c>
      <c r="Q213" s="251">
        <v>3.44</v>
      </c>
      <c r="R213" s="251">
        <v>3.44</v>
      </c>
      <c r="S213" s="251">
        <v>3.395</v>
      </c>
      <c r="T213" s="251">
        <v>3.65</v>
      </c>
      <c r="U213" s="251">
        <v>3.57</v>
      </c>
      <c r="V213" s="251">
        <v>3.4849999999999999</v>
      </c>
      <c r="W213" s="251">
        <v>3.03</v>
      </c>
      <c r="X213" s="251">
        <v>2.89</v>
      </c>
      <c r="Y213" s="251">
        <v>2.8420000000000001</v>
      </c>
      <c r="Z213" s="245">
        <f ca="1">[1]ExtEntry!$H11</f>
        <v>2.8420000000000001</v>
      </c>
      <c r="AB213" s="260">
        <v>7.8685357142857133E-3</v>
      </c>
      <c r="AC213" s="260">
        <v>1.0150636904761904E-2</v>
      </c>
      <c r="AD213" s="260">
        <v>1.2556726190476189E-2</v>
      </c>
      <c r="AE213" s="260">
        <v>1.4534815476190475E-2</v>
      </c>
      <c r="AF213" s="260">
        <v>1.5596928571428571E-2</v>
      </c>
      <c r="AG213" s="260">
        <v>1.3730184523809521E-2</v>
      </c>
      <c r="AH213" s="260">
        <v>3.3362023809523798E-3</v>
      </c>
      <c r="AI213" s="260">
        <v>-2.5795119047619065E-3</v>
      </c>
      <c r="AJ213" s="260">
        <v>-5.6765654761904757E-3</v>
      </c>
      <c r="AK213" s="260">
        <v>-5.2790535714285734E-3</v>
      </c>
      <c r="AL213" s="260">
        <v>-1.1665005952380953E-2</v>
      </c>
      <c r="AM213" s="260">
        <v>-1.1203386904761907E-2</v>
      </c>
      <c r="AN213" s="260">
        <v>-1.8242154761904762E-2</v>
      </c>
      <c r="AO213" s="260">
        <v>-2.8182964285714287E-2</v>
      </c>
      <c r="AP213" s="260">
        <v>-1.5529047619047619E-2</v>
      </c>
      <c r="AQ213" s="260">
        <v>-5.9116904761904749E-3</v>
      </c>
      <c r="AR213" s="260">
        <v>-7.6367976190476186E-3</v>
      </c>
      <c r="AS213" s="260">
        <v>-1.1899547619047617E-2</v>
      </c>
      <c r="AT213" s="260">
        <v>-1.2093732142857142E-2</v>
      </c>
      <c r="AU213" s="260">
        <v>-1.0873166666666666E-2</v>
      </c>
      <c r="AV213" s="260">
        <f t="shared" ca="1" si="18"/>
        <v>-1.0732779761904761E-2</v>
      </c>
      <c r="AX213" s="88" t="str">
        <f t="shared" ca="1" si="17"/>
        <v>BLDP</v>
      </c>
    </row>
    <row r="214" spans="1:50" hidden="1" x14ac:dyDescent="0.3">
      <c r="A214" s="88" t="str">
        <f t="shared" ca="1" si="15"/>
        <v>BMRA</v>
      </c>
      <c r="F214" s="251">
        <v>2.88</v>
      </c>
      <c r="G214" s="251">
        <v>2.86</v>
      </c>
      <c r="H214" s="251">
        <v>3.01</v>
      </c>
      <c r="I214" s="251">
        <v>2.98</v>
      </c>
      <c r="J214" s="251">
        <v>3.12</v>
      </c>
      <c r="K214" s="251">
        <v>3.2</v>
      </c>
      <c r="L214" s="251">
        <v>2.93</v>
      </c>
      <c r="M214" s="251">
        <v>2.93</v>
      </c>
      <c r="N214" s="251">
        <v>2.91</v>
      </c>
      <c r="O214" s="251">
        <v>2.96</v>
      </c>
      <c r="P214" s="251">
        <v>2.96</v>
      </c>
      <c r="Q214" s="251">
        <v>2.93</v>
      </c>
      <c r="R214" s="251">
        <v>2.76</v>
      </c>
      <c r="S214" s="251">
        <v>2.48</v>
      </c>
      <c r="T214" s="251">
        <v>2.58</v>
      </c>
      <c r="U214" s="251">
        <v>2.5499999999999998</v>
      </c>
      <c r="V214" s="251">
        <v>2.4975000000000001</v>
      </c>
      <c r="W214" s="251">
        <v>2.41</v>
      </c>
      <c r="X214" s="251">
        <v>2.25</v>
      </c>
      <c r="Y214" s="251">
        <v>2.2149999999999999</v>
      </c>
      <c r="Z214" s="245">
        <f ca="1">[1]ExtEntry!$H12</f>
        <v>2.2149999999999999</v>
      </c>
      <c r="AB214" s="263">
        <v>2.3964047619047619E-3</v>
      </c>
      <c r="AC214" s="263">
        <v>3.8693928571428573E-3</v>
      </c>
      <c r="AD214" s="263">
        <v>1.0983154761904771E-3</v>
      </c>
      <c r="AE214" s="263">
        <v>2.3770833333333343E-3</v>
      </c>
      <c r="AF214" s="263">
        <v>5.6526845238095242E-3</v>
      </c>
      <c r="AG214" s="263">
        <v>5.9682321428571432E-3</v>
      </c>
      <c r="AH214" s="263">
        <v>5.7787440476190482E-3</v>
      </c>
      <c r="AI214" s="263">
        <v>1.1950714285714286E-3</v>
      </c>
      <c r="AJ214" s="263">
        <v>-3.9655714285714294E-3</v>
      </c>
      <c r="AK214" s="263">
        <v>-1.322934523809524E-3</v>
      </c>
      <c r="AL214" s="263">
        <v>5.4273630952380953E-3</v>
      </c>
      <c r="AM214" s="263">
        <v>4.5530892857142862E-3</v>
      </c>
      <c r="AN214" s="263">
        <v>1.7978095238095242E-3</v>
      </c>
      <c r="AO214" s="263">
        <v>1.3156011904761904E-3</v>
      </c>
      <c r="AP214" s="263">
        <v>3.6444404761904765E-3</v>
      </c>
      <c r="AQ214" s="263">
        <v>5.7659226190476167E-3</v>
      </c>
      <c r="AR214" s="263">
        <v>4.9240535714285714E-3</v>
      </c>
      <c r="AS214" s="263">
        <v>1.392446428571428E-3</v>
      </c>
      <c r="AT214" s="263">
        <v>-1.7238214285714287E-3</v>
      </c>
      <c r="AU214" s="263">
        <v>-1.5956190476190475E-3</v>
      </c>
      <c r="AV214" s="260">
        <f t="shared" ca="1" si="18"/>
        <v>-9.1061904761904748E-4</v>
      </c>
      <c r="AX214" s="88" t="str">
        <f t="shared" ca="1" si="17"/>
        <v>BMRA</v>
      </c>
    </row>
    <row r="215" spans="1:50" hidden="1" x14ac:dyDescent="0.3">
      <c r="A215" s="88" t="str">
        <f t="shared" ca="1" si="15"/>
        <v>C</v>
      </c>
      <c r="F215" s="251">
        <v>99.81</v>
      </c>
      <c r="G215" s="251">
        <v>99.247</v>
      </c>
      <c r="H215" s="251">
        <v>96.28</v>
      </c>
      <c r="I215" s="251">
        <v>97.07</v>
      </c>
      <c r="J215" s="251">
        <v>99.29</v>
      </c>
      <c r="K215" s="251">
        <v>98.25</v>
      </c>
      <c r="L215" s="251">
        <v>96.32</v>
      </c>
      <c r="M215" s="251">
        <v>96.32</v>
      </c>
      <c r="N215" s="251">
        <v>96.66</v>
      </c>
      <c r="O215" s="251">
        <v>98.795000000000002</v>
      </c>
      <c r="P215" s="251">
        <v>101.02</v>
      </c>
      <c r="Q215" s="251">
        <v>101.39</v>
      </c>
      <c r="R215" s="251">
        <v>100.24</v>
      </c>
      <c r="S215" s="251">
        <v>100.96</v>
      </c>
      <c r="T215" s="251">
        <v>101.72</v>
      </c>
      <c r="U215" s="251">
        <v>101.01</v>
      </c>
      <c r="V215" s="251">
        <v>100.52</v>
      </c>
      <c r="W215" s="251">
        <v>100.3</v>
      </c>
      <c r="X215" s="251">
        <v>98.32</v>
      </c>
      <c r="Y215" s="251">
        <v>99.6</v>
      </c>
      <c r="Z215" s="245">
        <f ca="1">[1]ExtEntry!$H13</f>
        <v>99.6</v>
      </c>
      <c r="AB215" s="260">
        <v>7.9895119047619038E-4</v>
      </c>
      <c r="AC215" s="260">
        <v>2.8118440476190476E-3</v>
      </c>
      <c r="AD215" s="260">
        <v>2.2324654761904763E-3</v>
      </c>
      <c r="AE215" s="260">
        <v>3.9363285714285722E-3</v>
      </c>
      <c r="AF215" s="260">
        <v>1.7471261904761905E-3</v>
      </c>
      <c r="AG215" s="260">
        <v>2.1555630952380953E-3</v>
      </c>
      <c r="AH215" s="260">
        <v>2.2064904761904766E-3</v>
      </c>
      <c r="AI215" s="260">
        <v>2.8763464285714285E-3</v>
      </c>
      <c r="AJ215" s="260">
        <v>7.0685714285714796E-5</v>
      </c>
      <c r="AK215" s="260">
        <v>-5.5073690476190474E-4</v>
      </c>
      <c r="AL215" s="260">
        <v>6.1286428571428542E-4</v>
      </c>
      <c r="AM215" s="260">
        <v>2.804833333333338E-4</v>
      </c>
      <c r="AN215" s="260">
        <v>1.5599119047619049E-3</v>
      </c>
      <c r="AO215" s="260">
        <v>-4.5977142857142866E-4</v>
      </c>
      <c r="AP215" s="260">
        <v>-8.9387619047619129E-4</v>
      </c>
      <c r="AQ215" s="260">
        <v>-1.7880297619047615E-3</v>
      </c>
      <c r="AR215" s="260">
        <v>-1.1716249999999991E-3</v>
      </c>
      <c r="AS215" s="260">
        <v>-2.6359523809523768E-4</v>
      </c>
      <c r="AT215" s="260">
        <v>-2.2669940476190472E-3</v>
      </c>
      <c r="AU215" s="260">
        <v>-3.7674107142857145E-3</v>
      </c>
      <c r="AV215" s="260">
        <f t="shared" ca="1" si="18"/>
        <v>-5.9689821428571431E-3</v>
      </c>
      <c r="AX215" s="88" t="str">
        <f t="shared" ca="1" si="17"/>
        <v>C</v>
      </c>
    </row>
    <row r="216" spans="1:50" hidden="1" x14ac:dyDescent="0.3">
      <c r="A216" s="88" t="str">
        <f t="shared" ca="1" si="15"/>
        <v>CSCO</v>
      </c>
      <c r="F216" s="251">
        <v>68.66</v>
      </c>
      <c r="G216" s="251">
        <v>69.424999999999997</v>
      </c>
      <c r="H216" s="251">
        <v>69.09</v>
      </c>
      <c r="I216" s="251">
        <v>70.13</v>
      </c>
      <c r="J216" s="251">
        <v>70.650000000000006</v>
      </c>
      <c r="K216" s="251">
        <v>70.72</v>
      </c>
      <c r="L216" s="251">
        <v>70.66</v>
      </c>
      <c r="M216" s="251">
        <v>70.66</v>
      </c>
      <c r="N216" s="251">
        <v>70.27</v>
      </c>
      <c r="O216" s="251">
        <v>70.63</v>
      </c>
      <c r="P216" s="251">
        <v>71.39</v>
      </c>
      <c r="Q216" s="251">
        <v>72.62</v>
      </c>
      <c r="R216" s="251">
        <v>72.91</v>
      </c>
      <c r="S216" s="251">
        <v>72.405000000000001</v>
      </c>
      <c r="T216" s="251">
        <v>72.099999999999994</v>
      </c>
      <c r="U216" s="251">
        <v>71.155000000000001</v>
      </c>
      <c r="V216" s="251">
        <v>70.924999999999997</v>
      </c>
      <c r="W216" s="251">
        <v>78</v>
      </c>
      <c r="X216" s="251">
        <v>77.37</v>
      </c>
      <c r="Y216" s="251">
        <v>78.273600000000002</v>
      </c>
      <c r="Z216" s="245">
        <f ca="1">[1]ExtEntry!$H14</f>
        <v>78.273600000000002</v>
      </c>
      <c r="AB216" s="263">
        <v>8.8607797619047642E-4</v>
      </c>
      <c r="AC216" s="263">
        <v>4.1188154761904756E-4</v>
      </c>
      <c r="AD216" s="263">
        <v>1.0605059523809525E-3</v>
      </c>
      <c r="AE216" s="263">
        <v>1.9753452380952387E-3</v>
      </c>
      <c r="AF216" s="263">
        <v>2.5115363095238093E-3</v>
      </c>
      <c r="AG216" s="263">
        <v>3.6369827380952372E-3</v>
      </c>
      <c r="AH216" s="263">
        <v>3.1124351190476192E-3</v>
      </c>
      <c r="AI216" s="263">
        <v>2.1664470238095231E-3</v>
      </c>
      <c r="AJ216" s="263">
        <v>-1.4589226190476253E-4</v>
      </c>
      <c r="AK216" s="263">
        <v>-2.7324398809523798E-3</v>
      </c>
      <c r="AL216" s="263">
        <v>-2.6303863095238087E-3</v>
      </c>
      <c r="AM216" s="263">
        <v>-4.7478505952380954E-3</v>
      </c>
      <c r="AN216" s="263">
        <v>-8.502783333333333E-3</v>
      </c>
      <c r="AO216" s="263">
        <v>-8.7181761904761897E-3</v>
      </c>
      <c r="AP216" s="263">
        <v>-6.3840928571428568E-3</v>
      </c>
      <c r="AQ216" s="263">
        <v>-4.6768904761904763E-3</v>
      </c>
      <c r="AR216" s="263">
        <v>-3.9036940476190477E-3</v>
      </c>
      <c r="AS216" s="263">
        <v>-6.6262357142857142E-3</v>
      </c>
      <c r="AT216" s="263">
        <v>-7.9872357142857144E-3</v>
      </c>
      <c r="AU216" s="263">
        <v>-9.2198130952380938E-3</v>
      </c>
      <c r="AV216" s="260">
        <f t="shared" ca="1" si="18"/>
        <v>-4.3288309523809524E-3</v>
      </c>
      <c r="AX216" s="88" t="str">
        <f t="shared" ca="1" si="17"/>
        <v>CSCO</v>
      </c>
    </row>
    <row r="217" spans="1:50" hidden="1" x14ac:dyDescent="0.3">
      <c r="A217" s="88" t="str">
        <f t="shared" ca="1" si="15"/>
        <v>CVS</v>
      </c>
      <c r="F217" s="251">
        <v>79.680000000000007</v>
      </c>
      <c r="G217" s="251">
        <v>81.11</v>
      </c>
      <c r="H217" s="251">
        <v>81.400000000000006</v>
      </c>
      <c r="I217" s="251">
        <v>82.52</v>
      </c>
      <c r="J217" s="251">
        <v>82.45</v>
      </c>
      <c r="K217" s="251">
        <v>83.02</v>
      </c>
      <c r="L217" s="251">
        <v>82.04</v>
      </c>
      <c r="M217" s="251">
        <v>82.04</v>
      </c>
      <c r="N217" s="251">
        <v>81.069999999999993</v>
      </c>
      <c r="O217" s="251">
        <v>81.900000000000006</v>
      </c>
      <c r="P217" s="251">
        <v>82.444999999999993</v>
      </c>
      <c r="Q217" s="251">
        <v>82.19</v>
      </c>
      <c r="R217" s="251">
        <v>76.69</v>
      </c>
      <c r="S217" s="251">
        <v>78.11</v>
      </c>
      <c r="T217" s="251">
        <v>78.56</v>
      </c>
      <c r="U217" s="251">
        <v>78.73</v>
      </c>
      <c r="V217" s="251">
        <v>78.84</v>
      </c>
      <c r="W217" s="251">
        <v>77.87</v>
      </c>
      <c r="X217" s="251">
        <v>77.94</v>
      </c>
      <c r="Y217" s="251">
        <v>76.42</v>
      </c>
      <c r="Z217" s="245">
        <f ca="1">[1]ExtEntry!$H15</f>
        <v>76.42</v>
      </c>
      <c r="AB217" s="260">
        <v>-1.4241369047619003E-3</v>
      </c>
      <c r="AC217" s="260">
        <v>-4.619642857142843E-4</v>
      </c>
      <c r="AD217" s="260">
        <v>-6.2355357142857143E-3</v>
      </c>
      <c r="AE217" s="260">
        <v>-3.6327202380952352E-3</v>
      </c>
      <c r="AF217" s="260">
        <v>8.6931309523809522E-3</v>
      </c>
      <c r="AG217" s="260">
        <v>1.9457380952381011E-3</v>
      </c>
      <c r="AH217" s="260">
        <v>-5.579065476190477E-3</v>
      </c>
      <c r="AI217" s="260">
        <v>-1.7775113095238094E-2</v>
      </c>
      <c r="AJ217" s="260">
        <v>-1.303422619047619E-2</v>
      </c>
      <c r="AK217" s="260">
        <v>-1.9047684523809522E-2</v>
      </c>
      <c r="AL217" s="260">
        <v>-1.6588744047619047E-2</v>
      </c>
      <c r="AM217" s="260">
        <v>-9.830142857142855E-3</v>
      </c>
      <c r="AN217" s="260">
        <v>-4.3288672619047619E-2</v>
      </c>
      <c r="AO217" s="260">
        <v>-3.4936773809523806E-2</v>
      </c>
      <c r="AP217" s="260">
        <v>-1.9585124999999998E-2</v>
      </c>
      <c r="AQ217" s="260">
        <v>-1.3616595238095238E-2</v>
      </c>
      <c r="AR217" s="260">
        <v>-1.7701511904761907E-2</v>
      </c>
      <c r="AS217" s="260">
        <v>-1.7935428571428571E-2</v>
      </c>
      <c r="AT217" s="260">
        <v>-1.647607142857143E-2</v>
      </c>
      <c r="AU217" s="260">
        <v>-2.3604928571428575E-2</v>
      </c>
      <c r="AV217" s="260">
        <f t="shared" ca="1" si="18"/>
        <v>-1.2618642857142866E-2</v>
      </c>
      <c r="AX217" s="88" t="str">
        <f t="shared" ca="1" si="17"/>
        <v>CVS</v>
      </c>
    </row>
    <row r="218" spans="1:50" hidden="1" x14ac:dyDescent="0.3">
      <c r="A218" s="88" t="str">
        <f t="shared" ca="1" si="15"/>
        <v>DDD</v>
      </c>
      <c r="F218" s="251">
        <v>3.08</v>
      </c>
      <c r="G218" s="251">
        <v>3.25</v>
      </c>
      <c r="H218" s="251">
        <v>3.26</v>
      </c>
      <c r="I218" s="251">
        <v>3.11</v>
      </c>
      <c r="J218" s="251">
        <v>3.7850000000000001</v>
      </c>
      <c r="K218" s="251">
        <v>3.37</v>
      </c>
      <c r="L218" s="251">
        <v>3.0049999999999999</v>
      </c>
      <c r="M218" s="251">
        <v>3.0049999999999999</v>
      </c>
      <c r="N218" s="251">
        <v>3.0750000000000002</v>
      </c>
      <c r="O218" s="251">
        <v>3.125</v>
      </c>
      <c r="P218" s="251">
        <v>3.0750000000000002</v>
      </c>
      <c r="Q218" s="251">
        <v>3.1949999999999998</v>
      </c>
      <c r="R218" s="251">
        <v>2.82</v>
      </c>
      <c r="S218" s="251">
        <v>2.5948000000000002</v>
      </c>
      <c r="T218" s="251">
        <v>2.6</v>
      </c>
      <c r="U218" s="251">
        <v>2.2650000000000001</v>
      </c>
      <c r="V218" s="251">
        <v>2.2250000000000001</v>
      </c>
      <c r="W218" s="251">
        <v>2.16</v>
      </c>
      <c r="X218" s="251">
        <v>2.08</v>
      </c>
      <c r="Y218" s="251">
        <v>2.0449999999999999</v>
      </c>
      <c r="Z218" s="245">
        <f ca="1">[1]ExtEntry!$H16</f>
        <v>2.0449999999999999</v>
      </c>
      <c r="AB218" s="263">
        <v>1.6736309523809514E-3</v>
      </c>
      <c r="AC218" s="263">
        <v>2.9894702380952377E-3</v>
      </c>
      <c r="AD218" s="263">
        <v>1.2020892857142846E-3</v>
      </c>
      <c r="AE218" s="263">
        <v>1.4493869047619043E-3</v>
      </c>
      <c r="AF218" s="263">
        <v>2.6036011904761905E-3</v>
      </c>
      <c r="AG218" s="263">
        <v>4.7607083333333338E-3</v>
      </c>
      <c r="AH218" s="263">
        <v>4.3404047619047623E-3</v>
      </c>
      <c r="AI218" s="263">
        <v>2.1460654761904763E-3</v>
      </c>
      <c r="AJ218" s="263">
        <v>1.5868404761904768E-3</v>
      </c>
      <c r="AK218" s="263">
        <v>-4.5522500000000007E-4</v>
      </c>
      <c r="AL218" s="263">
        <v>2.2123464285714284E-3</v>
      </c>
      <c r="AM218" s="263">
        <v>1.1948523809523813E-3</v>
      </c>
      <c r="AN218" s="263">
        <v>7.1385833333333364E-4</v>
      </c>
      <c r="AO218" s="263">
        <v>-3.099088095238095E-3</v>
      </c>
      <c r="AP218" s="263">
        <v>-2.2099869047619044E-3</v>
      </c>
      <c r="AQ218" s="263">
        <v>-1.5828499999999998E-3</v>
      </c>
      <c r="AR218" s="263">
        <v>-1.4244535714285713E-3</v>
      </c>
      <c r="AS218" s="263">
        <v>-1.4928107142857135E-3</v>
      </c>
      <c r="AT218" s="263">
        <v>-2.1490428571428566E-3</v>
      </c>
      <c r="AU218" s="263">
        <v>-2.4944952380952378E-3</v>
      </c>
      <c r="AV218" s="260">
        <f t="shared" ca="1" si="18"/>
        <v>-4.5425607142857141E-3</v>
      </c>
      <c r="AX218" s="88" t="str">
        <f t="shared" ca="1" si="17"/>
        <v>DDD</v>
      </c>
    </row>
    <row r="219" spans="1:50" hidden="1" x14ac:dyDescent="0.3">
      <c r="A219" s="88" t="str">
        <f t="shared" ca="1" si="15"/>
        <v>DIS</v>
      </c>
      <c r="F219" s="251">
        <v>111.16500000000001</v>
      </c>
      <c r="G219" s="251">
        <v>112.005</v>
      </c>
      <c r="H219" s="251">
        <v>109.895</v>
      </c>
      <c r="I219" s="251">
        <v>110.67</v>
      </c>
      <c r="J219" s="251">
        <v>111.98</v>
      </c>
      <c r="K219" s="251">
        <v>114.31</v>
      </c>
      <c r="L219" s="251">
        <v>113.1</v>
      </c>
      <c r="M219" s="251">
        <v>113.1</v>
      </c>
      <c r="N219" s="251">
        <v>113.02</v>
      </c>
      <c r="O219" s="251">
        <v>111.67</v>
      </c>
      <c r="P219" s="251">
        <v>112.31</v>
      </c>
      <c r="Q219" s="251">
        <v>111.66500000000001</v>
      </c>
      <c r="R219" s="251">
        <v>111.84</v>
      </c>
      <c r="S219" s="251">
        <v>111.34</v>
      </c>
      <c r="T219" s="251">
        <v>111.34</v>
      </c>
      <c r="U219" s="251">
        <v>110.16</v>
      </c>
      <c r="V219" s="251">
        <v>110.73</v>
      </c>
      <c r="W219" s="251">
        <v>105.8</v>
      </c>
      <c r="X219" s="251">
        <v>106.28</v>
      </c>
      <c r="Y219" s="251">
        <v>105.3</v>
      </c>
      <c r="Z219" s="245">
        <f ca="1">[1]ExtEntry!$H17</f>
        <v>105.3</v>
      </c>
      <c r="AB219" s="260">
        <v>1.3664845238095247E-3</v>
      </c>
      <c r="AC219" s="260">
        <v>-1.9785630952380956E-3</v>
      </c>
      <c r="AD219" s="260">
        <v>6.3682976190476215E-4</v>
      </c>
      <c r="AE219" s="260">
        <v>2.6339488095238101E-3</v>
      </c>
      <c r="AF219" s="260">
        <v>4.3033178571428568E-3</v>
      </c>
      <c r="AG219" s="260">
        <v>4.1586571428571424E-3</v>
      </c>
      <c r="AH219" s="260">
        <v>2.0709785714285714E-3</v>
      </c>
      <c r="AI219" s="260">
        <v>3.1091666666666681E-4</v>
      </c>
      <c r="AJ219" s="260">
        <v>-7.9255297619047638E-3</v>
      </c>
      <c r="AK219" s="260">
        <v>-1.1285071428571429E-2</v>
      </c>
      <c r="AL219" s="260">
        <v>-1.4478523809523811E-2</v>
      </c>
      <c r="AM219" s="260">
        <v>-1.5181464285714286E-2</v>
      </c>
      <c r="AN219" s="260">
        <v>-1.6699822023809527E-2</v>
      </c>
      <c r="AO219" s="260">
        <v>-1.9856572023809527E-2</v>
      </c>
      <c r="AP219" s="260">
        <v>-1.7907720833333331E-2</v>
      </c>
      <c r="AQ219" s="260">
        <v>-1.9903566071428572E-2</v>
      </c>
      <c r="AR219" s="260">
        <v>-3.687750595238095E-3</v>
      </c>
      <c r="AS219" s="260">
        <v>-2.433208928571429E-3</v>
      </c>
      <c r="AT219" s="260">
        <v>-8.3940654761904647E-4</v>
      </c>
      <c r="AU219" s="260">
        <v>2.700498214285715E-3</v>
      </c>
      <c r="AV219" s="260">
        <f t="shared" ca="1" si="18"/>
        <v>3.7841809523809534E-3</v>
      </c>
      <c r="AX219" s="88" t="str">
        <f t="shared" ca="1" si="17"/>
        <v>DIS</v>
      </c>
    </row>
    <row r="220" spans="1:50" hidden="1" x14ac:dyDescent="0.3">
      <c r="A220" s="88" t="str">
        <f t="shared" ca="1" si="15"/>
        <v>DSY</v>
      </c>
      <c r="F220" s="251">
        <v>28.35</v>
      </c>
      <c r="G220" s="251">
        <v>28.88</v>
      </c>
      <c r="H220" s="251">
        <v>29.38</v>
      </c>
      <c r="I220" s="251">
        <v>29.33</v>
      </c>
      <c r="J220" s="251">
        <v>29.78</v>
      </c>
      <c r="K220" s="251">
        <v>30.27</v>
      </c>
      <c r="L220" s="251">
        <v>30.12</v>
      </c>
      <c r="M220" s="251">
        <v>30.12</v>
      </c>
      <c r="N220" s="251">
        <v>26.21</v>
      </c>
      <c r="O220" s="251">
        <v>25.69</v>
      </c>
      <c r="P220" s="251">
        <v>25.41</v>
      </c>
      <c r="Q220" s="251">
        <v>24.97</v>
      </c>
      <c r="R220" s="251">
        <v>24.55</v>
      </c>
      <c r="S220" s="251">
        <v>24.04</v>
      </c>
      <c r="T220" s="251">
        <v>23.98</v>
      </c>
      <c r="U220" s="251">
        <v>23.26</v>
      </c>
      <c r="V220" s="251">
        <v>23.34</v>
      </c>
      <c r="W220" s="251">
        <v>23.99</v>
      </c>
      <c r="X220" s="251">
        <v>23.17</v>
      </c>
      <c r="Y220" s="251">
        <v>23.38</v>
      </c>
      <c r="Z220" s="245">
        <f ca="1">[1]ExtEntry!$H18</f>
        <v>23.38</v>
      </c>
      <c r="AB220" s="263">
        <v>-1.7503720238095236E-3</v>
      </c>
      <c r="AC220" s="263">
        <v>-1.7250922619047615E-3</v>
      </c>
      <c r="AD220" s="263">
        <v>-1.6052589285714283E-3</v>
      </c>
      <c r="AE220" s="263">
        <v>-3.2152886904761903E-3</v>
      </c>
      <c r="AF220" s="263">
        <v>1.0644613095238094E-3</v>
      </c>
      <c r="AG220" s="263">
        <v>2.7811339285714288E-3</v>
      </c>
      <c r="AH220" s="263">
        <v>4.9278303571428581E-3</v>
      </c>
      <c r="AI220" s="263">
        <v>6.0406071428571436E-3</v>
      </c>
      <c r="AJ220" s="263">
        <v>2.9662142857142856E-3</v>
      </c>
      <c r="AK220" s="263">
        <v>2.3265416666666669E-3</v>
      </c>
      <c r="AL220" s="263">
        <v>3.4882321428571427E-3</v>
      </c>
      <c r="AM220" s="263">
        <v>2.6277458333333332E-3</v>
      </c>
      <c r="AN220" s="263">
        <v>-3.507605357142857E-3</v>
      </c>
      <c r="AO220" s="263">
        <v>-3.1504803571428572E-3</v>
      </c>
      <c r="AP220" s="263">
        <v>-3.3111410714285715E-3</v>
      </c>
      <c r="AQ220" s="263">
        <v>-3.8807541666666667E-3</v>
      </c>
      <c r="AR220" s="263">
        <v>-6.3367083333333313E-4</v>
      </c>
      <c r="AS220" s="263">
        <v>-3.8450041666666665E-3</v>
      </c>
      <c r="AT220" s="263">
        <v>-5.2088255952380952E-3</v>
      </c>
      <c r="AU220" s="263">
        <v>-6.7617011904761905E-3</v>
      </c>
      <c r="AV220" s="260">
        <f t="shared" ca="1" si="18"/>
        <v>4.0144047619047039E-5</v>
      </c>
      <c r="AX220" s="88" t="str">
        <f t="shared" ca="1" si="17"/>
        <v>DSY</v>
      </c>
    </row>
    <row r="221" spans="1:50" hidden="1" x14ac:dyDescent="0.3">
      <c r="A221" s="88" t="str">
        <f t="shared" ca="1" si="15"/>
        <v>DVA</v>
      </c>
      <c r="F221" s="251">
        <v>126.61199999999999</v>
      </c>
      <c r="G221" s="251">
        <v>126.77500000000001</v>
      </c>
      <c r="H221" s="251">
        <v>125.25</v>
      </c>
      <c r="I221" s="251">
        <v>125.88</v>
      </c>
      <c r="J221" s="251">
        <v>128.05000000000001</v>
      </c>
      <c r="K221" s="251">
        <v>128.41</v>
      </c>
      <c r="L221" s="251">
        <v>129.08000000000001</v>
      </c>
      <c r="M221" s="251">
        <v>129.08000000000001</v>
      </c>
      <c r="N221" s="251">
        <v>128.02000000000001</v>
      </c>
      <c r="O221" s="251">
        <v>129.19</v>
      </c>
      <c r="P221" s="251">
        <v>129.51499999999999</v>
      </c>
      <c r="Q221" s="251">
        <v>129.61000000000001</v>
      </c>
      <c r="R221" s="251">
        <v>118.69</v>
      </c>
      <c r="S221" s="251">
        <v>120.14</v>
      </c>
      <c r="T221" s="251">
        <v>121.16</v>
      </c>
      <c r="U221" s="251">
        <v>121.82</v>
      </c>
      <c r="V221" s="251">
        <v>123.325</v>
      </c>
      <c r="W221" s="251">
        <v>121.56</v>
      </c>
      <c r="X221" s="251">
        <v>116.56</v>
      </c>
      <c r="Y221" s="251">
        <v>115.155</v>
      </c>
      <c r="Z221" s="245">
        <f ca="1">[1]ExtEntry!$H19</f>
        <v>115.155</v>
      </c>
      <c r="AB221" s="260">
        <v>5.7150833333333333E-3</v>
      </c>
      <c r="AC221" s="260">
        <v>6.1398273809523795E-3</v>
      </c>
      <c r="AD221" s="260">
        <v>3.1020238095238089E-3</v>
      </c>
      <c r="AE221" s="260">
        <v>7.177267857142856E-3</v>
      </c>
      <c r="AF221" s="260">
        <v>5.8839226190476185E-3</v>
      </c>
      <c r="AG221" s="260">
        <v>3.7310238095238091E-3</v>
      </c>
      <c r="AH221" s="260">
        <v>2.8064345238095231E-3</v>
      </c>
      <c r="AI221" s="260">
        <v>-2.5386190476190474E-3</v>
      </c>
      <c r="AJ221" s="260">
        <v>-1.9132023809523804E-3</v>
      </c>
      <c r="AK221" s="260">
        <v>-1.4521130952380949E-3</v>
      </c>
      <c r="AL221" s="260">
        <v>3.2105654761904771E-3</v>
      </c>
      <c r="AM221" s="260">
        <v>1.7159940476190487E-3</v>
      </c>
      <c r="AN221" s="260">
        <v>-1.0458869047619041E-3</v>
      </c>
      <c r="AO221" s="260">
        <v>-1.5499999999999995E-3</v>
      </c>
      <c r="AP221" s="260">
        <v>-7.315654761904768E-4</v>
      </c>
      <c r="AQ221" s="260">
        <v>-4.1596428571428513E-4</v>
      </c>
      <c r="AR221" s="260">
        <v>-5.116386904761904E-3</v>
      </c>
      <c r="AS221" s="260">
        <v>-8.8724821428571438E-3</v>
      </c>
      <c r="AT221" s="260">
        <v>-8.4907797619047619E-3</v>
      </c>
      <c r="AU221" s="260">
        <v>-7.6791488095238093E-3</v>
      </c>
      <c r="AV221" s="260">
        <f t="shared" ca="1" si="18"/>
        <v>-4.9551607142857158E-3</v>
      </c>
      <c r="AX221" s="88" t="str">
        <f t="shared" ca="1" si="17"/>
        <v>DVA</v>
      </c>
    </row>
    <row r="222" spans="1:50" hidden="1" x14ac:dyDescent="0.3">
      <c r="A222" s="88" t="str">
        <f t="shared" ca="1" si="15"/>
        <v>DXC</v>
      </c>
      <c r="F222" s="251">
        <v>13.315</v>
      </c>
      <c r="G222" s="251">
        <v>13.13</v>
      </c>
      <c r="H222" s="251">
        <v>12.82</v>
      </c>
      <c r="I222" s="251">
        <v>12.85</v>
      </c>
      <c r="J222" s="251">
        <v>12.994999999999999</v>
      </c>
      <c r="K222" s="251">
        <v>13.275</v>
      </c>
      <c r="L222" s="251">
        <v>13.27</v>
      </c>
      <c r="M222" s="251">
        <v>13.27</v>
      </c>
      <c r="N222" s="251">
        <v>13.37</v>
      </c>
      <c r="O222" s="251">
        <v>13.54</v>
      </c>
      <c r="P222" s="251">
        <v>13.43</v>
      </c>
      <c r="Q222" s="251">
        <v>13.36</v>
      </c>
      <c r="R222" s="251">
        <v>12.94</v>
      </c>
      <c r="S222" s="251">
        <v>13.555</v>
      </c>
      <c r="T222" s="251">
        <v>13.81</v>
      </c>
      <c r="U222" s="251">
        <v>13.734999999999999</v>
      </c>
      <c r="V222" s="251">
        <v>13.175000000000001</v>
      </c>
      <c r="W222" s="251">
        <v>12.91</v>
      </c>
      <c r="X222" s="251">
        <v>12.22</v>
      </c>
      <c r="Y222" s="251">
        <v>12.11</v>
      </c>
      <c r="Z222" s="245">
        <f ca="1">[1]ExtEntry!$H20</f>
        <v>12.11</v>
      </c>
      <c r="AB222" s="263">
        <v>-3.4145059523809588E-4</v>
      </c>
      <c r="AC222" s="263">
        <v>1.199424404761904E-3</v>
      </c>
      <c r="AD222" s="263">
        <v>-2.3723630952380984E-4</v>
      </c>
      <c r="AE222" s="263">
        <v>-8.4969464285714362E-4</v>
      </c>
      <c r="AF222" s="263">
        <v>-3.9437916666666727E-4</v>
      </c>
      <c r="AG222" s="263">
        <v>-3.6878988095238093E-4</v>
      </c>
      <c r="AH222" s="263">
        <v>-1.4155523809523808E-3</v>
      </c>
      <c r="AI222" s="263">
        <v>-4.0398380952380956E-3</v>
      </c>
      <c r="AJ222" s="263">
        <v>-5.2494690476190481E-3</v>
      </c>
      <c r="AK222" s="263">
        <v>-2.8832607142857142E-3</v>
      </c>
      <c r="AL222" s="263">
        <v>-2.8319690476190469E-3</v>
      </c>
      <c r="AM222" s="263">
        <v>-2.4370047619047619E-3</v>
      </c>
      <c r="AN222" s="263">
        <v>-3.8267071428571423E-3</v>
      </c>
      <c r="AO222" s="263">
        <v>-3.9435761904761911E-3</v>
      </c>
      <c r="AP222" s="263">
        <v>-1.0348321428571429E-3</v>
      </c>
      <c r="AQ222" s="263">
        <v>1.6112988095238097E-3</v>
      </c>
      <c r="AR222" s="263">
        <v>2.7817273809523811E-3</v>
      </c>
      <c r="AS222" s="263">
        <v>2.4497511904761904E-3</v>
      </c>
      <c r="AT222" s="263">
        <v>1.6077630952380949E-3</v>
      </c>
      <c r="AU222" s="263">
        <v>2.9454761904761887E-4</v>
      </c>
      <c r="AV222" s="260">
        <f t="shared" ca="1" si="18"/>
        <v>1.0391130952380951E-3</v>
      </c>
      <c r="AX222" s="88" t="str">
        <f t="shared" ca="1" si="17"/>
        <v>DXC</v>
      </c>
    </row>
    <row r="223" spans="1:50" hidden="1" x14ac:dyDescent="0.3">
      <c r="A223" s="88" t="str">
        <f t="shared" ca="1" si="15"/>
        <v>EOAN</v>
      </c>
      <c r="F223" s="251">
        <v>16.37</v>
      </c>
      <c r="G223" s="251">
        <v>16.2</v>
      </c>
      <c r="H223" s="251">
        <v>16.25</v>
      </c>
      <c r="I223" s="251">
        <v>16.27</v>
      </c>
      <c r="J223" s="251">
        <v>16.420000000000002</v>
      </c>
      <c r="K223" s="251">
        <v>16.364999999999998</v>
      </c>
      <c r="L223" s="251">
        <v>16.100000000000001</v>
      </c>
      <c r="M223" s="251">
        <v>16.100000000000001</v>
      </c>
      <c r="N223" s="251">
        <v>15.98</v>
      </c>
      <c r="O223" s="251">
        <v>16.059999999999999</v>
      </c>
      <c r="P223" s="251">
        <v>16.094999999999999</v>
      </c>
      <c r="Q223" s="251">
        <v>16.239999999999998</v>
      </c>
      <c r="R223" s="251">
        <v>16.254999999999999</v>
      </c>
      <c r="S223" s="251">
        <v>15.75</v>
      </c>
      <c r="T223" s="251">
        <v>16.05</v>
      </c>
      <c r="U223" s="251">
        <v>16.079999999999998</v>
      </c>
      <c r="V223" s="251">
        <v>16.105</v>
      </c>
      <c r="W223" s="251">
        <v>15.244999999999999</v>
      </c>
      <c r="X223" s="251">
        <v>15.23</v>
      </c>
      <c r="Y223" s="251">
        <v>15.3</v>
      </c>
      <c r="Z223" s="245">
        <f ca="1">[1]ExtEntry!$H21</f>
        <v>15.3</v>
      </c>
      <c r="AB223" s="260">
        <v>-1.9318511904761887E-3</v>
      </c>
      <c r="AC223" s="260">
        <v>-1.1401065476190474E-2</v>
      </c>
      <c r="AD223" s="260">
        <v>-4.6561964285714279E-3</v>
      </c>
      <c r="AE223" s="260">
        <v>-3.4545178571428565E-3</v>
      </c>
      <c r="AF223" s="260">
        <v>-8.424880952380945E-4</v>
      </c>
      <c r="AG223" s="260">
        <v>1.7695416666666675E-3</v>
      </c>
      <c r="AH223" s="260">
        <v>4.8081904761904755E-3</v>
      </c>
      <c r="AI223" s="260">
        <v>2.4601428571428574E-3</v>
      </c>
      <c r="AJ223" s="260">
        <v>1.2137142857142852E-3</v>
      </c>
      <c r="AK223" s="260">
        <v>1.047809523809524E-3</v>
      </c>
      <c r="AL223" s="260">
        <v>1.2380952380952382E-3</v>
      </c>
      <c r="AM223" s="260">
        <v>-8.4671428571428658E-4</v>
      </c>
      <c r="AN223" s="260">
        <v>-1.4376666666666678E-3</v>
      </c>
      <c r="AO223" s="260">
        <v>2.2770952380952373E-3</v>
      </c>
      <c r="AP223" s="260">
        <v>4.9367142857142847E-3</v>
      </c>
      <c r="AQ223" s="260">
        <v>2.4615714285714284E-3</v>
      </c>
      <c r="AR223" s="260">
        <v>2.6481428571428567E-3</v>
      </c>
      <c r="AS223" s="260">
        <v>1.7654285714285712E-3</v>
      </c>
      <c r="AT223" s="260">
        <v>8.8271428571428561E-4</v>
      </c>
      <c r="AU223" s="260">
        <v>0</v>
      </c>
      <c r="AV223" s="260">
        <f t="shared" ca="1" si="18"/>
        <v>0</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-4.151255952380954E-3</v>
      </c>
      <c r="AC224" s="263">
        <v>1.3249523809523804E-3</v>
      </c>
      <c r="AD224" s="263">
        <v>-1.3041071428571429E-3</v>
      </c>
      <c r="AE224" s="263">
        <v>2.4972202380952376E-3</v>
      </c>
      <c r="AF224" s="263">
        <v>3.6615892857142854E-3</v>
      </c>
      <c r="AG224" s="263">
        <v>1.5943136904761904E-2</v>
      </c>
      <c r="AH224" s="263">
        <v>1.7606101190476189E-2</v>
      </c>
      <c r="AI224" s="263">
        <v>1.7597494047619046E-2</v>
      </c>
      <c r="AJ224" s="263">
        <v>1.4694059523809521E-2</v>
      </c>
      <c r="AK224" s="263">
        <v>1.6806773809523806E-2</v>
      </c>
      <c r="AL224" s="263">
        <v>1.7973607142857142E-2</v>
      </c>
      <c r="AM224" s="263">
        <v>1.5922547619047617E-2</v>
      </c>
      <c r="AN224" s="263">
        <v>1.6042517857142856E-2</v>
      </c>
      <c r="AO224" s="263">
        <v>-3.6615178571428571E-3</v>
      </c>
      <c r="AP224" s="263">
        <v>-4.301755952380951E-3</v>
      </c>
      <c r="AQ224" s="263">
        <v>-4.8286488095238087E-3</v>
      </c>
      <c r="AR224" s="263">
        <v>-2.6535833333333324E-3</v>
      </c>
      <c r="AS224" s="263">
        <v>-1.0112279761904763E-2</v>
      </c>
      <c r="AT224" s="263">
        <v>-9.9192238095238104E-3</v>
      </c>
      <c r="AU224" s="263">
        <v>-9.8575511904761878E-3</v>
      </c>
      <c r="AV224" s="260">
        <f t="shared" ca="1" si="18"/>
        <v>-7.434176190476191E-3</v>
      </c>
      <c r="AX224" s="88" t="str">
        <f t="shared" ca="1" si="17"/>
        <v>EPIX</v>
      </c>
    </row>
    <row r="225" spans="1:50" hidden="1" x14ac:dyDescent="0.3">
      <c r="A225" s="88" t="str">
        <f t="shared" ca="1" si="15"/>
        <v>GM</v>
      </c>
      <c r="F225" s="251">
        <v>57.15</v>
      </c>
      <c r="G225" s="251">
        <v>57.919899999999998</v>
      </c>
      <c r="H225" s="251">
        <v>57.34</v>
      </c>
      <c r="I225" s="251">
        <v>58.38</v>
      </c>
      <c r="J225" s="251">
        <v>58.02</v>
      </c>
      <c r="K225" s="251">
        <v>66.61</v>
      </c>
      <c r="L225" s="251">
        <v>67.319999999999993</v>
      </c>
      <c r="M225" s="251">
        <v>67.319999999999993</v>
      </c>
      <c r="N225" s="251">
        <v>66.834999999999994</v>
      </c>
      <c r="O225" s="251">
        <v>69.67</v>
      </c>
      <c r="P225" s="251">
        <v>69.355000000000004</v>
      </c>
      <c r="Q225" s="251">
        <v>69.87</v>
      </c>
      <c r="R225" s="251">
        <v>68.66</v>
      </c>
      <c r="S225" s="251">
        <v>66.959999999999994</v>
      </c>
      <c r="T225" s="251">
        <v>68.78</v>
      </c>
      <c r="U225" s="251">
        <v>68.92</v>
      </c>
      <c r="V225" s="251">
        <v>70.66</v>
      </c>
      <c r="W225" s="251">
        <v>70.52</v>
      </c>
      <c r="X225" s="251">
        <v>67.94</v>
      </c>
      <c r="Y225" s="251">
        <v>69.114999999999995</v>
      </c>
      <c r="Z225" s="245">
        <f ca="1">[1]ExtEntry!$H23</f>
        <v>69.114999999999995</v>
      </c>
      <c r="AB225" s="260">
        <v>5.5469345238095252E-3</v>
      </c>
      <c r="AC225" s="260">
        <v>9.2397738095238123E-3</v>
      </c>
      <c r="AD225" s="260">
        <v>9.3753571428571421E-4</v>
      </c>
      <c r="AE225" s="260">
        <v>3.1532440476190488E-3</v>
      </c>
      <c r="AF225" s="260">
        <v>-3.51084523809524E-3</v>
      </c>
      <c r="AG225" s="260">
        <v>-3.4532976190476193E-3</v>
      </c>
      <c r="AH225" s="260">
        <v>-4.4832797619047604E-3</v>
      </c>
      <c r="AI225" s="260">
        <v>-7.8034107142857141E-3</v>
      </c>
      <c r="AJ225" s="260">
        <v>-8.8647261904761902E-3</v>
      </c>
      <c r="AK225" s="260">
        <v>-1.0401726190476189E-2</v>
      </c>
      <c r="AL225" s="260">
        <v>3.9811190476190484E-3</v>
      </c>
      <c r="AM225" s="260">
        <v>2.070583333333334E-3</v>
      </c>
      <c r="AN225" s="260">
        <v>3.818458333333333E-3</v>
      </c>
      <c r="AO225" s="260">
        <v>-6.8857738095238119E-4</v>
      </c>
      <c r="AP225" s="260">
        <v>-1.8283333333333389E-4</v>
      </c>
      <c r="AQ225" s="260">
        <v>-1.8784523809523804E-4</v>
      </c>
      <c r="AR225" s="260">
        <v>-5.5282142857142834E-4</v>
      </c>
      <c r="AS225" s="260">
        <v>-3.3423214285714284E-4</v>
      </c>
      <c r="AT225" s="260">
        <v>-4.7540892857142851E-3</v>
      </c>
      <c r="AU225" s="260">
        <v>-5.5198809523809532E-3</v>
      </c>
      <c r="AV225" s="260">
        <f t="shared" ca="1" si="18"/>
        <v>-6.0879702380952387E-3</v>
      </c>
      <c r="AX225" s="88" t="str">
        <f t="shared" ca="1" si="17"/>
        <v>GM</v>
      </c>
    </row>
    <row r="226" spans="1:50" hidden="1" x14ac:dyDescent="0.3">
      <c r="A226" s="88" t="str">
        <f t="shared" ca="1" si="15"/>
        <v>HPE</v>
      </c>
      <c r="F226" s="251">
        <v>24.99</v>
      </c>
      <c r="G226" s="251">
        <v>25.414999999999999</v>
      </c>
      <c r="H226" s="251">
        <v>22.52</v>
      </c>
      <c r="I226" s="251">
        <v>22.96</v>
      </c>
      <c r="J226" s="251">
        <v>22.86</v>
      </c>
      <c r="K226" s="251">
        <v>23.27</v>
      </c>
      <c r="L226" s="251">
        <v>23.105</v>
      </c>
      <c r="M226" s="251">
        <v>23.09</v>
      </c>
      <c r="N226" s="251">
        <v>23.2</v>
      </c>
      <c r="O226" s="251">
        <v>23.5</v>
      </c>
      <c r="P226" s="251">
        <v>24.17</v>
      </c>
      <c r="Q226" s="251">
        <v>24.27</v>
      </c>
      <c r="R226" s="251">
        <v>24.4</v>
      </c>
      <c r="S226" s="251">
        <v>23.535</v>
      </c>
      <c r="T226" s="251">
        <v>23.7</v>
      </c>
      <c r="U226" s="251">
        <v>23.445</v>
      </c>
      <c r="V226" s="251">
        <v>23.4</v>
      </c>
      <c r="W226" s="251">
        <v>22.83</v>
      </c>
      <c r="X226" s="251">
        <v>20.91</v>
      </c>
      <c r="Y226" s="251">
        <v>20.734999999999999</v>
      </c>
      <c r="Z226" s="245">
        <f ca="1">[1]ExtEntry!$H24</f>
        <v>20.734999999999999</v>
      </c>
      <c r="AB226" s="263">
        <v>1.2402803571428572E-2</v>
      </c>
      <c r="AC226" s="263">
        <v>1.3524958333333333E-2</v>
      </c>
      <c r="AD226" s="263">
        <v>8.9108809523809531E-3</v>
      </c>
      <c r="AE226" s="263">
        <v>1.020967261904762E-2</v>
      </c>
      <c r="AF226" s="263">
        <v>8.6206607142857144E-3</v>
      </c>
      <c r="AG226" s="263">
        <v>1.0162071428571428E-2</v>
      </c>
      <c r="AH226" s="263">
        <v>9.2177857142857131E-3</v>
      </c>
      <c r="AI226" s="263">
        <v>-4.4175595238095329E-4</v>
      </c>
      <c r="AJ226" s="263">
        <v>-7.1319107142857139E-3</v>
      </c>
      <c r="AK226" s="263">
        <v>-9.3865654761904754E-3</v>
      </c>
      <c r="AL226" s="263">
        <v>-2.8532202380952385E-3</v>
      </c>
      <c r="AM226" s="263">
        <v>-3.0989166666666674E-3</v>
      </c>
      <c r="AN226" s="263">
        <v>-4.3646309523809532E-3</v>
      </c>
      <c r="AO226" s="263">
        <v>-1.0505119047619048E-2</v>
      </c>
      <c r="AP226" s="263">
        <v>-6.6165892857142864E-3</v>
      </c>
      <c r="AQ226" s="263">
        <v>-5.4455119047619053E-3</v>
      </c>
      <c r="AR226" s="263">
        <v>-6.1475178571428575E-3</v>
      </c>
      <c r="AS226" s="263">
        <v>-5.9696249999999992E-3</v>
      </c>
      <c r="AT226" s="263">
        <v>-7.7690714285714281E-3</v>
      </c>
      <c r="AU226" s="263">
        <v>-9.1031845238095238E-3</v>
      </c>
      <c r="AV226" s="260">
        <f t="shared" ca="1" si="18"/>
        <v>-5.4889404761904754E-3</v>
      </c>
      <c r="AX226" s="88" t="str">
        <f t="shared" ca="1" si="17"/>
        <v>HPE</v>
      </c>
    </row>
    <row r="227" spans="1:50" hidden="1" x14ac:dyDescent="0.3">
      <c r="A227" s="88" t="str">
        <f t="shared" ca="1" si="15"/>
        <v>HPQ</v>
      </c>
      <c r="F227" s="251">
        <v>28.535</v>
      </c>
      <c r="G227" s="251">
        <v>28.68</v>
      </c>
      <c r="H227" s="251">
        <v>27.215</v>
      </c>
      <c r="I227" s="251">
        <v>27.37</v>
      </c>
      <c r="J227" s="251">
        <v>27.655000000000001</v>
      </c>
      <c r="K227" s="251">
        <v>28.16</v>
      </c>
      <c r="L227" s="251">
        <v>27.66</v>
      </c>
      <c r="M227" s="251">
        <v>27.66</v>
      </c>
      <c r="N227" s="251">
        <v>27.824999999999999</v>
      </c>
      <c r="O227" s="251">
        <v>27.66</v>
      </c>
      <c r="P227" s="251">
        <v>27.914999999999999</v>
      </c>
      <c r="Q227" s="251">
        <v>28.065000000000001</v>
      </c>
      <c r="R227" s="251">
        <v>27.51</v>
      </c>
      <c r="S227" s="251">
        <v>25.984999999999999</v>
      </c>
      <c r="T227" s="251">
        <v>26.64</v>
      </c>
      <c r="U227" s="251">
        <v>26.18</v>
      </c>
      <c r="V227" s="251">
        <v>26.215</v>
      </c>
      <c r="W227" s="251">
        <v>24.513000000000002</v>
      </c>
      <c r="X227" s="251">
        <v>22.71</v>
      </c>
      <c r="Y227" s="251">
        <v>22.54</v>
      </c>
      <c r="Z227" s="245">
        <f ca="1">[1]ExtEntry!$H25</f>
        <v>22.54</v>
      </c>
      <c r="AB227" s="260">
        <v>6.4762773809523789E-3</v>
      </c>
      <c r="AC227" s="260">
        <v>4.258694047619048E-3</v>
      </c>
      <c r="AD227" s="260">
        <v>3.8430035714285713E-3</v>
      </c>
      <c r="AE227" s="260">
        <v>2.2289285714286204E-5</v>
      </c>
      <c r="AF227" s="260">
        <v>-2.3941214285714283E-3</v>
      </c>
      <c r="AG227" s="260">
        <v>-6.8860500000000003E-3</v>
      </c>
      <c r="AH227" s="260">
        <v>-4.3917404761904758E-3</v>
      </c>
      <c r="AI227" s="260">
        <v>-2.2453845238095235E-3</v>
      </c>
      <c r="AJ227" s="260">
        <v>-1.7743309523809521E-3</v>
      </c>
      <c r="AK227" s="260">
        <v>-5.8553333333333322E-4</v>
      </c>
      <c r="AL227" s="260">
        <v>-4.1178333333333293E-4</v>
      </c>
      <c r="AM227" s="260">
        <v>5.1004726190476178E-3</v>
      </c>
      <c r="AN227" s="260">
        <v>5.1053119047619038E-3</v>
      </c>
      <c r="AO227" s="260">
        <v>4.0686630952380962E-3</v>
      </c>
      <c r="AP227" s="260">
        <v>2.6551273809523783E-3</v>
      </c>
      <c r="AQ227" s="260">
        <v>-2.2566761904761917E-3</v>
      </c>
      <c r="AR227" s="260">
        <v>-1.1253652380952382E-2</v>
      </c>
      <c r="AS227" s="260">
        <v>-1.3631336904761902E-2</v>
      </c>
      <c r="AT227" s="260">
        <v>-1.2084045238095238E-2</v>
      </c>
      <c r="AU227" s="260">
        <v>-1.2229563095238094E-2</v>
      </c>
      <c r="AV227" s="260">
        <f t="shared" ca="1" si="18"/>
        <v>-1.2978172619047617E-2</v>
      </c>
      <c r="AX227" s="88" t="str">
        <f t="shared" ca="1" si="17"/>
        <v>HPQ</v>
      </c>
    </row>
    <row r="228" spans="1:50" hidden="1" x14ac:dyDescent="0.3">
      <c r="A228" s="88" t="str">
        <f t="shared" ca="1" si="15"/>
        <v>IAG</v>
      </c>
      <c r="F228" s="251">
        <v>408</v>
      </c>
      <c r="G228" s="251">
        <v>407.5</v>
      </c>
      <c r="H228" s="251">
        <v>406.3</v>
      </c>
      <c r="I228" s="251">
        <v>391.2</v>
      </c>
      <c r="J228" s="251">
        <v>396</v>
      </c>
      <c r="K228" s="251">
        <v>393.8</v>
      </c>
      <c r="L228" s="251">
        <v>402.6</v>
      </c>
      <c r="M228" s="251">
        <v>402.6</v>
      </c>
      <c r="N228" s="251">
        <v>403.5</v>
      </c>
      <c r="O228" s="251">
        <v>410</v>
      </c>
      <c r="P228" s="251">
        <v>409.3</v>
      </c>
      <c r="Q228" s="251">
        <v>412.3</v>
      </c>
      <c r="R228" s="251">
        <v>414.5</v>
      </c>
      <c r="S228" s="251">
        <v>422.6</v>
      </c>
      <c r="T228" s="251">
        <v>425.2</v>
      </c>
      <c r="U228" s="251">
        <v>414.1</v>
      </c>
      <c r="V228" s="251">
        <v>366.2</v>
      </c>
      <c r="W228" s="251">
        <v>387.5</v>
      </c>
      <c r="X228" s="251">
        <v>370.38900000000001</v>
      </c>
      <c r="Y228" s="251">
        <v>377.6</v>
      </c>
      <c r="Z228" s="245">
        <f ca="1">[1]ExtEntry!$H26</f>
        <v>377.6</v>
      </c>
      <c r="AB228" s="263">
        <v>5.8327059523809541E-3</v>
      </c>
      <c r="AC228" s="263">
        <v>5.4681833333333346E-3</v>
      </c>
      <c r="AD228" s="263">
        <v>4.8833333333333341E-3</v>
      </c>
      <c r="AE228" s="263">
        <v>2.7272619047618999E-4</v>
      </c>
      <c r="AF228" s="263">
        <v>-2.1645178571428579E-3</v>
      </c>
      <c r="AG228" s="263">
        <v>-3.1704523809523819E-3</v>
      </c>
      <c r="AH228" s="263">
        <v>-1.5930119047619039E-3</v>
      </c>
      <c r="AI228" s="263">
        <v>1.3984702380952382E-3</v>
      </c>
      <c r="AJ228" s="263">
        <v>-2.1122630952380957E-3</v>
      </c>
      <c r="AK228" s="263">
        <v>-3.8688214285714294E-3</v>
      </c>
      <c r="AL228" s="263">
        <v>-2.4557488095238102E-3</v>
      </c>
      <c r="AM228" s="263">
        <v>-2.6529333333333337E-3</v>
      </c>
      <c r="AN228" s="263">
        <v>-2.9673440476190487E-3</v>
      </c>
      <c r="AO228" s="263">
        <v>-5.1639166666666691E-4</v>
      </c>
      <c r="AP228" s="263">
        <v>-3.2245583333333334E-3</v>
      </c>
      <c r="AQ228" s="263">
        <v>-4.828889285714285E-3</v>
      </c>
      <c r="AR228" s="263">
        <v>-1.6102738095238095E-3</v>
      </c>
      <c r="AS228" s="263">
        <v>3.4040119047619053E-3</v>
      </c>
      <c r="AT228" s="263">
        <v>2.8360178571428573E-3</v>
      </c>
      <c r="AU228" s="263">
        <v>3.2645238095238096E-3</v>
      </c>
      <c r="AV228" s="260">
        <f t="shared" ca="1" si="18"/>
        <v>4.1446904761904763E-3</v>
      </c>
      <c r="AX228" s="88" t="str">
        <f t="shared" ca="1" si="17"/>
        <v>IAG</v>
      </c>
    </row>
    <row r="229" spans="1:50" hidden="1" x14ac:dyDescent="0.3">
      <c r="A229" s="88" t="str">
        <f t="shared" ca="1" si="15"/>
        <v>KR</v>
      </c>
      <c r="F229" s="251">
        <v>69.13</v>
      </c>
      <c r="G229" s="251">
        <v>69.105000000000004</v>
      </c>
      <c r="H229" s="251">
        <v>68.89</v>
      </c>
      <c r="I229" s="251">
        <v>68.989999999999995</v>
      </c>
      <c r="J229" s="251">
        <v>69.16</v>
      </c>
      <c r="K229" s="251">
        <v>67.61</v>
      </c>
      <c r="L229" s="251">
        <v>68.61</v>
      </c>
      <c r="M229" s="251">
        <v>68.61</v>
      </c>
      <c r="N229" s="251">
        <v>68.66</v>
      </c>
      <c r="O229" s="251">
        <v>67.099999999999994</v>
      </c>
      <c r="P229" s="251">
        <v>68.025000000000006</v>
      </c>
      <c r="Q229" s="251">
        <v>67.69</v>
      </c>
      <c r="R229" s="251">
        <v>65.435000000000002</v>
      </c>
      <c r="S229" s="251">
        <v>63.7</v>
      </c>
      <c r="T229" s="251">
        <v>63.15</v>
      </c>
      <c r="U229" s="251">
        <v>63.4</v>
      </c>
      <c r="V229" s="251">
        <v>64.905000000000001</v>
      </c>
      <c r="W229" s="251">
        <v>66.715000000000003</v>
      </c>
      <c r="X229" s="251">
        <v>67.405000000000001</v>
      </c>
      <c r="Y229" s="251">
        <v>67.55</v>
      </c>
      <c r="Z229" s="245">
        <f ca="1">[1]ExtEntry!$H27</f>
        <v>67.55</v>
      </c>
      <c r="AB229" s="260">
        <v>1.305172619047619E-3</v>
      </c>
      <c r="AC229" s="260">
        <v>-2.6298035714285729E-3</v>
      </c>
      <c r="AD229" s="260">
        <v>1.2219535714285716E-3</v>
      </c>
      <c r="AE229" s="260">
        <v>6.1058452380952349E-4</v>
      </c>
      <c r="AF229" s="260">
        <v>2.0979476190476189E-3</v>
      </c>
      <c r="AG229" s="260">
        <v>3.8449595238095238E-3</v>
      </c>
      <c r="AH229" s="260">
        <v>6.2673880952380948E-3</v>
      </c>
      <c r="AI229" s="260">
        <v>4.1248464285714298E-3</v>
      </c>
      <c r="AJ229" s="260">
        <v>1.389659523809525E-3</v>
      </c>
      <c r="AK229" s="260">
        <v>3.9327601190476185E-3</v>
      </c>
      <c r="AL229" s="260">
        <v>2.1056767857142861E-3</v>
      </c>
      <c r="AM229" s="260">
        <v>9.8691250000000012E-4</v>
      </c>
      <c r="AN229" s="260">
        <v>-2.1456232142857135E-3</v>
      </c>
      <c r="AO229" s="260">
        <v>-4.2933315476190483E-3</v>
      </c>
      <c r="AP229" s="260">
        <v>-9.7364107142857109E-4</v>
      </c>
      <c r="AQ229" s="260">
        <v>-6.9858970238095234E-3</v>
      </c>
      <c r="AR229" s="260">
        <v>-1.0088635119047621E-2</v>
      </c>
      <c r="AS229" s="260">
        <v>-1.0567434523809526E-2</v>
      </c>
      <c r="AT229" s="260">
        <v>-9.2982321428571428E-3</v>
      </c>
      <c r="AU229" s="260">
        <v>-9.2150845238095219E-3</v>
      </c>
      <c r="AV229" s="260">
        <f t="shared" ca="1" si="18"/>
        <v>-9.5389714285714303E-3</v>
      </c>
      <c r="AX229" s="88" t="str">
        <f t="shared" ca="1" si="17"/>
        <v>KR</v>
      </c>
    </row>
    <row r="230" spans="1:50" hidden="1" x14ac:dyDescent="0.3">
      <c r="A230" s="88" t="str">
        <f t="shared" ca="1" si="15"/>
        <v>LNSR</v>
      </c>
      <c r="F230" s="251">
        <v>11.98</v>
      </c>
      <c r="G230" s="251">
        <v>11.7</v>
      </c>
      <c r="H230" s="251">
        <v>11.82</v>
      </c>
      <c r="I230" s="251">
        <v>11.85</v>
      </c>
      <c r="J230" s="251">
        <v>12.28</v>
      </c>
      <c r="K230" s="251">
        <v>12.26</v>
      </c>
      <c r="L230" s="251">
        <v>12.22</v>
      </c>
      <c r="M230" s="251">
        <v>12.22</v>
      </c>
      <c r="N230" s="251">
        <v>11.98</v>
      </c>
      <c r="O230" s="251">
        <v>11.97</v>
      </c>
      <c r="P230" s="251">
        <v>11.86</v>
      </c>
      <c r="Q230" s="251">
        <v>11.87</v>
      </c>
      <c r="R230" s="251">
        <v>12.05</v>
      </c>
      <c r="S230" s="251">
        <v>12.17</v>
      </c>
      <c r="T230" s="251">
        <v>12.52</v>
      </c>
      <c r="U230" s="251">
        <v>11.63</v>
      </c>
      <c r="V230" s="251">
        <v>10.63</v>
      </c>
      <c r="W230" s="251">
        <v>10.11</v>
      </c>
      <c r="X230" s="251">
        <v>9.9700000000000006</v>
      </c>
      <c r="Y230" s="251">
        <v>10.09</v>
      </c>
      <c r="Z230" s="245">
        <f ca="1">[1]ExtEntry!$H28</f>
        <v>10.09</v>
      </c>
      <c r="AB230" s="263">
        <v>3.5120000000000012E-3</v>
      </c>
      <c r="AC230" s="263">
        <v>-1.1529940476190468E-3</v>
      </c>
      <c r="AD230" s="263">
        <v>-9.6720714285714257E-3</v>
      </c>
      <c r="AE230" s="263">
        <v>-5.0948035714285713E-3</v>
      </c>
      <c r="AF230" s="263">
        <v>-5.27213095238095E-3</v>
      </c>
      <c r="AG230" s="263">
        <v>-2.2393630952380929E-3</v>
      </c>
      <c r="AH230" s="263">
        <v>5.1348333333333315E-3</v>
      </c>
      <c r="AI230" s="263">
        <v>-2.5668571428571416E-3</v>
      </c>
      <c r="AJ230" s="263">
        <v>2.209178571428572E-3</v>
      </c>
      <c r="AK230" s="263">
        <v>2.114017857142856E-3</v>
      </c>
      <c r="AL230" s="263">
        <v>1.8465279761904759E-2</v>
      </c>
      <c r="AM230" s="263">
        <v>2.5852107142857142E-2</v>
      </c>
      <c r="AN230" s="263">
        <v>1.8489529761904759E-2</v>
      </c>
      <c r="AO230" s="263">
        <v>1.0159071428571434E-2</v>
      </c>
      <c r="AP230" s="263">
        <v>1.7034869047619049E-2</v>
      </c>
      <c r="AQ230" s="263">
        <v>2.0148017857142854E-2</v>
      </c>
      <c r="AR230" s="263">
        <v>2.0057916666666748E-3</v>
      </c>
      <c r="AS230" s="263">
        <v>-2.919797619047617E-3</v>
      </c>
      <c r="AT230" s="263">
        <v>-2.8327434523809526E-2</v>
      </c>
      <c r="AU230" s="263">
        <v>-4.0094059523809518E-2</v>
      </c>
      <c r="AV230" s="260">
        <f t="shared" ca="1" si="18"/>
        <v>-3.2430083333333332E-2</v>
      </c>
      <c r="AX230" s="88" t="str">
        <f t="shared" ca="1" si="17"/>
        <v>LNSR</v>
      </c>
    </row>
    <row r="231" spans="1:50" hidden="1" x14ac:dyDescent="0.3">
      <c r="A231" s="88" t="str">
        <f t="shared" ca="1" si="15"/>
        <v>LUMN</v>
      </c>
      <c r="F231" s="251">
        <v>6.87</v>
      </c>
      <c r="G231" s="251">
        <v>7.1749999999999998</v>
      </c>
      <c r="H231" s="251">
        <v>7.0250000000000004</v>
      </c>
      <c r="I231" s="251">
        <v>6.9</v>
      </c>
      <c r="J231" s="251">
        <v>7.1550000000000002</v>
      </c>
      <c r="K231" s="251">
        <v>7.1749999999999998</v>
      </c>
      <c r="L231" s="251">
        <v>7.05</v>
      </c>
      <c r="M231" s="251">
        <v>7.05</v>
      </c>
      <c r="N231" s="251">
        <v>7.7850000000000001</v>
      </c>
      <c r="O231" s="251">
        <v>8.0850000000000009</v>
      </c>
      <c r="P231" s="251">
        <v>9.3800000000000008</v>
      </c>
      <c r="Q231" s="251">
        <v>10.065</v>
      </c>
      <c r="R231" s="251">
        <v>10.34</v>
      </c>
      <c r="S231" s="251">
        <v>10.65</v>
      </c>
      <c r="T231" s="251">
        <v>10.855</v>
      </c>
      <c r="U231" s="251">
        <v>10.82</v>
      </c>
      <c r="V231" s="251">
        <v>10.484999999999999</v>
      </c>
      <c r="W231" s="251">
        <v>7.9950000000000001</v>
      </c>
      <c r="X231" s="251">
        <v>7.62</v>
      </c>
      <c r="Y231" s="251">
        <v>7.5149999999999997</v>
      </c>
      <c r="Z231" s="245">
        <f ca="1">[1]ExtEntry!$H29</f>
        <v>7.5149999999999997</v>
      </c>
      <c r="AB231" s="260">
        <v>-8.0364642857142874E-3</v>
      </c>
      <c r="AC231" s="260">
        <v>-6.3379285714285725E-3</v>
      </c>
      <c r="AD231" s="260">
        <v>-6.5714642857142864E-3</v>
      </c>
      <c r="AE231" s="260">
        <v>-8.0284047619047609E-3</v>
      </c>
      <c r="AF231" s="260">
        <v>-7.4137142857142856E-3</v>
      </c>
      <c r="AG231" s="260">
        <v>-5.3504166666666674E-3</v>
      </c>
      <c r="AH231" s="260">
        <v>-2.0005416666666665E-3</v>
      </c>
      <c r="AI231" s="260">
        <v>-4.7633214285714284E-3</v>
      </c>
      <c r="AJ231" s="260">
        <v>-4.035660714285713E-3</v>
      </c>
      <c r="AK231" s="260">
        <v>-1.2094625000000001E-2</v>
      </c>
      <c r="AL231" s="260">
        <v>-9.942839285714284E-3</v>
      </c>
      <c r="AM231" s="260">
        <v>-7.3377976190476188E-3</v>
      </c>
      <c r="AN231" s="260">
        <v>-1.5321726190476179E-3</v>
      </c>
      <c r="AO231" s="260">
        <v>-2.9421130952380944E-3</v>
      </c>
      <c r="AP231" s="260">
        <v>6.7748809523809602E-4</v>
      </c>
      <c r="AQ231" s="260">
        <v>5.5790178571428588E-3</v>
      </c>
      <c r="AR231" s="260">
        <v>8.6466666666666671E-3</v>
      </c>
      <c r="AS231" s="260">
        <v>6.7344583333333327E-3</v>
      </c>
      <c r="AT231" s="260">
        <v>6.9433511904761899E-3</v>
      </c>
      <c r="AU231" s="260">
        <v>1.0433035714285714E-2</v>
      </c>
      <c r="AV231" s="260">
        <f t="shared" ca="1" si="18"/>
        <v>-9.1228511904761899E-3</v>
      </c>
      <c r="AX231" s="88" t="str">
        <f t="shared" ca="1" si="17"/>
        <v>LUMN</v>
      </c>
    </row>
    <row r="232" spans="1:50" hidden="1" x14ac:dyDescent="0.3">
      <c r="A232" s="88" t="str">
        <f t="shared" ca="1" si="15"/>
        <v>MRNA</v>
      </c>
      <c r="F232" s="251">
        <v>26.25</v>
      </c>
      <c r="G232" s="251">
        <v>27.754999999999999</v>
      </c>
      <c r="H232" s="251">
        <v>27.14</v>
      </c>
      <c r="I232" s="251">
        <v>26.01</v>
      </c>
      <c r="J232" s="251">
        <v>27.24</v>
      </c>
      <c r="K232" s="251">
        <v>27.49</v>
      </c>
      <c r="L232" s="251">
        <v>26.85</v>
      </c>
      <c r="M232" s="251">
        <v>26.85</v>
      </c>
      <c r="N232" s="251">
        <v>26.25</v>
      </c>
      <c r="O232" s="251">
        <v>26.74</v>
      </c>
      <c r="P232" s="251">
        <v>26.66</v>
      </c>
      <c r="Q232" s="251">
        <v>25.35</v>
      </c>
      <c r="R232" s="251">
        <v>28.14</v>
      </c>
      <c r="S232" s="251">
        <v>23.774999999999999</v>
      </c>
      <c r="T232" s="251">
        <v>23.56</v>
      </c>
      <c r="U232" s="251">
        <v>24.105</v>
      </c>
      <c r="V232" s="251">
        <v>24.524999999999999</v>
      </c>
      <c r="W232" s="251">
        <v>24.77</v>
      </c>
      <c r="X232" s="251">
        <v>24.92</v>
      </c>
      <c r="Y232" s="251">
        <v>24.28</v>
      </c>
      <c r="Z232" s="245">
        <f ca="1">[1]ExtEntry!$H30</f>
        <v>24.28</v>
      </c>
      <c r="AB232" s="263">
        <v>-2.9939607142857143E-3</v>
      </c>
      <c r="AC232" s="263">
        <v>-1.6919130952380954E-3</v>
      </c>
      <c r="AD232" s="263">
        <v>-2.9404309523809527E-3</v>
      </c>
      <c r="AE232" s="263">
        <v>-1.7035083333333341E-3</v>
      </c>
      <c r="AF232" s="263">
        <v>-5.3952023809523823E-4</v>
      </c>
      <c r="AG232" s="263">
        <v>1.0620690476190475E-3</v>
      </c>
      <c r="AH232" s="263">
        <v>1.7799916666666666E-3</v>
      </c>
      <c r="AI232" s="263">
        <v>9.7139642857142902E-4</v>
      </c>
      <c r="AJ232" s="263">
        <v>1.1771420238095237E-3</v>
      </c>
      <c r="AK232" s="263">
        <v>1.6021539285714288E-3</v>
      </c>
      <c r="AL232" s="263">
        <v>3.6303205952380943E-3</v>
      </c>
      <c r="AM232" s="263">
        <v>5.0004991666666668E-3</v>
      </c>
      <c r="AN232" s="263">
        <v>2.2813325000000002E-3</v>
      </c>
      <c r="AO232" s="263">
        <v>1.7927789285714282E-3</v>
      </c>
      <c r="AP232" s="263">
        <v>-3.4504845238095229E-4</v>
      </c>
      <c r="AQ232" s="263">
        <v>-2.419024642857143E-3</v>
      </c>
      <c r="AR232" s="263">
        <v>-2.754862857142857E-3</v>
      </c>
      <c r="AS232" s="263">
        <v>-2.3488450000000004E-3</v>
      </c>
      <c r="AT232" s="263">
        <v>-6.5484819047619044E-3</v>
      </c>
      <c r="AU232" s="263">
        <v>-1.0380184285714286E-2</v>
      </c>
      <c r="AV232" s="260">
        <f t="shared" ca="1" si="18"/>
        <v>-7.5892735714285699E-3</v>
      </c>
      <c r="AX232" s="88" t="str">
        <f t="shared" ca="1" si="17"/>
        <v>MRNA</v>
      </c>
    </row>
    <row r="233" spans="1:50" hidden="1" x14ac:dyDescent="0.3">
      <c r="A233" s="88" t="str">
        <f t="shared" ca="1" si="15"/>
        <v>MSFT</v>
      </c>
      <c r="F233" s="251">
        <v>513.57000000000005</v>
      </c>
      <c r="G233" s="251">
        <v>512.49009999999998</v>
      </c>
      <c r="H233" s="251">
        <v>511.61</v>
      </c>
      <c r="I233" s="251">
        <v>513.58000000000004</v>
      </c>
      <c r="J233" s="251">
        <v>516.79</v>
      </c>
      <c r="K233" s="251">
        <v>517.66</v>
      </c>
      <c r="L233" s="251">
        <v>520.54</v>
      </c>
      <c r="M233" s="251">
        <v>520.54</v>
      </c>
      <c r="N233" s="251">
        <v>520.55999999999995</v>
      </c>
      <c r="O233" s="251">
        <v>523.61</v>
      </c>
      <c r="P233" s="251">
        <v>531.52</v>
      </c>
      <c r="Q233" s="251">
        <v>542.07000000000005</v>
      </c>
      <c r="R233" s="251">
        <v>525.81799999999998</v>
      </c>
      <c r="S233" s="251">
        <v>514.09</v>
      </c>
      <c r="T233" s="251">
        <v>507.16</v>
      </c>
      <c r="U233" s="251">
        <v>497.15</v>
      </c>
      <c r="V233" s="251">
        <v>497.63</v>
      </c>
      <c r="W233" s="251">
        <v>510.18</v>
      </c>
      <c r="X233" s="251">
        <v>493.79</v>
      </c>
      <c r="Y233" s="251">
        <v>486.59</v>
      </c>
      <c r="Z233" s="245">
        <f ca="1">[1]ExtEntry!$H31</f>
        <v>486.59</v>
      </c>
      <c r="AB233" s="260">
        <v>-5.6323809523808714E-5</v>
      </c>
      <c r="AC233" s="260">
        <v>1.7084559523809521E-3</v>
      </c>
      <c r="AD233" s="260">
        <v>-3.1011452380952393E-3</v>
      </c>
      <c r="AE233" s="260">
        <v>-5.0591035714285726E-3</v>
      </c>
      <c r="AF233" s="260">
        <v>-5.9233952380952385E-3</v>
      </c>
      <c r="AG233" s="260">
        <v>-5.9412940476190491E-3</v>
      </c>
      <c r="AH233" s="260">
        <v>-5.696805952380952E-3</v>
      </c>
      <c r="AI233" s="260">
        <v>-8.176595238095238E-3</v>
      </c>
      <c r="AJ233" s="260">
        <v>-7.2971369047619052E-3</v>
      </c>
      <c r="AK233" s="260">
        <v>-7.3883809523809536E-3</v>
      </c>
      <c r="AL233" s="260">
        <v>-4.1061726190476195E-3</v>
      </c>
      <c r="AM233" s="260">
        <v>-5.7421071428571434E-3</v>
      </c>
      <c r="AN233" s="260">
        <v>-6.6992142857142866E-3</v>
      </c>
      <c r="AO233" s="260">
        <v>-3.8459285714285709E-3</v>
      </c>
      <c r="AP233" s="260">
        <v>-2.0226309523809515E-3</v>
      </c>
      <c r="AQ233" s="260">
        <v>1.0637797619047617E-3</v>
      </c>
      <c r="AR233" s="260">
        <v>2.712940476190476E-3</v>
      </c>
      <c r="AS233" s="260">
        <v>1.3286249999999995E-3</v>
      </c>
      <c r="AT233" s="260">
        <v>-2.1661964285714288E-3</v>
      </c>
      <c r="AU233" s="260">
        <v>1.3141726190476189E-3</v>
      </c>
      <c r="AV233" s="260">
        <f t="shared" ca="1" si="18"/>
        <v>2.1292142857142855E-3</v>
      </c>
      <c r="AX233" s="88" t="str">
        <f t="shared" ca="1" si="17"/>
        <v>MSFT</v>
      </c>
    </row>
    <row r="234" spans="1:50" hidden="1" x14ac:dyDescent="0.3">
      <c r="A234" s="88" t="str">
        <f t="shared" ca="1" si="15"/>
        <v>NEE</v>
      </c>
      <c r="F234" s="251">
        <v>84.635000000000005</v>
      </c>
      <c r="G234" s="251">
        <v>85.79</v>
      </c>
      <c r="H234" s="251">
        <v>85.05</v>
      </c>
      <c r="I234" s="251">
        <v>84.53</v>
      </c>
      <c r="J234" s="251">
        <v>84.775000000000006</v>
      </c>
      <c r="K234" s="251">
        <v>83.99</v>
      </c>
      <c r="L234" s="251">
        <v>82.85</v>
      </c>
      <c r="M234" s="251">
        <v>82.85</v>
      </c>
      <c r="N234" s="251">
        <v>83.27</v>
      </c>
      <c r="O234" s="251">
        <v>84.41</v>
      </c>
      <c r="P234" s="251">
        <v>86</v>
      </c>
      <c r="Q234" s="251">
        <v>83.55</v>
      </c>
      <c r="R234" s="251">
        <v>81.62</v>
      </c>
      <c r="S234" s="251">
        <v>81.459999999999994</v>
      </c>
      <c r="T234" s="251">
        <v>82.14</v>
      </c>
      <c r="U234" s="251">
        <v>82.39</v>
      </c>
      <c r="V234" s="251">
        <v>83.71</v>
      </c>
      <c r="W234" s="251">
        <v>83.85</v>
      </c>
      <c r="X234" s="251">
        <v>84.7</v>
      </c>
      <c r="Y234" s="251">
        <v>84.71</v>
      </c>
      <c r="Z234" s="245">
        <f ca="1">[1]ExtEntry!$H32</f>
        <v>84.71</v>
      </c>
      <c r="AB234" s="263">
        <v>-6.0753392857142837E-3</v>
      </c>
      <c r="AC234" s="263">
        <v>-4.0445476190476195E-3</v>
      </c>
      <c r="AD234" s="263">
        <v>-9.8955357142857005E-4</v>
      </c>
      <c r="AE234" s="263">
        <v>-4.9362202380952387E-3</v>
      </c>
      <c r="AF234" s="263">
        <v>-1.4512797619047639E-3</v>
      </c>
      <c r="AG234" s="263">
        <v>-1.9024285714285721E-3</v>
      </c>
      <c r="AH234" s="263">
        <v>4.0453571428571431E-3</v>
      </c>
      <c r="AI234" s="263">
        <v>-1.0476964285714271E-3</v>
      </c>
      <c r="AJ234" s="263">
        <v>-1.6938035714285718E-3</v>
      </c>
      <c r="AK234" s="263">
        <v>-1.0704583333333333E-2</v>
      </c>
      <c r="AL234" s="263">
        <v>-2.0460696428571429E-2</v>
      </c>
      <c r="AM234" s="263">
        <v>-1.0375327380952381E-2</v>
      </c>
      <c r="AN234" s="263">
        <v>-1.3613166666666669E-2</v>
      </c>
      <c r="AO234" s="263">
        <v>-3.9052678571428563E-3</v>
      </c>
      <c r="AP234" s="263">
        <v>-1.9592440476190469E-3</v>
      </c>
      <c r="AQ234" s="263">
        <v>-1.7763273809523793E-3</v>
      </c>
      <c r="AR234" s="263">
        <v>-4.4991249999999997E-3</v>
      </c>
      <c r="AS234" s="263">
        <v>2.4894940476190485E-3</v>
      </c>
      <c r="AT234" s="263">
        <v>7.4772261904761904E-3</v>
      </c>
      <c r="AU234" s="263">
        <v>5.5352023809523802E-3</v>
      </c>
      <c r="AV234" s="260">
        <f t="shared" ca="1" si="18"/>
        <v>4.6334285714285705E-3</v>
      </c>
      <c r="AX234" s="88" t="str">
        <f t="shared" ca="1" si="17"/>
        <v>NEE</v>
      </c>
    </row>
    <row r="235" spans="1:50" hidden="1" x14ac:dyDescent="0.3">
      <c r="A235" s="88" t="str">
        <f t="shared" ca="1" si="15"/>
        <v>NEM</v>
      </c>
      <c r="F235" s="251">
        <v>90.54</v>
      </c>
      <c r="G235" s="251">
        <v>93.64</v>
      </c>
      <c r="H235" s="251">
        <v>98.25</v>
      </c>
      <c r="I235" s="251">
        <v>90.77</v>
      </c>
      <c r="J235" s="251">
        <v>94.894999999999996</v>
      </c>
      <c r="K235" s="251">
        <v>86.305000000000007</v>
      </c>
      <c r="L235" s="251">
        <v>87</v>
      </c>
      <c r="M235" s="251">
        <v>87</v>
      </c>
      <c r="N235" s="251">
        <v>88.86</v>
      </c>
      <c r="O235" s="251">
        <v>83.33</v>
      </c>
      <c r="P235" s="251">
        <v>78.62</v>
      </c>
      <c r="Q235" s="251">
        <v>79.33</v>
      </c>
      <c r="R235" s="251">
        <v>82.33</v>
      </c>
      <c r="S235" s="251">
        <v>78.959999999999994</v>
      </c>
      <c r="T235" s="251">
        <v>81.62</v>
      </c>
      <c r="U235" s="251">
        <v>82.614800000000002</v>
      </c>
      <c r="V235" s="251">
        <v>83.35</v>
      </c>
      <c r="W235" s="251">
        <v>87.8</v>
      </c>
      <c r="X235" s="251">
        <v>86.61</v>
      </c>
      <c r="Y235" s="251">
        <v>87.594999999999999</v>
      </c>
      <c r="Z235" s="245">
        <f ca="1">[1]ExtEntry!$H33</f>
        <v>87.594999999999999</v>
      </c>
      <c r="AB235" s="260">
        <v>5.1672809523809534E-3</v>
      </c>
      <c r="AC235" s="260">
        <v>6.0561619047619052E-3</v>
      </c>
      <c r="AD235" s="260">
        <v>5.7101976190476206E-3</v>
      </c>
      <c r="AE235" s="260">
        <v>2.9563285714285718E-3</v>
      </c>
      <c r="AF235" s="260">
        <v>3.8083166666666671E-3</v>
      </c>
      <c r="AG235" s="260">
        <v>3.0077749999999999E-3</v>
      </c>
      <c r="AH235" s="260">
        <v>-6.5494452380952372E-3</v>
      </c>
      <c r="AI235" s="260">
        <v>-1.4577947619047618E-2</v>
      </c>
      <c r="AJ235" s="260">
        <v>-1.4960727380952381E-2</v>
      </c>
      <c r="AK235" s="260">
        <v>-1.5202370238095234E-2</v>
      </c>
      <c r="AL235" s="260">
        <v>-1.3071634523809522E-2</v>
      </c>
      <c r="AM235" s="260">
        <v>-1.4414574999999995E-2</v>
      </c>
      <c r="AN235" s="260">
        <v>-1.9598104761904756E-2</v>
      </c>
      <c r="AO235" s="260">
        <v>-2.1852336904761901E-2</v>
      </c>
      <c r="AP235" s="260">
        <v>-9.2182119047619082E-3</v>
      </c>
      <c r="AQ235" s="260">
        <v>2.6902880952380959E-3</v>
      </c>
      <c r="AR235" s="260">
        <v>4.2947583333333306E-3</v>
      </c>
      <c r="AS235" s="260">
        <v>4.523639285714285E-3</v>
      </c>
      <c r="AT235" s="260">
        <v>7.864269047619046E-3</v>
      </c>
      <c r="AU235" s="260">
        <v>4.6939178571428564E-3</v>
      </c>
      <c r="AV235" s="260">
        <f t="shared" ca="1" si="18"/>
        <v>3.0258416666666642E-3</v>
      </c>
      <c r="AX235" s="88" t="str">
        <f t="shared" ca="1" si="17"/>
        <v>NEM</v>
      </c>
    </row>
    <row r="236" spans="1:50" hidden="1" x14ac:dyDescent="0.3">
      <c r="A236" s="88" t="str">
        <f t="shared" ca="1" si="15"/>
        <v>NFLX</v>
      </c>
      <c r="F236" s="251">
        <v>1215.3499999999999</v>
      </c>
      <c r="G236" s="251">
        <v>1206.58</v>
      </c>
      <c r="H236" s="251">
        <v>1183.5899999999999</v>
      </c>
      <c r="I236" s="251">
        <v>1199.3599999999999</v>
      </c>
      <c r="J236" s="251">
        <v>1238.56</v>
      </c>
      <c r="K236" s="251">
        <v>1241.3499999999999</v>
      </c>
      <c r="L236" s="251">
        <v>1116.3699999999999</v>
      </c>
      <c r="M236" s="251">
        <v>1116.3699999999999</v>
      </c>
      <c r="N236" s="251">
        <v>1113.5899999999999</v>
      </c>
      <c r="O236" s="251">
        <v>1094.69</v>
      </c>
      <c r="P236" s="251">
        <v>1094.56</v>
      </c>
      <c r="Q236" s="251">
        <v>1102.5</v>
      </c>
      <c r="R236" s="251">
        <v>1089</v>
      </c>
      <c r="S236" s="251">
        <v>1087.8675000000001</v>
      </c>
      <c r="T236" s="251">
        <v>1098.46</v>
      </c>
      <c r="U236" s="251">
        <v>1094.21</v>
      </c>
      <c r="V236" s="251">
        <v>1099.25</v>
      </c>
      <c r="W236" s="251">
        <v>1112.17</v>
      </c>
      <c r="X236" s="251">
        <v>114.09</v>
      </c>
      <c r="Y236" s="251">
        <v>109.78</v>
      </c>
      <c r="Z236" s="245">
        <f ca="1">[1]ExtEntry!$H34</f>
        <v>109.78</v>
      </c>
      <c r="AB236" s="263">
        <v>3.1940595238095231E-3</v>
      </c>
      <c r="AC236" s="263">
        <v>-7.3433750000000009E-3</v>
      </c>
      <c r="AD236" s="263">
        <v>-1.6924244047619053E-2</v>
      </c>
      <c r="AE236" s="263">
        <v>-1.5796345238095241E-2</v>
      </c>
      <c r="AF236" s="263">
        <v>-1.9072041666666671E-2</v>
      </c>
      <c r="AG236" s="263">
        <v>-1.1341505952380957E-2</v>
      </c>
      <c r="AH236" s="263">
        <v>-2.2621369047619022E-3</v>
      </c>
      <c r="AI236" s="263">
        <v>-6.8541547619047575E-3</v>
      </c>
      <c r="AJ236" s="263">
        <v>-6.0872916666666653E-3</v>
      </c>
      <c r="AK236" s="263">
        <v>-7.9461904761904765E-3</v>
      </c>
      <c r="AL236" s="263">
        <v>-2.9094345238095251E-3</v>
      </c>
      <c r="AM236" s="263">
        <v>-1.0991309523809521E-3</v>
      </c>
      <c r="AN236" s="263">
        <v>-7.6749821428571431E-3</v>
      </c>
      <c r="AO236" s="263">
        <v>-1.3976976190476191E-2</v>
      </c>
      <c r="AP236" s="263">
        <v>-1.2409321428571429E-2</v>
      </c>
      <c r="AQ236" s="263">
        <v>-1.1685071428571427E-2</v>
      </c>
      <c r="AR236" s="263">
        <v>-1.742017261904762E-2</v>
      </c>
      <c r="AS236" s="263">
        <v>-1.2792559523809532E-2</v>
      </c>
      <c r="AT236" s="263">
        <v>-1.8582785714285711E-2</v>
      </c>
      <c r="AU236" s="263">
        <v>-2.1262851190476193E-2</v>
      </c>
      <c r="AV236" s="260">
        <f t="shared" ca="1" si="18"/>
        <v>-2.4846559523809531E-2</v>
      </c>
      <c r="AX236" s="88" t="str">
        <f t="shared" ca="1" si="17"/>
        <v>NFLX</v>
      </c>
    </row>
    <row r="237" spans="1:50" hidden="1" x14ac:dyDescent="0.3">
      <c r="A237" s="88" t="str">
        <f t="shared" ref="A237:A268" ca="1" si="19">A137</f>
        <v>NOTE</v>
      </c>
      <c r="F237" s="251">
        <v>4.7</v>
      </c>
      <c r="G237" s="251">
        <v>4.6740000000000004</v>
      </c>
      <c r="H237" s="251">
        <v>4.3899999999999997</v>
      </c>
      <c r="I237" s="251">
        <v>4.25</v>
      </c>
      <c r="J237" s="251">
        <v>4.45</v>
      </c>
      <c r="K237" s="251">
        <v>4.49</v>
      </c>
      <c r="L237" s="251">
        <v>4.24</v>
      </c>
      <c r="M237" s="251">
        <v>4.24</v>
      </c>
      <c r="N237" s="251">
        <v>4.45</v>
      </c>
      <c r="O237" s="251">
        <v>4.37</v>
      </c>
      <c r="P237" s="251">
        <v>4.3</v>
      </c>
      <c r="Q237" s="251">
        <v>4.1500000000000004</v>
      </c>
      <c r="R237" s="251">
        <v>3.98</v>
      </c>
      <c r="S237" s="251">
        <v>3.7149999999999999</v>
      </c>
      <c r="T237" s="251">
        <v>3.31</v>
      </c>
      <c r="U237" s="251">
        <v>2.9653999999999998</v>
      </c>
      <c r="V237" s="251">
        <v>3.05</v>
      </c>
      <c r="W237" s="251">
        <v>2.54</v>
      </c>
      <c r="X237" s="251">
        <v>2.2400000000000002</v>
      </c>
      <c r="Y237" s="251">
        <v>2.13</v>
      </c>
      <c r="Z237" s="245">
        <f ca="1">[1]ExtEntry!$H35</f>
        <v>2.13</v>
      </c>
      <c r="AB237" s="260">
        <v>-1.0629017857142858E-2</v>
      </c>
      <c r="AC237" s="260">
        <v>-6.6539166666666682E-3</v>
      </c>
      <c r="AD237" s="260">
        <v>-5.5056071428571437E-3</v>
      </c>
      <c r="AE237" s="260">
        <v>-1.0122190476190479E-2</v>
      </c>
      <c r="AF237" s="260">
        <v>-7.9341785714285729E-3</v>
      </c>
      <c r="AG237" s="260">
        <v>-1.0131999999999999E-2</v>
      </c>
      <c r="AH237" s="260">
        <v>-3.8278690476190452E-3</v>
      </c>
      <c r="AI237" s="260">
        <v>-1.0018041666666663E-2</v>
      </c>
      <c r="AJ237" s="260">
        <v>-7.1959107142857137E-3</v>
      </c>
      <c r="AK237" s="260">
        <v>-1.1242726190476187E-2</v>
      </c>
      <c r="AL237" s="260">
        <v>-1.5740113095238092E-2</v>
      </c>
      <c r="AM237" s="260">
        <v>-2.7786130952380944E-3</v>
      </c>
      <c r="AN237" s="260">
        <v>-4.8153511904761893E-3</v>
      </c>
      <c r="AO237" s="260">
        <v>5.2843809523809519E-3</v>
      </c>
      <c r="AP237" s="260">
        <v>4.9695892857142872E-3</v>
      </c>
      <c r="AQ237" s="260">
        <v>3.1957684523809507E-3</v>
      </c>
      <c r="AR237" s="260">
        <v>3.260839880952382E-3</v>
      </c>
      <c r="AS237" s="260">
        <v>2.3193339285714305E-3</v>
      </c>
      <c r="AT237" s="260">
        <v>7.7582863095238099E-3</v>
      </c>
      <c r="AU237" s="260">
        <v>5.2923279761904751E-3</v>
      </c>
      <c r="AV237" s="260">
        <f t="shared" ca="1" si="18"/>
        <v>7.4263696428571429E-3</v>
      </c>
      <c r="AX237" s="88" t="str">
        <f t="shared" ref="AX237:AX268" ca="1" si="20">A237</f>
        <v>NOTE</v>
      </c>
    </row>
    <row r="238" spans="1:50" hidden="1" x14ac:dyDescent="0.3">
      <c r="A238" s="88" t="str">
        <f t="shared" ca="1" si="19"/>
        <v>PAAS</v>
      </c>
      <c r="F238" s="251">
        <v>39.56</v>
      </c>
      <c r="G238" s="251">
        <v>41.06</v>
      </c>
      <c r="H238" s="251">
        <v>42.03</v>
      </c>
      <c r="I238" s="251">
        <v>38.44</v>
      </c>
      <c r="J238" s="251">
        <v>39.35</v>
      </c>
      <c r="K238" s="251">
        <v>35.435000000000002</v>
      </c>
      <c r="L238" s="251">
        <v>35.875</v>
      </c>
      <c r="M238" s="251">
        <v>35.875</v>
      </c>
      <c r="N238" s="251">
        <v>36.21</v>
      </c>
      <c r="O238" s="251">
        <v>36.33</v>
      </c>
      <c r="P238" s="251">
        <v>34.74</v>
      </c>
      <c r="Q238" s="251">
        <v>35.24</v>
      </c>
      <c r="R238" s="251">
        <v>35.549999999999997</v>
      </c>
      <c r="S238" s="251">
        <v>33.280200000000001</v>
      </c>
      <c r="T238" s="251">
        <v>33.770000000000003</v>
      </c>
      <c r="U238" s="251">
        <v>33.744999999999997</v>
      </c>
      <c r="V238" s="251">
        <v>34.719900000000003</v>
      </c>
      <c r="W238" s="251">
        <v>38.51</v>
      </c>
      <c r="X238" s="251">
        <v>38.07</v>
      </c>
      <c r="Y238" s="251">
        <v>38.49</v>
      </c>
      <c r="Z238" s="245">
        <f ca="1">[1]ExtEntry!$H36</f>
        <v>38.49</v>
      </c>
      <c r="AB238" s="263">
        <v>6.527660714285715E-3</v>
      </c>
      <c r="AC238" s="263">
        <v>-5.2981369047618992E-3</v>
      </c>
      <c r="AD238" s="263">
        <v>-1.7842446428571433E-2</v>
      </c>
      <c r="AE238" s="263">
        <v>-3.1021726190476183E-2</v>
      </c>
      <c r="AF238" s="263">
        <v>-3.052020238095237E-2</v>
      </c>
      <c r="AG238" s="263">
        <v>-2.4987886904761902E-2</v>
      </c>
      <c r="AH238" s="263">
        <v>-2.831913095238095E-2</v>
      </c>
      <c r="AI238" s="263">
        <v>-2.8055273809523808E-2</v>
      </c>
      <c r="AJ238" s="263">
        <v>-2.3629946428571427E-2</v>
      </c>
      <c r="AK238" s="263">
        <v>-1.8086273809523806E-2</v>
      </c>
      <c r="AL238" s="263">
        <v>-1.2815976190476187E-2</v>
      </c>
      <c r="AM238" s="263">
        <v>-3.387684523809522E-3</v>
      </c>
      <c r="AN238" s="263">
        <v>-1.1125654761904758E-2</v>
      </c>
      <c r="AO238" s="263">
        <v>-1.347248214285714E-2</v>
      </c>
      <c r="AP238" s="263">
        <v>-9.1433928571428569E-4</v>
      </c>
      <c r="AQ238" s="263">
        <v>1.1744523809523812E-2</v>
      </c>
      <c r="AR238" s="263">
        <v>2.0967988095238099E-2</v>
      </c>
      <c r="AS238" s="263">
        <v>2.4554714285714284E-2</v>
      </c>
      <c r="AT238" s="263">
        <v>2.10225E-2</v>
      </c>
      <c r="AU238" s="263">
        <v>1.355285714285714E-3</v>
      </c>
      <c r="AV238" s="260">
        <f t="shared" ca="1" si="18"/>
        <v>-5.2945238095238132E-4</v>
      </c>
      <c r="AX238" s="88" t="str">
        <f t="shared" ca="1" si="20"/>
        <v>PAAS</v>
      </c>
    </row>
    <row r="239" spans="1:50" hidden="1" x14ac:dyDescent="0.3">
      <c r="A239" s="88" t="str">
        <f t="shared" ca="1" si="19"/>
        <v>PROF</v>
      </c>
      <c r="F239" s="251">
        <v>5.83</v>
      </c>
      <c r="G239" s="251">
        <v>5.6</v>
      </c>
      <c r="H239" s="251">
        <v>5.56</v>
      </c>
      <c r="I239" s="251">
        <v>5.53</v>
      </c>
      <c r="J239" s="251">
        <v>5.78</v>
      </c>
      <c r="K239" s="251">
        <v>5.86</v>
      </c>
      <c r="L239" s="251">
        <v>5.42</v>
      </c>
      <c r="M239" s="251">
        <v>5.42</v>
      </c>
      <c r="N239" s="251">
        <v>5.306</v>
      </c>
      <c r="O239" s="251">
        <v>5.5</v>
      </c>
      <c r="P239" s="251">
        <v>5.5</v>
      </c>
      <c r="Q239" s="251">
        <v>6.2</v>
      </c>
      <c r="R239" s="251">
        <v>6.12</v>
      </c>
      <c r="S239" s="251">
        <v>5.875</v>
      </c>
      <c r="T239" s="251">
        <v>5.86</v>
      </c>
      <c r="U239" s="251">
        <v>5.86</v>
      </c>
      <c r="V239" s="251">
        <v>5.9249999999999998</v>
      </c>
      <c r="W239" s="251">
        <v>6.85</v>
      </c>
      <c r="X239" s="251">
        <v>6.23</v>
      </c>
      <c r="Y239" s="251">
        <v>5.99</v>
      </c>
      <c r="Z239" s="245">
        <f ca="1">[1]ExtEntry!$H37</f>
        <v>5.99</v>
      </c>
      <c r="AB239" s="260">
        <v>3.7739214285714293E-2</v>
      </c>
      <c r="AC239" s="260">
        <v>1.9405351190476192E-2</v>
      </c>
      <c r="AD239" s="260">
        <v>1.7397583333333334E-2</v>
      </c>
      <c r="AE239" s="260">
        <v>-1.663831547619047E-2</v>
      </c>
      <c r="AF239" s="260">
        <v>-3.2293827380952378E-2</v>
      </c>
      <c r="AG239" s="260">
        <v>-2.8980357142857141E-2</v>
      </c>
      <c r="AH239" s="260">
        <v>-2.5240083333333323E-2</v>
      </c>
      <c r="AI239" s="260">
        <v>-3.1425172619047613E-2</v>
      </c>
      <c r="AJ239" s="260">
        <v>-4.0851696428571421E-2</v>
      </c>
      <c r="AK239" s="260">
        <v>-2.0825886904761903E-2</v>
      </c>
      <c r="AL239" s="260">
        <v>-2.0425440476190472E-2</v>
      </c>
      <c r="AM239" s="260">
        <v>-1.7673839285714286E-2</v>
      </c>
      <c r="AN239" s="260">
        <v>-3.0307601190476187E-2</v>
      </c>
      <c r="AO239" s="260">
        <v>-3.2125994047619053E-2</v>
      </c>
      <c r="AP239" s="260">
        <v>-2.5188946428571425E-2</v>
      </c>
      <c r="AQ239" s="260">
        <v>-3.4745178571428573E-2</v>
      </c>
      <c r="AR239" s="260">
        <v>-2.1806005952380955E-2</v>
      </c>
      <c r="AS239" s="260">
        <v>-3.4379440476190473E-2</v>
      </c>
      <c r="AT239" s="260">
        <v>-2.1764178571428566E-2</v>
      </c>
      <c r="AU239" s="260">
        <v>-1.9999315476190476E-2</v>
      </c>
      <c r="AV239" s="260">
        <f t="shared" ca="1" si="18"/>
        <v>-1.2197863095238095E-2</v>
      </c>
      <c r="AX239" s="88" t="str">
        <f t="shared" ca="1" si="20"/>
        <v>PROF</v>
      </c>
    </row>
    <row r="240" spans="1:50" hidden="1" x14ac:dyDescent="0.3">
      <c r="A240" s="88" t="str">
        <f t="shared" ca="1" si="19"/>
        <v>POET</v>
      </c>
      <c r="F240" s="251">
        <v>9.0500000000000007</v>
      </c>
      <c r="G240" s="251">
        <v>8.3849999999999998</v>
      </c>
      <c r="H240" s="251">
        <v>7.56</v>
      </c>
      <c r="I240" s="251">
        <v>7.02</v>
      </c>
      <c r="J240" s="251">
        <v>7.59</v>
      </c>
      <c r="K240" s="251">
        <v>7.45</v>
      </c>
      <c r="L240" s="251">
        <v>7.37</v>
      </c>
      <c r="M240" s="251">
        <v>7.37</v>
      </c>
      <c r="N240" s="251">
        <v>7.31</v>
      </c>
      <c r="O240" s="251">
        <v>8.23</v>
      </c>
      <c r="P240" s="251">
        <v>7.41</v>
      </c>
      <c r="Q240" s="251">
        <v>7.07</v>
      </c>
      <c r="R240" s="251">
        <v>6.38</v>
      </c>
      <c r="S240" s="251">
        <v>5.9550000000000001</v>
      </c>
      <c r="T240" s="251">
        <v>6.0350000000000001</v>
      </c>
      <c r="U240" s="251">
        <v>5.3449999999999998</v>
      </c>
      <c r="V240" s="251">
        <v>5.3699000000000003</v>
      </c>
      <c r="W240" s="251">
        <v>4.4000000000000004</v>
      </c>
      <c r="X240" s="251">
        <v>4.29</v>
      </c>
      <c r="Y240" s="251">
        <v>4.1844000000000001</v>
      </c>
      <c r="Z240" s="245">
        <f ca="1">[1]ExtEntry!$H38</f>
        <v>4.1844000000000001</v>
      </c>
      <c r="AB240" s="263">
        <v>-1.5855607142857144E-2</v>
      </c>
      <c r="AC240" s="263">
        <v>-1.7582583333333332E-2</v>
      </c>
      <c r="AD240" s="263">
        <v>-1.6594529761904765E-2</v>
      </c>
      <c r="AE240" s="263">
        <v>-2.4736619047619049E-2</v>
      </c>
      <c r="AF240" s="263">
        <v>-2.5479672619047614E-2</v>
      </c>
      <c r="AG240" s="263">
        <v>-2.3392440476190473E-2</v>
      </c>
      <c r="AH240" s="263">
        <v>-2.1552833333333334E-2</v>
      </c>
      <c r="AI240" s="263">
        <v>-2.2798333333333337E-2</v>
      </c>
      <c r="AJ240" s="263">
        <v>-2.0023773809523807E-2</v>
      </c>
      <c r="AK240" s="263">
        <v>-1.7331047619047614E-2</v>
      </c>
      <c r="AL240" s="263">
        <v>-5.5721904761904702E-3</v>
      </c>
      <c r="AM240" s="263">
        <v>3.5285714285714261E-3</v>
      </c>
      <c r="AN240" s="263">
        <v>7.911589285714284E-3</v>
      </c>
      <c r="AO240" s="263">
        <v>9.7185297619047581E-3</v>
      </c>
      <c r="AP240" s="263">
        <v>2.5769458333333332E-2</v>
      </c>
      <c r="AQ240" s="263">
        <v>3.1801124999999993E-2</v>
      </c>
      <c r="AR240" s="263">
        <v>3.317880952380952E-2</v>
      </c>
      <c r="AS240" s="263">
        <v>3.3152339285714275E-2</v>
      </c>
      <c r="AT240" s="263">
        <v>1.3424464285714281E-2</v>
      </c>
      <c r="AU240" s="263">
        <v>1.7729571428571428E-2</v>
      </c>
      <c r="AV240" s="260">
        <f t="shared" ca="1" si="18"/>
        <v>1.2478422619047622E-2</v>
      </c>
      <c r="AX240" s="88" t="str">
        <f t="shared" ca="1" si="20"/>
        <v>POET</v>
      </c>
    </row>
    <row r="241" spans="1:50" hidden="1" x14ac:dyDescent="0.3">
      <c r="A241" s="88" t="str">
        <f t="shared" ca="1" si="19"/>
        <v>PW</v>
      </c>
      <c r="F241" s="251">
        <v>0.87160000000000004</v>
      </c>
      <c r="G241" s="251">
        <v>0.9</v>
      </c>
      <c r="H241" s="251">
        <v>0.89990000000000003</v>
      </c>
      <c r="I241" s="251">
        <v>0.82040000000000002</v>
      </c>
      <c r="J241" s="251">
        <v>0.78110000000000002</v>
      </c>
      <c r="K241" s="251">
        <v>0.7641</v>
      </c>
      <c r="L241" s="251">
        <v>0.70950000000000002</v>
      </c>
      <c r="M241" s="251">
        <v>0.70950000000000002</v>
      </c>
      <c r="N241" s="251">
        <v>0.68500000000000005</v>
      </c>
      <c r="O241" s="251">
        <v>0.75349999999999995</v>
      </c>
      <c r="P241" s="251">
        <v>0.81399999999999995</v>
      </c>
      <c r="Q241" s="251">
        <v>0.75509999999999999</v>
      </c>
      <c r="R241" s="251">
        <v>0.69950000000000001</v>
      </c>
      <c r="S241" s="251">
        <v>0.71150000000000002</v>
      </c>
      <c r="T241" s="251">
        <v>0.745</v>
      </c>
      <c r="U241" s="251">
        <v>0.72970000000000002</v>
      </c>
      <c r="V241" s="251">
        <v>0.66</v>
      </c>
      <c r="W241" s="251">
        <v>0.70740000000000003</v>
      </c>
      <c r="X241" s="251">
        <v>0.63990000000000002</v>
      </c>
      <c r="Y241" s="251">
        <v>0.64290000000000003</v>
      </c>
      <c r="Z241" s="245">
        <f ca="1">[1]ExtEntry!$H39</f>
        <v>0.64290000000000003</v>
      </c>
      <c r="AB241" s="260">
        <v>8.9838273809523788E-3</v>
      </c>
      <c r="AC241" s="260">
        <v>1.031169642857143E-2</v>
      </c>
      <c r="AD241" s="260">
        <v>5.4828869047619027E-3</v>
      </c>
      <c r="AE241" s="260">
        <v>3.6582380952380955E-3</v>
      </c>
      <c r="AF241" s="260">
        <v>1.0474589285714285E-2</v>
      </c>
      <c r="AG241" s="260">
        <v>1.363785119047619E-2</v>
      </c>
      <c r="AH241" s="260">
        <v>1.6783613095238094E-2</v>
      </c>
      <c r="AI241" s="260">
        <v>2.3251142857142856E-2</v>
      </c>
      <c r="AJ241" s="260">
        <v>1.2175988095238096E-2</v>
      </c>
      <c r="AK241" s="260">
        <v>8.0225892857142857E-3</v>
      </c>
      <c r="AL241" s="260">
        <v>6.8994880952380948E-3</v>
      </c>
      <c r="AM241" s="260">
        <v>8.1262202380952379E-3</v>
      </c>
      <c r="AN241" s="260">
        <v>6.4733392857142871E-3</v>
      </c>
      <c r="AO241" s="260">
        <v>-3.1064940476190476E-3</v>
      </c>
      <c r="AP241" s="260">
        <v>2.0912452380952379E-2</v>
      </c>
      <c r="AQ241" s="260">
        <v>1.6771559523809525E-2</v>
      </c>
      <c r="AR241" s="260">
        <v>2.1319785714285718E-2</v>
      </c>
      <c r="AS241" s="260">
        <v>2.1655499999999998E-2</v>
      </c>
      <c r="AT241" s="260">
        <v>2.9439422619047619E-2</v>
      </c>
      <c r="AU241" s="260">
        <v>2.1648291666666666E-2</v>
      </c>
      <c r="AV241" s="260">
        <f t="shared" ca="1" si="18"/>
        <v>3.1980952380952464E-3</v>
      </c>
      <c r="AX241" s="88" t="str">
        <f t="shared" ca="1" si="20"/>
        <v>PW</v>
      </c>
    </row>
    <row r="242" spans="1:50" hidden="1" x14ac:dyDescent="0.3">
      <c r="A242" s="88" t="str">
        <f t="shared" ca="1" si="19"/>
        <v>RIGL</v>
      </c>
      <c r="F242" s="251">
        <v>27.38</v>
      </c>
      <c r="G242" s="251">
        <v>28.08</v>
      </c>
      <c r="H242" s="251">
        <v>28.11</v>
      </c>
      <c r="I242" s="251">
        <v>27.94</v>
      </c>
      <c r="J242" s="251">
        <v>29.46</v>
      </c>
      <c r="K242" s="251">
        <v>30.27</v>
      </c>
      <c r="L242" s="251">
        <v>30.69</v>
      </c>
      <c r="M242" s="251">
        <v>30.69</v>
      </c>
      <c r="N242" s="251">
        <v>29.39</v>
      </c>
      <c r="O242" s="251">
        <v>29.97</v>
      </c>
      <c r="P242" s="251">
        <v>29.58</v>
      </c>
      <c r="Q242" s="251">
        <v>29.69</v>
      </c>
      <c r="R242" s="251">
        <v>31.62</v>
      </c>
      <c r="S242" s="251">
        <v>28.33</v>
      </c>
      <c r="T242" s="251">
        <v>37.85</v>
      </c>
      <c r="U242" s="251">
        <v>36.325000000000003</v>
      </c>
      <c r="V242" s="251">
        <v>35.31</v>
      </c>
      <c r="W242" s="251">
        <v>41.94</v>
      </c>
      <c r="X242" s="251">
        <v>46.22</v>
      </c>
      <c r="Y242" s="251">
        <v>42.2</v>
      </c>
      <c r="Z242" s="245">
        <f ca="1">[1]ExtEntry!$H40</f>
        <v>42.2</v>
      </c>
      <c r="AB242" s="263">
        <v>-1.7888035714285714E-3</v>
      </c>
      <c r="AC242" s="263">
        <v>-9.4844047619047599E-4</v>
      </c>
      <c r="AD242" s="263">
        <v>-1.4069345238095238E-3</v>
      </c>
      <c r="AE242" s="263">
        <v>-2.4959642857142863E-3</v>
      </c>
      <c r="AF242" s="263">
        <v>-4.9128928571428579E-3</v>
      </c>
      <c r="AG242" s="263">
        <v>-4.6601607142857148E-3</v>
      </c>
      <c r="AH242" s="263">
        <v>-4.9774047619047619E-3</v>
      </c>
      <c r="AI242" s="263">
        <v>-6.9883452380952397E-3</v>
      </c>
      <c r="AJ242" s="263">
        <v>-5.6279940476190475E-3</v>
      </c>
      <c r="AK242" s="263">
        <v>-4.8329642857142851E-3</v>
      </c>
      <c r="AL242" s="263">
        <v>-5.8472660714285717E-3</v>
      </c>
      <c r="AM242" s="263">
        <v>-3.9166410714285716E-3</v>
      </c>
      <c r="AN242" s="263">
        <v>-2.06993869047619E-3</v>
      </c>
      <c r="AO242" s="263">
        <v>-9.5432738095237168E-5</v>
      </c>
      <c r="AP242" s="263">
        <v>1.0359601190476197E-3</v>
      </c>
      <c r="AQ242" s="263">
        <v>3.0889720238095244E-3</v>
      </c>
      <c r="AR242" s="263">
        <v>3.3776922619047625E-3</v>
      </c>
      <c r="AS242" s="263">
        <v>2.5625791666666672E-3</v>
      </c>
      <c r="AT242" s="263">
        <v>1.5076797619047618E-3</v>
      </c>
      <c r="AU242" s="263">
        <v>-1.562790476190476E-3</v>
      </c>
      <c r="AV242" s="260">
        <f t="shared" ca="1" si="18"/>
        <v>-4.4567607142857145E-3</v>
      </c>
      <c r="AX242" s="88" t="str">
        <f t="shared" ca="1" si="20"/>
        <v>RIGL</v>
      </c>
    </row>
    <row r="243" spans="1:50" hidden="1" x14ac:dyDescent="0.3">
      <c r="A243" s="88" t="str">
        <f t="shared" ca="1" si="19"/>
        <v>RWE</v>
      </c>
      <c r="F243" s="251">
        <v>40.58</v>
      </c>
      <c r="G243" s="251">
        <v>40.69</v>
      </c>
      <c r="H243" s="251">
        <v>41.38</v>
      </c>
      <c r="I243" s="251">
        <v>41.06</v>
      </c>
      <c r="J243" s="251">
        <v>40.92</v>
      </c>
      <c r="K243" s="251">
        <v>40.47</v>
      </c>
      <c r="L243" s="251">
        <v>40.22</v>
      </c>
      <c r="M243" s="251">
        <v>40.22</v>
      </c>
      <c r="N243" s="251">
        <v>40</v>
      </c>
      <c r="O243" s="251">
        <v>40.479999999999997</v>
      </c>
      <c r="P243" s="251">
        <v>40.5</v>
      </c>
      <c r="Q243" s="251">
        <v>41.09</v>
      </c>
      <c r="R243" s="251">
        <v>42.98</v>
      </c>
      <c r="S243" s="251">
        <v>42.34</v>
      </c>
      <c r="T243" s="251">
        <v>42.61</v>
      </c>
      <c r="U243" s="251">
        <v>43.12</v>
      </c>
      <c r="V243" s="251">
        <v>42.91</v>
      </c>
      <c r="W243" s="251">
        <v>45.33</v>
      </c>
      <c r="X243" s="251">
        <v>44.28</v>
      </c>
      <c r="Y243" s="251">
        <v>43.73</v>
      </c>
      <c r="Z243" s="245">
        <f ca="1">[1]ExtEntry!$H41</f>
        <v>43.73</v>
      </c>
      <c r="AB243" s="260">
        <v>3.9830857142857147E-3</v>
      </c>
      <c r="AC243" s="260">
        <v>7.7509761904761979E-4</v>
      </c>
      <c r="AD243" s="260">
        <v>6.7412142857142809E-4</v>
      </c>
      <c r="AE243" s="260">
        <v>6.7364523809523803E-4</v>
      </c>
      <c r="AF243" s="260">
        <v>1.6619428571428567E-3</v>
      </c>
      <c r="AG243" s="260">
        <v>1.5248357142857143E-3</v>
      </c>
      <c r="AH243" s="260">
        <v>-3.1940238095237976E-4</v>
      </c>
      <c r="AI243" s="260">
        <v>-1.6050571428571415E-3</v>
      </c>
      <c r="AJ243" s="260">
        <v>-2.4578333333333214E-4</v>
      </c>
      <c r="AK243" s="260">
        <v>-4.4022476190476185E-3</v>
      </c>
      <c r="AL243" s="260">
        <v>-3.1495214285714281E-3</v>
      </c>
      <c r="AM243" s="260">
        <v>-2.3352595238095228E-3</v>
      </c>
      <c r="AN243" s="260">
        <v>-5.444914285714285E-3</v>
      </c>
      <c r="AO243" s="260">
        <v>-7.3555654761904756E-3</v>
      </c>
      <c r="AP243" s="260">
        <v>-3.9604464285714286E-3</v>
      </c>
      <c r="AQ243" s="260">
        <v>-5.909291666666666E-3</v>
      </c>
      <c r="AR243" s="260">
        <v>-8.7448452380952373E-3</v>
      </c>
      <c r="AS243" s="260">
        <v>-6.3145773809523808E-3</v>
      </c>
      <c r="AT243" s="260">
        <v>-7.3726011904761916E-3</v>
      </c>
      <c r="AU243" s="260">
        <v>-6.5065267857142856E-3</v>
      </c>
      <c r="AV243" s="260">
        <f t="shared" ca="1" si="18"/>
        <v>-7.1381785714285722E-3</v>
      </c>
      <c r="AX243" s="88" t="str">
        <f t="shared" ca="1" si="20"/>
        <v>RWE</v>
      </c>
    </row>
    <row r="244" spans="1:50" hidden="1" x14ac:dyDescent="0.3">
      <c r="A244" s="88" t="str">
        <f t="shared" ca="1" si="19"/>
        <v>SAP</v>
      </c>
      <c r="F244" s="251">
        <v>232.7</v>
      </c>
      <c r="G244" s="251">
        <v>234.2</v>
      </c>
      <c r="H244" s="251">
        <v>233.2</v>
      </c>
      <c r="I244" s="251">
        <v>230.95</v>
      </c>
      <c r="J244" s="251">
        <v>238.6</v>
      </c>
      <c r="K244" s="251">
        <v>240.4</v>
      </c>
      <c r="L244" s="251">
        <v>236.85</v>
      </c>
      <c r="M244" s="251">
        <v>236.85</v>
      </c>
      <c r="N244" s="251">
        <v>242</v>
      </c>
      <c r="O244" s="251">
        <v>233.35</v>
      </c>
      <c r="P244" s="251">
        <v>235.55</v>
      </c>
      <c r="Q244" s="251">
        <v>234.1</v>
      </c>
      <c r="R244" s="251">
        <v>225.85</v>
      </c>
      <c r="S244" s="251">
        <v>226.05</v>
      </c>
      <c r="T244" s="251">
        <v>227.95</v>
      </c>
      <c r="U244" s="251">
        <v>217.95</v>
      </c>
      <c r="V244" s="251">
        <v>215.65</v>
      </c>
      <c r="W244" s="251">
        <v>211.1</v>
      </c>
      <c r="X244" s="251">
        <v>205.35</v>
      </c>
      <c r="Y244" s="251">
        <v>205.5</v>
      </c>
      <c r="Z244" s="245">
        <f ca="1">[1]ExtEntry!$H42</f>
        <v>205.5</v>
      </c>
      <c r="AB244" s="263">
        <v>-1.3776726190476195E-3</v>
      </c>
      <c r="AC244" s="263">
        <v>-1.9574345238095254E-3</v>
      </c>
      <c r="AD244" s="263">
        <v>-5.5793690476190465E-3</v>
      </c>
      <c r="AE244" s="263">
        <v>-1.9677500000000007E-3</v>
      </c>
      <c r="AF244" s="263">
        <v>-5.2261309523809552E-4</v>
      </c>
      <c r="AG244" s="263">
        <v>-4.8161309523809615E-4</v>
      </c>
      <c r="AH244" s="263">
        <v>-7.5654166666666708E-4</v>
      </c>
      <c r="AI244" s="263">
        <v>-5.6123452380952392E-3</v>
      </c>
      <c r="AJ244" s="263">
        <v>-6.6167023809523811E-3</v>
      </c>
      <c r="AK244" s="263">
        <v>-8.8061011904761906E-3</v>
      </c>
      <c r="AL244" s="263">
        <v>-8.9709107142857143E-3</v>
      </c>
      <c r="AM244" s="263">
        <v>-8.3672857142857125E-3</v>
      </c>
      <c r="AN244" s="263">
        <v>-7.5156428571428562E-3</v>
      </c>
      <c r="AO244" s="263">
        <v>-7.1802023809523809E-3</v>
      </c>
      <c r="AP244" s="263">
        <v>-5.3927559523809518E-3</v>
      </c>
      <c r="AQ244" s="263">
        <v>-3.9183630952380972E-3</v>
      </c>
      <c r="AR244" s="263">
        <v>-4.5009821428571442E-3</v>
      </c>
      <c r="AS244" s="263">
        <v>-6.2882142857142867E-4</v>
      </c>
      <c r="AT244" s="263">
        <v>-2.2251785714285689E-4</v>
      </c>
      <c r="AU244" s="263">
        <v>-1.3947380952380947E-3</v>
      </c>
      <c r="AV244" s="260">
        <f t="shared" ca="1" si="18"/>
        <v>2.488630952380954E-4</v>
      </c>
      <c r="AX244" s="88" t="str">
        <f t="shared" ca="1" si="20"/>
        <v>SAP</v>
      </c>
    </row>
    <row r="245" spans="1:50" hidden="1" x14ac:dyDescent="0.3">
      <c r="A245" s="88" t="str">
        <f t="shared" ca="1" si="19"/>
        <v>SHECY</v>
      </c>
      <c r="F245" s="251">
        <v>16.57</v>
      </c>
      <c r="G245" s="251">
        <v>16.543399999999998</v>
      </c>
      <c r="H245" s="251">
        <v>16.45</v>
      </c>
      <c r="I245" s="251">
        <v>16.5</v>
      </c>
      <c r="J245" s="251">
        <v>16.34</v>
      </c>
      <c r="K245" s="251">
        <v>16.27</v>
      </c>
      <c r="L245" s="251">
        <v>16.04</v>
      </c>
      <c r="M245" s="251">
        <v>16.04</v>
      </c>
      <c r="N245" s="251">
        <v>16.149999999999999</v>
      </c>
      <c r="O245" s="251">
        <v>15.67</v>
      </c>
      <c r="P245" s="251">
        <v>15.37</v>
      </c>
      <c r="Q245" s="251">
        <v>15.42</v>
      </c>
      <c r="R245" s="251">
        <v>14.94</v>
      </c>
      <c r="S245" s="251">
        <v>14.94</v>
      </c>
      <c r="T245" s="251">
        <v>14.9</v>
      </c>
      <c r="U245" s="251">
        <v>14.5</v>
      </c>
      <c r="V245" s="251">
        <v>14.69</v>
      </c>
      <c r="W245" s="251">
        <v>14.99</v>
      </c>
      <c r="X245" s="251">
        <v>14.33</v>
      </c>
      <c r="Y245" s="251">
        <v>14.214499999999999</v>
      </c>
      <c r="Z245" s="245">
        <f ca="1">[1]ExtEntry!$H43</f>
        <v>14.214499999999999</v>
      </c>
      <c r="AB245" s="260">
        <v>-4.8404166666666639E-3</v>
      </c>
      <c r="AC245" s="260">
        <v>-5.8506369047618993E-3</v>
      </c>
      <c r="AD245" s="260">
        <v>-6.9488035714285676E-3</v>
      </c>
      <c r="AE245" s="260">
        <v>-6.815672619047617E-3</v>
      </c>
      <c r="AF245" s="260">
        <v>7.4819523809523843E-3</v>
      </c>
      <c r="AG245" s="260">
        <v>1.0669761904761906E-2</v>
      </c>
      <c r="AH245" s="260">
        <v>3.2879702380952374E-3</v>
      </c>
      <c r="AI245" s="260">
        <v>-2.627779761904763E-3</v>
      </c>
      <c r="AJ245" s="260">
        <v>6.5201785714285221E-4</v>
      </c>
      <c r="AK245" s="260">
        <v>-5.2639940476190512E-3</v>
      </c>
      <c r="AL245" s="260">
        <v>-5.0071666666666728E-3</v>
      </c>
      <c r="AM245" s="260">
        <v>-2.5670119047619074E-3</v>
      </c>
      <c r="AN245" s="260">
        <v>-2.266022023809524E-2</v>
      </c>
      <c r="AO245" s="260">
        <v>-2.7088648809523812E-2</v>
      </c>
      <c r="AP245" s="260">
        <v>-1.4469065476190476E-2</v>
      </c>
      <c r="AQ245" s="260">
        <v>-6.6586726190476179E-3</v>
      </c>
      <c r="AR245" s="260">
        <v>-1.3291184523809521E-2</v>
      </c>
      <c r="AS245" s="260">
        <v>-1.8918589285714285E-2</v>
      </c>
      <c r="AT245" s="260">
        <v>-1.868830952380952E-2</v>
      </c>
      <c r="AU245" s="260">
        <v>-1.5486785714285712E-2</v>
      </c>
      <c r="AV245" s="260">
        <f t="shared" ca="1" si="18"/>
        <v>-1.0281839285714283E-2</v>
      </c>
      <c r="AX245" s="88" t="str">
        <f t="shared" ca="1" si="20"/>
        <v>SHECY</v>
      </c>
    </row>
    <row r="246" spans="1:50" hidden="1" x14ac:dyDescent="0.3">
      <c r="A246" s="88" t="str">
        <f t="shared" ca="1" si="19"/>
        <v>SSYS</v>
      </c>
      <c r="F246" s="251">
        <v>10.86</v>
      </c>
      <c r="G246" s="251">
        <v>11.468999999999999</v>
      </c>
      <c r="H246" s="251">
        <v>11.48</v>
      </c>
      <c r="I246" s="251">
        <v>10.92</v>
      </c>
      <c r="J246" s="251">
        <v>12.44</v>
      </c>
      <c r="K246" s="251">
        <v>12.35</v>
      </c>
      <c r="L246" s="251">
        <v>11.3</v>
      </c>
      <c r="M246" s="251">
        <v>11.3</v>
      </c>
      <c r="N246" s="251">
        <v>11.78</v>
      </c>
      <c r="O246" s="251">
        <v>11.99</v>
      </c>
      <c r="P246" s="251">
        <v>11.91</v>
      </c>
      <c r="Q246" s="251">
        <v>11.53</v>
      </c>
      <c r="R246" s="251">
        <v>10.78</v>
      </c>
      <c r="S246" s="251">
        <v>9.93</v>
      </c>
      <c r="T246" s="251">
        <v>9.85</v>
      </c>
      <c r="U246" s="251">
        <v>9.4600000000000009</v>
      </c>
      <c r="V246" s="251">
        <v>9.4600000000000009</v>
      </c>
      <c r="W246" s="251">
        <v>8.9499999999999993</v>
      </c>
      <c r="X246" s="251">
        <v>8.5</v>
      </c>
      <c r="Y246" s="251">
        <v>8.4499999999999993</v>
      </c>
      <c r="Z246" s="245">
        <f ca="1">[1]ExtEntry!$H44</f>
        <v>8.4499999999999993</v>
      </c>
      <c r="AB246" s="263">
        <v>-1.31254880952381E-2</v>
      </c>
      <c r="AC246" s="263">
        <v>-4.2635773809523818E-3</v>
      </c>
      <c r="AD246" s="263">
        <v>-2.288011904761906E-3</v>
      </c>
      <c r="AE246" s="263">
        <v>4.1702797619047613E-3</v>
      </c>
      <c r="AF246" s="263">
        <v>5.0375773809523813E-3</v>
      </c>
      <c r="AG246" s="263">
        <v>6.1529880952380942E-3</v>
      </c>
      <c r="AH246" s="263">
        <v>7.1811904761904764E-3</v>
      </c>
      <c r="AI246" s="263">
        <v>-1.1449226190476192E-3</v>
      </c>
      <c r="AJ246" s="263">
        <v>4.423708333333335E-3</v>
      </c>
      <c r="AK246" s="263">
        <v>-1.51625E-3</v>
      </c>
      <c r="AL246" s="263">
        <v>5.5716726190476202E-3</v>
      </c>
      <c r="AM246" s="263">
        <v>3.94617261904762E-3</v>
      </c>
      <c r="AN246" s="263">
        <v>-1.7918690476190473E-3</v>
      </c>
      <c r="AO246" s="263">
        <v>-2.4080238095238087E-3</v>
      </c>
      <c r="AP246" s="263">
        <v>-6.7934523809523757E-4</v>
      </c>
      <c r="AQ246" s="263">
        <v>-3.1849345238095235E-3</v>
      </c>
      <c r="AR246" s="263">
        <v>-1.0909125E-2</v>
      </c>
      <c r="AS246" s="263">
        <v>-5.5906071428571446E-3</v>
      </c>
      <c r="AT246" s="263">
        <v>-1.2773321428571427E-2</v>
      </c>
      <c r="AU246" s="263">
        <v>-1.5195648809523808E-2</v>
      </c>
      <c r="AV246" s="260">
        <f t="shared" ca="1" si="18"/>
        <v>-6.6501369047619035E-3</v>
      </c>
      <c r="AX246" s="88" t="str">
        <f t="shared" ca="1" si="20"/>
        <v>SSYS</v>
      </c>
    </row>
    <row r="247" spans="1:50" hidden="1" x14ac:dyDescent="0.3">
      <c r="A247" s="88" t="str">
        <f t="shared" ca="1" si="19"/>
        <v>TSLA</v>
      </c>
      <c r="F247" s="251">
        <v>429.24</v>
      </c>
      <c r="G247" s="251">
        <v>433.44009999999997</v>
      </c>
      <c r="H247" s="251">
        <v>428.75</v>
      </c>
      <c r="I247" s="251">
        <v>439.31</v>
      </c>
      <c r="J247" s="251">
        <v>447.43</v>
      </c>
      <c r="K247" s="251">
        <v>442.6</v>
      </c>
      <c r="L247" s="251">
        <v>438.97</v>
      </c>
      <c r="M247" s="251">
        <v>438.97</v>
      </c>
      <c r="N247" s="251">
        <v>448.98</v>
      </c>
      <c r="O247" s="251">
        <v>433.72</v>
      </c>
      <c r="P247" s="251">
        <v>452.42</v>
      </c>
      <c r="Q247" s="251">
        <v>460.55</v>
      </c>
      <c r="R247" s="251">
        <v>440.1</v>
      </c>
      <c r="S247" s="251">
        <v>446.92</v>
      </c>
      <c r="T247" s="251">
        <v>462.25799999999998</v>
      </c>
      <c r="U247" s="251">
        <v>445.00990000000002</v>
      </c>
      <c r="V247" s="251">
        <v>430.03</v>
      </c>
      <c r="W247" s="251">
        <v>404.35</v>
      </c>
      <c r="X247" s="251">
        <v>401.25</v>
      </c>
      <c r="Y247" s="251">
        <v>402.11</v>
      </c>
      <c r="Z247" s="245">
        <f ca="1">[1]ExtEntry!$H45</f>
        <v>402.11</v>
      </c>
      <c r="AB247" s="260">
        <v>-1.4467916666666674E-3</v>
      </c>
      <c r="AC247" s="260">
        <v>1.4611190476190462E-3</v>
      </c>
      <c r="AD247" s="260">
        <v>-1.2871130952380938E-3</v>
      </c>
      <c r="AE247" s="260">
        <v>1.9645297619047611E-3</v>
      </c>
      <c r="AF247" s="260">
        <v>-2.45357142857143E-3</v>
      </c>
      <c r="AG247" s="260">
        <v>-2.0336309523809543E-3</v>
      </c>
      <c r="AH247" s="260">
        <v>1.9748809523809606E-4</v>
      </c>
      <c r="AI247" s="260">
        <v>-9.5524583333333329E-3</v>
      </c>
      <c r="AJ247" s="260">
        <v>-6.530595238095239E-3</v>
      </c>
      <c r="AK247" s="260">
        <v>-9.9489702380952359E-3</v>
      </c>
      <c r="AL247" s="260">
        <v>-7.7016607142857147E-3</v>
      </c>
      <c r="AM247" s="260">
        <v>-4.6380714285714306E-3</v>
      </c>
      <c r="AN247" s="260">
        <v>-5.1935297619047621E-3</v>
      </c>
      <c r="AO247" s="260">
        <v>-4.7621785714285717E-3</v>
      </c>
      <c r="AP247" s="260">
        <v>-2.4635136904761911E-3</v>
      </c>
      <c r="AQ247" s="260">
        <v>-4.9927559523809523E-4</v>
      </c>
      <c r="AR247" s="260">
        <v>-3.5180553571428578E-3</v>
      </c>
      <c r="AS247" s="260">
        <v>-2.9245434523809529E-3</v>
      </c>
      <c r="AT247" s="260">
        <v>-6.1439244047619048E-3</v>
      </c>
      <c r="AU247" s="260">
        <v>-7.8000851190476199E-3</v>
      </c>
      <c r="AV247" s="260">
        <f t="shared" ca="1" si="18"/>
        <v>-2.7973708333333324E-3</v>
      </c>
      <c r="AX247" s="88" t="str">
        <f t="shared" ca="1" si="20"/>
        <v>TSLA</v>
      </c>
    </row>
    <row r="248" spans="1:50" hidden="1" x14ac:dyDescent="0.3">
      <c r="A248" s="88" t="str">
        <f t="shared" ca="1" si="19"/>
        <v>TSM</v>
      </c>
      <c r="F248" s="251">
        <v>295.97500000000002</v>
      </c>
      <c r="G248" s="251">
        <v>305.065</v>
      </c>
      <c r="H248" s="251">
        <v>299.97000000000003</v>
      </c>
      <c r="I248" s="251">
        <v>295.08</v>
      </c>
      <c r="J248" s="251">
        <v>297.79399999999998</v>
      </c>
      <c r="K248" s="251">
        <v>294.52</v>
      </c>
      <c r="L248" s="251">
        <v>288.89999999999998</v>
      </c>
      <c r="M248" s="251">
        <v>288.89999999999998</v>
      </c>
      <c r="N248" s="251">
        <v>290.74</v>
      </c>
      <c r="O248" s="251">
        <v>295</v>
      </c>
      <c r="P248" s="251">
        <v>298.24</v>
      </c>
      <c r="Q248" s="251">
        <v>301.52</v>
      </c>
      <c r="R248" s="251">
        <v>303.3</v>
      </c>
      <c r="S248" s="251">
        <v>295.04500000000002</v>
      </c>
      <c r="T248" s="251">
        <v>293.95</v>
      </c>
      <c r="U248" s="251">
        <v>289.43</v>
      </c>
      <c r="V248" s="251">
        <v>285.85000000000002</v>
      </c>
      <c r="W248" s="251">
        <v>284.87</v>
      </c>
      <c r="X248" s="251">
        <v>278.01</v>
      </c>
      <c r="Y248" s="251">
        <v>279.49</v>
      </c>
      <c r="Z248" s="245">
        <f ca="1">[1]ExtEntry!$H46</f>
        <v>279.49</v>
      </c>
      <c r="AB248" s="263">
        <v>4.0375059523809521E-3</v>
      </c>
      <c r="AC248" s="263">
        <v>4.5013095238095229E-3</v>
      </c>
      <c r="AD248" s="263">
        <v>3.7978690476190473E-3</v>
      </c>
      <c r="AE248" s="263">
        <v>8.2586547619047622E-3</v>
      </c>
      <c r="AF248" s="263">
        <v>5.2292142857142858E-3</v>
      </c>
      <c r="AG248" s="263">
        <v>-1.6485476190476196E-3</v>
      </c>
      <c r="AH248" s="263">
        <v>2.1256071428571422E-3</v>
      </c>
      <c r="AI248" s="263">
        <v>6.1799999999999963E-4</v>
      </c>
      <c r="AJ248" s="263">
        <v>-7.8892857142858104E-5</v>
      </c>
      <c r="AK248" s="263">
        <v>-1.9974464285714292E-3</v>
      </c>
      <c r="AL248" s="263">
        <v>-1.002839285714287E-3</v>
      </c>
      <c r="AM248" s="263">
        <v>-6.0330357142857321E-4</v>
      </c>
      <c r="AN248" s="263">
        <v>-8.7143333333333343E-3</v>
      </c>
      <c r="AO248" s="263">
        <v>-3.7988214285714314E-3</v>
      </c>
      <c r="AP248" s="263">
        <v>-4.7346845238095247E-3</v>
      </c>
      <c r="AQ248" s="263">
        <v>-8.9130476190476191E-3</v>
      </c>
      <c r="AR248" s="263">
        <v>-5.629238095238096E-3</v>
      </c>
      <c r="AS248" s="263">
        <v>-8.9893452380952234E-4</v>
      </c>
      <c r="AT248" s="263">
        <v>-5.5039226190476184E-3</v>
      </c>
      <c r="AU248" s="263">
        <v>-4.6632738095238099E-3</v>
      </c>
      <c r="AV248" s="260">
        <f t="shared" ca="1" si="18"/>
        <v>-3.1775000000000006E-3</v>
      </c>
      <c r="AX248" s="88" t="str">
        <f t="shared" ca="1" si="20"/>
        <v>TSM</v>
      </c>
    </row>
    <row r="249" spans="1:50" hidden="1" x14ac:dyDescent="0.3">
      <c r="A249" s="88" t="str">
        <f t="shared" ca="1" si="19"/>
        <v>UN0</v>
      </c>
      <c r="F249" s="251">
        <v>31.55</v>
      </c>
      <c r="G249" s="251">
        <v>31.6</v>
      </c>
      <c r="H249" s="251">
        <v>31.75</v>
      </c>
      <c r="I249" s="251">
        <v>31.55</v>
      </c>
      <c r="J249" s="251">
        <v>33</v>
      </c>
      <c r="K249" s="251">
        <v>31.7</v>
      </c>
      <c r="L249" s="251">
        <v>31.8</v>
      </c>
      <c r="M249" s="251">
        <v>31.8</v>
      </c>
      <c r="N249" s="251">
        <v>30.95</v>
      </c>
      <c r="O249" s="251">
        <v>30.15</v>
      </c>
      <c r="P249" s="251">
        <v>30.85</v>
      </c>
      <c r="Q249" s="251">
        <v>30.25</v>
      </c>
      <c r="R249" s="251">
        <v>30.05</v>
      </c>
      <c r="S249" s="251">
        <v>29.6</v>
      </c>
      <c r="T249" s="251">
        <v>29.5</v>
      </c>
      <c r="U249" s="251">
        <v>27.95</v>
      </c>
      <c r="V249" s="251">
        <v>28.5</v>
      </c>
      <c r="W249" s="251">
        <v>28.6</v>
      </c>
      <c r="X249" s="251">
        <v>29.55</v>
      </c>
      <c r="Y249" s="251">
        <v>30.25</v>
      </c>
      <c r="Z249" s="245">
        <f ca="1">[1]ExtEntry!$H47</f>
        <v>30.25</v>
      </c>
      <c r="AB249" s="260">
        <v>-8.4275595238095073E-4</v>
      </c>
      <c r="AC249" s="260">
        <v>7.116160714285719E-3</v>
      </c>
      <c r="AD249" s="260">
        <v>3.2824523809523842E-3</v>
      </c>
      <c r="AE249" s="260">
        <v>7.8251488095238096E-3</v>
      </c>
      <c r="AF249" s="260">
        <v>1.4606428571428565E-3</v>
      </c>
      <c r="AG249" s="260">
        <v>1.1208333333333209E-4</v>
      </c>
      <c r="AH249" s="260">
        <v>2.2948273809523809E-3</v>
      </c>
      <c r="AI249" s="260">
        <v>8.9575714285714259E-3</v>
      </c>
      <c r="AJ249" s="260">
        <v>1.2651208333333334E-2</v>
      </c>
      <c r="AK249" s="260">
        <v>7.8446845238095229E-3</v>
      </c>
      <c r="AL249" s="260">
        <v>1.285622023809524E-2</v>
      </c>
      <c r="AM249" s="260">
        <v>8.8409761904761908E-3</v>
      </c>
      <c r="AN249" s="260">
        <v>1.0180434523809526E-2</v>
      </c>
      <c r="AO249" s="260">
        <v>9.8251190476190495E-3</v>
      </c>
      <c r="AP249" s="260">
        <v>1.4053571428571426E-2</v>
      </c>
      <c r="AQ249" s="260">
        <v>1.3585976190476192E-2</v>
      </c>
      <c r="AR249" s="260">
        <v>1.0946124999999999E-2</v>
      </c>
      <c r="AS249" s="260">
        <v>1.0727994047619049E-2</v>
      </c>
      <c r="AT249" s="260">
        <v>3.7231309523809517E-3</v>
      </c>
      <c r="AU249" s="260">
        <v>3.6845595238095222E-3</v>
      </c>
      <c r="AV249" s="260">
        <f t="shared" ca="1" si="18"/>
        <v>-9.5707142857142952E-4</v>
      </c>
      <c r="AX249" s="88" t="str">
        <f t="shared" ca="1" si="20"/>
        <v>UN0</v>
      </c>
    </row>
    <row r="250" spans="1:50" hidden="1" x14ac:dyDescent="0.3">
      <c r="A250" s="88" t="str">
        <f t="shared" ca="1" si="19"/>
        <v>UNIT</v>
      </c>
      <c r="F250" s="251">
        <v>5.36</v>
      </c>
      <c r="G250" s="251">
        <v>5.62</v>
      </c>
      <c r="H250" s="251">
        <v>5.61</v>
      </c>
      <c r="I250" s="251">
        <v>5.65</v>
      </c>
      <c r="J250" s="251">
        <v>5.6</v>
      </c>
      <c r="K250" s="251">
        <v>5.6</v>
      </c>
      <c r="L250" s="251">
        <v>5.55</v>
      </c>
      <c r="M250" s="251">
        <v>5.55</v>
      </c>
      <c r="N250" s="251">
        <v>5.8</v>
      </c>
      <c r="O250" s="251">
        <v>6</v>
      </c>
      <c r="P250" s="251">
        <v>6.22</v>
      </c>
      <c r="Q250" s="251">
        <v>6.04</v>
      </c>
      <c r="R250" s="251">
        <v>5.81</v>
      </c>
      <c r="S250" s="251">
        <v>6.1449999999999996</v>
      </c>
      <c r="T250" s="251">
        <v>6.4</v>
      </c>
      <c r="U250" s="251">
        <v>6.2350000000000003</v>
      </c>
      <c r="V250" s="251">
        <v>6.5650000000000004</v>
      </c>
      <c r="W250" s="251">
        <v>6.28</v>
      </c>
      <c r="X250" s="251">
        <v>6.15</v>
      </c>
      <c r="Y250" s="251">
        <v>5.915</v>
      </c>
      <c r="Z250" s="245">
        <f ca="1">[1]ExtEntry!$H48</f>
        <v>5.915</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27.700099999999999</v>
      </c>
      <c r="G251" s="251">
        <v>27.838000000000001</v>
      </c>
      <c r="H251" s="251">
        <v>28.16</v>
      </c>
      <c r="I251" s="251">
        <v>26.36</v>
      </c>
      <c r="J251" s="251">
        <v>27.09</v>
      </c>
      <c r="K251" s="251">
        <v>27.33</v>
      </c>
      <c r="L251" s="251">
        <v>27.18</v>
      </c>
      <c r="M251" s="251">
        <v>27.18</v>
      </c>
      <c r="N251" s="251">
        <v>27.41</v>
      </c>
      <c r="O251" s="251">
        <v>27.61</v>
      </c>
      <c r="P251" s="251">
        <v>27.78</v>
      </c>
      <c r="Q251" s="251">
        <v>27.7</v>
      </c>
      <c r="R251" s="251">
        <v>27.5</v>
      </c>
      <c r="S251" s="251">
        <v>26.805</v>
      </c>
      <c r="T251" s="251">
        <v>27.5806</v>
      </c>
      <c r="U251" s="251">
        <v>27.36</v>
      </c>
      <c r="V251" s="251">
        <v>27.416499999999999</v>
      </c>
      <c r="W251" s="251">
        <v>28.04</v>
      </c>
      <c r="X251" s="251">
        <v>27.61</v>
      </c>
      <c r="Y251" s="251">
        <v>28.004999999999999</v>
      </c>
      <c r="Z251" s="245">
        <f ca="1">[1]ExtEntry!$H49</f>
        <v>28.004999999999999</v>
      </c>
      <c r="AB251" s="260">
        <v>-2.6204416666666653E-3</v>
      </c>
      <c r="AC251" s="260">
        <v>-3.4310547619047617E-3</v>
      </c>
      <c r="AD251" s="260">
        <v>-3.189054761904763E-3</v>
      </c>
      <c r="AE251" s="260">
        <v>-4.8880892857142855E-3</v>
      </c>
      <c r="AF251" s="260">
        <v>-2.7822083333333353E-3</v>
      </c>
      <c r="AG251" s="260">
        <v>-2.7470238095240497E-5</v>
      </c>
      <c r="AH251" s="260">
        <v>1.6789404761904751E-3</v>
      </c>
      <c r="AI251" s="260">
        <v>1.2855654761904749E-3</v>
      </c>
      <c r="AJ251" s="260">
        <v>1.5837023809523807E-3</v>
      </c>
      <c r="AK251" s="260">
        <v>1.7723809523809532E-4</v>
      </c>
      <c r="AL251" s="260">
        <v>9.8869047619047591E-4</v>
      </c>
      <c r="AM251" s="260">
        <v>7.4745476190476185E-3</v>
      </c>
      <c r="AN251" s="260">
        <v>3.5878869047619054E-3</v>
      </c>
      <c r="AO251" s="260">
        <v>1.5232083333333339E-3</v>
      </c>
      <c r="AP251" s="260">
        <v>4.9664166666666659E-3</v>
      </c>
      <c r="AQ251" s="260">
        <v>5.5406190476190477E-3</v>
      </c>
      <c r="AR251" s="260">
        <v>3.6492738095238106E-3</v>
      </c>
      <c r="AS251" s="260">
        <v>1.7037678571428581E-3</v>
      </c>
      <c r="AT251" s="260">
        <v>-2.9543452380950989E-5</v>
      </c>
      <c r="AU251" s="260">
        <v>5.0180178571428602E-4</v>
      </c>
      <c r="AV251" s="260">
        <f t="shared" ref="AV251:AV298" ca="1" si="21">AVERAGE(S750:Z750)-AVERAGE(F750:Z750)</f>
        <v>2.9196113095238101E-3</v>
      </c>
      <c r="AX251" s="88" t="str">
        <f t="shared" ca="1" si="20"/>
        <v>VLVLY</v>
      </c>
    </row>
    <row r="252" spans="1:50" hidden="1" x14ac:dyDescent="0.3">
      <c r="A252" s="88" t="str">
        <f t="shared" ca="1" si="19"/>
        <v>VONN</v>
      </c>
      <c r="F252" s="251">
        <v>60.7</v>
      </c>
      <c r="G252" s="251">
        <v>60.2</v>
      </c>
      <c r="H252" s="251">
        <v>59.8</v>
      </c>
      <c r="I252" s="251">
        <v>59</v>
      </c>
      <c r="J252" s="251">
        <v>59.1</v>
      </c>
      <c r="K252" s="251">
        <v>58.7</v>
      </c>
      <c r="L252" s="251">
        <v>60.3</v>
      </c>
      <c r="M252" s="251">
        <v>60.3</v>
      </c>
      <c r="N252" s="251">
        <v>61.1</v>
      </c>
      <c r="O252" s="251">
        <v>61.3</v>
      </c>
      <c r="P252" s="251">
        <v>61.2</v>
      </c>
      <c r="Q252" s="251">
        <v>60.4</v>
      </c>
      <c r="R252" s="251">
        <v>60.9</v>
      </c>
      <c r="S252" s="251">
        <v>59.4</v>
      </c>
      <c r="T252" s="251">
        <v>59.1</v>
      </c>
      <c r="U252" s="251">
        <v>58.2</v>
      </c>
      <c r="V252" s="251">
        <v>58.3</v>
      </c>
      <c r="W252" s="251">
        <v>60</v>
      </c>
      <c r="X252" s="251">
        <v>58.7</v>
      </c>
      <c r="Y252" s="251">
        <v>59.2</v>
      </c>
      <c r="Z252" s="245">
        <f ca="1">[1]ExtEntry!$H50</f>
        <v>59.2</v>
      </c>
      <c r="AB252" s="263">
        <v>1.3160833333333336E-3</v>
      </c>
      <c r="AC252" s="263">
        <v>4.1607738095238113E-4</v>
      </c>
      <c r="AD252" s="263">
        <v>-1.4734940476190475E-3</v>
      </c>
      <c r="AE252" s="263">
        <v>-2.2709821428571432E-3</v>
      </c>
      <c r="AF252" s="263">
        <v>-2.6777142857142859E-3</v>
      </c>
      <c r="AG252" s="263">
        <v>-3.7363214285714278E-3</v>
      </c>
      <c r="AH252" s="263">
        <v>-8.1277380952381E-4</v>
      </c>
      <c r="AI252" s="263">
        <v>2.4322559523809518E-3</v>
      </c>
      <c r="AJ252" s="263">
        <v>2.4982857142857142E-3</v>
      </c>
      <c r="AK252" s="263">
        <v>3.2274642857142849E-3</v>
      </c>
      <c r="AL252" s="263">
        <v>4.091928571428571E-3</v>
      </c>
      <c r="AM252" s="263">
        <v>5.0717023809523807E-3</v>
      </c>
      <c r="AN252" s="263">
        <v>5.6011369047619056E-3</v>
      </c>
      <c r="AO252" s="263">
        <v>5.4664047619047609E-3</v>
      </c>
      <c r="AP252" s="263">
        <v>1.8276666666666665E-3</v>
      </c>
      <c r="AQ252" s="263">
        <v>-2.4403392857142848E-3</v>
      </c>
      <c r="AR252" s="263">
        <v>-3.9657738095238088E-3</v>
      </c>
      <c r="AS252" s="263">
        <v>-4.3970059523809517E-3</v>
      </c>
      <c r="AT252" s="263">
        <v>-4.0909464285714282E-3</v>
      </c>
      <c r="AU252" s="263">
        <v>-2.2407619047619038E-3</v>
      </c>
      <c r="AV252" s="260">
        <f t="shared" ca="1" si="21"/>
        <v>-3.4806011904761898E-3</v>
      </c>
      <c r="AX252" s="88" t="str">
        <f t="shared" ca="1" si="20"/>
        <v>VONN</v>
      </c>
    </row>
    <row r="253" spans="1:50" hidden="1" x14ac:dyDescent="0.3">
      <c r="A253" s="88" t="str">
        <f t="shared" ca="1" si="19"/>
        <v>VTRS</v>
      </c>
      <c r="F253" s="251">
        <v>9.93</v>
      </c>
      <c r="G253" s="251">
        <v>9.9749999999999996</v>
      </c>
      <c r="H253" s="251">
        <v>10.1</v>
      </c>
      <c r="I253" s="251">
        <v>10.17</v>
      </c>
      <c r="J253" s="251">
        <v>10.31</v>
      </c>
      <c r="K253" s="251">
        <v>10.39</v>
      </c>
      <c r="L253" s="251">
        <v>10.41</v>
      </c>
      <c r="M253" s="251">
        <v>10.41</v>
      </c>
      <c r="N253" s="251">
        <v>10.31</v>
      </c>
      <c r="O253" s="251">
        <v>10.35</v>
      </c>
      <c r="P253" s="251">
        <v>10.42</v>
      </c>
      <c r="Q253" s="251">
        <v>10.29</v>
      </c>
      <c r="R253" s="251">
        <v>10.36</v>
      </c>
      <c r="S253" s="251">
        <v>10.535</v>
      </c>
      <c r="T253" s="251">
        <v>10.75</v>
      </c>
      <c r="U253" s="251">
        <v>10.195</v>
      </c>
      <c r="V253" s="251">
        <v>10.074999999999999</v>
      </c>
      <c r="W253" s="251">
        <v>10.72</v>
      </c>
      <c r="X253" s="251">
        <v>10.71</v>
      </c>
      <c r="Y253" s="251">
        <v>10.545</v>
      </c>
      <c r="Z253" s="245">
        <f ca="1">[1]ExtEntry!$H51</f>
        <v>10.545</v>
      </c>
      <c r="AB253" s="260">
        <v>1.1441821428571422E-3</v>
      </c>
      <c r="AC253" s="260">
        <v>-4.7406785714285745E-4</v>
      </c>
      <c r="AD253" s="260">
        <v>-7.3119285714285743E-4</v>
      </c>
      <c r="AE253" s="260">
        <v>8.6973452380952358E-4</v>
      </c>
      <c r="AF253" s="260">
        <v>4.2237761904761906E-3</v>
      </c>
      <c r="AG253" s="260">
        <v>4.766615476190476E-3</v>
      </c>
      <c r="AH253" s="260">
        <v>4.15977619047619E-3</v>
      </c>
      <c r="AI253" s="260">
        <v>1.8445440476190494E-3</v>
      </c>
      <c r="AJ253" s="260">
        <v>7.5946666666666836E-4</v>
      </c>
      <c r="AK253" s="260">
        <v>-5.8569999999999716E-4</v>
      </c>
      <c r="AL253" s="260">
        <v>-1.4148488095238089E-3</v>
      </c>
      <c r="AM253" s="260">
        <v>-3.1755809523809509E-3</v>
      </c>
      <c r="AN253" s="260">
        <v>-2.8322416666666673E-3</v>
      </c>
      <c r="AO253" s="260">
        <v>-2.8514714285714283E-3</v>
      </c>
      <c r="AP253" s="260">
        <v>-1.0797511904761894E-3</v>
      </c>
      <c r="AQ253" s="260">
        <v>-4.9385904761904756E-3</v>
      </c>
      <c r="AR253" s="260">
        <v>-3.9587238095238099E-3</v>
      </c>
      <c r="AS253" s="260">
        <v>-6.5896464285714277E-3</v>
      </c>
      <c r="AT253" s="260">
        <v>-6.9765809523809515E-3</v>
      </c>
      <c r="AU253" s="260">
        <v>-6.5136880952380944E-3</v>
      </c>
      <c r="AV253" s="260">
        <f t="shared" ca="1" si="21"/>
        <v>-8.2145273809523817E-3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112.31</v>
      </c>
      <c r="G255" s="251">
        <v>111.77500000000001</v>
      </c>
      <c r="H255" s="251">
        <v>110.64</v>
      </c>
      <c r="I255" s="251">
        <v>112.24</v>
      </c>
      <c r="J255" s="251">
        <v>112.705</v>
      </c>
      <c r="K255" s="251">
        <v>112.7</v>
      </c>
      <c r="L255" s="251">
        <v>114.73</v>
      </c>
      <c r="M255" s="251">
        <v>114.73</v>
      </c>
      <c r="N255" s="251">
        <v>115.95</v>
      </c>
      <c r="O255" s="251">
        <v>115.4</v>
      </c>
      <c r="P255" s="251">
        <v>115.96</v>
      </c>
      <c r="Q255" s="251">
        <v>115.04</v>
      </c>
      <c r="R255" s="251">
        <v>114.69</v>
      </c>
      <c r="S255" s="251">
        <v>114.095</v>
      </c>
      <c r="T255" s="251">
        <v>113.71</v>
      </c>
      <c r="U255" s="251">
        <v>114.89</v>
      </c>
      <c r="V255" s="251">
        <v>117.39</v>
      </c>
      <c r="W255" s="251">
        <v>119.28</v>
      </c>
      <c r="X255" s="251">
        <v>119.03</v>
      </c>
      <c r="Y255" s="251">
        <v>117.58</v>
      </c>
      <c r="Z255" s="245">
        <f ca="1">[1]ExtEntry!$H53</f>
        <v>117.58</v>
      </c>
      <c r="AB255" s="260">
        <v>1.1965863095238093E-3</v>
      </c>
      <c r="AC255" s="260">
        <v>1.6983839285714284E-3</v>
      </c>
      <c r="AD255" s="260">
        <v>-1.8521130952380959E-4</v>
      </c>
      <c r="AE255" s="260">
        <v>3.2973630952380911E-4</v>
      </c>
      <c r="AF255" s="260">
        <v>4.176470238095239E-4</v>
      </c>
      <c r="AG255" s="260">
        <v>1.1705696428571427E-3</v>
      </c>
      <c r="AH255" s="260">
        <v>3.3268851190476185E-3</v>
      </c>
      <c r="AI255" s="260">
        <v>3.8578851190476196E-3</v>
      </c>
      <c r="AJ255" s="260">
        <v>4.8671249999999999E-3</v>
      </c>
      <c r="AK255" s="260">
        <v>5.4898690476190481E-3</v>
      </c>
      <c r="AL255" s="260">
        <v>7.6320773809523809E-3</v>
      </c>
      <c r="AM255" s="260">
        <v>3.9806488095238098E-3</v>
      </c>
      <c r="AN255" s="260">
        <v>1.6720476190476192E-3</v>
      </c>
      <c r="AO255" s="260">
        <v>1.5726011904761902E-3</v>
      </c>
      <c r="AP255" s="260">
        <v>-1.2482857142857141E-3</v>
      </c>
      <c r="AQ255" s="260">
        <v>-1.8240833333333334E-3</v>
      </c>
      <c r="AR255" s="260">
        <v>-1.2013904761904765E-3</v>
      </c>
      <c r="AS255" s="260">
        <v>3.3923452380952342E-4</v>
      </c>
      <c r="AT255" s="260">
        <v>1.4587738095238074E-4</v>
      </c>
      <c r="AU255" s="260">
        <v>-2.8997380952381063E-4</v>
      </c>
      <c r="AV255" s="260">
        <f t="shared" ca="1" si="21"/>
        <v>1.3016690476190473E-3</v>
      </c>
      <c r="AX255" s="88" t="str">
        <f t="shared" ca="1" si="20"/>
        <v>XOM</v>
      </c>
    </row>
    <row r="256" spans="1:50" hidden="1" x14ac:dyDescent="0.3">
      <c r="A256" s="88" t="str">
        <f t="shared" ca="1" si="19"/>
        <v>XPER</v>
      </c>
      <c r="F256" s="251">
        <v>6.71</v>
      </c>
      <c r="G256" s="251">
        <v>6.7701000000000002</v>
      </c>
      <c r="H256" s="251">
        <v>6.72</v>
      </c>
      <c r="I256" s="251">
        <v>6.61</v>
      </c>
      <c r="J256" s="251">
        <v>6.73</v>
      </c>
      <c r="K256" s="251">
        <v>6.78</v>
      </c>
      <c r="L256" s="251">
        <v>6.56</v>
      </c>
      <c r="M256" s="251">
        <v>6.55</v>
      </c>
      <c r="N256" s="251">
        <v>6.61</v>
      </c>
      <c r="O256" s="251">
        <v>6.69</v>
      </c>
      <c r="P256" s="251">
        <v>6.64</v>
      </c>
      <c r="Q256" s="251">
        <v>6.74</v>
      </c>
      <c r="R256" s="251">
        <v>6.59</v>
      </c>
      <c r="S256" s="251">
        <v>6.375</v>
      </c>
      <c r="T256" s="251">
        <v>6.74</v>
      </c>
      <c r="U256" s="251">
        <v>6.89</v>
      </c>
      <c r="V256" s="251">
        <v>6.5984999999999996</v>
      </c>
      <c r="W256" s="251">
        <v>6.19</v>
      </c>
      <c r="X256" s="251">
        <v>5.82</v>
      </c>
      <c r="Y256" s="251">
        <v>5.69</v>
      </c>
      <c r="Z256" s="245">
        <f ca="1">[1]ExtEntry!$H54</f>
        <v>5.69</v>
      </c>
      <c r="AB256" s="263">
        <v>4.504214285714285E-3</v>
      </c>
      <c r="AC256" s="263">
        <v>1.4101309523809544E-3</v>
      </c>
      <c r="AD256" s="263">
        <v>-1.6518571428571415E-3</v>
      </c>
      <c r="AE256" s="263">
        <v>3.7265952380952381E-3</v>
      </c>
      <c r="AF256" s="263">
        <v>3.8361130952380956E-3</v>
      </c>
      <c r="AG256" s="263">
        <v>3.1260952380952368E-3</v>
      </c>
      <c r="AH256" s="263">
        <v>2.1745476190476176E-3</v>
      </c>
      <c r="AI256" s="263">
        <v>-6.6097559523809529E-3</v>
      </c>
      <c r="AJ256" s="263">
        <v>-8.9307202380952376E-3</v>
      </c>
      <c r="AK256" s="263">
        <v>-9.1874226190476194E-3</v>
      </c>
      <c r="AL256" s="263">
        <v>-7.6901428571428589E-3</v>
      </c>
      <c r="AM256" s="263">
        <v>-4.5868988095238098E-3</v>
      </c>
      <c r="AN256" s="263">
        <v>-8.5614047619047614E-3</v>
      </c>
      <c r="AO256" s="263">
        <v>-1.1466642857142858E-2</v>
      </c>
      <c r="AP256" s="263">
        <v>-1.6838273809523809E-3</v>
      </c>
      <c r="AQ256" s="263">
        <v>5.2707083333333338E-3</v>
      </c>
      <c r="AR256" s="263">
        <v>-1.0088154761904757E-3</v>
      </c>
      <c r="AS256" s="263">
        <v>-3.4385238095238089E-3</v>
      </c>
      <c r="AT256" s="263">
        <v>-4.2636666666666656E-3</v>
      </c>
      <c r="AU256" s="263">
        <v>-7.444339285714285E-3</v>
      </c>
      <c r="AV256" s="260">
        <f t="shared" ca="1" si="21"/>
        <v>-6.2279702380952373E-3</v>
      </c>
      <c r="AX256" s="88" t="str">
        <f t="shared" ca="1" si="20"/>
        <v>XPER</v>
      </c>
    </row>
    <row r="257" spans="1:50" hidden="1" x14ac:dyDescent="0.3">
      <c r="A257" s="88" t="str">
        <f t="shared" ca="1" si="19"/>
        <v>MVEALDNE</v>
      </c>
      <c r="F257" s="251">
        <v>0.84</v>
      </c>
      <c r="G257" s="251">
        <v>0.83799999999999997</v>
      </c>
      <c r="H257" s="251">
        <v>0.83</v>
      </c>
      <c r="I257" s="251">
        <v>0.83</v>
      </c>
      <c r="J257" s="251">
        <v>0.82</v>
      </c>
      <c r="K257" s="251">
        <v>0.83</v>
      </c>
      <c r="L257" s="251">
        <v>0.84</v>
      </c>
      <c r="M257" s="251">
        <v>0.84</v>
      </c>
      <c r="N257" s="251">
        <v>0.83799999999999997</v>
      </c>
      <c r="O257" s="251">
        <v>0.82599999999999996</v>
      </c>
      <c r="P257" s="251">
        <v>0.81799999999999995</v>
      </c>
      <c r="Q257" s="251">
        <v>0.82</v>
      </c>
      <c r="R257" s="251">
        <v>0.81</v>
      </c>
      <c r="S257" s="251">
        <v>0.78800000000000003</v>
      </c>
      <c r="T257" s="251">
        <v>0.79</v>
      </c>
      <c r="U257" s="251">
        <v>0.78200000000000003</v>
      </c>
      <c r="V257" s="251">
        <v>0.78</v>
      </c>
      <c r="W257" s="251">
        <v>0.66600000000000004</v>
      </c>
      <c r="X257" s="251">
        <v>0.67</v>
      </c>
      <c r="Y257" s="251">
        <v>0.68799999999999994</v>
      </c>
      <c r="Z257" s="245">
        <f ca="1">[1]ExtEntry!$H55</f>
        <v>0.68799999999999994</v>
      </c>
      <c r="AB257" s="260">
        <v>-1.2078869047619052E-3</v>
      </c>
      <c r="AC257" s="260">
        <v>2.8369047619046604E-5</v>
      </c>
      <c r="AD257" s="260">
        <v>-5.3001190476190596E-4</v>
      </c>
      <c r="AE257" s="260">
        <v>-1.8170119047619055E-3</v>
      </c>
      <c r="AF257" s="260">
        <v>-1.2831964285714291E-3</v>
      </c>
      <c r="AG257" s="260">
        <v>-1.5520595238095246E-3</v>
      </c>
      <c r="AH257" s="260">
        <v>8.5065476190476178E-4</v>
      </c>
      <c r="AI257" s="260">
        <v>-2.8253452380952388E-3</v>
      </c>
      <c r="AJ257" s="260">
        <v>-3.4294404761904766E-3</v>
      </c>
      <c r="AK257" s="260">
        <v>-2.9002440476190482E-3</v>
      </c>
      <c r="AL257" s="260">
        <v>-2.1009226190476203E-3</v>
      </c>
      <c r="AM257" s="260">
        <v>1.3804642857142856E-3</v>
      </c>
      <c r="AN257" s="260">
        <v>5.3591666666666675E-3</v>
      </c>
      <c r="AO257" s="260">
        <v>4.297196428571428E-3</v>
      </c>
      <c r="AP257" s="260">
        <v>2.4464464285714285E-3</v>
      </c>
      <c r="AQ257" s="260">
        <v>4.7333333333333147E-5</v>
      </c>
      <c r="AR257" s="260">
        <v>1.4701785714285717E-4</v>
      </c>
      <c r="AS257" s="260">
        <v>-4.8869821428571426E-3</v>
      </c>
      <c r="AT257" s="260">
        <v>-4.8143214285714282E-3</v>
      </c>
      <c r="AU257" s="260">
        <v>-4.2095595238095234E-3</v>
      </c>
      <c r="AV257" s="260">
        <f t="shared" ca="1" si="21"/>
        <v>-7.1159226190476189E-3</v>
      </c>
      <c r="AX257" s="88" t="str">
        <f t="shared" ca="1" si="20"/>
        <v>MVEALDNE</v>
      </c>
    </row>
    <row r="258" spans="1:50" hidden="1" x14ac:dyDescent="0.3">
      <c r="A258" s="88" t="str">
        <f t="shared" ca="1" si="19"/>
        <v>MVEDDD</v>
      </c>
      <c r="F258" s="251">
        <v>3.08</v>
      </c>
      <c r="G258" s="251">
        <v>3.25</v>
      </c>
      <c r="H258" s="251">
        <v>3.26</v>
      </c>
      <c r="I258" s="251">
        <v>3.11</v>
      </c>
      <c r="J258" s="251">
        <v>3.7850000000000001</v>
      </c>
      <c r="K258" s="251">
        <v>3.37</v>
      </c>
      <c r="L258" s="251">
        <v>3.0049999999999999</v>
      </c>
      <c r="M258" s="251">
        <v>3.0049999999999999</v>
      </c>
      <c r="N258" s="251">
        <v>3.0750000000000002</v>
      </c>
      <c r="O258" s="251">
        <v>3.125</v>
      </c>
      <c r="P258" s="251">
        <v>3.0750000000000002</v>
      </c>
      <c r="Q258" s="251">
        <v>3.1949999999999998</v>
      </c>
      <c r="R258" s="251">
        <v>2.82</v>
      </c>
      <c r="S258" s="251">
        <v>2.5948000000000002</v>
      </c>
      <c r="T258" s="251">
        <v>2.6</v>
      </c>
      <c r="U258" s="251">
        <v>2.2650000000000001</v>
      </c>
      <c r="V258" s="251">
        <v>2.2250000000000001</v>
      </c>
      <c r="W258" s="251">
        <v>2.16</v>
      </c>
      <c r="X258" s="251">
        <v>2.08</v>
      </c>
      <c r="Y258" s="251">
        <v>2.0449999999999999</v>
      </c>
      <c r="Z258" s="245">
        <f ca="1">[1]ExtEntry!$H56</f>
        <v>2.0449999999999999</v>
      </c>
      <c r="AB258" s="263">
        <v>-1.4241369047619003E-3</v>
      </c>
      <c r="AC258" s="263">
        <v>-4.619642857142843E-4</v>
      </c>
      <c r="AD258" s="263">
        <v>-6.2355357142857143E-3</v>
      </c>
      <c r="AE258" s="263">
        <v>-3.6327202380952352E-3</v>
      </c>
      <c r="AF258" s="263">
        <v>8.6931309523809522E-3</v>
      </c>
      <c r="AG258" s="263">
        <v>1.9457380952381011E-3</v>
      </c>
      <c r="AH258" s="263">
        <v>-5.579065476190477E-3</v>
      </c>
      <c r="AI258" s="263">
        <v>-1.7775113095238094E-2</v>
      </c>
      <c r="AJ258" s="263">
        <v>-1.303422619047619E-2</v>
      </c>
      <c r="AK258" s="263">
        <v>-1.9047684523809522E-2</v>
      </c>
      <c r="AL258" s="263">
        <v>-1.6588744047619047E-2</v>
      </c>
      <c r="AM258" s="263">
        <v>-9.830142857142855E-3</v>
      </c>
      <c r="AN258" s="263">
        <v>-4.3288672619047619E-2</v>
      </c>
      <c r="AO258" s="263">
        <v>-3.4936773809523806E-2</v>
      </c>
      <c r="AP258" s="263">
        <v>-1.9585124999999998E-2</v>
      </c>
      <c r="AQ258" s="263">
        <v>-1.3616595238095238E-2</v>
      </c>
      <c r="AR258" s="263">
        <v>-1.7701511904761907E-2</v>
      </c>
      <c r="AS258" s="263">
        <v>-1.7935428571428571E-2</v>
      </c>
      <c r="AT258" s="263">
        <v>-1.647607142857143E-2</v>
      </c>
      <c r="AU258" s="263">
        <v>-2.3604928571428575E-2</v>
      </c>
      <c r="AV258" s="260">
        <f t="shared" ca="1" si="21"/>
        <v>-1.2618642857142866E-2</v>
      </c>
      <c r="AX258" s="88" t="str">
        <f t="shared" ca="1" si="20"/>
        <v>MVEDDD</v>
      </c>
    </row>
    <row r="259" spans="1:50" hidden="1" x14ac:dyDescent="0.3">
      <c r="A259" s="88" t="str">
        <f t="shared" ca="1" si="19"/>
        <v>MVEDSY</v>
      </c>
      <c r="F259" s="251">
        <v>28.35</v>
      </c>
      <c r="G259" s="251">
        <v>28.88</v>
      </c>
      <c r="H259" s="251">
        <v>29.38</v>
      </c>
      <c r="I259" s="251">
        <v>29.33</v>
      </c>
      <c r="J259" s="251">
        <v>29.78</v>
      </c>
      <c r="K259" s="251">
        <v>30.27</v>
      </c>
      <c r="L259" s="251">
        <v>30.12</v>
      </c>
      <c r="M259" s="251">
        <v>30.12</v>
      </c>
      <c r="N259" s="251">
        <v>26.21</v>
      </c>
      <c r="O259" s="251">
        <v>25.69</v>
      </c>
      <c r="P259" s="251">
        <v>25.41</v>
      </c>
      <c r="Q259" s="251">
        <v>24.97</v>
      </c>
      <c r="R259" s="251">
        <v>24.55</v>
      </c>
      <c r="S259" s="251">
        <v>24.04</v>
      </c>
      <c r="T259" s="251">
        <v>23.98</v>
      </c>
      <c r="U259" s="251">
        <v>23.26</v>
      </c>
      <c r="V259" s="251">
        <v>23.34</v>
      </c>
      <c r="W259" s="251">
        <v>23.99</v>
      </c>
      <c r="X259" s="251">
        <v>23.17</v>
      </c>
      <c r="Y259" s="251">
        <v>23.38</v>
      </c>
      <c r="Z259" s="245">
        <f ca="1">[1]ExtEntry!$H57</f>
        <v>23.38</v>
      </c>
      <c r="AB259" s="260">
        <v>-8.1896166666666666E-3</v>
      </c>
      <c r="AC259" s="260">
        <v>-9.9649142857142874E-3</v>
      </c>
      <c r="AD259" s="260">
        <v>-9.3061464285714331E-3</v>
      </c>
      <c r="AE259" s="260">
        <v>1.1819472619047623E-2</v>
      </c>
      <c r="AF259" s="260">
        <v>1.3488841666666671E-2</v>
      </c>
      <c r="AG259" s="260">
        <v>1.3344180952380956E-2</v>
      </c>
      <c r="AH259" s="260">
        <v>1.1256502380952382E-2</v>
      </c>
      <c r="AI259" s="260">
        <v>9.4964404761904795E-3</v>
      </c>
      <c r="AJ259" s="260">
        <v>1.259994047619048E-3</v>
      </c>
      <c r="AK259" s="260">
        <v>-2.0995476190476172E-3</v>
      </c>
      <c r="AL259" s="260">
        <v>-5.2929999999999991E-3</v>
      </c>
      <c r="AM259" s="260">
        <v>-5.9959404761904742E-3</v>
      </c>
      <c r="AN259" s="260">
        <v>-9.1858220238095253E-3</v>
      </c>
      <c r="AO259" s="260">
        <v>-1.2716905357142859E-2</v>
      </c>
      <c r="AP259" s="260">
        <v>-1.1366054166666665E-2</v>
      </c>
      <c r="AQ259" s="260">
        <v>-1.2616518452380951E-2</v>
      </c>
      <c r="AR259" s="260">
        <v>-3.687750595238095E-3</v>
      </c>
      <c r="AS259" s="260">
        <v>-2.433208928571429E-3</v>
      </c>
      <c r="AT259" s="260">
        <v>-8.3940654761904647E-4</v>
      </c>
      <c r="AU259" s="260">
        <v>2.700498214285715E-3</v>
      </c>
      <c r="AV259" s="260">
        <f t="shared" ca="1" si="21"/>
        <v>3.7841809523809534E-3</v>
      </c>
      <c r="AX259" s="88" t="str">
        <f t="shared" ca="1" si="20"/>
        <v>MVEDSY</v>
      </c>
    </row>
    <row r="260" spans="1:50" hidden="1" x14ac:dyDescent="0.3">
      <c r="A260" s="88" t="str">
        <f t="shared" ca="1" si="19"/>
        <v>MVEEOAN</v>
      </c>
      <c r="F260" s="251">
        <v>16.37</v>
      </c>
      <c r="G260" s="251">
        <v>16.2</v>
      </c>
      <c r="H260" s="251">
        <v>16.25</v>
      </c>
      <c r="I260" s="251">
        <v>16.27</v>
      </c>
      <c r="J260" s="251">
        <v>16.420000000000002</v>
      </c>
      <c r="K260" s="251">
        <v>16.364999999999998</v>
      </c>
      <c r="L260" s="251">
        <v>16.100000000000001</v>
      </c>
      <c r="M260" s="251">
        <v>16.100000000000001</v>
      </c>
      <c r="N260" s="251">
        <v>15.98</v>
      </c>
      <c r="O260" s="251">
        <v>16.059999999999999</v>
      </c>
      <c r="P260" s="251">
        <v>16.094999999999999</v>
      </c>
      <c r="Q260" s="251">
        <v>16.239999999999998</v>
      </c>
      <c r="R260" s="251">
        <v>16.254999999999999</v>
      </c>
      <c r="S260" s="251">
        <v>15.75</v>
      </c>
      <c r="T260" s="251">
        <v>16.05</v>
      </c>
      <c r="U260" s="251">
        <v>16.079999999999998</v>
      </c>
      <c r="V260" s="251">
        <v>16.105</v>
      </c>
      <c r="W260" s="251">
        <v>15.244999999999999</v>
      </c>
      <c r="X260" s="251">
        <v>15.23</v>
      </c>
      <c r="Y260" s="251">
        <v>15.3</v>
      </c>
      <c r="Z260" s="245">
        <f ca="1">[1]ExtEntry!$H58</f>
        <v>15.3</v>
      </c>
      <c r="AB260" s="263">
        <v>-3.4145059523809588E-4</v>
      </c>
      <c r="AC260" s="263">
        <v>1.199424404761904E-3</v>
      </c>
      <c r="AD260" s="263">
        <v>-2.3723630952380984E-4</v>
      </c>
      <c r="AE260" s="263">
        <v>-8.4969464285714362E-4</v>
      </c>
      <c r="AF260" s="263">
        <v>-3.9437916666666727E-4</v>
      </c>
      <c r="AG260" s="263">
        <v>-3.6878988095238093E-4</v>
      </c>
      <c r="AH260" s="263">
        <v>-1.4155523809523808E-3</v>
      </c>
      <c r="AI260" s="263">
        <v>-4.0398380952380956E-3</v>
      </c>
      <c r="AJ260" s="263">
        <v>-5.2494690476190481E-3</v>
      </c>
      <c r="AK260" s="263">
        <v>-2.8832607142857142E-3</v>
      </c>
      <c r="AL260" s="263">
        <v>-2.8319690476190469E-3</v>
      </c>
      <c r="AM260" s="263">
        <v>-2.4370047619047619E-3</v>
      </c>
      <c r="AN260" s="263">
        <v>-3.8267071428571423E-3</v>
      </c>
      <c r="AO260" s="263">
        <v>-3.9435761904761911E-3</v>
      </c>
      <c r="AP260" s="263">
        <v>-1.0348321428571429E-3</v>
      </c>
      <c r="AQ260" s="263">
        <v>1.6112988095238097E-3</v>
      </c>
      <c r="AR260" s="263">
        <v>2.7817273809523811E-3</v>
      </c>
      <c r="AS260" s="263">
        <v>2.4497511904761904E-3</v>
      </c>
      <c r="AT260" s="263">
        <v>1.6077630952380949E-3</v>
      </c>
      <c r="AU260" s="263">
        <v>2.9454761904761887E-4</v>
      </c>
      <c r="AV260" s="260">
        <f t="shared" ca="1" si="21"/>
        <v>1.0391130952380951E-3</v>
      </c>
      <c r="AX260" s="88" t="str">
        <f t="shared" ca="1" si="20"/>
        <v>MVEEOAN</v>
      </c>
    </row>
    <row r="261" spans="1:50" hidden="1" x14ac:dyDescent="0.3">
      <c r="A261" s="88" t="str">
        <f t="shared" ca="1" si="19"/>
        <v>MVEENI</v>
      </c>
      <c r="F261" s="251">
        <v>14.7</v>
      </c>
      <c r="G261" s="251">
        <v>14.722</v>
      </c>
      <c r="H261" s="251">
        <v>14.766</v>
      </c>
      <c r="I261" s="251">
        <v>14.843999999999999</v>
      </c>
      <c r="J261" s="251">
        <v>14.875999999999999</v>
      </c>
      <c r="K261" s="251">
        <v>14.9</v>
      </c>
      <c r="L261" s="251">
        <v>15.125999999999999</v>
      </c>
      <c r="M261" s="251">
        <v>15.125999999999999</v>
      </c>
      <c r="N261" s="251">
        <v>15.586</v>
      </c>
      <c r="O261" s="251">
        <v>15.836</v>
      </c>
      <c r="P261" s="251">
        <v>15.942</v>
      </c>
      <c r="Q261" s="251">
        <v>15.885999999999999</v>
      </c>
      <c r="R261" s="251">
        <v>15.92</v>
      </c>
      <c r="S261" s="251">
        <v>15.91</v>
      </c>
      <c r="T261" s="251">
        <v>15.968</v>
      </c>
      <c r="U261" s="251">
        <v>15.948</v>
      </c>
      <c r="V261" s="251">
        <v>15.932</v>
      </c>
      <c r="W261" s="251">
        <v>16.474</v>
      </c>
      <c r="X261" s="251">
        <v>16.36</v>
      </c>
      <c r="Y261" s="251">
        <v>16.218</v>
      </c>
      <c r="Z261" s="245">
        <f ca="1">[1]ExtEntry!$H59</f>
        <v>16.218</v>
      </c>
      <c r="AB261" s="260">
        <v>-2.4144880952380954E-3</v>
      </c>
      <c r="AC261" s="260">
        <v>-1.4515297619047622E-3</v>
      </c>
      <c r="AD261" s="260">
        <v>-1.1519345238095238E-3</v>
      </c>
      <c r="AE261" s="260">
        <v>-1.173952380952381E-3</v>
      </c>
      <c r="AF261" s="260">
        <v>-2.281410714285715E-3</v>
      </c>
      <c r="AG261" s="260">
        <v>-3.2606369047619046E-3</v>
      </c>
      <c r="AH261" s="260">
        <v>-4.464880952380955E-4</v>
      </c>
      <c r="AI261" s="260">
        <v>1.3926785714285712E-3</v>
      </c>
      <c r="AJ261" s="260">
        <v>6.8831666666666676E-3</v>
      </c>
      <c r="AK261" s="260">
        <v>8.0821845238095227E-3</v>
      </c>
      <c r="AL261" s="260">
        <v>8.8234999999999997E-3</v>
      </c>
      <c r="AM261" s="260">
        <v>7.0722202380952368E-3</v>
      </c>
      <c r="AN261" s="260">
        <v>5.9171309523809524E-3</v>
      </c>
      <c r="AO261" s="260">
        <v>5.8961428571428576E-3</v>
      </c>
      <c r="AP261" s="260">
        <v>3.9327499999999996E-3</v>
      </c>
      <c r="AQ261" s="260">
        <v>2.0358392857142858E-3</v>
      </c>
      <c r="AR261" s="260">
        <v>-1.6351011904761899E-3</v>
      </c>
      <c r="AS261" s="260">
        <v>-3.2133952380952384E-3</v>
      </c>
      <c r="AT261" s="260">
        <v>-3.621377380952381E-3</v>
      </c>
      <c r="AU261" s="260">
        <v>-4.2580083333333338E-3</v>
      </c>
      <c r="AV261" s="260">
        <f t="shared" ca="1" si="21"/>
        <v>-4.4025559523809526E-3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-1.9318511904761887E-3</v>
      </c>
      <c r="AC262" s="263">
        <v>-1.1401065476190474E-2</v>
      </c>
      <c r="AD262" s="263">
        <v>-4.6561964285714279E-3</v>
      </c>
      <c r="AE262" s="263">
        <v>-3.4545178571428565E-3</v>
      </c>
      <c r="AF262" s="263">
        <v>-8.424880952380945E-4</v>
      </c>
      <c r="AG262" s="263">
        <v>1.7695416666666675E-3</v>
      </c>
      <c r="AH262" s="263">
        <v>4.8081904761904755E-3</v>
      </c>
      <c r="AI262" s="263">
        <v>2.4601428571428574E-3</v>
      </c>
      <c r="AJ262" s="263">
        <v>1.2137142857142852E-3</v>
      </c>
      <c r="AK262" s="263">
        <v>1.047809523809524E-3</v>
      </c>
      <c r="AL262" s="263">
        <v>1.2380952380952382E-3</v>
      </c>
      <c r="AM262" s="263">
        <v>-8.4671428571428658E-4</v>
      </c>
      <c r="AN262" s="263">
        <v>-1.4376666666666678E-3</v>
      </c>
      <c r="AO262" s="263">
        <v>2.2770952380952373E-3</v>
      </c>
      <c r="AP262" s="263">
        <v>4.9367142857142847E-3</v>
      </c>
      <c r="AQ262" s="263">
        <v>2.4615714285714284E-3</v>
      </c>
      <c r="AR262" s="263">
        <v>2.6481428571428567E-3</v>
      </c>
      <c r="AS262" s="263">
        <v>1.7654285714285712E-3</v>
      </c>
      <c r="AT262" s="263">
        <v>8.8271428571428561E-4</v>
      </c>
      <c r="AU262" s="263">
        <v>0</v>
      </c>
      <c r="AV262" s="260">
        <f t="shared" ca="1" si="21"/>
        <v>0</v>
      </c>
      <c r="AX262" s="88" t="str">
        <f t="shared" ca="1" si="20"/>
        <v>MVEEPIX</v>
      </c>
    </row>
    <row r="263" spans="1:50" hidden="1" x14ac:dyDescent="0.3">
      <c r="A263" s="88" t="str">
        <f t="shared" ca="1" si="19"/>
        <v>MVEGLE</v>
      </c>
      <c r="F263" s="251">
        <v>55.02</v>
      </c>
      <c r="G263" s="251">
        <v>55.56</v>
      </c>
      <c r="H263" s="251">
        <v>56.52</v>
      </c>
      <c r="I263" s="251">
        <v>53.64</v>
      </c>
      <c r="J263" s="251">
        <v>53</v>
      </c>
      <c r="K263" s="251">
        <v>53.12</v>
      </c>
      <c r="L263" s="251">
        <v>52.88</v>
      </c>
      <c r="M263" s="251">
        <v>52.88</v>
      </c>
      <c r="N263" s="251">
        <v>53.58</v>
      </c>
      <c r="O263" s="251">
        <v>53.68</v>
      </c>
      <c r="P263" s="251">
        <v>53.6</v>
      </c>
      <c r="Q263" s="251">
        <v>54.26</v>
      </c>
      <c r="R263" s="251">
        <v>53</v>
      </c>
      <c r="S263" s="251">
        <v>54.58</v>
      </c>
      <c r="T263" s="251">
        <v>54.64</v>
      </c>
      <c r="U263" s="251">
        <v>55.8</v>
      </c>
      <c r="V263" s="251">
        <v>54.64</v>
      </c>
      <c r="W263" s="251">
        <v>57.98</v>
      </c>
      <c r="X263" s="251">
        <v>56.18</v>
      </c>
      <c r="Y263" s="251">
        <v>56.82</v>
      </c>
      <c r="Z263" s="245">
        <f ca="1">[1]ExtEntry!$H61</f>
        <v>56.82</v>
      </c>
      <c r="AB263" s="260">
        <v>1.8231011904761905E-3</v>
      </c>
      <c r="AC263" s="260">
        <v>4.1332142857142861E-3</v>
      </c>
      <c r="AD263" s="260">
        <v>3.7713273809523813E-3</v>
      </c>
      <c r="AE263" s="260">
        <v>1.4957738095238106E-3</v>
      </c>
      <c r="AF263" s="260">
        <v>-1.4401785714285714E-3</v>
      </c>
      <c r="AG263" s="260">
        <v>-5.1320833333333362E-4</v>
      </c>
      <c r="AH263" s="260">
        <v>-1.2256726190476186E-3</v>
      </c>
      <c r="AI263" s="260">
        <v>-1.6821190476190469E-3</v>
      </c>
      <c r="AJ263" s="260">
        <v>-3.3811309523809532E-3</v>
      </c>
      <c r="AK263" s="260">
        <v>-4.9964226190476191E-3</v>
      </c>
      <c r="AL263" s="260">
        <v>-6.5980714285714262E-3</v>
      </c>
      <c r="AM263" s="260">
        <v>1.0976190476190536E-4</v>
      </c>
      <c r="AN263" s="260">
        <v>-1.3770892857142855E-3</v>
      </c>
      <c r="AO263" s="260">
        <v>-1.5257738095238093E-3</v>
      </c>
      <c r="AP263" s="260">
        <v>-9.597916666666663E-4</v>
      </c>
      <c r="AQ263" s="260">
        <v>1.2477559523809524E-3</v>
      </c>
      <c r="AR263" s="260">
        <v>-2.3879523809523812E-3</v>
      </c>
      <c r="AS263" s="260">
        <v>-3.1640238095238088E-3</v>
      </c>
      <c r="AT263" s="260">
        <v>-3.4413452380952386E-3</v>
      </c>
      <c r="AU263" s="260">
        <v>-4.6197797619047607E-3</v>
      </c>
      <c r="AV263" s="260">
        <f t="shared" ca="1" si="21"/>
        <v>1.8004166666666733E-4</v>
      </c>
      <c r="AX263" s="88" t="str">
        <f t="shared" ca="1" si="20"/>
        <v>MVEGLE</v>
      </c>
    </row>
    <row r="264" spans="1:50" hidden="1" x14ac:dyDescent="0.3">
      <c r="A264" s="88" t="str">
        <f t="shared" ca="1" si="19"/>
        <v>MVEORA</v>
      </c>
      <c r="F264" s="251">
        <v>13.57</v>
      </c>
      <c r="G264" s="251">
        <v>14.015000000000001</v>
      </c>
      <c r="H264" s="251">
        <v>14.085000000000001</v>
      </c>
      <c r="I264" s="251">
        <v>14.335000000000001</v>
      </c>
      <c r="J264" s="251">
        <v>14.16</v>
      </c>
      <c r="K264" s="251">
        <v>14.125</v>
      </c>
      <c r="L264" s="251">
        <v>14.07</v>
      </c>
      <c r="M264" s="251">
        <v>14.07</v>
      </c>
      <c r="N264" s="251">
        <v>14.15</v>
      </c>
      <c r="O264" s="251">
        <v>13.92</v>
      </c>
      <c r="P264" s="251">
        <v>13.85</v>
      </c>
      <c r="Q264" s="251">
        <v>13.89</v>
      </c>
      <c r="R264" s="251">
        <v>13.855</v>
      </c>
      <c r="S264" s="251">
        <v>13.715</v>
      </c>
      <c r="T264" s="251">
        <v>13.715</v>
      </c>
      <c r="U264" s="251">
        <v>13.94</v>
      </c>
      <c r="V264" s="251">
        <v>14.164999999999999</v>
      </c>
      <c r="W264" s="251">
        <v>14.02</v>
      </c>
      <c r="X264" s="251">
        <v>13.69</v>
      </c>
      <c r="Y264" s="251">
        <v>13.78</v>
      </c>
      <c r="Z264" s="245">
        <f ca="1">[1]ExtEntry!$H62</f>
        <v>13.78</v>
      </c>
      <c r="AB264" s="263">
        <v>7.7919404761904703E-4</v>
      </c>
      <c r="AC264" s="263">
        <v>4.6102952380952383E-3</v>
      </c>
      <c r="AD264" s="263">
        <v>6.4485333333333342E-3</v>
      </c>
      <c r="AE264" s="263">
        <v>7.3287357142857151E-3</v>
      </c>
      <c r="AF264" s="263">
        <v>5.0258845238095231E-3</v>
      </c>
      <c r="AG264" s="263">
        <v>3.5447892857142856E-3</v>
      </c>
      <c r="AH264" s="263">
        <v>3.0764642857142848E-3</v>
      </c>
      <c r="AI264" s="263">
        <v>3.9341488095238093E-3</v>
      </c>
      <c r="AJ264" s="263">
        <v>2.5641845238095237E-3</v>
      </c>
      <c r="AK264" s="263">
        <v>-2.2449285714285713E-3</v>
      </c>
      <c r="AL264" s="263">
        <v>-2.8042619047619045E-3</v>
      </c>
      <c r="AM264" s="263">
        <v>-5.007029761904762E-3</v>
      </c>
      <c r="AN264" s="263">
        <v>-2.6911249999999991E-3</v>
      </c>
      <c r="AO264" s="263">
        <v>-3.5261071428571429E-3</v>
      </c>
      <c r="AP264" s="263">
        <v>-3.6300238095238091E-3</v>
      </c>
      <c r="AQ264" s="263">
        <v>-2.6302678571428579E-3</v>
      </c>
      <c r="AR264" s="263">
        <v>-1.9836785714285724E-3</v>
      </c>
      <c r="AS264" s="263">
        <v>-9.9529166666666646E-4</v>
      </c>
      <c r="AT264" s="263">
        <v>-1.2587202380952383E-3</v>
      </c>
      <c r="AU264" s="263">
        <v>-2.5472321428571419E-3</v>
      </c>
      <c r="AV264" s="260">
        <f t="shared" ca="1" si="21"/>
        <v>-5.3816011904761901E-3</v>
      </c>
      <c r="AX264" s="88" t="str">
        <f t="shared" ca="1" si="20"/>
        <v>MVEORA</v>
      </c>
    </row>
    <row r="265" spans="1:50" hidden="1" x14ac:dyDescent="0.3">
      <c r="A265" s="88" t="str">
        <f t="shared" ca="1" si="19"/>
        <v>MVERWE</v>
      </c>
      <c r="F265" s="251">
        <v>40.58</v>
      </c>
      <c r="G265" s="251">
        <v>40.69</v>
      </c>
      <c r="H265" s="251">
        <v>41.38</v>
      </c>
      <c r="I265" s="251">
        <v>41.06</v>
      </c>
      <c r="J265" s="251">
        <v>40.92</v>
      </c>
      <c r="K265" s="251">
        <v>40.47</v>
      </c>
      <c r="L265" s="251">
        <v>40.22</v>
      </c>
      <c r="M265" s="251">
        <v>40.22</v>
      </c>
      <c r="N265" s="251">
        <v>40</v>
      </c>
      <c r="O265" s="251">
        <v>40.479999999999997</v>
      </c>
      <c r="P265" s="251">
        <v>40.5</v>
      </c>
      <c r="Q265" s="251">
        <v>41.09</v>
      </c>
      <c r="R265" s="251">
        <v>42.98</v>
      </c>
      <c r="S265" s="251">
        <v>42.34</v>
      </c>
      <c r="T265" s="251">
        <v>42.61</v>
      </c>
      <c r="U265" s="251">
        <v>43.12</v>
      </c>
      <c r="V265" s="251">
        <v>42.91</v>
      </c>
      <c r="W265" s="251">
        <v>45.33</v>
      </c>
      <c r="X265" s="251">
        <v>44.28</v>
      </c>
      <c r="Y265" s="251">
        <v>43.73</v>
      </c>
      <c r="Z265" s="245">
        <f ca="1">[1]ExtEntry!$H63</f>
        <v>43.73</v>
      </c>
      <c r="AB265" s="260">
        <v>-1.7888035714285714E-3</v>
      </c>
      <c r="AC265" s="260">
        <v>-9.4844047619047599E-4</v>
      </c>
      <c r="AD265" s="260">
        <v>-1.4069345238095238E-3</v>
      </c>
      <c r="AE265" s="260">
        <v>-2.4959642857142863E-3</v>
      </c>
      <c r="AF265" s="260">
        <v>-4.9128928571428579E-3</v>
      </c>
      <c r="AG265" s="260">
        <v>-4.6601607142857148E-3</v>
      </c>
      <c r="AH265" s="260">
        <v>-4.9774047619047619E-3</v>
      </c>
      <c r="AI265" s="260">
        <v>-6.9883452380952397E-3</v>
      </c>
      <c r="AJ265" s="260">
        <v>-5.6279940476190475E-3</v>
      </c>
      <c r="AK265" s="260">
        <v>-4.8329642857142851E-3</v>
      </c>
      <c r="AL265" s="260">
        <v>-5.8472660714285717E-3</v>
      </c>
      <c r="AM265" s="260">
        <v>-3.9166410714285716E-3</v>
      </c>
      <c r="AN265" s="260">
        <v>-2.06993869047619E-3</v>
      </c>
      <c r="AO265" s="260">
        <v>-9.5432738095237168E-5</v>
      </c>
      <c r="AP265" s="260">
        <v>1.0359601190476197E-3</v>
      </c>
      <c r="AQ265" s="260">
        <v>3.0889720238095244E-3</v>
      </c>
      <c r="AR265" s="260">
        <v>3.3776922619047625E-3</v>
      </c>
      <c r="AS265" s="260">
        <v>2.5625791666666672E-3</v>
      </c>
      <c r="AT265" s="260">
        <v>1.5076797619047618E-3</v>
      </c>
      <c r="AU265" s="260">
        <v>-1.562790476190476E-3</v>
      </c>
      <c r="AV265" s="260">
        <f t="shared" ca="1" si="21"/>
        <v>-4.4567607142857145E-3</v>
      </c>
      <c r="AX265" s="88" t="str">
        <f t="shared" ca="1" si="20"/>
        <v>MVERWE</v>
      </c>
    </row>
    <row r="266" spans="1:50" hidden="1" x14ac:dyDescent="0.3">
      <c r="A266" s="88" t="str">
        <f t="shared" ca="1" si="19"/>
        <v>MVESAP</v>
      </c>
      <c r="F266" s="251">
        <v>232.7</v>
      </c>
      <c r="G266" s="251">
        <v>234.2</v>
      </c>
      <c r="H266" s="251">
        <v>233.2</v>
      </c>
      <c r="I266" s="251">
        <v>230.95</v>
      </c>
      <c r="J266" s="251">
        <v>238.6</v>
      </c>
      <c r="K266" s="251">
        <v>240.4</v>
      </c>
      <c r="L266" s="251">
        <v>236.85</v>
      </c>
      <c r="M266" s="251">
        <v>236.85</v>
      </c>
      <c r="N266" s="251">
        <v>242</v>
      </c>
      <c r="O266" s="251">
        <v>233.35</v>
      </c>
      <c r="P266" s="251">
        <v>235.55</v>
      </c>
      <c r="Q266" s="251">
        <v>234.1</v>
      </c>
      <c r="R266" s="251">
        <v>225.85</v>
      </c>
      <c r="S266" s="251">
        <v>226.05</v>
      </c>
      <c r="T266" s="251">
        <v>227.95</v>
      </c>
      <c r="U266" s="251">
        <v>217.95</v>
      </c>
      <c r="V266" s="251">
        <v>215.65</v>
      </c>
      <c r="W266" s="251">
        <v>211.1</v>
      </c>
      <c r="X266" s="251">
        <v>205.35</v>
      </c>
      <c r="Y266" s="251">
        <v>205.5</v>
      </c>
      <c r="Z266" s="245">
        <f ca="1">[1]ExtEntry!$H64</f>
        <v>205.5</v>
      </c>
      <c r="AB266" s="263">
        <v>3.9830857142857147E-3</v>
      </c>
      <c r="AC266" s="263">
        <v>7.7509761904761979E-4</v>
      </c>
      <c r="AD266" s="263">
        <v>6.7412142857142809E-4</v>
      </c>
      <c r="AE266" s="263">
        <v>6.7364523809523803E-4</v>
      </c>
      <c r="AF266" s="263">
        <v>1.6619428571428567E-3</v>
      </c>
      <c r="AG266" s="263">
        <v>1.5248357142857143E-3</v>
      </c>
      <c r="AH266" s="263">
        <v>-3.1940238095237976E-4</v>
      </c>
      <c r="AI266" s="263">
        <v>-1.6050571428571415E-3</v>
      </c>
      <c r="AJ266" s="263">
        <v>-2.4578333333333214E-4</v>
      </c>
      <c r="AK266" s="263">
        <v>-4.4022476190476185E-3</v>
      </c>
      <c r="AL266" s="263">
        <v>-3.1495214285714281E-3</v>
      </c>
      <c r="AM266" s="263">
        <v>-2.3352595238095228E-3</v>
      </c>
      <c r="AN266" s="263">
        <v>-5.444914285714285E-3</v>
      </c>
      <c r="AO266" s="263">
        <v>-7.3555654761904756E-3</v>
      </c>
      <c r="AP266" s="263">
        <v>-3.9604464285714286E-3</v>
      </c>
      <c r="AQ266" s="263">
        <v>-5.909291666666666E-3</v>
      </c>
      <c r="AR266" s="263">
        <v>-8.7448452380952373E-3</v>
      </c>
      <c r="AS266" s="263">
        <v>-6.3145773809523808E-3</v>
      </c>
      <c r="AT266" s="263">
        <v>-7.3726011904761916E-3</v>
      </c>
      <c r="AU266" s="263">
        <v>-6.5065267857142856E-3</v>
      </c>
      <c r="AV266" s="260">
        <f t="shared" ca="1" si="21"/>
        <v>-7.1381785714285722E-3</v>
      </c>
      <c r="AX266" s="88" t="str">
        <f t="shared" ca="1" si="20"/>
        <v>MVESAP</v>
      </c>
    </row>
    <row r="267" spans="1:50" hidden="1" x14ac:dyDescent="0.3">
      <c r="A267" s="88" t="str">
        <f t="shared" ca="1" si="19"/>
        <v>MVEUN0</v>
      </c>
      <c r="F267" s="251">
        <v>31.55</v>
      </c>
      <c r="G267" s="251">
        <v>31.6</v>
      </c>
      <c r="H267" s="251">
        <v>31.75</v>
      </c>
      <c r="I267" s="251">
        <v>31.55</v>
      </c>
      <c r="J267" s="251">
        <v>33</v>
      </c>
      <c r="K267" s="251">
        <v>31.7</v>
      </c>
      <c r="L267" s="251">
        <v>31.8</v>
      </c>
      <c r="M267" s="251">
        <v>31.8</v>
      </c>
      <c r="N267" s="251">
        <v>30.95</v>
      </c>
      <c r="O267" s="251">
        <v>30.15</v>
      </c>
      <c r="P267" s="251">
        <v>30.85</v>
      </c>
      <c r="Q267" s="251">
        <v>30.25</v>
      </c>
      <c r="R267" s="251">
        <v>30.05</v>
      </c>
      <c r="S267" s="251">
        <v>29.6</v>
      </c>
      <c r="T267" s="251">
        <v>29.5</v>
      </c>
      <c r="U267" s="251">
        <v>27.95</v>
      </c>
      <c r="V267" s="251">
        <v>28.5</v>
      </c>
      <c r="W267" s="251">
        <v>28.6</v>
      </c>
      <c r="X267" s="251">
        <v>29.55</v>
      </c>
      <c r="Y267" s="251">
        <v>30.25</v>
      </c>
      <c r="Z267" s="245">
        <f ca="1">[1]ExtEntry!$H65</f>
        <v>30.25</v>
      </c>
      <c r="AB267" s="260">
        <v>4.0375059523809521E-3</v>
      </c>
      <c r="AC267" s="260">
        <v>4.5013095238095229E-3</v>
      </c>
      <c r="AD267" s="260">
        <v>3.7978690476190473E-3</v>
      </c>
      <c r="AE267" s="260">
        <v>8.2586547619047622E-3</v>
      </c>
      <c r="AF267" s="260">
        <v>5.2292142857142858E-3</v>
      </c>
      <c r="AG267" s="260">
        <v>-1.6485476190476196E-3</v>
      </c>
      <c r="AH267" s="260">
        <v>2.1256071428571422E-3</v>
      </c>
      <c r="AI267" s="260">
        <v>6.1799999999999963E-4</v>
      </c>
      <c r="AJ267" s="260">
        <v>-7.8892857142858104E-5</v>
      </c>
      <c r="AK267" s="260">
        <v>-1.9974464285714292E-3</v>
      </c>
      <c r="AL267" s="260">
        <v>-1.002839285714287E-3</v>
      </c>
      <c r="AM267" s="260">
        <v>-6.0330357142857321E-4</v>
      </c>
      <c r="AN267" s="260">
        <v>-8.7143333333333343E-3</v>
      </c>
      <c r="AO267" s="260">
        <v>-3.7988214285714314E-3</v>
      </c>
      <c r="AP267" s="260">
        <v>-4.7346845238095247E-3</v>
      </c>
      <c r="AQ267" s="260">
        <v>-8.9130476190476191E-3</v>
      </c>
      <c r="AR267" s="260">
        <v>-5.629238095238096E-3</v>
      </c>
      <c r="AS267" s="260">
        <v>-8.9893452380952234E-4</v>
      </c>
      <c r="AT267" s="260">
        <v>-5.5039226190476184E-3</v>
      </c>
      <c r="AU267" s="260">
        <v>-4.6632738095238099E-3</v>
      </c>
      <c r="AV267" s="260">
        <f t="shared" ca="1" si="21"/>
        <v>-3.1775000000000006E-3</v>
      </c>
      <c r="AX267" s="88" t="str">
        <f t="shared" ca="1" si="20"/>
        <v>MVEUN0</v>
      </c>
    </row>
    <row r="268" spans="1:50" hidden="1" x14ac:dyDescent="0.3">
      <c r="A268" s="88" t="str">
        <f t="shared" ca="1" si="19"/>
        <v>SAFAAPL</v>
      </c>
      <c r="F268" s="251">
        <v>247.77</v>
      </c>
      <c r="G268" s="251">
        <v>249.4</v>
      </c>
      <c r="H268" s="251">
        <v>247.45</v>
      </c>
      <c r="I268" s="251">
        <v>252.29</v>
      </c>
      <c r="J268" s="251">
        <v>262.24</v>
      </c>
      <c r="K268" s="251">
        <v>262.77</v>
      </c>
      <c r="L268" s="251">
        <v>258.45</v>
      </c>
      <c r="M268" s="251">
        <v>258.45</v>
      </c>
      <c r="N268" s="251">
        <v>259.58</v>
      </c>
      <c r="O268" s="251">
        <v>262.82</v>
      </c>
      <c r="P268" s="251">
        <v>268.81</v>
      </c>
      <c r="Q268" s="251">
        <v>269</v>
      </c>
      <c r="R268" s="251">
        <v>271.39999999999998</v>
      </c>
      <c r="S268" s="251">
        <v>270.02999999999997</v>
      </c>
      <c r="T268" s="251">
        <v>270.14</v>
      </c>
      <c r="U268" s="251">
        <v>270.5</v>
      </c>
      <c r="V268" s="251">
        <v>267.99700000000001</v>
      </c>
      <c r="W268" s="251">
        <v>272.41000000000003</v>
      </c>
      <c r="X268" s="251">
        <v>267.44</v>
      </c>
      <c r="Y268" s="251">
        <v>270.02999999999997</v>
      </c>
      <c r="Z268" s="245">
        <f ca="1">[1]ExtEntry!$H66</f>
        <v>270.02999999999997</v>
      </c>
      <c r="AB268" s="263">
        <v>-5.4315446428571433E-3</v>
      </c>
      <c r="AC268" s="263">
        <v>-5.2095327380952388E-3</v>
      </c>
      <c r="AD268" s="263">
        <v>-5.9369910714285722E-3</v>
      </c>
      <c r="AE268" s="263">
        <v>-4.5423476190476174E-3</v>
      </c>
      <c r="AF268" s="263">
        <v>-7.351392857142874E-4</v>
      </c>
      <c r="AG268" s="263">
        <v>2.8938785714285719E-3</v>
      </c>
      <c r="AH268" s="263">
        <v>5.2251761904761902E-3</v>
      </c>
      <c r="AI268" s="263">
        <v>2.4282238095238093E-3</v>
      </c>
      <c r="AJ268" s="263">
        <v>2.3142464285714295E-3</v>
      </c>
      <c r="AK268" s="263">
        <v>3.3183595238095239E-3</v>
      </c>
      <c r="AL268" s="263">
        <v>5.7680678571428584E-3</v>
      </c>
      <c r="AM268" s="263">
        <v>2.9779511904761912E-3</v>
      </c>
      <c r="AN268" s="263">
        <v>-1.4267583333333325E-3</v>
      </c>
      <c r="AO268" s="263">
        <v>-1.2442285714285711E-3</v>
      </c>
      <c r="AP268" s="263">
        <v>1.1526160714285714E-3</v>
      </c>
      <c r="AQ268" s="263">
        <v>3.4755744047619045E-3</v>
      </c>
      <c r="AR268" s="263">
        <v>2.3815696428571413E-3</v>
      </c>
      <c r="AS268" s="263">
        <v>9.6159345238095231E-4</v>
      </c>
      <c r="AT268" s="263">
        <v>-2.6348776190476203E-3</v>
      </c>
      <c r="AU268" s="263">
        <v>-2.7156800000000016E-3</v>
      </c>
      <c r="AV268" s="260">
        <f t="shared" ca="1" si="21"/>
        <v>-2.2901978571428583E-3</v>
      </c>
      <c r="AX268" s="88" t="str">
        <f t="shared" ca="1" si="20"/>
        <v>SAFAAPL</v>
      </c>
    </row>
    <row r="269" spans="1:50" hidden="1" x14ac:dyDescent="0.3">
      <c r="A269" s="88" t="str">
        <f t="shared" ref="A269:A298" ca="1" si="22">A169</f>
        <v>SAFAMZN</v>
      </c>
      <c r="F269" s="251">
        <v>216.39</v>
      </c>
      <c r="G269" s="251">
        <v>215.16</v>
      </c>
      <c r="H269" s="251">
        <v>214.47</v>
      </c>
      <c r="I269" s="251">
        <v>213.04</v>
      </c>
      <c r="J269" s="251">
        <v>216.48</v>
      </c>
      <c r="K269" s="251">
        <v>222.03</v>
      </c>
      <c r="L269" s="251">
        <v>217.95</v>
      </c>
      <c r="M269" s="251">
        <v>217.95</v>
      </c>
      <c r="N269" s="251">
        <v>221.09</v>
      </c>
      <c r="O269" s="251">
        <v>224.21</v>
      </c>
      <c r="P269" s="251">
        <v>226.97</v>
      </c>
      <c r="Q269" s="251">
        <v>229.25</v>
      </c>
      <c r="R269" s="251">
        <v>222.86</v>
      </c>
      <c r="S269" s="251">
        <v>248.82</v>
      </c>
      <c r="T269" s="251">
        <v>250.2</v>
      </c>
      <c r="U269" s="251">
        <v>243.8064</v>
      </c>
      <c r="V269" s="251">
        <v>244.56</v>
      </c>
      <c r="W269" s="251">
        <v>234.69</v>
      </c>
      <c r="X269" s="251">
        <v>222.55</v>
      </c>
      <c r="Y269" s="251">
        <v>221.18199999999999</v>
      </c>
      <c r="Z269" s="245">
        <f ca="1">[1]ExtEntry!$H67</f>
        <v>221.18199999999999</v>
      </c>
      <c r="AB269" s="260">
        <v>3.9488571428571428E-3</v>
      </c>
      <c r="AC269" s="260">
        <v>3.1851428571428577E-3</v>
      </c>
      <c r="AD269" s="260">
        <v>4.9592380952380947E-3</v>
      </c>
      <c r="AE269" s="260">
        <v>3.8650714285714287E-3</v>
      </c>
      <c r="AF269" s="260">
        <v>3.2271428571428572E-3</v>
      </c>
      <c r="AG269" s="260">
        <v>3.863809523809525E-3</v>
      </c>
      <c r="AH269" s="260">
        <v>4.3432738095238165E-4</v>
      </c>
      <c r="AI269" s="260">
        <v>-4.5727440476190477E-3</v>
      </c>
      <c r="AJ269" s="260">
        <v>-1.4755238095238085E-3</v>
      </c>
      <c r="AK269" s="260">
        <v>-1.1849999999999881E-4</v>
      </c>
      <c r="AL269" s="260">
        <v>1.8277440476190481E-3</v>
      </c>
      <c r="AM269" s="260">
        <v>3.7093928571428577E-3</v>
      </c>
      <c r="AN269" s="260">
        <v>-1.3661369047619043E-3</v>
      </c>
      <c r="AO269" s="260">
        <v>-5.9189642857142852E-3</v>
      </c>
      <c r="AP269" s="260">
        <v>-2.9646190476190484E-3</v>
      </c>
      <c r="AQ269" s="260">
        <v>-3.2659166666666665E-3</v>
      </c>
      <c r="AR269" s="260">
        <v>-4.393136904761904E-3</v>
      </c>
      <c r="AS269" s="260">
        <v>-6.3597797619047627E-3</v>
      </c>
      <c r="AT269" s="260">
        <v>-1.0795011904761906E-2</v>
      </c>
      <c r="AU269" s="260">
        <v>-1.1993488095238099E-2</v>
      </c>
      <c r="AV269" s="260">
        <f t="shared" ca="1" si="21"/>
        <v>-7.6166130952380956E-3</v>
      </c>
      <c r="AX269" s="88" t="str">
        <f t="shared" ref="AX269:AX298" ca="1" si="23">A269</f>
        <v>SAFAMZN</v>
      </c>
    </row>
    <row r="270" spans="1:50" hidden="1" x14ac:dyDescent="0.3">
      <c r="A270" s="88" t="str">
        <f t="shared" ca="1" si="22"/>
        <v>SAFASML</v>
      </c>
      <c r="F270" s="251">
        <v>846.6</v>
      </c>
      <c r="G270" s="251">
        <v>873</v>
      </c>
      <c r="H270" s="251">
        <v>877.4</v>
      </c>
      <c r="I270" s="251">
        <v>875.7</v>
      </c>
      <c r="J270" s="251">
        <v>899</v>
      </c>
      <c r="K270" s="251">
        <v>889.8</v>
      </c>
      <c r="L270" s="251">
        <v>870.1</v>
      </c>
      <c r="M270" s="251">
        <v>870.1</v>
      </c>
      <c r="N270" s="251">
        <v>887.7</v>
      </c>
      <c r="O270" s="251">
        <v>894.4</v>
      </c>
      <c r="P270" s="251">
        <v>908.1</v>
      </c>
      <c r="Q270" s="251">
        <v>907.4</v>
      </c>
      <c r="R270" s="251">
        <v>937.5</v>
      </c>
      <c r="S270" s="251">
        <v>918</v>
      </c>
      <c r="T270" s="251">
        <v>906.6</v>
      </c>
      <c r="U270" s="251">
        <v>895.3</v>
      </c>
      <c r="V270" s="251">
        <v>870.8</v>
      </c>
      <c r="W270" s="251">
        <v>874.1</v>
      </c>
      <c r="X270" s="251">
        <v>859.4</v>
      </c>
      <c r="Y270" s="251">
        <v>886.6</v>
      </c>
      <c r="Z270" s="245">
        <f ca="1">[1]ExtEntry!$H68</f>
        <v>886.6</v>
      </c>
      <c r="AB270" s="263">
        <v>-1.0017042857142855E-2</v>
      </c>
      <c r="AC270" s="263">
        <v>-8.2217809523809516E-3</v>
      </c>
      <c r="AD270" s="263">
        <v>-7.8520547619047622E-3</v>
      </c>
      <c r="AE270" s="263">
        <v>-1.1847392857142871E-3</v>
      </c>
      <c r="AF270" s="263">
        <v>4.1426452380952375E-3</v>
      </c>
      <c r="AG270" s="263">
        <v>3.6262380952380964E-3</v>
      </c>
      <c r="AH270" s="263">
        <v>4.0422261904761933E-3</v>
      </c>
      <c r="AI270" s="263">
        <v>-1.7651666666666679E-3</v>
      </c>
      <c r="AJ270" s="263">
        <v>-1.2704583333333344E-3</v>
      </c>
      <c r="AK270" s="263">
        <v>-4.3663392857142868E-3</v>
      </c>
      <c r="AL270" s="263">
        <v>-3.7464940476190488E-3</v>
      </c>
      <c r="AM270" s="263">
        <v>-2.6833726190476203E-3</v>
      </c>
      <c r="AN270" s="263">
        <v>-4.2147535714285728E-3</v>
      </c>
      <c r="AO270" s="263">
        <v>-1.9149202380952378E-3</v>
      </c>
      <c r="AP270" s="263">
        <v>1.1684250000000003E-3</v>
      </c>
      <c r="AQ270" s="263">
        <v>3.0662107142857154E-3</v>
      </c>
      <c r="AR270" s="263">
        <v>-2.7738666666666666E-3</v>
      </c>
      <c r="AS270" s="263">
        <v>-5.6189797619047629E-3</v>
      </c>
      <c r="AT270" s="263">
        <v>-8.1998190476190499E-3</v>
      </c>
      <c r="AU270" s="263">
        <v>-6.8668654761904774E-3</v>
      </c>
      <c r="AV270" s="260">
        <f t="shared" ca="1" si="21"/>
        <v>-5.6893535714285723E-3</v>
      </c>
      <c r="AX270" s="88" t="str">
        <f t="shared" ca="1" si="23"/>
        <v>SAFASML</v>
      </c>
    </row>
    <row r="271" spans="1:50" hidden="1" x14ac:dyDescent="0.3">
      <c r="A271" s="88" t="str">
        <f t="shared" ca="1" si="22"/>
        <v>SAFDDD</v>
      </c>
      <c r="F271" s="251">
        <v>3.08</v>
      </c>
      <c r="G271" s="251">
        <v>3.25</v>
      </c>
      <c r="H271" s="251">
        <v>3.26</v>
      </c>
      <c r="I271" s="251">
        <v>3.11</v>
      </c>
      <c r="J271" s="251">
        <v>3.7850000000000001</v>
      </c>
      <c r="K271" s="251">
        <v>3.37</v>
      </c>
      <c r="L271" s="251">
        <v>3.0049999999999999</v>
      </c>
      <c r="M271" s="251">
        <v>3.0049999999999999</v>
      </c>
      <c r="N271" s="251">
        <v>3.0750000000000002</v>
      </c>
      <c r="O271" s="251">
        <v>3.125</v>
      </c>
      <c r="P271" s="251">
        <v>3.0750000000000002</v>
      </c>
      <c r="Q271" s="251">
        <v>3.1949999999999998</v>
      </c>
      <c r="R271" s="251">
        <v>2.82</v>
      </c>
      <c r="S271" s="251">
        <v>2.5948000000000002</v>
      </c>
      <c r="T271" s="251">
        <v>2.6</v>
      </c>
      <c r="U271" s="251">
        <v>2.2650000000000001</v>
      </c>
      <c r="V271" s="251">
        <v>2.2250000000000001</v>
      </c>
      <c r="W271" s="251">
        <v>2.16</v>
      </c>
      <c r="X271" s="251">
        <v>2.08</v>
      </c>
      <c r="Y271" s="251">
        <v>2.0449999999999999</v>
      </c>
      <c r="Z271" s="245">
        <f ca="1">[1]ExtEntry!$H69</f>
        <v>2.0449999999999999</v>
      </c>
      <c r="AB271" s="260">
        <v>-1.4241369047619003E-3</v>
      </c>
      <c r="AC271" s="260">
        <v>-4.619642857142843E-4</v>
      </c>
      <c r="AD271" s="260">
        <v>-6.2355357142857143E-3</v>
      </c>
      <c r="AE271" s="260">
        <v>-3.6327202380952352E-3</v>
      </c>
      <c r="AF271" s="260">
        <v>8.6931309523809522E-3</v>
      </c>
      <c r="AG271" s="260">
        <v>1.9457380952381011E-3</v>
      </c>
      <c r="AH271" s="260">
        <v>-5.579065476190477E-3</v>
      </c>
      <c r="AI271" s="260">
        <v>-1.7775113095238094E-2</v>
      </c>
      <c r="AJ271" s="260">
        <v>-1.303422619047619E-2</v>
      </c>
      <c r="AK271" s="260">
        <v>-1.9047684523809522E-2</v>
      </c>
      <c r="AL271" s="260">
        <v>-1.6588744047619047E-2</v>
      </c>
      <c r="AM271" s="260">
        <v>-9.830142857142855E-3</v>
      </c>
      <c r="AN271" s="260">
        <v>-4.3288672619047619E-2</v>
      </c>
      <c r="AO271" s="260">
        <v>-3.4936773809523806E-2</v>
      </c>
      <c r="AP271" s="260">
        <v>-1.9585124999999998E-2</v>
      </c>
      <c r="AQ271" s="260">
        <v>-1.3616595238095238E-2</v>
      </c>
      <c r="AR271" s="260">
        <v>-1.7701511904761907E-2</v>
      </c>
      <c r="AS271" s="260">
        <v>-1.7935428571428571E-2</v>
      </c>
      <c r="AT271" s="260">
        <v>-1.647607142857143E-2</v>
      </c>
      <c r="AU271" s="260">
        <v>-2.3604928571428575E-2</v>
      </c>
      <c r="AV271" s="260">
        <f t="shared" ca="1" si="21"/>
        <v>-1.2618642857142866E-2</v>
      </c>
      <c r="AX271" s="88" t="str">
        <f t="shared" ca="1" si="23"/>
        <v>SAFDDD</v>
      </c>
    </row>
    <row r="272" spans="1:50" hidden="1" x14ac:dyDescent="0.3">
      <c r="A272" s="88" t="str">
        <f t="shared" ca="1" si="22"/>
        <v>SAFDIS</v>
      </c>
      <c r="F272" s="251">
        <v>111.16500000000001</v>
      </c>
      <c r="G272" s="251">
        <v>112.005</v>
      </c>
      <c r="H272" s="251">
        <v>109.895</v>
      </c>
      <c r="I272" s="251">
        <v>110.67</v>
      </c>
      <c r="J272" s="251">
        <v>111.98</v>
      </c>
      <c r="K272" s="251">
        <v>114.31</v>
      </c>
      <c r="L272" s="251">
        <v>113.1</v>
      </c>
      <c r="M272" s="251">
        <v>113.1</v>
      </c>
      <c r="N272" s="251">
        <v>113.02</v>
      </c>
      <c r="O272" s="251">
        <v>111.67</v>
      </c>
      <c r="P272" s="251">
        <v>112.31</v>
      </c>
      <c r="Q272" s="251">
        <v>111.66500000000001</v>
      </c>
      <c r="R272" s="251">
        <v>111.84</v>
      </c>
      <c r="S272" s="251">
        <v>111.34</v>
      </c>
      <c r="T272" s="251">
        <v>111.34</v>
      </c>
      <c r="U272" s="251">
        <v>110.16</v>
      </c>
      <c r="V272" s="251">
        <v>110.73</v>
      </c>
      <c r="W272" s="251">
        <v>105.8</v>
      </c>
      <c r="X272" s="251">
        <v>106.28</v>
      </c>
      <c r="Y272" s="251">
        <v>105.3</v>
      </c>
      <c r="Z272" s="245">
        <f ca="1">[1]ExtEntry!$H70</f>
        <v>105.3</v>
      </c>
      <c r="AB272" s="263">
        <v>1.6736309523809514E-3</v>
      </c>
      <c r="AC272" s="263">
        <v>2.9894702380952377E-3</v>
      </c>
      <c r="AD272" s="263">
        <v>1.2020892857142846E-3</v>
      </c>
      <c r="AE272" s="263">
        <v>1.4493869047619043E-3</v>
      </c>
      <c r="AF272" s="263">
        <v>2.6036011904761905E-3</v>
      </c>
      <c r="AG272" s="263">
        <v>4.7607083333333338E-3</v>
      </c>
      <c r="AH272" s="263">
        <v>4.3404047619047623E-3</v>
      </c>
      <c r="AI272" s="263">
        <v>2.1460654761904763E-3</v>
      </c>
      <c r="AJ272" s="263">
        <v>1.5868404761904768E-3</v>
      </c>
      <c r="AK272" s="263">
        <v>-4.5522500000000007E-4</v>
      </c>
      <c r="AL272" s="263">
        <v>2.2123464285714284E-3</v>
      </c>
      <c r="AM272" s="263">
        <v>1.1948523809523813E-3</v>
      </c>
      <c r="AN272" s="263">
        <v>7.1385833333333364E-4</v>
      </c>
      <c r="AO272" s="263">
        <v>-3.099088095238095E-3</v>
      </c>
      <c r="AP272" s="263">
        <v>-2.2099869047619044E-3</v>
      </c>
      <c r="AQ272" s="263">
        <v>-1.5828499999999998E-3</v>
      </c>
      <c r="AR272" s="263">
        <v>-1.4244535714285713E-3</v>
      </c>
      <c r="AS272" s="263">
        <v>-1.4928107142857135E-3</v>
      </c>
      <c r="AT272" s="263">
        <v>-2.1490428571428566E-3</v>
      </c>
      <c r="AU272" s="263">
        <v>-2.4944952380952378E-3</v>
      </c>
      <c r="AV272" s="260">
        <f t="shared" ca="1" si="21"/>
        <v>-4.5425607142857141E-3</v>
      </c>
      <c r="AX272" s="88" t="str">
        <f t="shared" ca="1" si="23"/>
        <v>SAFDIS</v>
      </c>
    </row>
    <row r="273" spans="1:50" hidden="1" x14ac:dyDescent="0.3">
      <c r="A273" s="88" t="str">
        <f t="shared" ca="1" si="22"/>
        <v>SAFGM</v>
      </c>
      <c r="F273" s="251">
        <v>57.15</v>
      </c>
      <c r="G273" s="251">
        <v>57.919899999999998</v>
      </c>
      <c r="H273" s="251">
        <v>57.34</v>
      </c>
      <c r="I273" s="251">
        <v>58.38</v>
      </c>
      <c r="J273" s="251">
        <v>58.02</v>
      </c>
      <c r="K273" s="251">
        <v>66.61</v>
      </c>
      <c r="L273" s="251">
        <v>67.319999999999993</v>
      </c>
      <c r="M273" s="251">
        <v>67.319999999999993</v>
      </c>
      <c r="N273" s="251">
        <v>66.834999999999994</v>
      </c>
      <c r="O273" s="251">
        <v>69.67</v>
      </c>
      <c r="P273" s="251">
        <v>69.355000000000004</v>
      </c>
      <c r="Q273" s="251">
        <v>69.87</v>
      </c>
      <c r="R273" s="251">
        <v>68.66</v>
      </c>
      <c r="S273" s="251">
        <v>66.959999999999994</v>
      </c>
      <c r="T273" s="251">
        <v>68.78</v>
      </c>
      <c r="U273" s="251">
        <v>68.92</v>
      </c>
      <c r="V273" s="251">
        <v>70.66</v>
      </c>
      <c r="W273" s="251">
        <v>70.52</v>
      </c>
      <c r="X273" s="251">
        <v>67.94</v>
      </c>
      <c r="Y273" s="251">
        <v>69.114999999999995</v>
      </c>
      <c r="Z273" s="245">
        <f ca="1">[1]ExtEntry!$H71</f>
        <v>69.114999999999995</v>
      </c>
      <c r="AB273" s="260">
        <v>-4.151255952380954E-3</v>
      </c>
      <c r="AC273" s="260">
        <v>1.3249523809523804E-3</v>
      </c>
      <c r="AD273" s="260">
        <v>-1.3041071428571429E-3</v>
      </c>
      <c r="AE273" s="260">
        <v>2.4972202380952376E-3</v>
      </c>
      <c r="AF273" s="260">
        <v>3.6615892857142854E-3</v>
      </c>
      <c r="AG273" s="260">
        <v>1.5943136904761904E-2</v>
      </c>
      <c r="AH273" s="260">
        <v>1.7606101190476189E-2</v>
      </c>
      <c r="AI273" s="260">
        <v>1.7597494047619046E-2</v>
      </c>
      <c r="AJ273" s="260">
        <v>1.4694059523809521E-2</v>
      </c>
      <c r="AK273" s="260">
        <v>1.6806773809523806E-2</v>
      </c>
      <c r="AL273" s="260">
        <v>1.7973607142857142E-2</v>
      </c>
      <c r="AM273" s="260">
        <v>1.5922547619047617E-2</v>
      </c>
      <c r="AN273" s="260">
        <v>1.6042517857142856E-2</v>
      </c>
      <c r="AO273" s="260">
        <v>-3.6615178571428571E-3</v>
      </c>
      <c r="AP273" s="260">
        <v>-4.301755952380951E-3</v>
      </c>
      <c r="AQ273" s="260">
        <v>-4.8286488095238087E-3</v>
      </c>
      <c r="AR273" s="260">
        <v>-2.6535833333333324E-3</v>
      </c>
      <c r="AS273" s="260">
        <v>-1.0112279761904763E-2</v>
      </c>
      <c r="AT273" s="260">
        <v>-9.9192238095238104E-3</v>
      </c>
      <c r="AU273" s="260">
        <v>-9.8575511904761878E-3</v>
      </c>
      <c r="AV273" s="260">
        <f t="shared" ca="1" si="21"/>
        <v>-7.434176190476191E-3</v>
      </c>
      <c r="AX273" s="88" t="str">
        <f t="shared" ca="1" si="23"/>
        <v>SAFGM</v>
      </c>
    </row>
    <row r="274" spans="1:50" hidden="1" x14ac:dyDescent="0.3">
      <c r="A274" s="88" t="str">
        <f t="shared" ca="1" si="22"/>
        <v>SAFIAG</v>
      </c>
      <c r="F274" s="251">
        <v>408</v>
      </c>
      <c r="G274" s="251">
        <v>407.5</v>
      </c>
      <c r="H274" s="251">
        <v>406.3</v>
      </c>
      <c r="I274" s="251">
        <v>391.2</v>
      </c>
      <c r="J274" s="251">
        <v>396</v>
      </c>
      <c r="K274" s="251">
        <v>393.8</v>
      </c>
      <c r="L274" s="251">
        <v>402.6</v>
      </c>
      <c r="M274" s="251">
        <v>402.6</v>
      </c>
      <c r="N274" s="251">
        <v>403.5</v>
      </c>
      <c r="O274" s="251">
        <v>410</v>
      </c>
      <c r="P274" s="251">
        <v>409.3</v>
      </c>
      <c r="Q274" s="251">
        <v>412.3</v>
      </c>
      <c r="R274" s="251">
        <v>414.5</v>
      </c>
      <c r="S274" s="251">
        <v>422.6</v>
      </c>
      <c r="T274" s="251">
        <v>425.2</v>
      </c>
      <c r="U274" s="251">
        <v>414.1</v>
      </c>
      <c r="V274" s="251">
        <v>366.2</v>
      </c>
      <c r="W274" s="251">
        <v>387.5</v>
      </c>
      <c r="X274" s="251">
        <v>370.38900000000001</v>
      </c>
      <c r="Y274" s="251">
        <v>377.6</v>
      </c>
      <c r="Z274" s="245">
        <f ca="1">[1]ExtEntry!$H72</f>
        <v>377.6</v>
      </c>
      <c r="AB274" s="263">
        <v>6.4762773809523789E-3</v>
      </c>
      <c r="AC274" s="263">
        <v>4.258694047619048E-3</v>
      </c>
      <c r="AD274" s="263">
        <v>3.8430035714285713E-3</v>
      </c>
      <c r="AE274" s="263">
        <v>2.2289285714286204E-5</v>
      </c>
      <c r="AF274" s="263">
        <v>-2.3941214285714283E-3</v>
      </c>
      <c r="AG274" s="263">
        <v>-6.8860500000000003E-3</v>
      </c>
      <c r="AH274" s="263">
        <v>-4.3917404761904758E-3</v>
      </c>
      <c r="AI274" s="263">
        <v>-2.2453845238095235E-3</v>
      </c>
      <c r="AJ274" s="263">
        <v>-1.7743309523809521E-3</v>
      </c>
      <c r="AK274" s="263">
        <v>-5.8553333333333322E-4</v>
      </c>
      <c r="AL274" s="263">
        <v>-4.1178333333333293E-4</v>
      </c>
      <c r="AM274" s="263">
        <v>5.1004726190476178E-3</v>
      </c>
      <c r="AN274" s="263">
        <v>5.1053119047619038E-3</v>
      </c>
      <c r="AO274" s="263">
        <v>4.0686630952380962E-3</v>
      </c>
      <c r="AP274" s="263">
        <v>2.6551273809523783E-3</v>
      </c>
      <c r="AQ274" s="263">
        <v>-2.2566761904761917E-3</v>
      </c>
      <c r="AR274" s="263">
        <v>-1.1253652380952382E-2</v>
      </c>
      <c r="AS274" s="263">
        <v>-1.3631336904761902E-2</v>
      </c>
      <c r="AT274" s="263">
        <v>-1.2084045238095238E-2</v>
      </c>
      <c r="AU274" s="263">
        <v>-1.2229563095238094E-2</v>
      </c>
      <c r="AV274" s="260">
        <f t="shared" ca="1" si="21"/>
        <v>-1.2978172619047617E-2</v>
      </c>
      <c r="AX274" s="88" t="str">
        <f t="shared" ca="1" si="23"/>
        <v>SAFIAG</v>
      </c>
    </row>
    <row r="275" spans="1:50" hidden="1" x14ac:dyDescent="0.3">
      <c r="A275" s="88" t="str">
        <f t="shared" ca="1" si="22"/>
        <v>SAFMRNA</v>
      </c>
      <c r="F275" s="251">
        <v>26.25</v>
      </c>
      <c r="G275" s="251">
        <v>27.754999999999999</v>
      </c>
      <c r="H275" s="251">
        <v>27.14</v>
      </c>
      <c r="I275" s="251">
        <v>26.01</v>
      </c>
      <c r="J275" s="251">
        <v>27.24</v>
      </c>
      <c r="K275" s="251">
        <v>27.49</v>
      </c>
      <c r="L275" s="251">
        <v>26.85</v>
      </c>
      <c r="M275" s="251">
        <v>26.85</v>
      </c>
      <c r="N275" s="251">
        <v>26.25</v>
      </c>
      <c r="O275" s="251">
        <v>26.74</v>
      </c>
      <c r="P275" s="251">
        <v>26.66</v>
      </c>
      <c r="Q275" s="251">
        <v>25.35</v>
      </c>
      <c r="R275" s="251">
        <v>28.14</v>
      </c>
      <c r="S275" s="251">
        <v>23.774999999999999</v>
      </c>
      <c r="T275" s="251">
        <v>23.56</v>
      </c>
      <c r="U275" s="251">
        <v>24.105</v>
      </c>
      <c r="V275" s="251">
        <v>24.524999999999999</v>
      </c>
      <c r="W275" s="251">
        <v>24.77</v>
      </c>
      <c r="X275" s="251">
        <v>24.92</v>
      </c>
      <c r="Y275" s="251">
        <v>24.28</v>
      </c>
      <c r="Z275" s="245">
        <f ca="1">[1]ExtEntry!$H73</f>
        <v>24.28</v>
      </c>
      <c r="AB275" s="260">
        <v>-8.0364642857142874E-3</v>
      </c>
      <c r="AC275" s="260">
        <v>-6.3379285714285725E-3</v>
      </c>
      <c r="AD275" s="260">
        <v>-6.5714642857142864E-3</v>
      </c>
      <c r="AE275" s="260">
        <v>-8.0284047619047609E-3</v>
      </c>
      <c r="AF275" s="260">
        <v>-7.4137142857142856E-3</v>
      </c>
      <c r="AG275" s="260">
        <v>-5.3504166666666674E-3</v>
      </c>
      <c r="AH275" s="260">
        <v>-2.0005416666666665E-3</v>
      </c>
      <c r="AI275" s="260">
        <v>-4.7633214285714284E-3</v>
      </c>
      <c r="AJ275" s="260">
        <v>-4.035660714285713E-3</v>
      </c>
      <c r="AK275" s="260">
        <v>-1.2094625000000001E-2</v>
      </c>
      <c r="AL275" s="260">
        <v>-9.942839285714284E-3</v>
      </c>
      <c r="AM275" s="260">
        <v>-7.3377976190476188E-3</v>
      </c>
      <c r="AN275" s="260">
        <v>-1.5321726190476179E-3</v>
      </c>
      <c r="AO275" s="260">
        <v>-2.9421130952380944E-3</v>
      </c>
      <c r="AP275" s="260">
        <v>6.7748809523809602E-4</v>
      </c>
      <c r="AQ275" s="260">
        <v>5.5790178571428588E-3</v>
      </c>
      <c r="AR275" s="260">
        <v>8.6466666666666671E-3</v>
      </c>
      <c r="AS275" s="260">
        <v>6.7344583333333327E-3</v>
      </c>
      <c r="AT275" s="260">
        <v>6.9433511904761899E-3</v>
      </c>
      <c r="AU275" s="260">
        <v>1.0433035714285714E-2</v>
      </c>
      <c r="AV275" s="260">
        <f t="shared" ca="1" si="21"/>
        <v>-9.1228511904761899E-3</v>
      </c>
      <c r="AX275" s="88" t="str">
        <f t="shared" ca="1" si="23"/>
        <v>SAFMRNA</v>
      </c>
    </row>
    <row r="276" spans="1:50" hidden="1" x14ac:dyDescent="0.3">
      <c r="A276" s="88" t="str">
        <f t="shared" ca="1" si="22"/>
        <v>BLNK</v>
      </c>
      <c r="F276" s="251">
        <v>2.27</v>
      </c>
      <c r="G276" s="251">
        <v>2.165</v>
      </c>
      <c r="H276" s="251">
        <v>1.91</v>
      </c>
      <c r="I276" s="251">
        <v>1.82</v>
      </c>
      <c r="J276" s="251">
        <v>1.89</v>
      </c>
      <c r="K276" s="251">
        <v>1.77</v>
      </c>
      <c r="L276" s="251">
        <v>1.79</v>
      </c>
      <c r="M276" s="251">
        <v>1.79</v>
      </c>
      <c r="N276" s="251">
        <v>1.79</v>
      </c>
      <c r="O276" s="251">
        <v>1.93</v>
      </c>
      <c r="P276" s="251">
        <v>1.82</v>
      </c>
      <c r="Q276" s="251">
        <v>1.72</v>
      </c>
      <c r="R276" s="251">
        <v>1.61</v>
      </c>
      <c r="S276" s="251">
        <v>1.4961</v>
      </c>
      <c r="T276" s="251">
        <v>1.64</v>
      </c>
      <c r="U276" s="251">
        <v>1.5049999999999999</v>
      </c>
      <c r="V276" s="251">
        <v>1.5899000000000001</v>
      </c>
      <c r="W276" s="251">
        <v>1.41</v>
      </c>
      <c r="X276" s="251">
        <v>1.41</v>
      </c>
      <c r="Y276" s="251">
        <v>1.365</v>
      </c>
      <c r="Z276" s="245">
        <f ca="1">[1]ExtEntry!$H74</f>
        <v>1.365</v>
      </c>
      <c r="AB276" s="263">
        <v>-1.0078267857142855E-2</v>
      </c>
      <c r="AC276" s="263">
        <v>-9.4938869047619025E-3</v>
      </c>
      <c r="AD276" s="263">
        <v>-3.5845678571428577E-2</v>
      </c>
      <c r="AE276" s="263">
        <v>-3.0891011904761904E-2</v>
      </c>
      <c r="AF276" s="263">
        <v>-2.0869309523809526E-2</v>
      </c>
      <c r="AG276" s="263">
        <v>-1.8624529761904759E-2</v>
      </c>
      <c r="AH276" s="263">
        <v>-1.173092261904762E-2</v>
      </c>
      <c r="AI276" s="263">
        <v>-2.4733452380952384E-2</v>
      </c>
      <c r="AJ276" s="263">
        <v>-2.7275053571428572E-2</v>
      </c>
      <c r="AK276" s="263">
        <v>-1.6947886904761903E-2</v>
      </c>
      <c r="AL276" s="263">
        <v>-7.2018273809523817E-3</v>
      </c>
      <c r="AM276" s="263">
        <v>1.0154285714285725E-3</v>
      </c>
      <c r="AN276" s="263">
        <v>-1.0448494047619048E-2</v>
      </c>
      <c r="AO276" s="263">
        <v>-7.4552976190476496E-4</v>
      </c>
      <c r="AP276" s="263">
        <v>4.8921666666666645E-3</v>
      </c>
      <c r="AQ276" s="263">
        <v>3.6035476190476208E-3</v>
      </c>
      <c r="AR276" s="263">
        <v>5.2218928571428555E-3</v>
      </c>
      <c r="AS276" s="263">
        <v>-8.6111488095238151E-3</v>
      </c>
      <c r="AT276" s="263">
        <v>-2.3833273809523818E-3</v>
      </c>
      <c r="AU276" s="263">
        <v>5.6589880952380781E-4</v>
      </c>
      <c r="AV276" s="260">
        <f t="shared" ca="1" si="21"/>
        <v>8.9638869047619033E-3</v>
      </c>
      <c r="AX276" s="88" t="str">
        <f t="shared" ca="1" si="23"/>
        <v>BLNK</v>
      </c>
    </row>
    <row r="277" spans="1:50" hidden="1" x14ac:dyDescent="0.3">
      <c r="A277" s="88" t="str">
        <f t="shared" ca="1" si="22"/>
        <v>ENI</v>
      </c>
      <c r="F277" s="251">
        <v>14.7</v>
      </c>
      <c r="G277" s="251">
        <v>14.722</v>
      </c>
      <c r="H277" s="251">
        <v>14.766</v>
      </c>
      <c r="I277" s="251">
        <v>14.843999999999999</v>
      </c>
      <c r="J277" s="251">
        <v>14.875999999999999</v>
      </c>
      <c r="K277" s="251">
        <v>14.9</v>
      </c>
      <c r="L277" s="251">
        <v>15.125999999999999</v>
      </c>
      <c r="M277" s="251">
        <v>15.125999999999999</v>
      </c>
      <c r="N277" s="251">
        <v>15.586</v>
      </c>
      <c r="O277" s="251">
        <v>15.836</v>
      </c>
      <c r="P277" s="251">
        <v>15.942</v>
      </c>
      <c r="Q277" s="251">
        <v>15.885999999999999</v>
      </c>
      <c r="R277" s="251">
        <v>15.92</v>
      </c>
      <c r="S277" s="251">
        <v>15.91</v>
      </c>
      <c r="T277" s="251">
        <v>15.968</v>
      </c>
      <c r="U277" s="251">
        <v>15.948</v>
      </c>
      <c r="V277" s="251">
        <v>15.932</v>
      </c>
      <c r="W277" s="251">
        <v>16.474</v>
      </c>
      <c r="X277" s="251">
        <v>16.36</v>
      </c>
      <c r="Y277" s="251">
        <v>16.218</v>
      </c>
      <c r="Z277" s="245">
        <f ca="1">[1]ExtEntry!$H75</f>
        <v>16.218</v>
      </c>
      <c r="AB277" s="260">
        <v>-2.4144880952380954E-3</v>
      </c>
      <c r="AC277" s="260">
        <v>-1.4515297619047622E-3</v>
      </c>
      <c r="AD277" s="260">
        <v>-1.1519345238095238E-3</v>
      </c>
      <c r="AE277" s="260">
        <v>-1.173952380952381E-3</v>
      </c>
      <c r="AF277" s="260">
        <v>-2.281410714285715E-3</v>
      </c>
      <c r="AG277" s="260">
        <v>-3.2606369047619046E-3</v>
      </c>
      <c r="AH277" s="260">
        <v>-4.464880952380955E-4</v>
      </c>
      <c r="AI277" s="260">
        <v>1.3926785714285712E-3</v>
      </c>
      <c r="AJ277" s="260">
        <v>6.8831666666666676E-3</v>
      </c>
      <c r="AK277" s="260">
        <v>8.0821845238095227E-3</v>
      </c>
      <c r="AL277" s="260">
        <v>8.8234999999999997E-3</v>
      </c>
      <c r="AM277" s="260">
        <v>7.0722202380952368E-3</v>
      </c>
      <c r="AN277" s="260">
        <v>5.9171309523809524E-3</v>
      </c>
      <c r="AO277" s="260">
        <v>5.8961428571428576E-3</v>
      </c>
      <c r="AP277" s="260">
        <v>3.9327499999999996E-3</v>
      </c>
      <c r="AQ277" s="260">
        <v>2.0358392857142858E-3</v>
      </c>
      <c r="AR277" s="260">
        <v>-1.6351011904761899E-3</v>
      </c>
      <c r="AS277" s="260">
        <v>-3.2133952380952384E-3</v>
      </c>
      <c r="AT277" s="260">
        <v>-3.621377380952381E-3</v>
      </c>
      <c r="AU277" s="260">
        <v>-4.2580083333333338E-3</v>
      </c>
      <c r="AV277" s="260">
        <f t="shared" ca="1" si="21"/>
        <v>-4.4025559523809526E-3</v>
      </c>
      <c r="AX277" s="88" t="str">
        <f t="shared" ca="1" si="23"/>
        <v>ENI</v>
      </c>
    </row>
    <row r="278" spans="1:50" hidden="1" x14ac:dyDescent="0.3">
      <c r="A278" s="88" t="str">
        <f t="shared" ca="1" si="22"/>
        <v>EZJ</v>
      </c>
      <c r="F278" s="251">
        <v>501.2</v>
      </c>
      <c r="G278" s="251">
        <v>480.7</v>
      </c>
      <c r="H278" s="251">
        <v>489.7</v>
      </c>
      <c r="I278" s="251">
        <v>487.9</v>
      </c>
      <c r="J278" s="251">
        <v>486</v>
      </c>
      <c r="K278" s="251">
        <v>480.3</v>
      </c>
      <c r="L278" s="251">
        <v>493.3</v>
      </c>
      <c r="M278" s="251">
        <v>493.3</v>
      </c>
      <c r="N278" s="251">
        <v>479.5</v>
      </c>
      <c r="O278" s="251">
        <v>486.1</v>
      </c>
      <c r="P278" s="251">
        <v>486</v>
      </c>
      <c r="Q278" s="251">
        <v>482.1</v>
      </c>
      <c r="R278" s="251">
        <v>480.1</v>
      </c>
      <c r="S278" s="251">
        <v>480.3</v>
      </c>
      <c r="T278" s="251">
        <v>484.1</v>
      </c>
      <c r="U278" s="251">
        <v>478.5</v>
      </c>
      <c r="V278" s="251">
        <v>471.4</v>
      </c>
      <c r="W278" s="251">
        <v>469.2</v>
      </c>
      <c r="X278" s="251">
        <v>453.8</v>
      </c>
      <c r="Y278" s="251">
        <v>462.1</v>
      </c>
      <c r="Z278" s="245">
        <f ca="1">[1]ExtEntry!$H76</f>
        <v>462.1</v>
      </c>
      <c r="AB278" s="263">
        <v>8.0814047619047619E-3</v>
      </c>
      <c r="AC278" s="263">
        <v>5.0755476190476184E-3</v>
      </c>
      <c r="AD278" s="263">
        <v>2.7203095238095224E-3</v>
      </c>
      <c r="AE278" s="263">
        <v>2.6317142857142876E-3</v>
      </c>
      <c r="AF278" s="263">
        <v>1.2017797619047607E-3</v>
      </c>
      <c r="AG278" s="263">
        <v>8.0401785714285558E-4</v>
      </c>
      <c r="AH278" s="263">
        <v>2.4834583333333314E-3</v>
      </c>
      <c r="AI278" s="263">
        <v>5.3348035714285685E-3</v>
      </c>
      <c r="AJ278" s="263">
        <v>-7.403428571428573E-3</v>
      </c>
      <c r="AK278" s="263">
        <v>-1.2782738095238107E-3</v>
      </c>
      <c r="AL278" s="263">
        <v>-3.2231375000000011E-3</v>
      </c>
      <c r="AM278" s="263">
        <v>-2.8302863095238107E-3</v>
      </c>
      <c r="AN278" s="263">
        <v>-1.4073994047619064E-3</v>
      </c>
      <c r="AO278" s="263">
        <v>-1.7713636904761925E-3</v>
      </c>
      <c r="AP278" s="263">
        <v>-4.4599946428571444E-3</v>
      </c>
      <c r="AQ278" s="263">
        <v>-7.8951970238095234E-3</v>
      </c>
      <c r="AR278" s="263">
        <v>-5.821167261904763E-3</v>
      </c>
      <c r="AS278" s="263">
        <v>-8.1828577380952394E-3</v>
      </c>
      <c r="AT278" s="263">
        <v>-8.4966928571428586E-3</v>
      </c>
      <c r="AU278" s="263">
        <v>-6.5021035714285715E-3</v>
      </c>
      <c r="AV278" s="260">
        <f t="shared" ca="1" si="21"/>
        <v>-6.2637761904761908E-3</v>
      </c>
      <c r="AX278" s="88" t="str">
        <f t="shared" ca="1" si="23"/>
        <v>EZJ</v>
      </c>
    </row>
    <row r="279" spans="1:50" hidden="1" x14ac:dyDescent="0.3">
      <c r="A279" s="88" t="str">
        <f t="shared" ca="1" si="22"/>
        <v>F</v>
      </c>
      <c r="F279" s="251">
        <v>11.664999999999999</v>
      </c>
      <c r="G279" s="251">
        <v>11.734999999999999</v>
      </c>
      <c r="H279" s="251">
        <v>11.744999999999999</v>
      </c>
      <c r="I279" s="251">
        <v>11.92</v>
      </c>
      <c r="J279" s="251">
        <v>12.005000000000001</v>
      </c>
      <c r="K279" s="251">
        <v>12.57</v>
      </c>
      <c r="L279" s="251">
        <v>12.455</v>
      </c>
      <c r="M279" s="251">
        <v>12.455</v>
      </c>
      <c r="N279" s="251">
        <v>12.31</v>
      </c>
      <c r="O279" s="251">
        <v>13.83</v>
      </c>
      <c r="P279" s="251">
        <v>13.23</v>
      </c>
      <c r="Q279" s="251">
        <v>13.135</v>
      </c>
      <c r="R279" s="251">
        <v>13.065</v>
      </c>
      <c r="S279" s="251">
        <v>12.824999999999999</v>
      </c>
      <c r="T279" s="251">
        <v>13.135</v>
      </c>
      <c r="U279" s="251">
        <v>13.1556</v>
      </c>
      <c r="V279" s="251">
        <v>13.205</v>
      </c>
      <c r="W279" s="251">
        <v>13.195</v>
      </c>
      <c r="X279" s="251">
        <v>13.02</v>
      </c>
      <c r="Y279" s="251">
        <v>12.994999999999999</v>
      </c>
      <c r="Z279" s="245">
        <f ca="1">[1]ExtEntry!$H77</f>
        <v>12.994999999999999</v>
      </c>
      <c r="AB279" s="260">
        <v>-5.6322666666666667E-3</v>
      </c>
      <c r="AC279" s="260">
        <v>-4.6908095238095242E-3</v>
      </c>
      <c r="AD279" s="260">
        <v>-9.5758035714285736E-3</v>
      </c>
      <c r="AE279" s="260">
        <v>-4.1425595238095143E-4</v>
      </c>
      <c r="AF279" s="260">
        <v>1.5264821428571432E-3</v>
      </c>
      <c r="AG279" s="260">
        <v>7.1658928571428568E-3</v>
      </c>
      <c r="AH279" s="260">
        <v>9.0128869047619038E-3</v>
      </c>
      <c r="AI279" s="260">
        <v>7.2341249999999975E-3</v>
      </c>
      <c r="AJ279" s="260">
        <v>4.6865178571428578E-3</v>
      </c>
      <c r="AK279" s="260">
        <v>1.3056529761904762E-2</v>
      </c>
      <c r="AL279" s="260">
        <v>1.1424178571428571E-2</v>
      </c>
      <c r="AM279" s="260">
        <v>8.5510178571428577E-3</v>
      </c>
      <c r="AN279" s="260">
        <v>6.1051071428571439E-3</v>
      </c>
      <c r="AO279" s="260">
        <v>1.9228571428571602E-4</v>
      </c>
      <c r="AP279" s="260">
        <v>3.188750000000001E-3</v>
      </c>
      <c r="AQ279" s="260">
        <v>6.2175000000000034E-3</v>
      </c>
      <c r="AR279" s="260">
        <v>5.920410714285714E-3</v>
      </c>
      <c r="AS279" s="260">
        <v>-1.036725E-2</v>
      </c>
      <c r="AT279" s="260">
        <v>-4.9090773809523803E-3</v>
      </c>
      <c r="AU279" s="260">
        <v>-4.8527500000000012E-3</v>
      </c>
      <c r="AV279" s="260">
        <f t="shared" ca="1" si="21"/>
        <v>-2.7856428571428546E-3</v>
      </c>
      <c r="AX279" s="88" t="str">
        <f t="shared" ca="1" si="23"/>
        <v>F</v>
      </c>
    </row>
    <row r="280" spans="1:50" hidden="1" x14ac:dyDescent="0.3">
      <c r="A280" s="88" t="str">
        <f t="shared" ca="1" si="22"/>
        <v>GLE</v>
      </c>
      <c r="F280" s="251">
        <v>55.02</v>
      </c>
      <c r="G280" s="251">
        <v>55.56</v>
      </c>
      <c r="H280" s="251">
        <v>56.52</v>
      </c>
      <c r="I280" s="251">
        <v>53.64</v>
      </c>
      <c r="J280" s="251">
        <v>53</v>
      </c>
      <c r="K280" s="251">
        <v>53.12</v>
      </c>
      <c r="L280" s="251">
        <v>52.88</v>
      </c>
      <c r="M280" s="251">
        <v>52.88</v>
      </c>
      <c r="N280" s="251">
        <v>53.58</v>
      </c>
      <c r="O280" s="251">
        <v>53.68</v>
      </c>
      <c r="P280" s="251">
        <v>53.6</v>
      </c>
      <c r="Q280" s="251">
        <v>54.26</v>
      </c>
      <c r="R280" s="251">
        <v>53</v>
      </c>
      <c r="S280" s="251">
        <v>54.58</v>
      </c>
      <c r="T280" s="251">
        <v>54.64</v>
      </c>
      <c r="U280" s="251">
        <v>55.8</v>
      </c>
      <c r="V280" s="251">
        <v>54.64</v>
      </c>
      <c r="W280" s="251">
        <v>57.98</v>
      </c>
      <c r="X280" s="251">
        <v>56.18</v>
      </c>
      <c r="Y280" s="251">
        <v>56.82</v>
      </c>
      <c r="Z280" s="245">
        <f ca="1">[1]ExtEntry!$H78</f>
        <v>56.82</v>
      </c>
      <c r="AB280" s="263">
        <v>1.8231011904761905E-3</v>
      </c>
      <c r="AC280" s="263">
        <v>4.1332142857142861E-3</v>
      </c>
      <c r="AD280" s="263">
        <v>3.7713273809523813E-3</v>
      </c>
      <c r="AE280" s="263">
        <v>1.4957738095238106E-3</v>
      </c>
      <c r="AF280" s="263">
        <v>-1.4401785714285714E-3</v>
      </c>
      <c r="AG280" s="263">
        <v>-5.1320833333333362E-4</v>
      </c>
      <c r="AH280" s="263">
        <v>-1.2256726190476186E-3</v>
      </c>
      <c r="AI280" s="263">
        <v>-1.6821190476190469E-3</v>
      </c>
      <c r="AJ280" s="263">
        <v>-3.3811309523809532E-3</v>
      </c>
      <c r="AK280" s="263">
        <v>-4.9964226190476191E-3</v>
      </c>
      <c r="AL280" s="263">
        <v>-6.5980714285714262E-3</v>
      </c>
      <c r="AM280" s="263">
        <v>1.0976190476190536E-4</v>
      </c>
      <c r="AN280" s="263">
        <v>-1.3770892857142855E-3</v>
      </c>
      <c r="AO280" s="263">
        <v>-1.5257738095238093E-3</v>
      </c>
      <c r="AP280" s="263">
        <v>-9.597916666666663E-4</v>
      </c>
      <c r="AQ280" s="263">
        <v>1.2477559523809524E-3</v>
      </c>
      <c r="AR280" s="263">
        <v>-2.3879523809523812E-3</v>
      </c>
      <c r="AS280" s="263">
        <v>-3.1640238095238088E-3</v>
      </c>
      <c r="AT280" s="263">
        <v>-3.4413452380952386E-3</v>
      </c>
      <c r="AU280" s="263">
        <v>-4.6197797619047607E-3</v>
      </c>
      <c r="AV280" s="260">
        <f t="shared" ca="1" si="21"/>
        <v>1.8004166666666733E-4</v>
      </c>
      <c r="AX280" s="88" t="str">
        <f t="shared" ca="1" si="23"/>
        <v>GLE</v>
      </c>
    </row>
    <row r="281" spans="1:50" hidden="1" x14ac:dyDescent="0.3">
      <c r="A281" s="88" t="str">
        <f t="shared" ca="1" si="22"/>
        <v>GNRC</v>
      </c>
      <c r="F281" s="251">
        <v>183.92500000000001</v>
      </c>
      <c r="G281" s="251">
        <v>193.29499999999999</v>
      </c>
      <c r="H281" s="251">
        <v>192.655</v>
      </c>
      <c r="I281" s="251">
        <v>190.49</v>
      </c>
      <c r="J281" s="251">
        <v>195.77</v>
      </c>
      <c r="K281" s="251">
        <v>192.52</v>
      </c>
      <c r="L281" s="251">
        <v>183.09</v>
      </c>
      <c r="M281" s="251">
        <v>183.09</v>
      </c>
      <c r="N281" s="251">
        <v>189.04</v>
      </c>
      <c r="O281" s="251">
        <v>192.01</v>
      </c>
      <c r="P281" s="251">
        <v>190.46</v>
      </c>
      <c r="Q281" s="251">
        <v>190.14</v>
      </c>
      <c r="R281" s="251">
        <v>165.77</v>
      </c>
      <c r="S281" s="251">
        <v>157.08000000000001</v>
      </c>
      <c r="T281" s="251">
        <v>159.18</v>
      </c>
      <c r="U281" s="251">
        <v>153.53</v>
      </c>
      <c r="V281" s="251">
        <v>154.62</v>
      </c>
      <c r="W281" s="251">
        <v>151.11000000000001</v>
      </c>
      <c r="X281" s="251">
        <v>142.46</v>
      </c>
      <c r="Y281" s="251">
        <v>146.88999999999999</v>
      </c>
      <c r="Z281" s="245">
        <f ca="1">[1]ExtEntry!$H79</f>
        <v>146.88999999999999</v>
      </c>
      <c r="AB281" s="260">
        <v>1.3703363095238097E-2</v>
      </c>
      <c r="AC281" s="260">
        <v>1.6454494047619048E-2</v>
      </c>
      <c r="AD281" s="260">
        <v>1.9474922619047617E-2</v>
      </c>
      <c r="AE281" s="260">
        <v>1.7106321428571429E-2</v>
      </c>
      <c r="AF281" s="260">
        <v>1.5512660714285713E-2</v>
      </c>
      <c r="AG281" s="260">
        <v>1.3342178571428567E-2</v>
      </c>
      <c r="AH281" s="260">
        <v>9.4843511904761854E-3</v>
      </c>
      <c r="AI281" s="260">
        <v>-2.1559880952380971E-3</v>
      </c>
      <c r="AJ281" s="260">
        <v>-6.4775476190476189E-3</v>
      </c>
      <c r="AK281" s="260">
        <v>-1.2586988095238096E-2</v>
      </c>
      <c r="AL281" s="260">
        <v>-1.2652994047619045E-2</v>
      </c>
      <c r="AM281" s="260">
        <v>-1.2041119047619047E-2</v>
      </c>
      <c r="AN281" s="260">
        <v>-2.150843452380952E-2</v>
      </c>
      <c r="AO281" s="260">
        <v>-2.2471505952380951E-2</v>
      </c>
      <c r="AP281" s="260">
        <v>-1.4479964285714284E-2</v>
      </c>
      <c r="AQ281" s="260">
        <v>-1.2326291666666664E-2</v>
      </c>
      <c r="AR281" s="260">
        <v>-1.5132440476190475E-2</v>
      </c>
      <c r="AS281" s="260">
        <v>-1.7607101190476187E-2</v>
      </c>
      <c r="AT281" s="260">
        <v>-1.539895833333333E-2</v>
      </c>
      <c r="AU281" s="260">
        <v>-1.2651470238095232E-2</v>
      </c>
      <c r="AV281" s="260">
        <f t="shared" ca="1" si="21"/>
        <v>1.3152857142857161E-3</v>
      </c>
      <c r="AX281" s="88" t="str">
        <f t="shared" ca="1" si="23"/>
        <v>GNRC</v>
      </c>
    </row>
    <row r="282" spans="1:50" hidden="1" x14ac:dyDescent="0.3">
      <c r="A282" s="88" t="str">
        <f t="shared" ca="1" si="22"/>
        <v>GS</v>
      </c>
      <c r="F282" s="251">
        <v>771.14</v>
      </c>
      <c r="G282" s="251">
        <v>764.16</v>
      </c>
      <c r="H282" s="251">
        <v>758.32</v>
      </c>
      <c r="I282" s="251">
        <v>750.77</v>
      </c>
      <c r="J282" s="251">
        <v>763.09</v>
      </c>
      <c r="K282" s="251">
        <v>759.07</v>
      </c>
      <c r="L282" s="251">
        <v>744.58</v>
      </c>
      <c r="M282" s="251">
        <v>744.58</v>
      </c>
      <c r="N282" s="251">
        <v>751.01</v>
      </c>
      <c r="O282" s="251">
        <v>783.87</v>
      </c>
      <c r="P282" s="251">
        <v>789.9</v>
      </c>
      <c r="Q282" s="251">
        <v>792.28</v>
      </c>
      <c r="R282" s="251">
        <v>789.76</v>
      </c>
      <c r="S282" s="251">
        <v>791.82</v>
      </c>
      <c r="T282" s="251">
        <v>793.11</v>
      </c>
      <c r="U282" s="251">
        <v>787.37</v>
      </c>
      <c r="V282" s="251">
        <v>785.35500000000002</v>
      </c>
      <c r="W282" s="251">
        <v>790.48</v>
      </c>
      <c r="X282" s="251">
        <v>776.9</v>
      </c>
      <c r="Y282" s="251">
        <v>780.89</v>
      </c>
      <c r="Z282" s="245">
        <f ca="1">[1]ExtEntry!$H80</f>
        <v>780.89</v>
      </c>
      <c r="AB282" s="263">
        <v>3.6372857142857152E-4</v>
      </c>
      <c r="AC282" s="263">
        <v>1.0496809523809528E-3</v>
      </c>
      <c r="AD282" s="263">
        <v>-1.6997892857142859E-3</v>
      </c>
      <c r="AE282" s="263">
        <v>-7.5453333333333353E-4</v>
      </c>
      <c r="AF282" s="263">
        <v>2.5536142857142856E-3</v>
      </c>
      <c r="AG282" s="263">
        <v>1.561333333333333E-3</v>
      </c>
      <c r="AH282" s="263">
        <v>-5.1766666666666671E-4</v>
      </c>
      <c r="AI282" s="263">
        <v>-5.7608273809523821E-3</v>
      </c>
      <c r="AJ282" s="263">
        <v>-3.4325714285714285E-3</v>
      </c>
      <c r="AK282" s="263">
        <v>1.1714821428571429E-3</v>
      </c>
      <c r="AL282" s="263">
        <v>3.8045416666666661E-3</v>
      </c>
      <c r="AM282" s="263">
        <v>5.2434642857142853E-3</v>
      </c>
      <c r="AN282" s="263">
        <v>3.3876190476190477E-3</v>
      </c>
      <c r="AO282" s="263">
        <v>4.0913095238095231E-3</v>
      </c>
      <c r="AP282" s="263">
        <v>6.3453095238095239E-3</v>
      </c>
      <c r="AQ282" s="263">
        <v>8.8095773809523797E-3</v>
      </c>
      <c r="AR282" s="263">
        <v>7.1030892857142864E-3</v>
      </c>
      <c r="AS282" s="263">
        <v>-6.107023809523817E-4</v>
      </c>
      <c r="AT282" s="263">
        <v>-1.2082261904761901E-3</v>
      </c>
      <c r="AU282" s="263">
        <v>-9.0147619047619028E-4</v>
      </c>
      <c r="AV282" s="260">
        <f t="shared" ca="1" si="21"/>
        <v>-4.6279761904761648E-5</v>
      </c>
      <c r="AX282" s="88" t="str">
        <f t="shared" ca="1" si="23"/>
        <v>GS</v>
      </c>
    </row>
    <row r="283" spans="1:50" hidden="1" x14ac:dyDescent="0.3">
      <c r="A283" s="88" t="str">
        <f t="shared" ca="1" si="22"/>
        <v>LAZR</v>
      </c>
      <c r="F283" s="251">
        <v>2.09</v>
      </c>
      <c r="G283" s="251">
        <v>2.0049999999999999</v>
      </c>
      <c r="H283" s="251">
        <v>1.89</v>
      </c>
      <c r="I283" s="251">
        <v>1.94</v>
      </c>
      <c r="J283" s="251">
        <v>2</v>
      </c>
      <c r="K283" s="251">
        <v>1.8149999999999999</v>
      </c>
      <c r="L283" s="251">
        <v>1.72</v>
      </c>
      <c r="M283" s="251">
        <v>1.72</v>
      </c>
      <c r="N283" s="251">
        <v>1.69</v>
      </c>
      <c r="O283" s="251">
        <v>2.2200000000000002</v>
      </c>
      <c r="P283" s="251">
        <v>2.3199999999999998</v>
      </c>
      <c r="Q283" s="251">
        <v>2.06</v>
      </c>
      <c r="R283" s="251">
        <v>2.11</v>
      </c>
      <c r="S283" s="251">
        <v>1.375</v>
      </c>
      <c r="T283" s="251">
        <v>1.24</v>
      </c>
      <c r="U283" s="251">
        <v>1.1882999999999999</v>
      </c>
      <c r="V283" s="251">
        <v>1.2450000000000001</v>
      </c>
      <c r="W283" s="251">
        <v>1.01</v>
      </c>
      <c r="X283" s="251">
        <v>0.86609999999999998</v>
      </c>
      <c r="Y283" s="251">
        <v>0.88580000000000003</v>
      </c>
      <c r="Z283" s="245">
        <f ca="1">[1]ExtEntry!$H81</f>
        <v>0.88580000000000003</v>
      </c>
      <c r="AB283" s="260">
        <v>2.0436369047619043E-2</v>
      </c>
      <c r="AC283" s="260">
        <v>1.0580869047619047E-2</v>
      </c>
      <c r="AD283" s="260">
        <v>-1.0975202380952384E-2</v>
      </c>
      <c r="AE283" s="260">
        <v>-1.1117857142857153E-4</v>
      </c>
      <c r="AF283" s="260">
        <v>-8.0924940476190463E-3</v>
      </c>
      <c r="AG283" s="260">
        <v>-9.646910714285712E-3</v>
      </c>
      <c r="AH283" s="260">
        <v>-1.0503815476190476E-2</v>
      </c>
      <c r="AI283" s="260">
        <v>-2.2010577380952381E-2</v>
      </c>
      <c r="AJ283" s="260">
        <v>-2.4421339285714289E-2</v>
      </c>
      <c r="AK283" s="260">
        <v>2.9992500000000036E-3</v>
      </c>
      <c r="AL283" s="260">
        <v>1.2070184523809526E-2</v>
      </c>
      <c r="AM283" s="260">
        <v>-1.4441071428571324E-4</v>
      </c>
      <c r="AN283" s="260">
        <v>-5.6390476190476121E-3</v>
      </c>
      <c r="AO283" s="260">
        <v>8.1481250000000026E-3</v>
      </c>
      <c r="AP283" s="260">
        <v>1.3353702380952386E-2</v>
      </c>
      <c r="AQ283" s="260">
        <v>2.281451190476191E-2</v>
      </c>
      <c r="AR283" s="260">
        <v>2.7348029761904764E-2</v>
      </c>
      <c r="AS283" s="260">
        <v>-1.1786535714285718E-2</v>
      </c>
      <c r="AT283" s="260">
        <v>-2.330934523809524E-2</v>
      </c>
      <c r="AU283" s="260">
        <v>-9.9108035714285704E-3</v>
      </c>
      <c r="AV283" s="260">
        <f t="shared" ca="1" si="21"/>
        <v>-5.4194880952380961E-3</v>
      </c>
      <c r="AX283" s="88" t="str">
        <f t="shared" ca="1" si="23"/>
        <v>LAZR</v>
      </c>
    </row>
    <row r="284" spans="1:50" hidden="1" x14ac:dyDescent="0.3">
      <c r="A284" s="88" t="str">
        <f t="shared" ca="1" si="22"/>
        <v>LUV</v>
      </c>
      <c r="F284" s="251">
        <v>33.405000000000001</v>
      </c>
      <c r="G284" s="251">
        <v>33.770000000000003</v>
      </c>
      <c r="H284" s="251">
        <v>33.29</v>
      </c>
      <c r="I284" s="251">
        <v>33.520000000000003</v>
      </c>
      <c r="J284" s="251">
        <v>34.405000000000001</v>
      </c>
      <c r="K284" s="251">
        <v>34.685000000000002</v>
      </c>
      <c r="L284" s="251">
        <v>33.72</v>
      </c>
      <c r="M284" s="251">
        <v>33.72</v>
      </c>
      <c r="N284" s="251">
        <v>31.65</v>
      </c>
      <c r="O284" s="251">
        <v>32.19</v>
      </c>
      <c r="P284" s="251">
        <v>32.244999999999997</v>
      </c>
      <c r="Q284" s="251">
        <v>31.09</v>
      </c>
      <c r="R284" s="251">
        <v>30.085000000000001</v>
      </c>
      <c r="S284" s="251">
        <v>29.635000000000002</v>
      </c>
      <c r="T284" s="251">
        <v>31.614999999999998</v>
      </c>
      <c r="U284" s="251">
        <v>31.45</v>
      </c>
      <c r="V284" s="251">
        <v>32.365000000000002</v>
      </c>
      <c r="W284" s="251">
        <v>32.835000000000001</v>
      </c>
      <c r="X284" s="251">
        <v>31.96</v>
      </c>
      <c r="Y284" s="251">
        <v>31.82</v>
      </c>
      <c r="Z284" s="245">
        <f ca="1">[1]ExtEntry!$H82</f>
        <v>31.82</v>
      </c>
      <c r="AB284" s="263">
        <v>1.6221976190476189E-3</v>
      </c>
      <c r="AC284" s="263">
        <v>1.9704809523809512E-3</v>
      </c>
      <c r="AD284" s="263">
        <v>7.2829642857142858E-4</v>
      </c>
      <c r="AE284" s="263">
        <v>2.2143023809523803E-3</v>
      </c>
      <c r="AF284" s="263">
        <v>4.3367190476190469E-3</v>
      </c>
      <c r="AG284" s="263">
        <v>8.1677071428571408E-3</v>
      </c>
      <c r="AH284" s="263">
        <v>8.4540583333333318E-3</v>
      </c>
      <c r="AI284" s="263">
        <v>5.4409809523809525E-3</v>
      </c>
      <c r="AJ284" s="263">
        <v>-5.67832261904762E-3</v>
      </c>
      <c r="AK284" s="263">
        <v>-7.2876023809523805E-3</v>
      </c>
      <c r="AL284" s="263">
        <v>-5.3013702380952368E-3</v>
      </c>
      <c r="AM284" s="263">
        <v>-8.7580249999999991E-3</v>
      </c>
      <c r="AN284" s="263">
        <v>-1.4737763095238094E-2</v>
      </c>
      <c r="AO284" s="263">
        <v>-1.7125548809523813E-2</v>
      </c>
      <c r="AP284" s="263">
        <v>-8.5484107142857167E-3</v>
      </c>
      <c r="AQ284" s="263">
        <v>-5.187303571428571E-3</v>
      </c>
      <c r="AR284" s="263">
        <v>4.4471369047619051E-3</v>
      </c>
      <c r="AS284" s="263">
        <v>1.94452380952381E-3</v>
      </c>
      <c r="AT284" s="263">
        <v>9.3647619047619005E-4</v>
      </c>
      <c r="AU284" s="263">
        <v>3.9637202380952375E-3</v>
      </c>
      <c r="AV284" s="260">
        <f t="shared" ca="1" si="21"/>
        <v>6.8821369047619039E-3</v>
      </c>
      <c r="AX284" s="88" t="str">
        <f t="shared" ca="1" si="23"/>
        <v>LUV</v>
      </c>
    </row>
    <row r="285" spans="1:50" hidden="1" x14ac:dyDescent="0.3">
      <c r="A285" s="88" t="str">
        <f t="shared" ca="1" si="22"/>
        <v>MA</v>
      </c>
      <c r="F285" s="251">
        <v>567.70000000000005</v>
      </c>
      <c r="G285" s="251">
        <v>563.68499999999995</v>
      </c>
      <c r="H285" s="251">
        <v>550.08000000000004</v>
      </c>
      <c r="I285" s="251">
        <v>560.97</v>
      </c>
      <c r="J285" s="251">
        <v>566.66999999999996</v>
      </c>
      <c r="K285" s="251">
        <v>571.97</v>
      </c>
      <c r="L285" s="251">
        <v>571.27</v>
      </c>
      <c r="M285" s="251">
        <v>571.27</v>
      </c>
      <c r="N285" s="251">
        <v>573.85</v>
      </c>
      <c r="O285" s="251">
        <v>574.23</v>
      </c>
      <c r="P285" s="251">
        <v>572.16</v>
      </c>
      <c r="Q285" s="251">
        <v>566.20000000000005</v>
      </c>
      <c r="R285" s="251">
        <v>553.52</v>
      </c>
      <c r="S285" s="251">
        <v>552.94000000000005</v>
      </c>
      <c r="T285" s="251">
        <v>553.76</v>
      </c>
      <c r="U285" s="251">
        <v>552.33000000000004</v>
      </c>
      <c r="V285" s="251">
        <v>551.29999999999995</v>
      </c>
      <c r="W285" s="251">
        <v>545.73</v>
      </c>
      <c r="X285" s="251">
        <v>527.1</v>
      </c>
      <c r="Y285" s="251">
        <v>526.08249999999998</v>
      </c>
      <c r="Z285" s="245">
        <f ca="1">[1]ExtEntry!$H83</f>
        <v>526.08249999999998</v>
      </c>
      <c r="AB285" s="260">
        <v>8.2561547619047597E-4</v>
      </c>
      <c r="AC285" s="260">
        <v>-3.3047976190476265E-4</v>
      </c>
      <c r="AD285" s="260">
        <v>-2.4608726190476181E-3</v>
      </c>
      <c r="AE285" s="260">
        <v>-2.1274202380952389E-3</v>
      </c>
      <c r="AF285" s="260">
        <v>-7.5534880952380984E-4</v>
      </c>
      <c r="AG285" s="260">
        <v>2.2341511904761906E-3</v>
      </c>
      <c r="AH285" s="260">
        <v>4.5358333333333336E-3</v>
      </c>
      <c r="AI285" s="260">
        <v>2.8686428571428574E-3</v>
      </c>
      <c r="AJ285" s="260">
        <v>1.2112500000000001E-3</v>
      </c>
      <c r="AK285" s="260">
        <v>2.0706494047619049E-3</v>
      </c>
      <c r="AL285" s="260">
        <v>4.4741196428571437E-3</v>
      </c>
      <c r="AM285" s="260">
        <v>1.2758220238095238E-3</v>
      </c>
      <c r="AN285" s="260">
        <v>-8.6035119047619079E-5</v>
      </c>
      <c r="AO285" s="260">
        <v>3.8190535714285699E-4</v>
      </c>
      <c r="AP285" s="260">
        <v>9.9564345238095263E-4</v>
      </c>
      <c r="AQ285" s="260">
        <v>1.283726785714286E-3</v>
      </c>
      <c r="AR285" s="260">
        <v>5.4679226190476214E-4</v>
      </c>
      <c r="AS285" s="260">
        <v>-1.205658333333333E-3</v>
      </c>
      <c r="AT285" s="260">
        <v>-3.1960214285714286E-3</v>
      </c>
      <c r="AU285" s="260">
        <v>-2.9910452380952387E-3</v>
      </c>
      <c r="AV285" s="260">
        <f t="shared" ca="1" si="21"/>
        <v>-2.8205869047619051E-3</v>
      </c>
      <c r="AX285" s="88" t="str">
        <f t="shared" ca="1" si="23"/>
        <v>MA</v>
      </c>
    </row>
    <row r="286" spans="1:50" hidden="1" x14ac:dyDescent="0.3">
      <c r="A286" s="88" t="str">
        <f t="shared" ca="1" si="22"/>
        <v>NVAX</v>
      </c>
      <c r="F286" s="251">
        <v>8.89</v>
      </c>
      <c r="G286" s="251">
        <v>9.0150000000000006</v>
      </c>
      <c r="H286" s="251">
        <v>8.48</v>
      </c>
      <c r="I286" s="251">
        <v>8.1</v>
      </c>
      <c r="J286" s="251">
        <v>8.7899999999999991</v>
      </c>
      <c r="K286" s="251">
        <v>8.59</v>
      </c>
      <c r="L286" s="251">
        <v>8.4600000000000009</v>
      </c>
      <c r="M286" s="251">
        <v>8.4600000000000009</v>
      </c>
      <c r="N286" s="251">
        <v>8.36</v>
      </c>
      <c r="O286" s="251">
        <v>8.52</v>
      </c>
      <c r="P286" s="251">
        <v>8.6999999999999993</v>
      </c>
      <c r="Q286" s="251">
        <v>8.52</v>
      </c>
      <c r="R286" s="251">
        <v>8.43</v>
      </c>
      <c r="S286" s="251">
        <v>7.5350000000000001</v>
      </c>
      <c r="T286" s="251">
        <v>7.69</v>
      </c>
      <c r="U286" s="251">
        <v>7.7000999999999999</v>
      </c>
      <c r="V286" s="251">
        <v>7.4089999999999998</v>
      </c>
      <c r="W286" s="251">
        <v>6.97</v>
      </c>
      <c r="X286" s="251">
        <v>6.57</v>
      </c>
      <c r="Y286" s="251">
        <v>6.3949999999999996</v>
      </c>
      <c r="Z286" s="245">
        <f ca="1">[1]ExtEntry!$H84</f>
        <v>6.3949999999999996</v>
      </c>
      <c r="AB286" s="263">
        <v>-1.2660240476190479E-2</v>
      </c>
      <c r="AC286" s="263">
        <v>-1.1633347619047621E-2</v>
      </c>
      <c r="AD286" s="263">
        <v>-1.1360895238095237E-2</v>
      </c>
      <c r="AE286" s="263">
        <v>-1.5961169047619048E-2</v>
      </c>
      <c r="AF286" s="263">
        <v>-4.0397404761904768E-3</v>
      </c>
      <c r="AG286" s="263">
        <v>-4.4165714285714346E-4</v>
      </c>
      <c r="AH286" s="263">
        <v>3.6432297619047641E-3</v>
      </c>
      <c r="AI286" s="263">
        <v>-2.9533178571428576E-3</v>
      </c>
      <c r="AJ286" s="263">
        <v>-7.9480976190476199E-3</v>
      </c>
      <c r="AK286" s="263">
        <v>-9.8781571428571413E-3</v>
      </c>
      <c r="AL286" s="263">
        <v>-1.0117821428571438E-3</v>
      </c>
      <c r="AM286" s="263">
        <v>3.0164285714285688E-3</v>
      </c>
      <c r="AN286" s="263">
        <v>-6.6142976190476203E-3</v>
      </c>
      <c r="AO286" s="263">
        <v>-2.8799821428571442E-3</v>
      </c>
      <c r="AP286" s="263">
        <v>1.1170535714285714E-3</v>
      </c>
      <c r="AQ286" s="263">
        <v>2.6616428571428572E-3</v>
      </c>
      <c r="AR286" s="263">
        <v>3.0280773809523813E-3</v>
      </c>
      <c r="AS286" s="263">
        <v>-1.9983214285714283E-3</v>
      </c>
      <c r="AT286" s="263">
        <v>-8.9151488095238103E-3</v>
      </c>
      <c r="AU286" s="263">
        <v>-1.0048636904761904E-2</v>
      </c>
      <c r="AV286" s="260">
        <f t="shared" ca="1" si="21"/>
        <v>-1.1197821428571429E-2</v>
      </c>
      <c r="AX286" s="88" t="str">
        <f t="shared" ca="1" si="23"/>
        <v>NVAX</v>
      </c>
    </row>
    <row r="287" spans="1:50" hidden="1" x14ac:dyDescent="0.3">
      <c r="A287" s="88" t="str">
        <f t="shared" ca="1" si="22"/>
        <v>NVS</v>
      </c>
      <c r="F287" s="251">
        <v>130.30000000000001</v>
      </c>
      <c r="G287" s="251">
        <v>129.95500000000001</v>
      </c>
      <c r="H287" s="251">
        <v>130.72</v>
      </c>
      <c r="I287" s="251">
        <v>131.43</v>
      </c>
      <c r="J287" s="251">
        <v>131.79</v>
      </c>
      <c r="K287" s="251">
        <v>131.34</v>
      </c>
      <c r="L287" s="251">
        <v>131.43</v>
      </c>
      <c r="M287" s="251">
        <v>131.43</v>
      </c>
      <c r="N287" s="251">
        <v>131.63999999999999</v>
      </c>
      <c r="O287" s="251">
        <v>130.38</v>
      </c>
      <c r="P287" s="251">
        <v>128.94</v>
      </c>
      <c r="Q287" s="251">
        <v>123.39</v>
      </c>
      <c r="R287" s="251">
        <v>122.61</v>
      </c>
      <c r="S287" s="251">
        <v>124.91</v>
      </c>
      <c r="T287" s="251">
        <v>125.5</v>
      </c>
      <c r="U287" s="251">
        <v>126.705</v>
      </c>
      <c r="V287" s="251">
        <v>126.45</v>
      </c>
      <c r="W287" s="251">
        <v>131.26</v>
      </c>
      <c r="X287" s="251">
        <v>127.98</v>
      </c>
      <c r="Y287" s="251">
        <v>126.84</v>
      </c>
      <c r="Z287" s="245">
        <f ca="1">[1]ExtEntry!$H85</f>
        <v>126.84</v>
      </c>
      <c r="AB287" s="260">
        <v>-4.1785297619047618E-3</v>
      </c>
      <c r="AC287" s="260">
        <v>-3.9681904761904776E-3</v>
      </c>
      <c r="AD287" s="260">
        <v>-5.0544940476190481E-3</v>
      </c>
      <c r="AE287" s="260">
        <v>-4.0818273809523813E-3</v>
      </c>
      <c r="AF287" s="260">
        <v>-4.3428154761904775E-3</v>
      </c>
      <c r="AG287" s="260">
        <v>-3.1768809523809532E-3</v>
      </c>
      <c r="AH287" s="260">
        <v>-1.6561928571428575E-3</v>
      </c>
      <c r="AI287" s="260">
        <v>-9.6560000000000005E-4</v>
      </c>
      <c r="AJ287" s="260">
        <v>-1.9164630952380956E-3</v>
      </c>
      <c r="AK287" s="260">
        <v>-2.6549095238095244E-3</v>
      </c>
      <c r="AL287" s="260">
        <v>-3.6542904761904769E-3</v>
      </c>
      <c r="AM287" s="260">
        <v>-7.6207904761904765E-3</v>
      </c>
      <c r="AN287" s="260">
        <v>-5.8638202380952376E-3</v>
      </c>
      <c r="AO287" s="260">
        <v>-3.4887488095238094E-3</v>
      </c>
      <c r="AP287" s="260">
        <v>-3.5385892857142847E-3</v>
      </c>
      <c r="AQ287" s="260">
        <v>-2.3649416666666678E-3</v>
      </c>
      <c r="AR287" s="260">
        <v>-2.8864851190476184E-3</v>
      </c>
      <c r="AS287" s="260">
        <v>-1.7962232142857142E-3</v>
      </c>
      <c r="AT287" s="260">
        <v>-2.9844672619047615E-3</v>
      </c>
      <c r="AU287" s="260">
        <v>1.4239910714285706E-3</v>
      </c>
      <c r="AV287" s="260">
        <f t="shared" ca="1" si="21"/>
        <v>-4.3680654761904742E-4</v>
      </c>
      <c r="AX287" s="88" t="str">
        <f t="shared" ca="1" si="23"/>
        <v>NVS</v>
      </c>
    </row>
    <row r="288" spans="1:50" hidden="1" x14ac:dyDescent="0.3">
      <c r="A288" s="88" t="str">
        <f t="shared" ca="1" si="22"/>
        <v>ORA</v>
      </c>
      <c r="F288" s="251">
        <v>13.57</v>
      </c>
      <c r="G288" s="251">
        <v>14.015000000000001</v>
      </c>
      <c r="H288" s="251">
        <v>14.085000000000001</v>
      </c>
      <c r="I288" s="251">
        <v>14.335000000000001</v>
      </c>
      <c r="J288" s="251">
        <v>14.16</v>
      </c>
      <c r="K288" s="251">
        <v>14.125</v>
      </c>
      <c r="L288" s="251">
        <v>14.07</v>
      </c>
      <c r="M288" s="251">
        <v>14.07</v>
      </c>
      <c r="N288" s="251">
        <v>14.15</v>
      </c>
      <c r="O288" s="251">
        <v>13.92</v>
      </c>
      <c r="P288" s="251">
        <v>13.85</v>
      </c>
      <c r="Q288" s="251">
        <v>13.89</v>
      </c>
      <c r="R288" s="251">
        <v>13.855</v>
      </c>
      <c r="S288" s="251">
        <v>13.715</v>
      </c>
      <c r="T288" s="251">
        <v>13.715</v>
      </c>
      <c r="U288" s="251">
        <v>13.94</v>
      </c>
      <c r="V288" s="251">
        <v>14.164999999999999</v>
      </c>
      <c r="W288" s="251">
        <v>14.02</v>
      </c>
      <c r="X288" s="251">
        <v>13.69</v>
      </c>
      <c r="Y288" s="251">
        <v>13.78</v>
      </c>
      <c r="Z288" s="245">
        <f ca="1">[1]ExtEntry!$H86</f>
        <v>13.78</v>
      </c>
      <c r="AB288" s="263">
        <v>3.9686071428571382E-4</v>
      </c>
      <c r="AC288" s="263">
        <v>4.2279619047619049E-3</v>
      </c>
      <c r="AD288" s="263">
        <v>6.0662000000000008E-3</v>
      </c>
      <c r="AE288" s="263">
        <v>6.9464023809523816E-3</v>
      </c>
      <c r="AF288" s="263">
        <v>4.6435511904761905E-3</v>
      </c>
      <c r="AG288" s="263">
        <v>3.1624559523809521E-3</v>
      </c>
      <c r="AH288" s="263">
        <v>2.6941309523809513E-3</v>
      </c>
      <c r="AI288" s="263">
        <v>3.5518154761904762E-3</v>
      </c>
      <c r="AJ288" s="263">
        <v>2.1818511904761898E-3</v>
      </c>
      <c r="AK288" s="263">
        <v>-2.6272619047619048E-3</v>
      </c>
      <c r="AL288" s="263">
        <v>-3.1865952380952375E-3</v>
      </c>
      <c r="AM288" s="263">
        <v>-5.3893630952380955E-3</v>
      </c>
      <c r="AN288" s="263">
        <v>-2.6911249999999991E-3</v>
      </c>
      <c r="AO288" s="263">
        <v>-3.5261071428571429E-3</v>
      </c>
      <c r="AP288" s="263">
        <v>-3.6300238095238091E-3</v>
      </c>
      <c r="AQ288" s="263">
        <v>-2.6302678571428579E-3</v>
      </c>
      <c r="AR288" s="263">
        <v>-1.9836785714285724E-3</v>
      </c>
      <c r="AS288" s="263">
        <v>-9.9529166666666646E-4</v>
      </c>
      <c r="AT288" s="263">
        <v>-1.2587202380952383E-3</v>
      </c>
      <c r="AU288" s="263">
        <v>-2.5472321428571419E-3</v>
      </c>
      <c r="AV288" s="260">
        <f t="shared" ca="1" si="21"/>
        <v>-5.3816011904761901E-3</v>
      </c>
      <c r="AX288" s="88" t="str">
        <f t="shared" ca="1" si="23"/>
        <v>ORA</v>
      </c>
    </row>
    <row r="289" spans="1:50" hidden="1" x14ac:dyDescent="0.3">
      <c r="A289" s="88" t="str">
        <f t="shared" ca="1" si="22"/>
        <v>OXY</v>
      </c>
      <c r="F289" s="251">
        <v>42.28</v>
      </c>
      <c r="G289" s="251">
        <v>41.854999999999997</v>
      </c>
      <c r="H289" s="251">
        <v>41.04</v>
      </c>
      <c r="I289" s="251">
        <v>40.9</v>
      </c>
      <c r="J289" s="251">
        <v>41.03</v>
      </c>
      <c r="K289" s="251">
        <v>40.909999999999997</v>
      </c>
      <c r="L289" s="251">
        <v>41.734999999999999</v>
      </c>
      <c r="M289" s="251">
        <v>41.734999999999999</v>
      </c>
      <c r="N289" s="251">
        <v>42.88</v>
      </c>
      <c r="O289" s="251">
        <v>42.58</v>
      </c>
      <c r="P289" s="251">
        <v>42.29</v>
      </c>
      <c r="Q289" s="251">
        <v>40.85</v>
      </c>
      <c r="R289" s="251">
        <v>40.704999999999998</v>
      </c>
      <c r="S289" s="251">
        <v>40.094999999999999</v>
      </c>
      <c r="T289" s="251">
        <v>39.774999999999999</v>
      </c>
      <c r="U289" s="251">
        <v>40.270000000000003</v>
      </c>
      <c r="V289" s="251">
        <v>41.189300000000003</v>
      </c>
      <c r="W289" s="251">
        <v>42.77</v>
      </c>
      <c r="X289" s="251">
        <v>42.515000000000001</v>
      </c>
      <c r="Y289" s="251">
        <v>41.484999999999999</v>
      </c>
      <c r="Z289" s="245">
        <f ca="1">[1]ExtEntry!$H87</f>
        <v>41.484999999999999</v>
      </c>
      <c r="AB289" s="260">
        <v>-8.3886190476190475E-3</v>
      </c>
      <c r="AC289" s="260">
        <v>-1.8080357142857134E-4</v>
      </c>
      <c r="AD289" s="260">
        <v>-1.0779583333333327E-3</v>
      </c>
      <c r="AE289" s="260">
        <v>-9.5883333333333324E-4</v>
      </c>
      <c r="AF289" s="260">
        <v>-1.2177440476190474E-3</v>
      </c>
      <c r="AG289" s="260">
        <v>-1.2779107142857136E-3</v>
      </c>
      <c r="AH289" s="260">
        <v>1.4015357142857137E-3</v>
      </c>
      <c r="AI289" s="260">
        <v>2.8184345238095243E-3</v>
      </c>
      <c r="AJ289" s="260">
        <v>5.8353035714285729E-3</v>
      </c>
      <c r="AK289" s="260">
        <v>6.6520178571428563E-3</v>
      </c>
      <c r="AL289" s="260">
        <v>9.1366369047619043E-3</v>
      </c>
      <c r="AM289" s="260">
        <v>7.6578035714285715E-3</v>
      </c>
      <c r="AN289" s="260">
        <v>6.667267857142856E-3</v>
      </c>
      <c r="AO289" s="260">
        <v>5.9565773809523818E-3</v>
      </c>
      <c r="AP289" s="260">
        <v>-6.4566071428571493E-4</v>
      </c>
      <c r="AQ289" s="260">
        <v>-1.491970238095238E-3</v>
      </c>
      <c r="AR289" s="260">
        <v>-3.3078214285714299E-3</v>
      </c>
      <c r="AS289" s="260">
        <v>-1.3462916666666682E-3</v>
      </c>
      <c r="AT289" s="260">
        <v>4.5736309523809488E-4</v>
      </c>
      <c r="AU289" s="260">
        <v>2.3089464285714289E-3</v>
      </c>
      <c r="AV289" s="260">
        <f t="shared" ca="1" si="21"/>
        <v>3.5675000000000051E-4</v>
      </c>
      <c r="AX289" s="88" t="str">
        <f t="shared" ca="1" si="23"/>
        <v>OXY</v>
      </c>
    </row>
    <row r="290" spans="1:50" ht="28" hidden="1" customHeight="1" x14ac:dyDescent="0.3">
      <c r="A290" s="88" t="str">
        <f t="shared" ca="1" si="22"/>
        <v>PFE</v>
      </c>
      <c r="F290" s="251">
        <v>24.524999999999999</v>
      </c>
      <c r="G290" s="251">
        <v>24.35</v>
      </c>
      <c r="H290" s="251">
        <v>24.23</v>
      </c>
      <c r="I290" s="251">
        <v>24.51</v>
      </c>
      <c r="J290" s="251">
        <v>24.684999999999999</v>
      </c>
      <c r="K290" s="251">
        <v>24.824999999999999</v>
      </c>
      <c r="L290" s="251">
        <v>24.734999999999999</v>
      </c>
      <c r="M290" s="251">
        <v>24.734999999999999</v>
      </c>
      <c r="N290" s="251">
        <v>24.684999999999999</v>
      </c>
      <c r="O290" s="251">
        <v>24.78</v>
      </c>
      <c r="P290" s="251">
        <v>24.754999999999999</v>
      </c>
      <c r="Q290" s="251">
        <v>24.524999999999999</v>
      </c>
      <c r="R290" s="251">
        <v>24.3</v>
      </c>
      <c r="S290" s="251">
        <v>24.33</v>
      </c>
      <c r="T290" s="251">
        <v>24.635000000000002</v>
      </c>
      <c r="U290" s="251">
        <v>24.875</v>
      </c>
      <c r="V290" s="251">
        <v>24.375</v>
      </c>
      <c r="W290" s="251">
        <v>25.085000000000001</v>
      </c>
      <c r="X290" s="251">
        <v>25.45</v>
      </c>
      <c r="Y290" s="251">
        <v>25.015000000000001</v>
      </c>
      <c r="Z290" s="245">
        <f ca="1">[1]ExtEntry!$H88</f>
        <v>25.015000000000001</v>
      </c>
      <c r="AB290" s="263">
        <v>-1.143292857142857E-2</v>
      </c>
      <c r="AC290" s="263">
        <v>-1.1231684523809522E-2</v>
      </c>
      <c r="AD290" s="263">
        <v>-1.3243517857142855E-2</v>
      </c>
      <c r="AE290" s="263">
        <v>-1.1400642857142856E-2</v>
      </c>
      <c r="AF290" s="263">
        <v>-8.2773869047619054E-3</v>
      </c>
      <c r="AG290" s="263">
        <v>-5.924761904761904E-3</v>
      </c>
      <c r="AH290" s="263">
        <v>-3.6853690476190467E-3</v>
      </c>
      <c r="AI290" s="263">
        <v>-3.4709702380952374E-3</v>
      </c>
      <c r="AJ290" s="263">
        <v>-2.6528154761904761E-3</v>
      </c>
      <c r="AK290" s="263">
        <v>-2.3998630952380955E-3</v>
      </c>
      <c r="AL290" s="263">
        <v>-1.282724404761904E-3</v>
      </c>
      <c r="AM290" s="263">
        <v>-3.4527184523809522E-3</v>
      </c>
      <c r="AN290" s="263">
        <v>-1.0688845238095246E-3</v>
      </c>
      <c r="AO290" s="263">
        <v>4.7329404761904757E-4</v>
      </c>
      <c r="AP290" s="263">
        <v>1.9173297619047608E-3</v>
      </c>
      <c r="AQ290" s="263">
        <v>3.830210714285714E-3</v>
      </c>
      <c r="AR290" s="263">
        <v>3.5673119047619039E-3</v>
      </c>
      <c r="AS290" s="263">
        <v>-1.7482499999999911E-4</v>
      </c>
      <c r="AT290" s="263">
        <v>1.6682321428571393E-4</v>
      </c>
      <c r="AU290" s="263">
        <v>-7.3530178571428622E-4</v>
      </c>
      <c r="AV290" s="260">
        <f t="shared" ca="1" si="21"/>
        <v>-2.2535023809523813E-3</v>
      </c>
      <c r="AX290" s="88" t="str">
        <f t="shared" ca="1" si="23"/>
        <v>PFE</v>
      </c>
    </row>
    <row r="291" spans="1:50" hidden="1" x14ac:dyDescent="0.3">
      <c r="A291" s="88" t="str">
        <f t="shared" ca="1" si="22"/>
        <v>RIG</v>
      </c>
      <c r="F291" s="251">
        <v>3.1150000000000002</v>
      </c>
      <c r="G291" s="251">
        <v>3.29</v>
      </c>
      <c r="H291" s="251">
        <v>3.2250000000000001</v>
      </c>
      <c r="I291" s="251">
        <v>3.26</v>
      </c>
      <c r="J291" s="251">
        <v>3.2850000000000001</v>
      </c>
      <c r="K291" s="251">
        <v>3.3050000000000002</v>
      </c>
      <c r="L291" s="251">
        <v>3.4249999999999998</v>
      </c>
      <c r="M291" s="251">
        <v>3.4249999999999998</v>
      </c>
      <c r="N291" s="251">
        <v>3.8849999999999998</v>
      </c>
      <c r="O291" s="251">
        <v>3.895</v>
      </c>
      <c r="P291" s="251">
        <v>3.855</v>
      </c>
      <c r="Q291" s="251">
        <v>3.7549999999999999</v>
      </c>
      <c r="R291" s="251">
        <v>3.915</v>
      </c>
      <c r="S291" s="251">
        <v>3.9051999999999998</v>
      </c>
      <c r="T291" s="251">
        <v>3.895</v>
      </c>
      <c r="U291" s="251">
        <v>3.9249999999999998</v>
      </c>
      <c r="V291" s="251">
        <v>3.96</v>
      </c>
      <c r="W291" s="251">
        <v>4.01</v>
      </c>
      <c r="X291" s="251">
        <v>4.13</v>
      </c>
      <c r="Y291" s="251">
        <v>4.0949999999999998</v>
      </c>
      <c r="Z291" s="245">
        <f ca="1">[1]ExtEntry!$H89</f>
        <v>4.0949999999999998</v>
      </c>
      <c r="AB291" s="260">
        <v>1.8456488095238085E-3</v>
      </c>
      <c r="AC291" s="260">
        <v>3.7628333333333316E-3</v>
      </c>
      <c r="AD291" s="260">
        <v>1.6873273809523805E-3</v>
      </c>
      <c r="AE291" s="260">
        <v>2.0409226190476158E-3</v>
      </c>
      <c r="AF291" s="260">
        <v>2.6945952380952364E-3</v>
      </c>
      <c r="AG291" s="260">
        <v>3.8779880952380941E-3</v>
      </c>
      <c r="AH291" s="260">
        <v>1.013964880952381E-2</v>
      </c>
      <c r="AI291" s="260">
        <v>1.019765476190476E-2</v>
      </c>
      <c r="AJ291" s="260">
        <v>2.5317035714285712E-2</v>
      </c>
      <c r="AK291" s="260">
        <v>1.2260738095238097E-2</v>
      </c>
      <c r="AL291" s="260">
        <v>1.4954630952380955E-2</v>
      </c>
      <c r="AM291" s="260">
        <v>1.0345238095238098E-2</v>
      </c>
      <c r="AN291" s="260">
        <v>1.1180500000000001E-2</v>
      </c>
      <c r="AO291" s="260">
        <v>1.114239880952381E-2</v>
      </c>
      <c r="AP291" s="260">
        <v>7.6586071428571441E-3</v>
      </c>
      <c r="AQ291" s="260">
        <v>4.7496964285714295E-3</v>
      </c>
      <c r="AR291" s="260">
        <v>-1.0569517857142855E-2</v>
      </c>
      <c r="AS291" s="260">
        <v>-1.1487095238095237E-2</v>
      </c>
      <c r="AT291" s="260">
        <v>-1.0146970238095238E-2</v>
      </c>
      <c r="AU291" s="260">
        <v>-8.3829047619047616E-3</v>
      </c>
      <c r="AV291" s="260">
        <f t="shared" ca="1" si="21"/>
        <v>-1.0034833333333333E-2</v>
      </c>
      <c r="AX291" s="88" t="str">
        <f t="shared" ca="1" si="23"/>
        <v>RIG</v>
      </c>
    </row>
    <row r="292" spans="1:50" x14ac:dyDescent="0.3">
      <c r="A292" s="88" t="str">
        <f t="shared" ca="1" si="22"/>
        <v>RRC</v>
      </c>
      <c r="F292" s="251">
        <v>36.130000000000003</v>
      </c>
      <c r="G292" s="251">
        <v>37.24</v>
      </c>
      <c r="H292" s="251">
        <v>35.69</v>
      </c>
      <c r="I292" s="251">
        <v>35.97</v>
      </c>
      <c r="J292" s="251">
        <v>37.130000000000003</v>
      </c>
      <c r="K292" s="251">
        <v>36.78</v>
      </c>
      <c r="L292" s="251">
        <v>36.25</v>
      </c>
      <c r="M292" s="251">
        <v>36.25</v>
      </c>
      <c r="N292" s="251">
        <v>37.5</v>
      </c>
      <c r="O292" s="251">
        <v>37.604999999999997</v>
      </c>
      <c r="P292" s="251">
        <v>37.36</v>
      </c>
      <c r="Q292" s="251">
        <v>36.97</v>
      </c>
      <c r="R292" s="251">
        <v>34.590000000000003</v>
      </c>
      <c r="S292" s="251">
        <v>37.045000000000002</v>
      </c>
      <c r="T292" s="251">
        <v>37.08</v>
      </c>
      <c r="U292" s="251">
        <v>36.81</v>
      </c>
      <c r="V292" s="251">
        <v>37.43</v>
      </c>
      <c r="W292" s="251">
        <v>38.229999999999997</v>
      </c>
      <c r="X292" s="251">
        <v>39.03</v>
      </c>
      <c r="Y292" s="251">
        <v>39.075000000000003</v>
      </c>
      <c r="Z292" s="245">
        <f ca="1">[1]ExtEntry!$H90</f>
        <v>39.075000000000003</v>
      </c>
      <c r="AB292" s="263">
        <v>-1.0633660714285714E-2</v>
      </c>
      <c r="AC292" s="263">
        <v>-4.8765476190476189E-3</v>
      </c>
      <c r="AD292" s="263">
        <v>-5.7316488095238097E-3</v>
      </c>
      <c r="AE292" s="263">
        <v>-7.3182440476190483E-3</v>
      </c>
      <c r="AF292" s="263">
        <v>-6.4921607142857142E-3</v>
      </c>
      <c r="AG292" s="263">
        <v>-5.1695178571428578E-3</v>
      </c>
      <c r="AH292" s="263">
        <v>-3.1164166666666675E-3</v>
      </c>
      <c r="AI292" s="263">
        <v>-5.2314345238095236E-3</v>
      </c>
      <c r="AJ292" s="263">
        <v>1.7426369047619044E-3</v>
      </c>
      <c r="AK292" s="263">
        <v>-1.2474226190476194E-3</v>
      </c>
      <c r="AL292" s="263">
        <v>3.570958333333334E-3</v>
      </c>
      <c r="AM292" s="263">
        <v>1.6786607142857146E-3</v>
      </c>
      <c r="AN292" s="263">
        <v>-2.9058452380952378E-3</v>
      </c>
      <c r="AO292" s="263">
        <v>1.1451369047619049E-3</v>
      </c>
      <c r="AP292" s="263">
        <v>1.6940178571428573E-3</v>
      </c>
      <c r="AQ292" s="263">
        <v>2.5539226190476189E-3</v>
      </c>
      <c r="AR292" s="263">
        <v>4.1803571428571475E-4</v>
      </c>
      <c r="AS292" s="263">
        <v>7.2526785714285727E-4</v>
      </c>
      <c r="AT292" s="263">
        <v>2.1941369047619049E-3</v>
      </c>
      <c r="AU292" s="263">
        <v>2.4082797619047617E-3</v>
      </c>
      <c r="AV292" s="260">
        <f t="shared" ca="1" si="21"/>
        <v>4.7254047619047623E-3</v>
      </c>
      <c r="AX292" s="88" t="str">
        <f t="shared" ca="1" si="23"/>
        <v>RRC</v>
      </c>
    </row>
    <row r="293" spans="1:50" x14ac:dyDescent="0.3">
      <c r="A293" s="88" t="str">
        <f t="shared" ca="1" si="22"/>
        <v>XYZ</v>
      </c>
      <c r="F293" s="243">
        <v>76.180000000000007</v>
      </c>
      <c r="G293" s="243">
        <v>75.97</v>
      </c>
      <c r="H293" s="243">
        <v>74.55</v>
      </c>
      <c r="I293" s="243">
        <v>75.2</v>
      </c>
      <c r="J293" s="243">
        <v>76.5</v>
      </c>
      <c r="K293" s="243">
        <v>77.709999999999994</v>
      </c>
      <c r="L293" s="243">
        <v>75.930000000000007</v>
      </c>
      <c r="M293" s="243">
        <v>75.930000000000007</v>
      </c>
      <c r="N293" s="243">
        <v>78.55</v>
      </c>
      <c r="O293" s="243">
        <v>79.540000000000006</v>
      </c>
      <c r="P293" s="243">
        <v>80.17</v>
      </c>
      <c r="Q293" s="243">
        <v>80.19</v>
      </c>
      <c r="R293" s="243">
        <v>73.91</v>
      </c>
      <c r="S293" s="243">
        <v>72.66</v>
      </c>
      <c r="T293" s="243">
        <v>73.650000000000006</v>
      </c>
      <c r="U293" s="243">
        <v>71.239999999999995</v>
      </c>
      <c r="V293" s="243">
        <v>65.52</v>
      </c>
      <c r="W293" s="243">
        <v>60.465000000000003</v>
      </c>
      <c r="X293" s="243">
        <v>57.64</v>
      </c>
      <c r="Y293" s="243">
        <v>57.494999999999997</v>
      </c>
      <c r="Z293" s="245">
        <f ca="1">[1]ExtEntry!$H91</f>
        <v>57.494999999999997</v>
      </c>
      <c r="AB293" s="260">
        <v>8.8104595238095232E-3</v>
      </c>
      <c r="AC293" s="260">
        <v>3.9472035714285701E-3</v>
      </c>
      <c r="AD293" s="260">
        <v>2.8355130952380956E-3</v>
      </c>
      <c r="AE293" s="260">
        <v>2.5554535714285721E-3</v>
      </c>
      <c r="AF293" s="260">
        <v>3.2408452380952428E-4</v>
      </c>
      <c r="AG293" s="260">
        <v>1.7024654761904779E-3</v>
      </c>
      <c r="AH293" s="260">
        <v>-5.6036190476190396E-4</v>
      </c>
      <c r="AI293" s="260">
        <v>-3.4025761904761917E-3</v>
      </c>
      <c r="AJ293" s="260">
        <v>-2.6610440476190489E-3</v>
      </c>
      <c r="AK293" s="260">
        <v>-3.0942345238095248E-3</v>
      </c>
      <c r="AL293" s="260">
        <v>1.0648809523809352E-4</v>
      </c>
      <c r="AM293" s="260">
        <v>1.7597797619047645E-4</v>
      </c>
      <c r="AN293" s="260">
        <v>-6.5851708333333342E-3</v>
      </c>
      <c r="AO293" s="260">
        <v>-9.5191827380952387E-3</v>
      </c>
      <c r="AP293" s="260">
        <v>-3.2779982142857132E-3</v>
      </c>
      <c r="AQ293" s="260">
        <v>-2.8193374999999988E-3</v>
      </c>
      <c r="AR293" s="260">
        <v>-1.2280158928571427E-2</v>
      </c>
      <c r="AS293" s="260">
        <v>-1.4841141071428574E-2</v>
      </c>
      <c r="AT293" s="260">
        <v>-1.7614658928571426E-2</v>
      </c>
      <c r="AU293" s="260">
        <v>-1.8024403571428572E-2</v>
      </c>
      <c r="AV293" s="260">
        <f t="shared" ca="1" si="21"/>
        <v>-1.374815357142857E-2</v>
      </c>
      <c r="AX293" s="88" t="str">
        <f t="shared" ca="1" si="23"/>
        <v>XYZ</v>
      </c>
    </row>
    <row r="294" spans="1:50" x14ac:dyDescent="0.3">
      <c r="A294" s="88" t="str">
        <f t="shared" ca="1" si="22"/>
        <v>THC</v>
      </c>
      <c r="F294" s="251">
        <v>196.45</v>
      </c>
      <c r="G294" s="251">
        <v>198</v>
      </c>
      <c r="H294" s="251">
        <v>199.13</v>
      </c>
      <c r="I294" s="251">
        <v>200</v>
      </c>
      <c r="J294" s="251">
        <v>202.05500000000001</v>
      </c>
      <c r="K294" s="251">
        <v>202.36</v>
      </c>
      <c r="L294" s="251">
        <v>205.12</v>
      </c>
      <c r="M294" s="251">
        <v>205.12</v>
      </c>
      <c r="N294" s="251">
        <v>206.91</v>
      </c>
      <c r="O294" s="251">
        <v>210.38</v>
      </c>
      <c r="P294" s="251">
        <v>216.17</v>
      </c>
      <c r="Q294" s="251">
        <v>204.62</v>
      </c>
      <c r="R294" s="251">
        <v>208.63</v>
      </c>
      <c r="S294" s="251">
        <v>208.185</v>
      </c>
      <c r="T294" s="251">
        <v>208.62</v>
      </c>
      <c r="U294" s="251">
        <v>205.83</v>
      </c>
      <c r="V294" s="251">
        <v>204.845</v>
      </c>
      <c r="W294" s="251">
        <v>192.91</v>
      </c>
      <c r="X294" s="251">
        <v>193</v>
      </c>
      <c r="Y294" s="251">
        <v>193.58</v>
      </c>
      <c r="Z294" s="245">
        <f ca="1">[1]ExtEntry!$H92</f>
        <v>193.58</v>
      </c>
      <c r="AB294" s="263">
        <v>-2.0519119047619056E-3</v>
      </c>
      <c r="AC294" s="263">
        <v>-4.1592571428571432E-3</v>
      </c>
      <c r="AD294" s="263">
        <v>-4.9973089285714296E-3</v>
      </c>
      <c r="AE294" s="263">
        <v>-6.1305113095238093E-3</v>
      </c>
      <c r="AF294" s="263">
        <v>-2.7183351190476195E-3</v>
      </c>
      <c r="AG294" s="263">
        <v>8.5022202380952367E-4</v>
      </c>
      <c r="AH294" s="263">
        <v>6.1536744047619042E-3</v>
      </c>
      <c r="AI294" s="263">
        <v>6.6964958333333349E-3</v>
      </c>
      <c r="AJ294" s="263">
        <v>3.9792815476190468E-3</v>
      </c>
      <c r="AK294" s="263">
        <v>4.2476922619047617E-3</v>
      </c>
      <c r="AL294" s="263">
        <v>7.7279178571428575E-3</v>
      </c>
      <c r="AM294" s="263">
        <v>2.7338047619047631E-3</v>
      </c>
      <c r="AN294" s="263">
        <v>1.6583166666666669E-3</v>
      </c>
      <c r="AO294" s="263">
        <v>3.7158880952380957E-3</v>
      </c>
      <c r="AP294" s="263">
        <v>2.8187392857142862E-3</v>
      </c>
      <c r="AQ294" s="263">
        <v>-1.6230952380952204E-5</v>
      </c>
      <c r="AR294" s="263">
        <v>3.7594166666666596E-4</v>
      </c>
      <c r="AS294" s="263">
        <v>-4.2072190476190475E-3</v>
      </c>
      <c r="AT294" s="263">
        <v>-8.7434035714285749E-3</v>
      </c>
      <c r="AU294" s="263">
        <v>-3.1694095238095224E-3</v>
      </c>
      <c r="AV294" s="260">
        <f t="shared" ca="1" si="21"/>
        <v>-2.5352904761904741E-3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10.208</v>
      </c>
      <c r="G296" s="243">
        <v>10.353999999999999</v>
      </c>
      <c r="H296" s="243">
        <v>10.356</v>
      </c>
      <c r="I296" s="243">
        <v>10.156000000000001</v>
      </c>
      <c r="J296" s="243">
        <v>10.25</v>
      </c>
      <c r="K296" s="243">
        <v>10.465999999999999</v>
      </c>
      <c r="L296" s="243">
        <v>10.353999999999999</v>
      </c>
      <c r="M296" s="243">
        <v>10.353999999999999</v>
      </c>
      <c r="N296" s="243">
        <v>10.384</v>
      </c>
      <c r="O296" s="243">
        <v>10.587999999999999</v>
      </c>
      <c r="P296" s="243">
        <v>10.63</v>
      </c>
      <c r="Q296" s="243">
        <v>10.614000000000001</v>
      </c>
      <c r="R296" s="243">
        <v>10.422000000000001</v>
      </c>
      <c r="S296" s="243">
        <v>10.401999999999999</v>
      </c>
      <c r="T296" s="243">
        <v>10.316000000000001</v>
      </c>
      <c r="U296" s="243">
        <v>10.199999999999999</v>
      </c>
      <c r="V296" s="243">
        <v>10.173999999999999</v>
      </c>
      <c r="W296" s="243">
        <v>10.086</v>
      </c>
      <c r="X296" s="243">
        <v>9.7959999999999994</v>
      </c>
      <c r="Y296" s="243">
        <v>9.7650000000000006</v>
      </c>
      <c r="Z296" s="245">
        <f ca="1">[1]ExtEntry!$H94</f>
        <v>9.7650000000000006</v>
      </c>
      <c r="AB296" s="263">
        <v>-4.7162321428571483E-4</v>
      </c>
      <c r="AC296" s="263">
        <v>-1.0323630952380983E-4</v>
      </c>
      <c r="AD296" s="263">
        <v>-1.559202976190477E-3</v>
      </c>
      <c r="AE296" s="263">
        <v>-6.8017916666666674E-4</v>
      </c>
      <c r="AF296" s="263">
        <v>-3.5404821428571421E-4</v>
      </c>
      <c r="AG296" s="263">
        <v>-9.9238154761904698E-4</v>
      </c>
      <c r="AH296" s="263">
        <v>-1.7019476190476179E-3</v>
      </c>
      <c r="AI296" s="263">
        <v>6.9371904761904757E-4</v>
      </c>
      <c r="AJ296" s="263">
        <v>1.4517726190476192E-3</v>
      </c>
      <c r="AK296" s="263">
        <v>5.436000000000002E-4</v>
      </c>
      <c r="AL296" s="263">
        <v>1.1954202380952386E-3</v>
      </c>
      <c r="AM296" s="263">
        <v>3.780342857142857E-3</v>
      </c>
      <c r="AN296" s="263">
        <v>2.0349499999999998E-3</v>
      </c>
      <c r="AO296" s="263">
        <v>-1.9359369047619044E-3</v>
      </c>
      <c r="AP296" s="263">
        <v>-8.5819285714285683E-4</v>
      </c>
      <c r="AQ296" s="263">
        <v>5.0521428571428549E-5</v>
      </c>
      <c r="AR296" s="263">
        <v>-1.1528476190476185E-3</v>
      </c>
      <c r="AS296" s="263">
        <v>-5.1482821428571425E-3</v>
      </c>
      <c r="AT296" s="263">
        <v>-4.0797940476190488E-3</v>
      </c>
      <c r="AU296" s="263">
        <v>-3.4182773809523816E-3</v>
      </c>
      <c r="AV296" s="260">
        <f t="shared" ca="1" si="21"/>
        <v>-3.5229261904761913E-3</v>
      </c>
      <c r="AX296" s="88" t="str">
        <f t="shared" ca="1" si="23"/>
        <v>LOCK</v>
      </c>
    </row>
    <row r="297" spans="1:50" x14ac:dyDescent="0.3">
      <c r="A297" s="88" t="str">
        <f t="shared" ca="1" si="22"/>
        <v>JBASML</v>
      </c>
      <c r="F297" s="243">
        <v>846.6</v>
      </c>
      <c r="G297" s="243">
        <v>873</v>
      </c>
      <c r="H297" s="243">
        <v>877.4</v>
      </c>
      <c r="I297" s="243">
        <v>875.7</v>
      </c>
      <c r="J297" s="1099">
        <v>899</v>
      </c>
      <c r="K297" s="245">
        <v>889.8</v>
      </c>
      <c r="L297" s="1100">
        <v>870.1</v>
      </c>
      <c r="M297" s="241">
        <v>870.1</v>
      </c>
      <c r="N297" s="243">
        <v>887.7</v>
      </c>
      <c r="O297" s="1101">
        <v>894.4</v>
      </c>
      <c r="P297" s="1101">
        <v>908.1</v>
      </c>
      <c r="Q297" s="243">
        <v>907.4</v>
      </c>
      <c r="R297" s="247">
        <v>937.5</v>
      </c>
      <c r="S297" s="243">
        <v>918</v>
      </c>
      <c r="T297" s="243">
        <v>906.6</v>
      </c>
      <c r="U297" s="243">
        <v>895.3</v>
      </c>
      <c r="V297" s="243">
        <v>870.8</v>
      </c>
      <c r="W297" s="1102">
        <v>874.1</v>
      </c>
      <c r="X297" s="345">
        <v>859.4</v>
      </c>
      <c r="Y297" s="243">
        <v>886.6</v>
      </c>
      <c r="Z297" s="245">
        <f ca="1">[1]ExtEntry!$H95</f>
        <v>886.6</v>
      </c>
      <c r="AB297" s="260">
        <v>-2.3693522727272738E-3</v>
      </c>
      <c r="AC297" s="260">
        <v>-6.0068750000000001E-3</v>
      </c>
      <c r="AD297" s="260">
        <v>-5.5475192307692317E-3</v>
      </c>
      <c r="AE297" s="260">
        <v>-1.9979821428571442E-3</v>
      </c>
      <c r="AF297" s="260">
        <v>3.28115E-3</v>
      </c>
      <c r="AG297" s="260">
        <v>3.4313750000000021E-3</v>
      </c>
      <c r="AH297" s="260">
        <v>3.4698088235294144E-3</v>
      </c>
      <c r="AI297" s="260">
        <v>-2.4069444444444455E-3</v>
      </c>
      <c r="AJ297" s="260">
        <v>-1.1392828947368438E-3</v>
      </c>
      <c r="AK297" s="260">
        <v>-4.2479250000000014E-3</v>
      </c>
      <c r="AL297" s="260">
        <v>-3.4726369047619055E-3</v>
      </c>
      <c r="AM297" s="260">
        <v>-2.4095154761904769E-3</v>
      </c>
      <c r="AN297" s="260">
        <v>-4.0619916666666672E-3</v>
      </c>
      <c r="AO297" s="260">
        <v>-2.7278249999999988E-3</v>
      </c>
      <c r="AP297" s="260">
        <v>1.1275202380952383E-3</v>
      </c>
      <c r="AQ297" s="260">
        <v>3.0662107142857154E-3</v>
      </c>
      <c r="AR297" s="260">
        <v>-2.7738666666666666E-3</v>
      </c>
      <c r="AS297" s="260">
        <v>-5.6189797619047629E-3</v>
      </c>
      <c r="AT297" s="260">
        <v>-8.1998190476190499E-3</v>
      </c>
      <c r="AU297" s="260">
        <v>-6.8668654761904774E-3</v>
      </c>
      <c r="AV297" s="260">
        <f t="shared" ca="1" si="21"/>
        <v>-5.6893535714285723E-3</v>
      </c>
      <c r="AX297" s="88" t="str">
        <f t="shared" ca="1" si="23"/>
        <v>JBASML</v>
      </c>
    </row>
    <row r="298" spans="1:50" x14ac:dyDescent="0.3">
      <c r="A298" s="88" t="str">
        <f t="shared" ca="1" si="22"/>
        <v>JBEOAN</v>
      </c>
      <c r="F298" s="251">
        <v>16.37</v>
      </c>
      <c r="G298" s="251">
        <v>16.2</v>
      </c>
      <c r="H298" s="251">
        <v>16.25</v>
      </c>
      <c r="I298" s="251">
        <v>16.27</v>
      </c>
      <c r="J298" s="251">
        <v>16.420000000000002</v>
      </c>
      <c r="K298" s="251">
        <v>16.364999999999998</v>
      </c>
      <c r="L298" s="251">
        <v>16.100000000000001</v>
      </c>
      <c r="M298" s="251">
        <v>16.100000000000001</v>
      </c>
      <c r="N298" s="251">
        <v>15.98</v>
      </c>
      <c r="O298" s="251">
        <v>16.059999999999999</v>
      </c>
      <c r="P298" s="251">
        <v>16.094999999999999</v>
      </c>
      <c r="Q298" s="251">
        <v>16.239999999999998</v>
      </c>
      <c r="R298" s="251">
        <v>16.254999999999999</v>
      </c>
      <c r="S298" s="251">
        <v>15.75</v>
      </c>
      <c r="T298" s="251">
        <v>16.05</v>
      </c>
      <c r="U298" s="251">
        <v>16.079999999999998</v>
      </c>
      <c r="V298" s="251">
        <v>16.105</v>
      </c>
      <c r="W298" s="251">
        <v>15.244999999999999</v>
      </c>
      <c r="X298" s="251">
        <v>15.23</v>
      </c>
      <c r="Y298" s="251">
        <v>15.3</v>
      </c>
      <c r="Z298" s="245">
        <f ca="1">[1]ExtEntry!$H96</f>
        <v>15.3</v>
      </c>
      <c r="AB298" s="260">
        <v>-3.4145059523809588E-4</v>
      </c>
      <c r="AC298" s="260">
        <v>1.199424404761904E-3</v>
      </c>
      <c r="AD298" s="260">
        <v>-2.3723630952380984E-4</v>
      </c>
      <c r="AE298" s="260">
        <v>-8.4969464285714362E-4</v>
      </c>
      <c r="AF298" s="260">
        <v>-3.9437916666666727E-4</v>
      </c>
      <c r="AG298" s="260">
        <v>-3.6878988095238093E-4</v>
      </c>
      <c r="AH298" s="260">
        <v>-1.4155523809523808E-3</v>
      </c>
      <c r="AI298" s="260">
        <v>-4.0398380952380956E-3</v>
      </c>
      <c r="AJ298" s="260">
        <v>-5.2494690476190481E-3</v>
      </c>
      <c r="AK298" s="260">
        <v>-2.8832607142857142E-3</v>
      </c>
      <c r="AL298" s="260">
        <v>-2.8319690476190469E-3</v>
      </c>
      <c r="AM298" s="260">
        <v>-2.4370047619047619E-3</v>
      </c>
      <c r="AN298" s="260">
        <v>-3.8267071428571423E-3</v>
      </c>
      <c r="AO298" s="260">
        <v>-3.9435761904761911E-3</v>
      </c>
      <c r="AP298" s="260">
        <v>-1.0348321428571429E-3</v>
      </c>
      <c r="AQ298" s="260">
        <v>1.6112988095238097E-3</v>
      </c>
      <c r="AR298" s="260">
        <v>2.7817273809523811E-3</v>
      </c>
      <c r="AS298" s="260">
        <v>2.4497511904761904E-3</v>
      </c>
      <c r="AT298" s="260">
        <v>1.6077630952380949E-3</v>
      </c>
      <c r="AU298" s="260">
        <v>2.9454761904761887E-4</v>
      </c>
      <c r="AV298" s="260">
        <f t="shared" ca="1" si="21"/>
        <v>1.0391130952380951E-3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48"/>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45952</v>
      </c>
      <c r="G303" s="117">
        <f t="shared" ca="1" si="24"/>
        <v>45953</v>
      </c>
      <c r="H303" s="117">
        <f t="shared" ca="1" si="24"/>
        <v>45954</v>
      </c>
      <c r="I303" s="117">
        <f t="shared" ca="1" si="24"/>
        <v>45957</v>
      </c>
      <c r="J303" s="117">
        <f t="shared" ca="1" si="24"/>
        <v>45958</v>
      </c>
      <c r="K303" s="117">
        <f t="shared" ca="1" si="24"/>
        <v>45959</v>
      </c>
      <c r="L303" s="117">
        <f t="shared" ca="1" si="24"/>
        <v>45960</v>
      </c>
      <c r="M303" s="117">
        <f t="shared" ca="1" si="24"/>
        <v>45961</v>
      </c>
      <c r="N303" s="117">
        <f t="shared" ca="1" si="24"/>
        <v>45964</v>
      </c>
      <c r="O303" s="117">
        <f t="shared" ca="1" si="24"/>
        <v>45965</v>
      </c>
      <c r="P303" s="117">
        <f t="shared" ca="1" si="24"/>
        <v>45966</v>
      </c>
      <c r="Q303" s="117">
        <f t="shared" ca="1" si="24"/>
        <v>45967</v>
      </c>
      <c r="R303" s="117">
        <f t="shared" ca="1" si="24"/>
        <v>45968</v>
      </c>
      <c r="S303" s="117">
        <f t="shared" ca="1" si="24"/>
        <v>45971</v>
      </c>
      <c r="T303" s="117">
        <f t="shared" ca="1" si="24"/>
        <v>45972</v>
      </c>
      <c r="U303" s="117">
        <f t="shared" ca="1" si="24"/>
        <v>45973</v>
      </c>
      <c r="V303" s="117">
        <f t="shared" ca="1" si="24"/>
        <v>45974</v>
      </c>
      <c r="W303" s="117">
        <f t="shared" ca="1" si="24"/>
        <v>45975</v>
      </c>
      <c r="X303" s="117">
        <f t="shared" ca="1" si="24"/>
        <v>45978</v>
      </c>
      <c r="Y303" s="117">
        <f t="shared" ca="1" si="24"/>
        <v>45979</v>
      </c>
      <c r="Z303" s="117">
        <f t="shared" ca="1" si="24"/>
        <v>45980</v>
      </c>
      <c r="AB303" s="117">
        <f t="shared" ref="AB303:AV303" ca="1" si="25">F303</f>
        <v>45952</v>
      </c>
      <c r="AC303" s="117">
        <f t="shared" ca="1" si="25"/>
        <v>45953</v>
      </c>
      <c r="AD303" s="117">
        <f t="shared" ca="1" si="25"/>
        <v>45954</v>
      </c>
      <c r="AE303" s="117">
        <f t="shared" ca="1" si="25"/>
        <v>45957</v>
      </c>
      <c r="AF303" s="117">
        <f t="shared" ca="1" si="25"/>
        <v>45958</v>
      </c>
      <c r="AG303" s="117">
        <f t="shared" ca="1" si="25"/>
        <v>45959</v>
      </c>
      <c r="AH303" s="117">
        <f t="shared" ca="1" si="25"/>
        <v>45960</v>
      </c>
      <c r="AI303" s="117">
        <f t="shared" ca="1" si="25"/>
        <v>45961</v>
      </c>
      <c r="AJ303" s="117">
        <f t="shared" ca="1" si="25"/>
        <v>45964</v>
      </c>
      <c r="AK303" s="117">
        <f t="shared" ca="1" si="25"/>
        <v>45965</v>
      </c>
      <c r="AL303" s="117">
        <f t="shared" ca="1" si="25"/>
        <v>45966</v>
      </c>
      <c r="AM303" s="117">
        <f t="shared" ca="1" si="25"/>
        <v>45967</v>
      </c>
      <c r="AN303" s="117">
        <f t="shared" ca="1" si="25"/>
        <v>45968</v>
      </c>
      <c r="AO303" s="117">
        <f t="shared" ca="1" si="25"/>
        <v>45971</v>
      </c>
      <c r="AP303" s="117">
        <f t="shared" ca="1" si="25"/>
        <v>45972</v>
      </c>
      <c r="AQ303" s="117">
        <f t="shared" ca="1" si="25"/>
        <v>45973</v>
      </c>
      <c r="AR303" s="117">
        <f t="shared" ca="1" si="25"/>
        <v>45974</v>
      </c>
      <c r="AS303" s="117">
        <f t="shared" ca="1" si="25"/>
        <v>45975</v>
      </c>
      <c r="AT303" s="117">
        <f t="shared" ca="1" si="25"/>
        <v>45978</v>
      </c>
      <c r="AU303" s="117">
        <f t="shared" ca="1" si="25"/>
        <v>45979</v>
      </c>
      <c r="AV303" s="117">
        <f t="shared" ca="1" si="25"/>
        <v>45980</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244.7</v>
      </c>
      <c r="G305" s="243">
        <v>247.48</v>
      </c>
      <c r="H305" s="243">
        <v>245.13</v>
      </c>
      <c r="I305" s="243">
        <v>247.27</v>
      </c>
      <c r="J305" s="243">
        <v>255.63</v>
      </c>
      <c r="K305" s="243">
        <v>261.83</v>
      </c>
      <c r="L305" s="243">
        <v>255.43</v>
      </c>
      <c r="M305" s="243">
        <v>255.43</v>
      </c>
      <c r="N305" s="243">
        <v>258.01010000000002</v>
      </c>
      <c r="O305" s="243">
        <v>259.18</v>
      </c>
      <c r="P305" s="243">
        <v>264.65010000000001</v>
      </c>
      <c r="Q305" s="243">
        <v>268.14999999999998</v>
      </c>
      <c r="R305" s="243">
        <v>268.48</v>
      </c>
      <c r="S305" s="243">
        <v>267.61500000000001</v>
      </c>
      <c r="T305" s="243">
        <v>266.93</v>
      </c>
      <c r="U305" s="243">
        <v>267.89</v>
      </c>
      <c r="V305" s="243">
        <v>266.77999999999997</v>
      </c>
      <c r="W305" s="243">
        <v>269.60000000000002</v>
      </c>
      <c r="X305" s="243">
        <v>265.32</v>
      </c>
      <c r="Y305" s="243">
        <v>265.5</v>
      </c>
      <c r="Z305" s="245">
        <f ca="1">[1]ExtEntry!$I3</f>
        <v>265.5</v>
      </c>
      <c r="AB305" s="261">
        <v>12600</v>
      </c>
      <c r="AC305" s="261">
        <v>210</v>
      </c>
      <c r="AD305" s="261">
        <v>-8400</v>
      </c>
      <c r="AE305" s="261">
        <v>44835</v>
      </c>
      <c r="AF305" s="261">
        <v>66727.5</v>
      </c>
      <c r="AG305" s="261">
        <v>8900</v>
      </c>
      <c r="AH305" s="261">
        <v>-42000</v>
      </c>
      <c r="AI305" s="261">
        <v>-42000</v>
      </c>
      <c r="AJ305" s="261">
        <v>-3600</v>
      </c>
      <c r="AK305" s="261">
        <v>16300</v>
      </c>
      <c r="AL305" s="261">
        <v>39300</v>
      </c>
      <c r="AM305" s="261">
        <v>150</v>
      </c>
      <c r="AN305" s="261">
        <v>-5900</v>
      </c>
      <c r="AO305" s="261">
        <v>14724.999999999534</v>
      </c>
      <c r="AP305" s="261">
        <v>14535</v>
      </c>
      <c r="AQ305" s="261">
        <v>21850</v>
      </c>
      <c r="AR305" s="261">
        <v>-16843.5</v>
      </c>
      <c r="AS305" s="261">
        <v>12920.000000000466</v>
      </c>
      <c r="AT305" s="261">
        <v>-24225</v>
      </c>
      <c r="AU305" s="261">
        <v>43034.999999999534</v>
      </c>
      <c r="AV305" s="261">
        <f ca="1">Calc!AP3</f>
        <v>43034.999999999534</v>
      </c>
      <c r="AX305" s="88" t="str">
        <f t="shared" ref="AX305:AX336" ca="1" si="27">A305</f>
        <v>AAPL</v>
      </c>
    </row>
    <row r="306" spans="1:50" x14ac:dyDescent="0.3">
      <c r="A306" s="88" t="str">
        <f t="shared" ca="1" si="26"/>
        <v>ADEA</v>
      </c>
      <c r="F306" s="251">
        <v>15.45</v>
      </c>
      <c r="G306" s="251">
        <v>16.649999999999999</v>
      </c>
      <c r="H306" s="251">
        <v>16.559999999999999</v>
      </c>
      <c r="I306" s="251">
        <v>16.010000000000002</v>
      </c>
      <c r="J306" s="251">
        <v>16.47</v>
      </c>
      <c r="K306" s="251">
        <v>16.649999999999999</v>
      </c>
      <c r="L306" s="251">
        <v>16.54</v>
      </c>
      <c r="M306" s="251">
        <v>16.54</v>
      </c>
      <c r="N306" s="251">
        <v>16.75</v>
      </c>
      <c r="O306" s="251">
        <v>16.95</v>
      </c>
      <c r="P306" s="251">
        <v>17.059999999999999</v>
      </c>
      <c r="Q306" s="251">
        <v>17.38</v>
      </c>
      <c r="R306" s="251">
        <v>17.03</v>
      </c>
      <c r="S306" s="251">
        <v>12.095000000000001</v>
      </c>
      <c r="T306" s="251">
        <v>12.7</v>
      </c>
      <c r="U306" s="251">
        <v>13.55</v>
      </c>
      <c r="V306" s="251">
        <v>13.66</v>
      </c>
      <c r="W306" s="251">
        <v>12.82</v>
      </c>
      <c r="X306" s="251">
        <v>11.98</v>
      </c>
      <c r="Y306" s="251">
        <v>12.12</v>
      </c>
      <c r="Z306" s="245">
        <f ca="1">[1]ExtEntry!$I4</f>
        <v>12.12</v>
      </c>
      <c r="AB306" s="264">
        <v>5649.9999999999854</v>
      </c>
      <c r="AC306" s="264">
        <v>1800</v>
      </c>
      <c r="AD306" s="264">
        <v>-3500</v>
      </c>
      <c r="AE306" s="264">
        <v>500</v>
      </c>
      <c r="AF306" s="264">
        <v>650</v>
      </c>
      <c r="AG306" s="264">
        <v>1000.0000000000146</v>
      </c>
      <c r="AH306" s="264">
        <v>-950.00000000001455</v>
      </c>
      <c r="AI306" s="264">
        <v>-950.00000000001455</v>
      </c>
      <c r="AJ306" s="264">
        <v>-150</v>
      </c>
      <c r="AK306" s="264">
        <v>50</v>
      </c>
      <c r="AL306" s="264">
        <v>2349.9999999999854</v>
      </c>
      <c r="AM306" s="264">
        <v>550</v>
      </c>
      <c r="AN306" s="264">
        <v>-1650</v>
      </c>
      <c r="AO306" s="264">
        <v>-5725</v>
      </c>
      <c r="AP306" s="264">
        <v>4700</v>
      </c>
      <c r="AQ306" s="264">
        <v>1925</v>
      </c>
      <c r="AR306" s="264">
        <v>1175</v>
      </c>
      <c r="AS306" s="264">
        <v>-500.00000000000728</v>
      </c>
      <c r="AT306" s="264">
        <v>350</v>
      </c>
      <c r="AU306" s="264">
        <v>-650</v>
      </c>
      <c r="AV306" s="261">
        <f ca="1">Calc!AP4</f>
        <v>-650</v>
      </c>
      <c r="AX306" s="88" t="str">
        <f t="shared" ca="1" si="27"/>
        <v>ADEA</v>
      </c>
    </row>
    <row r="307" spans="1:50" x14ac:dyDescent="0.3">
      <c r="A307" s="88" t="str">
        <f t="shared" ca="1" si="26"/>
        <v>AET</v>
      </c>
      <c r="F307" s="243">
        <v>42.5</v>
      </c>
      <c r="G307" s="243">
        <v>40.700000000000003</v>
      </c>
      <c r="H307" s="243">
        <v>41</v>
      </c>
      <c r="I307" s="243">
        <v>40</v>
      </c>
      <c r="J307" s="243">
        <v>41.4</v>
      </c>
      <c r="K307" s="243">
        <v>41.6</v>
      </c>
      <c r="L307" s="243">
        <v>43.3</v>
      </c>
      <c r="M307" s="243">
        <v>43.3</v>
      </c>
      <c r="N307" s="243">
        <v>43.8</v>
      </c>
      <c r="O307" s="243">
        <v>44.5</v>
      </c>
      <c r="P307" s="243">
        <v>44.8</v>
      </c>
      <c r="Q307" s="243">
        <v>43.7</v>
      </c>
      <c r="R307" s="243">
        <v>44.8</v>
      </c>
      <c r="S307" s="243">
        <v>45</v>
      </c>
      <c r="T307" s="243">
        <v>44.3</v>
      </c>
      <c r="U307" s="243">
        <v>44.3</v>
      </c>
      <c r="V307" s="243">
        <v>44.7</v>
      </c>
      <c r="W307" s="243">
        <v>45.2</v>
      </c>
      <c r="X307" s="243">
        <v>45</v>
      </c>
      <c r="Y307" s="243">
        <v>44</v>
      </c>
      <c r="Z307" s="245">
        <f ca="1">[1]ExtEntry!$I5</f>
        <v>44</v>
      </c>
      <c r="AB307" s="261">
        <v>-8200</v>
      </c>
      <c r="AC307" s="261">
        <v>-7380</v>
      </c>
      <c r="AD307" s="261">
        <v>-9840</v>
      </c>
      <c r="AE307" s="261">
        <v>8200</v>
      </c>
      <c r="AF307" s="261">
        <v>2460</v>
      </c>
      <c r="AG307" s="261">
        <v>7380</v>
      </c>
      <c r="AH307" s="261">
        <v>-2460</v>
      </c>
      <c r="AI307" s="261">
        <v>-2460</v>
      </c>
      <c r="AJ307" s="261">
        <v>820</v>
      </c>
      <c r="AK307" s="261">
        <v>7380</v>
      </c>
      <c r="AL307" s="261">
        <v>-9840</v>
      </c>
      <c r="AM307" s="261">
        <v>-3280</v>
      </c>
      <c r="AN307" s="261">
        <v>-820</v>
      </c>
      <c r="AO307" s="261">
        <v>-27880</v>
      </c>
      <c r="AP307" s="261">
        <v>13940</v>
      </c>
      <c r="AQ307" s="261">
        <v>-12300</v>
      </c>
      <c r="AR307" s="261">
        <v>0</v>
      </c>
      <c r="AS307" s="261">
        <v>-8200</v>
      </c>
      <c r="AT307" s="261">
        <v>-13120</v>
      </c>
      <c r="AU307" s="261">
        <v>-13120</v>
      </c>
      <c r="AV307" s="261">
        <f ca="1">Calc!AP5</f>
        <v>-13120</v>
      </c>
      <c r="AX307" s="88" t="str">
        <f t="shared" ca="1" si="27"/>
        <v>AET</v>
      </c>
    </row>
    <row r="308" spans="1:50" x14ac:dyDescent="0.3">
      <c r="A308" s="88" t="str">
        <f t="shared" ca="1" si="26"/>
        <v>AMZN</v>
      </c>
      <c r="F308" s="251">
        <v>212.6</v>
      </c>
      <c r="G308" s="251">
        <v>212.66</v>
      </c>
      <c r="H308" s="251">
        <v>212.81010000000001</v>
      </c>
      <c r="I308" s="251">
        <v>211.03</v>
      </c>
      <c r="J308" s="251">
        <v>213.59</v>
      </c>
      <c r="K308" s="251">
        <v>217.99</v>
      </c>
      <c r="L308" s="251">
        <v>216.52</v>
      </c>
      <c r="M308" s="251">
        <v>216.52</v>
      </c>
      <c r="N308" s="251">
        <v>218.18</v>
      </c>
      <c r="O308" s="251">
        <v>221.9</v>
      </c>
      <c r="P308" s="251">
        <v>225.54</v>
      </c>
      <c r="Q308" s="251">
        <v>226.21</v>
      </c>
      <c r="R308" s="251">
        <v>222.75</v>
      </c>
      <c r="S308" s="251">
        <v>248.66</v>
      </c>
      <c r="T308" s="251">
        <v>246.16</v>
      </c>
      <c r="U308" s="251">
        <v>242.17</v>
      </c>
      <c r="V308" s="251">
        <v>238.49</v>
      </c>
      <c r="W308" s="251">
        <v>232.89</v>
      </c>
      <c r="X308" s="251">
        <v>222.42</v>
      </c>
      <c r="Y308" s="251">
        <v>218.53</v>
      </c>
      <c r="Z308" s="245">
        <f ca="1">[1]ExtEntry!$I6</f>
        <v>218.53</v>
      </c>
      <c r="AB308" s="264">
        <v>10680</v>
      </c>
      <c r="AC308" s="264">
        <v>-13800</v>
      </c>
      <c r="AD308" s="264">
        <v>-14400</v>
      </c>
      <c r="AE308" s="264">
        <v>-18240</v>
      </c>
      <c r="AF308" s="264">
        <v>31200</v>
      </c>
      <c r="AG308" s="264">
        <v>43200</v>
      </c>
      <c r="AH308" s="264">
        <v>-16200</v>
      </c>
      <c r="AI308" s="264">
        <v>-16200</v>
      </c>
      <c r="AJ308" s="264">
        <v>25080</v>
      </c>
      <c r="AK308" s="264">
        <v>26880</v>
      </c>
      <c r="AL308" s="264">
        <v>-8280</v>
      </c>
      <c r="AM308" s="264">
        <v>12420</v>
      </c>
      <c r="AN308" s="264">
        <v>-50400</v>
      </c>
      <c r="AO308" s="264">
        <v>-19920</v>
      </c>
      <c r="AP308" s="264">
        <v>14040</v>
      </c>
      <c r="AQ308" s="264">
        <v>-64123.200000000186</v>
      </c>
      <c r="AR308" s="264">
        <v>18720</v>
      </c>
      <c r="AS308" s="264">
        <v>-4440</v>
      </c>
      <c r="AT308" s="264">
        <v>-66600</v>
      </c>
      <c r="AU308" s="264">
        <v>-28896</v>
      </c>
      <c r="AV308" s="261">
        <f ca="1">Calc!AP6</f>
        <v>-28896</v>
      </c>
      <c r="AX308" s="88" t="str">
        <f t="shared" ca="1" si="27"/>
        <v>AMZN</v>
      </c>
    </row>
    <row r="309" spans="1:50" x14ac:dyDescent="0.3">
      <c r="A309" s="88" t="str">
        <f t="shared" ca="1" si="26"/>
        <v>ALDNE</v>
      </c>
      <c r="F309" s="243">
        <v>0.82</v>
      </c>
      <c r="G309" s="243">
        <v>0.82</v>
      </c>
      <c r="H309" s="243">
        <v>0.81</v>
      </c>
      <c r="I309" s="243">
        <v>0.81</v>
      </c>
      <c r="J309" s="243">
        <v>0.80400000000000005</v>
      </c>
      <c r="K309" s="243">
        <v>0.76400000000000001</v>
      </c>
      <c r="L309" s="243">
        <v>0.82</v>
      </c>
      <c r="M309" s="243">
        <v>0.82</v>
      </c>
      <c r="N309" s="243">
        <v>0.81</v>
      </c>
      <c r="O309" s="243">
        <v>0.76400000000000001</v>
      </c>
      <c r="P309" s="243">
        <v>0.8</v>
      </c>
      <c r="Q309" s="243">
        <v>0.8</v>
      </c>
      <c r="R309" s="243">
        <v>0.78</v>
      </c>
      <c r="S309" s="243">
        <v>0.752</v>
      </c>
      <c r="T309" s="243">
        <v>0.77</v>
      </c>
      <c r="U309" s="243">
        <v>0.77</v>
      </c>
      <c r="V309" s="243">
        <v>0.76200000000000001</v>
      </c>
      <c r="W309" s="243">
        <v>0.66200000000000003</v>
      </c>
      <c r="X309" s="243">
        <v>0.67</v>
      </c>
      <c r="Y309" s="243">
        <v>0.66400000000000003</v>
      </c>
      <c r="Z309" s="245">
        <f ca="1">[1]ExtEntry!$I7</f>
        <v>0.66400000000000003</v>
      </c>
      <c r="AB309" s="261">
        <v>10120</v>
      </c>
      <c r="AC309" s="261">
        <v>45540.000000000233</v>
      </c>
      <c r="AD309" s="261">
        <v>25300.000000000233</v>
      </c>
      <c r="AE309" s="261">
        <v>5060</v>
      </c>
      <c r="AF309" s="261">
        <v>25299.999999999534</v>
      </c>
      <c r="AG309" s="261">
        <v>50599.999999999767</v>
      </c>
      <c r="AH309" s="261">
        <v>50600.000000000233</v>
      </c>
      <c r="AI309" s="261">
        <v>50600.000000000233</v>
      </c>
      <c r="AJ309" s="261">
        <v>-5060</v>
      </c>
      <c r="AK309" s="261">
        <v>15180.000000000233</v>
      </c>
      <c r="AL309" s="261">
        <v>5060</v>
      </c>
      <c r="AM309" s="261">
        <v>5060</v>
      </c>
      <c r="AN309" s="261">
        <v>50600.000000000233</v>
      </c>
      <c r="AO309" s="261">
        <v>-5060</v>
      </c>
      <c r="AP309" s="261">
        <v>5060</v>
      </c>
      <c r="AQ309" s="261">
        <v>5060</v>
      </c>
      <c r="AR309" s="261">
        <v>0</v>
      </c>
      <c r="AS309" s="261">
        <v>-136620</v>
      </c>
      <c r="AT309" s="261">
        <v>-30360.000000000233</v>
      </c>
      <c r="AU309" s="261">
        <v>15179.999999999534</v>
      </c>
      <c r="AV309" s="261">
        <f ca="1">Calc!AP7</f>
        <v>15179.999999999534</v>
      </c>
      <c r="AX309" s="88" t="str">
        <f t="shared" ca="1" si="27"/>
        <v>ALDNE</v>
      </c>
    </row>
    <row r="310" spans="1:50" x14ac:dyDescent="0.3">
      <c r="A310" s="88" t="str">
        <f t="shared" ca="1" si="26"/>
        <v>ASML</v>
      </c>
      <c r="F310" s="251">
        <v>825.6</v>
      </c>
      <c r="G310" s="251">
        <v>854.9</v>
      </c>
      <c r="H310" s="251">
        <v>874</v>
      </c>
      <c r="I310" s="251">
        <v>855</v>
      </c>
      <c r="J310" s="251">
        <v>877.2</v>
      </c>
      <c r="K310" s="251">
        <v>883.9</v>
      </c>
      <c r="L310" s="251">
        <v>870.1</v>
      </c>
      <c r="M310" s="251">
        <v>870.1</v>
      </c>
      <c r="N310" s="251">
        <v>854.1</v>
      </c>
      <c r="O310" s="251">
        <v>889.6</v>
      </c>
      <c r="P310" s="251">
        <v>898.5</v>
      </c>
      <c r="Q310" s="251">
        <v>900.1</v>
      </c>
      <c r="R310" s="251">
        <v>923.6</v>
      </c>
      <c r="S310" s="251">
        <v>903.4</v>
      </c>
      <c r="T310" s="251">
        <v>878.4</v>
      </c>
      <c r="U310" s="251">
        <v>891.2</v>
      </c>
      <c r="V310" s="251">
        <v>870.8</v>
      </c>
      <c r="W310" s="251">
        <v>841.3</v>
      </c>
      <c r="X310" s="251">
        <v>857.3</v>
      </c>
      <c r="Y310" s="251">
        <v>857.3</v>
      </c>
      <c r="Z310" s="245">
        <f ca="1">[1]ExtEntry!$I8</f>
        <v>857.3</v>
      </c>
      <c r="AB310" s="264">
        <v>47600</v>
      </c>
      <c r="AC310" s="264">
        <v>-10400</v>
      </c>
      <c r="AD310" s="264">
        <v>-24570</v>
      </c>
      <c r="AE310" s="264">
        <v>61180</v>
      </c>
      <c r="AF310" s="264">
        <v>57000</v>
      </c>
      <c r="AG310" s="264">
        <v>-760</v>
      </c>
      <c r="AH310" s="264">
        <v>-25080</v>
      </c>
      <c r="AI310" s="264">
        <v>-25080</v>
      </c>
      <c r="AJ310" s="264">
        <v>59660</v>
      </c>
      <c r="AK310" s="264">
        <v>-20720</v>
      </c>
      <c r="AL310" s="264">
        <v>29160</v>
      </c>
      <c r="AM310" s="264">
        <v>11880</v>
      </c>
      <c r="AN310" s="264">
        <v>45000</v>
      </c>
      <c r="AO310" s="264">
        <v>31680</v>
      </c>
      <c r="AP310" s="264">
        <v>85320</v>
      </c>
      <c r="AQ310" s="264">
        <v>-17980</v>
      </c>
      <c r="AR310" s="264">
        <v>-87420</v>
      </c>
      <c r="AS310" s="264">
        <v>21600</v>
      </c>
      <c r="AT310" s="264">
        <v>-5950</v>
      </c>
      <c r="AU310" s="264">
        <v>89250</v>
      </c>
      <c r="AV310" s="261">
        <f ca="1">Calc!AP8</f>
        <v>89250</v>
      </c>
      <c r="AX310" s="88" t="str">
        <f t="shared" ca="1" si="27"/>
        <v>ASML</v>
      </c>
    </row>
    <row r="311" spans="1:50" x14ac:dyDescent="0.3">
      <c r="A311" s="88" t="str">
        <f t="shared" ca="1" si="26"/>
        <v>AVGO</v>
      </c>
      <c r="F311" s="251">
        <v>339.65320000000003</v>
      </c>
      <c r="G311" s="251">
        <v>347.5</v>
      </c>
      <c r="H311" s="251">
        <v>349.48500000000001</v>
      </c>
      <c r="I311" s="251">
        <v>340.78</v>
      </c>
      <c r="J311" s="251">
        <v>347.84</v>
      </c>
      <c r="K311" s="251">
        <v>341.31</v>
      </c>
      <c r="L311" s="251">
        <v>335.51</v>
      </c>
      <c r="M311" s="251">
        <v>335.51</v>
      </c>
      <c r="N311" s="251">
        <v>340.4</v>
      </c>
      <c r="O311" s="251">
        <v>350.875</v>
      </c>
      <c r="P311" s="251">
        <v>355.08</v>
      </c>
      <c r="Q311" s="251">
        <v>362.53</v>
      </c>
      <c r="R311" s="251">
        <v>370.06</v>
      </c>
      <c r="S311" s="251">
        <v>351.75009999999997</v>
      </c>
      <c r="T311" s="251">
        <v>350.09129999999999</v>
      </c>
      <c r="U311" s="251">
        <v>352.71</v>
      </c>
      <c r="V311" s="251">
        <v>337.27</v>
      </c>
      <c r="W311" s="251">
        <v>329.06</v>
      </c>
      <c r="X311" s="251">
        <v>335.51</v>
      </c>
      <c r="Y311" s="251">
        <v>337.8</v>
      </c>
      <c r="Z311" s="245">
        <f ca="1">[1]ExtEntry!$I9</f>
        <v>337.8</v>
      </c>
      <c r="AB311" s="264">
        <v>-2408</v>
      </c>
      <c r="AC311" s="264">
        <v>-1560</v>
      </c>
      <c r="AD311" s="264">
        <v>-1060</v>
      </c>
      <c r="AE311" s="264">
        <v>-112</v>
      </c>
      <c r="AF311" s="264">
        <v>-1824</v>
      </c>
      <c r="AG311" s="264">
        <v>-2936</v>
      </c>
      <c r="AH311" s="264">
        <v>-2800</v>
      </c>
      <c r="AI311" s="264">
        <v>-2800</v>
      </c>
      <c r="AJ311" s="264">
        <v>1556</v>
      </c>
      <c r="AK311" s="264">
        <v>648</v>
      </c>
      <c r="AL311" s="264">
        <v>204</v>
      </c>
      <c r="AM311" s="264">
        <v>4140</v>
      </c>
      <c r="AN311" s="264">
        <v>-3972</v>
      </c>
      <c r="AO311" s="264">
        <v>-2752.4400000000023</v>
      </c>
      <c r="AP311" s="264">
        <v>3236</v>
      </c>
      <c r="AQ311" s="264">
        <v>-1796</v>
      </c>
      <c r="AR311" s="264">
        <v>-2718</v>
      </c>
      <c r="AS311" s="264">
        <v>4396</v>
      </c>
      <c r="AT311" s="264">
        <v>-540</v>
      </c>
      <c r="AU311" s="264">
        <v>1454</v>
      </c>
      <c r="AV311" s="261">
        <f ca="1">Calc!AP9</f>
        <v>1454</v>
      </c>
      <c r="AX311" s="88" t="str">
        <f t="shared" ca="1" si="27"/>
        <v>AVGO</v>
      </c>
    </row>
    <row r="312" spans="1:50" hidden="1" x14ac:dyDescent="0.3">
      <c r="A312" s="88" t="str">
        <f t="shared" ca="1" si="26"/>
        <v>AZN</v>
      </c>
      <c r="F312" s="251">
        <v>84.3</v>
      </c>
      <c r="G312" s="251">
        <v>83.53</v>
      </c>
      <c r="H312" s="251">
        <v>83.094999999999999</v>
      </c>
      <c r="I312" s="251">
        <v>83.650499999999994</v>
      </c>
      <c r="J312" s="251">
        <v>83.775000000000006</v>
      </c>
      <c r="K312" s="251">
        <v>83.12</v>
      </c>
      <c r="L312" s="251">
        <v>83.278000000000006</v>
      </c>
      <c r="M312" s="251">
        <v>83.278000000000006</v>
      </c>
      <c r="N312" s="251">
        <v>83.12</v>
      </c>
      <c r="O312" s="251">
        <v>82.92</v>
      </c>
      <c r="P312" s="251">
        <v>83.234999999999999</v>
      </c>
      <c r="Q312" s="251">
        <v>81.78</v>
      </c>
      <c r="R312" s="251">
        <v>81.290599999999998</v>
      </c>
      <c r="S312" s="251">
        <v>80.48</v>
      </c>
      <c r="T312" s="251">
        <v>81.02</v>
      </c>
      <c r="U312" s="251">
        <v>83.37</v>
      </c>
      <c r="V312" s="251">
        <v>84.23</v>
      </c>
      <c r="W312" s="251">
        <v>88.28</v>
      </c>
      <c r="X312" s="251">
        <v>88.44</v>
      </c>
      <c r="Y312" s="251">
        <v>88.85</v>
      </c>
      <c r="Z312" s="245">
        <f ca="1">[1]ExtEntry!$I10</f>
        <v>88.85</v>
      </c>
      <c r="AB312" s="261">
        <v>280</v>
      </c>
      <c r="AC312" s="261">
        <v>707.5</v>
      </c>
      <c r="AD312" s="261">
        <v>155</v>
      </c>
      <c r="AE312" s="261">
        <v>427.5</v>
      </c>
      <c r="AF312" s="261">
        <v>-495</v>
      </c>
      <c r="AG312" s="261">
        <v>-310</v>
      </c>
      <c r="AH312" s="261">
        <v>-10</v>
      </c>
      <c r="AI312" s="261">
        <v>-10</v>
      </c>
      <c r="AJ312" s="261">
        <v>115</v>
      </c>
      <c r="AK312" s="261">
        <v>-80</v>
      </c>
      <c r="AL312" s="261">
        <v>300</v>
      </c>
      <c r="AM312" s="261">
        <v>-715</v>
      </c>
      <c r="AN312" s="261">
        <v>125</v>
      </c>
      <c r="AO312" s="261">
        <v>657.55000000000291</v>
      </c>
      <c r="AP312" s="261">
        <v>-115</v>
      </c>
      <c r="AQ312" s="261">
        <v>-307.5</v>
      </c>
      <c r="AR312" s="261">
        <v>22.5</v>
      </c>
      <c r="AS312" s="261">
        <v>292.5</v>
      </c>
      <c r="AT312" s="261">
        <v>260</v>
      </c>
      <c r="AU312" s="261">
        <v>-274.94999999999709</v>
      </c>
      <c r="AV312" s="261">
        <f ca="1">Calc!AP10</f>
        <v>-274.94999999999709</v>
      </c>
      <c r="AX312" s="88" t="str">
        <f t="shared" ca="1" si="27"/>
        <v>AZN</v>
      </c>
    </row>
    <row r="313" spans="1:50" hidden="1" x14ac:dyDescent="0.3">
      <c r="A313" s="88" t="str">
        <f t="shared" ca="1" si="26"/>
        <v>BLDP</v>
      </c>
      <c r="F313" s="251">
        <v>3.302</v>
      </c>
      <c r="G313" s="251">
        <v>3.63</v>
      </c>
      <c r="H313" s="251">
        <v>3.66</v>
      </c>
      <c r="I313" s="251">
        <v>3.52</v>
      </c>
      <c r="J313" s="251">
        <v>3.58</v>
      </c>
      <c r="K313" s="251">
        <v>3.29</v>
      </c>
      <c r="L313" s="251">
        <v>3.14</v>
      </c>
      <c r="M313" s="251">
        <v>3.14</v>
      </c>
      <c r="N313" s="251">
        <v>3.21</v>
      </c>
      <c r="O313" s="251">
        <v>3.34</v>
      </c>
      <c r="P313" s="251">
        <v>3.33</v>
      </c>
      <c r="Q313" s="251">
        <v>3.3712</v>
      </c>
      <c r="R313" s="251">
        <v>3.43</v>
      </c>
      <c r="S313" s="251">
        <v>3.3424</v>
      </c>
      <c r="T313" s="251">
        <v>3.37</v>
      </c>
      <c r="U313" s="251">
        <v>3.47</v>
      </c>
      <c r="V313" s="251">
        <v>3.21</v>
      </c>
      <c r="W313" s="251">
        <v>2.9340000000000002</v>
      </c>
      <c r="X313" s="251">
        <v>2.8119999999999998</v>
      </c>
      <c r="Y313" s="251">
        <v>2.7850000000000001</v>
      </c>
      <c r="Z313" s="245">
        <f ca="1">[1]ExtEntry!$I11</f>
        <v>2.7850000000000001</v>
      </c>
      <c r="AB313" s="264">
        <v>12600</v>
      </c>
      <c r="AC313" s="264">
        <v>-4700</v>
      </c>
      <c r="AD313" s="264">
        <v>-3800</v>
      </c>
      <c r="AE313" s="264">
        <v>1800</v>
      </c>
      <c r="AF313" s="264">
        <v>-1600</v>
      </c>
      <c r="AG313" s="264">
        <v>-6200</v>
      </c>
      <c r="AH313" s="264">
        <v>2600</v>
      </c>
      <c r="AI313" s="264">
        <v>2600</v>
      </c>
      <c r="AJ313" s="264">
        <v>300</v>
      </c>
      <c r="AK313" s="264">
        <v>1200</v>
      </c>
      <c r="AL313" s="264">
        <v>-1800</v>
      </c>
      <c r="AM313" s="264">
        <v>100</v>
      </c>
      <c r="AN313" s="264">
        <v>-400</v>
      </c>
      <c r="AO313" s="264">
        <v>100</v>
      </c>
      <c r="AP313" s="264">
        <v>5600</v>
      </c>
      <c r="AQ313" s="264">
        <v>-1600</v>
      </c>
      <c r="AR313" s="264">
        <v>1500</v>
      </c>
      <c r="AS313" s="264">
        <v>1799.9999999999927</v>
      </c>
      <c r="AT313" s="264">
        <v>1400</v>
      </c>
      <c r="AU313" s="264">
        <v>-360</v>
      </c>
      <c r="AV313" s="261">
        <f ca="1">Calc!AP11</f>
        <v>-360</v>
      </c>
      <c r="AX313" s="88" t="str">
        <f t="shared" ca="1" si="27"/>
        <v>BLDP</v>
      </c>
    </row>
    <row r="314" spans="1:50" hidden="1" x14ac:dyDescent="0.3">
      <c r="A314" s="88" t="str">
        <f t="shared" ca="1" si="26"/>
        <v>BMRA</v>
      </c>
      <c r="F314" s="251">
        <v>2.76</v>
      </c>
      <c r="G314" s="251">
        <v>2.7774999999999999</v>
      </c>
      <c r="H314" s="251">
        <v>2.62</v>
      </c>
      <c r="I314" s="251">
        <v>2.82</v>
      </c>
      <c r="J314" s="251">
        <v>2.94</v>
      </c>
      <c r="K314" s="251">
        <v>3.06</v>
      </c>
      <c r="L314" s="251">
        <v>2.85</v>
      </c>
      <c r="M314" s="251">
        <v>2.85</v>
      </c>
      <c r="N314" s="251">
        <v>2.82</v>
      </c>
      <c r="O314" s="251">
        <v>2.9</v>
      </c>
      <c r="P314" s="251">
        <v>2.9350000000000001</v>
      </c>
      <c r="Q314" s="251">
        <v>2.8801000000000001</v>
      </c>
      <c r="R314" s="251">
        <v>2.75</v>
      </c>
      <c r="S314" s="251">
        <v>2.4500000000000002</v>
      </c>
      <c r="T314" s="251">
        <v>2.5</v>
      </c>
      <c r="U314" s="251">
        <v>2.5</v>
      </c>
      <c r="V314" s="251">
        <v>2.36</v>
      </c>
      <c r="W314" s="251">
        <v>2.41</v>
      </c>
      <c r="X314" s="251">
        <v>2.1619000000000002</v>
      </c>
      <c r="Y314" s="251">
        <v>2.1879</v>
      </c>
      <c r="Z314" s="245">
        <f ca="1">[1]ExtEntry!$I12</f>
        <v>2.1879</v>
      </c>
      <c r="AB314" s="261">
        <v>1250</v>
      </c>
      <c r="AC314" s="261">
        <v>250</v>
      </c>
      <c r="AD314" s="261">
        <v>4062.5</v>
      </c>
      <c r="AE314" s="261">
        <v>250</v>
      </c>
      <c r="AF314" s="261">
        <v>1375</v>
      </c>
      <c r="AG314" s="261">
        <v>1000</v>
      </c>
      <c r="AH314" s="261">
        <v>-3213.75</v>
      </c>
      <c r="AI314" s="261">
        <v>-3213.75</v>
      </c>
      <c r="AJ314" s="261">
        <v>-250</v>
      </c>
      <c r="AK314" s="261">
        <v>750</v>
      </c>
      <c r="AL314" s="261">
        <v>-375</v>
      </c>
      <c r="AM314" s="261">
        <v>-375</v>
      </c>
      <c r="AN314" s="261">
        <v>-625</v>
      </c>
      <c r="AO314" s="261">
        <v>-4950</v>
      </c>
      <c r="AP314" s="261">
        <v>2200</v>
      </c>
      <c r="AQ314" s="261">
        <v>-125.00000000000364</v>
      </c>
      <c r="AR314" s="261">
        <v>343.74999999999636</v>
      </c>
      <c r="AS314" s="261">
        <v>-755.00000000000364</v>
      </c>
      <c r="AT314" s="261">
        <v>-250</v>
      </c>
      <c r="AU314" s="261">
        <v>-562.49999999999636</v>
      </c>
      <c r="AV314" s="261">
        <f ca="1">Calc!AP12</f>
        <v>-562.49999999999636</v>
      </c>
      <c r="AX314" s="88" t="str">
        <f t="shared" ca="1" si="27"/>
        <v>BMRA</v>
      </c>
    </row>
    <row r="315" spans="1:50" hidden="1" x14ac:dyDescent="0.3">
      <c r="A315" s="88" t="str">
        <f t="shared" ca="1" si="26"/>
        <v>C</v>
      </c>
      <c r="F315" s="251">
        <v>95.037999999999997</v>
      </c>
      <c r="G315" s="251">
        <v>98.86</v>
      </c>
      <c r="H315" s="251">
        <v>95.234999999999999</v>
      </c>
      <c r="I315" s="251">
        <v>95.275000000000006</v>
      </c>
      <c r="J315" s="251">
        <v>97.12</v>
      </c>
      <c r="K315" s="251">
        <v>97.97</v>
      </c>
      <c r="L315" s="251">
        <v>95</v>
      </c>
      <c r="M315" s="251">
        <v>95</v>
      </c>
      <c r="N315" s="251">
        <v>96.3</v>
      </c>
      <c r="O315" s="251">
        <v>97.35</v>
      </c>
      <c r="P315" s="251">
        <v>99.1</v>
      </c>
      <c r="Q315" s="251">
        <v>100.13</v>
      </c>
      <c r="R315" s="251">
        <v>98.305000000000007</v>
      </c>
      <c r="S315" s="251">
        <v>98.704999999999998</v>
      </c>
      <c r="T315" s="251">
        <v>99.012</v>
      </c>
      <c r="U315" s="251">
        <v>99.98</v>
      </c>
      <c r="V315" s="251">
        <v>97.367099999999994</v>
      </c>
      <c r="W315" s="251">
        <v>98.147199999999998</v>
      </c>
      <c r="X315" s="251">
        <v>96.38</v>
      </c>
      <c r="Y315" s="251">
        <v>98.09</v>
      </c>
      <c r="Z315" s="245">
        <f ca="1">[1]ExtEntry!$I13</f>
        <v>98.09</v>
      </c>
      <c r="AB315" s="264">
        <v>21.699999999999989</v>
      </c>
      <c r="AC315" s="264">
        <v>-9.2150000000000318</v>
      </c>
      <c r="AD315" s="264">
        <v>-19.649999999999977</v>
      </c>
      <c r="AE315" s="264">
        <v>4.3249999999999886</v>
      </c>
      <c r="AF315" s="264">
        <v>9.125</v>
      </c>
      <c r="AG315" s="264">
        <v>-3.375</v>
      </c>
      <c r="AH315" s="264">
        <v>-9.3500000000000227</v>
      </c>
      <c r="AI315" s="264">
        <v>-9.3500000000000227</v>
      </c>
      <c r="AJ315" s="264">
        <v>-0.77500000000003411</v>
      </c>
      <c r="AK315" s="264">
        <v>7.0500000000000114</v>
      </c>
      <c r="AL315" s="264">
        <v>8.5999999999999659</v>
      </c>
      <c r="AM315" s="264">
        <v>1.9499999999999886</v>
      </c>
      <c r="AN315" s="264">
        <v>8.0500000000000114</v>
      </c>
      <c r="AO315" s="264">
        <v>72.449999999998909</v>
      </c>
      <c r="AP315" s="264">
        <v>49.350000000000364</v>
      </c>
      <c r="AQ315" s="264">
        <v>-48.299999999999272</v>
      </c>
      <c r="AR315" s="264">
        <v>11.550000000001091</v>
      </c>
      <c r="AS315" s="264">
        <v>49.350000000000364</v>
      </c>
      <c r="AT315" s="264">
        <v>86.099999999998545</v>
      </c>
      <c r="AU315" s="264">
        <v>140.69999999999891</v>
      </c>
      <c r="AV315" s="261">
        <f ca="1">Calc!AP13</f>
        <v>140.69999999999891</v>
      </c>
      <c r="AX315" s="88" t="str">
        <f t="shared" ca="1" si="27"/>
        <v>C</v>
      </c>
    </row>
    <row r="316" spans="1:50" hidden="1" x14ac:dyDescent="0.3">
      <c r="A316" s="88" t="str">
        <f t="shared" ca="1" si="26"/>
        <v>CSCO</v>
      </c>
      <c r="F316" s="251">
        <v>66.813100000000006</v>
      </c>
      <c r="G316" s="251">
        <v>68.83</v>
      </c>
      <c r="H316" s="251">
        <v>68.569999999999993</v>
      </c>
      <c r="I316" s="251">
        <v>68.95</v>
      </c>
      <c r="J316" s="251">
        <v>70.12</v>
      </c>
      <c r="K316" s="251">
        <v>70.38</v>
      </c>
      <c r="L316" s="251">
        <v>69.849999999999994</v>
      </c>
      <c r="M316" s="251">
        <v>69.849999999999994</v>
      </c>
      <c r="N316" s="251">
        <v>70.23</v>
      </c>
      <c r="O316" s="251">
        <v>70.06</v>
      </c>
      <c r="P316" s="251">
        <v>70.430000000000007</v>
      </c>
      <c r="Q316" s="251">
        <v>71.03</v>
      </c>
      <c r="R316" s="251">
        <v>71.34</v>
      </c>
      <c r="S316" s="251">
        <v>72.36</v>
      </c>
      <c r="T316" s="251">
        <v>71.34</v>
      </c>
      <c r="U316" s="251">
        <v>70.690299999999993</v>
      </c>
      <c r="V316" s="251">
        <v>70.540000000000006</v>
      </c>
      <c r="W316" s="251">
        <v>75.840100000000007</v>
      </c>
      <c r="X316" s="251">
        <v>76.45</v>
      </c>
      <c r="Y316" s="251">
        <v>77.16</v>
      </c>
      <c r="Z316" s="245">
        <f ca="1">[1]ExtEntry!$I14</f>
        <v>77.16</v>
      </c>
      <c r="AB316" s="261">
        <v>3300</v>
      </c>
      <c r="AC316" s="261">
        <v>255</v>
      </c>
      <c r="AD316" s="261">
        <v>-690</v>
      </c>
      <c r="AE316" s="261">
        <v>1070</v>
      </c>
      <c r="AF316" s="261">
        <v>530</v>
      </c>
      <c r="AG316" s="261">
        <v>140</v>
      </c>
      <c r="AH316" s="261">
        <v>-200</v>
      </c>
      <c r="AI316" s="261">
        <v>-200</v>
      </c>
      <c r="AJ316" s="261">
        <v>-330</v>
      </c>
      <c r="AK316" s="261">
        <v>-5</v>
      </c>
      <c r="AL316" s="261">
        <v>850</v>
      </c>
      <c r="AM316" s="261">
        <v>1420</v>
      </c>
      <c r="AN316" s="261">
        <v>1540</v>
      </c>
      <c r="AO316" s="261">
        <v>-1335</v>
      </c>
      <c r="AP316" s="261">
        <v>-120</v>
      </c>
      <c r="AQ316" s="261">
        <v>-555</v>
      </c>
      <c r="AR316" s="261">
        <v>-465</v>
      </c>
      <c r="AS316" s="261">
        <v>1420</v>
      </c>
      <c r="AT316" s="261">
        <v>-180</v>
      </c>
      <c r="AU316" s="261">
        <v>1023.6000000000058</v>
      </c>
      <c r="AV316" s="261">
        <f ca="1">Calc!AP14</f>
        <v>1023.6000000000058</v>
      </c>
      <c r="AX316" s="88" t="str">
        <f t="shared" ca="1" si="27"/>
        <v>CSCO</v>
      </c>
    </row>
    <row r="317" spans="1:50" hidden="1" x14ac:dyDescent="0.3">
      <c r="A317" s="88" t="str">
        <f t="shared" ca="1" si="26"/>
        <v>CVS</v>
      </c>
      <c r="F317" s="251">
        <v>77.8</v>
      </c>
      <c r="G317" s="251">
        <v>79.849999999999994</v>
      </c>
      <c r="H317" s="251">
        <v>80.632400000000004</v>
      </c>
      <c r="I317" s="251">
        <v>81.010000000000005</v>
      </c>
      <c r="J317" s="251">
        <v>81.52</v>
      </c>
      <c r="K317" s="251">
        <v>82.08</v>
      </c>
      <c r="L317" s="251">
        <v>81.739999999999995</v>
      </c>
      <c r="M317" s="251">
        <v>81.739999999999995</v>
      </c>
      <c r="N317" s="251">
        <v>80.510000000000005</v>
      </c>
      <c r="O317" s="251">
        <v>81.084999999999994</v>
      </c>
      <c r="P317" s="251">
        <v>80.88</v>
      </c>
      <c r="Q317" s="251">
        <v>81.61</v>
      </c>
      <c r="R317" s="251">
        <v>75.915000000000006</v>
      </c>
      <c r="S317" s="251">
        <v>77.56</v>
      </c>
      <c r="T317" s="251">
        <v>77.89</v>
      </c>
      <c r="U317" s="251">
        <v>78.534999999999997</v>
      </c>
      <c r="V317" s="251">
        <v>78.290000000000006</v>
      </c>
      <c r="W317" s="251">
        <v>77.75</v>
      </c>
      <c r="X317" s="251">
        <v>77.334999999999994</v>
      </c>
      <c r="Y317" s="251">
        <v>76.42</v>
      </c>
      <c r="Z317" s="245">
        <f ca="1">[1]ExtEntry!$I15</f>
        <v>76.42</v>
      </c>
      <c r="AB317" s="264">
        <v>1.3800000000000097</v>
      </c>
      <c r="AC317" s="264">
        <v>1.1299999999999955</v>
      </c>
      <c r="AD317" s="264">
        <v>0.67000000000000171</v>
      </c>
      <c r="AE317" s="264">
        <v>1.1199999999999903</v>
      </c>
      <c r="AF317" s="264">
        <v>-9.9999999999909051E-3</v>
      </c>
      <c r="AG317" s="264">
        <v>0.65999999999999659</v>
      </c>
      <c r="AH317" s="264">
        <v>-0.91999999999998749</v>
      </c>
      <c r="AI317" s="264">
        <v>-0.91999999999998749</v>
      </c>
      <c r="AJ317" s="264">
        <v>-0.17000000000000171</v>
      </c>
      <c r="AK317" s="264">
        <v>0.38000000000000966</v>
      </c>
      <c r="AL317" s="264">
        <v>1.0949999999999989</v>
      </c>
      <c r="AM317" s="264">
        <v>-1.5499999999999972</v>
      </c>
      <c r="AN317" s="264">
        <v>0.60999999999999943</v>
      </c>
      <c r="AO317" s="264">
        <v>-0.20499999999999829</v>
      </c>
      <c r="AP317" s="264">
        <v>0.57000000000000739</v>
      </c>
      <c r="AQ317" s="264">
        <v>-3.0000000000001137E-2</v>
      </c>
      <c r="AR317" s="264">
        <v>-0.14999999999999147</v>
      </c>
      <c r="AS317" s="264">
        <v>-1.519999999999996</v>
      </c>
      <c r="AT317" s="264">
        <v>-0.40999999999999659</v>
      </c>
      <c r="AU317" s="264">
        <v>-1.4849999999999994</v>
      </c>
      <c r="AV317" s="261">
        <f ca="1">Calc!AP15</f>
        <v>-1.4849999999999994</v>
      </c>
      <c r="AX317" s="88" t="str">
        <f t="shared" ca="1" si="27"/>
        <v>CVS</v>
      </c>
    </row>
    <row r="318" spans="1:50" hidden="1" x14ac:dyDescent="0.3">
      <c r="A318" s="88" t="str">
        <f t="shared" ca="1" si="26"/>
        <v>DDD</v>
      </c>
      <c r="F318" s="251">
        <v>2.87</v>
      </c>
      <c r="G318" s="251">
        <v>3.1150000000000002</v>
      </c>
      <c r="H318" s="251">
        <v>3.23</v>
      </c>
      <c r="I318" s="251">
        <v>3.09</v>
      </c>
      <c r="J318" s="251">
        <v>3.21</v>
      </c>
      <c r="K318" s="251">
        <v>3.31</v>
      </c>
      <c r="L318" s="251">
        <v>2.94</v>
      </c>
      <c r="M318" s="251">
        <v>2.94</v>
      </c>
      <c r="N318" s="251">
        <v>3.01</v>
      </c>
      <c r="O318" s="251">
        <v>3.11</v>
      </c>
      <c r="P318" s="251">
        <v>3.0049999999999999</v>
      </c>
      <c r="Q318" s="251">
        <v>3.04</v>
      </c>
      <c r="R318" s="251">
        <v>2.75</v>
      </c>
      <c r="S318" s="251">
        <v>2.59</v>
      </c>
      <c r="T318" s="251">
        <v>2.4</v>
      </c>
      <c r="U318" s="251">
        <v>2.2599999999999998</v>
      </c>
      <c r="V318" s="251">
        <v>2.145</v>
      </c>
      <c r="W318" s="251">
        <v>2.0699999999999998</v>
      </c>
      <c r="X318" s="251">
        <v>2.0299999999999998</v>
      </c>
      <c r="Y318" s="251">
        <v>2.04</v>
      </c>
      <c r="Z318" s="245">
        <f ca="1">[1]ExtEntry!$I16</f>
        <v>2.04</v>
      </c>
      <c r="AB318" s="261">
        <v>11900</v>
      </c>
      <c r="AC318" s="261">
        <v>3400</v>
      </c>
      <c r="AD318" s="261">
        <v>-4250</v>
      </c>
      <c r="AE318" s="261">
        <v>-5950</v>
      </c>
      <c r="AF318" s="261">
        <v>46325</v>
      </c>
      <c r="AG318" s="261">
        <v>-24650</v>
      </c>
      <c r="AH318" s="261">
        <v>-31025</v>
      </c>
      <c r="AI318" s="261">
        <v>-31025</v>
      </c>
      <c r="AJ318" s="261">
        <v>-424.9999999999709</v>
      </c>
      <c r="AK318" s="261">
        <v>-4675</v>
      </c>
      <c r="AL318" s="261">
        <v>-10624.999999999971</v>
      </c>
      <c r="AM318" s="261">
        <v>-3825</v>
      </c>
      <c r="AN318" s="261">
        <v>-18700</v>
      </c>
      <c r="AO318" s="261">
        <v>-7241.9999999999709</v>
      </c>
      <c r="AP318" s="261">
        <v>8500</v>
      </c>
      <c r="AQ318" s="261">
        <v>-28475</v>
      </c>
      <c r="AR318" s="261">
        <v>424.9999999999709</v>
      </c>
      <c r="AS318" s="261">
        <v>6375</v>
      </c>
      <c r="AT318" s="261">
        <v>2550.0000000000291</v>
      </c>
      <c r="AU318" s="261">
        <v>-4675</v>
      </c>
      <c r="AV318" s="261">
        <f ca="1">Calc!AP16</f>
        <v>-4675</v>
      </c>
      <c r="AX318" s="88" t="str">
        <f t="shared" ca="1" si="27"/>
        <v>DDD</v>
      </c>
    </row>
    <row r="319" spans="1:50" hidden="1" x14ac:dyDescent="0.3">
      <c r="A319" s="88" t="str">
        <f t="shared" ca="1" si="26"/>
        <v>DIS</v>
      </c>
      <c r="F319" s="251">
        <v>109.2</v>
      </c>
      <c r="G319" s="251">
        <v>111.14</v>
      </c>
      <c r="H319" s="251">
        <v>108.51</v>
      </c>
      <c r="I319" s="251">
        <v>109.44</v>
      </c>
      <c r="J319" s="251">
        <v>110.6</v>
      </c>
      <c r="K319" s="251">
        <v>112.04</v>
      </c>
      <c r="L319" s="251">
        <v>112.98</v>
      </c>
      <c r="M319" s="251">
        <v>112.98</v>
      </c>
      <c r="N319" s="251">
        <v>111.90009999999999</v>
      </c>
      <c r="O319" s="251">
        <v>111.59</v>
      </c>
      <c r="P319" s="251">
        <v>111.31</v>
      </c>
      <c r="Q319" s="251">
        <v>111.4623</v>
      </c>
      <c r="R319" s="251">
        <v>109.55</v>
      </c>
      <c r="S319" s="251">
        <v>110.64</v>
      </c>
      <c r="T319" s="251">
        <v>110.6</v>
      </c>
      <c r="U319" s="251">
        <v>109.18</v>
      </c>
      <c r="V319" s="251">
        <v>110.04</v>
      </c>
      <c r="W319" s="251">
        <v>105.3</v>
      </c>
      <c r="X319" s="251">
        <v>105</v>
      </c>
      <c r="Y319" s="251">
        <v>105.11</v>
      </c>
      <c r="Z319" s="245">
        <f ca="1">[1]ExtEntry!$I17</f>
        <v>105.11</v>
      </c>
      <c r="AB319" s="264">
        <v>1395</v>
      </c>
      <c r="AC319" s="264">
        <v>455</v>
      </c>
      <c r="AD319" s="264">
        <v>-1895</v>
      </c>
      <c r="AE319" s="264">
        <v>930</v>
      </c>
      <c r="AF319" s="264">
        <v>950</v>
      </c>
      <c r="AG319" s="264">
        <v>2060</v>
      </c>
      <c r="AH319" s="264">
        <v>-900</v>
      </c>
      <c r="AI319" s="264">
        <v>-900</v>
      </c>
      <c r="AJ319" s="264">
        <v>-150</v>
      </c>
      <c r="AK319" s="264">
        <v>-1560</v>
      </c>
      <c r="AL319" s="264">
        <v>370</v>
      </c>
      <c r="AM319" s="264">
        <v>-245</v>
      </c>
      <c r="AN319" s="264">
        <v>1710</v>
      </c>
      <c r="AO319" s="264">
        <v>670</v>
      </c>
      <c r="AP319" s="264">
        <v>-10</v>
      </c>
      <c r="AQ319" s="264">
        <v>-1330</v>
      </c>
      <c r="AR319" s="264">
        <v>380</v>
      </c>
      <c r="AS319" s="264">
        <v>-1720</v>
      </c>
      <c r="AT319" s="264">
        <v>1180</v>
      </c>
      <c r="AU319" s="264">
        <v>-765</v>
      </c>
      <c r="AV319" s="261">
        <f ca="1">Calc!AP17</f>
        <v>-765</v>
      </c>
      <c r="AX319" s="88" t="str">
        <f t="shared" ca="1" si="27"/>
        <v>DIS</v>
      </c>
    </row>
    <row r="320" spans="1:50" hidden="1" x14ac:dyDescent="0.3">
      <c r="A320" s="88" t="str">
        <f t="shared" ca="1" si="26"/>
        <v>DSY</v>
      </c>
      <c r="F320" s="251">
        <v>28.29</v>
      </c>
      <c r="G320" s="251">
        <v>28.59</v>
      </c>
      <c r="H320" s="251">
        <v>28.72</v>
      </c>
      <c r="I320" s="251">
        <v>28.92</v>
      </c>
      <c r="J320" s="251">
        <v>29.2</v>
      </c>
      <c r="K320" s="251">
        <v>29.6</v>
      </c>
      <c r="L320" s="251">
        <v>29.92</v>
      </c>
      <c r="M320" s="251">
        <v>29.92</v>
      </c>
      <c r="N320" s="251">
        <v>25.01</v>
      </c>
      <c r="O320" s="251">
        <v>25.54</v>
      </c>
      <c r="P320" s="251">
        <v>25.4</v>
      </c>
      <c r="Q320" s="251">
        <v>24.74</v>
      </c>
      <c r="R320" s="251">
        <v>24.49</v>
      </c>
      <c r="S320" s="251">
        <v>23.84</v>
      </c>
      <c r="T320" s="251">
        <v>23.75</v>
      </c>
      <c r="U320" s="251">
        <v>23.22</v>
      </c>
      <c r="V320" s="251">
        <v>23.03</v>
      </c>
      <c r="W320" s="251">
        <v>23.67</v>
      </c>
      <c r="X320" s="251">
        <v>22.96</v>
      </c>
      <c r="Y320" s="251">
        <v>22.96</v>
      </c>
      <c r="Z320" s="245">
        <f ca="1">[1]ExtEntry!$I18</f>
        <v>22.96</v>
      </c>
      <c r="AB320" s="261">
        <v>-1200</v>
      </c>
      <c r="AC320" s="261">
        <v>1160</v>
      </c>
      <c r="AD320" s="261">
        <v>2200</v>
      </c>
      <c r="AE320" s="261">
        <v>1240</v>
      </c>
      <c r="AF320" s="261">
        <v>1320</v>
      </c>
      <c r="AG320" s="261">
        <v>1920</v>
      </c>
      <c r="AH320" s="261">
        <v>280</v>
      </c>
      <c r="AI320" s="261">
        <v>280</v>
      </c>
      <c r="AJ320" s="261">
        <v>840</v>
      </c>
      <c r="AK320" s="261">
        <v>-2440</v>
      </c>
      <c r="AL320" s="261">
        <v>-1240</v>
      </c>
      <c r="AM320" s="261">
        <v>-1360</v>
      </c>
      <c r="AN320" s="261">
        <v>-120</v>
      </c>
      <c r="AO320" s="261">
        <v>-400</v>
      </c>
      <c r="AP320" s="261">
        <v>480</v>
      </c>
      <c r="AQ320" s="261">
        <v>-2280</v>
      </c>
      <c r="AR320" s="261">
        <v>0</v>
      </c>
      <c r="AS320" s="261">
        <v>-80</v>
      </c>
      <c r="AT320" s="261">
        <v>-120</v>
      </c>
      <c r="AU320" s="261">
        <v>720</v>
      </c>
      <c r="AV320" s="261">
        <f ca="1">Calc!AP18</f>
        <v>720</v>
      </c>
      <c r="AX320" s="88" t="str">
        <f t="shared" ca="1" si="27"/>
        <v>DSY</v>
      </c>
    </row>
    <row r="321" spans="1:50" hidden="1" x14ac:dyDescent="0.3">
      <c r="A321" s="88" t="str">
        <f t="shared" ca="1" si="26"/>
        <v>DVA</v>
      </c>
      <c r="F321" s="251">
        <v>123.095</v>
      </c>
      <c r="G321" s="251">
        <v>124.8708</v>
      </c>
      <c r="H321" s="251">
        <v>124.76</v>
      </c>
      <c r="I321" s="251">
        <v>124.6</v>
      </c>
      <c r="J321" s="251">
        <v>125.655</v>
      </c>
      <c r="K321" s="251">
        <v>127.2807</v>
      </c>
      <c r="L321" s="251">
        <v>128.161</v>
      </c>
      <c r="M321" s="251">
        <v>128.161</v>
      </c>
      <c r="N321" s="251">
        <v>126.57</v>
      </c>
      <c r="O321" s="251">
        <v>128.47999999999999</v>
      </c>
      <c r="P321" s="251">
        <v>128.69</v>
      </c>
      <c r="Q321" s="251">
        <v>128.28</v>
      </c>
      <c r="R321" s="251">
        <v>117.73</v>
      </c>
      <c r="S321" s="251">
        <v>118.3245</v>
      </c>
      <c r="T321" s="251">
        <v>119.245</v>
      </c>
      <c r="U321" s="251">
        <v>120.48</v>
      </c>
      <c r="V321" s="251">
        <v>120.92</v>
      </c>
      <c r="W321" s="251">
        <v>121.51</v>
      </c>
      <c r="X321" s="251">
        <v>115.69</v>
      </c>
      <c r="Y321" s="251">
        <v>113.97</v>
      </c>
      <c r="Z321" s="245">
        <f ca="1">[1]ExtEntry!$I19</f>
        <v>113.97</v>
      </c>
      <c r="AB321" s="264">
        <v>3880.7999999999884</v>
      </c>
      <c r="AC321" s="264">
        <v>1001</v>
      </c>
      <c r="AD321" s="264">
        <v>-1050</v>
      </c>
      <c r="AE321" s="264">
        <v>714</v>
      </c>
      <c r="AF321" s="264">
        <v>2268.0000000000291</v>
      </c>
      <c r="AG321" s="264">
        <v>448</v>
      </c>
      <c r="AH321" s="264">
        <v>882.00000000005821</v>
      </c>
      <c r="AI321" s="264">
        <v>882.00000000005821</v>
      </c>
      <c r="AJ321" s="264">
        <v>-266</v>
      </c>
      <c r="AK321" s="264">
        <v>-140</v>
      </c>
      <c r="AL321" s="264">
        <v>483</v>
      </c>
      <c r="AM321" s="264">
        <v>84</v>
      </c>
      <c r="AN321" s="264">
        <v>-8652</v>
      </c>
      <c r="AO321" s="264">
        <v>4920</v>
      </c>
      <c r="AP321" s="264">
        <v>4410</v>
      </c>
      <c r="AQ321" s="264">
        <v>1920</v>
      </c>
      <c r="AR321" s="264">
        <v>3171</v>
      </c>
      <c r="AS321" s="264">
        <v>-2576</v>
      </c>
      <c r="AT321" s="264">
        <v>-266</v>
      </c>
      <c r="AU321" s="264">
        <v>-2205</v>
      </c>
      <c r="AV321" s="261">
        <f ca="1">Calc!AP19</f>
        <v>-2205</v>
      </c>
      <c r="AX321" s="88" t="str">
        <f t="shared" ca="1" si="27"/>
        <v>DVA</v>
      </c>
    </row>
    <row r="322" spans="1:50" hidden="1" x14ac:dyDescent="0.3">
      <c r="A322" s="88" t="str">
        <f t="shared" ca="1" si="26"/>
        <v>DXC</v>
      </c>
      <c r="F322" s="251">
        <v>12.984999999999999</v>
      </c>
      <c r="G322" s="251">
        <v>13.08</v>
      </c>
      <c r="H322" s="251">
        <v>12.63</v>
      </c>
      <c r="I322" s="251">
        <v>12.69</v>
      </c>
      <c r="J322" s="251">
        <v>12.82</v>
      </c>
      <c r="K322" s="251">
        <v>12.99</v>
      </c>
      <c r="L322" s="251">
        <v>13.08</v>
      </c>
      <c r="M322" s="251">
        <v>13.08</v>
      </c>
      <c r="N322" s="251">
        <v>13.12</v>
      </c>
      <c r="O322" s="251">
        <v>13.49</v>
      </c>
      <c r="P322" s="251">
        <v>13.4</v>
      </c>
      <c r="Q322" s="251">
        <v>13.27</v>
      </c>
      <c r="R322" s="251">
        <v>12.92</v>
      </c>
      <c r="S322" s="251">
        <v>13.02</v>
      </c>
      <c r="T322" s="251">
        <v>13.59</v>
      </c>
      <c r="U322" s="251">
        <v>13.45</v>
      </c>
      <c r="V322" s="251">
        <v>13.03</v>
      </c>
      <c r="W322" s="251">
        <v>12.76</v>
      </c>
      <c r="X322" s="251">
        <v>12.154999999999999</v>
      </c>
      <c r="Y322" s="251">
        <v>12.04</v>
      </c>
      <c r="Z322" s="245">
        <f ca="1">[1]ExtEntry!$I20</f>
        <v>12.04</v>
      </c>
      <c r="AB322" s="261">
        <v>1830</v>
      </c>
      <c r="AC322" s="261">
        <v>-1380</v>
      </c>
      <c r="AD322" s="261">
        <v>-1500</v>
      </c>
      <c r="AE322" s="261">
        <v>960</v>
      </c>
      <c r="AF322" s="261">
        <v>150</v>
      </c>
      <c r="AG322" s="261">
        <v>1650</v>
      </c>
      <c r="AH322" s="261">
        <v>420</v>
      </c>
      <c r="AI322" s="261">
        <v>420</v>
      </c>
      <c r="AJ322" s="261">
        <v>1440</v>
      </c>
      <c r="AK322" s="261">
        <v>180</v>
      </c>
      <c r="AL322" s="261">
        <v>-1740</v>
      </c>
      <c r="AM322" s="261">
        <v>300</v>
      </c>
      <c r="AN322" s="261">
        <v>-300</v>
      </c>
      <c r="AO322" s="261">
        <v>2640</v>
      </c>
      <c r="AP322" s="261">
        <v>1320</v>
      </c>
      <c r="AQ322" s="261">
        <v>-870</v>
      </c>
      <c r="AR322" s="261">
        <v>-1950</v>
      </c>
      <c r="AS322" s="261">
        <v>-2040</v>
      </c>
      <c r="AT322" s="261">
        <v>-840</v>
      </c>
      <c r="AU322" s="261">
        <v>-660</v>
      </c>
      <c r="AV322" s="261">
        <f ca="1">Calc!AP20</f>
        <v>-660</v>
      </c>
      <c r="AX322" s="88" t="str">
        <f t="shared" ca="1" si="27"/>
        <v>DXC</v>
      </c>
    </row>
    <row r="323" spans="1:50" hidden="1" x14ac:dyDescent="0.3">
      <c r="A323" s="88" t="str">
        <f t="shared" ca="1" si="26"/>
        <v>EOAN</v>
      </c>
      <c r="F323" s="251">
        <v>16.164999999999999</v>
      </c>
      <c r="G323" s="251">
        <v>16.2</v>
      </c>
      <c r="H323" s="251">
        <v>16.13</v>
      </c>
      <c r="I323" s="251">
        <v>16.164999999999999</v>
      </c>
      <c r="J323" s="251">
        <v>16.234999999999999</v>
      </c>
      <c r="K323" s="251">
        <v>16.32</v>
      </c>
      <c r="L323" s="251">
        <v>16.100000000000001</v>
      </c>
      <c r="M323" s="251">
        <v>16.100000000000001</v>
      </c>
      <c r="N323" s="251">
        <v>15.97</v>
      </c>
      <c r="O323" s="251">
        <v>15.815</v>
      </c>
      <c r="P323" s="251">
        <v>16.024999999999999</v>
      </c>
      <c r="Q323" s="251">
        <v>16.024999999999999</v>
      </c>
      <c r="R323" s="251">
        <v>16.215</v>
      </c>
      <c r="S323" s="251">
        <v>15.675000000000001</v>
      </c>
      <c r="T323" s="251">
        <v>15.824999999999999</v>
      </c>
      <c r="U323" s="251">
        <v>16</v>
      </c>
      <c r="V323" s="251">
        <v>15.994999999999999</v>
      </c>
      <c r="W323" s="251">
        <v>15.05</v>
      </c>
      <c r="X323" s="251">
        <v>15.23</v>
      </c>
      <c r="Y323" s="251">
        <v>15.23</v>
      </c>
      <c r="Z323" s="245">
        <f ca="1">[1]ExtEntry!$I21</f>
        <v>15.23</v>
      </c>
      <c r="AB323" s="264">
        <v>112.75</v>
      </c>
      <c r="AC323" s="264">
        <v>-93.5</v>
      </c>
      <c r="AD323" s="264">
        <v>5.5</v>
      </c>
      <c r="AE323" s="264">
        <v>57.75</v>
      </c>
      <c r="AF323" s="264">
        <v>57.750000000001819</v>
      </c>
      <c r="AG323" s="264">
        <v>5.5</v>
      </c>
      <c r="AH323" s="264">
        <v>-110</v>
      </c>
      <c r="AI323" s="264">
        <v>-110</v>
      </c>
      <c r="AJ323" s="264">
        <v>-82.5</v>
      </c>
      <c r="AK323" s="264">
        <v>41.25</v>
      </c>
      <c r="AL323" s="264">
        <v>24.75</v>
      </c>
      <c r="AM323" s="264">
        <v>118.25</v>
      </c>
      <c r="AN323" s="264">
        <v>16.5</v>
      </c>
      <c r="AO323" s="264">
        <v>-55</v>
      </c>
      <c r="AP323" s="264">
        <v>3375</v>
      </c>
      <c r="AQ323" s="264">
        <v>1125</v>
      </c>
      <c r="AR323" s="264">
        <v>0</v>
      </c>
      <c r="AS323" s="264">
        <v>300</v>
      </c>
      <c r="AT323" s="264">
        <v>-1275</v>
      </c>
      <c r="AU323" s="264">
        <v>-225</v>
      </c>
      <c r="AV323" s="261">
        <f ca="1">Calc!AP21</f>
        <v>-225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54.33</v>
      </c>
      <c r="G325" s="251">
        <v>57.01</v>
      </c>
      <c r="H325" s="251">
        <v>56.81</v>
      </c>
      <c r="I325" s="251">
        <v>57.55</v>
      </c>
      <c r="J325" s="251">
        <v>57.68</v>
      </c>
      <c r="K325" s="251">
        <v>62.36</v>
      </c>
      <c r="L325" s="251">
        <v>65.89</v>
      </c>
      <c r="M325" s="251">
        <v>65.89</v>
      </c>
      <c r="N325" s="251">
        <v>66.569999999999993</v>
      </c>
      <c r="O325" s="251">
        <v>67.290000000000006</v>
      </c>
      <c r="P325" s="251">
        <v>68.790000000000006</v>
      </c>
      <c r="Q325" s="251">
        <v>68.66</v>
      </c>
      <c r="R325" s="251">
        <v>68.386399999999995</v>
      </c>
      <c r="S325" s="251">
        <v>66.92</v>
      </c>
      <c r="T325" s="251">
        <v>67.040000000000006</v>
      </c>
      <c r="U325" s="251">
        <v>68.212000000000003</v>
      </c>
      <c r="V325" s="251">
        <v>68.58</v>
      </c>
      <c r="W325" s="251">
        <v>70.44</v>
      </c>
      <c r="X325" s="251">
        <v>67.06</v>
      </c>
      <c r="Y325" s="251">
        <v>67.61</v>
      </c>
      <c r="Z325" s="245">
        <f ca="1">[1]ExtEntry!$I23</f>
        <v>67.61</v>
      </c>
      <c r="AB325" s="264">
        <v>25.5</v>
      </c>
      <c r="AC325" s="264">
        <v>7.1989999999999554</v>
      </c>
      <c r="AD325" s="264">
        <v>-5.4499999999999318</v>
      </c>
      <c r="AE325" s="264">
        <v>6.5000000000001137</v>
      </c>
      <c r="AF325" s="264">
        <v>-5.1999999999999318</v>
      </c>
      <c r="AG325" s="264">
        <v>28.5</v>
      </c>
      <c r="AH325" s="264">
        <v>2.6999999999999318</v>
      </c>
      <c r="AI325" s="264">
        <v>2.6999999999999318</v>
      </c>
      <c r="AJ325" s="264">
        <v>-11.350000000000136</v>
      </c>
      <c r="AK325" s="264">
        <v>22.100000000000136</v>
      </c>
      <c r="AL325" s="264">
        <v>-2.1499999999998636</v>
      </c>
      <c r="AM325" s="264">
        <v>4.1000000000001364</v>
      </c>
      <c r="AN325" s="264">
        <v>0</v>
      </c>
      <c r="AO325" s="264">
        <v>-10.500000000000114</v>
      </c>
      <c r="AP325" s="264">
        <v>17.399999999999864</v>
      </c>
      <c r="AQ325" s="264">
        <v>1.8999999999999773</v>
      </c>
      <c r="AR325" s="264">
        <v>17.199999999999932</v>
      </c>
      <c r="AS325" s="264">
        <v>-8.4000000000000909</v>
      </c>
      <c r="AT325" s="264">
        <v>1.1000000000000227</v>
      </c>
      <c r="AU325" s="264">
        <v>10.549999999999955</v>
      </c>
      <c r="AV325" s="261">
        <f ca="1">Calc!AP23</f>
        <v>10.549999999999955</v>
      </c>
      <c r="AX325" s="88" t="str">
        <f t="shared" ca="1" si="27"/>
        <v>GM</v>
      </c>
    </row>
    <row r="326" spans="1:50" hidden="1" x14ac:dyDescent="0.3">
      <c r="A326" s="88" t="str">
        <f t="shared" ca="1" si="26"/>
        <v>HPE</v>
      </c>
      <c r="F326" s="251">
        <v>24.28</v>
      </c>
      <c r="G326" s="251">
        <v>24.864999999999998</v>
      </c>
      <c r="H326" s="251">
        <v>22.11</v>
      </c>
      <c r="I326" s="251">
        <v>22.24</v>
      </c>
      <c r="J326" s="251">
        <v>22.44</v>
      </c>
      <c r="K326" s="251">
        <v>22.62</v>
      </c>
      <c r="L326" s="251">
        <v>22.6</v>
      </c>
      <c r="M326" s="251">
        <v>22.6</v>
      </c>
      <c r="N326" s="251">
        <v>23.055</v>
      </c>
      <c r="O326" s="251">
        <v>23.274999999999999</v>
      </c>
      <c r="P326" s="251">
        <v>23.58</v>
      </c>
      <c r="Q326" s="251">
        <v>23.69</v>
      </c>
      <c r="R326" s="251">
        <v>24.04</v>
      </c>
      <c r="S326" s="251">
        <v>23.44</v>
      </c>
      <c r="T326" s="251">
        <v>23.39</v>
      </c>
      <c r="U326" s="251">
        <v>23.125</v>
      </c>
      <c r="V326" s="251">
        <v>22.79</v>
      </c>
      <c r="W326" s="251">
        <v>22.35</v>
      </c>
      <c r="X326" s="251">
        <v>20.72</v>
      </c>
      <c r="Y326" s="251">
        <v>20.655000000000001</v>
      </c>
      <c r="Z326" s="245">
        <f ca="1">[1]ExtEntry!$I24</f>
        <v>20.655000000000001</v>
      </c>
      <c r="AB326" s="261">
        <v>6256</v>
      </c>
      <c r="AC326" s="261">
        <v>1518</v>
      </c>
      <c r="AD326" s="261">
        <v>-4140</v>
      </c>
      <c r="AE326" s="261">
        <v>5612</v>
      </c>
      <c r="AF326" s="261">
        <v>-2255</v>
      </c>
      <c r="AG326" s="261">
        <v>3410</v>
      </c>
      <c r="AH326" s="261">
        <v>-385</v>
      </c>
      <c r="AI326" s="261">
        <v>-550</v>
      </c>
      <c r="AJ326" s="261">
        <v>660</v>
      </c>
      <c r="AK326" s="261">
        <v>-1760</v>
      </c>
      <c r="AL326" s="261">
        <v>4290</v>
      </c>
      <c r="AM326" s="261">
        <v>184</v>
      </c>
      <c r="AN326" s="261">
        <v>2300</v>
      </c>
      <c r="AO326" s="261">
        <v>-3496</v>
      </c>
      <c r="AP326" s="261">
        <v>920</v>
      </c>
      <c r="AQ326" s="261">
        <v>-1794</v>
      </c>
      <c r="AR326" s="261">
        <v>1196</v>
      </c>
      <c r="AS326" s="261">
        <v>3219.9999999999709</v>
      </c>
      <c r="AT326" s="261">
        <v>-920</v>
      </c>
      <c r="AU326" s="261">
        <v>-782</v>
      </c>
      <c r="AV326" s="261">
        <f ca="1">Calc!AP24</f>
        <v>-782</v>
      </c>
      <c r="AX326" s="88" t="str">
        <f t="shared" ca="1" si="27"/>
        <v>HPE</v>
      </c>
    </row>
    <row r="327" spans="1:50" hidden="1" x14ac:dyDescent="0.3">
      <c r="A327" s="88" t="str">
        <f t="shared" ca="1" si="26"/>
        <v>HPQ</v>
      </c>
      <c r="F327" s="251">
        <v>27.4</v>
      </c>
      <c r="G327" s="251">
        <v>28.39</v>
      </c>
      <c r="H327" s="251">
        <v>27.085000000000001</v>
      </c>
      <c r="I327" s="251">
        <v>27</v>
      </c>
      <c r="J327" s="251">
        <v>27.5</v>
      </c>
      <c r="K327" s="251">
        <v>27.672499999999999</v>
      </c>
      <c r="L327" s="251">
        <v>26.97</v>
      </c>
      <c r="M327" s="251">
        <v>26.97</v>
      </c>
      <c r="N327" s="251">
        <v>27.664999999999999</v>
      </c>
      <c r="O327" s="251">
        <v>27.635000000000002</v>
      </c>
      <c r="P327" s="251">
        <v>27.704999999999998</v>
      </c>
      <c r="Q327" s="251">
        <v>27.513000000000002</v>
      </c>
      <c r="R327" s="251">
        <v>27.18</v>
      </c>
      <c r="S327" s="251">
        <v>25.98</v>
      </c>
      <c r="T327" s="251">
        <v>25.76</v>
      </c>
      <c r="U327" s="251">
        <v>26.1</v>
      </c>
      <c r="V327" s="251">
        <v>25.82</v>
      </c>
      <c r="W327" s="251">
        <v>24.47</v>
      </c>
      <c r="X327" s="251">
        <v>22.395</v>
      </c>
      <c r="Y327" s="251">
        <v>22.475000000000001</v>
      </c>
      <c r="Z327" s="245">
        <f ca="1">[1]ExtEntry!$I25</f>
        <v>22.475000000000001</v>
      </c>
      <c r="AB327" s="264">
        <v>4625</v>
      </c>
      <c r="AC327" s="264">
        <v>-680</v>
      </c>
      <c r="AD327" s="264">
        <v>-7375</v>
      </c>
      <c r="AE327" s="264">
        <v>1350</v>
      </c>
      <c r="AF327" s="264">
        <v>475</v>
      </c>
      <c r="AG327" s="264">
        <v>2150</v>
      </c>
      <c r="AH327" s="264">
        <v>2300</v>
      </c>
      <c r="AI327" s="264">
        <v>2300</v>
      </c>
      <c r="AJ327" s="264">
        <v>225</v>
      </c>
      <c r="AK327" s="264">
        <v>-3000</v>
      </c>
      <c r="AL327" s="264">
        <v>-125</v>
      </c>
      <c r="AM327" s="264">
        <v>1325</v>
      </c>
      <c r="AN327" s="264">
        <v>600</v>
      </c>
      <c r="AO327" s="264">
        <v>-2775</v>
      </c>
      <c r="AP327" s="264">
        <v>3500</v>
      </c>
      <c r="AQ327" s="264">
        <v>-2450</v>
      </c>
      <c r="AR327" s="264">
        <v>925</v>
      </c>
      <c r="AS327" s="264">
        <v>-934.99999999998545</v>
      </c>
      <c r="AT327" s="264">
        <v>0</v>
      </c>
      <c r="AU327" s="264">
        <v>-700</v>
      </c>
      <c r="AV327" s="261">
        <f ca="1">Calc!AP25</f>
        <v>-700</v>
      </c>
      <c r="AX327" s="88" t="str">
        <f t="shared" ca="1" si="27"/>
        <v>HPQ</v>
      </c>
    </row>
    <row r="328" spans="1:50" hidden="1" x14ac:dyDescent="0.3">
      <c r="A328" s="88" t="str">
        <f t="shared" ca="1" si="26"/>
        <v>IAG</v>
      </c>
      <c r="F328" s="251">
        <v>395.8</v>
      </c>
      <c r="G328" s="251">
        <v>407.3</v>
      </c>
      <c r="H328" s="251">
        <v>398.9</v>
      </c>
      <c r="I328" s="251">
        <v>391.2</v>
      </c>
      <c r="J328" s="251">
        <v>393</v>
      </c>
      <c r="K328" s="251">
        <v>389.7</v>
      </c>
      <c r="L328" s="251">
        <v>397.7</v>
      </c>
      <c r="M328" s="251">
        <v>397.7</v>
      </c>
      <c r="N328" s="251">
        <v>398.9</v>
      </c>
      <c r="O328" s="251">
        <v>402</v>
      </c>
      <c r="P328" s="251">
        <v>408.5</v>
      </c>
      <c r="Q328" s="251">
        <v>409.4</v>
      </c>
      <c r="R328" s="251">
        <v>403.7</v>
      </c>
      <c r="S328" s="251">
        <v>419.9</v>
      </c>
      <c r="T328" s="251">
        <v>419.5</v>
      </c>
      <c r="U328" s="251">
        <v>412.7</v>
      </c>
      <c r="V328" s="251">
        <v>366.2</v>
      </c>
      <c r="W328" s="251">
        <v>382.2</v>
      </c>
      <c r="X328" s="251">
        <v>367.2</v>
      </c>
      <c r="Y328" s="251">
        <v>367.2</v>
      </c>
      <c r="Z328" s="245">
        <f ca="1">[1]ExtEntry!$I26</f>
        <v>367.2</v>
      </c>
      <c r="AB328" s="261">
        <v>240</v>
      </c>
      <c r="AC328" s="261">
        <v>-11040</v>
      </c>
      <c r="AD328" s="261">
        <v>-8640</v>
      </c>
      <c r="AE328" s="261">
        <v>-25920</v>
      </c>
      <c r="AF328" s="261">
        <v>3120</v>
      </c>
      <c r="AG328" s="261">
        <v>-10080</v>
      </c>
      <c r="AH328" s="261">
        <v>5980</v>
      </c>
      <c r="AI328" s="261">
        <v>5980</v>
      </c>
      <c r="AJ328" s="261">
        <v>6600</v>
      </c>
      <c r="AK328" s="261">
        <v>4800</v>
      </c>
      <c r="AL328" s="261">
        <v>-3582</v>
      </c>
      <c r="AM328" s="261">
        <v>5510</v>
      </c>
      <c r="AN328" s="261">
        <v>7585</v>
      </c>
      <c r="AO328" s="261">
        <v>-1800</v>
      </c>
      <c r="AP328" s="261">
        <v>5330</v>
      </c>
      <c r="AQ328" s="261">
        <v>-11310</v>
      </c>
      <c r="AR328" s="261">
        <v>-23980</v>
      </c>
      <c r="AS328" s="261">
        <v>-3500</v>
      </c>
      <c r="AT328" s="261">
        <v>-611</v>
      </c>
      <c r="AU328" s="261">
        <v>6600</v>
      </c>
      <c r="AV328" s="261">
        <f ca="1">Calc!AP26</f>
        <v>6600</v>
      </c>
      <c r="AX328" s="88" t="str">
        <f t="shared" ca="1" si="27"/>
        <v>IAG</v>
      </c>
    </row>
    <row r="329" spans="1:50" hidden="1" x14ac:dyDescent="0.3">
      <c r="A329" s="88" t="str">
        <f t="shared" ca="1" si="26"/>
        <v>KR</v>
      </c>
      <c r="F329" s="251">
        <v>67.2</v>
      </c>
      <c r="G329" s="251">
        <v>68.72</v>
      </c>
      <c r="H329" s="251">
        <v>68.614999999999995</v>
      </c>
      <c r="I329" s="251">
        <v>68.84</v>
      </c>
      <c r="J329" s="251">
        <v>68.239999999999995</v>
      </c>
      <c r="K329" s="251">
        <v>67.459999999999994</v>
      </c>
      <c r="L329" s="251">
        <v>67.05</v>
      </c>
      <c r="M329" s="251">
        <v>67.05</v>
      </c>
      <c r="N329" s="251">
        <v>68.185000000000002</v>
      </c>
      <c r="O329" s="251">
        <v>66.905000000000001</v>
      </c>
      <c r="P329" s="251">
        <v>66.3</v>
      </c>
      <c r="Q329" s="251">
        <v>67.38</v>
      </c>
      <c r="R329" s="251">
        <v>65.2</v>
      </c>
      <c r="S329" s="251">
        <v>63.32</v>
      </c>
      <c r="T329" s="251">
        <v>62.97</v>
      </c>
      <c r="U329" s="251">
        <v>62.59</v>
      </c>
      <c r="V329" s="251">
        <v>63.47</v>
      </c>
      <c r="W329" s="251">
        <v>65.5</v>
      </c>
      <c r="X329" s="251">
        <v>66.099999999999994</v>
      </c>
      <c r="Y329" s="251">
        <v>67.2</v>
      </c>
      <c r="Z329" s="245">
        <f ca="1">[1]ExtEntry!$I27</f>
        <v>67.2</v>
      </c>
      <c r="AB329" s="264">
        <v>3670.7999999999884</v>
      </c>
      <c r="AC329" s="264">
        <v>625.10000000000582</v>
      </c>
      <c r="AD329" s="264">
        <v>-186.19999999998254</v>
      </c>
      <c r="AE329" s="264">
        <v>-1010.8000000000175</v>
      </c>
      <c r="AF329" s="264">
        <v>640</v>
      </c>
      <c r="AG329" s="264">
        <v>-4560</v>
      </c>
      <c r="AH329" s="264">
        <v>3280</v>
      </c>
      <c r="AI329" s="264">
        <v>3280</v>
      </c>
      <c r="AJ329" s="264">
        <v>-80</v>
      </c>
      <c r="AK329" s="264">
        <v>-8850</v>
      </c>
      <c r="AL329" s="264">
        <v>6025.0000000000582</v>
      </c>
      <c r="AM329" s="264">
        <v>-250</v>
      </c>
      <c r="AN329" s="264">
        <v>-2475.0000000000582</v>
      </c>
      <c r="AO329" s="264">
        <v>-1610</v>
      </c>
      <c r="AP329" s="264">
        <v>-4340</v>
      </c>
      <c r="AQ329" s="264">
        <v>-175</v>
      </c>
      <c r="AR329" s="264">
        <v>6600</v>
      </c>
      <c r="AS329" s="264">
        <v>4650</v>
      </c>
      <c r="AT329" s="264">
        <v>5310</v>
      </c>
      <c r="AU329" s="264">
        <v>-60</v>
      </c>
      <c r="AV329" s="261">
        <f ca="1">Calc!AP27</f>
        <v>-60</v>
      </c>
      <c r="AX329" s="88" t="str">
        <f t="shared" ca="1" si="27"/>
        <v>KR</v>
      </c>
    </row>
    <row r="330" spans="1:50" hidden="1" x14ac:dyDescent="0.3">
      <c r="A330" s="88" t="str">
        <f t="shared" ca="1" si="26"/>
        <v>LNSR</v>
      </c>
      <c r="F330" s="251">
        <v>11.91</v>
      </c>
      <c r="G330" s="251">
        <v>11.68</v>
      </c>
      <c r="H330" s="251">
        <v>11.61</v>
      </c>
      <c r="I330" s="251">
        <v>11.77</v>
      </c>
      <c r="J330" s="251">
        <v>11.88</v>
      </c>
      <c r="K330" s="251">
        <v>12.14</v>
      </c>
      <c r="L330" s="251">
        <v>12.145</v>
      </c>
      <c r="M330" s="251">
        <v>12.145</v>
      </c>
      <c r="N330" s="251">
        <v>11.94</v>
      </c>
      <c r="O330" s="251">
        <v>11.94</v>
      </c>
      <c r="P330" s="251">
        <v>11.845000000000001</v>
      </c>
      <c r="Q330" s="251">
        <v>11.725</v>
      </c>
      <c r="R330" s="251">
        <v>11.85</v>
      </c>
      <c r="S330" s="251">
        <v>12.12</v>
      </c>
      <c r="T330" s="251">
        <v>12.11</v>
      </c>
      <c r="U330" s="251">
        <v>11.3725</v>
      </c>
      <c r="V330" s="251">
        <v>10.6035</v>
      </c>
      <c r="W330" s="251">
        <v>10.1</v>
      </c>
      <c r="X330" s="251">
        <v>9.75</v>
      </c>
      <c r="Y330" s="251">
        <v>9.9122000000000003</v>
      </c>
      <c r="Z330" s="245">
        <f ca="1">[1]ExtEntry!$I28</f>
        <v>9.9122000000000003</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6.38</v>
      </c>
      <c r="G331" s="251">
        <v>6.93</v>
      </c>
      <c r="H331" s="251">
        <v>6.9749999999999996</v>
      </c>
      <c r="I331" s="251">
        <v>6.73</v>
      </c>
      <c r="J331" s="251">
        <v>6.9</v>
      </c>
      <c r="K331" s="251">
        <v>7.02</v>
      </c>
      <c r="L331" s="251">
        <v>6.76</v>
      </c>
      <c r="M331" s="251">
        <v>6.76</v>
      </c>
      <c r="N331" s="251">
        <v>7.2</v>
      </c>
      <c r="O331" s="251">
        <v>7.9550000000000001</v>
      </c>
      <c r="P331" s="251">
        <v>8.3800000000000008</v>
      </c>
      <c r="Q331" s="251">
        <v>9.25</v>
      </c>
      <c r="R331" s="251">
        <v>10.210000000000001</v>
      </c>
      <c r="S331" s="251">
        <v>10.62</v>
      </c>
      <c r="T331" s="251">
        <v>10.52</v>
      </c>
      <c r="U331" s="251">
        <v>10.6</v>
      </c>
      <c r="V331" s="251">
        <v>10.1501</v>
      </c>
      <c r="W331" s="251">
        <v>7.6</v>
      </c>
      <c r="X331" s="251">
        <v>7.48</v>
      </c>
      <c r="Y331" s="251">
        <v>7.4950000000000001</v>
      </c>
      <c r="Z331" s="245">
        <f ca="1">[1]ExtEntry!$I29</f>
        <v>7.4950000000000001</v>
      </c>
      <c r="AB331" s="264">
        <v>3.2000000000000028</v>
      </c>
      <c r="AC331" s="264">
        <v>1.0499999999999972</v>
      </c>
      <c r="AD331" s="264">
        <v>-2.8499999999999943</v>
      </c>
      <c r="AE331" s="264">
        <v>-0.59999999999999432</v>
      </c>
      <c r="AF331" s="264">
        <v>1.5499999999999972</v>
      </c>
      <c r="AG331" s="264">
        <v>0.95000000000000284</v>
      </c>
      <c r="AH331" s="264">
        <v>-0.20000000000000284</v>
      </c>
      <c r="AI331" s="264">
        <v>-0.20000000000000284</v>
      </c>
      <c r="AJ331" s="264">
        <v>5.3499999999999943</v>
      </c>
      <c r="AK331" s="264">
        <v>0.55000000000001137</v>
      </c>
      <c r="AL331" s="264">
        <v>7.6000000000000227</v>
      </c>
      <c r="AM331" s="264">
        <v>6.8499999999999801</v>
      </c>
      <c r="AN331" s="264">
        <v>-1.9999999999999858</v>
      </c>
      <c r="AO331" s="264">
        <v>-3.3000000000000114</v>
      </c>
      <c r="AP331" s="264">
        <v>2.0500000000000114</v>
      </c>
      <c r="AQ331" s="264">
        <v>-0.89999999999999147</v>
      </c>
      <c r="AR331" s="264">
        <v>-3.9500000000000171</v>
      </c>
      <c r="AS331" s="264">
        <v>2.4500000000000028</v>
      </c>
      <c r="AT331" s="264">
        <v>-2.7999999999999972</v>
      </c>
      <c r="AU331" s="264">
        <v>-2.1500000000000199</v>
      </c>
      <c r="AV331" s="261">
        <f ca="1">Calc!AP29</f>
        <v>-2.1500000000000199</v>
      </c>
      <c r="AX331" s="88" t="str">
        <f t="shared" ca="1" si="27"/>
        <v>LUMN</v>
      </c>
    </row>
    <row r="332" spans="1:50" hidden="1" x14ac:dyDescent="0.3">
      <c r="A332" s="88" t="str">
        <f t="shared" ca="1" si="26"/>
        <v>MRNA</v>
      </c>
      <c r="F332" s="251">
        <v>26.01</v>
      </c>
      <c r="G332" s="251">
        <v>26.38</v>
      </c>
      <c r="H332" s="251">
        <v>27.11</v>
      </c>
      <c r="I332" s="251">
        <v>25.684999999999999</v>
      </c>
      <c r="J332" s="251">
        <v>26.39</v>
      </c>
      <c r="K332" s="251">
        <v>26.65</v>
      </c>
      <c r="L332" s="251">
        <v>26.265000000000001</v>
      </c>
      <c r="M332" s="251">
        <v>26.265000000000001</v>
      </c>
      <c r="N332" s="251">
        <v>25.57</v>
      </c>
      <c r="O332" s="251">
        <v>26.11</v>
      </c>
      <c r="P332" s="251">
        <v>26.55</v>
      </c>
      <c r="Q332" s="251">
        <v>25.2</v>
      </c>
      <c r="R332" s="251">
        <v>24.25</v>
      </c>
      <c r="S332" s="251">
        <v>23.7224</v>
      </c>
      <c r="T332" s="251">
        <v>23.48</v>
      </c>
      <c r="U332" s="251">
        <v>23.661999999999999</v>
      </c>
      <c r="V332" s="251">
        <v>23.4</v>
      </c>
      <c r="W332" s="251">
        <v>24.18</v>
      </c>
      <c r="X332" s="251">
        <v>23.8</v>
      </c>
      <c r="Y332" s="251">
        <v>24.105</v>
      </c>
      <c r="Z332" s="245">
        <f ca="1">[1]ExtEntry!$I30</f>
        <v>24.105</v>
      </c>
      <c r="AB332" s="261">
        <v>-840</v>
      </c>
      <c r="AC332" s="261">
        <v>14220</v>
      </c>
      <c r="AD332" s="261">
        <v>-8460</v>
      </c>
      <c r="AE332" s="261">
        <v>-4920</v>
      </c>
      <c r="AF332" s="261">
        <v>9960</v>
      </c>
      <c r="AG332" s="261">
        <v>2880</v>
      </c>
      <c r="AH332" s="261">
        <v>-4320</v>
      </c>
      <c r="AI332" s="261">
        <v>-4320</v>
      </c>
      <c r="AJ332" s="261">
        <v>5160</v>
      </c>
      <c r="AK332" s="261">
        <v>2640</v>
      </c>
      <c r="AL332" s="261">
        <v>-4200</v>
      </c>
      <c r="AM332" s="261">
        <v>-15840</v>
      </c>
      <c r="AN332" s="261">
        <v>44580</v>
      </c>
      <c r="AO332" s="261">
        <v>-10140</v>
      </c>
      <c r="AP332" s="261">
        <v>-4260</v>
      </c>
      <c r="AQ332" s="261">
        <v>-13020</v>
      </c>
      <c r="AR332" s="261">
        <v>7860</v>
      </c>
      <c r="AS332" s="261">
        <v>4020</v>
      </c>
      <c r="AT332" s="261">
        <v>5160</v>
      </c>
      <c r="AU332" s="261">
        <v>-8040</v>
      </c>
      <c r="AV332" s="261">
        <f ca="1">Calc!AP30</f>
        <v>-8040</v>
      </c>
      <c r="AX332" s="88" t="str">
        <f t="shared" ca="1" si="27"/>
        <v>MRNA</v>
      </c>
    </row>
    <row r="333" spans="1:50" hidden="1" x14ac:dyDescent="0.3">
      <c r="A333" s="88" t="str">
        <f t="shared" ca="1" si="26"/>
        <v>MSFT</v>
      </c>
      <c r="F333" s="251">
        <v>506</v>
      </c>
      <c r="G333" s="251">
        <v>510</v>
      </c>
      <c r="H333" s="251">
        <v>508.13</v>
      </c>
      <c r="I333" s="251">
        <v>507.31</v>
      </c>
      <c r="J333" s="251">
        <v>513.42999999999995</v>
      </c>
      <c r="K333" s="251">
        <v>513.04</v>
      </c>
      <c r="L333" s="251">
        <v>517.71</v>
      </c>
      <c r="M333" s="251">
        <v>517.71</v>
      </c>
      <c r="N333" s="251">
        <v>518.61</v>
      </c>
      <c r="O333" s="251">
        <v>520.71</v>
      </c>
      <c r="P333" s="251">
        <v>529.01</v>
      </c>
      <c r="Q333" s="251">
        <v>540.77</v>
      </c>
      <c r="R333" s="251">
        <v>522.12</v>
      </c>
      <c r="S333" s="251">
        <v>507.84</v>
      </c>
      <c r="T333" s="251">
        <v>506.57499999999999</v>
      </c>
      <c r="U333" s="251">
        <v>495.81</v>
      </c>
      <c r="V333" s="251">
        <v>493.25</v>
      </c>
      <c r="W333" s="251">
        <v>497.44</v>
      </c>
      <c r="X333" s="251">
        <v>486.78</v>
      </c>
      <c r="Y333" s="251">
        <v>486.125</v>
      </c>
      <c r="Z333" s="245">
        <f ca="1">[1]ExtEntry!$I31</f>
        <v>486.125</v>
      </c>
      <c r="AB333" s="264">
        <v>34986.000000000931</v>
      </c>
      <c r="AC333" s="264">
        <v>-24107.020000000484</v>
      </c>
      <c r="AD333" s="264">
        <v>-9506</v>
      </c>
      <c r="AE333" s="264">
        <v>44492</v>
      </c>
      <c r="AF333" s="264">
        <v>21364</v>
      </c>
      <c r="AG333" s="264">
        <v>1568</v>
      </c>
      <c r="AH333" s="264">
        <v>-5978</v>
      </c>
      <c r="AI333" s="264">
        <v>-5978</v>
      </c>
      <c r="AJ333" s="264">
        <v>-18620.000000000931</v>
      </c>
      <c r="AK333" s="264">
        <v>8036</v>
      </c>
      <c r="AL333" s="264">
        <v>-2548</v>
      </c>
      <c r="AM333" s="264">
        <v>-77713.999999999069</v>
      </c>
      <c r="AN333" s="264">
        <v>-45687.600000000559</v>
      </c>
      <c r="AO333" s="264">
        <v>24010</v>
      </c>
      <c r="AP333" s="264">
        <v>-60172</v>
      </c>
      <c r="AQ333" s="264">
        <v>-83790</v>
      </c>
      <c r="AR333" s="264">
        <v>6174</v>
      </c>
      <c r="AS333" s="264">
        <v>117110</v>
      </c>
      <c r="AT333" s="264">
        <v>-15435</v>
      </c>
      <c r="AU333" s="264">
        <v>-28126</v>
      </c>
      <c r="AV333" s="261">
        <f ca="1">Calc!AP31</f>
        <v>-28126</v>
      </c>
      <c r="AX333" s="88" t="str">
        <f t="shared" ca="1" si="27"/>
        <v>MSFT</v>
      </c>
    </row>
    <row r="334" spans="1:50" hidden="1" x14ac:dyDescent="0.3">
      <c r="A334" s="88" t="str">
        <f t="shared" ca="1" si="26"/>
        <v>NEE</v>
      </c>
      <c r="F334" s="251">
        <v>83.43</v>
      </c>
      <c r="G334" s="251">
        <v>84.834999999999994</v>
      </c>
      <c r="H334" s="251">
        <v>84.974999999999994</v>
      </c>
      <c r="I334" s="251">
        <v>84.17</v>
      </c>
      <c r="J334" s="251">
        <v>84.31</v>
      </c>
      <c r="K334" s="251">
        <v>83.03</v>
      </c>
      <c r="L334" s="251">
        <v>82.47</v>
      </c>
      <c r="M334" s="251">
        <v>82.47</v>
      </c>
      <c r="N334" s="251">
        <v>82.57</v>
      </c>
      <c r="O334" s="251">
        <v>83.36</v>
      </c>
      <c r="P334" s="251">
        <v>83.79</v>
      </c>
      <c r="Q334" s="251">
        <v>82.91</v>
      </c>
      <c r="R334" s="251">
        <v>81.44</v>
      </c>
      <c r="S334" s="251">
        <v>80.8</v>
      </c>
      <c r="T334" s="251">
        <v>81.11</v>
      </c>
      <c r="U334" s="251">
        <v>82.08</v>
      </c>
      <c r="V334" s="251">
        <v>81.635000000000005</v>
      </c>
      <c r="W334" s="251">
        <v>82.530100000000004</v>
      </c>
      <c r="X334" s="251">
        <v>84.62</v>
      </c>
      <c r="Y334" s="251">
        <v>84.13</v>
      </c>
      <c r="Z334" s="245">
        <f ca="1">[1]ExtEntry!$I32</f>
        <v>84.13</v>
      </c>
      <c r="AB334" s="261">
        <v>178</v>
      </c>
      <c r="AC334" s="261">
        <v>300</v>
      </c>
      <c r="AD334" s="261">
        <v>-468</v>
      </c>
      <c r="AE334" s="261">
        <v>-368</v>
      </c>
      <c r="AF334" s="261">
        <v>-166</v>
      </c>
      <c r="AG334" s="261">
        <v>-404</v>
      </c>
      <c r="AH334" s="261">
        <v>-488</v>
      </c>
      <c r="AI334" s="261">
        <v>-488</v>
      </c>
      <c r="AJ334" s="261">
        <v>-248</v>
      </c>
      <c r="AK334" s="261">
        <v>332</v>
      </c>
      <c r="AL334" s="261">
        <v>806</v>
      </c>
      <c r="AM334" s="261">
        <v>-1588</v>
      </c>
      <c r="AN334" s="261">
        <v>-78</v>
      </c>
      <c r="AO334" s="261">
        <v>-0.30000000000001137</v>
      </c>
      <c r="AP334" s="261">
        <v>0.71999999999999886</v>
      </c>
      <c r="AQ334" s="261">
        <v>0.29000000000000625</v>
      </c>
      <c r="AR334" s="261">
        <v>1.9299999999999926</v>
      </c>
      <c r="AS334" s="261">
        <v>0.3399999999999892</v>
      </c>
      <c r="AT334" s="261">
        <v>-1.4200000000000017</v>
      </c>
      <c r="AU334" s="261">
        <v>-0.43000000000000682</v>
      </c>
      <c r="AV334" s="261">
        <f ca="1">Calc!AP32</f>
        <v>-0.43000000000000682</v>
      </c>
      <c r="AX334" s="88" t="str">
        <f t="shared" ca="1" si="27"/>
        <v>NEE</v>
      </c>
    </row>
    <row r="335" spans="1:50" hidden="1" x14ac:dyDescent="0.3">
      <c r="A335" s="88" t="str">
        <f t="shared" ca="1" si="26"/>
        <v>NEM</v>
      </c>
      <c r="F335" s="251">
        <v>87.7</v>
      </c>
      <c r="G335" s="251">
        <v>91.265000000000001</v>
      </c>
      <c r="H335" s="251">
        <v>94.11</v>
      </c>
      <c r="I335" s="251">
        <v>89.92</v>
      </c>
      <c r="J335" s="251">
        <v>91.85</v>
      </c>
      <c r="K335" s="251">
        <v>85.4</v>
      </c>
      <c r="L335" s="251">
        <v>82.8</v>
      </c>
      <c r="M335" s="251">
        <v>82.8</v>
      </c>
      <c r="N335" s="251">
        <v>87.27</v>
      </c>
      <c r="O335" s="251">
        <v>81.290000000000006</v>
      </c>
      <c r="P335" s="251">
        <v>76.849999999999994</v>
      </c>
      <c r="Q335" s="251">
        <v>76.046800000000005</v>
      </c>
      <c r="R335" s="251">
        <v>79.569999999999993</v>
      </c>
      <c r="S335" s="251">
        <v>78.594999999999999</v>
      </c>
      <c r="T335" s="251">
        <v>80.489999999999995</v>
      </c>
      <c r="U335" s="251">
        <v>82.1</v>
      </c>
      <c r="V335" s="251">
        <v>81.489999999999995</v>
      </c>
      <c r="W335" s="251">
        <v>85.917500000000004</v>
      </c>
      <c r="X335" s="251">
        <v>85.31</v>
      </c>
      <c r="Y335" s="251">
        <v>86.984999999999999</v>
      </c>
      <c r="Z335" s="245">
        <f ca="1">[1]ExtEntry!$I33</f>
        <v>86.984999999999999</v>
      </c>
      <c r="AB335" s="264">
        <v>39760</v>
      </c>
      <c r="AC335" s="264">
        <v>19320</v>
      </c>
      <c r="AD335" s="264">
        <v>44940</v>
      </c>
      <c r="AE335" s="264">
        <v>-78260</v>
      </c>
      <c r="AF335" s="264">
        <v>13455</v>
      </c>
      <c r="AG335" s="264">
        <v>-46325</v>
      </c>
      <c r="AH335" s="264">
        <v>66470</v>
      </c>
      <c r="AI335" s="264">
        <v>66470</v>
      </c>
      <c r="AJ335" s="264">
        <v>-4350</v>
      </c>
      <c r="AK335" s="264">
        <v>13430</v>
      </c>
      <c r="AL335" s="264">
        <v>-10540</v>
      </c>
      <c r="AM335" s="264">
        <v>46620</v>
      </c>
      <c r="AN335" s="264">
        <v>45360</v>
      </c>
      <c r="AO335" s="264">
        <v>-1100.0000000002328</v>
      </c>
      <c r="AP335" s="264">
        <v>18200.000000000233</v>
      </c>
      <c r="AQ335" s="264">
        <v>3695.9999999997672</v>
      </c>
      <c r="AR335" s="264">
        <v>1400</v>
      </c>
      <c r="AS335" s="264">
        <v>32200</v>
      </c>
      <c r="AT335" s="264">
        <v>-9199.9999999997672</v>
      </c>
      <c r="AU335" s="264">
        <v>-10900</v>
      </c>
      <c r="AV335" s="261">
        <f ca="1">Calc!AP33</f>
        <v>-10900</v>
      </c>
      <c r="AX335" s="88" t="str">
        <f t="shared" ca="1" si="27"/>
        <v>NEM</v>
      </c>
    </row>
    <row r="336" spans="1:50" hidden="1" x14ac:dyDescent="0.3">
      <c r="A336" s="88" t="str">
        <f t="shared" ca="1" si="26"/>
        <v>NFLX</v>
      </c>
      <c r="F336" s="251">
        <v>1203.0999999999999</v>
      </c>
      <c r="G336" s="251">
        <v>1203.21</v>
      </c>
      <c r="H336" s="251">
        <v>1176</v>
      </c>
      <c r="I336" s="251">
        <v>1178.95</v>
      </c>
      <c r="J336" s="251">
        <v>1206.9000000000001</v>
      </c>
      <c r="K336" s="251">
        <v>1231.76</v>
      </c>
      <c r="L336" s="251">
        <v>1112.51</v>
      </c>
      <c r="M336" s="251">
        <v>1112.51</v>
      </c>
      <c r="N336" s="251">
        <v>1099.73</v>
      </c>
      <c r="O336" s="251">
        <v>1094.4100000000001</v>
      </c>
      <c r="P336" s="251">
        <v>1087.3</v>
      </c>
      <c r="Q336" s="251">
        <v>1093.0083</v>
      </c>
      <c r="R336" s="251">
        <v>1088.1099999999999</v>
      </c>
      <c r="S336" s="251">
        <v>1086.68</v>
      </c>
      <c r="T336" s="251">
        <v>1073.3701000000001</v>
      </c>
      <c r="U336" s="251">
        <v>1085.1300000000001</v>
      </c>
      <c r="V336" s="251">
        <v>1087.5</v>
      </c>
      <c r="W336" s="251">
        <v>1107.21</v>
      </c>
      <c r="X336" s="251">
        <v>109.2</v>
      </c>
      <c r="Y336" s="251">
        <v>109.37</v>
      </c>
      <c r="Z336" s="245">
        <f ca="1">[1]ExtEntry!$I34</f>
        <v>109.37</v>
      </c>
      <c r="AB336" s="261">
        <v>419.99999999988358</v>
      </c>
      <c r="AC336" s="261">
        <v>-4501</v>
      </c>
      <c r="AD336" s="261">
        <v>-22848.000000000233</v>
      </c>
      <c r="AE336" s="261">
        <v>12608</v>
      </c>
      <c r="AF336" s="261">
        <v>21479.5</v>
      </c>
      <c r="AG336" s="261">
        <v>-1036.0000000001164</v>
      </c>
      <c r="AH336" s="261">
        <v>-53060</v>
      </c>
      <c r="AI336" s="261">
        <v>-53060</v>
      </c>
      <c r="AJ336" s="261">
        <v>-33275</v>
      </c>
      <c r="AK336" s="261">
        <v>-48930</v>
      </c>
      <c r="AL336" s="261">
        <v>-18330</v>
      </c>
      <c r="AM336" s="261">
        <v>25500</v>
      </c>
      <c r="AN336" s="261">
        <v>-16200.000000000466</v>
      </c>
      <c r="AO336" s="261">
        <v>-36397.5</v>
      </c>
      <c r="AP336" s="261">
        <v>40380</v>
      </c>
      <c r="AQ336" s="261">
        <v>-3600.0000000004657</v>
      </c>
      <c r="AR336" s="261">
        <v>18570</v>
      </c>
      <c r="AS336" s="261">
        <v>-91680</v>
      </c>
      <c r="AT336" s="261">
        <v>114000</v>
      </c>
      <c r="AU336" s="261">
        <v>-91200</v>
      </c>
      <c r="AV336" s="261">
        <f ca="1">Calc!AP34</f>
        <v>-91200</v>
      </c>
      <c r="AX336" s="88" t="str">
        <f t="shared" ca="1" si="27"/>
        <v>NFLX</v>
      </c>
    </row>
    <row r="337" spans="1:50" hidden="1" x14ac:dyDescent="0.3">
      <c r="A337" s="88" t="str">
        <f t="shared" ref="A337:A368" ca="1" si="28">A237</f>
        <v>NOTE</v>
      </c>
      <c r="F337" s="251">
        <v>4.45</v>
      </c>
      <c r="G337" s="251">
        <v>4.6150000000000002</v>
      </c>
      <c r="H337" s="251">
        <v>4.3600000000000003</v>
      </c>
      <c r="I337" s="251">
        <v>4.2</v>
      </c>
      <c r="J337" s="251">
        <v>4.32</v>
      </c>
      <c r="K337" s="251">
        <v>4.3574999999999999</v>
      </c>
      <c r="L337" s="251">
        <v>4.1500000000000004</v>
      </c>
      <c r="M337" s="251">
        <v>4.1500000000000004</v>
      </c>
      <c r="N337" s="251">
        <v>4.2693000000000003</v>
      </c>
      <c r="O337" s="251">
        <v>4.3499999999999996</v>
      </c>
      <c r="P337" s="251">
        <v>4.25</v>
      </c>
      <c r="Q337" s="251">
        <v>4.09</v>
      </c>
      <c r="R337" s="251">
        <v>3.92</v>
      </c>
      <c r="S337" s="251">
        <v>3.59</v>
      </c>
      <c r="T337" s="251">
        <v>3.2210000000000001</v>
      </c>
      <c r="U337" s="251">
        <v>2.9550000000000001</v>
      </c>
      <c r="V337" s="251">
        <v>2.5</v>
      </c>
      <c r="W337" s="251">
        <v>2.42</v>
      </c>
      <c r="X337" s="251">
        <v>2.0499999999999998</v>
      </c>
      <c r="Y337" s="251">
        <v>2.13</v>
      </c>
      <c r="Z337" s="245">
        <f ca="1">[1]ExtEntry!$I35</f>
        <v>2.13</v>
      </c>
      <c r="AB337" s="264">
        <v>4533.3899999999994</v>
      </c>
      <c r="AC337" s="264">
        <v>-6826.7519999999931</v>
      </c>
      <c r="AD337" s="264">
        <v>-7733.4300000000076</v>
      </c>
      <c r="AE337" s="264">
        <v>-2400.0299999999988</v>
      </c>
      <c r="AF337" s="264">
        <v>2133.3600000000006</v>
      </c>
      <c r="AG337" s="264">
        <v>800.01000000000931</v>
      </c>
      <c r="AH337" s="264">
        <v>-6933.4199999999983</v>
      </c>
      <c r="AI337" s="264">
        <v>-6933.4199999999983</v>
      </c>
      <c r="AJ337" s="264">
        <v>4800.0600000000268</v>
      </c>
      <c r="AK337" s="264">
        <v>-2933.3700000000099</v>
      </c>
      <c r="AL337" s="264">
        <v>-2133.3600000000006</v>
      </c>
      <c r="AM337" s="264">
        <v>-4000.0499999999884</v>
      </c>
      <c r="AN337" s="264">
        <v>-266.66999999999825</v>
      </c>
      <c r="AO337" s="264">
        <v>-3066.7050000000017</v>
      </c>
      <c r="AP337" s="264">
        <v>-6933.4199999999983</v>
      </c>
      <c r="AQ337" s="264">
        <v>-12656.158200000005</v>
      </c>
      <c r="AR337" s="264">
        <v>10133.459999999992</v>
      </c>
      <c r="AS337" s="264">
        <v>600</v>
      </c>
      <c r="AT337" s="264">
        <v>-4500</v>
      </c>
      <c r="AU337" s="264">
        <v>-3000</v>
      </c>
      <c r="AV337" s="261">
        <f ca="1">Calc!AP35</f>
        <v>-3000</v>
      </c>
      <c r="AX337" s="88" t="str">
        <f t="shared" ref="AX337:AX368" ca="1" si="29">A337</f>
        <v>NOTE</v>
      </c>
    </row>
    <row r="338" spans="1:50" hidden="1" x14ac:dyDescent="0.3">
      <c r="A338" s="88" t="str">
        <f t="shared" ca="1" si="28"/>
        <v>PAAS</v>
      </c>
      <c r="F338" s="251">
        <v>39.255000000000003</v>
      </c>
      <c r="G338" s="251">
        <v>40.1</v>
      </c>
      <c r="H338" s="251">
        <v>40.93</v>
      </c>
      <c r="I338" s="251">
        <v>37.700000000000003</v>
      </c>
      <c r="J338" s="251">
        <v>38.56</v>
      </c>
      <c r="K338" s="251">
        <v>34.72</v>
      </c>
      <c r="L338" s="251">
        <v>34.229999999999997</v>
      </c>
      <c r="M338" s="251">
        <v>34.229999999999997</v>
      </c>
      <c r="N338" s="251">
        <v>36.119999999999997</v>
      </c>
      <c r="O338" s="251">
        <v>35.619999999999997</v>
      </c>
      <c r="P338" s="251">
        <v>33.75</v>
      </c>
      <c r="Q338" s="251">
        <v>33.9</v>
      </c>
      <c r="R338" s="251">
        <v>35.020000000000003</v>
      </c>
      <c r="S338" s="251">
        <v>33.08</v>
      </c>
      <c r="T338" s="251">
        <v>33.36</v>
      </c>
      <c r="U338" s="251">
        <v>33.685000000000002</v>
      </c>
      <c r="V338" s="251">
        <v>33.619999999999997</v>
      </c>
      <c r="W338" s="251">
        <v>36.65</v>
      </c>
      <c r="X338" s="251">
        <v>37.01</v>
      </c>
      <c r="Y338" s="251">
        <v>38.325000000000003</v>
      </c>
      <c r="Z338" s="245">
        <f ca="1">[1]ExtEntry!$I36</f>
        <v>38.325000000000003</v>
      </c>
      <c r="AB338" s="261">
        <v>-725</v>
      </c>
      <c r="AC338" s="261">
        <v>1550</v>
      </c>
      <c r="AD338" s="261">
        <v>1075</v>
      </c>
      <c r="AE338" s="261">
        <v>-6275</v>
      </c>
      <c r="AF338" s="261">
        <v>-149.99999999998545</v>
      </c>
      <c r="AG338" s="261">
        <v>-2460</v>
      </c>
      <c r="AH338" s="261">
        <v>6060</v>
      </c>
      <c r="AI338" s="261">
        <v>6060</v>
      </c>
      <c r="AJ338" s="261">
        <v>-2960</v>
      </c>
      <c r="AK338" s="261">
        <v>2840</v>
      </c>
      <c r="AL338" s="261">
        <v>-1560</v>
      </c>
      <c r="AM338" s="261">
        <v>5120</v>
      </c>
      <c r="AN338" s="261">
        <v>1640</v>
      </c>
      <c r="AO338" s="261">
        <v>-1679.2000000000116</v>
      </c>
      <c r="AP338" s="261">
        <v>-960</v>
      </c>
      <c r="AQ338" s="261">
        <v>-1320</v>
      </c>
      <c r="AR338" s="261">
        <v>2519.6000000000058</v>
      </c>
      <c r="AS338" s="261">
        <v>3400</v>
      </c>
      <c r="AT338" s="261">
        <v>870</v>
      </c>
      <c r="AU338" s="261">
        <v>-740</v>
      </c>
      <c r="AV338" s="261">
        <f ca="1">Calc!AP36</f>
        <v>-740</v>
      </c>
      <c r="AX338" s="88" t="str">
        <f t="shared" ca="1" si="29"/>
        <v>PAAS</v>
      </c>
    </row>
    <row r="339" spans="1:50" hidden="1" x14ac:dyDescent="0.3">
      <c r="A339" s="88" t="str">
        <f t="shared" ca="1" si="28"/>
        <v>PROF</v>
      </c>
      <c r="F339" s="251">
        <v>5.78</v>
      </c>
      <c r="G339" s="251">
        <v>5.6</v>
      </c>
      <c r="H339" s="251">
        <v>5.47</v>
      </c>
      <c r="I339" s="251">
        <v>5.34</v>
      </c>
      <c r="J339" s="251">
        <v>5.55</v>
      </c>
      <c r="K339" s="251">
        <v>5.5738000000000003</v>
      </c>
      <c r="L339" s="251">
        <v>5.33</v>
      </c>
      <c r="M339" s="251">
        <v>5.33</v>
      </c>
      <c r="N339" s="251">
        <v>5.3</v>
      </c>
      <c r="O339" s="251">
        <v>5.2</v>
      </c>
      <c r="P339" s="251">
        <v>5.3700999999999999</v>
      </c>
      <c r="Q339" s="251">
        <v>5.49</v>
      </c>
      <c r="R339" s="251">
        <v>5.9100999999999999</v>
      </c>
      <c r="S339" s="251">
        <v>5.8</v>
      </c>
      <c r="T339" s="251">
        <v>5.75</v>
      </c>
      <c r="U339" s="251">
        <v>5.64</v>
      </c>
      <c r="V339" s="251">
        <v>5.68</v>
      </c>
      <c r="W339" s="251">
        <v>5.99</v>
      </c>
      <c r="X339" s="251">
        <v>6.0949999999999998</v>
      </c>
      <c r="Y339" s="251">
        <v>5.9</v>
      </c>
      <c r="Z339" s="245">
        <f ca="1">[1]ExtEntry!$I37</f>
        <v>5.9</v>
      </c>
      <c r="AB339" s="264">
        <v>-720</v>
      </c>
      <c r="AC339" s="264">
        <v>-1160</v>
      </c>
      <c r="AD339" s="264">
        <v>-840</v>
      </c>
      <c r="AE339" s="264">
        <v>-40</v>
      </c>
      <c r="AF339" s="264">
        <v>720</v>
      </c>
      <c r="AG339" s="264">
        <v>120</v>
      </c>
      <c r="AH339" s="264">
        <v>-1120</v>
      </c>
      <c r="AI339" s="264">
        <v>-1120</v>
      </c>
      <c r="AJ339" s="264">
        <v>-1176</v>
      </c>
      <c r="AK339" s="264">
        <v>480</v>
      </c>
      <c r="AL339" s="264">
        <v>120</v>
      </c>
      <c r="AM339" s="264">
        <v>2840</v>
      </c>
      <c r="AN339" s="264">
        <v>400</v>
      </c>
      <c r="AO339" s="264">
        <v>-220</v>
      </c>
      <c r="AP339" s="264">
        <v>120</v>
      </c>
      <c r="AQ339" s="264">
        <v>0</v>
      </c>
      <c r="AR339" s="264">
        <v>460</v>
      </c>
      <c r="AS339" s="264">
        <v>3440</v>
      </c>
      <c r="AT339" s="264">
        <v>-920</v>
      </c>
      <c r="AU339" s="264">
        <v>-1040</v>
      </c>
      <c r="AV339" s="261">
        <f ca="1">Calc!AP37</f>
        <v>-1040</v>
      </c>
      <c r="AX339" s="88" t="str">
        <f t="shared" ca="1" si="29"/>
        <v>PROF</v>
      </c>
    </row>
    <row r="340" spans="1:50" hidden="1" x14ac:dyDescent="0.3">
      <c r="A340" s="88" t="str">
        <f t="shared" ca="1" si="28"/>
        <v>POET</v>
      </c>
      <c r="F340" s="251">
        <v>7.89</v>
      </c>
      <c r="G340" s="251">
        <v>7.92</v>
      </c>
      <c r="H340" s="251">
        <v>7.5350000000000001</v>
      </c>
      <c r="I340" s="251">
        <v>6.98</v>
      </c>
      <c r="J340" s="251">
        <v>7</v>
      </c>
      <c r="K340" s="251">
        <v>7.29</v>
      </c>
      <c r="L340" s="251">
        <v>7.01</v>
      </c>
      <c r="M340" s="251">
        <v>7.01</v>
      </c>
      <c r="N340" s="251">
        <v>7.12</v>
      </c>
      <c r="O340" s="251">
        <v>7.51</v>
      </c>
      <c r="P340" s="251">
        <v>7.37</v>
      </c>
      <c r="Q340" s="251">
        <v>7.02</v>
      </c>
      <c r="R340" s="251">
        <v>6.36</v>
      </c>
      <c r="S340" s="251">
        <v>5.8</v>
      </c>
      <c r="T340" s="251">
        <v>5.86</v>
      </c>
      <c r="U340" s="251">
        <v>5.3425000000000002</v>
      </c>
      <c r="V340" s="251">
        <v>4.97</v>
      </c>
      <c r="W340" s="251">
        <v>4.1803999999999997</v>
      </c>
      <c r="X340" s="251">
        <v>4.07</v>
      </c>
      <c r="Y340" s="251">
        <v>4.17</v>
      </c>
      <c r="Z340" s="245">
        <f ca="1">[1]ExtEntry!$I38</f>
        <v>4.17</v>
      </c>
      <c r="AB340" s="261">
        <v>47250.000000000058</v>
      </c>
      <c r="AC340" s="261">
        <v>-43425</v>
      </c>
      <c r="AD340" s="261">
        <v>-45000</v>
      </c>
      <c r="AE340" s="261">
        <v>-17100</v>
      </c>
      <c r="AF340" s="261">
        <v>18000</v>
      </c>
      <c r="AG340" s="261">
        <v>-20025</v>
      </c>
      <c r="AH340" s="261">
        <v>-16650</v>
      </c>
      <c r="AI340" s="261">
        <v>-16650</v>
      </c>
      <c r="AJ340" s="261">
        <v>1575</v>
      </c>
      <c r="AK340" s="261">
        <v>29475</v>
      </c>
      <c r="AL340" s="261">
        <v>-36000.000000000058</v>
      </c>
      <c r="AM340" s="261">
        <v>-21600</v>
      </c>
      <c r="AN340" s="261">
        <v>-7425</v>
      </c>
      <c r="AO340" s="261">
        <v>-11475</v>
      </c>
      <c r="AP340" s="261">
        <v>-1575</v>
      </c>
      <c r="AQ340" s="261">
        <v>-35325</v>
      </c>
      <c r="AR340" s="261">
        <v>11695.500000000029</v>
      </c>
      <c r="AS340" s="261">
        <v>9500.0000000000291</v>
      </c>
      <c r="AT340" s="261">
        <v>9595</v>
      </c>
      <c r="AU340" s="261">
        <v>-5016</v>
      </c>
      <c r="AV340" s="261">
        <f ca="1">Calc!AP38</f>
        <v>-5016</v>
      </c>
      <c r="AX340" s="88" t="str">
        <f t="shared" ca="1" si="29"/>
        <v>POET</v>
      </c>
    </row>
    <row r="341" spans="1:50" hidden="1" x14ac:dyDescent="0.3">
      <c r="A341" s="88" t="str">
        <f t="shared" ca="1" si="28"/>
        <v>PW</v>
      </c>
      <c r="F341" s="251">
        <v>0.83340000000000003</v>
      </c>
      <c r="G341" s="251">
        <v>0.88519999999999999</v>
      </c>
      <c r="H341" s="251">
        <v>0.86009999999999998</v>
      </c>
      <c r="I341" s="251">
        <v>0.80249999999999999</v>
      </c>
      <c r="J341" s="251">
        <v>0.78110000000000002</v>
      </c>
      <c r="K341" s="251">
        <v>0.73309999999999997</v>
      </c>
      <c r="L341" s="251">
        <v>0.69079999999999997</v>
      </c>
      <c r="M341" s="251">
        <v>0.69079999999999997</v>
      </c>
      <c r="N341" s="251">
        <v>0.66600000000000004</v>
      </c>
      <c r="O341" s="251">
        <v>0.70289999999999997</v>
      </c>
      <c r="P341" s="251">
        <v>0.75</v>
      </c>
      <c r="Q341" s="251">
        <v>0.73819999999999997</v>
      </c>
      <c r="R341" s="251">
        <v>0.66720000000000002</v>
      </c>
      <c r="S341" s="251">
        <v>0.6855</v>
      </c>
      <c r="T341" s="251">
        <v>0.70030000000000003</v>
      </c>
      <c r="U341" s="251">
        <v>0.65059999999999996</v>
      </c>
      <c r="V341" s="251">
        <v>0.65069999999999995</v>
      </c>
      <c r="W341" s="251">
        <v>0.59409999999999996</v>
      </c>
      <c r="X341" s="251">
        <v>0.62490000000000001</v>
      </c>
      <c r="Y341" s="251">
        <v>0.64</v>
      </c>
      <c r="Z341" s="245">
        <f ca="1">[1]ExtEntry!$I39</f>
        <v>0.64</v>
      </c>
      <c r="AB341" s="264">
        <v>97</v>
      </c>
      <c r="AC341" s="264">
        <v>0</v>
      </c>
      <c r="AD341" s="264">
        <v>-400</v>
      </c>
      <c r="AE341" s="264">
        <v>-796</v>
      </c>
      <c r="AF341" s="264">
        <v>-589</v>
      </c>
      <c r="AG341" s="264">
        <v>-159</v>
      </c>
      <c r="AH341" s="264">
        <v>-105</v>
      </c>
      <c r="AI341" s="264">
        <v>-105</v>
      </c>
      <c r="AJ341" s="264">
        <v>-49.999999999998181</v>
      </c>
      <c r="AK341" s="264">
        <v>434.99999999999909</v>
      </c>
      <c r="AL341" s="264">
        <v>605</v>
      </c>
      <c r="AM341" s="264">
        <v>-523</v>
      </c>
      <c r="AN341" s="264">
        <v>-905</v>
      </c>
      <c r="AO341" s="264">
        <v>-55</v>
      </c>
      <c r="AP341" s="264">
        <v>447</v>
      </c>
      <c r="AQ341" s="264">
        <v>-203</v>
      </c>
      <c r="AR341" s="264">
        <v>93.000000000000909</v>
      </c>
      <c r="AS341" s="264">
        <v>1074</v>
      </c>
      <c r="AT341" s="264">
        <v>-468</v>
      </c>
      <c r="AU341" s="264">
        <v>-238.99999999999909</v>
      </c>
      <c r="AV341" s="261">
        <f ca="1">Calc!AP39</f>
        <v>-238.99999999999909</v>
      </c>
      <c r="AX341" s="88" t="str">
        <f t="shared" ca="1" si="29"/>
        <v>PW</v>
      </c>
    </row>
    <row r="342" spans="1:50" hidden="1" x14ac:dyDescent="0.3">
      <c r="A342" s="88" t="str">
        <f t="shared" ca="1" si="28"/>
        <v>RIGL</v>
      </c>
      <c r="F342" s="251">
        <v>26.38</v>
      </c>
      <c r="G342" s="251">
        <v>27.41</v>
      </c>
      <c r="H342" s="251">
        <v>27.635000000000002</v>
      </c>
      <c r="I342" s="251">
        <v>27.75</v>
      </c>
      <c r="J342" s="251">
        <v>27.855</v>
      </c>
      <c r="K342" s="251">
        <v>29.05</v>
      </c>
      <c r="L342" s="251">
        <v>30.13</v>
      </c>
      <c r="M342" s="251">
        <v>30.13</v>
      </c>
      <c r="N342" s="251">
        <v>29.23</v>
      </c>
      <c r="O342" s="251">
        <v>29.61</v>
      </c>
      <c r="P342" s="251">
        <v>29.5</v>
      </c>
      <c r="Q342" s="251">
        <v>29.14</v>
      </c>
      <c r="R342" s="251">
        <v>29.36</v>
      </c>
      <c r="S342" s="251">
        <v>28.08</v>
      </c>
      <c r="T342" s="251">
        <v>34.39</v>
      </c>
      <c r="U342" s="251">
        <v>36.281500000000001</v>
      </c>
      <c r="V342" s="251">
        <v>34.64</v>
      </c>
      <c r="W342" s="251">
        <v>39.369999999999997</v>
      </c>
      <c r="X342" s="251">
        <v>41.03</v>
      </c>
      <c r="Y342" s="251">
        <v>41.55</v>
      </c>
      <c r="Z342" s="245">
        <f ca="1">[1]ExtEntry!$I40</f>
        <v>41.55</v>
      </c>
      <c r="AB342" s="261">
        <v>3560</v>
      </c>
      <c r="AC342" s="261">
        <v>2520</v>
      </c>
      <c r="AD342" s="261">
        <v>-1360</v>
      </c>
      <c r="AE342" s="261">
        <v>-320</v>
      </c>
      <c r="AF342" s="261">
        <v>4640</v>
      </c>
      <c r="AG342" s="261">
        <v>1540</v>
      </c>
      <c r="AH342" s="261">
        <v>880</v>
      </c>
      <c r="AI342" s="261">
        <v>880</v>
      </c>
      <c r="AJ342" s="261">
        <v>-2600</v>
      </c>
      <c r="AK342" s="261">
        <v>520</v>
      </c>
      <c r="AL342" s="261">
        <v>-1100</v>
      </c>
      <c r="AM342" s="261">
        <v>720</v>
      </c>
      <c r="AN342" s="261">
        <v>4520</v>
      </c>
      <c r="AO342" s="261">
        <v>-5280</v>
      </c>
      <c r="AP342" s="261">
        <v>2980</v>
      </c>
      <c r="AQ342" s="261">
        <v>-1645</v>
      </c>
      <c r="AR342" s="261">
        <v>-60</v>
      </c>
      <c r="AS342" s="261">
        <v>2410</v>
      </c>
      <c r="AT342" s="261">
        <v>4210</v>
      </c>
      <c r="AU342" s="261">
        <v>-3900</v>
      </c>
      <c r="AV342" s="261">
        <f ca="1">Calc!AP40</f>
        <v>-3900</v>
      </c>
      <c r="AX342" s="88" t="str">
        <f t="shared" ca="1" si="29"/>
        <v>RIGL</v>
      </c>
    </row>
    <row r="343" spans="1:50" hidden="1" x14ac:dyDescent="0.3">
      <c r="A343" s="88" t="str">
        <f t="shared" ca="1" si="28"/>
        <v>RWE</v>
      </c>
      <c r="F343" s="251">
        <v>40.46</v>
      </c>
      <c r="G343" s="251">
        <v>40.47</v>
      </c>
      <c r="H343" s="251">
        <v>40.85</v>
      </c>
      <c r="I343" s="251">
        <v>40.56</v>
      </c>
      <c r="J343" s="251">
        <v>40.83</v>
      </c>
      <c r="K343" s="251">
        <v>40.47</v>
      </c>
      <c r="L343" s="251">
        <v>39.869999999999997</v>
      </c>
      <c r="M343" s="251">
        <v>39.869999999999997</v>
      </c>
      <c r="N343" s="251">
        <v>39.78</v>
      </c>
      <c r="O343" s="251">
        <v>40.17</v>
      </c>
      <c r="P343" s="251">
        <v>40.21</v>
      </c>
      <c r="Q343" s="251">
        <v>40.43</v>
      </c>
      <c r="R343" s="251">
        <v>42.24</v>
      </c>
      <c r="S343" s="251">
        <v>42.34</v>
      </c>
      <c r="T343" s="251">
        <v>42.17</v>
      </c>
      <c r="U343" s="251">
        <v>42.46</v>
      </c>
      <c r="V343" s="251">
        <v>42.36</v>
      </c>
      <c r="W343" s="251">
        <v>44.88</v>
      </c>
      <c r="X343" s="251">
        <v>44.28</v>
      </c>
      <c r="Y343" s="251">
        <v>43.7</v>
      </c>
      <c r="Z343" s="245">
        <f ca="1">[1]ExtEntry!$I41</f>
        <v>43.7</v>
      </c>
      <c r="AB343" s="264">
        <v>-6.0000000000002274</v>
      </c>
      <c r="AC343" s="264">
        <v>1</v>
      </c>
      <c r="AD343" s="264">
        <v>26.5</v>
      </c>
      <c r="AE343" s="264">
        <v>-4</v>
      </c>
      <c r="AF343" s="264">
        <v>3</v>
      </c>
      <c r="AG343" s="264">
        <v>-19.999999999999773</v>
      </c>
      <c r="AH343" s="264">
        <v>-18</v>
      </c>
      <c r="AI343" s="264">
        <v>-18</v>
      </c>
      <c r="AJ343" s="264">
        <v>11</v>
      </c>
      <c r="AK343" s="264">
        <v>6.9999999999995453</v>
      </c>
      <c r="AL343" s="264">
        <v>-2</v>
      </c>
      <c r="AM343" s="264">
        <v>33</v>
      </c>
      <c r="AN343" s="264">
        <v>37</v>
      </c>
      <c r="AO343" s="264">
        <v>-6</v>
      </c>
      <c r="AP343" s="264">
        <v>16.5</v>
      </c>
      <c r="AQ343" s="264">
        <v>31</v>
      </c>
      <c r="AR343" s="264">
        <v>-10</v>
      </c>
      <c r="AS343" s="264">
        <v>-6</v>
      </c>
      <c r="AT343" s="264">
        <v>-34</v>
      </c>
      <c r="AU343" s="264">
        <v>-61.5</v>
      </c>
      <c r="AV343" s="261">
        <f ca="1">Calc!AP41</f>
        <v>-61.5</v>
      </c>
      <c r="AX343" s="88" t="str">
        <f t="shared" ca="1" si="29"/>
        <v>RWE</v>
      </c>
    </row>
    <row r="344" spans="1:50" hidden="1" x14ac:dyDescent="0.3">
      <c r="A344" s="88" t="str">
        <f t="shared" ca="1" si="28"/>
        <v>SAP</v>
      </c>
      <c r="F344" s="251">
        <v>228.45</v>
      </c>
      <c r="G344" s="251">
        <v>231.45</v>
      </c>
      <c r="H344" s="251">
        <v>230.35</v>
      </c>
      <c r="I344" s="251">
        <v>227</v>
      </c>
      <c r="J344" s="251">
        <v>232.9</v>
      </c>
      <c r="K344" s="251">
        <v>236.35</v>
      </c>
      <c r="L344" s="251">
        <v>236.5</v>
      </c>
      <c r="M344" s="251">
        <v>236.5</v>
      </c>
      <c r="N344" s="251">
        <v>229.7</v>
      </c>
      <c r="O344" s="251">
        <v>233.35</v>
      </c>
      <c r="P344" s="251">
        <v>233.15</v>
      </c>
      <c r="Q344" s="251">
        <v>232.75</v>
      </c>
      <c r="R344" s="251">
        <v>223.65</v>
      </c>
      <c r="S344" s="251">
        <v>224</v>
      </c>
      <c r="T344" s="251">
        <v>223.75</v>
      </c>
      <c r="U344" s="251">
        <v>217.55</v>
      </c>
      <c r="V344" s="251">
        <v>215.1</v>
      </c>
      <c r="W344" s="251">
        <v>207.55</v>
      </c>
      <c r="X344" s="251">
        <v>203.75</v>
      </c>
      <c r="Y344" s="251">
        <v>203.75</v>
      </c>
      <c r="Z344" s="245">
        <f ca="1">[1]ExtEntry!$I42</f>
        <v>203.75</v>
      </c>
      <c r="AB344" s="261">
        <v>6650</v>
      </c>
      <c r="AC344" s="261">
        <v>9120</v>
      </c>
      <c r="AD344" s="261">
        <v>7600</v>
      </c>
      <c r="AE344" s="261">
        <v>6460</v>
      </c>
      <c r="AF344" s="261">
        <v>18240</v>
      </c>
      <c r="AG344" s="261">
        <v>8550</v>
      </c>
      <c r="AH344" s="261">
        <v>-16340</v>
      </c>
      <c r="AI344" s="261">
        <v>-16340</v>
      </c>
      <c r="AJ344" s="261">
        <v>9880</v>
      </c>
      <c r="AK344" s="261">
        <v>-30020</v>
      </c>
      <c r="AL344" s="261">
        <v>5890</v>
      </c>
      <c r="AM344" s="261">
        <v>760</v>
      </c>
      <c r="AN344" s="261">
        <v>5890</v>
      </c>
      <c r="AO344" s="261">
        <v>190</v>
      </c>
      <c r="AP344" s="261">
        <v>11400</v>
      </c>
      <c r="AQ344" s="261">
        <v>-29070</v>
      </c>
      <c r="AR344" s="261">
        <v>-15200</v>
      </c>
      <c r="AS344" s="261">
        <v>-10070</v>
      </c>
      <c r="AT344" s="261">
        <v>570</v>
      </c>
      <c r="AU344" s="261">
        <v>1140</v>
      </c>
      <c r="AV344" s="261">
        <f ca="1">Calc!AP42</f>
        <v>1140</v>
      </c>
      <c r="AX344" s="88" t="str">
        <f t="shared" ca="1" si="29"/>
        <v>SAP</v>
      </c>
    </row>
    <row r="345" spans="1:50" hidden="1" x14ac:dyDescent="0.3">
      <c r="A345" s="88" t="str">
        <f t="shared" ca="1" si="28"/>
        <v>SHECY</v>
      </c>
      <c r="F345" s="251">
        <v>16.420000000000002</v>
      </c>
      <c r="G345" s="251">
        <v>15.86</v>
      </c>
      <c r="H345" s="251">
        <v>16.399999999999999</v>
      </c>
      <c r="I345" s="251">
        <v>16</v>
      </c>
      <c r="J345" s="251">
        <v>15.77</v>
      </c>
      <c r="K345" s="251">
        <v>16.055</v>
      </c>
      <c r="L345" s="251">
        <v>15.65</v>
      </c>
      <c r="M345" s="251">
        <v>15.65</v>
      </c>
      <c r="N345" s="251">
        <v>16</v>
      </c>
      <c r="O345" s="251">
        <v>15.6</v>
      </c>
      <c r="P345" s="251">
        <v>15.37</v>
      </c>
      <c r="Q345" s="251">
        <v>15.37</v>
      </c>
      <c r="R345" s="251">
        <v>14.38</v>
      </c>
      <c r="S345" s="251">
        <v>14.540100000000001</v>
      </c>
      <c r="T345" s="251">
        <v>14.27</v>
      </c>
      <c r="U345" s="251">
        <v>14.3</v>
      </c>
      <c r="V345" s="251">
        <v>14.335000000000001</v>
      </c>
      <c r="W345" s="251">
        <v>14.88</v>
      </c>
      <c r="X345" s="251">
        <v>13.85</v>
      </c>
      <c r="Y345" s="251">
        <v>14.19</v>
      </c>
      <c r="Z345" s="245">
        <f ca="1">[1]ExtEntry!$I43</f>
        <v>14.19</v>
      </c>
      <c r="AB345" s="264">
        <v>-7222</v>
      </c>
      <c r="AC345" s="264">
        <v>15616.373399999982</v>
      </c>
      <c r="AD345" s="264">
        <v>-223.68000000005122</v>
      </c>
      <c r="AE345" s="264">
        <v>11184</v>
      </c>
      <c r="AF345" s="264">
        <v>12749.760000000009</v>
      </c>
      <c r="AG345" s="264">
        <v>1565.7600000000093</v>
      </c>
      <c r="AH345" s="264">
        <v>5927.5199999999604</v>
      </c>
      <c r="AI345" s="264">
        <v>5927.5199999999604</v>
      </c>
      <c r="AJ345" s="264">
        <v>-12078.720000000088</v>
      </c>
      <c r="AK345" s="264">
        <v>-1789.4400000000023</v>
      </c>
      <c r="AL345" s="264">
        <v>-15433.919999999984</v>
      </c>
      <c r="AM345" s="264">
        <v>-12300.16320000001</v>
      </c>
      <c r="AN345" s="264">
        <v>14000</v>
      </c>
      <c r="AO345" s="264">
        <v>9997.5</v>
      </c>
      <c r="AP345" s="264">
        <v>15750</v>
      </c>
      <c r="AQ345" s="264">
        <v>-9750</v>
      </c>
      <c r="AR345" s="264">
        <v>8875</v>
      </c>
      <c r="AS345" s="264">
        <v>1250</v>
      </c>
      <c r="AT345" s="264">
        <v>6400</v>
      </c>
      <c r="AU345" s="264">
        <v>-12887.5</v>
      </c>
      <c r="AV345" s="261">
        <f ca="1">Calc!AP43</f>
        <v>-12887.5</v>
      </c>
      <c r="AX345" s="88" t="str">
        <f t="shared" ca="1" si="29"/>
        <v>SHECY</v>
      </c>
    </row>
    <row r="346" spans="1:50" hidden="1" x14ac:dyDescent="0.3">
      <c r="A346" s="88" t="str">
        <f t="shared" ca="1" si="28"/>
        <v>SSYS</v>
      </c>
      <c r="F346" s="251">
        <v>10.4001</v>
      </c>
      <c r="G346" s="251">
        <v>11.07</v>
      </c>
      <c r="H346" s="251">
        <v>11.4</v>
      </c>
      <c r="I346" s="251">
        <v>10.850099999999999</v>
      </c>
      <c r="J346" s="251">
        <v>11.04</v>
      </c>
      <c r="K346" s="251">
        <v>12.09</v>
      </c>
      <c r="L346" s="251">
        <v>11.01</v>
      </c>
      <c r="M346" s="251">
        <v>11.01</v>
      </c>
      <c r="N346" s="251">
        <v>11.15</v>
      </c>
      <c r="O346" s="251">
        <v>11.83</v>
      </c>
      <c r="P346" s="251">
        <v>11.65</v>
      </c>
      <c r="Q346" s="251">
        <v>11.5273</v>
      </c>
      <c r="R346" s="251">
        <v>10.76</v>
      </c>
      <c r="S346" s="251">
        <v>9.84</v>
      </c>
      <c r="T346" s="251">
        <v>9.77</v>
      </c>
      <c r="U346" s="251">
        <v>9.35</v>
      </c>
      <c r="V346" s="251">
        <v>9.1766000000000005</v>
      </c>
      <c r="W346" s="251">
        <v>8.8247</v>
      </c>
      <c r="X346" s="251">
        <v>8.3800000000000008</v>
      </c>
      <c r="Y346" s="251">
        <v>8.43</v>
      </c>
      <c r="Z346" s="245">
        <f ca="1">[1]ExtEntry!$I44</f>
        <v>8.43</v>
      </c>
      <c r="AB346" s="261">
        <v>2560</v>
      </c>
      <c r="AC346" s="261">
        <v>6224</v>
      </c>
      <c r="AD346" s="261">
        <v>-7200</v>
      </c>
      <c r="AE346" s="261">
        <v>-5920</v>
      </c>
      <c r="AF346" s="261">
        <v>20560</v>
      </c>
      <c r="AG346" s="261">
        <v>-4400</v>
      </c>
      <c r="AH346" s="261">
        <v>-14560</v>
      </c>
      <c r="AI346" s="261">
        <v>-14560</v>
      </c>
      <c r="AJ346" s="261">
        <v>7680</v>
      </c>
      <c r="AK346" s="261">
        <v>1056</v>
      </c>
      <c r="AL346" s="261">
        <v>-1600</v>
      </c>
      <c r="AM346" s="261">
        <v>-4480</v>
      </c>
      <c r="AN346" s="261">
        <v>-3520</v>
      </c>
      <c r="AO346" s="261">
        <v>-5920</v>
      </c>
      <c r="AP346" s="261">
        <v>-480</v>
      </c>
      <c r="AQ346" s="261">
        <v>-5600</v>
      </c>
      <c r="AR346" s="261">
        <v>3200</v>
      </c>
      <c r="AS346" s="261">
        <v>640</v>
      </c>
      <c r="AT346" s="261">
        <v>800</v>
      </c>
      <c r="AU346" s="261">
        <v>-800</v>
      </c>
      <c r="AV346" s="261">
        <f ca="1">Calc!AP44</f>
        <v>-800</v>
      </c>
      <c r="AX346" s="88" t="str">
        <f t="shared" ca="1" si="29"/>
        <v>SSYS</v>
      </c>
    </row>
    <row r="347" spans="1:50" hidden="1" x14ac:dyDescent="0.3">
      <c r="A347" s="88" t="str">
        <f t="shared" ca="1" si="28"/>
        <v>TSLA</v>
      </c>
      <c r="F347" s="251">
        <v>417.86</v>
      </c>
      <c r="G347" s="251">
        <v>426.33010000000002</v>
      </c>
      <c r="H347" s="251">
        <v>421.31009999999998</v>
      </c>
      <c r="I347" s="251">
        <v>423.6</v>
      </c>
      <c r="J347" s="251">
        <v>440.61</v>
      </c>
      <c r="K347" s="251">
        <v>442.05</v>
      </c>
      <c r="L347" s="251">
        <v>429</v>
      </c>
      <c r="M347" s="251">
        <v>429</v>
      </c>
      <c r="N347" s="251">
        <v>413.9</v>
      </c>
      <c r="O347" s="251">
        <v>430.17</v>
      </c>
      <c r="P347" s="251">
        <v>438.69</v>
      </c>
      <c r="Q347" s="251">
        <v>451.6</v>
      </c>
      <c r="R347" s="251">
        <v>439.61</v>
      </c>
      <c r="S347" s="251">
        <v>443.86</v>
      </c>
      <c r="T347" s="251">
        <v>440.71</v>
      </c>
      <c r="U347" s="251">
        <v>435.09</v>
      </c>
      <c r="V347" s="251">
        <v>421.88</v>
      </c>
      <c r="W347" s="251">
        <v>382.78</v>
      </c>
      <c r="X347" s="251">
        <v>393.71</v>
      </c>
      <c r="Y347" s="251">
        <v>400.40159999999997</v>
      </c>
      <c r="Z347" s="245">
        <f ca="1">[1]ExtEntry!$I45</f>
        <v>400.40159999999997</v>
      </c>
      <c r="AB347" s="264">
        <v>2.5900000000000318</v>
      </c>
      <c r="AC347" s="264">
        <v>-1.3799000000000206</v>
      </c>
      <c r="AD347" s="264">
        <v>-5.9800000000000182</v>
      </c>
      <c r="AE347" s="264">
        <v>13.810000000000002</v>
      </c>
      <c r="AF347" s="264">
        <v>3.5649999999999977</v>
      </c>
      <c r="AG347" s="264">
        <v>-3.1549999999999727</v>
      </c>
      <c r="AH347" s="264">
        <v>-4.4799999999999613</v>
      </c>
      <c r="AI347" s="264">
        <v>-4.4799999999999613</v>
      </c>
      <c r="AJ347" s="264">
        <v>28.980000000000018</v>
      </c>
      <c r="AK347" s="264">
        <v>-13.109999999999957</v>
      </c>
      <c r="AL347" s="264">
        <v>12.439999999999998</v>
      </c>
      <c r="AM347" s="264">
        <v>5.7750000000000341</v>
      </c>
      <c r="AN347" s="264">
        <v>-10.949999999999989</v>
      </c>
      <c r="AO347" s="264">
        <v>-7.6599999999999682</v>
      </c>
      <c r="AP347" s="264">
        <v>10.20799999999997</v>
      </c>
      <c r="AQ347" s="264">
        <v>-16.960100000000011</v>
      </c>
      <c r="AR347" s="264">
        <v>-7.57000000000005</v>
      </c>
      <c r="AS347" s="264">
        <v>18.050000000000011</v>
      </c>
      <c r="AT347" s="264">
        <v>-4.1299999999999955</v>
      </c>
      <c r="AU347" s="264">
        <v>-3.8899999999999864</v>
      </c>
      <c r="AV347" s="261">
        <f ca="1">Calc!AP45</f>
        <v>-3.8899999999999864</v>
      </c>
      <c r="AX347" s="88" t="str">
        <f t="shared" ca="1" si="29"/>
        <v>TSLA</v>
      </c>
    </row>
    <row r="348" spans="1:50" hidden="1" x14ac:dyDescent="0.3">
      <c r="A348" s="88" t="str">
        <f t="shared" ca="1" si="28"/>
        <v>TSM</v>
      </c>
      <c r="F348" s="251">
        <v>291.3426</v>
      </c>
      <c r="G348" s="251">
        <v>300.07</v>
      </c>
      <c r="H348" s="251">
        <v>296.69</v>
      </c>
      <c r="I348" s="251">
        <v>294.91500000000002</v>
      </c>
      <c r="J348" s="251">
        <v>297.06</v>
      </c>
      <c r="K348" s="251">
        <v>293.65499999999997</v>
      </c>
      <c r="L348" s="251">
        <v>284.39999999999998</v>
      </c>
      <c r="M348" s="251">
        <v>284.39999999999998</v>
      </c>
      <c r="N348" s="251">
        <v>289.63</v>
      </c>
      <c r="O348" s="251">
        <v>294.3897</v>
      </c>
      <c r="P348" s="251">
        <v>293.69</v>
      </c>
      <c r="Q348" s="251">
        <v>296.08</v>
      </c>
      <c r="R348" s="251">
        <v>300.82479999999998</v>
      </c>
      <c r="S348" s="251">
        <v>294.39999999999998</v>
      </c>
      <c r="T348" s="251">
        <v>291.5</v>
      </c>
      <c r="U348" s="251">
        <v>287.3811</v>
      </c>
      <c r="V348" s="251">
        <v>277.13</v>
      </c>
      <c r="W348" s="251">
        <v>273.23</v>
      </c>
      <c r="X348" s="251">
        <v>272.72000000000003</v>
      </c>
      <c r="Y348" s="251">
        <v>276.32</v>
      </c>
      <c r="Z348" s="245">
        <f ca="1">[1]ExtEntry!$I46</f>
        <v>276.32</v>
      </c>
      <c r="AB348" s="261">
        <v>1552.5</v>
      </c>
      <c r="AC348" s="261">
        <v>-5017.5</v>
      </c>
      <c r="AD348" s="261">
        <v>-49319.999999999767</v>
      </c>
      <c r="AE348" s="261">
        <v>-13260</v>
      </c>
      <c r="AF348" s="261">
        <v>-8824</v>
      </c>
      <c r="AG348" s="261">
        <v>-17920</v>
      </c>
      <c r="AH348" s="261">
        <v>-19680</v>
      </c>
      <c r="AI348" s="261">
        <v>-19680</v>
      </c>
      <c r="AJ348" s="261">
        <v>4512</v>
      </c>
      <c r="AK348" s="261">
        <v>-2736</v>
      </c>
      <c r="AL348" s="261">
        <v>-1968</v>
      </c>
      <c r="AM348" s="261">
        <v>15384</v>
      </c>
      <c r="AN348" s="261">
        <v>1056</v>
      </c>
      <c r="AO348" s="261">
        <v>-10584</v>
      </c>
      <c r="AP348" s="261">
        <v>6384</v>
      </c>
      <c r="AQ348" s="261">
        <v>-21015</v>
      </c>
      <c r="AR348" s="261">
        <v>3352.5</v>
      </c>
      <c r="AS348" s="261">
        <v>40320</v>
      </c>
      <c r="AT348" s="261">
        <v>2070</v>
      </c>
      <c r="AU348" s="261">
        <v>10710</v>
      </c>
      <c r="AV348" s="261">
        <f ca="1">Calc!AP46</f>
        <v>10710</v>
      </c>
      <c r="AX348" s="88" t="str">
        <f t="shared" ca="1" si="29"/>
        <v>TSM</v>
      </c>
    </row>
    <row r="349" spans="1:50" hidden="1" x14ac:dyDescent="0.3">
      <c r="A349" s="88" t="str">
        <f t="shared" ca="1" si="28"/>
        <v>UN0</v>
      </c>
      <c r="F349" s="251">
        <v>31.4</v>
      </c>
      <c r="G349" s="251">
        <v>31.55</v>
      </c>
      <c r="H349" s="251">
        <v>31.2</v>
      </c>
      <c r="I349" s="251">
        <v>31.35</v>
      </c>
      <c r="J349" s="251">
        <v>32.049999999999997</v>
      </c>
      <c r="K349" s="251">
        <v>31.7</v>
      </c>
      <c r="L349" s="251">
        <v>31.6</v>
      </c>
      <c r="M349" s="251">
        <v>31.6</v>
      </c>
      <c r="N349" s="251">
        <v>30.9</v>
      </c>
      <c r="O349" s="251">
        <v>30.15</v>
      </c>
      <c r="P349" s="251">
        <v>30.2</v>
      </c>
      <c r="Q349" s="251">
        <v>30.25</v>
      </c>
      <c r="R349" s="251">
        <v>30.05</v>
      </c>
      <c r="S349" s="251">
        <v>29.55</v>
      </c>
      <c r="T349" s="251">
        <v>29.5</v>
      </c>
      <c r="U349" s="251">
        <v>27.95</v>
      </c>
      <c r="V349" s="251">
        <v>28.4</v>
      </c>
      <c r="W349" s="251">
        <v>28.3</v>
      </c>
      <c r="X349" s="251">
        <v>29.55</v>
      </c>
      <c r="Y349" s="251">
        <v>29.55</v>
      </c>
      <c r="Z349" s="245">
        <f ca="1">[1]ExtEntry!$I47</f>
        <v>29.55</v>
      </c>
      <c r="AB349" s="264">
        <v>-1350</v>
      </c>
      <c r="AC349" s="264">
        <v>-450</v>
      </c>
      <c r="AD349" s="264">
        <v>150</v>
      </c>
      <c r="AE349" s="264">
        <v>600</v>
      </c>
      <c r="AF349" s="264">
        <v>2850.0000000000146</v>
      </c>
      <c r="AG349" s="264">
        <v>-1200</v>
      </c>
      <c r="AH349" s="264">
        <v>600</v>
      </c>
      <c r="AI349" s="264">
        <v>600</v>
      </c>
      <c r="AJ349" s="264">
        <v>-1050</v>
      </c>
      <c r="AK349" s="264">
        <v>-2550</v>
      </c>
      <c r="AL349" s="264">
        <v>1950</v>
      </c>
      <c r="AM349" s="264">
        <v>0</v>
      </c>
      <c r="AN349" s="264">
        <v>-450</v>
      </c>
      <c r="AO349" s="264">
        <v>150</v>
      </c>
      <c r="AP349" s="264">
        <v>0</v>
      </c>
      <c r="AQ349" s="264">
        <v>-2850</v>
      </c>
      <c r="AR349" s="264">
        <v>300</v>
      </c>
      <c r="AS349" s="264">
        <v>450</v>
      </c>
      <c r="AT349" s="264">
        <v>0</v>
      </c>
      <c r="AU349" s="264">
        <v>2100</v>
      </c>
      <c r="AV349" s="261">
        <f ca="1">Calc!AP47</f>
        <v>2100</v>
      </c>
      <c r="AX349" s="88" t="str">
        <f t="shared" ca="1" si="29"/>
        <v>UN0</v>
      </c>
    </row>
    <row r="350" spans="1:50" hidden="1" x14ac:dyDescent="0.3">
      <c r="A350" s="88" t="str">
        <f t="shared" ca="1" si="28"/>
        <v>UNIT</v>
      </c>
      <c r="F350" s="251">
        <v>5.3018999999999998</v>
      </c>
      <c r="G350" s="251">
        <v>5.34</v>
      </c>
      <c r="H350" s="251">
        <v>5.48</v>
      </c>
      <c r="I350" s="251">
        <v>5.4850000000000003</v>
      </c>
      <c r="J350" s="251">
        <v>5.5449999999999999</v>
      </c>
      <c r="K350" s="251">
        <v>5.4749999999999996</v>
      </c>
      <c r="L350" s="251">
        <v>5.54</v>
      </c>
      <c r="M350" s="251">
        <v>5.54</v>
      </c>
      <c r="N350" s="251">
        <v>5.4450000000000003</v>
      </c>
      <c r="O350" s="251">
        <v>5.84</v>
      </c>
      <c r="P350" s="251">
        <v>5.97</v>
      </c>
      <c r="Q350" s="251">
        <v>5.85</v>
      </c>
      <c r="R350" s="251">
        <v>5.64</v>
      </c>
      <c r="S350" s="251">
        <v>5.56</v>
      </c>
      <c r="T350" s="251">
        <v>5.94</v>
      </c>
      <c r="U350" s="251">
        <v>6.15</v>
      </c>
      <c r="V350" s="251">
        <v>6.1303999999999998</v>
      </c>
      <c r="W350" s="251">
        <v>5.87</v>
      </c>
      <c r="X350" s="251">
        <v>6.11</v>
      </c>
      <c r="Y350" s="251">
        <v>5.89</v>
      </c>
      <c r="Z350" s="245">
        <f ca="1">[1]ExtEntry!$I48</f>
        <v>5.89</v>
      </c>
      <c r="AB350" s="261">
        <v>542.61000000000058</v>
      </c>
      <c r="AC350" s="261">
        <v>4702.6199999999953</v>
      </c>
      <c r="AD350" s="261">
        <v>-2532.179999999993</v>
      </c>
      <c r="AE350" s="261">
        <v>1627.8300000000163</v>
      </c>
      <c r="AF350" s="261">
        <v>-868.19999999999709</v>
      </c>
      <c r="AG350" s="261">
        <v>578.80000000000291</v>
      </c>
      <c r="AH350" s="261">
        <v>-217.05000000000291</v>
      </c>
      <c r="AI350" s="261">
        <v>-217.05000000000291</v>
      </c>
      <c r="AJ350" s="261">
        <v>2170.5</v>
      </c>
      <c r="AK350" s="261">
        <v>217.05000000000291</v>
      </c>
      <c r="AL350" s="261">
        <v>1736.3999999999942</v>
      </c>
      <c r="AM350" s="261">
        <v>-1012.8999999999942</v>
      </c>
      <c r="AN350" s="261">
        <v>506.44999999999709</v>
      </c>
      <c r="AO350" s="261">
        <v>1772.5749999999971</v>
      </c>
      <c r="AP350" s="261">
        <v>2894</v>
      </c>
      <c r="AQ350" s="261">
        <v>-759.67499999999563</v>
      </c>
      <c r="AR350" s="261">
        <v>2351.375</v>
      </c>
      <c r="AS350" s="261">
        <v>2749.3000000000029</v>
      </c>
      <c r="AT350" s="261">
        <v>-868.19999999999709</v>
      </c>
      <c r="AU350" s="261">
        <v>-1917.2749999999942</v>
      </c>
      <c r="AV350" s="261">
        <f ca="1">Calc!AP48</f>
        <v>-1917.2749999999942</v>
      </c>
      <c r="AX350" s="88" t="str">
        <f t="shared" ca="1" si="29"/>
        <v>UNIT</v>
      </c>
    </row>
    <row r="351" spans="1:50" hidden="1" x14ac:dyDescent="0.3">
      <c r="A351" s="88" t="str">
        <f t="shared" ca="1" si="28"/>
        <v>VLVLY</v>
      </c>
      <c r="F351" s="251">
        <v>27.52</v>
      </c>
      <c r="G351" s="251">
        <v>27.65</v>
      </c>
      <c r="H351" s="251">
        <v>28.02</v>
      </c>
      <c r="I351" s="251">
        <v>26.11</v>
      </c>
      <c r="J351" s="251">
        <v>26.914999999999999</v>
      </c>
      <c r="K351" s="251">
        <v>26.986499999999999</v>
      </c>
      <c r="L351" s="251">
        <v>27.08</v>
      </c>
      <c r="M351" s="251">
        <v>27.08</v>
      </c>
      <c r="N351" s="251">
        <v>27.324999999999999</v>
      </c>
      <c r="O351" s="251">
        <v>27.6</v>
      </c>
      <c r="P351" s="251">
        <v>27.7</v>
      </c>
      <c r="Q351" s="251">
        <v>27.61</v>
      </c>
      <c r="R351" s="251">
        <v>27.5</v>
      </c>
      <c r="S351" s="251">
        <v>26.77</v>
      </c>
      <c r="T351" s="251">
        <v>27.3</v>
      </c>
      <c r="U351" s="251">
        <v>27.100100000000001</v>
      </c>
      <c r="V351" s="251">
        <v>26.96</v>
      </c>
      <c r="W351" s="251">
        <v>27.82</v>
      </c>
      <c r="X351" s="251">
        <v>26.96</v>
      </c>
      <c r="Y351" s="251">
        <v>27.98</v>
      </c>
      <c r="Z351" s="245">
        <f ca="1">[1]ExtEntry!$I49</f>
        <v>27.98</v>
      </c>
      <c r="AB351" s="261">
        <v>180.15000000000146</v>
      </c>
      <c r="AC351" s="261">
        <v>-1.5</v>
      </c>
      <c r="AD351" s="261">
        <v>67.5</v>
      </c>
      <c r="AE351" s="261">
        <v>255</v>
      </c>
      <c r="AF351" s="261">
        <v>262.5</v>
      </c>
      <c r="AG351" s="261">
        <v>495</v>
      </c>
      <c r="AH351" s="261">
        <v>-105</v>
      </c>
      <c r="AI351" s="261">
        <v>-105</v>
      </c>
      <c r="AJ351" s="261">
        <v>-240</v>
      </c>
      <c r="AK351" s="261">
        <v>-165</v>
      </c>
      <c r="AL351" s="261">
        <v>-45</v>
      </c>
      <c r="AM351" s="261">
        <v>45</v>
      </c>
      <c r="AN351" s="261">
        <v>-300</v>
      </c>
      <c r="AO351" s="261">
        <v>-1035</v>
      </c>
      <c r="AP351" s="261">
        <v>616.80000000000291</v>
      </c>
      <c r="AQ351" s="261">
        <v>-960</v>
      </c>
      <c r="AR351" s="261">
        <v>1129.5</v>
      </c>
      <c r="AS351" s="261">
        <v>660</v>
      </c>
      <c r="AT351" s="261">
        <v>1950</v>
      </c>
      <c r="AU351" s="261">
        <v>-165</v>
      </c>
      <c r="AV351" s="261">
        <f ca="1">Calc!AP49</f>
        <v>-165</v>
      </c>
      <c r="AX351" s="88" t="str">
        <f t="shared" ca="1" si="29"/>
        <v>VLVLY</v>
      </c>
    </row>
    <row r="352" spans="1:50" hidden="1" x14ac:dyDescent="0.3">
      <c r="A352" s="88" t="str">
        <f t="shared" ca="1" si="28"/>
        <v>VONN</v>
      </c>
      <c r="F352" s="251">
        <v>59.8</v>
      </c>
      <c r="G352" s="251">
        <v>60.2</v>
      </c>
      <c r="H352" s="251">
        <v>59.6</v>
      </c>
      <c r="I352" s="251">
        <v>58.5</v>
      </c>
      <c r="J352" s="251">
        <v>58.8</v>
      </c>
      <c r="K352" s="251">
        <v>58.6</v>
      </c>
      <c r="L352" s="251">
        <v>58.9</v>
      </c>
      <c r="M352" s="251">
        <v>58.9</v>
      </c>
      <c r="N352" s="251">
        <v>60.2</v>
      </c>
      <c r="O352" s="251">
        <v>60.4</v>
      </c>
      <c r="P352" s="251">
        <v>60.6</v>
      </c>
      <c r="Q352" s="251">
        <v>60.1</v>
      </c>
      <c r="R352" s="251">
        <v>59.6</v>
      </c>
      <c r="S352" s="251">
        <v>58.8</v>
      </c>
      <c r="T352" s="251">
        <v>58.9</v>
      </c>
      <c r="U352" s="251">
        <v>58.2</v>
      </c>
      <c r="V352" s="251">
        <v>58.2</v>
      </c>
      <c r="W352" s="251">
        <v>59.4</v>
      </c>
      <c r="X352" s="251">
        <v>58.2</v>
      </c>
      <c r="Y352" s="251">
        <v>58.2</v>
      </c>
      <c r="Z352" s="245">
        <f ca="1">[1]ExtEntry!$I50</f>
        <v>58.2</v>
      </c>
      <c r="AB352" s="264">
        <v>0</v>
      </c>
      <c r="AC352" s="264">
        <v>-5600</v>
      </c>
      <c r="AD352" s="264">
        <v>-10500</v>
      </c>
      <c r="AE352" s="264">
        <v>1600</v>
      </c>
      <c r="AF352" s="264">
        <v>-1600</v>
      </c>
      <c r="AG352" s="264">
        <v>-4800</v>
      </c>
      <c r="AH352" s="264">
        <v>22400</v>
      </c>
      <c r="AI352" s="264">
        <v>22400</v>
      </c>
      <c r="AJ352" s="264">
        <v>14400</v>
      </c>
      <c r="AK352" s="264">
        <v>3200</v>
      </c>
      <c r="AL352" s="264">
        <v>-1600</v>
      </c>
      <c r="AM352" s="264">
        <v>-9587.4000000000233</v>
      </c>
      <c r="AN352" s="264">
        <v>9587.4000000000233</v>
      </c>
      <c r="AO352" s="264">
        <v>-6000</v>
      </c>
      <c r="AP352" s="264">
        <v>-3200</v>
      </c>
      <c r="AQ352" s="264">
        <v>-14400</v>
      </c>
      <c r="AR352" s="264">
        <v>-2000</v>
      </c>
      <c r="AS352" s="264">
        <v>0</v>
      </c>
      <c r="AT352" s="264">
        <v>5760</v>
      </c>
      <c r="AU352" s="264">
        <v>15360</v>
      </c>
      <c r="AV352" s="261">
        <f ca="1">Calc!AP50</f>
        <v>15360</v>
      </c>
      <c r="AX352" s="88" t="str">
        <f t="shared" ca="1" si="29"/>
        <v>VONN</v>
      </c>
    </row>
    <row r="353" spans="1:50" hidden="1" x14ac:dyDescent="0.3">
      <c r="A353" s="88" t="str">
        <f t="shared" ca="1" si="28"/>
        <v>VTRS</v>
      </c>
      <c r="F353" s="251">
        <v>9.74</v>
      </c>
      <c r="G353" s="251">
        <v>9.8550000000000004</v>
      </c>
      <c r="H353" s="251">
        <v>10.0137</v>
      </c>
      <c r="I353" s="251">
        <v>10.07</v>
      </c>
      <c r="J353" s="251">
        <v>10.130000000000001</v>
      </c>
      <c r="K353" s="251">
        <v>10.3</v>
      </c>
      <c r="L353" s="251">
        <v>10.31</v>
      </c>
      <c r="M353" s="251">
        <v>10.31</v>
      </c>
      <c r="N353" s="251">
        <v>10.29</v>
      </c>
      <c r="O353" s="251">
        <v>10.335000000000001</v>
      </c>
      <c r="P353" s="251">
        <v>10.18</v>
      </c>
      <c r="Q353" s="251">
        <v>10.27</v>
      </c>
      <c r="R353" s="251">
        <v>10.26</v>
      </c>
      <c r="S353" s="251">
        <v>10.36</v>
      </c>
      <c r="T353" s="251">
        <v>10.41</v>
      </c>
      <c r="U353" s="251">
        <v>10.029999999999999</v>
      </c>
      <c r="V353" s="251">
        <v>9.92</v>
      </c>
      <c r="W353" s="251">
        <v>10.66</v>
      </c>
      <c r="X353" s="251">
        <v>10.57</v>
      </c>
      <c r="Y353" s="251">
        <v>10.48</v>
      </c>
      <c r="Z353" s="245">
        <f ca="1">[1]ExtEntry!$I51</f>
        <v>10.48</v>
      </c>
      <c r="AB353" s="261">
        <v>1800</v>
      </c>
      <c r="AC353" s="261">
        <v>-450</v>
      </c>
      <c r="AD353" s="261">
        <v>100</v>
      </c>
      <c r="AE353" s="261">
        <v>400</v>
      </c>
      <c r="AF353" s="261">
        <v>700</v>
      </c>
      <c r="AG353" s="261">
        <v>400</v>
      </c>
      <c r="AH353" s="261">
        <v>50</v>
      </c>
      <c r="AI353" s="261">
        <v>50</v>
      </c>
      <c r="AJ353" s="261">
        <v>-400</v>
      </c>
      <c r="AK353" s="261">
        <v>-50</v>
      </c>
      <c r="AL353" s="261">
        <v>350</v>
      </c>
      <c r="AM353" s="261">
        <v>-450.00000000001455</v>
      </c>
      <c r="AN353" s="261">
        <v>450</v>
      </c>
      <c r="AO353" s="261">
        <v>475</v>
      </c>
      <c r="AP353" s="261">
        <v>1500</v>
      </c>
      <c r="AQ353" s="261">
        <v>-2775</v>
      </c>
      <c r="AR353" s="261">
        <v>25</v>
      </c>
      <c r="AS353" s="261">
        <v>-550</v>
      </c>
      <c r="AT353" s="261">
        <v>350.00000000000728</v>
      </c>
      <c r="AU353" s="261">
        <v>-675</v>
      </c>
      <c r="AV353" s="261">
        <f ca="1">Calc!AP51</f>
        <v>-675</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110.73</v>
      </c>
      <c r="G355" s="251">
        <v>110.97</v>
      </c>
      <c r="H355" s="251">
        <v>110.38500000000001</v>
      </c>
      <c r="I355" s="251">
        <v>111.18</v>
      </c>
      <c r="J355" s="251">
        <v>111.98</v>
      </c>
      <c r="K355" s="251">
        <v>111.99</v>
      </c>
      <c r="L355" s="251">
        <v>113.08</v>
      </c>
      <c r="M355" s="251">
        <v>113.08</v>
      </c>
      <c r="N355" s="251">
        <v>115.36</v>
      </c>
      <c r="O355" s="251">
        <v>115.18</v>
      </c>
      <c r="P355" s="251">
        <v>115.1</v>
      </c>
      <c r="Q355" s="251">
        <v>114.99</v>
      </c>
      <c r="R355" s="251">
        <v>114.53</v>
      </c>
      <c r="S355" s="251">
        <v>112.51</v>
      </c>
      <c r="T355" s="251">
        <v>113.67</v>
      </c>
      <c r="U355" s="251">
        <v>113.6</v>
      </c>
      <c r="V355" s="251">
        <v>114.9</v>
      </c>
      <c r="W355" s="251">
        <v>116.6564</v>
      </c>
      <c r="X355" s="251">
        <v>116.48</v>
      </c>
      <c r="Y355" s="251">
        <v>115.93</v>
      </c>
      <c r="Z355" s="245">
        <f ca="1">[1]ExtEntry!$I53</f>
        <v>115.93</v>
      </c>
      <c r="AB355" s="261">
        <v>770</v>
      </c>
      <c r="AC355" s="261">
        <v>-477.5</v>
      </c>
      <c r="AD355" s="261">
        <v>-620</v>
      </c>
      <c r="AE355" s="261">
        <v>305</v>
      </c>
      <c r="AF355" s="261">
        <v>352.5</v>
      </c>
      <c r="AG355" s="261">
        <v>-95</v>
      </c>
      <c r="AH355" s="261">
        <v>640</v>
      </c>
      <c r="AI355" s="261">
        <v>640</v>
      </c>
      <c r="AJ355" s="261">
        <v>-340</v>
      </c>
      <c r="AK355" s="261">
        <v>-475</v>
      </c>
      <c r="AL355" s="261">
        <v>132.5</v>
      </c>
      <c r="AM355" s="261">
        <v>-225</v>
      </c>
      <c r="AN355" s="261">
        <v>-867.5</v>
      </c>
      <c r="AO355" s="261">
        <v>417.5</v>
      </c>
      <c r="AP355" s="261">
        <v>-190</v>
      </c>
      <c r="AQ355" s="261">
        <v>645</v>
      </c>
      <c r="AR355" s="261">
        <v>1110</v>
      </c>
      <c r="AS355" s="261">
        <v>415</v>
      </c>
      <c r="AT355" s="261">
        <v>885</v>
      </c>
      <c r="AU355" s="261">
        <v>325</v>
      </c>
      <c r="AV355" s="261">
        <f ca="1">Calc!AP53</f>
        <v>325</v>
      </c>
      <c r="AX355" s="88" t="str">
        <f t="shared" ca="1" si="29"/>
        <v>XOM</v>
      </c>
    </row>
    <row r="356" spans="1:50" hidden="1" x14ac:dyDescent="0.3">
      <c r="A356" s="88" t="str">
        <f t="shared" ca="1" si="28"/>
        <v>XPER</v>
      </c>
      <c r="F356" s="251">
        <v>6.38</v>
      </c>
      <c r="G356" s="251">
        <v>6.7</v>
      </c>
      <c r="H356" s="251">
        <v>6.67</v>
      </c>
      <c r="I356" s="251">
        <v>6.59</v>
      </c>
      <c r="J356" s="251">
        <v>6.62</v>
      </c>
      <c r="K356" s="251">
        <v>6.6349999999999998</v>
      </c>
      <c r="L356" s="251">
        <v>6.44</v>
      </c>
      <c r="M356" s="251">
        <v>6.44</v>
      </c>
      <c r="N356" s="251">
        <v>6.54</v>
      </c>
      <c r="O356" s="251">
        <v>6.67</v>
      </c>
      <c r="P356" s="251">
        <v>6.6349999999999998</v>
      </c>
      <c r="Q356" s="251">
        <v>6.5919999999999996</v>
      </c>
      <c r="R356" s="251">
        <v>6.54</v>
      </c>
      <c r="S356" s="251">
        <v>6.31</v>
      </c>
      <c r="T356" s="251">
        <v>6.4</v>
      </c>
      <c r="U356" s="251">
        <v>6.8250000000000002</v>
      </c>
      <c r="V356" s="251">
        <v>6.5149999999999997</v>
      </c>
      <c r="W356" s="251">
        <v>6.1</v>
      </c>
      <c r="X356" s="251">
        <v>5.8049999999999997</v>
      </c>
      <c r="Y356" s="251">
        <v>5.6849999999999996</v>
      </c>
      <c r="Z356" s="245">
        <f ca="1">[1]ExtEntry!$I54</f>
        <v>5.6849999999999996</v>
      </c>
      <c r="AB356" s="264">
        <v>2950</v>
      </c>
      <c r="AC356" s="264">
        <v>101</v>
      </c>
      <c r="AD356" s="264">
        <v>-600</v>
      </c>
      <c r="AE356" s="264">
        <v>-400</v>
      </c>
      <c r="AF356" s="264">
        <v>300</v>
      </c>
      <c r="AG356" s="264">
        <v>800</v>
      </c>
      <c r="AH356" s="264">
        <v>-1700</v>
      </c>
      <c r="AI356" s="264">
        <v>-1800</v>
      </c>
      <c r="AJ356" s="264">
        <v>700</v>
      </c>
      <c r="AK356" s="264">
        <v>0</v>
      </c>
      <c r="AL356" s="264">
        <v>-1000</v>
      </c>
      <c r="AM356" s="264">
        <v>1300</v>
      </c>
      <c r="AN356" s="264">
        <v>300</v>
      </c>
      <c r="AO356" s="264">
        <v>-1100</v>
      </c>
      <c r="AP356" s="264">
        <v>3400</v>
      </c>
      <c r="AQ356" s="264">
        <v>-1300</v>
      </c>
      <c r="AR356" s="264">
        <v>-765</v>
      </c>
      <c r="AS356" s="264">
        <v>-199.99999999999272</v>
      </c>
      <c r="AT356" s="264">
        <v>-1100</v>
      </c>
      <c r="AU356" s="264">
        <v>-1299.9999999999927</v>
      </c>
      <c r="AV356" s="261">
        <f ca="1">Calc!AP54</f>
        <v>-1299.9999999999927</v>
      </c>
      <c r="AX356" s="88" t="str">
        <f t="shared" ca="1" si="29"/>
        <v>XPER</v>
      </c>
    </row>
    <row r="357" spans="1:50" hidden="1" x14ac:dyDescent="0.3">
      <c r="A357" s="88" t="str">
        <f t="shared" ca="1" si="28"/>
        <v>MVEALDNE</v>
      </c>
      <c r="F357" s="251">
        <v>0.82</v>
      </c>
      <c r="G357" s="251">
        <v>0.82</v>
      </c>
      <c r="H357" s="251">
        <v>0.81</v>
      </c>
      <c r="I357" s="251">
        <v>0.81</v>
      </c>
      <c r="J357" s="251">
        <v>0.80400000000000005</v>
      </c>
      <c r="K357" s="251">
        <v>0.76400000000000001</v>
      </c>
      <c r="L357" s="251">
        <v>0.82</v>
      </c>
      <c r="M357" s="251">
        <v>0.82</v>
      </c>
      <c r="N357" s="251">
        <v>0.81</v>
      </c>
      <c r="O357" s="251">
        <v>0.76400000000000001</v>
      </c>
      <c r="P357" s="251">
        <v>0.8</v>
      </c>
      <c r="Q357" s="251">
        <v>0.8</v>
      </c>
      <c r="R357" s="251">
        <v>0.78</v>
      </c>
      <c r="S357" s="251">
        <v>0.752</v>
      </c>
      <c r="T357" s="251">
        <v>0.77</v>
      </c>
      <c r="U357" s="251">
        <v>0.77</v>
      </c>
      <c r="V357" s="251">
        <v>0.76200000000000001</v>
      </c>
      <c r="W357" s="251">
        <v>0.66200000000000003</v>
      </c>
      <c r="X357" s="251">
        <v>0.67</v>
      </c>
      <c r="Y357" s="251">
        <v>0.66400000000000003</v>
      </c>
      <c r="Z357" s="245">
        <f ca="1">[1]ExtEntry!$I55</f>
        <v>0.66400000000000003</v>
      </c>
      <c r="AB357" s="261">
        <v>2020</v>
      </c>
      <c r="AC357" s="261">
        <v>9090</v>
      </c>
      <c r="AD357" s="261">
        <v>5050</v>
      </c>
      <c r="AE357" s="261">
        <v>1010</v>
      </c>
      <c r="AF357" s="261">
        <v>5050</v>
      </c>
      <c r="AG357" s="261">
        <v>10100</v>
      </c>
      <c r="AH357" s="261">
        <v>10100</v>
      </c>
      <c r="AI357" s="261">
        <v>10100</v>
      </c>
      <c r="AJ357" s="261">
        <v>-1010</v>
      </c>
      <c r="AK357" s="261">
        <v>3030</v>
      </c>
      <c r="AL357" s="261">
        <v>1010</v>
      </c>
      <c r="AM357" s="261">
        <v>1010</v>
      </c>
      <c r="AN357" s="261">
        <v>10100</v>
      </c>
      <c r="AO357" s="261">
        <v>-1010</v>
      </c>
      <c r="AP357" s="261">
        <v>1010</v>
      </c>
      <c r="AQ357" s="261">
        <v>1010</v>
      </c>
      <c r="AR357" s="261">
        <v>0</v>
      </c>
      <c r="AS357" s="261">
        <v>-27270</v>
      </c>
      <c r="AT357" s="261">
        <v>-6060</v>
      </c>
      <c r="AU357" s="261">
        <v>3030</v>
      </c>
      <c r="AV357" s="261">
        <f ca="1">Calc!AP55</f>
        <v>3030</v>
      </c>
      <c r="AX357" s="88" t="str">
        <f t="shared" ca="1" si="29"/>
        <v>MVEALDNE</v>
      </c>
    </row>
    <row r="358" spans="1:50" hidden="1" x14ac:dyDescent="0.3">
      <c r="A358" s="88" t="str">
        <f t="shared" ca="1" si="28"/>
        <v>MVEDDD</v>
      </c>
      <c r="F358" s="251">
        <v>2.87</v>
      </c>
      <c r="G358" s="251">
        <v>3.1150000000000002</v>
      </c>
      <c r="H358" s="251">
        <v>3.23</v>
      </c>
      <c r="I358" s="251">
        <v>3.09</v>
      </c>
      <c r="J358" s="251">
        <v>3.21</v>
      </c>
      <c r="K358" s="251">
        <v>3.31</v>
      </c>
      <c r="L358" s="251">
        <v>2.94</v>
      </c>
      <c r="M358" s="251">
        <v>2.94</v>
      </c>
      <c r="N358" s="251">
        <v>3.01</v>
      </c>
      <c r="O358" s="251">
        <v>3.11</v>
      </c>
      <c r="P358" s="251">
        <v>3.0049999999999999</v>
      </c>
      <c r="Q358" s="251">
        <v>3.04</v>
      </c>
      <c r="R358" s="251">
        <v>2.75</v>
      </c>
      <c r="S358" s="251">
        <v>2.59</v>
      </c>
      <c r="T358" s="251">
        <v>2.4</v>
      </c>
      <c r="U358" s="251">
        <v>2.2599999999999998</v>
      </c>
      <c r="V358" s="251">
        <v>2.145</v>
      </c>
      <c r="W358" s="251">
        <v>2.0699999999999998</v>
      </c>
      <c r="X358" s="251">
        <v>2.0299999999999998</v>
      </c>
      <c r="Y358" s="251">
        <v>2.04</v>
      </c>
      <c r="Z358" s="245">
        <f ca="1">[1]ExtEntry!$I56</f>
        <v>2.04</v>
      </c>
      <c r="AB358" s="264">
        <v>1400</v>
      </c>
      <c r="AC358" s="264">
        <v>400</v>
      </c>
      <c r="AD358" s="264">
        <v>-500.00000000000364</v>
      </c>
      <c r="AE358" s="264">
        <v>-700</v>
      </c>
      <c r="AF358" s="264">
        <v>5449.9999999999964</v>
      </c>
      <c r="AG358" s="264">
        <v>-2900</v>
      </c>
      <c r="AH358" s="264">
        <v>-3650</v>
      </c>
      <c r="AI358" s="264">
        <v>-3650</v>
      </c>
      <c r="AJ358" s="264">
        <v>-50</v>
      </c>
      <c r="AK358" s="264">
        <v>-550</v>
      </c>
      <c r="AL358" s="264">
        <v>-1250</v>
      </c>
      <c r="AM358" s="264">
        <v>-450.00000000000364</v>
      </c>
      <c r="AN358" s="264">
        <v>-2200</v>
      </c>
      <c r="AO358" s="264">
        <v>-851.99999999999636</v>
      </c>
      <c r="AP358" s="264">
        <v>1000</v>
      </c>
      <c r="AQ358" s="264">
        <v>-3350</v>
      </c>
      <c r="AR358" s="264">
        <v>49.999999999996362</v>
      </c>
      <c r="AS358" s="264">
        <v>750</v>
      </c>
      <c r="AT358" s="264">
        <v>300</v>
      </c>
      <c r="AU358" s="264">
        <v>-550</v>
      </c>
      <c r="AV358" s="261">
        <f ca="1">Calc!AP56</f>
        <v>-550</v>
      </c>
      <c r="AX358" s="88" t="str">
        <f t="shared" ca="1" si="29"/>
        <v>MVEDDD</v>
      </c>
    </row>
    <row r="359" spans="1:50" hidden="1" x14ac:dyDescent="0.3">
      <c r="A359" s="88" t="str">
        <f t="shared" ca="1" si="28"/>
        <v>MVEDSY</v>
      </c>
      <c r="F359" s="251">
        <v>28.29</v>
      </c>
      <c r="G359" s="251">
        <v>28.59</v>
      </c>
      <c r="H359" s="251">
        <v>28.72</v>
      </c>
      <c r="I359" s="251">
        <v>28.92</v>
      </c>
      <c r="J359" s="251">
        <v>29.2</v>
      </c>
      <c r="K359" s="251">
        <v>29.6</v>
      </c>
      <c r="L359" s="251">
        <v>29.92</v>
      </c>
      <c r="M359" s="251">
        <v>29.92</v>
      </c>
      <c r="N359" s="251">
        <v>25.01</v>
      </c>
      <c r="O359" s="251">
        <v>25.54</v>
      </c>
      <c r="P359" s="251">
        <v>25.4</v>
      </c>
      <c r="Q359" s="251">
        <v>24.74</v>
      </c>
      <c r="R359" s="251">
        <v>24.49</v>
      </c>
      <c r="S359" s="251">
        <v>23.84</v>
      </c>
      <c r="T359" s="251">
        <v>23.75</v>
      </c>
      <c r="U359" s="251">
        <v>23.22</v>
      </c>
      <c r="V359" s="251">
        <v>23.03</v>
      </c>
      <c r="W359" s="251">
        <v>23.67</v>
      </c>
      <c r="X359" s="251">
        <v>22.96</v>
      </c>
      <c r="Y359" s="251">
        <v>22.96</v>
      </c>
      <c r="Z359" s="245">
        <f ca="1">[1]ExtEntry!$I57</f>
        <v>22.96</v>
      </c>
      <c r="AB359" s="261">
        <v>-3600</v>
      </c>
      <c r="AC359" s="261">
        <v>3480</v>
      </c>
      <c r="AD359" s="261">
        <v>6600</v>
      </c>
      <c r="AE359" s="261">
        <v>3720</v>
      </c>
      <c r="AF359" s="261">
        <v>3960</v>
      </c>
      <c r="AG359" s="261">
        <v>5760</v>
      </c>
      <c r="AH359" s="261">
        <v>840</v>
      </c>
      <c r="AI359" s="261">
        <v>840</v>
      </c>
      <c r="AJ359" s="261">
        <v>2520</v>
      </c>
      <c r="AK359" s="261">
        <v>-7320</v>
      </c>
      <c r="AL359" s="261">
        <v>-3720</v>
      </c>
      <c r="AM359" s="261">
        <v>-4080</v>
      </c>
      <c r="AN359" s="261">
        <v>-360</v>
      </c>
      <c r="AO359" s="261">
        <v>-1200</v>
      </c>
      <c r="AP359" s="261">
        <v>1440</v>
      </c>
      <c r="AQ359" s="261">
        <v>-6840</v>
      </c>
      <c r="AR359" s="261">
        <v>0</v>
      </c>
      <c r="AS359" s="261">
        <v>-240</v>
      </c>
      <c r="AT359" s="261">
        <v>-360</v>
      </c>
      <c r="AU359" s="261">
        <v>2160</v>
      </c>
      <c r="AV359" s="261">
        <f ca="1">Calc!AP57</f>
        <v>2160</v>
      </c>
      <c r="AX359" s="88" t="str">
        <f t="shared" ca="1" si="29"/>
        <v>MVEDSY</v>
      </c>
    </row>
    <row r="360" spans="1:50" hidden="1" x14ac:dyDescent="0.3">
      <c r="A360" s="88" t="str">
        <f t="shared" ca="1" si="28"/>
        <v>MVEEOAN</v>
      </c>
      <c r="F360" s="251">
        <v>16.164999999999999</v>
      </c>
      <c r="G360" s="251">
        <v>16.2</v>
      </c>
      <c r="H360" s="251">
        <v>16.13</v>
      </c>
      <c r="I360" s="251">
        <v>16.164999999999999</v>
      </c>
      <c r="J360" s="251">
        <v>16.234999999999999</v>
      </c>
      <c r="K360" s="251">
        <v>16.32</v>
      </c>
      <c r="L360" s="251">
        <v>16.100000000000001</v>
      </c>
      <c r="M360" s="251">
        <v>16.100000000000001</v>
      </c>
      <c r="N360" s="251">
        <v>15.97</v>
      </c>
      <c r="O360" s="251">
        <v>15.815</v>
      </c>
      <c r="P360" s="251">
        <v>16.024999999999999</v>
      </c>
      <c r="Q360" s="251">
        <v>16.024999999999999</v>
      </c>
      <c r="R360" s="251">
        <v>16.215</v>
      </c>
      <c r="S360" s="251">
        <v>15.675000000000001</v>
      </c>
      <c r="T360" s="251">
        <v>15.824999999999999</v>
      </c>
      <c r="U360" s="251">
        <v>16</v>
      </c>
      <c r="V360" s="251">
        <v>15.994999999999999</v>
      </c>
      <c r="W360" s="251">
        <v>15.05</v>
      </c>
      <c r="X360" s="251">
        <v>15.23</v>
      </c>
      <c r="Y360" s="251">
        <v>15.23</v>
      </c>
      <c r="Z360" s="245">
        <f ca="1">[1]ExtEntry!$I58</f>
        <v>15.23</v>
      </c>
      <c r="AB360" s="264">
        <v>2.0500000000000398</v>
      </c>
      <c r="AC360" s="264">
        <v>-1.7000000000000171</v>
      </c>
      <c r="AD360" s="264">
        <v>0.10000000000002274</v>
      </c>
      <c r="AE360" s="264">
        <v>1.0500000000000114</v>
      </c>
      <c r="AF360" s="264">
        <v>1.0500000000000114</v>
      </c>
      <c r="AG360" s="264">
        <v>9.9999999999965894E-2</v>
      </c>
      <c r="AH360" s="264">
        <v>-2</v>
      </c>
      <c r="AI360" s="264">
        <v>-2</v>
      </c>
      <c r="AJ360" s="264">
        <v>-1.4999999999999716</v>
      </c>
      <c r="AK360" s="264">
        <v>0.75</v>
      </c>
      <c r="AL360" s="264">
        <v>0.44999999999998863</v>
      </c>
      <c r="AM360" s="264">
        <v>2.1499999999999773</v>
      </c>
      <c r="AN360" s="264">
        <v>0.29999999999998295</v>
      </c>
      <c r="AO360" s="264">
        <v>-1</v>
      </c>
      <c r="AP360" s="264">
        <v>2.25</v>
      </c>
      <c r="AQ360" s="264">
        <v>0.75</v>
      </c>
      <c r="AR360" s="264">
        <v>0</v>
      </c>
      <c r="AS360" s="264">
        <v>0.19999999999998863</v>
      </c>
      <c r="AT360" s="264">
        <v>-0.84999999999999432</v>
      </c>
      <c r="AU360" s="264">
        <v>-0.15000000000000568</v>
      </c>
      <c r="AV360" s="261">
        <f ca="1">Calc!AP58</f>
        <v>-0.15000000000000568</v>
      </c>
      <c r="AX360" s="88" t="str">
        <f t="shared" ca="1" si="29"/>
        <v>MVEEOAN</v>
      </c>
    </row>
    <row r="361" spans="1:50" hidden="1" x14ac:dyDescent="0.3">
      <c r="A361" s="88" t="str">
        <f t="shared" ca="1" si="28"/>
        <v>MVEENI</v>
      </c>
      <c r="F361" s="251">
        <v>14.7</v>
      </c>
      <c r="G361" s="251">
        <v>14.69</v>
      </c>
      <c r="H361" s="251">
        <v>14.747999999999999</v>
      </c>
      <c r="I361" s="251">
        <v>14.54</v>
      </c>
      <c r="J361" s="251">
        <v>14.818</v>
      </c>
      <c r="K361" s="251">
        <v>14.882</v>
      </c>
      <c r="L361" s="251">
        <v>15.012</v>
      </c>
      <c r="M361" s="251">
        <v>15.012</v>
      </c>
      <c r="N361" s="251">
        <v>15.327999999999999</v>
      </c>
      <c r="O361" s="251">
        <v>15.638</v>
      </c>
      <c r="P361" s="251">
        <v>15.704000000000001</v>
      </c>
      <c r="Q361" s="251">
        <v>15.728</v>
      </c>
      <c r="R361" s="251">
        <v>15.821999999999999</v>
      </c>
      <c r="S361" s="251">
        <v>15.672000000000001</v>
      </c>
      <c r="T361" s="251">
        <v>15.832000000000001</v>
      </c>
      <c r="U361" s="251">
        <v>15.862</v>
      </c>
      <c r="V361" s="251">
        <v>15.784000000000001</v>
      </c>
      <c r="W361" s="251">
        <v>16.262</v>
      </c>
      <c r="X361" s="251">
        <v>16.32</v>
      </c>
      <c r="Y361" s="251">
        <v>16.106000000000002</v>
      </c>
      <c r="Z361" s="245">
        <f ca="1">[1]ExtEntry!$I59</f>
        <v>16.106000000000002</v>
      </c>
      <c r="AB361" s="261">
        <v>-7560</v>
      </c>
      <c r="AC361" s="261">
        <v>936</v>
      </c>
      <c r="AD361" s="261">
        <v>-504</v>
      </c>
      <c r="AE361" s="261">
        <v>9504</v>
      </c>
      <c r="AF361" s="261">
        <v>576</v>
      </c>
      <c r="AG361" s="261">
        <v>-504</v>
      </c>
      <c r="AH361" s="261">
        <v>2736</v>
      </c>
      <c r="AI361" s="261">
        <v>2736</v>
      </c>
      <c r="AJ361" s="261">
        <v>8496</v>
      </c>
      <c r="AK361" s="261">
        <v>216</v>
      </c>
      <c r="AL361" s="261">
        <v>1512</v>
      </c>
      <c r="AM361" s="261">
        <v>3096</v>
      </c>
      <c r="AN361" s="261">
        <v>-2160</v>
      </c>
      <c r="AO361" s="261">
        <v>360</v>
      </c>
      <c r="AP361" s="261">
        <v>4320</v>
      </c>
      <c r="AQ361" s="261">
        <v>1656</v>
      </c>
      <c r="AR361" s="261">
        <v>-2808</v>
      </c>
      <c r="AS361" s="261">
        <v>576</v>
      </c>
      <c r="AT361" s="261">
        <v>-720</v>
      </c>
      <c r="AU361" s="261">
        <v>-5832</v>
      </c>
      <c r="AV361" s="261">
        <f ca="1">Calc!AP59</f>
        <v>-5832</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52.8</v>
      </c>
      <c r="G363" s="251">
        <v>55.56</v>
      </c>
      <c r="H363" s="251">
        <v>54.88</v>
      </c>
      <c r="I363" s="251">
        <v>53.18</v>
      </c>
      <c r="J363" s="251">
        <v>51.98</v>
      </c>
      <c r="K363" s="251">
        <v>52.84</v>
      </c>
      <c r="L363" s="251">
        <v>52.26</v>
      </c>
      <c r="M363" s="251">
        <v>52.26</v>
      </c>
      <c r="N363" s="251">
        <v>52.8</v>
      </c>
      <c r="O363" s="251">
        <v>52.4</v>
      </c>
      <c r="P363" s="251">
        <v>53.2</v>
      </c>
      <c r="Q363" s="251">
        <v>53</v>
      </c>
      <c r="R363" s="251">
        <v>52.02</v>
      </c>
      <c r="S363" s="251">
        <v>53.54</v>
      </c>
      <c r="T363" s="251">
        <v>53.76</v>
      </c>
      <c r="U363" s="251">
        <v>54.36</v>
      </c>
      <c r="V363" s="251">
        <v>54.3</v>
      </c>
      <c r="W363" s="251">
        <v>57.08</v>
      </c>
      <c r="X363" s="251">
        <v>55.84</v>
      </c>
      <c r="Y363" s="251">
        <v>55.84</v>
      </c>
      <c r="Z363" s="245">
        <f ca="1">[1]ExtEntry!$I61</f>
        <v>55.84</v>
      </c>
      <c r="AB363" s="261">
        <v>11400</v>
      </c>
      <c r="AC363" s="261">
        <v>-3360</v>
      </c>
      <c r="AD363" s="261">
        <v>6600</v>
      </c>
      <c r="AE363" s="261">
        <v>-6720</v>
      </c>
      <c r="AF363" s="261">
        <v>-11060</v>
      </c>
      <c r="AG363" s="261">
        <v>-2240</v>
      </c>
      <c r="AH363" s="261">
        <v>-700</v>
      </c>
      <c r="AI363" s="261">
        <v>-700</v>
      </c>
      <c r="AJ363" s="261">
        <v>2520</v>
      </c>
      <c r="AK363" s="261">
        <v>-1820</v>
      </c>
      <c r="AL363" s="261">
        <v>140</v>
      </c>
      <c r="AM363" s="261">
        <v>5460</v>
      </c>
      <c r="AN363" s="261">
        <v>-25340</v>
      </c>
      <c r="AO363" s="261">
        <v>3360</v>
      </c>
      <c r="AP363" s="261">
        <v>4760</v>
      </c>
      <c r="AQ363" s="261">
        <v>7000</v>
      </c>
      <c r="AR363" s="261">
        <v>-10080</v>
      </c>
      <c r="AS363" s="261">
        <v>-5180</v>
      </c>
      <c r="AT363" s="261">
        <v>-1680</v>
      </c>
      <c r="AU363" s="261">
        <v>2800</v>
      </c>
      <c r="AV363" s="261">
        <f ca="1">Calc!AP61</f>
        <v>2800</v>
      </c>
      <c r="AX363" s="88" t="str">
        <f t="shared" ca="1" si="29"/>
        <v>MVEGLE</v>
      </c>
    </row>
    <row r="364" spans="1:50" hidden="1" x14ac:dyDescent="0.3">
      <c r="A364" s="88" t="str">
        <f t="shared" ca="1" si="28"/>
        <v>MVEORA</v>
      </c>
      <c r="F364" s="251">
        <v>13.465</v>
      </c>
      <c r="G364" s="251">
        <v>13.805</v>
      </c>
      <c r="H364" s="251">
        <v>13.815</v>
      </c>
      <c r="I364" s="251">
        <v>13.994999999999999</v>
      </c>
      <c r="J364" s="251">
        <v>14.16</v>
      </c>
      <c r="K364" s="251">
        <v>14.07</v>
      </c>
      <c r="L364" s="251">
        <v>13.92</v>
      </c>
      <c r="M364" s="251">
        <v>13.92</v>
      </c>
      <c r="N364" s="251">
        <v>13.994999999999999</v>
      </c>
      <c r="O364" s="251">
        <v>13.805</v>
      </c>
      <c r="P364" s="251">
        <v>13.725</v>
      </c>
      <c r="Q364" s="251">
        <v>13.64</v>
      </c>
      <c r="R364" s="251">
        <v>13.645</v>
      </c>
      <c r="S364" s="251">
        <v>13.525</v>
      </c>
      <c r="T364" s="251">
        <v>13.705</v>
      </c>
      <c r="U364" s="251">
        <v>13.73</v>
      </c>
      <c r="V364" s="251">
        <v>13.9</v>
      </c>
      <c r="W364" s="251">
        <v>13.89</v>
      </c>
      <c r="X364" s="251">
        <v>13.675000000000001</v>
      </c>
      <c r="Y364" s="251">
        <v>13.67</v>
      </c>
      <c r="Z364" s="245">
        <f ca="1">[1]ExtEntry!$I62</f>
        <v>13.67</v>
      </c>
      <c r="AB364" s="264">
        <v>1980</v>
      </c>
      <c r="AC364" s="264">
        <v>-693</v>
      </c>
      <c r="AD364" s="264">
        <v>2079</v>
      </c>
      <c r="AE364" s="264">
        <v>6039</v>
      </c>
      <c r="AF364" s="264">
        <v>-1683</v>
      </c>
      <c r="AG364" s="264">
        <v>-1188</v>
      </c>
      <c r="AH364" s="264">
        <v>-792</v>
      </c>
      <c r="AI364" s="264">
        <v>-792</v>
      </c>
      <c r="AJ364" s="264">
        <v>990</v>
      </c>
      <c r="AK364" s="264">
        <v>-4158</v>
      </c>
      <c r="AL364" s="264">
        <v>-1485</v>
      </c>
      <c r="AM364" s="264">
        <v>-198</v>
      </c>
      <c r="AN364" s="264">
        <v>1584</v>
      </c>
      <c r="AO364" s="264">
        <v>-891</v>
      </c>
      <c r="AP364" s="264">
        <v>-297</v>
      </c>
      <c r="AQ364" s="264">
        <v>2178</v>
      </c>
      <c r="AR364" s="264">
        <v>4257</v>
      </c>
      <c r="AS364" s="264">
        <v>-6534</v>
      </c>
      <c r="AT364" s="264">
        <v>-6039</v>
      </c>
      <c r="AU364" s="264">
        <v>-4257</v>
      </c>
      <c r="AV364" s="261">
        <f ca="1">Calc!AP62</f>
        <v>-4257</v>
      </c>
      <c r="AX364" s="88" t="str">
        <f t="shared" ca="1" si="29"/>
        <v>MVEORA</v>
      </c>
    </row>
    <row r="365" spans="1:50" hidden="1" x14ac:dyDescent="0.3">
      <c r="A365" s="88" t="str">
        <f t="shared" ca="1" si="28"/>
        <v>MVERWE</v>
      </c>
      <c r="F365" s="251">
        <v>40.46</v>
      </c>
      <c r="G365" s="251">
        <v>40.47</v>
      </c>
      <c r="H365" s="251">
        <v>40.85</v>
      </c>
      <c r="I365" s="251">
        <v>40.56</v>
      </c>
      <c r="J365" s="251">
        <v>40.83</v>
      </c>
      <c r="K365" s="251">
        <v>40.47</v>
      </c>
      <c r="L365" s="251">
        <v>39.869999999999997</v>
      </c>
      <c r="M365" s="251">
        <v>39.869999999999997</v>
      </c>
      <c r="N365" s="251">
        <v>39.78</v>
      </c>
      <c r="O365" s="251">
        <v>40.17</v>
      </c>
      <c r="P365" s="251">
        <v>40.21</v>
      </c>
      <c r="Q365" s="251">
        <v>40.43</v>
      </c>
      <c r="R365" s="251">
        <v>42.24</v>
      </c>
      <c r="S365" s="251">
        <v>42.34</v>
      </c>
      <c r="T365" s="251">
        <v>42.17</v>
      </c>
      <c r="U365" s="251">
        <v>42.46</v>
      </c>
      <c r="V365" s="251">
        <v>42.36</v>
      </c>
      <c r="W365" s="251">
        <v>44.88</v>
      </c>
      <c r="X365" s="251">
        <v>44.28</v>
      </c>
      <c r="Y365" s="251">
        <v>43.7</v>
      </c>
      <c r="Z365" s="245">
        <f ca="1">[1]ExtEntry!$I63</f>
        <v>43.7</v>
      </c>
      <c r="AB365" s="261">
        <v>-0.12000000000000455</v>
      </c>
      <c r="AC365" s="261">
        <v>1.9999999999996021E-2</v>
      </c>
      <c r="AD365" s="261">
        <v>0.53000000000000114</v>
      </c>
      <c r="AE365" s="261">
        <v>-7.9999999999998295E-2</v>
      </c>
      <c r="AF365" s="261">
        <v>6.0000000000002274E-2</v>
      </c>
      <c r="AG365" s="261">
        <v>-0.39999999999999858</v>
      </c>
      <c r="AH365" s="261">
        <v>-0.35999999999999943</v>
      </c>
      <c r="AI365" s="261">
        <v>-0.35999999999999943</v>
      </c>
      <c r="AJ365" s="261">
        <v>0.21999999999999886</v>
      </c>
      <c r="AK365" s="261">
        <v>0.13999999999999346</v>
      </c>
      <c r="AL365" s="261">
        <v>-3.9999999999999147E-2</v>
      </c>
      <c r="AM365" s="261">
        <v>0.66000000000000369</v>
      </c>
      <c r="AN365" s="261">
        <v>0.73999999999999488</v>
      </c>
      <c r="AO365" s="261">
        <v>-0.11999999999999744</v>
      </c>
      <c r="AP365" s="261">
        <v>0.32999999999999829</v>
      </c>
      <c r="AQ365" s="261">
        <v>0.61999999999999744</v>
      </c>
      <c r="AR365" s="261">
        <v>-0.20000000000000284</v>
      </c>
      <c r="AS365" s="261">
        <v>-0.12000000000000455</v>
      </c>
      <c r="AT365" s="261">
        <v>-0.67999999999999972</v>
      </c>
      <c r="AU365" s="261">
        <v>-1.230000000000004</v>
      </c>
      <c r="AV365" s="261">
        <f ca="1">Calc!AP63</f>
        <v>-1.230000000000004</v>
      </c>
      <c r="AX365" s="88" t="str">
        <f t="shared" ca="1" si="29"/>
        <v>MVERWE</v>
      </c>
    </row>
    <row r="366" spans="1:50" hidden="1" x14ac:dyDescent="0.3">
      <c r="A366" s="88" t="str">
        <f t="shared" ca="1" si="28"/>
        <v>MVESAP</v>
      </c>
      <c r="F366" s="251">
        <v>228.45</v>
      </c>
      <c r="G366" s="251">
        <v>231.45</v>
      </c>
      <c r="H366" s="251">
        <v>230.35</v>
      </c>
      <c r="I366" s="251">
        <v>227</v>
      </c>
      <c r="J366" s="251">
        <v>232.9</v>
      </c>
      <c r="K366" s="251">
        <v>236.35</v>
      </c>
      <c r="L366" s="251">
        <v>236.5</v>
      </c>
      <c r="M366" s="251">
        <v>236.5</v>
      </c>
      <c r="N366" s="251">
        <v>229.7</v>
      </c>
      <c r="O366" s="251">
        <v>233.35</v>
      </c>
      <c r="P366" s="251">
        <v>233.15</v>
      </c>
      <c r="Q366" s="251">
        <v>232.75</v>
      </c>
      <c r="R366" s="251">
        <v>223.65</v>
      </c>
      <c r="S366" s="251">
        <v>224</v>
      </c>
      <c r="T366" s="251">
        <v>223.75</v>
      </c>
      <c r="U366" s="251">
        <v>217.55</v>
      </c>
      <c r="V366" s="251">
        <v>215.1</v>
      </c>
      <c r="W366" s="251">
        <v>207.55</v>
      </c>
      <c r="X366" s="251">
        <v>203.75</v>
      </c>
      <c r="Y366" s="251">
        <v>203.75</v>
      </c>
      <c r="Z366" s="245">
        <f ca="1">[1]ExtEntry!$I64</f>
        <v>203.75</v>
      </c>
      <c r="AB366" s="264">
        <v>701.75</v>
      </c>
      <c r="AC366" s="264">
        <v>962.39999999999418</v>
      </c>
      <c r="AD366" s="264">
        <v>802</v>
      </c>
      <c r="AE366" s="264">
        <v>681.69999999999709</v>
      </c>
      <c r="AF366" s="264">
        <v>1924.7999999999884</v>
      </c>
      <c r="AG366" s="264">
        <v>902.25</v>
      </c>
      <c r="AH366" s="264">
        <v>-1724.3000000000175</v>
      </c>
      <c r="AI366" s="264">
        <v>-1724.3000000000175</v>
      </c>
      <c r="AJ366" s="264">
        <v>1042.5999999999913</v>
      </c>
      <c r="AK366" s="264">
        <v>-3167.9000000000087</v>
      </c>
      <c r="AL366" s="264">
        <v>621.55000000000291</v>
      </c>
      <c r="AM366" s="264">
        <v>80.199999999982538</v>
      </c>
      <c r="AN366" s="264">
        <v>621.54999999998836</v>
      </c>
      <c r="AO366" s="264">
        <v>20.05000000000291</v>
      </c>
      <c r="AP366" s="264">
        <v>1203</v>
      </c>
      <c r="AQ366" s="264">
        <v>-3067.6499999999942</v>
      </c>
      <c r="AR366" s="264">
        <v>-1604</v>
      </c>
      <c r="AS366" s="264">
        <v>-1062.6500000000087</v>
      </c>
      <c r="AT366" s="264">
        <v>60.149999999994179</v>
      </c>
      <c r="AU366" s="264">
        <v>120.30000000000291</v>
      </c>
      <c r="AV366" s="261">
        <f ca="1">Calc!AP64</f>
        <v>120.30000000000291</v>
      </c>
      <c r="AX366" s="88" t="str">
        <f t="shared" ca="1" si="29"/>
        <v>MVESAP</v>
      </c>
    </row>
    <row r="367" spans="1:50" hidden="1" x14ac:dyDescent="0.3">
      <c r="A367" s="88" t="str">
        <f t="shared" ca="1" si="28"/>
        <v>MVEUN0</v>
      </c>
      <c r="F367" s="251">
        <v>31.4</v>
      </c>
      <c r="G367" s="251">
        <v>31.55</v>
      </c>
      <c r="H367" s="251">
        <v>31.2</v>
      </c>
      <c r="I367" s="251">
        <v>31.35</v>
      </c>
      <c r="J367" s="251">
        <v>32.049999999999997</v>
      </c>
      <c r="K367" s="251">
        <v>31.7</v>
      </c>
      <c r="L367" s="251">
        <v>31.6</v>
      </c>
      <c r="M367" s="251">
        <v>31.6</v>
      </c>
      <c r="N367" s="251">
        <v>30.9</v>
      </c>
      <c r="O367" s="251">
        <v>30.15</v>
      </c>
      <c r="P367" s="251">
        <v>30.2</v>
      </c>
      <c r="Q367" s="251">
        <v>30.25</v>
      </c>
      <c r="R367" s="251">
        <v>30.05</v>
      </c>
      <c r="S367" s="251">
        <v>29.55</v>
      </c>
      <c r="T367" s="251">
        <v>29.5</v>
      </c>
      <c r="U367" s="251">
        <v>27.95</v>
      </c>
      <c r="V367" s="251">
        <v>28.4</v>
      </c>
      <c r="W367" s="251">
        <v>28.3</v>
      </c>
      <c r="X367" s="251">
        <v>29.55</v>
      </c>
      <c r="Y367" s="251">
        <v>29.55</v>
      </c>
      <c r="Z367" s="245">
        <f ca="1">[1]ExtEntry!$I65</f>
        <v>29.55</v>
      </c>
      <c r="AB367" s="261">
        <v>-252</v>
      </c>
      <c r="AC367" s="261">
        <v>-84</v>
      </c>
      <c r="AD367" s="261">
        <v>28</v>
      </c>
      <c r="AE367" s="261">
        <v>112</v>
      </c>
      <c r="AF367" s="261">
        <v>532</v>
      </c>
      <c r="AG367" s="261">
        <v>-224</v>
      </c>
      <c r="AH367" s="261">
        <v>112</v>
      </c>
      <c r="AI367" s="261">
        <v>112</v>
      </c>
      <c r="AJ367" s="261">
        <v>-196</v>
      </c>
      <c r="AK367" s="261">
        <v>-476</v>
      </c>
      <c r="AL367" s="261">
        <v>364</v>
      </c>
      <c r="AM367" s="261">
        <v>0</v>
      </c>
      <c r="AN367" s="261">
        <v>-84</v>
      </c>
      <c r="AO367" s="261">
        <v>28</v>
      </c>
      <c r="AP367" s="261">
        <v>0</v>
      </c>
      <c r="AQ367" s="261">
        <v>-532</v>
      </c>
      <c r="AR367" s="261">
        <v>56</v>
      </c>
      <c r="AS367" s="261">
        <v>84</v>
      </c>
      <c r="AT367" s="261">
        <v>0</v>
      </c>
      <c r="AU367" s="261">
        <v>392</v>
      </c>
      <c r="AV367" s="261">
        <f ca="1">Calc!AP65</f>
        <v>392</v>
      </c>
      <c r="AX367" s="88" t="str">
        <f t="shared" ca="1" si="29"/>
        <v>MVEUN0</v>
      </c>
    </row>
    <row r="368" spans="1:50" hidden="1" x14ac:dyDescent="0.3">
      <c r="A368" s="88" t="str">
        <f t="shared" ca="1" si="28"/>
        <v>SAFAAPL</v>
      </c>
      <c r="F368" s="251">
        <v>244.7</v>
      </c>
      <c r="G368" s="251">
        <v>247.48</v>
      </c>
      <c r="H368" s="251">
        <v>245.13</v>
      </c>
      <c r="I368" s="251">
        <v>247.27</v>
      </c>
      <c r="J368" s="251">
        <v>255.63</v>
      </c>
      <c r="K368" s="251">
        <v>261.83</v>
      </c>
      <c r="L368" s="251">
        <v>255.43</v>
      </c>
      <c r="M368" s="251">
        <v>255.43</v>
      </c>
      <c r="N368" s="251">
        <v>258.01010000000002</v>
      </c>
      <c r="O368" s="251">
        <v>259.18</v>
      </c>
      <c r="P368" s="251">
        <v>264.65010000000001</v>
      </c>
      <c r="Q368" s="251">
        <v>268.14999999999998</v>
      </c>
      <c r="R368" s="251">
        <v>268.48</v>
      </c>
      <c r="S368" s="251">
        <v>267.61500000000001</v>
      </c>
      <c r="T368" s="251">
        <v>266.93</v>
      </c>
      <c r="U368" s="251">
        <v>267.89</v>
      </c>
      <c r="V368" s="251">
        <v>266.77999999999997</v>
      </c>
      <c r="W368" s="251">
        <v>269.60000000000002</v>
      </c>
      <c r="X368" s="251">
        <v>265.32</v>
      </c>
      <c r="Y368" s="251">
        <v>265.5</v>
      </c>
      <c r="Z368" s="245">
        <f ca="1">[1]ExtEntry!$I66</f>
        <v>265.5</v>
      </c>
      <c r="AB368" s="264">
        <v>420</v>
      </c>
      <c r="AC368" s="264">
        <v>7</v>
      </c>
      <c r="AD368" s="264">
        <v>-280</v>
      </c>
      <c r="AE368" s="264">
        <v>1494.5</v>
      </c>
      <c r="AF368" s="264">
        <v>2224.25</v>
      </c>
      <c r="AG368" s="264">
        <v>311.5</v>
      </c>
      <c r="AH368" s="264">
        <v>-1469.9999999999854</v>
      </c>
      <c r="AI368" s="264">
        <v>-1469.9999999999854</v>
      </c>
      <c r="AJ368" s="264">
        <v>-126</v>
      </c>
      <c r="AK368" s="264">
        <v>570.5</v>
      </c>
      <c r="AL368" s="264">
        <v>1375.5</v>
      </c>
      <c r="AM368" s="264">
        <v>5.25</v>
      </c>
      <c r="AN368" s="264">
        <v>-206.50000000001455</v>
      </c>
      <c r="AO368" s="264">
        <v>542.49999999998545</v>
      </c>
      <c r="AP368" s="264">
        <v>535.5</v>
      </c>
      <c r="AQ368" s="264">
        <v>805</v>
      </c>
      <c r="AR368" s="264">
        <v>-620.54999999998836</v>
      </c>
      <c r="AS368" s="264">
        <v>476.00000000001455</v>
      </c>
      <c r="AT368" s="264">
        <v>-892.5</v>
      </c>
      <c r="AU368" s="264">
        <v>1585.4999999999854</v>
      </c>
      <c r="AV368" s="261">
        <f ca="1">Calc!AP66</f>
        <v>1585.4999999999854</v>
      </c>
      <c r="AX368" s="88" t="str">
        <f t="shared" ca="1" si="29"/>
        <v>SAFAAPL</v>
      </c>
    </row>
    <row r="369" spans="1:50" hidden="1" x14ac:dyDescent="0.3">
      <c r="A369" s="88" t="str">
        <f t="shared" ref="A369:A398" ca="1" si="30">A269</f>
        <v>SAFAMZN</v>
      </c>
      <c r="F369" s="251">
        <v>212.6</v>
      </c>
      <c r="G369" s="251">
        <v>212.66</v>
      </c>
      <c r="H369" s="251">
        <v>212.81010000000001</v>
      </c>
      <c r="I369" s="251">
        <v>211.03</v>
      </c>
      <c r="J369" s="251">
        <v>213.59</v>
      </c>
      <c r="K369" s="251">
        <v>217.99</v>
      </c>
      <c r="L369" s="251">
        <v>216.52</v>
      </c>
      <c r="M369" s="251">
        <v>216.52</v>
      </c>
      <c r="N369" s="251">
        <v>218.18</v>
      </c>
      <c r="O369" s="251">
        <v>221.9</v>
      </c>
      <c r="P369" s="251">
        <v>225.54</v>
      </c>
      <c r="Q369" s="251">
        <v>226.21</v>
      </c>
      <c r="R369" s="251">
        <v>222.75</v>
      </c>
      <c r="S369" s="251">
        <v>248.66</v>
      </c>
      <c r="T369" s="251">
        <v>246.16</v>
      </c>
      <c r="U369" s="251">
        <v>242.17</v>
      </c>
      <c r="V369" s="251">
        <v>238.49</v>
      </c>
      <c r="W369" s="251">
        <v>232.89</v>
      </c>
      <c r="X369" s="251">
        <v>222.42</v>
      </c>
      <c r="Y369" s="251">
        <v>218.53</v>
      </c>
      <c r="Z369" s="245">
        <f ca="1">[1]ExtEntry!$I67</f>
        <v>218.53</v>
      </c>
      <c r="AB369" s="261">
        <v>1780</v>
      </c>
      <c r="AC369" s="261">
        <v>-2300</v>
      </c>
      <c r="AD369" s="261">
        <v>-2400</v>
      </c>
      <c r="AE369" s="261">
        <v>-3040</v>
      </c>
      <c r="AF369" s="261">
        <v>5200</v>
      </c>
      <c r="AG369" s="261">
        <v>5400</v>
      </c>
      <c r="AH369" s="261">
        <v>-2025</v>
      </c>
      <c r="AI369" s="261">
        <v>-2025</v>
      </c>
      <c r="AJ369" s="261">
        <v>3135</v>
      </c>
      <c r="AK369" s="261">
        <v>3360</v>
      </c>
      <c r="AL369" s="261">
        <v>-1035</v>
      </c>
      <c r="AM369" s="261">
        <v>1552.5</v>
      </c>
      <c r="AN369" s="261">
        <v>-6300</v>
      </c>
      <c r="AO369" s="261">
        <v>-2490</v>
      </c>
      <c r="AP369" s="261">
        <v>1755</v>
      </c>
      <c r="AQ369" s="261">
        <v>-8015.4000000000233</v>
      </c>
      <c r="AR369" s="261">
        <v>2340</v>
      </c>
      <c r="AS369" s="261">
        <v>-555</v>
      </c>
      <c r="AT369" s="261">
        <v>-8325</v>
      </c>
      <c r="AU369" s="261">
        <v>-3612</v>
      </c>
      <c r="AV369" s="261">
        <f ca="1">Calc!AP67</f>
        <v>-3612</v>
      </c>
      <c r="AX369" s="88" t="str">
        <f t="shared" ref="AX369:AX398" ca="1" si="31">A369</f>
        <v>SAFAMZN</v>
      </c>
    </row>
    <row r="370" spans="1:50" hidden="1" x14ac:dyDescent="0.3">
      <c r="A370" s="88" t="str">
        <f t="shared" ca="1" si="30"/>
        <v>SAFASML</v>
      </c>
      <c r="F370" s="251">
        <v>825.6</v>
      </c>
      <c r="G370" s="251">
        <v>854.9</v>
      </c>
      <c r="H370" s="251">
        <v>874</v>
      </c>
      <c r="I370" s="251">
        <v>855</v>
      </c>
      <c r="J370" s="251">
        <v>877.2</v>
      </c>
      <c r="K370" s="251">
        <v>883.9</v>
      </c>
      <c r="L370" s="251">
        <v>870.1</v>
      </c>
      <c r="M370" s="251">
        <v>870.1</v>
      </c>
      <c r="N370" s="251">
        <v>854.1</v>
      </c>
      <c r="O370" s="251">
        <v>889.6</v>
      </c>
      <c r="P370" s="251">
        <v>898.5</v>
      </c>
      <c r="Q370" s="251">
        <v>900.1</v>
      </c>
      <c r="R370" s="251">
        <v>923.6</v>
      </c>
      <c r="S370" s="251">
        <v>903.4</v>
      </c>
      <c r="T370" s="251">
        <v>878.4</v>
      </c>
      <c r="U370" s="251">
        <v>891.2</v>
      </c>
      <c r="V370" s="251">
        <v>870.8</v>
      </c>
      <c r="W370" s="251">
        <v>841.3</v>
      </c>
      <c r="X370" s="251">
        <v>857.3</v>
      </c>
      <c r="Y370" s="251">
        <v>857.3</v>
      </c>
      <c r="Z370" s="245">
        <f ca="1">[1]ExtEntry!$I68</f>
        <v>857.3</v>
      </c>
      <c r="AB370" s="264">
        <v>2975</v>
      </c>
      <c r="AC370" s="264">
        <v>-650</v>
      </c>
      <c r="AD370" s="264">
        <v>-1575</v>
      </c>
      <c r="AE370" s="264">
        <v>4025</v>
      </c>
      <c r="AF370" s="264">
        <v>3750</v>
      </c>
      <c r="AG370" s="264">
        <v>-50</v>
      </c>
      <c r="AH370" s="264">
        <v>-1650</v>
      </c>
      <c r="AI370" s="264">
        <v>-1650</v>
      </c>
      <c r="AJ370" s="264">
        <v>3925</v>
      </c>
      <c r="AK370" s="264">
        <v>-1400</v>
      </c>
      <c r="AL370" s="264">
        <v>2025</v>
      </c>
      <c r="AM370" s="264">
        <v>825</v>
      </c>
      <c r="AN370" s="264">
        <v>3125</v>
      </c>
      <c r="AO370" s="264">
        <v>2200</v>
      </c>
      <c r="AP370" s="264">
        <v>5925</v>
      </c>
      <c r="AQ370" s="264">
        <v>-1450</v>
      </c>
      <c r="AR370" s="264">
        <v>-7050</v>
      </c>
      <c r="AS370" s="264">
        <v>1800</v>
      </c>
      <c r="AT370" s="264">
        <v>-425</v>
      </c>
      <c r="AU370" s="264">
        <v>6375</v>
      </c>
      <c r="AV370" s="261">
        <f ca="1">Calc!AP68</f>
        <v>6375</v>
      </c>
      <c r="AX370" s="88" t="str">
        <f t="shared" ca="1" si="31"/>
        <v>SAFASML</v>
      </c>
    </row>
    <row r="371" spans="1:50" hidden="1" x14ac:dyDescent="0.3">
      <c r="A371" s="88" t="str">
        <f t="shared" ca="1" si="30"/>
        <v>SAFDDD</v>
      </c>
      <c r="F371" s="251">
        <v>2.87</v>
      </c>
      <c r="G371" s="251">
        <v>3.1150000000000002</v>
      </c>
      <c r="H371" s="251">
        <v>3.23</v>
      </c>
      <c r="I371" s="251">
        <v>3.09</v>
      </c>
      <c r="J371" s="251">
        <v>3.21</v>
      </c>
      <c r="K371" s="251">
        <v>3.31</v>
      </c>
      <c r="L371" s="251">
        <v>2.94</v>
      </c>
      <c r="M371" s="251">
        <v>2.94</v>
      </c>
      <c r="N371" s="251">
        <v>3.01</v>
      </c>
      <c r="O371" s="251">
        <v>3.11</v>
      </c>
      <c r="P371" s="251">
        <v>3.0049999999999999</v>
      </c>
      <c r="Q371" s="251">
        <v>3.04</v>
      </c>
      <c r="R371" s="251">
        <v>2.75</v>
      </c>
      <c r="S371" s="251">
        <v>2.59</v>
      </c>
      <c r="T371" s="251">
        <v>2.4</v>
      </c>
      <c r="U371" s="251">
        <v>2.2599999999999998</v>
      </c>
      <c r="V371" s="251">
        <v>2.145</v>
      </c>
      <c r="W371" s="251">
        <v>2.0699999999999998</v>
      </c>
      <c r="X371" s="251">
        <v>2.0299999999999998</v>
      </c>
      <c r="Y371" s="251">
        <v>2.04</v>
      </c>
      <c r="Z371" s="245">
        <f ca="1">[1]ExtEntry!$I69</f>
        <v>2.04</v>
      </c>
      <c r="AB371" s="261">
        <v>15400</v>
      </c>
      <c r="AC371" s="261">
        <v>4400</v>
      </c>
      <c r="AD371" s="261">
        <v>-5500</v>
      </c>
      <c r="AE371" s="261">
        <v>-7700</v>
      </c>
      <c r="AF371" s="261">
        <v>59950</v>
      </c>
      <c r="AG371" s="261">
        <v>-31900</v>
      </c>
      <c r="AH371" s="261">
        <v>-40150</v>
      </c>
      <c r="AI371" s="261">
        <v>-40150</v>
      </c>
      <c r="AJ371" s="261">
        <v>-550</v>
      </c>
      <c r="AK371" s="261">
        <v>-6050</v>
      </c>
      <c r="AL371" s="261">
        <v>-13750</v>
      </c>
      <c r="AM371" s="261">
        <v>-4950</v>
      </c>
      <c r="AN371" s="261">
        <v>-24200</v>
      </c>
      <c r="AO371" s="261">
        <v>-9372</v>
      </c>
      <c r="AP371" s="261">
        <v>11000</v>
      </c>
      <c r="AQ371" s="261">
        <v>-36850</v>
      </c>
      <c r="AR371" s="261">
        <v>549.9999999999709</v>
      </c>
      <c r="AS371" s="261">
        <v>8250.0000000000291</v>
      </c>
      <c r="AT371" s="261">
        <v>3300.0000000000291</v>
      </c>
      <c r="AU371" s="261">
        <v>-6050</v>
      </c>
      <c r="AV371" s="261">
        <f ca="1">Calc!AP69</f>
        <v>-6050</v>
      </c>
      <c r="AX371" s="88" t="str">
        <f t="shared" ca="1" si="31"/>
        <v>SAFDDD</v>
      </c>
    </row>
    <row r="372" spans="1:50" hidden="1" x14ac:dyDescent="0.3">
      <c r="A372" s="88" t="str">
        <f t="shared" ca="1" si="30"/>
        <v>SAFDIS</v>
      </c>
      <c r="F372" s="251">
        <v>109.2</v>
      </c>
      <c r="G372" s="251">
        <v>111.14</v>
      </c>
      <c r="H372" s="251">
        <v>108.51</v>
      </c>
      <c r="I372" s="251">
        <v>109.44</v>
      </c>
      <c r="J372" s="251">
        <v>110.6</v>
      </c>
      <c r="K372" s="251">
        <v>112.04</v>
      </c>
      <c r="L372" s="251">
        <v>112.98</v>
      </c>
      <c r="M372" s="251">
        <v>112.98</v>
      </c>
      <c r="N372" s="251">
        <v>111.90009999999999</v>
      </c>
      <c r="O372" s="251">
        <v>111.59</v>
      </c>
      <c r="P372" s="251">
        <v>111.31</v>
      </c>
      <c r="Q372" s="251">
        <v>111.4623</v>
      </c>
      <c r="R372" s="251">
        <v>109.55</v>
      </c>
      <c r="S372" s="251">
        <v>110.64</v>
      </c>
      <c r="T372" s="251">
        <v>110.6</v>
      </c>
      <c r="U372" s="251">
        <v>109.18</v>
      </c>
      <c r="V372" s="251">
        <v>110.04</v>
      </c>
      <c r="W372" s="251">
        <v>105.3</v>
      </c>
      <c r="X372" s="251">
        <v>105</v>
      </c>
      <c r="Y372" s="251">
        <v>105.11</v>
      </c>
      <c r="Z372" s="245">
        <f ca="1">[1]ExtEntry!$I70</f>
        <v>105.11</v>
      </c>
      <c r="AB372" s="264">
        <v>1674</v>
      </c>
      <c r="AC372" s="264">
        <v>546</v>
      </c>
      <c r="AD372" s="264">
        <v>-2274</v>
      </c>
      <c r="AE372" s="264">
        <v>1116</v>
      </c>
      <c r="AF372" s="264">
        <v>1140</v>
      </c>
      <c r="AG372" s="264">
        <v>2472</v>
      </c>
      <c r="AH372" s="264">
        <v>-1080</v>
      </c>
      <c r="AI372" s="264">
        <v>-1080</v>
      </c>
      <c r="AJ372" s="264">
        <v>-180</v>
      </c>
      <c r="AK372" s="264">
        <v>-1872</v>
      </c>
      <c r="AL372" s="264">
        <v>444</v>
      </c>
      <c r="AM372" s="264">
        <v>-294</v>
      </c>
      <c r="AN372" s="264">
        <v>2052</v>
      </c>
      <c r="AO372" s="264">
        <v>804</v>
      </c>
      <c r="AP372" s="264">
        <v>-12</v>
      </c>
      <c r="AQ372" s="264">
        <v>-1596</v>
      </c>
      <c r="AR372" s="264">
        <v>456</v>
      </c>
      <c r="AS372" s="264">
        <v>-2064</v>
      </c>
      <c r="AT372" s="264">
        <v>1416</v>
      </c>
      <c r="AU372" s="264">
        <v>-918</v>
      </c>
      <c r="AV372" s="261">
        <f ca="1">Calc!AP70</f>
        <v>-918</v>
      </c>
      <c r="AX372" s="88" t="str">
        <f t="shared" ca="1" si="31"/>
        <v>SAFDIS</v>
      </c>
    </row>
    <row r="373" spans="1:50" hidden="1" x14ac:dyDescent="0.3">
      <c r="A373" s="88" t="str">
        <f t="shared" ca="1" si="30"/>
        <v>SAFGM</v>
      </c>
      <c r="F373" s="251">
        <v>54.33</v>
      </c>
      <c r="G373" s="251">
        <v>57.01</v>
      </c>
      <c r="H373" s="251">
        <v>56.81</v>
      </c>
      <c r="I373" s="251">
        <v>57.55</v>
      </c>
      <c r="J373" s="251">
        <v>57.68</v>
      </c>
      <c r="K373" s="251">
        <v>62.36</v>
      </c>
      <c r="L373" s="251">
        <v>65.89</v>
      </c>
      <c r="M373" s="251">
        <v>65.89</v>
      </c>
      <c r="N373" s="251">
        <v>66.569999999999993</v>
      </c>
      <c r="O373" s="251">
        <v>67.290000000000006</v>
      </c>
      <c r="P373" s="251">
        <v>68.790000000000006</v>
      </c>
      <c r="Q373" s="251">
        <v>68.66</v>
      </c>
      <c r="R373" s="251">
        <v>68.386399999999995</v>
      </c>
      <c r="S373" s="251">
        <v>66.92</v>
      </c>
      <c r="T373" s="251">
        <v>67.040000000000006</v>
      </c>
      <c r="U373" s="251">
        <v>68.212000000000003</v>
      </c>
      <c r="V373" s="251">
        <v>68.58</v>
      </c>
      <c r="W373" s="251">
        <v>70.44</v>
      </c>
      <c r="X373" s="251">
        <v>67.06</v>
      </c>
      <c r="Y373" s="251">
        <v>67.61</v>
      </c>
      <c r="Z373" s="245">
        <f ca="1">[1]ExtEntry!$I71</f>
        <v>67.61</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395.8</v>
      </c>
      <c r="G374" s="251">
        <v>407.3</v>
      </c>
      <c r="H374" s="251">
        <v>398.9</v>
      </c>
      <c r="I374" s="251">
        <v>391.2</v>
      </c>
      <c r="J374" s="251">
        <v>393</v>
      </c>
      <c r="K374" s="251">
        <v>389.7</v>
      </c>
      <c r="L374" s="251">
        <v>397.7</v>
      </c>
      <c r="M374" s="251">
        <v>397.7</v>
      </c>
      <c r="N374" s="251">
        <v>398.9</v>
      </c>
      <c r="O374" s="251">
        <v>402</v>
      </c>
      <c r="P374" s="251">
        <v>408.5</v>
      </c>
      <c r="Q374" s="251">
        <v>409.4</v>
      </c>
      <c r="R374" s="251">
        <v>403.7</v>
      </c>
      <c r="S374" s="251">
        <v>419.9</v>
      </c>
      <c r="T374" s="251">
        <v>419.5</v>
      </c>
      <c r="U374" s="251">
        <v>412.7</v>
      </c>
      <c r="V374" s="251">
        <v>366.2</v>
      </c>
      <c r="W374" s="251">
        <v>382.2</v>
      </c>
      <c r="X374" s="251">
        <v>367.2</v>
      </c>
      <c r="Y374" s="251">
        <v>367.2</v>
      </c>
      <c r="Z374" s="245">
        <f ca="1">[1]ExtEntry!$I72</f>
        <v>367.2</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26.01</v>
      </c>
      <c r="G375" s="251">
        <v>26.38</v>
      </c>
      <c r="H375" s="251">
        <v>27.11</v>
      </c>
      <c r="I375" s="251">
        <v>25.684999999999999</v>
      </c>
      <c r="J375" s="251">
        <v>26.39</v>
      </c>
      <c r="K375" s="251">
        <v>26.65</v>
      </c>
      <c r="L375" s="251">
        <v>26.265000000000001</v>
      </c>
      <c r="M375" s="251">
        <v>26.265000000000001</v>
      </c>
      <c r="N375" s="251">
        <v>25.57</v>
      </c>
      <c r="O375" s="251">
        <v>26.11</v>
      </c>
      <c r="P375" s="251">
        <v>26.55</v>
      </c>
      <c r="Q375" s="251">
        <v>25.2</v>
      </c>
      <c r="R375" s="251">
        <v>24.25</v>
      </c>
      <c r="S375" s="251">
        <v>23.7224</v>
      </c>
      <c r="T375" s="251">
        <v>23.48</v>
      </c>
      <c r="U375" s="251">
        <v>23.661999999999999</v>
      </c>
      <c r="V375" s="251">
        <v>23.4</v>
      </c>
      <c r="W375" s="251">
        <v>24.18</v>
      </c>
      <c r="X375" s="251">
        <v>23.8</v>
      </c>
      <c r="Y375" s="251">
        <v>24.105</v>
      </c>
      <c r="Z375" s="245">
        <f ca="1">[1]ExtEntry!$I73</f>
        <v>24.105</v>
      </c>
      <c r="AB375" s="261">
        <v>-350</v>
      </c>
      <c r="AC375" s="261">
        <v>5925</v>
      </c>
      <c r="AD375" s="261">
        <v>-3525</v>
      </c>
      <c r="AE375" s="261">
        <v>-2049.9999999999854</v>
      </c>
      <c r="AF375" s="261">
        <v>4150</v>
      </c>
      <c r="AG375" s="261">
        <v>1200</v>
      </c>
      <c r="AH375" s="261">
        <v>-1800</v>
      </c>
      <c r="AI375" s="261">
        <v>-1800</v>
      </c>
      <c r="AJ375" s="261">
        <v>2150</v>
      </c>
      <c r="AK375" s="261">
        <v>1100</v>
      </c>
      <c r="AL375" s="261">
        <v>-1750</v>
      </c>
      <c r="AM375" s="261">
        <v>-6600</v>
      </c>
      <c r="AN375" s="261">
        <v>18575</v>
      </c>
      <c r="AO375" s="261">
        <v>-4225</v>
      </c>
      <c r="AP375" s="261">
        <v>-1775</v>
      </c>
      <c r="AQ375" s="261">
        <v>-5425</v>
      </c>
      <c r="AR375" s="261">
        <v>3275</v>
      </c>
      <c r="AS375" s="261">
        <v>1675</v>
      </c>
      <c r="AT375" s="261">
        <v>2150.0000000000291</v>
      </c>
      <c r="AU375" s="261">
        <v>-3350</v>
      </c>
      <c r="AV375" s="261">
        <f ca="1">Calc!AP73</f>
        <v>-3350</v>
      </c>
      <c r="AX375" s="88" t="str">
        <f t="shared" ca="1" si="31"/>
        <v>SAFMRNA</v>
      </c>
    </row>
    <row r="376" spans="1:50" hidden="1" x14ac:dyDescent="0.3">
      <c r="A376" s="88" t="str">
        <f t="shared" ca="1" si="30"/>
        <v>BLNK</v>
      </c>
      <c r="F376" s="251">
        <v>2.0499999999999998</v>
      </c>
      <c r="G376" s="251">
        <v>2.08</v>
      </c>
      <c r="H376" s="251">
        <v>1.89</v>
      </c>
      <c r="I376" s="251">
        <v>1.76</v>
      </c>
      <c r="J376" s="251">
        <v>1.87</v>
      </c>
      <c r="K376" s="251">
        <v>1.7450000000000001</v>
      </c>
      <c r="L376" s="251">
        <v>1.69</v>
      </c>
      <c r="M376" s="251">
        <v>1.69</v>
      </c>
      <c r="N376" s="251">
        <v>1.7649999999999999</v>
      </c>
      <c r="O376" s="251">
        <v>1.8</v>
      </c>
      <c r="P376" s="251">
        <v>1.81</v>
      </c>
      <c r="Q376" s="251">
        <v>1.72</v>
      </c>
      <c r="R376" s="251">
        <v>1.6</v>
      </c>
      <c r="S376" s="251">
        <v>1.47</v>
      </c>
      <c r="T376" s="251">
        <v>1.5</v>
      </c>
      <c r="U376" s="251">
        <v>1.4950000000000001</v>
      </c>
      <c r="V376" s="251">
        <v>1.3501000000000001</v>
      </c>
      <c r="W376" s="251">
        <v>1.4</v>
      </c>
      <c r="X376" s="251">
        <v>1.3201000000000001</v>
      </c>
      <c r="Y376" s="251">
        <v>1.35</v>
      </c>
      <c r="Z376" s="245">
        <f ca="1">[1]ExtEntry!$I74</f>
        <v>1.35</v>
      </c>
      <c r="AB376" s="264">
        <v>15840</v>
      </c>
      <c r="AC376" s="264">
        <v>-17820</v>
      </c>
      <c r="AD376" s="264">
        <v>-26400</v>
      </c>
      <c r="AE376" s="264">
        <v>-4800</v>
      </c>
      <c r="AF376" s="264">
        <v>-1200</v>
      </c>
      <c r="AG376" s="264">
        <v>-10800</v>
      </c>
      <c r="AH376" s="264">
        <v>9600</v>
      </c>
      <c r="AI376" s="264">
        <v>9600</v>
      </c>
      <c r="AJ376" s="264">
        <v>-1200</v>
      </c>
      <c r="AK376" s="264">
        <v>12000</v>
      </c>
      <c r="AL376" s="264">
        <v>-15600</v>
      </c>
      <c r="AM376" s="264">
        <v>-12000</v>
      </c>
      <c r="AN376" s="264">
        <v>-6000</v>
      </c>
      <c r="AO376" s="264">
        <v>732</v>
      </c>
      <c r="AP376" s="264">
        <v>16800</v>
      </c>
      <c r="AQ376" s="264">
        <v>-15000</v>
      </c>
      <c r="AR376" s="264">
        <v>26388</v>
      </c>
      <c r="AS376" s="264">
        <v>1200</v>
      </c>
      <c r="AT376" s="264">
        <v>7800</v>
      </c>
      <c r="AU376" s="264">
        <v>-5400</v>
      </c>
      <c r="AV376" s="261">
        <f ca="1">Calc!AP74</f>
        <v>-5400</v>
      </c>
      <c r="AX376" s="88" t="str">
        <f t="shared" ca="1" si="31"/>
        <v>BLNK</v>
      </c>
    </row>
    <row r="377" spans="1:50" hidden="1" x14ac:dyDescent="0.3">
      <c r="A377" s="88" t="str">
        <f t="shared" ca="1" si="30"/>
        <v>ENI</v>
      </c>
      <c r="F377" s="251">
        <v>14.7</v>
      </c>
      <c r="G377" s="251">
        <v>14.69</v>
      </c>
      <c r="H377" s="251">
        <v>14.747999999999999</v>
      </c>
      <c r="I377" s="251">
        <v>14.54</v>
      </c>
      <c r="J377" s="251">
        <v>14.818</v>
      </c>
      <c r="K377" s="251">
        <v>14.882</v>
      </c>
      <c r="L377" s="251">
        <v>15.012</v>
      </c>
      <c r="M377" s="251">
        <v>15.012</v>
      </c>
      <c r="N377" s="251">
        <v>15.327999999999999</v>
      </c>
      <c r="O377" s="251">
        <v>15.638</v>
      </c>
      <c r="P377" s="251">
        <v>15.704000000000001</v>
      </c>
      <c r="Q377" s="251">
        <v>15.728</v>
      </c>
      <c r="R377" s="251">
        <v>15.821999999999999</v>
      </c>
      <c r="S377" s="251">
        <v>15.672000000000001</v>
      </c>
      <c r="T377" s="251">
        <v>15.832000000000001</v>
      </c>
      <c r="U377" s="251">
        <v>15.862</v>
      </c>
      <c r="V377" s="251">
        <v>15.784000000000001</v>
      </c>
      <c r="W377" s="251">
        <v>16.262</v>
      </c>
      <c r="X377" s="251">
        <v>16.32</v>
      </c>
      <c r="Y377" s="251">
        <v>16.106000000000002</v>
      </c>
      <c r="Z377" s="245">
        <f ca="1">[1]ExtEntry!$I75</f>
        <v>16.106000000000002</v>
      </c>
      <c r="AB377" s="261">
        <v>-4620</v>
      </c>
      <c r="AC377" s="261">
        <v>572</v>
      </c>
      <c r="AD377" s="261">
        <v>-308</v>
      </c>
      <c r="AE377" s="261">
        <v>5808</v>
      </c>
      <c r="AF377" s="261">
        <v>352</v>
      </c>
      <c r="AG377" s="261">
        <v>-308</v>
      </c>
      <c r="AH377" s="261">
        <v>1672</v>
      </c>
      <c r="AI377" s="261">
        <v>1672</v>
      </c>
      <c r="AJ377" s="261">
        <v>5192</v>
      </c>
      <c r="AK377" s="261">
        <v>132</v>
      </c>
      <c r="AL377" s="261">
        <v>924</v>
      </c>
      <c r="AM377" s="261">
        <v>1892</v>
      </c>
      <c r="AN377" s="261">
        <v>-1320</v>
      </c>
      <c r="AO377" s="261">
        <v>170</v>
      </c>
      <c r="AP377" s="261">
        <v>2040</v>
      </c>
      <c r="AQ377" s="261">
        <v>782</v>
      </c>
      <c r="AR377" s="261">
        <v>-1326</v>
      </c>
      <c r="AS377" s="261">
        <v>272</v>
      </c>
      <c r="AT377" s="261">
        <v>-340</v>
      </c>
      <c r="AU377" s="261">
        <v>-2754</v>
      </c>
      <c r="AV377" s="261">
        <f ca="1">Calc!AP75</f>
        <v>-2754</v>
      </c>
      <c r="AX377" s="88" t="str">
        <f t="shared" ca="1" si="31"/>
        <v>ENI</v>
      </c>
    </row>
    <row r="378" spans="1:50" hidden="1" x14ac:dyDescent="0.3">
      <c r="A378" s="88" t="str">
        <f t="shared" ca="1" si="30"/>
        <v>EZJ</v>
      </c>
      <c r="F378" s="251">
        <v>473</v>
      </c>
      <c r="G378" s="251">
        <v>480.7</v>
      </c>
      <c r="H378" s="251">
        <v>478.2</v>
      </c>
      <c r="I378" s="251">
        <v>479.7</v>
      </c>
      <c r="J378" s="251">
        <v>479.8</v>
      </c>
      <c r="K378" s="251">
        <v>474.7</v>
      </c>
      <c r="L378" s="251">
        <v>482.2</v>
      </c>
      <c r="M378" s="251">
        <v>482.2</v>
      </c>
      <c r="N378" s="251">
        <v>479.5</v>
      </c>
      <c r="O378" s="251">
        <v>477.5</v>
      </c>
      <c r="P378" s="251">
        <v>483.6</v>
      </c>
      <c r="Q378" s="251">
        <v>479</v>
      </c>
      <c r="R378" s="251">
        <v>477.6</v>
      </c>
      <c r="S378" s="251">
        <v>477.9</v>
      </c>
      <c r="T378" s="251">
        <v>478.3</v>
      </c>
      <c r="U378" s="251">
        <v>476.7</v>
      </c>
      <c r="V378" s="251">
        <v>463.7</v>
      </c>
      <c r="W378" s="251">
        <v>463.2</v>
      </c>
      <c r="X378" s="251">
        <v>454</v>
      </c>
      <c r="Y378" s="251">
        <v>454</v>
      </c>
      <c r="Z378" s="245">
        <f ca="1">[1]ExtEntry!$I76</f>
        <v>454</v>
      </c>
      <c r="AB378" s="264">
        <v>-3440</v>
      </c>
      <c r="AC378" s="264">
        <v>-7960</v>
      </c>
      <c r="AD378" s="264">
        <v>3360</v>
      </c>
      <c r="AE378" s="264">
        <v>1480</v>
      </c>
      <c r="AF378" s="264">
        <v>-1080</v>
      </c>
      <c r="AG378" s="264">
        <v>-2040</v>
      </c>
      <c r="AH378" s="264">
        <v>3030</v>
      </c>
      <c r="AI378" s="264">
        <v>3030</v>
      </c>
      <c r="AJ378" s="264">
        <v>-2430</v>
      </c>
      <c r="AK378" s="264">
        <v>930</v>
      </c>
      <c r="AL378" s="264">
        <v>240</v>
      </c>
      <c r="AM378" s="264">
        <v>-750</v>
      </c>
      <c r="AN378" s="264">
        <v>540</v>
      </c>
      <c r="AO378" s="264">
        <v>-2610</v>
      </c>
      <c r="AP378" s="264">
        <v>1740</v>
      </c>
      <c r="AQ378" s="264">
        <v>-2430</v>
      </c>
      <c r="AR378" s="264">
        <v>-2130</v>
      </c>
      <c r="AS378" s="264">
        <v>-900</v>
      </c>
      <c r="AT378" s="264">
        <v>-1110</v>
      </c>
      <c r="AU378" s="264">
        <v>1380</v>
      </c>
      <c r="AV378" s="261">
        <f ca="1">Calc!AP76</f>
        <v>1380</v>
      </c>
      <c r="AX378" s="88" t="str">
        <f t="shared" ca="1" si="31"/>
        <v>EZJ</v>
      </c>
    </row>
    <row r="379" spans="1:50" hidden="1" x14ac:dyDescent="0.3">
      <c r="A379" s="88" t="str">
        <f t="shared" ca="1" si="30"/>
        <v>F</v>
      </c>
      <c r="F379" s="251">
        <v>11.34</v>
      </c>
      <c r="G379" s="251">
        <v>11.64</v>
      </c>
      <c r="H379" s="251">
        <v>11.64</v>
      </c>
      <c r="I379" s="251">
        <v>11.72</v>
      </c>
      <c r="J379" s="251">
        <v>11.91</v>
      </c>
      <c r="K379" s="251">
        <v>12.07</v>
      </c>
      <c r="L379" s="251">
        <v>12.28</v>
      </c>
      <c r="M379" s="251">
        <v>12.28</v>
      </c>
      <c r="N379" s="251">
        <v>12.19</v>
      </c>
      <c r="O379" s="251">
        <v>12.71</v>
      </c>
      <c r="P379" s="251">
        <v>13.21</v>
      </c>
      <c r="Q379" s="251">
        <v>13.04</v>
      </c>
      <c r="R379" s="251">
        <v>13.06</v>
      </c>
      <c r="S379" s="251">
        <v>12.75</v>
      </c>
      <c r="T379" s="251">
        <v>12.88</v>
      </c>
      <c r="U379" s="251">
        <v>12.98</v>
      </c>
      <c r="V379" s="251">
        <v>12.95</v>
      </c>
      <c r="W379" s="251">
        <v>13.1</v>
      </c>
      <c r="X379" s="251">
        <v>12.76</v>
      </c>
      <c r="Y379" s="251">
        <v>12.99</v>
      </c>
      <c r="Z379" s="245">
        <f ca="1">[1]ExtEntry!$I77</f>
        <v>12.99</v>
      </c>
      <c r="AB379" s="261">
        <v>795</v>
      </c>
      <c r="AC379" s="261">
        <v>225</v>
      </c>
      <c r="AD379" s="261">
        <v>15</v>
      </c>
      <c r="AE379" s="261">
        <v>540</v>
      </c>
      <c r="AF379" s="261">
        <v>0</v>
      </c>
      <c r="AG379" s="261">
        <v>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52.8</v>
      </c>
      <c r="G380" s="251">
        <v>55.56</v>
      </c>
      <c r="H380" s="251">
        <v>54.88</v>
      </c>
      <c r="I380" s="251">
        <v>53.18</v>
      </c>
      <c r="J380" s="251">
        <v>51.98</v>
      </c>
      <c r="K380" s="251">
        <v>52.84</v>
      </c>
      <c r="L380" s="251">
        <v>52.26</v>
      </c>
      <c r="M380" s="251">
        <v>52.26</v>
      </c>
      <c r="N380" s="251">
        <v>52.8</v>
      </c>
      <c r="O380" s="251">
        <v>52.4</v>
      </c>
      <c r="P380" s="251">
        <v>53.2</v>
      </c>
      <c r="Q380" s="251">
        <v>53</v>
      </c>
      <c r="R380" s="251">
        <v>52.02</v>
      </c>
      <c r="S380" s="251">
        <v>53.54</v>
      </c>
      <c r="T380" s="251">
        <v>53.76</v>
      </c>
      <c r="U380" s="251">
        <v>54.36</v>
      </c>
      <c r="V380" s="251">
        <v>54.3</v>
      </c>
      <c r="W380" s="251">
        <v>57.08</v>
      </c>
      <c r="X380" s="251">
        <v>55.84</v>
      </c>
      <c r="Y380" s="251">
        <v>55.84</v>
      </c>
      <c r="Z380" s="245">
        <f ca="1">[1]ExtEntry!$I78</f>
        <v>55.84</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170.52</v>
      </c>
      <c r="G381" s="251">
        <v>186.22</v>
      </c>
      <c r="H381" s="251">
        <v>188.76</v>
      </c>
      <c r="I381" s="251">
        <v>188.12</v>
      </c>
      <c r="J381" s="251">
        <v>192.46</v>
      </c>
      <c r="K381" s="251">
        <v>190.5</v>
      </c>
      <c r="L381" s="251">
        <v>180.32</v>
      </c>
      <c r="M381" s="251">
        <v>180.32</v>
      </c>
      <c r="N381" s="251">
        <v>181.69499999999999</v>
      </c>
      <c r="O381" s="251">
        <v>190.91</v>
      </c>
      <c r="P381" s="251">
        <v>188.72</v>
      </c>
      <c r="Q381" s="251">
        <v>187.19</v>
      </c>
      <c r="R381" s="251">
        <v>164.02010000000001</v>
      </c>
      <c r="S381" s="251">
        <v>156.86000000000001</v>
      </c>
      <c r="T381" s="251">
        <v>156</v>
      </c>
      <c r="U381" s="251">
        <v>153.4</v>
      </c>
      <c r="V381" s="251">
        <v>150.08000000000001</v>
      </c>
      <c r="W381" s="251">
        <v>149.76</v>
      </c>
      <c r="X381" s="251">
        <v>137.6</v>
      </c>
      <c r="Y381" s="251">
        <v>143.55000000000001</v>
      </c>
      <c r="Z381" s="245">
        <f ca="1">[1]ExtEntry!$I79</f>
        <v>143.55000000000001</v>
      </c>
      <c r="AB381" s="261">
        <v>10380</v>
      </c>
      <c r="AC381" s="261">
        <v>5100</v>
      </c>
      <c r="AD381" s="261">
        <v>-435</v>
      </c>
      <c r="AE381" s="261">
        <v>-222.00000000001455</v>
      </c>
      <c r="AF381" s="261">
        <v>1662</v>
      </c>
      <c r="AG381" s="261">
        <v>-732</v>
      </c>
      <c r="AH381" s="261">
        <v>-8919</v>
      </c>
      <c r="AI381" s="261">
        <v>-8919</v>
      </c>
      <c r="AJ381" s="261">
        <v>5346</v>
      </c>
      <c r="AK381" s="261">
        <v>-630</v>
      </c>
      <c r="AL381" s="261">
        <v>-3636</v>
      </c>
      <c r="AM381" s="261">
        <v>-1098</v>
      </c>
      <c r="AN381" s="261">
        <v>-11511</v>
      </c>
      <c r="AO381" s="261">
        <v>-3528</v>
      </c>
      <c r="AP381" s="261">
        <v>2385</v>
      </c>
      <c r="AQ381" s="261">
        <v>-4473</v>
      </c>
      <c r="AR381" s="261">
        <v>2106</v>
      </c>
      <c r="AS381" s="261">
        <v>180</v>
      </c>
      <c r="AT381" s="261">
        <v>3014.9999999999854</v>
      </c>
      <c r="AU381" s="261">
        <v>2601</v>
      </c>
      <c r="AV381" s="261">
        <f ca="1">Calc!AP79</f>
        <v>2601</v>
      </c>
      <c r="AX381" s="88" t="str">
        <f t="shared" ca="1" si="31"/>
        <v>GNRC</v>
      </c>
    </row>
    <row r="382" spans="1:50" hidden="1" x14ac:dyDescent="0.3">
      <c r="A382" s="88" t="str">
        <f t="shared" ca="1" si="30"/>
        <v>GS</v>
      </c>
      <c r="F382" s="251">
        <v>742.46010000000001</v>
      </c>
      <c r="G382" s="251">
        <v>762.82</v>
      </c>
      <c r="H382" s="251">
        <v>752.41</v>
      </c>
      <c r="I382" s="251">
        <v>740.01</v>
      </c>
      <c r="J382" s="251">
        <v>752.88</v>
      </c>
      <c r="K382" s="251">
        <v>758.27</v>
      </c>
      <c r="L382" s="251">
        <v>743.11</v>
      </c>
      <c r="M382" s="251">
        <v>743.11</v>
      </c>
      <c r="N382" s="251">
        <v>744.66</v>
      </c>
      <c r="O382" s="251">
        <v>756</v>
      </c>
      <c r="P382" s="251">
        <v>787.01</v>
      </c>
      <c r="Q382" s="251">
        <v>787.35</v>
      </c>
      <c r="R382" s="251">
        <v>780.6001</v>
      </c>
      <c r="S382" s="251">
        <v>773</v>
      </c>
      <c r="T382" s="251">
        <v>775.58</v>
      </c>
      <c r="U382" s="251">
        <v>777</v>
      </c>
      <c r="V382" s="251">
        <v>762.8</v>
      </c>
      <c r="W382" s="251">
        <v>778</v>
      </c>
      <c r="X382" s="251">
        <v>766.54459999999995</v>
      </c>
      <c r="Y382" s="251">
        <v>775.01</v>
      </c>
      <c r="Z382" s="245">
        <f ca="1">[1]ExtEntry!$I80</f>
        <v>775.01</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1.96</v>
      </c>
      <c r="G383" s="251">
        <v>2</v>
      </c>
      <c r="H383" s="251">
        <v>1.87</v>
      </c>
      <c r="I383" s="251">
        <v>1.92</v>
      </c>
      <c r="J383" s="251">
        <v>1.95</v>
      </c>
      <c r="K383" s="251">
        <v>1.8</v>
      </c>
      <c r="L383" s="251">
        <v>1.67</v>
      </c>
      <c r="M383" s="251">
        <v>1.67</v>
      </c>
      <c r="N383" s="251">
        <v>1.67</v>
      </c>
      <c r="O383" s="251">
        <v>1.72</v>
      </c>
      <c r="P383" s="251">
        <v>2.0699999999999998</v>
      </c>
      <c r="Q383" s="251">
        <v>2.0499999999999998</v>
      </c>
      <c r="R383" s="251">
        <v>2.0550000000000002</v>
      </c>
      <c r="S383" s="251">
        <v>1.2350000000000001</v>
      </c>
      <c r="T383" s="251">
        <v>1.2101</v>
      </c>
      <c r="U383" s="251">
        <v>1.17</v>
      </c>
      <c r="V383" s="251">
        <v>1.1299999999999999</v>
      </c>
      <c r="W383" s="251">
        <v>1.01</v>
      </c>
      <c r="X383" s="251">
        <v>0.81120000000000003</v>
      </c>
      <c r="Y383" s="251">
        <v>0.88049999999999995</v>
      </c>
      <c r="Z383" s="245">
        <f ca="1">[1]ExtEntry!$I81</f>
        <v>0.88049999999999995</v>
      </c>
      <c r="AB383" s="261">
        <v>931.08000000000175</v>
      </c>
      <c r="AC383" s="261">
        <v>-2560.4699999999975</v>
      </c>
      <c r="AD383" s="261">
        <v>-2638.0600000000049</v>
      </c>
      <c r="AE383" s="261">
        <v>-1551.8000000000029</v>
      </c>
      <c r="AF383" s="261">
        <v>620.72000000000116</v>
      </c>
      <c r="AG383" s="261">
        <v>-3026.0099999999984</v>
      </c>
      <c r="AH383" s="261">
        <v>-1862.1600000000035</v>
      </c>
      <c r="AI383" s="261">
        <v>-1862.1600000000035</v>
      </c>
      <c r="AJ383" s="261">
        <v>-465.54000000000087</v>
      </c>
      <c r="AK383" s="261">
        <v>7681.4100000000035</v>
      </c>
      <c r="AL383" s="261">
        <v>1551.7999999999884</v>
      </c>
      <c r="AM383" s="261">
        <v>-3646.7299999999959</v>
      </c>
      <c r="AN383" s="261">
        <v>775.89999999999782</v>
      </c>
      <c r="AO383" s="261">
        <v>1939.75</v>
      </c>
      <c r="AP383" s="261">
        <v>-1551.8000000000029</v>
      </c>
      <c r="AQ383" s="261">
        <v>-802.28060000000187</v>
      </c>
      <c r="AR383" s="261">
        <v>1319.0300000000025</v>
      </c>
      <c r="AS383" s="261">
        <v>-2172.5199999999968</v>
      </c>
      <c r="AT383" s="261">
        <v>-58.968400000001566</v>
      </c>
      <c r="AU383" s="261">
        <v>-220.35560000000078</v>
      </c>
      <c r="AV383" s="261">
        <f ca="1">Calc!AP81</f>
        <v>-220.35560000000078</v>
      </c>
      <c r="AX383" s="88" t="str">
        <f t="shared" ca="1" si="31"/>
        <v>LAZR</v>
      </c>
    </row>
    <row r="384" spans="1:50" hidden="1" x14ac:dyDescent="0.3">
      <c r="A384" s="88" t="str">
        <f t="shared" ca="1" si="30"/>
        <v>LUV</v>
      </c>
      <c r="F384" s="251">
        <v>31.42</v>
      </c>
      <c r="G384" s="251">
        <v>33.25</v>
      </c>
      <c r="H384" s="251">
        <v>32.840000000000003</v>
      </c>
      <c r="I384" s="251">
        <v>33.19</v>
      </c>
      <c r="J384" s="251">
        <v>33.604599999999998</v>
      </c>
      <c r="K384" s="251">
        <v>34.06</v>
      </c>
      <c r="L384" s="251">
        <v>33.43</v>
      </c>
      <c r="M384" s="251">
        <v>33.43</v>
      </c>
      <c r="N384" s="251">
        <v>31.02</v>
      </c>
      <c r="O384" s="251">
        <v>31.38</v>
      </c>
      <c r="P384" s="251">
        <v>31.864999999999998</v>
      </c>
      <c r="Q384" s="251">
        <v>31.024999999999999</v>
      </c>
      <c r="R384" s="251">
        <v>30.05</v>
      </c>
      <c r="S384" s="251">
        <v>29.26</v>
      </c>
      <c r="T384" s="251">
        <v>29.8</v>
      </c>
      <c r="U384" s="251">
        <v>31.045000000000002</v>
      </c>
      <c r="V384" s="251">
        <v>30.844999999999999</v>
      </c>
      <c r="W384" s="251">
        <v>32.42</v>
      </c>
      <c r="X384" s="251">
        <v>31.53</v>
      </c>
      <c r="Y384" s="251">
        <v>31.78</v>
      </c>
      <c r="Z384" s="245">
        <f ca="1">[1]ExtEntry!$I82</f>
        <v>31.78</v>
      </c>
      <c r="AB384" s="264">
        <v>2244</v>
      </c>
      <c r="AC384" s="264">
        <v>162.00000000000728</v>
      </c>
      <c r="AD384" s="264">
        <v>-456</v>
      </c>
      <c r="AE384" s="264">
        <v>348.00000000001455</v>
      </c>
      <c r="AF384" s="264">
        <v>750</v>
      </c>
      <c r="AG384" s="264">
        <v>678</v>
      </c>
      <c r="AH384" s="264">
        <v>-768</v>
      </c>
      <c r="AI384" s="264">
        <v>-768</v>
      </c>
      <c r="AJ384" s="264">
        <v>-1404</v>
      </c>
      <c r="AK384" s="264">
        <v>168</v>
      </c>
      <c r="AL384" s="264">
        <v>-258</v>
      </c>
      <c r="AM384" s="264">
        <v>-1272</v>
      </c>
      <c r="AN384" s="264">
        <v>-486</v>
      </c>
      <c r="AO384" s="264">
        <v>-450</v>
      </c>
      <c r="AP384" s="264">
        <v>2178</v>
      </c>
      <c r="AQ384" s="264">
        <v>24</v>
      </c>
      <c r="AR384" s="264">
        <v>1446</v>
      </c>
      <c r="AS384" s="264">
        <v>342</v>
      </c>
      <c r="AT384" s="264">
        <v>360</v>
      </c>
      <c r="AU384" s="264">
        <v>-636</v>
      </c>
      <c r="AV384" s="261">
        <f ca="1">Calc!AP82</f>
        <v>-636</v>
      </c>
      <c r="AX384" s="88" t="str">
        <f t="shared" ca="1" si="31"/>
        <v>LUV</v>
      </c>
    </row>
    <row r="385" spans="1:70" hidden="1" x14ac:dyDescent="0.3">
      <c r="A385" s="88" t="str">
        <f t="shared" ca="1" si="30"/>
        <v>MA</v>
      </c>
      <c r="F385" s="251">
        <v>556</v>
      </c>
      <c r="G385" s="251">
        <v>559.4</v>
      </c>
      <c r="H385" s="251">
        <v>547.39</v>
      </c>
      <c r="I385" s="251">
        <v>552.01</v>
      </c>
      <c r="J385" s="251">
        <v>553.79</v>
      </c>
      <c r="K385" s="251">
        <v>560.76499999999999</v>
      </c>
      <c r="L385" s="251">
        <v>568.58000000000004</v>
      </c>
      <c r="M385" s="251">
        <v>568.58000000000004</v>
      </c>
      <c r="N385" s="251">
        <v>571.66999999999996</v>
      </c>
      <c r="O385" s="251">
        <v>573.08000000000004</v>
      </c>
      <c r="P385" s="251">
        <v>566.48</v>
      </c>
      <c r="Q385" s="251">
        <v>565.45000000000005</v>
      </c>
      <c r="R385" s="251">
        <v>545.63499999999999</v>
      </c>
      <c r="S385" s="251">
        <v>542.48</v>
      </c>
      <c r="T385" s="251">
        <v>549.36599999999999</v>
      </c>
      <c r="U385" s="251">
        <v>547.86</v>
      </c>
      <c r="V385" s="251">
        <v>550.66999999999996</v>
      </c>
      <c r="W385" s="251">
        <v>544.04999999999995</v>
      </c>
      <c r="X385" s="251">
        <v>524.70000000000005</v>
      </c>
      <c r="Y385" s="251">
        <v>525.06290000000001</v>
      </c>
      <c r="Z385" s="245">
        <f ca="1">[1]ExtEntry!$I83</f>
        <v>525.06290000000001</v>
      </c>
      <c r="AB385" s="261">
        <v>2186.0000000000146</v>
      </c>
      <c r="AC385" s="261">
        <v>-331.00000000001455</v>
      </c>
      <c r="AD385" s="261">
        <v>-2543.9999999999709</v>
      </c>
      <c r="AE385" s="261">
        <v>1696</v>
      </c>
      <c r="AF385" s="261">
        <v>993.9999999999709</v>
      </c>
      <c r="AG385" s="261">
        <v>1962</v>
      </c>
      <c r="AH385" s="261">
        <v>44.000000000014552</v>
      </c>
      <c r="AI385" s="261">
        <v>44.000000000014552</v>
      </c>
      <c r="AJ385" s="261">
        <v>-102</v>
      </c>
      <c r="AK385" s="261">
        <v>-602</v>
      </c>
      <c r="AL385" s="261">
        <v>-712</v>
      </c>
      <c r="AM385" s="261">
        <v>-1376</v>
      </c>
      <c r="AN385" s="261">
        <v>392.00000000001455</v>
      </c>
      <c r="AO385" s="261">
        <v>1770.0000000000146</v>
      </c>
      <c r="AP385" s="261">
        <v>152</v>
      </c>
      <c r="AQ385" s="261">
        <v>332.0000000000291</v>
      </c>
      <c r="AR385" s="261">
        <v>-490.00000000001455</v>
      </c>
      <c r="AS385" s="261">
        <v>-2062</v>
      </c>
      <c r="AT385" s="261">
        <v>-1291.9999999999854</v>
      </c>
      <c r="AU385" s="261">
        <v>-443.49999999998545</v>
      </c>
      <c r="AV385" s="261">
        <f ca="1">Calc!AP83</f>
        <v>-443.49999999998545</v>
      </c>
      <c r="AX385" s="88" t="str">
        <f t="shared" ca="1" si="31"/>
        <v>MA</v>
      </c>
    </row>
    <row r="386" spans="1:70" hidden="1" x14ac:dyDescent="0.3">
      <c r="A386" s="88" t="str">
        <f t="shared" ca="1" si="30"/>
        <v>NVAX</v>
      </c>
      <c r="F386" s="251">
        <v>8.5299999999999994</v>
      </c>
      <c r="G386" s="251">
        <v>8.85</v>
      </c>
      <c r="H386" s="251">
        <v>8.4649999999999999</v>
      </c>
      <c r="I386" s="251">
        <v>8.02</v>
      </c>
      <c r="J386" s="251">
        <v>8.19</v>
      </c>
      <c r="K386" s="251">
        <v>8.56</v>
      </c>
      <c r="L386" s="251">
        <v>8.19</v>
      </c>
      <c r="M386" s="251">
        <v>8.19</v>
      </c>
      <c r="N386" s="251">
        <v>8.24</v>
      </c>
      <c r="O386" s="251">
        <v>8.4250000000000007</v>
      </c>
      <c r="P386" s="251">
        <v>8.52</v>
      </c>
      <c r="Q386" s="251">
        <v>8.4</v>
      </c>
      <c r="R386" s="251">
        <v>8.25</v>
      </c>
      <c r="S386" s="251">
        <v>7.52</v>
      </c>
      <c r="T386" s="251">
        <v>7.51</v>
      </c>
      <c r="U386" s="251">
        <v>7.4</v>
      </c>
      <c r="V386" s="251">
        <v>7.2801</v>
      </c>
      <c r="W386" s="251">
        <v>6.9008000000000003</v>
      </c>
      <c r="X386" s="251">
        <v>6.5149999999999997</v>
      </c>
      <c r="Y386" s="251">
        <v>6.38</v>
      </c>
      <c r="Z386" s="245">
        <f ca="1">[1]ExtEntry!$I84</f>
        <v>6.38</v>
      </c>
      <c r="AB386" s="264">
        <v>1495.0000000000073</v>
      </c>
      <c r="AC386" s="264">
        <v>682.50000000000728</v>
      </c>
      <c r="AD386" s="264">
        <v>-2925</v>
      </c>
      <c r="AE386" s="264">
        <v>-1105</v>
      </c>
      <c r="AF386" s="264">
        <v>3835</v>
      </c>
      <c r="AG386" s="264">
        <v>-780.00000000000728</v>
      </c>
      <c r="AH386" s="264">
        <v>338.00000000000728</v>
      </c>
      <c r="AI386" s="264">
        <v>338.00000000000728</v>
      </c>
      <c r="AJ386" s="264">
        <v>-747.50000000000728</v>
      </c>
      <c r="AK386" s="264">
        <v>-455</v>
      </c>
      <c r="AL386" s="264">
        <v>649.99999999999272</v>
      </c>
      <c r="AM386" s="264">
        <v>-1495</v>
      </c>
      <c r="AN386" s="264">
        <v>844.99999999999272</v>
      </c>
      <c r="AO386" s="264">
        <v>-422.5</v>
      </c>
      <c r="AP386" s="264">
        <v>975</v>
      </c>
      <c r="AQ386" s="264">
        <v>1430.6500000000015</v>
      </c>
      <c r="AR386" s="264">
        <v>-331.5</v>
      </c>
      <c r="AS386" s="264">
        <v>325</v>
      </c>
      <c r="AT386" s="264">
        <v>-180</v>
      </c>
      <c r="AU386" s="264">
        <v>-967.50000000000364</v>
      </c>
      <c r="AV386" s="261">
        <f ca="1">Calc!AP84</f>
        <v>-967.50000000000364</v>
      </c>
      <c r="AX386" s="88" t="str">
        <f t="shared" ca="1" si="31"/>
        <v>NVAX</v>
      </c>
    </row>
    <row r="387" spans="1:70" hidden="1" x14ac:dyDescent="0.3">
      <c r="A387" s="88" t="str">
        <f t="shared" ca="1" si="30"/>
        <v>NVS</v>
      </c>
      <c r="F387" s="251">
        <v>129.33500000000001</v>
      </c>
      <c r="G387" s="251">
        <v>128.23500000000001</v>
      </c>
      <c r="H387" s="251">
        <v>129.64500000000001</v>
      </c>
      <c r="I387" s="251">
        <v>130.41</v>
      </c>
      <c r="J387" s="251">
        <v>130.6</v>
      </c>
      <c r="K387" s="251">
        <v>130.88</v>
      </c>
      <c r="L387" s="251">
        <v>131.06</v>
      </c>
      <c r="M387" s="251">
        <v>131.06</v>
      </c>
      <c r="N387" s="251">
        <v>130.62</v>
      </c>
      <c r="O387" s="251">
        <v>130.28</v>
      </c>
      <c r="P387" s="251">
        <v>127.08</v>
      </c>
      <c r="Q387" s="251">
        <v>123.06</v>
      </c>
      <c r="R387" s="251">
        <v>121.98</v>
      </c>
      <c r="S387" s="251">
        <v>123.51</v>
      </c>
      <c r="T387" s="251">
        <v>124.47</v>
      </c>
      <c r="U387" s="251">
        <v>126.065</v>
      </c>
      <c r="V387" s="251">
        <v>126.0001</v>
      </c>
      <c r="W387" s="251">
        <v>130.30000000000001</v>
      </c>
      <c r="X387" s="251">
        <v>126.94</v>
      </c>
      <c r="Y387" s="251">
        <v>126.31</v>
      </c>
      <c r="Z387" s="245">
        <f ca="1">[1]ExtEntry!$I85</f>
        <v>126.31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13.465</v>
      </c>
      <c r="G388" s="251">
        <v>13.805</v>
      </c>
      <c r="H388" s="251">
        <v>13.815</v>
      </c>
      <c r="I388" s="251">
        <v>13.994999999999999</v>
      </c>
      <c r="J388" s="251">
        <v>14.16</v>
      </c>
      <c r="K388" s="251">
        <v>14.07</v>
      </c>
      <c r="L388" s="251">
        <v>13.92</v>
      </c>
      <c r="M388" s="251">
        <v>13.92</v>
      </c>
      <c r="N388" s="251">
        <v>13.994999999999999</v>
      </c>
      <c r="O388" s="251">
        <v>13.805</v>
      </c>
      <c r="P388" s="251">
        <v>13.725</v>
      </c>
      <c r="Q388" s="251">
        <v>13.64</v>
      </c>
      <c r="R388" s="251">
        <v>13.645</v>
      </c>
      <c r="S388" s="251">
        <v>13.525</v>
      </c>
      <c r="T388" s="251">
        <v>13.705</v>
      </c>
      <c r="U388" s="251">
        <v>13.73</v>
      </c>
      <c r="V388" s="251">
        <v>13.9</v>
      </c>
      <c r="W388" s="251">
        <v>13.89</v>
      </c>
      <c r="X388" s="251">
        <v>13.675000000000001</v>
      </c>
      <c r="Y388" s="251">
        <v>13.67</v>
      </c>
      <c r="Z388" s="245">
        <f ca="1">[1]ExtEntry!$I86</f>
        <v>13.67</v>
      </c>
      <c r="AB388" s="264">
        <v>120</v>
      </c>
      <c r="AC388" s="264">
        <v>-42</v>
      </c>
      <c r="AD388" s="264">
        <v>126</v>
      </c>
      <c r="AE388" s="264">
        <v>366</v>
      </c>
      <c r="AF388" s="264">
        <v>-102</v>
      </c>
      <c r="AG388" s="264">
        <v>-72</v>
      </c>
      <c r="AH388" s="264">
        <v>-48</v>
      </c>
      <c r="AI388" s="264">
        <v>-48</v>
      </c>
      <c r="AJ388" s="264">
        <v>60</v>
      </c>
      <c r="AK388" s="264">
        <v>-252</v>
      </c>
      <c r="AL388" s="264">
        <v>-90</v>
      </c>
      <c r="AM388" s="264">
        <v>-12</v>
      </c>
      <c r="AN388" s="264">
        <v>96</v>
      </c>
      <c r="AO388" s="264">
        <v>-54</v>
      </c>
      <c r="AP388" s="264">
        <v>-18</v>
      </c>
      <c r="AQ388" s="264">
        <v>132</v>
      </c>
      <c r="AR388" s="264">
        <v>258</v>
      </c>
      <c r="AS388" s="264">
        <v>-396</v>
      </c>
      <c r="AT388" s="264">
        <v>-366</v>
      </c>
      <c r="AU388" s="264">
        <v>-258</v>
      </c>
      <c r="AV388" s="261">
        <f ca="1">Calc!AP86</f>
        <v>-258</v>
      </c>
      <c r="AX388" s="88" t="str">
        <f t="shared" ca="1" si="31"/>
        <v>ORA</v>
      </c>
    </row>
    <row r="389" spans="1:70" hidden="1" x14ac:dyDescent="0.3">
      <c r="A389" s="88" t="str">
        <f t="shared" ca="1" si="30"/>
        <v>OXY</v>
      </c>
      <c r="F389" s="251">
        <v>41.52</v>
      </c>
      <c r="G389" s="251">
        <v>41.64</v>
      </c>
      <c r="H389" s="251">
        <v>40.51</v>
      </c>
      <c r="I389" s="251">
        <v>40.520000000000003</v>
      </c>
      <c r="J389" s="251">
        <v>40.840000000000003</v>
      </c>
      <c r="K389" s="251">
        <v>40.615000000000002</v>
      </c>
      <c r="L389" s="251">
        <v>40.9</v>
      </c>
      <c r="M389" s="251">
        <v>40.9</v>
      </c>
      <c r="N389" s="251">
        <v>42.72</v>
      </c>
      <c r="O389" s="251">
        <v>42.53</v>
      </c>
      <c r="P389" s="251">
        <v>42.11</v>
      </c>
      <c r="Q389" s="251">
        <v>40.81</v>
      </c>
      <c r="R389" s="251">
        <v>40.094200000000001</v>
      </c>
      <c r="S389" s="251">
        <v>39.75</v>
      </c>
      <c r="T389" s="251">
        <v>39.75</v>
      </c>
      <c r="U389" s="251">
        <v>39.83</v>
      </c>
      <c r="V389" s="251">
        <v>40.31</v>
      </c>
      <c r="W389" s="251">
        <v>41.92</v>
      </c>
      <c r="X389" s="251">
        <v>41.2</v>
      </c>
      <c r="Y389" s="251">
        <v>40.937100000000001</v>
      </c>
      <c r="Z389" s="245">
        <f ca="1">[1]ExtEntry!$I87</f>
        <v>40.937100000000001</v>
      </c>
      <c r="AB389" s="261">
        <v>1360</v>
      </c>
      <c r="AC389" s="261">
        <v>-2420</v>
      </c>
      <c r="AD389" s="261">
        <v>-3800</v>
      </c>
      <c r="AE389" s="261">
        <v>400</v>
      </c>
      <c r="AF389" s="261">
        <v>280</v>
      </c>
      <c r="AG389" s="261">
        <v>-360</v>
      </c>
      <c r="AH389" s="261">
        <v>2060</v>
      </c>
      <c r="AI389" s="261">
        <v>2060</v>
      </c>
      <c r="AJ389" s="261">
        <v>-1040</v>
      </c>
      <c r="AK389" s="261">
        <v>-1680</v>
      </c>
      <c r="AL389" s="261">
        <v>-2240</v>
      </c>
      <c r="AM389" s="261">
        <v>-4600</v>
      </c>
      <c r="AN389" s="261">
        <v>1540</v>
      </c>
      <c r="AO389" s="261">
        <v>-580</v>
      </c>
      <c r="AP389" s="261">
        <v>-1220</v>
      </c>
      <c r="AQ389" s="261">
        <v>1080</v>
      </c>
      <c r="AR389" s="261">
        <v>3077.2000000000116</v>
      </c>
      <c r="AS389" s="261">
        <v>2980</v>
      </c>
      <c r="AT389" s="261">
        <v>4060</v>
      </c>
      <c r="AU389" s="261">
        <v>300</v>
      </c>
      <c r="AV389" s="261">
        <f ca="1">Calc!AP87</f>
        <v>300</v>
      </c>
      <c r="AX389" s="88" t="str">
        <f t="shared" ca="1" si="31"/>
        <v>OXY</v>
      </c>
    </row>
    <row r="390" spans="1:70" hidden="1" x14ac:dyDescent="0.3">
      <c r="A390" s="88" t="str">
        <f t="shared" ca="1" si="30"/>
        <v>PFE</v>
      </c>
      <c r="F390" s="251">
        <v>24.48</v>
      </c>
      <c r="G390" s="251">
        <v>24.21</v>
      </c>
      <c r="H390" s="251">
        <v>24.21</v>
      </c>
      <c r="I390" s="251">
        <v>24.16</v>
      </c>
      <c r="J390" s="251">
        <v>24.51</v>
      </c>
      <c r="K390" s="251">
        <v>24.6</v>
      </c>
      <c r="L390" s="251">
        <v>24.62</v>
      </c>
      <c r="M390" s="251">
        <v>24.62</v>
      </c>
      <c r="N390" s="251">
        <v>24.51</v>
      </c>
      <c r="O390" s="251">
        <v>24.68</v>
      </c>
      <c r="P390" s="251">
        <v>24.63</v>
      </c>
      <c r="Q390" s="251">
        <v>24.38</v>
      </c>
      <c r="R390" s="251">
        <v>24.15</v>
      </c>
      <c r="S390" s="251">
        <v>24.2</v>
      </c>
      <c r="T390" s="251">
        <v>24.16</v>
      </c>
      <c r="U390" s="251">
        <v>24.543199999999999</v>
      </c>
      <c r="V390" s="251">
        <v>24.110900000000001</v>
      </c>
      <c r="W390" s="251">
        <v>24.97</v>
      </c>
      <c r="X390" s="251">
        <v>24.98</v>
      </c>
      <c r="Y390" s="251">
        <v>24.9</v>
      </c>
      <c r="Z390" s="245">
        <f ca="1">[1]ExtEntry!$I88</f>
        <v>24.9</v>
      </c>
      <c r="AB390" s="264">
        <v>-184</v>
      </c>
      <c r="AC390" s="264">
        <v>-208</v>
      </c>
      <c r="AD390" s="264">
        <v>-336</v>
      </c>
      <c r="AE390" s="264">
        <v>496</v>
      </c>
      <c r="AF390" s="264">
        <v>184</v>
      </c>
      <c r="AG390" s="264">
        <v>168</v>
      </c>
      <c r="AH390" s="264">
        <v>-88</v>
      </c>
      <c r="AI390" s="264">
        <v>-88</v>
      </c>
      <c r="AJ390" s="264">
        <v>-120</v>
      </c>
      <c r="AK390" s="264">
        <v>136</v>
      </c>
      <c r="AL390" s="264">
        <v>24</v>
      </c>
      <c r="AM390" s="264">
        <v>-408</v>
      </c>
      <c r="AN390" s="264">
        <v>-16</v>
      </c>
      <c r="AO390" s="264">
        <v>-80</v>
      </c>
      <c r="AP390" s="264">
        <v>408</v>
      </c>
      <c r="AQ390" s="264">
        <v>248</v>
      </c>
      <c r="AR390" s="264">
        <v>56</v>
      </c>
      <c r="AS390" s="264">
        <v>-936</v>
      </c>
      <c r="AT390" s="264">
        <v>640</v>
      </c>
      <c r="AU390" s="264">
        <v>-552</v>
      </c>
      <c r="AV390" s="261">
        <f ca="1">Calc!AP88</f>
        <v>-552</v>
      </c>
      <c r="AX390" s="88" t="str">
        <f t="shared" ca="1" si="31"/>
        <v>PFE</v>
      </c>
    </row>
    <row r="391" spans="1:70" hidden="1" x14ac:dyDescent="0.3">
      <c r="A391" s="88" t="str">
        <f t="shared" ca="1" si="30"/>
        <v>RIG</v>
      </c>
      <c r="F391" s="251">
        <v>3.1</v>
      </c>
      <c r="G391" s="251">
        <v>3.15</v>
      </c>
      <c r="H391" s="251">
        <v>3.2</v>
      </c>
      <c r="I391" s="251">
        <v>3.1440000000000001</v>
      </c>
      <c r="J391" s="251">
        <v>3.26</v>
      </c>
      <c r="K391" s="251">
        <v>3.22</v>
      </c>
      <c r="L391" s="251">
        <v>3.32</v>
      </c>
      <c r="M391" s="251">
        <v>3.32</v>
      </c>
      <c r="N391" s="251">
        <v>3.4950000000000001</v>
      </c>
      <c r="O391" s="251">
        <v>3.87</v>
      </c>
      <c r="P391" s="251">
        <v>3.7845</v>
      </c>
      <c r="Q391" s="251">
        <v>3.7250000000000001</v>
      </c>
      <c r="R391" s="251">
        <v>3.72</v>
      </c>
      <c r="S391" s="251">
        <v>3.75</v>
      </c>
      <c r="T391" s="251">
        <v>3.86</v>
      </c>
      <c r="U391" s="251">
        <v>3.76</v>
      </c>
      <c r="V391" s="251">
        <v>3.7940999999999998</v>
      </c>
      <c r="W391" s="251">
        <v>3.96</v>
      </c>
      <c r="X391" s="251">
        <v>3.97</v>
      </c>
      <c r="Y391" s="251">
        <v>3.98</v>
      </c>
      <c r="Z391" s="245">
        <f ca="1">[1]ExtEntry!$I89</f>
        <v>3.98</v>
      </c>
      <c r="AB391" s="261">
        <v>-720</v>
      </c>
      <c r="AC391" s="261">
        <v>6240</v>
      </c>
      <c r="AD391" s="261">
        <v>-5040</v>
      </c>
      <c r="AE391" s="261">
        <v>2400</v>
      </c>
      <c r="AF391" s="261">
        <v>240</v>
      </c>
      <c r="AG391" s="261">
        <v>720</v>
      </c>
      <c r="AH391" s="261">
        <v>4560</v>
      </c>
      <c r="AI391" s="261">
        <v>4560</v>
      </c>
      <c r="AJ391" s="261">
        <v>17040</v>
      </c>
      <c r="AK391" s="261">
        <v>-240</v>
      </c>
      <c r="AL391" s="261">
        <v>-3120</v>
      </c>
      <c r="AM391" s="261">
        <v>-1200</v>
      </c>
      <c r="AN391" s="261">
        <v>6480</v>
      </c>
      <c r="AO391" s="261">
        <v>3849.5999999999767</v>
      </c>
      <c r="AP391" s="261">
        <v>1680</v>
      </c>
      <c r="AQ391" s="261">
        <v>1680</v>
      </c>
      <c r="AR391" s="261">
        <v>3010</v>
      </c>
      <c r="AS391" s="261">
        <v>0</v>
      </c>
      <c r="AT391" s="261">
        <v>4300</v>
      </c>
      <c r="AU391" s="261">
        <v>3440</v>
      </c>
      <c r="AV391" s="261">
        <f ca="1">Calc!AP89</f>
        <v>3440</v>
      </c>
      <c r="AX391" s="88" t="str">
        <f t="shared" ca="1" si="31"/>
        <v>RIG</v>
      </c>
    </row>
    <row r="392" spans="1:70" x14ac:dyDescent="0.3">
      <c r="A392" s="88" t="str">
        <f t="shared" ca="1" si="30"/>
        <v>RRC</v>
      </c>
      <c r="F392" s="251">
        <v>35.524999999999999</v>
      </c>
      <c r="G392" s="251">
        <v>36.35</v>
      </c>
      <c r="H392" s="251">
        <v>35.380000000000003</v>
      </c>
      <c r="I392" s="251">
        <v>35.409999999999997</v>
      </c>
      <c r="J392" s="251">
        <v>36.5</v>
      </c>
      <c r="K392" s="251">
        <v>36.700000000000003</v>
      </c>
      <c r="L392" s="251">
        <v>35.89</v>
      </c>
      <c r="M392" s="251">
        <v>35.89</v>
      </c>
      <c r="N392" s="251">
        <v>36.335000000000001</v>
      </c>
      <c r="O392" s="251">
        <v>37.25</v>
      </c>
      <c r="P392" s="251">
        <v>37.17</v>
      </c>
      <c r="Q392" s="251">
        <v>36.67</v>
      </c>
      <c r="R392" s="251">
        <v>34.4</v>
      </c>
      <c r="S392" s="251">
        <v>36</v>
      </c>
      <c r="T392" s="251">
        <v>36.72</v>
      </c>
      <c r="U392" s="251">
        <v>36.545000000000002</v>
      </c>
      <c r="V392" s="251">
        <v>36.21</v>
      </c>
      <c r="W392" s="251">
        <v>36.94</v>
      </c>
      <c r="X392" s="251">
        <v>37.299999999999997</v>
      </c>
      <c r="Y392" s="251">
        <v>38.42</v>
      </c>
      <c r="Z392" s="245">
        <f ca="1">[1]ExtEntry!$I90</f>
        <v>38.42</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71.92</v>
      </c>
      <c r="G393" s="243">
        <v>75.33</v>
      </c>
      <c r="H393" s="243">
        <v>74.400000000000006</v>
      </c>
      <c r="I393" s="243">
        <v>73.38</v>
      </c>
      <c r="J393" s="243">
        <v>74.840100000000007</v>
      </c>
      <c r="K393" s="243">
        <v>76.05</v>
      </c>
      <c r="L393" s="243">
        <v>75.23</v>
      </c>
      <c r="M393" s="243">
        <v>75.23</v>
      </c>
      <c r="N393" s="243">
        <v>75.760000000000005</v>
      </c>
      <c r="O393" s="243">
        <v>79.200500000000005</v>
      </c>
      <c r="P393" s="243">
        <v>79.900000000000006</v>
      </c>
      <c r="Q393" s="243">
        <v>79.77</v>
      </c>
      <c r="R393" s="243">
        <v>73.715000000000003</v>
      </c>
      <c r="S393" s="243">
        <v>71.260000000000005</v>
      </c>
      <c r="T393" s="243">
        <v>72.349999999999994</v>
      </c>
      <c r="U393" s="243">
        <v>70.930000000000007</v>
      </c>
      <c r="V393" s="243">
        <v>60.77</v>
      </c>
      <c r="W393" s="243">
        <v>60.17</v>
      </c>
      <c r="X393" s="243">
        <v>57.29</v>
      </c>
      <c r="Y393" s="243">
        <v>57.15</v>
      </c>
      <c r="Z393" s="245">
        <f ca="1">[1]ExtEntry!$I91</f>
        <v>57.15</v>
      </c>
      <c r="AB393" s="261">
        <v>1596.0000000000073</v>
      </c>
      <c r="AC393" s="261">
        <v>-534</v>
      </c>
      <c r="AD393" s="261">
        <v>-1080</v>
      </c>
      <c r="AE393" s="261">
        <v>852</v>
      </c>
      <c r="AF393" s="261">
        <v>336</v>
      </c>
      <c r="AG393" s="261">
        <v>881.99999999999272</v>
      </c>
      <c r="AH393" s="261">
        <v>-845.99999999999272</v>
      </c>
      <c r="AI393" s="261">
        <v>-845.99999999999272</v>
      </c>
      <c r="AJ393" s="261">
        <v>1452</v>
      </c>
      <c r="AK393" s="261">
        <v>-155.99999999999272</v>
      </c>
      <c r="AL393" s="261">
        <v>-246</v>
      </c>
      <c r="AM393" s="261">
        <v>18</v>
      </c>
      <c r="AN393" s="261">
        <v>-1536</v>
      </c>
      <c r="AO393" s="261">
        <v>-414</v>
      </c>
      <c r="AP393" s="261">
        <v>462</v>
      </c>
      <c r="AQ393" s="261">
        <v>-1962</v>
      </c>
      <c r="AR393" s="261">
        <v>2850</v>
      </c>
      <c r="AS393" s="261">
        <v>-339</v>
      </c>
      <c r="AT393" s="261">
        <v>-444</v>
      </c>
      <c r="AU393" s="261">
        <v>-663</v>
      </c>
      <c r="AV393" s="261">
        <f ca="1">Calc!AP91</f>
        <v>-663</v>
      </c>
      <c r="AX393" s="88" t="str">
        <f t="shared" ca="1" si="31"/>
        <v>XYZ</v>
      </c>
      <c r="BQ393" t="s">
        <v>191</v>
      </c>
      <c r="BR393" t="s">
        <v>2200</v>
      </c>
    </row>
    <row r="394" spans="1:70" x14ac:dyDescent="0.3">
      <c r="A394" s="88" t="str">
        <f t="shared" ca="1" si="30"/>
        <v>THC</v>
      </c>
      <c r="F394" s="251">
        <v>190.16</v>
      </c>
      <c r="G394" s="251">
        <v>196.01249999999999</v>
      </c>
      <c r="H394" s="251">
        <v>197.2</v>
      </c>
      <c r="I394" s="251">
        <v>196.2</v>
      </c>
      <c r="J394" s="251">
        <v>200.38499999999999</v>
      </c>
      <c r="K394" s="251">
        <v>200.88</v>
      </c>
      <c r="L394" s="251">
        <v>202.86</v>
      </c>
      <c r="M394" s="251">
        <v>202.86</v>
      </c>
      <c r="N394" s="251">
        <v>204.14</v>
      </c>
      <c r="O394" s="251">
        <v>203.15</v>
      </c>
      <c r="P394" s="251">
        <v>210.39</v>
      </c>
      <c r="Q394" s="251">
        <v>198.45</v>
      </c>
      <c r="R394" s="251">
        <v>207.46</v>
      </c>
      <c r="S394" s="251">
        <v>199.33</v>
      </c>
      <c r="T394" s="251">
        <v>203.94</v>
      </c>
      <c r="U394" s="251">
        <v>203.71850000000001</v>
      </c>
      <c r="V394" s="251">
        <v>201.96</v>
      </c>
      <c r="W394" s="251">
        <v>191.88</v>
      </c>
      <c r="X394" s="251">
        <v>190.96</v>
      </c>
      <c r="Y394" s="251">
        <v>190.24</v>
      </c>
      <c r="Z394" s="245">
        <f ca="1">[1]ExtEntry!$I92</f>
        <v>190.24</v>
      </c>
      <c r="AB394" s="264">
        <v>9435</v>
      </c>
      <c r="AC394" s="264">
        <v>1425</v>
      </c>
      <c r="AD394" s="264">
        <v>-195</v>
      </c>
      <c r="AE394" s="264">
        <v>1305</v>
      </c>
      <c r="AF394" s="264">
        <v>1117.5</v>
      </c>
      <c r="AG394" s="264">
        <v>-420</v>
      </c>
      <c r="AH394" s="264">
        <v>2550</v>
      </c>
      <c r="AI394" s="264">
        <v>2550</v>
      </c>
      <c r="AJ394" s="264">
        <v>3960</v>
      </c>
      <c r="AK394" s="264">
        <v>1305</v>
      </c>
      <c r="AL394" s="264">
        <v>8670</v>
      </c>
      <c r="AM394" s="264">
        <v>-7965</v>
      </c>
      <c r="AN394" s="264">
        <v>885</v>
      </c>
      <c r="AO394" s="264">
        <v>11895</v>
      </c>
      <c r="AP394" s="264">
        <v>3195</v>
      </c>
      <c r="AQ394" s="264">
        <v>-3555</v>
      </c>
      <c r="AR394" s="264">
        <v>502.5</v>
      </c>
      <c r="AS394" s="264">
        <v>-4905</v>
      </c>
      <c r="AT394" s="264">
        <v>2310</v>
      </c>
      <c r="AU394" s="264">
        <v>1477.5</v>
      </c>
      <c r="AV394" s="261">
        <f ca="1">Calc!AP92</f>
        <v>1477.5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10.208</v>
      </c>
      <c r="G396" s="346">
        <v>10.353999999999999</v>
      </c>
      <c r="H396" s="243">
        <v>10.356</v>
      </c>
      <c r="I396" s="243">
        <v>10.061999999999999</v>
      </c>
      <c r="J396" s="243">
        <v>10.25</v>
      </c>
      <c r="K396" s="243">
        <v>10.391999999999999</v>
      </c>
      <c r="L396" s="243">
        <v>10.353999999999999</v>
      </c>
      <c r="M396" s="243">
        <v>10.353999999999999</v>
      </c>
      <c r="N396" s="243">
        <v>10.384</v>
      </c>
      <c r="O396" s="243">
        <v>10.494</v>
      </c>
      <c r="P396" s="243">
        <v>10.63</v>
      </c>
      <c r="Q396" s="243">
        <v>10.614000000000001</v>
      </c>
      <c r="R396" s="243">
        <v>10.422000000000001</v>
      </c>
      <c r="S396" s="243">
        <v>10.401999999999999</v>
      </c>
      <c r="T396" s="243">
        <v>10.228</v>
      </c>
      <c r="U396" s="243">
        <v>10.199999999999999</v>
      </c>
      <c r="V396" s="243">
        <v>10.173999999999999</v>
      </c>
      <c r="W396" s="243">
        <v>9.9740000000000002</v>
      </c>
      <c r="X396" s="243">
        <v>9.7729999999999997</v>
      </c>
      <c r="Y396" s="243">
        <v>9.7650000000000006</v>
      </c>
      <c r="Z396" s="245">
        <f ca="1">[1]ExtEntry!$I94</f>
        <v>9.7650000000000006</v>
      </c>
      <c r="AB396" s="261">
        <v>-2621.4000000000233</v>
      </c>
      <c r="AC396" s="261">
        <v>0</v>
      </c>
      <c r="AD396" s="261">
        <v>-2004.5999999999767</v>
      </c>
      <c r="AE396" s="261">
        <v>-1079.3999999999069</v>
      </c>
      <c r="AF396" s="261">
        <v>0</v>
      </c>
      <c r="AG396" s="261">
        <v>5705.4000000000233</v>
      </c>
      <c r="AH396" s="261">
        <v>-10639.800000000163</v>
      </c>
      <c r="AI396" s="261">
        <v>-10639.800000000163</v>
      </c>
      <c r="AJ396" s="261">
        <v>0</v>
      </c>
      <c r="AK396" s="261">
        <v>7247.3999999999069</v>
      </c>
      <c r="AL396" s="261">
        <v>-2467.1999999999534</v>
      </c>
      <c r="AM396" s="261">
        <v>0</v>
      </c>
      <c r="AN396" s="261">
        <v>-4625.9999999998836</v>
      </c>
      <c r="AO396" s="261">
        <v>0</v>
      </c>
      <c r="AP396" s="261">
        <v>5088.6000000000931</v>
      </c>
      <c r="AQ396" s="261">
        <v>-6322.1999999999534</v>
      </c>
      <c r="AR396" s="261">
        <v>-4009.2000000001863</v>
      </c>
      <c r="AS396" s="261">
        <v>2775.5999999999767</v>
      </c>
      <c r="AT396" s="261">
        <v>-154.20000000006985</v>
      </c>
      <c r="AU396" s="261">
        <v>-2544.3000000000466</v>
      </c>
      <c r="AV396" s="261">
        <f ca="1">Calc!AP94</f>
        <v>-2544.3000000000466</v>
      </c>
      <c r="AX396" s="88" t="str">
        <f t="shared" ca="1" si="31"/>
        <v>LOCK</v>
      </c>
      <c r="BQ396" t="s">
        <v>193</v>
      </c>
      <c r="BR396" t="s">
        <v>2202</v>
      </c>
    </row>
    <row r="397" spans="1:70" x14ac:dyDescent="0.3">
      <c r="A397" s="88" t="str">
        <f t="shared" ca="1" si="30"/>
        <v>JBASML</v>
      </c>
      <c r="F397" s="346">
        <v>825.6</v>
      </c>
      <c r="G397" s="243">
        <v>854.9</v>
      </c>
      <c r="H397" s="243">
        <v>874</v>
      </c>
      <c r="I397" s="243">
        <v>855</v>
      </c>
      <c r="J397" s="1099">
        <v>877.2</v>
      </c>
      <c r="K397" s="245">
        <v>883.9</v>
      </c>
      <c r="L397" s="1100">
        <v>870.1</v>
      </c>
      <c r="M397" s="241">
        <v>870.1</v>
      </c>
      <c r="N397" s="243">
        <v>854.1</v>
      </c>
      <c r="O397" s="1101">
        <v>889.6</v>
      </c>
      <c r="P397" s="1101">
        <v>898.5</v>
      </c>
      <c r="Q397" s="243">
        <v>900.1</v>
      </c>
      <c r="R397" s="247">
        <v>923.6</v>
      </c>
      <c r="S397" s="243">
        <v>903.4</v>
      </c>
      <c r="T397" s="243">
        <v>878.4</v>
      </c>
      <c r="U397" s="243">
        <v>891.2</v>
      </c>
      <c r="V397" s="243">
        <v>870.8</v>
      </c>
      <c r="W397" s="1102">
        <v>841.3</v>
      </c>
      <c r="X397" s="345">
        <v>857.3</v>
      </c>
      <c r="Y397" s="243">
        <v>857.3</v>
      </c>
      <c r="Z397" s="245">
        <f ca="1">[1]ExtEntry!$I95</f>
        <v>857.3</v>
      </c>
      <c r="AB397" s="261">
        <v>2380</v>
      </c>
      <c r="AC397" s="261">
        <v>-520</v>
      </c>
      <c r="AD397" s="261">
        <v>-1260</v>
      </c>
      <c r="AE397" s="261">
        <v>3220</v>
      </c>
      <c r="AF397" s="261">
        <v>3000</v>
      </c>
      <c r="AG397" s="261">
        <v>-40</v>
      </c>
      <c r="AH397" s="261">
        <v>-1320</v>
      </c>
      <c r="AI397" s="261">
        <v>-1320</v>
      </c>
      <c r="AJ397" s="261">
        <v>3140</v>
      </c>
      <c r="AK397" s="261">
        <v>-1120</v>
      </c>
      <c r="AL397" s="261">
        <v>1620</v>
      </c>
      <c r="AM397" s="261">
        <v>660</v>
      </c>
      <c r="AN397" s="261">
        <v>2500</v>
      </c>
      <c r="AO397" s="261">
        <v>1760</v>
      </c>
      <c r="AP397" s="261">
        <v>4740</v>
      </c>
      <c r="AQ397" s="261">
        <v>-1160</v>
      </c>
      <c r="AR397" s="261">
        <v>-5640</v>
      </c>
      <c r="AS397" s="261">
        <v>1440</v>
      </c>
      <c r="AT397" s="261">
        <v>-340</v>
      </c>
      <c r="AU397" s="261">
        <v>5100</v>
      </c>
      <c r="AV397" s="261">
        <f ca="1">Calc!AP95</f>
        <v>5100</v>
      </c>
      <c r="AX397" s="88" t="str">
        <f t="shared" ca="1" si="31"/>
        <v>JBASML</v>
      </c>
      <c r="BQ397" t="s">
        <v>2203</v>
      </c>
      <c r="BR397" t="s">
        <v>1835</v>
      </c>
    </row>
    <row r="398" spans="1:70" x14ac:dyDescent="0.3">
      <c r="A398" s="88" t="str">
        <f t="shared" ca="1" si="30"/>
        <v>JBEOAN</v>
      </c>
      <c r="F398" s="251">
        <v>16.164999999999999</v>
      </c>
      <c r="G398" s="251">
        <v>16.2</v>
      </c>
      <c r="H398" s="251">
        <v>16.13</v>
      </c>
      <c r="I398" s="251">
        <v>16.164999999999999</v>
      </c>
      <c r="J398" s="251">
        <v>16.234999999999999</v>
      </c>
      <c r="K398" s="251">
        <v>16.32</v>
      </c>
      <c r="L398" s="251">
        <v>16.100000000000001</v>
      </c>
      <c r="M398" s="251">
        <v>16.100000000000001</v>
      </c>
      <c r="N398" s="251">
        <v>15.97</v>
      </c>
      <c r="O398" s="251">
        <v>15.815</v>
      </c>
      <c r="P398" s="251">
        <v>16.024999999999999</v>
      </c>
      <c r="Q398" s="251">
        <v>16.024999999999999</v>
      </c>
      <c r="R398" s="251">
        <v>16.215</v>
      </c>
      <c r="S398" s="251">
        <v>15.675000000000001</v>
      </c>
      <c r="T398" s="251">
        <v>15.824999999999999</v>
      </c>
      <c r="U398" s="251">
        <v>16</v>
      </c>
      <c r="V398" s="251">
        <v>15.994999999999999</v>
      </c>
      <c r="W398" s="251">
        <v>15.05</v>
      </c>
      <c r="X398" s="251">
        <v>15.23</v>
      </c>
      <c r="Y398" s="251">
        <v>15.23</v>
      </c>
      <c r="Z398" s="245">
        <f ca="1">[1]ExtEntry!$I96</f>
        <v>15.23</v>
      </c>
      <c r="AB398" s="264">
        <v>3690</v>
      </c>
      <c r="AC398" s="264">
        <v>-3060</v>
      </c>
      <c r="AD398" s="264">
        <v>180</v>
      </c>
      <c r="AE398" s="264">
        <v>1890</v>
      </c>
      <c r="AF398" s="264">
        <v>1890.0000000000582</v>
      </c>
      <c r="AG398" s="264">
        <v>180</v>
      </c>
      <c r="AH398" s="264">
        <v>-3600</v>
      </c>
      <c r="AI398" s="264">
        <v>-3600</v>
      </c>
      <c r="AJ398" s="264">
        <v>-2700</v>
      </c>
      <c r="AK398" s="264">
        <v>1350</v>
      </c>
      <c r="AL398" s="264">
        <v>810</v>
      </c>
      <c r="AM398" s="264">
        <v>3870</v>
      </c>
      <c r="AN398" s="264">
        <v>540</v>
      </c>
      <c r="AO398" s="264">
        <v>-1800</v>
      </c>
      <c r="AP398" s="264">
        <v>4050</v>
      </c>
      <c r="AQ398" s="264">
        <v>1349.9999999999418</v>
      </c>
      <c r="AR398" s="264">
        <v>0</v>
      </c>
      <c r="AS398" s="264">
        <v>420</v>
      </c>
      <c r="AT398" s="264">
        <v>-1785</v>
      </c>
      <c r="AU398" s="264">
        <v>-315</v>
      </c>
      <c r="AV398" s="261">
        <f ca="1">Calc!AP96</f>
        <v>-315</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48"/>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45952</v>
      </c>
      <c r="G402" s="117">
        <f t="shared" ca="1" si="32"/>
        <v>45953</v>
      </c>
      <c r="H402" s="117">
        <f t="shared" ca="1" si="32"/>
        <v>45954</v>
      </c>
      <c r="I402" s="117">
        <f t="shared" ca="1" si="32"/>
        <v>45957</v>
      </c>
      <c r="J402" s="117">
        <f t="shared" ca="1" si="32"/>
        <v>45958</v>
      </c>
      <c r="K402" s="117">
        <f t="shared" ca="1" si="32"/>
        <v>45959</v>
      </c>
      <c r="L402" s="117">
        <f t="shared" ca="1" si="32"/>
        <v>45960</v>
      </c>
      <c r="M402" s="117">
        <f t="shared" ca="1" si="32"/>
        <v>45961</v>
      </c>
      <c r="N402" s="117">
        <f t="shared" ca="1" si="32"/>
        <v>45964</v>
      </c>
      <c r="O402" s="117">
        <f t="shared" ca="1" si="32"/>
        <v>45965</v>
      </c>
      <c r="P402" s="117">
        <f t="shared" ca="1" si="32"/>
        <v>45966</v>
      </c>
      <c r="Q402" s="117">
        <f t="shared" ca="1" si="32"/>
        <v>45967</v>
      </c>
      <c r="R402" s="117">
        <f t="shared" ca="1" si="32"/>
        <v>45968</v>
      </c>
      <c r="S402" s="117">
        <f t="shared" ca="1" si="32"/>
        <v>45971</v>
      </c>
      <c r="T402" s="117">
        <f t="shared" ca="1" si="32"/>
        <v>45972</v>
      </c>
      <c r="U402" s="117">
        <f t="shared" ca="1" si="32"/>
        <v>45973</v>
      </c>
      <c r="V402" s="117">
        <f t="shared" ca="1" si="32"/>
        <v>45974</v>
      </c>
      <c r="W402" s="117">
        <f t="shared" ca="1" si="32"/>
        <v>45975</v>
      </c>
      <c r="X402" s="117">
        <f t="shared" ca="1" si="32"/>
        <v>45978</v>
      </c>
      <c r="Y402" s="117">
        <f t="shared" ca="1" si="32"/>
        <v>45979</v>
      </c>
      <c r="Z402" s="117">
        <f t="shared" ca="1" si="32"/>
        <v>45980</v>
      </c>
      <c r="AB402" s="117">
        <f t="shared" ref="AB402:AV402" ca="1" si="33">AB303</f>
        <v>45952</v>
      </c>
      <c r="AC402" s="117">
        <f t="shared" ca="1" si="33"/>
        <v>45953</v>
      </c>
      <c r="AD402" s="117">
        <f t="shared" ca="1" si="33"/>
        <v>45954</v>
      </c>
      <c r="AE402" s="117">
        <f t="shared" ca="1" si="33"/>
        <v>45957</v>
      </c>
      <c r="AF402" s="117">
        <f t="shared" ca="1" si="33"/>
        <v>45958</v>
      </c>
      <c r="AG402" s="117">
        <f t="shared" ca="1" si="33"/>
        <v>45959</v>
      </c>
      <c r="AH402" s="117">
        <f t="shared" ca="1" si="33"/>
        <v>45960</v>
      </c>
      <c r="AI402" s="117">
        <f t="shared" ca="1" si="33"/>
        <v>45961</v>
      </c>
      <c r="AJ402" s="117">
        <f t="shared" ca="1" si="33"/>
        <v>45964</v>
      </c>
      <c r="AK402" s="117">
        <f t="shared" ca="1" si="33"/>
        <v>45965</v>
      </c>
      <c r="AL402" s="117">
        <f t="shared" ca="1" si="33"/>
        <v>45966</v>
      </c>
      <c r="AM402" s="117">
        <f t="shared" ca="1" si="33"/>
        <v>45967</v>
      </c>
      <c r="AN402" s="117">
        <f t="shared" ca="1" si="33"/>
        <v>45968</v>
      </c>
      <c r="AO402" s="117">
        <f t="shared" ca="1" si="33"/>
        <v>45971</v>
      </c>
      <c r="AP402" s="117">
        <f t="shared" ca="1" si="33"/>
        <v>45972</v>
      </c>
      <c r="AQ402" s="117">
        <f t="shared" ca="1" si="33"/>
        <v>45973</v>
      </c>
      <c r="AR402" s="117">
        <f t="shared" ca="1" si="33"/>
        <v>45974</v>
      </c>
      <c r="AS402" s="117">
        <f t="shared" ca="1" si="33"/>
        <v>45975</v>
      </c>
      <c r="AT402" s="117">
        <f t="shared" ca="1" si="33"/>
        <v>45978</v>
      </c>
      <c r="AU402" s="117">
        <f t="shared" ca="1" si="33"/>
        <v>45979</v>
      </c>
      <c r="AV402" s="117">
        <f t="shared" ca="1" si="33"/>
        <v>45980</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2640</v>
      </c>
      <c r="AC404" s="279" t="s">
        <v>2641</v>
      </c>
      <c r="AD404" s="279" t="s">
        <v>2642</v>
      </c>
      <c r="AE404" s="279" t="s">
        <v>2643</v>
      </c>
      <c r="AF404" s="279" t="s">
        <v>2644</v>
      </c>
      <c r="AG404" s="279" t="s">
        <v>2645</v>
      </c>
      <c r="AH404" s="279" t="s">
        <v>2646</v>
      </c>
      <c r="AI404" s="279" t="s">
        <v>2647</v>
      </c>
      <c r="AJ404" s="279" t="s">
        <v>2648</v>
      </c>
      <c r="AK404" s="279" t="s">
        <v>2649</v>
      </c>
      <c r="AL404" s="279" t="s">
        <v>2650</v>
      </c>
      <c r="AM404" s="279" t="s">
        <v>2651</v>
      </c>
      <c r="AN404" s="279" t="s">
        <v>2652</v>
      </c>
      <c r="AO404" s="279" t="s">
        <v>2653</v>
      </c>
      <c r="AP404" s="279" t="s">
        <v>2654</v>
      </c>
      <c r="AQ404" s="279" t="s">
        <v>2655</v>
      </c>
      <c r="AR404" s="279" t="s">
        <v>2656</v>
      </c>
      <c r="AS404" s="279" t="s">
        <v>2657</v>
      </c>
      <c r="AT404" s="279" t="s">
        <v>2658</v>
      </c>
      <c r="AU404" s="279" t="s">
        <v>2659</v>
      </c>
      <c r="AV404" s="279" t="s">
        <v>2660</v>
      </c>
      <c r="AX404" s="88"/>
      <c r="BQ404" t="s">
        <v>179</v>
      </c>
      <c r="BR404" t="s">
        <v>2211</v>
      </c>
    </row>
    <row r="405" spans="1:70" x14ac:dyDescent="0.3">
      <c r="A405" s="88" t="str">
        <f ca="1">A5</f>
        <v>AAPL</v>
      </c>
      <c r="F405" s="243">
        <v>248.845</v>
      </c>
      <c r="G405" s="243">
        <v>251.82</v>
      </c>
      <c r="H405" s="243">
        <v>249.04</v>
      </c>
      <c r="I405" s="243">
        <v>253.38</v>
      </c>
      <c r="J405" s="243">
        <v>264.375</v>
      </c>
      <c r="K405" s="243">
        <v>265.29000000000002</v>
      </c>
      <c r="L405" s="243">
        <v>262.85000000000002</v>
      </c>
      <c r="M405" s="243">
        <v>262.85000000000002</v>
      </c>
      <c r="N405" s="243">
        <v>260.62</v>
      </c>
      <c r="O405" s="243">
        <v>264.13</v>
      </c>
      <c r="P405" s="243">
        <v>269.12</v>
      </c>
      <c r="Q405" s="243">
        <v>269.89</v>
      </c>
      <c r="R405" s="243">
        <v>274.14</v>
      </c>
      <c r="S405" s="243">
        <v>271.48599999999999</v>
      </c>
      <c r="T405" s="243">
        <v>271.7</v>
      </c>
      <c r="U405" s="243">
        <v>273.39999999999998</v>
      </c>
      <c r="V405" s="243">
        <v>272.29000000000002</v>
      </c>
      <c r="W405" s="243">
        <v>275.95999999999998</v>
      </c>
      <c r="X405" s="243">
        <v>270.70999999999998</v>
      </c>
      <c r="Y405" s="243">
        <v>272.20999999999998</v>
      </c>
      <c r="Z405" s="245">
        <f ca="1">[1]ExtEntry!$J3</f>
        <v>272.20999999999998</v>
      </c>
      <c r="AB405" s="262">
        <v>16012.5</v>
      </c>
      <c r="AC405" s="262">
        <v>-15960</v>
      </c>
      <c r="AD405" s="262">
        <v>30379.5</v>
      </c>
      <c r="AE405" s="262">
        <v>83614.5</v>
      </c>
      <c r="AF405" s="262">
        <v>85627.5</v>
      </c>
      <c r="AG405" s="262">
        <v>-3700</v>
      </c>
      <c r="AH405" s="262">
        <v>-42210</v>
      </c>
      <c r="AI405" s="262">
        <v>-33600</v>
      </c>
      <c r="AJ405" s="262">
        <v>-48435</v>
      </c>
      <c r="AK405" s="262">
        <v>-50427.5</v>
      </c>
      <c r="AL405" s="262">
        <v>30400</v>
      </c>
      <c r="AM405" s="262">
        <v>42150</v>
      </c>
      <c r="AN405" s="262">
        <v>36100</v>
      </c>
      <c r="AO405" s="262">
        <v>18324.999999999534</v>
      </c>
      <c r="AP405" s="262">
        <v>-1765</v>
      </c>
      <c r="AQ405" s="262">
        <v>-17450</v>
      </c>
      <c r="AR405" s="262">
        <v>-16993.5</v>
      </c>
      <c r="AS405" s="262">
        <v>18820.000000000466</v>
      </c>
      <c r="AT405" s="262">
        <v>-38949.999999999534</v>
      </c>
      <c r="AU405" s="262">
        <v>28499.999999999534</v>
      </c>
      <c r="AV405" s="261">
        <f ca="1">AV305-AP305</f>
        <v>28499.999999999534</v>
      </c>
      <c r="AX405" s="88" t="str">
        <f ca="1">A5</f>
        <v>AAPL</v>
      </c>
      <c r="BQ405" t="s">
        <v>1015</v>
      </c>
      <c r="BR405" t="s">
        <v>2212</v>
      </c>
    </row>
    <row r="406" spans="1:70" x14ac:dyDescent="0.3">
      <c r="A406" s="88" t="str">
        <f t="shared" ref="A406:A469" ca="1" si="34">A6</f>
        <v>ADEA</v>
      </c>
      <c r="F406" s="251">
        <v>16.82</v>
      </c>
      <c r="G406" s="251">
        <v>17.25</v>
      </c>
      <c r="H406" s="251">
        <v>17.364999999999998</v>
      </c>
      <c r="I406" s="251">
        <v>16.690000000000001</v>
      </c>
      <c r="J406" s="251">
        <v>16.920000000000002</v>
      </c>
      <c r="K406" s="251">
        <v>17.190000000000001</v>
      </c>
      <c r="L406" s="251">
        <v>17.05</v>
      </c>
      <c r="M406" s="251">
        <v>17.05</v>
      </c>
      <c r="N406" s="251">
        <v>17.079999999999998</v>
      </c>
      <c r="O406" s="251">
        <v>17.440000000000001</v>
      </c>
      <c r="P406" s="251">
        <v>17.649999999999999</v>
      </c>
      <c r="Q406" s="251">
        <v>17.89</v>
      </c>
      <c r="R406" s="251">
        <v>17.739999999999998</v>
      </c>
      <c r="S406" s="251">
        <v>14.05</v>
      </c>
      <c r="T406" s="251">
        <v>13.84</v>
      </c>
      <c r="U406" s="251">
        <v>14.15</v>
      </c>
      <c r="V406" s="251">
        <v>14.095000000000001</v>
      </c>
      <c r="W406" s="251">
        <v>13.18</v>
      </c>
      <c r="X406" s="251">
        <v>12.51</v>
      </c>
      <c r="Y406" s="251">
        <v>12.445</v>
      </c>
      <c r="Z406" s="245">
        <f ca="1">[1]ExtEntry!$J4</f>
        <v>12.445</v>
      </c>
      <c r="AB406" s="265">
        <v>10499.999999999985</v>
      </c>
      <c r="AC406" s="265">
        <v>4900</v>
      </c>
      <c r="AD406" s="265">
        <v>-3000.0000000000146</v>
      </c>
      <c r="AE406" s="265">
        <v>999.99999999998545</v>
      </c>
      <c r="AF406" s="265">
        <v>2450</v>
      </c>
      <c r="AG406" s="265">
        <v>-4649.9999999999709</v>
      </c>
      <c r="AH406" s="265">
        <v>-2750.0000000000146</v>
      </c>
      <c r="AI406" s="265">
        <v>2549.9999999999854</v>
      </c>
      <c r="AJ406" s="265">
        <v>-650</v>
      </c>
      <c r="AK406" s="265">
        <v>-600</v>
      </c>
      <c r="AL406" s="265">
        <v>1349.9999999999709</v>
      </c>
      <c r="AM406" s="265">
        <v>1500.0000000000146</v>
      </c>
      <c r="AN406" s="265">
        <v>-699.99999999998545</v>
      </c>
      <c r="AO406" s="265">
        <v>-5575</v>
      </c>
      <c r="AP406" s="265">
        <v>4650</v>
      </c>
      <c r="AQ406" s="265">
        <v>-424.99999999998545</v>
      </c>
      <c r="AR406" s="265">
        <v>625</v>
      </c>
      <c r="AS406" s="265">
        <v>1149.9999999999927</v>
      </c>
      <c r="AT406" s="265">
        <v>6075</v>
      </c>
      <c r="AU406" s="265">
        <v>-5350</v>
      </c>
      <c r="AV406" s="261">
        <f t="shared" ref="AV406:AV469" ca="1" si="35">AV306-AP306</f>
        <v>-5350</v>
      </c>
      <c r="AX406" s="88" t="str">
        <f t="shared" ref="AX406:AX469" ca="1" si="36">A6</f>
        <v>ADEA</v>
      </c>
      <c r="BR406" t="s">
        <v>2213</v>
      </c>
    </row>
    <row r="407" spans="1:70" x14ac:dyDescent="0.3">
      <c r="A407" s="88" t="str">
        <f t="shared" ca="1" si="34"/>
        <v>AET</v>
      </c>
      <c r="F407" s="243">
        <v>44.6</v>
      </c>
      <c r="G407" s="243">
        <v>43</v>
      </c>
      <c r="H407" s="243">
        <v>42.2</v>
      </c>
      <c r="I407" s="243">
        <v>42.6</v>
      </c>
      <c r="J407" s="243">
        <v>42.3</v>
      </c>
      <c r="K407" s="243">
        <v>43.3</v>
      </c>
      <c r="L407" s="243">
        <v>44.6</v>
      </c>
      <c r="M407" s="243">
        <v>44.6</v>
      </c>
      <c r="N407" s="243">
        <v>44.4</v>
      </c>
      <c r="O407" s="243">
        <v>45.9</v>
      </c>
      <c r="P407" s="243">
        <v>46</v>
      </c>
      <c r="Q407" s="243">
        <v>44.8</v>
      </c>
      <c r="R407" s="243">
        <v>45.1</v>
      </c>
      <c r="S407" s="243">
        <v>48.4</v>
      </c>
      <c r="T407" s="243">
        <v>46</v>
      </c>
      <c r="U407" s="243">
        <v>45.9</v>
      </c>
      <c r="V407" s="243">
        <v>44.7</v>
      </c>
      <c r="W407" s="243">
        <v>46.6</v>
      </c>
      <c r="X407" s="243">
        <v>46.6</v>
      </c>
      <c r="Y407" s="243">
        <v>46.6</v>
      </c>
      <c r="Z407" s="245">
        <f ca="1">[1]ExtEntry!$J5</f>
        <v>46.6</v>
      </c>
      <c r="AB407" s="262">
        <v>5060</v>
      </c>
      <c r="AC407" s="262">
        <v>9000</v>
      </c>
      <c r="AD407" s="262">
        <v>-5840</v>
      </c>
      <c r="AE407" s="262" t="e" vm="441">
        <v>#VALUE!</v>
      </c>
      <c r="AF407" s="262">
        <v>0</v>
      </c>
      <c r="AG407" s="262">
        <v>15580</v>
      </c>
      <c r="AH407" s="262">
        <v>4920</v>
      </c>
      <c r="AI407" s="262">
        <v>7380</v>
      </c>
      <c r="AJ407" s="262">
        <v>-7380</v>
      </c>
      <c r="AK407" s="262">
        <v>4920</v>
      </c>
      <c r="AL407" s="262">
        <v>-17220</v>
      </c>
      <c r="AM407" s="262">
        <v>-820</v>
      </c>
      <c r="AN407" s="262">
        <v>1640</v>
      </c>
      <c r="AO407" s="262">
        <v>-28700</v>
      </c>
      <c r="AP407" s="262">
        <v>6560</v>
      </c>
      <c r="AQ407" s="262">
        <v>-2460</v>
      </c>
      <c r="AR407" s="262">
        <v>3280</v>
      </c>
      <c r="AS407" s="262">
        <v>-7380</v>
      </c>
      <c r="AT407" s="262">
        <v>14760</v>
      </c>
      <c r="AU407" s="262">
        <v>-27060</v>
      </c>
      <c r="AV407" s="261">
        <f t="shared" ca="1" si="35"/>
        <v>-27060</v>
      </c>
      <c r="AX407" s="88" t="str">
        <f t="shared" ca="1" si="36"/>
        <v>AET</v>
      </c>
      <c r="BR407" t="s">
        <v>2145</v>
      </c>
    </row>
    <row r="408" spans="1:70" x14ac:dyDescent="0.3">
      <c r="A408" s="88" t="str">
        <f t="shared" ca="1" si="34"/>
        <v>AMZN</v>
      </c>
      <c r="F408" s="251">
        <v>219.32</v>
      </c>
      <c r="G408" s="251">
        <v>217.71</v>
      </c>
      <c r="H408" s="251">
        <v>218.59</v>
      </c>
      <c r="I408" s="251">
        <v>214.8</v>
      </c>
      <c r="J408" s="251">
        <v>216.69</v>
      </c>
      <c r="K408" s="251">
        <v>223.32</v>
      </c>
      <c r="L408" s="251">
        <v>220.005</v>
      </c>
      <c r="M408" s="251">
        <v>220.005</v>
      </c>
      <c r="N408" s="251">
        <v>221.3</v>
      </c>
      <c r="O408" s="251">
        <v>225.4</v>
      </c>
      <c r="P408" s="251">
        <v>228.4</v>
      </c>
      <c r="Q408" s="251">
        <v>231.48500000000001</v>
      </c>
      <c r="R408" s="251">
        <v>228.44</v>
      </c>
      <c r="S408" s="251">
        <v>257.01</v>
      </c>
      <c r="T408" s="251">
        <v>251</v>
      </c>
      <c r="U408" s="251">
        <v>250.38</v>
      </c>
      <c r="V408" s="251">
        <v>244.9</v>
      </c>
      <c r="W408" s="251">
        <v>238.73</v>
      </c>
      <c r="X408" s="251">
        <v>230.2</v>
      </c>
      <c r="Y408" s="251">
        <v>223.73500000000001</v>
      </c>
      <c r="Z408" s="245">
        <f ca="1">[1]ExtEntry!$J6</f>
        <v>223.73500000000001</v>
      </c>
      <c r="AB408" s="265">
        <v>-120</v>
      </c>
      <c r="AC408" s="265">
        <v>-41400</v>
      </c>
      <c r="AD408" s="265">
        <v>-47340</v>
      </c>
      <c r="AE408" s="265">
        <v>-51180</v>
      </c>
      <c r="AF408" s="265">
        <v>360</v>
      </c>
      <c r="AG408" s="265">
        <v>32520</v>
      </c>
      <c r="AH408" s="265">
        <v>-2400</v>
      </c>
      <c r="AI408" s="265">
        <v>-1800</v>
      </c>
      <c r="AJ408" s="265">
        <v>43320</v>
      </c>
      <c r="AK408" s="265">
        <v>-4320</v>
      </c>
      <c r="AL408" s="265">
        <v>-51480</v>
      </c>
      <c r="AM408" s="265">
        <v>28620</v>
      </c>
      <c r="AN408" s="265">
        <v>-34200</v>
      </c>
      <c r="AO408" s="265">
        <v>-45000</v>
      </c>
      <c r="AP408" s="265">
        <v>-12840</v>
      </c>
      <c r="AQ408" s="265">
        <v>-55843.200000000186</v>
      </c>
      <c r="AR408" s="265">
        <v>6300</v>
      </c>
      <c r="AS408" s="265">
        <v>45960</v>
      </c>
      <c r="AT408" s="265">
        <v>-46680</v>
      </c>
      <c r="AU408" s="265">
        <v>-42936</v>
      </c>
      <c r="AV408" s="261">
        <f t="shared" ca="1" si="35"/>
        <v>-42936</v>
      </c>
      <c r="AX408" s="88" t="str">
        <f t="shared" ca="1" si="36"/>
        <v>AMZN</v>
      </c>
    </row>
    <row r="409" spans="1:70" x14ac:dyDescent="0.3">
      <c r="A409" s="88" t="str">
        <f t="shared" ca="1" si="34"/>
        <v>ALDNE</v>
      </c>
      <c r="F409" s="243">
        <v>0.84</v>
      </c>
      <c r="G409" s="243">
        <v>0.83799999999999997</v>
      </c>
      <c r="H409" s="243">
        <v>0.83399999999999996</v>
      </c>
      <c r="I409" s="243">
        <v>0.83</v>
      </c>
      <c r="J409" s="243">
        <v>0.83</v>
      </c>
      <c r="K409" s="243">
        <v>0.84</v>
      </c>
      <c r="L409" s="243">
        <v>0.84</v>
      </c>
      <c r="M409" s="243">
        <v>0.84</v>
      </c>
      <c r="N409" s="243">
        <v>0.84</v>
      </c>
      <c r="O409" s="243">
        <v>0.83799999999999997</v>
      </c>
      <c r="P409" s="243">
        <v>0.81799999999999995</v>
      </c>
      <c r="Q409" s="243">
        <v>0.82</v>
      </c>
      <c r="R409" s="243">
        <v>0.81</v>
      </c>
      <c r="S409" s="243">
        <v>0.79</v>
      </c>
      <c r="T409" s="243">
        <v>0.79800000000000004</v>
      </c>
      <c r="U409" s="243">
        <v>0.79800000000000004</v>
      </c>
      <c r="V409" s="243">
        <v>0.78200000000000003</v>
      </c>
      <c r="W409" s="243">
        <v>0.72</v>
      </c>
      <c r="X409" s="243">
        <v>0.68200000000000005</v>
      </c>
      <c r="Y409" s="243">
        <v>0.68799999999999994</v>
      </c>
      <c r="Z409" s="245">
        <f ca="1">[1]ExtEntry!$J7</f>
        <v>0.68799999999999994</v>
      </c>
      <c r="AB409" s="262">
        <v>10120</v>
      </c>
      <c r="AC409" s="262">
        <v>45540.000000000233</v>
      </c>
      <c r="AD409" s="262">
        <v>70840.000000000466</v>
      </c>
      <c r="AE409" s="262">
        <v>5060</v>
      </c>
      <c r="AF409" s="262">
        <v>25299.999999999534</v>
      </c>
      <c r="AG409" s="262">
        <v>40479.999999999767</v>
      </c>
      <c r="AH409" s="262">
        <v>5060</v>
      </c>
      <c r="AI409" s="262">
        <v>25300</v>
      </c>
      <c r="AJ409" s="262">
        <v>-10120</v>
      </c>
      <c r="AK409" s="262">
        <v>-10119.999999999302</v>
      </c>
      <c r="AL409" s="262">
        <v>-45539.999999999767</v>
      </c>
      <c r="AM409" s="262">
        <v>-45540.000000000233</v>
      </c>
      <c r="AN409" s="262">
        <v>0</v>
      </c>
      <c r="AO409" s="262">
        <v>0</v>
      </c>
      <c r="AP409" s="262">
        <v>-10120.000000000233</v>
      </c>
      <c r="AQ409" s="262">
        <v>0</v>
      </c>
      <c r="AR409" s="262">
        <v>-5060</v>
      </c>
      <c r="AS409" s="262">
        <v>-187220.00000000023</v>
      </c>
      <c r="AT409" s="262">
        <v>-25300.000000000233</v>
      </c>
      <c r="AU409" s="262">
        <v>10119.999999999534</v>
      </c>
      <c r="AV409" s="261">
        <f t="shared" ca="1" si="35"/>
        <v>10119.999999999534</v>
      </c>
      <c r="AX409" s="88" t="str">
        <f t="shared" ca="1" si="36"/>
        <v>ALDNE</v>
      </c>
    </row>
    <row r="410" spans="1:70" x14ac:dyDescent="0.3">
      <c r="A410" s="88" t="str">
        <f t="shared" ca="1" si="34"/>
        <v>ASML</v>
      </c>
      <c r="F410" s="251">
        <v>847.9</v>
      </c>
      <c r="G410" s="251">
        <v>893.5</v>
      </c>
      <c r="H410" s="251">
        <v>900.5</v>
      </c>
      <c r="I410" s="251">
        <v>885.9</v>
      </c>
      <c r="J410" s="251">
        <v>901.5</v>
      </c>
      <c r="K410" s="251">
        <v>894.4</v>
      </c>
      <c r="L410" s="251">
        <v>892.4</v>
      </c>
      <c r="M410" s="251">
        <v>892.4</v>
      </c>
      <c r="N410" s="251">
        <v>891.2</v>
      </c>
      <c r="O410" s="251">
        <v>902.6</v>
      </c>
      <c r="P410" s="251">
        <v>914.2</v>
      </c>
      <c r="Q410" s="251">
        <v>914.2</v>
      </c>
      <c r="R410" s="251">
        <v>938.6</v>
      </c>
      <c r="S410" s="251">
        <v>926.1</v>
      </c>
      <c r="T410" s="251">
        <v>913.3</v>
      </c>
      <c r="U410" s="251">
        <v>912.6</v>
      </c>
      <c r="V410" s="251">
        <v>900.9</v>
      </c>
      <c r="W410" s="251">
        <v>876.8</v>
      </c>
      <c r="X410" s="251">
        <v>864.9</v>
      </c>
      <c r="Y410" s="251">
        <v>895.2</v>
      </c>
      <c r="Z410" s="245">
        <f ca="1">[1]ExtEntry!$J8</f>
        <v>895.2</v>
      </c>
      <c r="AB410" s="265">
        <v>104980</v>
      </c>
      <c r="AC410" s="265">
        <v>-17240</v>
      </c>
      <c r="AD410" s="265">
        <v>-20770</v>
      </c>
      <c r="AE410" s="265">
        <v>71820</v>
      </c>
      <c r="AF410" s="265">
        <v>-26200</v>
      </c>
      <c r="AG410" s="265">
        <v>-48360</v>
      </c>
      <c r="AH410" s="265">
        <v>-14680</v>
      </c>
      <c r="AI410" s="265">
        <v>-510</v>
      </c>
      <c r="AJ410" s="265">
        <v>-1520</v>
      </c>
      <c r="AK410" s="265">
        <v>-77720</v>
      </c>
      <c r="AL410" s="265">
        <v>29920</v>
      </c>
      <c r="AM410" s="265">
        <v>36960</v>
      </c>
      <c r="AN410" s="265">
        <v>70080</v>
      </c>
      <c r="AO410" s="265">
        <v>-27980</v>
      </c>
      <c r="AP410" s="265">
        <v>106040</v>
      </c>
      <c r="AQ410" s="265">
        <v>-47140</v>
      </c>
      <c r="AR410" s="265">
        <v>-99300</v>
      </c>
      <c r="AS410" s="265">
        <v>-23400</v>
      </c>
      <c r="AT410" s="265">
        <v>-37630</v>
      </c>
      <c r="AU410" s="265">
        <v>3930</v>
      </c>
      <c r="AV410" s="261">
        <f t="shared" ca="1" si="35"/>
        <v>3930</v>
      </c>
      <c r="AX410" s="88" t="str">
        <f t="shared" ca="1" si="36"/>
        <v>ASML</v>
      </c>
    </row>
    <row r="411" spans="1:70" x14ac:dyDescent="0.3">
      <c r="A411" s="88" t="str">
        <f t="shared" ca="1" si="34"/>
        <v>AVGO</v>
      </c>
      <c r="F411" s="251">
        <v>350.67</v>
      </c>
      <c r="G411" s="251">
        <v>359.4</v>
      </c>
      <c r="H411" s="251">
        <v>363.24</v>
      </c>
      <c r="I411" s="251">
        <v>350.97</v>
      </c>
      <c r="J411" s="251">
        <v>356.59</v>
      </c>
      <c r="K411" s="251">
        <v>351.1</v>
      </c>
      <c r="L411" s="251">
        <v>348.01</v>
      </c>
      <c r="M411" s="251">
        <v>348.01</v>
      </c>
      <c r="N411" s="251">
        <v>346.57</v>
      </c>
      <c r="O411" s="251">
        <v>358.3</v>
      </c>
      <c r="P411" s="251">
        <v>362.75</v>
      </c>
      <c r="Q411" s="251">
        <v>374.06</v>
      </c>
      <c r="R411" s="251">
        <v>386.4</v>
      </c>
      <c r="S411" s="251">
        <v>368.95</v>
      </c>
      <c r="T411" s="251">
        <v>364.86989999999997</v>
      </c>
      <c r="U411" s="251">
        <v>363.5</v>
      </c>
      <c r="V411" s="251">
        <v>354.5</v>
      </c>
      <c r="W411" s="251">
        <v>344.74</v>
      </c>
      <c r="X411" s="251">
        <v>347.97</v>
      </c>
      <c r="Y411" s="251">
        <v>359.69</v>
      </c>
      <c r="Z411" s="245">
        <f ca="1">[1]ExtEntry!$J9</f>
        <v>359.69</v>
      </c>
      <c r="AB411" s="262">
        <v>-2192.7500000000291</v>
      </c>
      <c r="AC411" s="262">
        <v>-5648</v>
      </c>
      <c r="AD411" s="262">
        <v>-921.30000000000291</v>
      </c>
      <c r="AE411" s="262">
        <v>26.69999999999709</v>
      </c>
      <c r="AF411" s="262">
        <v>-3320</v>
      </c>
      <c r="AG411" s="262">
        <v>-528</v>
      </c>
      <c r="AH411" s="262">
        <v>-1240</v>
      </c>
      <c r="AI411" s="262">
        <v>-1740</v>
      </c>
      <c r="AJ411" s="262">
        <v>1668</v>
      </c>
      <c r="AK411" s="262">
        <v>2472</v>
      </c>
      <c r="AL411" s="262">
        <v>3140</v>
      </c>
      <c r="AM411" s="262">
        <v>6940</v>
      </c>
      <c r="AN411" s="262">
        <v>-1172</v>
      </c>
      <c r="AO411" s="262">
        <v>-4308.4400000000023</v>
      </c>
      <c r="AP411" s="262">
        <v>2588</v>
      </c>
      <c r="AQ411" s="262">
        <v>-2000</v>
      </c>
      <c r="AR411" s="262">
        <v>-6858</v>
      </c>
      <c r="AS411" s="262">
        <v>8368</v>
      </c>
      <c r="AT411" s="262">
        <v>2212.4400000000023</v>
      </c>
      <c r="AU411" s="262">
        <v>-1782</v>
      </c>
      <c r="AV411" s="261">
        <f t="shared" ca="1" si="35"/>
        <v>-1782</v>
      </c>
      <c r="AX411" s="88" t="str">
        <f t="shared" ca="1" si="36"/>
        <v>AVGO</v>
      </c>
    </row>
    <row r="412" spans="1:70" hidden="1" x14ac:dyDescent="0.3">
      <c r="A412" s="88" t="str">
        <f t="shared" ca="1" si="34"/>
        <v>AZN</v>
      </c>
      <c r="F412" s="251">
        <v>85.17</v>
      </c>
      <c r="G412" s="251">
        <v>85.04</v>
      </c>
      <c r="H412" s="251">
        <v>84.415000000000006</v>
      </c>
      <c r="I412" s="251">
        <v>85.06</v>
      </c>
      <c r="J412" s="251">
        <v>85.18</v>
      </c>
      <c r="K412" s="251">
        <v>83.91</v>
      </c>
      <c r="L412" s="251">
        <v>84.21</v>
      </c>
      <c r="M412" s="251">
        <v>84.21</v>
      </c>
      <c r="N412" s="251">
        <v>83.81</v>
      </c>
      <c r="O412" s="251">
        <v>83.515000000000001</v>
      </c>
      <c r="P412" s="251">
        <v>84.21</v>
      </c>
      <c r="Q412" s="251">
        <v>84.22</v>
      </c>
      <c r="R412" s="251">
        <v>82.82</v>
      </c>
      <c r="S412" s="251">
        <v>82.11</v>
      </c>
      <c r="T412" s="251">
        <v>82.09</v>
      </c>
      <c r="U412" s="251">
        <v>85.02</v>
      </c>
      <c r="V412" s="251">
        <v>85.15</v>
      </c>
      <c r="W412" s="251">
        <v>89.365399999999994</v>
      </c>
      <c r="X412" s="251">
        <v>89.704999999999998</v>
      </c>
      <c r="Y412" s="251">
        <v>90.064999999999998</v>
      </c>
      <c r="Z412" s="245">
        <f ca="1">[1]ExtEntry!$J10</f>
        <v>90.064999999999998</v>
      </c>
      <c r="AB412" s="265">
        <v>-170</v>
      </c>
      <c r="AC412" s="265">
        <v>1677.5</v>
      </c>
      <c r="AD412" s="265">
        <v>585</v>
      </c>
      <c r="AE412" s="265">
        <v>857.5</v>
      </c>
      <c r="AF412" s="265">
        <v>-580</v>
      </c>
      <c r="AG412" s="265">
        <v>-590</v>
      </c>
      <c r="AH412" s="265">
        <v>-717.5</v>
      </c>
      <c r="AI412" s="265">
        <v>-165</v>
      </c>
      <c r="AJ412" s="265">
        <v>-312.5</v>
      </c>
      <c r="AK412" s="265">
        <v>415</v>
      </c>
      <c r="AL412" s="265">
        <v>610</v>
      </c>
      <c r="AM412" s="265">
        <v>-705</v>
      </c>
      <c r="AN412" s="265">
        <v>135</v>
      </c>
      <c r="AO412" s="265">
        <v>542.55000000000291</v>
      </c>
      <c r="AP412" s="265">
        <v>-35</v>
      </c>
      <c r="AQ412" s="265">
        <v>-607.5</v>
      </c>
      <c r="AR412" s="265">
        <v>737.5</v>
      </c>
      <c r="AS412" s="265">
        <v>167.5</v>
      </c>
      <c r="AT412" s="265">
        <v>-397.55000000000291</v>
      </c>
      <c r="AU412" s="265">
        <v>-159.94999999999709</v>
      </c>
      <c r="AV412" s="261">
        <f t="shared" ca="1" si="35"/>
        <v>-159.94999999999709</v>
      </c>
      <c r="AX412" s="88" t="str">
        <f t="shared" ca="1" si="36"/>
        <v>AZN</v>
      </c>
    </row>
    <row r="413" spans="1:70" hidden="1" x14ac:dyDescent="0.3">
      <c r="A413" s="88" t="str">
        <f t="shared" ca="1" si="34"/>
        <v>BLDP</v>
      </c>
      <c r="F413" s="251">
        <v>4.0599999999999996</v>
      </c>
      <c r="G413" s="251">
        <v>4.0999999999999996</v>
      </c>
      <c r="H413" s="251">
        <v>4.03</v>
      </c>
      <c r="I413" s="251">
        <v>3.6899000000000002</v>
      </c>
      <c r="J413" s="251">
        <v>3.8098000000000001</v>
      </c>
      <c r="K413" s="251">
        <v>3.64</v>
      </c>
      <c r="L413" s="251">
        <v>3.42</v>
      </c>
      <c r="M413" s="251">
        <v>3.42</v>
      </c>
      <c r="N413" s="251">
        <v>3.3</v>
      </c>
      <c r="O413" s="251">
        <v>3.4950000000000001</v>
      </c>
      <c r="P413" s="251">
        <v>3.53</v>
      </c>
      <c r="Q413" s="251">
        <v>3.5598999999999998</v>
      </c>
      <c r="R413" s="251">
        <v>3.6</v>
      </c>
      <c r="S413" s="251">
        <v>3.585</v>
      </c>
      <c r="T413" s="251">
        <v>3.6850000000000001</v>
      </c>
      <c r="U413" s="251">
        <v>3.6549999999999998</v>
      </c>
      <c r="V413" s="251">
        <v>3.5</v>
      </c>
      <c r="W413" s="251">
        <v>3.19</v>
      </c>
      <c r="X413" s="251">
        <v>2.97</v>
      </c>
      <c r="Y413" s="251">
        <v>2.89</v>
      </c>
      <c r="Z413" s="245">
        <f ca="1">[1]ExtEntry!$J11</f>
        <v>2.89</v>
      </c>
      <c r="AB413" s="262">
        <v>12600</v>
      </c>
      <c r="AC413" s="262">
        <v>-5220</v>
      </c>
      <c r="AD413" s="262">
        <v>-5620</v>
      </c>
      <c r="AE413" s="262">
        <v>-20</v>
      </c>
      <c r="AF413" s="262">
        <v>-2400</v>
      </c>
      <c r="AG413" s="262">
        <v>-18800</v>
      </c>
      <c r="AH413" s="262">
        <v>7300</v>
      </c>
      <c r="AI413" s="262">
        <v>6400</v>
      </c>
      <c r="AJ413" s="262">
        <v>-1500</v>
      </c>
      <c r="AK413" s="262">
        <v>2800</v>
      </c>
      <c r="AL413" s="262">
        <v>4400</v>
      </c>
      <c r="AM413" s="262">
        <v>-2500</v>
      </c>
      <c r="AN413" s="262">
        <v>-3000</v>
      </c>
      <c r="AO413" s="262">
        <v>-200</v>
      </c>
      <c r="AP413" s="262">
        <v>4400</v>
      </c>
      <c r="AQ413" s="262">
        <v>200</v>
      </c>
      <c r="AR413" s="262">
        <v>1400</v>
      </c>
      <c r="AS413" s="262">
        <v>2199.9999999999927</v>
      </c>
      <c r="AT413" s="262">
        <v>1300</v>
      </c>
      <c r="AU413" s="262">
        <v>-5960</v>
      </c>
      <c r="AV413" s="261">
        <f t="shared" ca="1" si="35"/>
        <v>-5960</v>
      </c>
      <c r="AX413" s="88" t="str">
        <f t="shared" ca="1" si="36"/>
        <v>BLDP</v>
      </c>
    </row>
    <row r="414" spans="1:70" hidden="1" x14ac:dyDescent="0.3">
      <c r="A414" s="88" t="str">
        <f t="shared" ca="1" si="34"/>
        <v>BMRA</v>
      </c>
      <c r="F414" s="251">
        <v>2.89</v>
      </c>
      <c r="G414" s="251">
        <v>2.9599000000000002</v>
      </c>
      <c r="H414" s="251">
        <v>3.09</v>
      </c>
      <c r="I414" s="251">
        <v>3.08</v>
      </c>
      <c r="J414" s="251">
        <v>3.2132999999999998</v>
      </c>
      <c r="K414" s="251">
        <v>3.2</v>
      </c>
      <c r="L414" s="251">
        <v>3.2</v>
      </c>
      <c r="M414" s="251">
        <v>3.2</v>
      </c>
      <c r="N414" s="251">
        <v>2.9769000000000001</v>
      </c>
      <c r="O414" s="251">
        <v>3.01</v>
      </c>
      <c r="P414" s="251">
        <v>3.09</v>
      </c>
      <c r="Q414" s="251">
        <v>3.02</v>
      </c>
      <c r="R414" s="251">
        <v>2.83</v>
      </c>
      <c r="S414" s="251">
        <v>2.69</v>
      </c>
      <c r="T414" s="251">
        <v>2.65</v>
      </c>
      <c r="U414" s="251">
        <v>2.5899000000000001</v>
      </c>
      <c r="V414" s="251">
        <v>2.5099</v>
      </c>
      <c r="W414" s="251">
        <v>2.4704000000000002</v>
      </c>
      <c r="X414" s="251">
        <v>2.3338000000000001</v>
      </c>
      <c r="Y414" s="251">
        <v>2.327</v>
      </c>
      <c r="Z414" s="245">
        <f ca="1">[1]ExtEntry!$J12</f>
        <v>2.327</v>
      </c>
      <c r="AB414" s="265">
        <v>1875</v>
      </c>
      <c r="AC414" s="265">
        <v>-625</v>
      </c>
      <c r="AD414" s="265">
        <v>3437.5</v>
      </c>
      <c r="AE414" s="265">
        <v>-375</v>
      </c>
      <c r="AF414" s="265">
        <v>875</v>
      </c>
      <c r="AG414" s="265">
        <v>-250</v>
      </c>
      <c r="AH414" s="265">
        <v>-3463.75</v>
      </c>
      <c r="AI414" s="265">
        <v>-7276.25</v>
      </c>
      <c r="AJ414" s="265">
        <v>-500</v>
      </c>
      <c r="AK414" s="265">
        <v>-625</v>
      </c>
      <c r="AL414" s="265">
        <v>-1375</v>
      </c>
      <c r="AM414" s="265">
        <v>2838.75</v>
      </c>
      <c r="AN414" s="265">
        <v>2588.75</v>
      </c>
      <c r="AO414" s="265">
        <v>-4700</v>
      </c>
      <c r="AP414" s="265">
        <v>1450</v>
      </c>
      <c r="AQ414" s="265">
        <v>249.99999999999636</v>
      </c>
      <c r="AR414" s="265">
        <v>718.74999999999636</v>
      </c>
      <c r="AS414" s="265">
        <v>-130.00000000000364</v>
      </c>
      <c r="AT414" s="265">
        <v>4700</v>
      </c>
      <c r="AU414" s="265">
        <v>-2762.4999999999964</v>
      </c>
      <c r="AV414" s="261">
        <f t="shared" ca="1" si="35"/>
        <v>-2762.4999999999964</v>
      </c>
      <c r="AX414" s="88" t="str">
        <f t="shared" ca="1" si="36"/>
        <v>BMRA</v>
      </c>
    </row>
    <row r="415" spans="1:70" hidden="1" x14ac:dyDescent="0.3">
      <c r="A415" s="88" t="str">
        <f t="shared" ca="1" si="34"/>
        <v>C</v>
      </c>
      <c r="F415" s="251">
        <v>101.22</v>
      </c>
      <c r="G415" s="251">
        <v>102.1529</v>
      </c>
      <c r="H415" s="251">
        <v>100.7</v>
      </c>
      <c r="I415" s="251">
        <v>98.004999999999995</v>
      </c>
      <c r="J415" s="251">
        <v>99.599400000000003</v>
      </c>
      <c r="K415" s="251">
        <v>99.4</v>
      </c>
      <c r="L415" s="251">
        <v>98.48</v>
      </c>
      <c r="M415" s="251">
        <v>98.48</v>
      </c>
      <c r="N415" s="251">
        <v>97.529899999999998</v>
      </c>
      <c r="O415" s="251">
        <v>99.51</v>
      </c>
      <c r="P415" s="251">
        <v>101.23</v>
      </c>
      <c r="Q415" s="251">
        <v>101.52679999999999</v>
      </c>
      <c r="R415" s="251">
        <v>101.46</v>
      </c>
      <c r="S415" s="251">
        <v>102.54989999999999</v>
      </c>
      <c r="T415" s="251">
        <v>102.27500000000001</v>
      </c>
      <c r="U415" s="251">
        <v>102.34</v>
      </c>
      <c r="V415" s="251">
        <v>100.54</v>
      </c>
      <c r="W415" s="251">
        <v>101.545</v>
      </c>
      <c r="X415" s="251">
        <v>99.57</v>
      </c>
      <c r="Y415" s="251">
        <v>100.5851</v>
      </c>
      <c r="Z415" s="245">
        <f ca="1">[1]ExtEntry!$J13</f>
        <v>100.5851</v>
      </c>
      <c r="AB415" s="262">
        <v>24.924999999999955</v>
      </c>
      <c r="AC415" s="262">
        <v>-1.8650000000000659</v>
      </c>
      <c r="AD415" s="262">
        <v>-14.150000000000034</v>
      </c>
      <c r="AE415" s="262">
        <v>9.8249999999999318</v>
      </c>
      <c r="AF415" s="262">
        <v>6.7750000000000341</v>
      </c>
      <c r="AG415" s="262">
        <v>-25.074999999999989</v>
      </c>
      <c r="AH415" s="262">
        <v>-0.13499999999999091</v>
      </c>
      <c r="AI415" s="262">
        <v>10.299999999999955</v>
      </c>
      <c r="AJ415" s="262">
        <v>-5.1000000000000227</v>
      </c>
      <c r="AK415" s="262">
        <v>-2.0749999999999886</v>
      </c>
      <c r="AL415" s="262">
        <v>11.974999999999966</v>
      </c>
      <c r="AM415" s="262">
        <v>11.300000000000011</v>
      </c>
      <c r="AN415" s="262">
        <v>17.400000000000034</v>
      </c>
      <c r="AO415" s="262">
        <v>73.224999999998943</v>
      </c>
      <c r="AP415" s="262">
        <v>42.300000000000352</v>
      </c>
      <c r="AQ415" s="262">
        <v>-56.899999999999238</v>
      </c>
      <c r="AR415" s="262">
        <v>9.6000000000011028</v>
      </c>
      <c r="AS415" s="262">
        <v>41.300000000000352</v>
      </c>
      <c r="AT415" s="262">
        <v>13.649999999999636</v>
      </c>
      <c r="AU415" s="262">
        <v>91.349999999998545</v>
      </c>
      <c r="AV415" s="261">
        <f t="shared" ca="1" si="35"/>
        <v>91.349999999998545</v>
      </c>
      <c r="AX415" s="88" t="str">
        <f t="shared" ca="1" si="36"/>
        <v>C</v>
      </c>
    </row>
    <row r="416" spans="1:70" hidden="1" x14ac:dyDescent="0.3">
      <c r="A416" s="88" t="str">
        <f t="shared" ca="1" si="34"/>
        <v>CSCO</v>
      </c>
      <c r="F416" s="251">
        <v>69.16</v>
      </c>
      <c r="G416" s="251">
        <v>70.299899999999994</v>
      </c>
      <c r="H416" s="251">
        <v>70.069999999999993</v>
      </c>
      <c r="I416" s="251">
        <v>70.77</v>
      </c>
      <c r="J416" s="251">
        <v>70.97</v>
      </c>
      <c r="K416" s="251">
        <v>71.237499999999997</v>
      </c>
      <c r="L416" s="251">
        <v>70.97</v>
      </c>
      <c r="M416" s="251">
        <v>70.97</v>
      </c>
      <c r="N416" s="251">
        <v>71.234999999999999</v>
      </c>
      <c r="O416" s="251">
        <v>70.94</v>
      </c>
      <c r="P416" s="251">
        <v>71.459999999999994</v>
      </c>
      <c r="Q416" s="251">
        <v>72.680000000000007</v>
      </c>
      <c r="R416" s="251">
        <v>73.11</v>
      </c>
      <c r="S416" s="251">
        <v>73.989999999999995</v>
      </c>
      <c r="T416" s="251">
        <v>72.58</v>
      </c>
      <c r="U416" s="251">
        <v>72.23</v>
      </c>
      <c r="V416" s="251">
        <v>71.584999999999994</v>
      </c>
      <c r="W416" s="251">
        <v>78.665000000000006</v>
      </c>
      <c r="X416" s="251">
        <v>78.2</v>
      </c>
      <c r="Y416" s="251">
        <v>78.84</v>
      </c>
      <c r="Z416" s="245">
        <f ca="1">[1]ExtEntry!$J14</f>
        <v>78.84</v>
      </c>
      <c r="AB416" s="265">
        <v>3160</v>
      </c>
      <c r="AC416" s="265">
        <v>-785</v>
      </c>
      <c r="AD416" s="265">
        <v>10</v>
      </c>
      <c r="AE416" s="265">
        <v>1770</v>
      </c>
      <c r="AF416" s="265">
        <v>2670</v>
      </c>
      <c r="AG416" s="265">
        <v>-3160</v>
      </c>
      <c r="AH416" s="265">
        <v>-455</v>
      </c>
      <c r="AI416" s="265">
        <v>490</v>
      </c>
      <c r="AJ416" s="265">
        <v>-1400</v>
      </c>
      <c r="AK416" s="265">
        <v>-535</v>
      </c>
      <c r="AL416" s="265">
        <v>710</v>
      </c>
      <c r="AM416" s="265">
        <v>1620</v>
      </c>
      <c r="AN416" s="265">
        <v>1740</v>
      </c>
      <c r="AO416" s="265">
        <v>-1005</v>
      </c>
      <c r="AP416" s="265">
        <v>-115</v>
      </c>
      <c r="AQ416" s="265">
        <v>-1405</v>
      </c>
      <c r="AR416" s="265">
        <v>-1885</v>
      </c>
      <c r="AS416" s="265">
        <v>-120</v>
      </c>
      <c r="AT416" s="265">
        <v>1155</v>
      </c>
      <c r="AU416" s="265">
        <v>1143.6000000000058</v>
      </c>
      <c r="AV416" s="261">
        <f t="shared" ca="1" si="35"/>
        <v>1143.6000000000058</v>
      </c>
      <c r="AX416" s="88" t="str">
        <f t="shared" ca="1" si="36"/>
        <v>CSCO</v>
      </c>
    </row>
    <row r="417" spans="1:50" hidden="1" x14ac:dyDescent="0.3">
      <c r="A417" s="88" t="str">
        <f t="shared" ca="1" si="34"/>
        <v>CVS</v>
      </c>
      <c r="F417" s="251">
        <v>79.94</v>
      </c>
      <c r="G417" s="251">
        <v>81.93</v>
      </c>
      <c r="H417" s="251">
        <v>81.905000000000001</v>
      </c>
      <c r="I417" s="251">
        <v>82.875</v>
      </c>
      <c r="J417" s="251">
        <v>82.625</v>
      </c>
      <c r="K417" s="251">
        <v>83.52</v>
      </c>
      <c r="L417" s="251">
        <v>83.03</v>
      </c>
      <c r="M417" s="251">
        <v>83.03</v>
      </c>
      <c r="N417" s="251">
        <v>81.625</v>
      </c>
      <c r="O417" s="251">
        <v>82.16</v>
      </c>
      <c r="P417" s="251">
        <v>82.559899999999999</v>
      </c>
      <c r="Q417" s="251">
        <v>83.74</v>
      </c>
      <c r="R417" s="251">
        <v>79</v>
      </c>
      <c r="S417" s="251">
        <v>79.349999999999994</v>
      </c>
      <c r="T417" s="251">
        <v>79.260000000000005</v>
      </c>
      <c r="U417" s="251">
        <v>79.86</v>
      </c>
      <c r="V417" s="251">
        <v>79.44</v>
      </c>
      <c r="W417" s="251">
        <v>79.739999999999995</v>
      </c>
      <c r="X417" s="251">
        <v>78.44</v>
      </c>
      <c r="Y417" s="251">
        <v>78.17</v>
      </c>
      <c r="Z417" s="245">
        <f ca="1">[1]ExtEntry!$J15</f>
        <v>78.17</v>
      </c>
      <c r="AB417" s="262">
        <v>1.7600000000000051</v>
      </c>
      <c r="AC417" s="262">
        <v>1.5299999999999869</v>
      </c>
      <c r="AD417" s="262">
        <v>1.1700000000000017</v>
      </c>
      <c r="AE417" s="262">
        <v>1.6299999999999955</v>
      </c>
      <c r="AF417" s="262">
        <v>-1.0099999999999909</v>
      </c>
      <c r="AG417" s="262">
        <v>-0.72000000000001307</v>
      </c>
      <c r="AH417" s="262">
        <v>-2.0499999999999829</v>
      </c>
      <c r="AI417" s="262">
        <v>-1.5899999999999892</v>
      </c>
      <c r="AJ417" s="262">
        <v>-1.289999999999992</v>
      </c>
      <c r="AK417" s="262">
        <v>0.39000000000000057</v>
      </c>
      <c r="AL417" s="262">
        <v>0.43500000000000227</v>
      </c>
      <c r="AM417" s="262">
        <v>-0.63000000000000966</v>
      </c>
      <c r="AN417" s="262">
        <v>1.5299999999999869</v>
      </c>
      <c r="AO417" s="262">
        <v>-3.4999999999996589E-2</v>
      </c>
      <c r="AP417" s="262">
        <v>0.18999999999999773</v>
      </c>
      <c r="AQ417" s="262">
        <v>-1.125</v>
      </c>
      <c r="AR417" s="262">
        <v>1.4000000000000057</v>
      </c>
      <c r="AS417" s="262">
        <v>-2.1299999999999955</v>
      </c>
      <c r="AT417" s="262">
        <v>-0.20499999999999829</v>
      </c>
      <c r="AU417" s="262">
        <v>-2.0550000000000068</v>
      </c>
      <c r="AV417" s="261">
        <f t="shared" ca="1" si="35"/>
        <v>-2.0550000000000068</v>
      </c>
      <c r="AX417" s="88" t="str">
        <f t="shared" ca="1" si="36"/>
        <v>CVS</v>
      </c>
    </row>
    <row r="418" spans="1:50" hidden="1" x14ac:dyDescent="0.3">
      <c r="A418" s="88" t="str">
        <f t="shared" ca="1" si="34"/>
        <v>DDD</v>
      </c>
      <c r="F418" s="251">
        <v>3.17</v>
      </c>
      <c r="G418" s="251">
        <v>3.28</v>
      </c>
      <c r="H418" s="251">
        <v>3.5497000000000001</v>
      </c>
      <c r="I418" s="251">
        <v>3.32</v>
      </c>
      <c r="J418" s="251">
        <v>3.8</v>
      </c>
      <c r="K418" s="251">
        <v>3.75</v>
      </c>
      <c r="L418" s="251">
        <v>3.43</v>
      </c>
      <c r="M418" s="251">
        <v>3.43</v>
      </c>
      <c r="N418" s="251">
        <v>3.21</v>
      </c>
      <c r="O418" s="251">
        <v>3.29</v>
      </c>
      <c r="P418" s="251">
        <v>3.24</v>
      </c>
      <c r="Q418" s="251">
        <v>3.4</v>
      </c>
      <c r="R418" s="251">
        <v>3.04</v>
      </c>
      <c r="S418" s="251">
        <v>2.7397999999999998</v>
      </c>
      <c r="T418" s="251">
        <v>2.6949999999999998</v>
      </c>
      <c r="U418" s="251">
        <v>2.65</v>
      </c>
      <c r="V418" s="251">
        <v>2.27</v>
      </c>
      <c r="W418" s="251">
        <v>2.23</v>
      </c>
      <c r="X418" s="251">
        <v>2.105</v>
      </c>
      <c r="Y418" s="251">
        <v>2.1899000000000002</v>
      </c>
      <c r="Z418" s="245">
        <f ca="1">[1]ExtEntry!$J16</f>
        <v>2.1899000000000002</v>
      </c>
      <c r="AB418" s="265">
        <v>15225</v>
      </c>
      <c r="AC418" s="265">
        <v>-2125</v>
      </c>
      <c r="AD418" s="265">
        <v>4250</v>
      </c>
      <c r="AE418" s="265">
        <v>2550</v>
      </c>
      <c r="AF418" s="265">
        <v>37824.999999999971</v>
      </c>
      <c r="AG418" s="265">
        <v>-36550</v>
      </c>
      <c r="AH418" s="265">
        <v>-34425</v>
      </c>
      <c r="AI418" s="265">
        <v>-26775</v>
      </c>
      <c r="AJ418" s="265">
        <v>5525.0000000000291</v>
      </c>
      <c r="AK418" s="265">
        <v>-51000</v>
      </c>
      <c r="AL418" s="265">
        <v>14025.000000000029</v>
      </c>
      <c r="AM418" s="265">
        <v>27200</v>
      </c>
      <c r="AN418" s="265">
        <v>12325</v>
      </c>
      <c r="AO418" s="265">
        <v>-6817</v>
      </c>
      <c r="AP418" s="265">
        <v>13175</v>
      </c>
      <c r="AQ418" s="265">
        <v>-17850.000000000029</v>
      </c>
      <c r="AR418" s="265">
        <v>4249.9999999999709</v>
      </c>
      <c r="AS418" s="265">
        <v>25075</v>
      </c>
      <c r="AT418" s="265">
        <v>9792</v>
      </c>
      <c r="AU418" s="265">
        <v>-13175</v>
      </c>
      <c r="AV418" s="261">
        <f t="shared" ca="1" si="35"/>
        <v>-13175</v>
      </c>
      <c r="AX418" s="88" t="str">
        <f t="shared" ca="1" si="36"/>
        <v>DDD</v>
      </c>
    </row>
    <row r="419" spans="1:50" hidden="1" x14ac:dyDescent="0.3">
      <c r="A419" s="88" t="str">
        <f t="shared" ca="1" si="34"/>
        <v>DIS</v>
      </c>
      <c r="F419" s="251">
        <v>111.84</v>
      </c>
      <c r="G419" s="251">
        <v>112.675</v>
      </c>
      <c r="H419" s="251">
        <v>112.08499999999999</v>
      </c>
      <c r="I419" s="251">
        <v>111.46</v>
      </c>
      <c r="J419" s="251">
        <v>112.25</v>
      </c>
      <c r="K419" s="251">
        <v>114.5395</v>
      </c>
      <c r="L419" s="251">
        <v>114.28</v>
      </c>
      <c r="M419" s="251">
        <v>114.28</v>
      </c>
      <c r="N419" s="251">
        <v>113.83</v>
      </c>
      <c r="O419" s="251">
        <v>113.65</v>
      </c>
      <c r="P419" s="251">
        <v>112.6</v>
      </c>
      <c r="Q419" s="251">
        <v>112.48</v>
      </c>
      <c r="R419" s="251">
        <v>113.5801</v>
      </c>
      <c r="S419" s="251">
        <v>111.785</v>
      </c>
      <c r="T419" s="251">
        <v>111.97</v>
      </c>
      <c r="U419" s="251">
        <v>111.71</v>
      </c>
      <c r="V419" s="251">
        <v>111.425</v>
      </c>
      <c r="W419" s="251">
        <v>108.73</v>
      </c>
      <c r="X419" s="251">
        <v>107.08</v>
      </c>
      <c r="Y419" s="251">
        <v>107.59</v>
      </c>
      <c r="Z419" s="245">
        <f ca="1">[1]ExtEntry!$J17</f>
        <v>107.59</v>
      </c>
      <c r="AB419" s="262">
        <v>1455</v>
      </c>
      <c r="AC419" s="262">
        <v>1370</v>
      </c>
      <c r="AD419" s="262">
        <v>-1065</v>
      </c>
      <c r="AE419" s="262">
        <v>1760</v>
      </c>
      <c r="AF419" s="262">
        <v>820</v>
      </c>
      <c r="AG419" s="262">
        <v>665</v>
      </c>
      <c r="AH419" s="262">
        <v>-1355</v>
      </c>
      <c r="AI419" s="262">
        <v>995</v>
      </c>
      <c r="AJ419" s="262">
        <v>-1080</v>
      </c>
      <c r="AK419" s="262">
        <v>-2510</v>
      </c>
      <c r="AL419" s="262">
        <v>-1690</v>
      </c>
      <c r="AM419" s="262">
        <v>655</v>
      </c>
      <c r="AN419" s="262">
        <v>2610</v>
      </c>
      <c r="AO419" s="262">
        <v>820</v>
      </c>
      <c r="AP419" s="262">
        <v>1550</v>
      </c>
      <c r="AQ419" s="262">
        <v>-1700</v>
      </c>
      <c r="AR419" s="262">
        <v>625</v>
      </c>
      <c r="AS419" s="262">
        <v>-3430</v>
      </c>
      <c r="AT419" s="262">
        <v>510</v>
      </c>
      <c r="AU419" s="262">
        <v>-755</v>
      </c>
      <c r="AV419" s="261">
        <f t="shared" ca="1" si="35"/>
        <v>-755</v>
      </c>
      <c r="AX419" s="88" t="str">
        <f t="shared" ca="1" si="36"/>
        <v>DIS</v>
      </c>
    </row>
    <row r="420" spans="1:50" hidden="1" x14ac:dyDescent="0.3">
      <c r="A420" s="88" t="str">
        <f t="shared" ca="1" si="34"/>
        <v>DSY</v>
      </c>
      <c r="F420" s="251">
        <v>28.82</v>
      </c>
      <c r="G420" s="251">
        <v>29.1</v>
      </c>
      <c r="H420" s="251">
        <v>29.44</v>
      </c>
      <c r="I420" s="251">
        <v>29.41</v>
      </c>
      <c r="J420" s="251">
        <v>29.78</v>
      </c>
      <c r="K420" s="251">
        <v>30.27</v>
      </c>
      <c r="L420" s="251">
        <v>30.36</v>
      </c>
      <c r="M420" s="251">
        <v>30.36</v>
      </c>
      <c r="N420" s="251">
        <v>26.35</v>
      </c>
      <c r="O420" s="251">
        <v>26.43</v>
      </c>
      <c r="P420" s="251">
        <v>25.81</v>
      </c>
      <c r="Q420" s="251">
        <v>25.36</v>
      </c>
      <c r="R420" s="251">
        <v>24.86</v>
      </c>
      <c r="S420" s="251">
        <v>24.26</v>
      </c>
      <c r="T420" s="251">
        <v>24.12</v>
      </c>
      <c r="U420" s="251">
        <v>23.92</v>
      </c>
      <c r="V420" s="251">
        <v>23.48</v>
      </c>
      <c r="W420" s="251">
        <v>24.04</v>
      </c>
      <c r="X420" s="251">
        <v>23.23</v>
      </c>
      <c r="Y420" s="251">
        <v>23.56</v>
      </c>
      <c r="Z420" s="245">
        <f ca="1">[1]ExtEntry!$J18</f>
        <v>23.56</v>
      </c>
      <c r="AB420" s="265">
        <v>600</v>
      </c>
      <c r="AC420" s="265">
        <v>2080</v>
      </c>
      <c r="AD420" s="265">
        <v>1800</v>
      </c>
      <c r="AE420" s="265">
        <v>160</v>
      </c>
      <c r="AF420" s="265">
        <v>80</v>
      </c>
      <c r="AG420" s="265">
        <v>3120</v>
      </c>
      <c r="AH420" s="265">
        <v>-880</v>
      </c>
      <c r="AI420" s="265">
        <v>-1920</v>
      </c>
      <c r="AJ420" s="265">
        <v>-400</v>
      </c>
      <c r="AK420" s="265">
        <v>-3760</v>
      </c>
      <c r="AL420" s="265">
        <v>-3160</v>
      </c>
      <c r="AM420" s="265">
        <v>-1640</v>
      </c>
      <c r="AN420" s="265">
        <v>-400</v>
      </c>
      <c r="AO420" s="265">
        <v>-1240</v>
      </c>
      <c r="AP420" s="265">
        <v>2920</v>
      </c>
      <c r="AQ420" s="265">
        <v>-1040</v>
      </c>
      <c r="AR420" s="265">
        <v>1360</v>
      </c>
      <c r="AS420" s="265">
        <v>40</v>
      </c>
      <c r="AT420" s="265">
        <v>280</v>
      </c>
      <c r="AU420" s="265">
        <v>240</v>
      </c>
      <c r="AV420" s="261">
        <f t="shared" ca="1" si="35"/>
        <v>240</v>
      </c>
      <c r="AX420" s="88" t="str">
        <f t="shared" ca="1" si="36"/>
        <v>DSY</v>
      </c>
    </row>
    <row r="421" spans="1:50" hidden="1" x14ac:dyDescent="0.3">
      <c r="A421" s="88" t="str">
        <f t="shared" ca="1" si="34"/>
        <v>DVA</v>
      </c>
      <c r="F421" s="251">
        <v>126.941</v>
      </c>
      <c r="G421" s="251">
        <v>127.92</v>
      </c>
      <c r="H421" s="251">
        <v>126.94</v>
      </c>
      <c r="I421" s="251">
        <v>126.27</v>
      </c>
      <c r="J421" s="251">
        <v>128.47999999999999</v>
      </c>
      <c r="K421" s="251">
        <v>129.10499999999999</v>
      </c>
      <c r="L421" s="251">
        <v>130.245</v>
      </c>
      <c r="M421" s="251">
        <v>130.245</v>
      </c>
      <c r="N421" s="251">
        <v>128.36000000000001</v>
      </c>
      <c r="O421" s="251">
        <v>130.47</v>
      </c>
      <c r="P421" s="251">
        <v>129.77000000000001</v>
      </c>
      <c r="Q421" s="251">
        <v>130.7527</v>
      </c>
      <c r="R421" s="251">
        <v>128.3963</v>
      </c>
      <c r="S421" s="251">
        <v>120.78</v>
      </c>
      <c r="T421" s="251">
        <v>121.87</v>
      </c>
      <c r="U421" s="251">
        <v>122.19</v>
      </c>
      <c r="V421" s="251">
        <v>123.79</v>
      </c>
      <c r="W421" s="251">
        <v>123.4</v>
      </c>
      <c r="X421" s="251">
        <v>117.72</v>
      </c>
      <c r="Y421" s="251">
        <v>116.77500000000001</v>
      </c>
      <c r="Z421" s="245">
        <f ca="1">[1]ExtEntry!$J19</f>
        <v>116.77500000000001</v>
      </c>
      <c r="AB421" s="262">
        <v>2250.8000000000029</v>
      </c>
      <c r="AC421" s="262">
        <v>4336</v>
      </c>
      <c r="AD421" s="262">
        <v>2114</v>
      </c>
      <c r="AE421" s="262">
        <v>3808</v>
      </c>
      <c r="AF421" s="262">
        <v>2422.0000000000291</v>
      </c>
      <c r="AG421" s="262">
        <v>-3432.7999999999884</v>
      </c>
      <c r="AH421" s="262">
        <v>-118.99999999994179</v>
      </c>
      <c r="AI421" s="262">
        <v>1932.0000000000582</v>
      </c>
      <c r="AJ421" s="262">
        <v>-980</v>
      </c>
      <c r="AK421" s="262">
        <v>-2408.0000000000291</v>
      </c>
      <c r="AL421" s="262">
        <v>35</v>
      </c>
      <c r="AM421" s="262">
        <v>-798.00000000005821</v>
      </c>
      <c r="AN421" s="262">
        <v>-9534.0000000000582</v>
      </c>
      <c r="AO421" s="262">
        <v>5186</v>
      </c>
      <c r="AP421" s="262">
        <v>4550</v>
      </c>
      <c r="AQ421" s="262">
        <v>1437</v>
      </c>
      <c r="AR421" s="262">
        <v>3087</v>
      </c>
      <c r="AS421" s="262">
        <v>6076</v>
      </c>
      <c r="AT421" s="262">
        <v>-5186</v>
      </c>
      <c r="AU421" s="262">
        <v>-6615</v>
      </c>
      <c r="AV421" s="261">
        <f t="shared" ca="1" si="35"/>
        <v>-6615</v>
      </c>
      <c r="AX421" s="88" t="str">
        <f t="shared" ca="1" si="36"/>
        <v>DVA</v>
      </c>
    </row>
    <row r="422" spans="1:50" hidden="1" x14ac:dyDescent="0.3">
      <c r="A422" s="88" t="str">
        <f t="shared" ca="1" si="34"/>
        <v>DXC</v>
      </c>
      <c r="F422" s="251">
        <v>13.494999999999999</v>
      </c>
      <c r="G422" s="251">
        <v>13.425000000000001</v>
      </c>
      <c r="H422" s="251">
        <v>13.12</v>
      </c>
      <c r="I422" s="251">
        <v>13</v>
      </c>
      <c r="J422" s="251">
        <v>13.1</v>
      </c>
      <c r="K422" s="251">
        <v>13.43</v>
      </c>
      <c r="L422" s="251">
        <v>13.455</v>
      </c>
      <c r="M422" s="251">
        <v>13.455</v>
      </c>
      <c r="N422" s="251">
        <v>13.37</v>
      </c>
      <c r="O422" s="251">
        <v>13.64</v>
      </c>
      <c r="P422" s="251">
        <v>13.72</v>
      </c>
      <c r="Q422" s="251">
        <v>13.559100000000001</v>
      </c>
      <c r="R422" s="251">
        <v>13.26</v>
      </c>
      <c r="S422" s="251">
        <v>13.67</v>
      </c>
      <c r="T422" s="251">
        <v>14.135</v>
      </c>
      <c r="U422" s="251">
        <v>13.99</v>
      </c>
      <c r="V422" s="251">
        <v>13.7</v>
      </c>
      <c r="W422" s="251">
        <v>13.25</v>
      </c>
      <c r="X422" s="251">
        <v>12.469900000000001</v>
      </c>
      <c r="Y422" s="251">
        <v>12.27</v>
      </c>
      <c r="Z422" s="245">
        <f ca="1">[1]ExtEntry!$J20</f>
        <v>12.27</v>
      </c>
      <c r="AB422" s="265">
        <v>3870</v>
      </c>
      <c r="AC422" s="265">
        <v>-1260</v>
      </c>
      <c r="AD422" s="265">
        <v>-2700</v>
      </c>
      <c r="AE422" s="265">
        <v>-240</v>
      </c>
      <c r="AF422" s="265">
        <v>-960</v>
      </c>
      <c r="AG422" s="265">
        <v>-180</v>
      </c>
      <c r="AH422" s="265">
        <v>1800</v>
      </c>
      <c r="AI422" s="265">
        <v>1920</v>
      </c>
      <c r="AJ422" s="265">
        <v>480</v>
      </c>
      <c r="AK422" s="265">
        <v>30</v>
      </c>
      <c r="AL422" s="265">
        <v>-3390</v>
      </c>
      <c r="AM422" s="265">
        <v>-120</v>
      </c>
      <c r="AN422" s="265">
        <v>-720</v>
      </c>
      <c r="AO422" s="265">
        <v>1200</v>
      </c>
      <c r="AP422" s="265">
        <v>1140</v>
      </c>
      <c r="AQ422" s="265">
        <v>870</v>
      </c>
      <c r="AR422" s="265">
        <v>-2250</v>
      </c>
      <c r="AS422" s="265">
        <v>-1740</v>
      </c>
      <c r="AT422" s="265">
        <v>-3480</v>
      </c>
      <c r="AU422" s="265">
        <v>-1980</v>
      </c>
      <c r="AV422" s="261">
        <f t="shared" ca="1" si="35"/>
        <v>-1980</v>
      </c>
      <c r="AX422" s="88" t="str">
        <f t="shared" ca="1" si="36"/>
        <v>DXC</v>
      </c>
    </row>
    <row r="423" spans="1:50" hidden="1" x14ac:dyDescent="0.3">
      <c r="A423" s="88" t="str">
        <f t="shared" ca="1" si="34"/>
        <v>EOAN</v>
      </c>
      <c r="F423" s="251">
        <v>16.425000000000001</v>
      </c>
      <c r="G423" s="251">
        <v>16.37</v>
      </c>
      <c r="H423" s="251">
        <v>16.305</v>
      </c>
      <c r="I423" s="251">
        <v>16.38</v>
      </c>
      <c r="J423" s="251">
        <v>16.454999999999998</v>
      </c>
      <c r="K423" s="251">
        <v>16.48</v>
      </c>
      <c r="L423" s="251">
        <v>16.395</v>
      </c>
      <c r="M423" s="251">
        <v>16.395</v>
      </c>
      <c r="N423" s="251">
        <v>16.13</v>
      </c>
      <c r="O423" s="251">
        <v>16.059999999999999</v>
      </c>
      <c r="P423" s="251">
        <v>16.2</v>
      </c>
      <c r="Q423" s="251">
        <v>16.265000000000001</v>
      </c>
      <c r="R423" s="251">
        <v>16.254999999999999</v>
      </c>
      <c r="S423" s="251">
        <v>15.855</v>
      </c>
      <c r="T423" s="251">
        <v>16.05</v>
      </c>
      <c r="U423" s="251">
        <v>16.2</v>
      </c>
      <c r="V423" s="251">
        <v>16.155000000000001</v>
      </c>
      <c r="W423" s="251">
        <v>15.3</v>
      </c>
      <c r="X423" s="251">
        <v>15.315</v>
      </c>
      <c r="Y423" s="251">
        <v>15.49</v>
      </c>
      <c r="Z423" s="245">
        <f ca="1">[1]ExtEntry!$J21</f>
        <v>15.49</v>
      </c>
      <c r="AB423" s="262">
        <v>96.25</v>
      </c>
      <c r="AC423" s="262">
        <v>-115.5</v>
      </c>
      <c r="AD423" s="262">
        <v>27.5</v>
      </c>
      <c r="AE423" s="262">
        <v>44</v>
      </c>
      <c r="AF423" s="262">
        <v>16.500000000001819</v>
      </c>
      <c r="AG423" s="262">
        <v>-107.25</v>
      </c>
      <c r="AH423" s="262">
        <v>-16.5</v>
      </c>
      <c r="AI423" s="262">
        <v>-115.5</v>
      </c>
      <c r="AJ423" s="262">
        <v>-140.25</v>
      </c>
      <c r="AK423" s="262">
        <v>-16.500000000001819</v>
      </c>
      <c r="AL423" s="262">
        <v>19.25</v>
      </c>
      <c r="AM423" s="262">
        <v>228.25</v>
      </c>
      <c r="AN423" s="262">
        <v>126.5</v>
      </c>
      <c r="AO423" s="262">
        <v>27.5</v>
      </c>
      <c r="AP423" s="262">
        <v>3333.75</v>
      </c>
      <c r="AQ423" s="262">
        <v>1100.25</v>
      </c>
      <c r="AR423" s="262">
        <v>-118.25</v>
      </c>
      <c r="AS423" s="262">
        <v>283.5</v>
      </c>
      <c r="AT423" s="262">
        <v>-1220</v>
      </c>
      <c r="AU423" s="262">
        <v>-3600</v>
      </c>
      <c r="AV423" s="261">
        <f t="shared" ca="1" si="35"/>
        <v>-3600</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447</v>
      </c>
      <c r="AC424" s="265">
        <v>0</v>
      </c>
      <c r="AD424" s="265">
        <v>0</v>
      </c>
      <c r="AE424" s="265">
        <v>0</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57.25</v>
      </c>
      <c r="G425" s="251">
        <v>58.25</v>
      </c>
      <c r="H425" s="251">
        <v>58.4</v>
      </c>
      <c r="I425" s="251">
        <v>59.17</v>
      </c>
      <c r="J425" s="251">
        <v>58.555</v>
      </c>
      <c r="K425" s="251">
        <v>67.55</v>
      </c>
      <c r="L425" s="251">
        <v>67.584999999999994</v>
      </c>
      <c r="M425" s="251">
        <v>67.584999999999994</v>
      </c>
      <c r="N425" s="251">
        <v>68.48</v>
      </c>
      <c r="O425" s="251">
        <v>69.7</v>
      </c>
      <c r="P425" s="251">
        <v>69.63</v>
      </c>
      <c r="Q425" s="251">
        <v>70.19</v>
      </c>
      <c r="R425" s="251">
        <v>69.78</v>
      </c>
      <c r="S425" s="251">
        <v>68.13</v>
      </c>
      <c r="T425" s="251">
        <v>69.260000000000005</v>
      </c>
      <c r="U425" s="251">
        <v>69.397999999999996</v>
      </c>
      <c r="V425" s="251">
        <v>70.734999999999999</v>
      </c>
      <c r="W425" s="251">
        <v>71.765000000000001</v>
      </c>
      <c r="X425" s="251">
        <v>68.42</v>
      </c>
      <c r="Y425" s="251">
        <v>69.66</v>
      </c>
      <c r="Z425" s="245">
        <f ca="1">[1]ExtEntry!$J23</f>
        <v>69.66</v>
      </c>
      <c r="AB425" s="262">
        <v>39.100000000000023</v>
      </c>
      <c r="AC425" s="262">
        <v>16.448999999999955</v>
      </c>
      <c r="AD425" s="262">
        <v>2.9500000000000455</v>
      </c>
      <c r="AE425" s="262">
        <v>15.100000000000023</v>
      </c>
      <c r="AF425" s="262">
        <v>-3.0999999999999091</v>
      </c>
      <c r="AG425" s="262">
        <v>3</v>
      </c>
      <c r="AH425" s="262">
        <v>-4.4990000000000236</v>
      </c>
      <c r="AI425" s="262">
        <v>8.1499999999998636</v>
      </c>
      <c r="AJ425" s="262">
        <v>-17.85000000000025</v>
      </c>
      <c r="AK425" s="262">
        <v>27.300000000000068</v>
      </c>
      <c r="AL425" s="262">
        <v>-30.649999999999864</v>
      </c>
      <c r="AM425" s="262">
        <v>1.4000000000002046</v>
      </c>
      <c r="AN425" s="262">
        <v>-2.6999999999999318</v>
      </c>
      <c r="AO425" s="262">
        <v>0.85000000000002274</v>
      </c>
      <c r="AP425" s="262">
        <v>-4.7000000000002728</v>
      </c>
      <c r="AQ425" s="262">
        <v>4.0499999999998408</v>
      </c>
      <c r="AR425" s="262">
        <v>13.099999999999795</v>
      </c>
      <c r="AS425" s="262">
        <v>-8.4000000000000909</v>
      </c>
      <c r="AT425" s="262">
        <v>11.600000000000136</v>
      </c>
      <c r="AU425" s="262">
        <v>-6.8499999999999091</v>
      </c>
      <c r="AV425" s="261">
        <f t="shared" ca="1" si="35"/>
        <v>-6.8499999999999091</v>
      </c>
      <c r="AX425" s="88" t="str">
        <f t="shared" ca="1" si="36"/>
        <v>GM</v>
      </c>
    </row>
    <row r="426" spans="1:50" hidden="1" x14ac:dyDescent="0.3">
      <c r="A426" s="88" t="str">
        <f t="shared" ca="1" si="34"/>
        <v>HPE</v>
      </c>
      <c r="F426" s="251">
        <v>25.369900000000001</v>
      </c>
      <c r="G426" s="251">
        <v>26.31</v>
      </c>
      <c r="H426" s="251">
        <v>23.49</v>
      </c>
      <c r="I426" s="251">
        <v>23.27</v>
      </c>
      <c r="J426" s="251">
        <v>23.105</v>
      </c>
      <c r="K426" s="251">
        <v>23.43</v>
      </c>
      <c r="L426" s="251">
        <v>23.245000000000001</v>
      </c>
      <c r="M426" s="251">
        <v>23.245000000000001</v>
      </c>
      <c r="N426" s="251">
        <v>23.46</v>
      </c>
      <c r="O426" s="251">
        <v>23.699200000000001</v>
      </c>
      <c r="P426" s="251">
        <v>24.215</v>
      </c>
      <c r="Q426" s="251">
        <v>24.697500000000002</v>
      </c>
      <c r="R426" s="251">
        <v>24.747499999999999</v>
      </c>
      <c r="S426" s="251">
        <v>24.094999999999999</v>
      </c>
      <c r="T426" s="251">
        <v>24.03</v>
      </c>
      <c r="U426" s="251">
        <v>23.9</v>
      </c>
      <c r="V426" s="251">
        <v>23.524999999999999</v>
      </c>
      <c r="W426" s="251">
        <v>23.419899999999998</v>
      </c>
      <c r="X426" s="251">
        <v>21.454999999999998</v>
      </c>
      <c r="Y426" s="251">
        <v>21.145</v>
      </c>
      <c r="Z426" s="245">
        <f ca="1">[1]ExtEntry!$J24</f>
        <v>21.145</v>
      </c>
      <c r="AB426" s="265">
        <v>11316</v>
      </c>
      <c r="AC426" s="265">
        <v>-8202</v>
      </c>
      <c r="AD426" s="265">
        <v>-5820</v>
      </c>
      <c r="AE426" s="265">
        <v>3932</v>
      </c>
      <c r="AF426" s="265">
        <v>-1</v>
      </c>
      <c r="AG426" s="265">
        <v>-2846</v>
      </c>
      <c r="AH426" s="265">
        <v>-1903</v>
      </c>
      <c r="AI426" s="265">
        <v>3590</v>
      </c>
      <c r="AJ426" s="265">
        <v>-4952</v>
      </c>
      <c r="AK426" s="265">
        <v>495</v>
      </c>
      <c r="AL426" s="265">
        <v>880</v>
      </c>
      <c r="AM426" s="265">
        <v>569</v>
      </c>
      <c r="AN426" s="265">
        <v>2850</v>
      </c>
      <c r="AO426" s="265">
        <v>-4156</v>
      </c>
      <c r="AP426" s="265">
        <v>2680</v>
      </c>
      <c r="AQ426" s="265">
        <v>-6084</v>
      </c>
      <c r="AR426" s="265">
        <v>1012</v>
      </c>
      <c r="AS426" s="265">
        <v>919.9999999999709</v>
      </c>
      <c r="AT426" s="265">
        <v>2576</v>
      </c>
      <c r="AU426" s="265">
        <v>-1702</v>
      </c>
      <c r="AV426" s="261">
        <f t="shared" ca="1" si="35"/>
        <v>-1702</v>
      </c>
      <c r="AX426" s="88" t="str">
        <f t="shared" ca="1" si="36"/>
        <v>HPE</v>
      </c>
    </row>
    <row r="427" spans="1:50" hidden="1" x14ac:dyDescent="0.3">
      <c r="A427" s="88" t="str">
        <f t="shared" ca="1" si="34"/>
        <v>HPQ</v>
      </c>
      <c r="F427" s="251">
        <v>28.74</v>
      </c>
      <c r="G427" s="251">
        <v>28.984999999999999</v>
      </c>
      <c r="H427" s="251">
        <v>28.73</v>
      </c>
      <c r="I427" s="251">
        <v>27.61</v>
      </c>
      <c r="J427" s="251">
        <v>28.09</v>
      </c>
      <c r="K427" s="251">
        <v>28.5</v>
      </c>
      <c r="L427" s="251">
        <v>27.965</v>
      </c>
      <c r="M427" s="251">
        <v>27.965</v>
      </c>
      <c r="N427" s="251">
        <v>28.14</v>
      </c>
      <c r="O427" s="251">
        <v>28.43</v>
      </c>
      <c r="P427" s="251">
        <v>28.094999999999999</v>
      </c>
      <c r="Q427" s="251">
        <v>28.185500000000001</v>
      </c>
      <c r="R427" s="251">
        <v>27.824999999999999</v>
      </c>
      <c r="S427" s="251">
        <v>26.71</v>
      </c>
      <c r="T427" s="251">
        <v>26.71</v>
      </c>
      <c r="U427" s="251">
        <v>26.69</v>
      </c>
      <c r="V427" s="251">
        <v>26.33</v>
      </c>
      <c r="W427" s="251">
        <v>25</v>
      </c>
      <c r="X427" s="251">
        <v>23.005099999999999</v>
      </c>
      <c r="Y427" s="251">
        <v>22.785</v>
      </c>
      <c r="Z427" s="245">
        <f ca="1">[1]ExtEntry!$J25</f>
        <v>22.785</v>
      </c>
      <c r="AB427" s="262">
        <v>4845</v>
      </c>
      <c r="AC427" s="262">
        <v>-1130</v>
      </c>
      <c r="AD427" s="262">
        <v>-7185</v>
      </c>
      <c r="AE427" s="262">
        <v>1540</v>
      </c>
      <c r="AF427" s="262">
        <v>-5775</v>
      </c>
      <c r="AG427" s="262">
        <v>-2475</v>
      </c>
      <c r="AH427" s="262">
        <v>2980</v>
      </c>
      <c r="AI427" s="262">
        <v>9675</v>
      </c>
      <c r="AJ427" s="262">
        <v>-1125</v>
      </c>
      <c r="AK427" s="262">
        <v>-3475</v>
      </c>
      <c r="AL427" s="262">
        <v>-2275</v>
      </c>
      <c r="AM427" s="262">
        <v>-975</v>
      </c>
      <c r="AN427" s="262">
        <v>-1700</v>
      </c>
      <c r="AO427" s="262">
        <v>-3000</v>
      </c>
      <c r="AP427" s="262">
        <v>6500</v>
      </c>
      <c r="AQ427" s="262">
        <v>-2325</v>
      </c>
      <c r="AR427" s="262">
        <v>-400</v>
      </c>
      <c r="AS427" s="262">
        <v>-1534.9999999999854</v>
      </c>
      <c r="AT427" s="262">
        <v>2775</v>
      </c>
      <c r="AU427" s="262">
        <v>-4200</v>
      </c>
      <c r="AV427" s="261">
        <f t="shared" ca="1" si="35"/>
        <v>-4200</v>
      </c>
      <c r="AX427" s="88" t="str">
        <f t="shared" ca="1" si="36"/>
        <v>HPQ</v>
      </c>
    </row>
    <row r="428" spans="1:50" hidden="1" x14ac:dyDescent="0.3">
      <c r="A428" s="88" t="str">
        <f t="shared" ca="1" si="34"/>
        <v>IAG</v>
      </c>
      <c r="F428" s="251">
        <v>408.6</v>
      </c>
      <c r="G428" s="251">
        <v>414.8</v>
      </c>
      <c r="H428" s="251">
        <v>411.9</v>
      </c>
      <c r="I428" s="251">
        <v>402</v>
      </c>
      <c r="J428" s="251">
        <v>398.4</v>
      </c>
      <c r="K428" s="251">
        <v>398.1</v>
      </c>
      <c r="L428" s="251">
        <v>404.8</v>
      </c>
      <c r="M428" s="251">
        <v>404.8</v>
      </c>
      <c r="N428" s="251">
        <v>406.2</v>
      </c>
      <c r="O428" s="251">
        <v>410</v>
      </c>
      <c r="P428" s="251">
        <v>411.7</v>
      </c>
      <c r="Q428" s="251">
        <v>414</v>
      </c>
      <c r="R428" s="251">
        <v>414.5</v>
      </c>
      <c r="S428" s="251">
        <v>425.7</v>
      </c>
      <c r="T428" s="251">
        <v>426.1</v>
      </c>
      <c r="U428" s="251">
        <v>426.1</v>
      </c>
      <c r="V428" s="251">
        <v>389.2</v>
      </c>
      <c r="W428" s="251">
        <v>392.7</v>
      </c>
      <c r="X428" s="251">
        <v>372.3</v>
      </c>
      <c r="Y428" s="251">
        <v>380.9</v>
      </c>
      <c r="Z428" s="245">
        <f ca="1">[1]ExtEntry!$J26</f>
        <v>380.9</v>
      </c>
      <c r="AB428" s="265">
        <v>-3660</v>
      </c>
      <c r="AC428" s="265">
        <v>-36040</v>
      </c>
      <c r="AD428" s="265">
        <v>-32880</v>
      </c>
      <c r="AE428" s="265">
        <v>-12000</v>
      </c>
      <c r="AF428" s="265">
        <v>3120</v>
      </c>
      <c r="AG428" s="265">
        <v>-10320</v>
      </c>
      <c r="AH428" s="265">
        <v>17020</v>
      </c>
      <c r="AI428" s="265">
        <v>14620</v>
      </c>
      <c r="AJ428" s="265">
        <v>32520</v>
      </c>
      <c r="AK428" s="265">
        <v>1680</v>
      </c>
      <c r="AL428" s="265">
        <v>6498</v>
      </c>
      <c r="AM428" s="265">
        <v>-470</v>
      </c>
      <c r="AN428" s="265">
        <v>1605</v>
      </c>
      <c r="AO428" s="265">
        <v>-8400</v>
      </c>
      <c r="AP428" s="265">
        <v>530</v>
      </c>
      <c r="AQ428" s="265">
        <v>-7728</v>
      </c>
      <c r="AR428" s="265">
        <v>-29490</v>
      </c>
      <c r="AS428" s="265">
        <v>-11085</v>
      </c>
      <c r="AT428" s="265">
        <v>1189</v>
      </c>
      <c r="AU428" s="265">
        <v>1270</v>
      </c>
      <c r="AV428" s="261">
        <f t="shared" ca="1" si="35"/>
        <v>1270</v>
      </c>
      <c r="AX428" s="88" t="str">
        <f t="shared" ca="1" si="36"/>
        <v>IAG</v>
      </c>
    </row>
    <row r="429" spans="1:50" hidden="1" x14ac:dyDescent="0.3">
      <c r="A429" s="88" t="str">
        <f t="shared" ca="1" si="34"/>
        <v>KR</v>
      </c>
      <c r="F429" s="251">
        <v>69.504999999999995</v>
      </c>
      <c r="G429" s="251">
        <v>69.37</v>
      </c>
      <c r="H429" s="251">
        <v>69.81</v>
      </c>
      <c r="I429" s="251">
        <v>69.715000000000003</v>
      </c>
      <c r="J429" s="251">
        <v>69.400000000000006</v>
      </c>
      <c r="K429" s="251">
        <v>68.75</v>
      </c>
      <c r="L429" s="251">
        <v>68.86</v>
      </c>
      <c r="M429" s="251">
        <v>68.86</v>
      </c>
      <c r="N429" s="251">
        <v>68.83</v>
      </c>
      <c r="O429" s="251">
        <v>68.900000000000006</v>
      </c>
      <c r="P429" s="251">
        <v>68.11</v>
      </c>
      <c r="Q429" s="251">
        <v>68.23</v>
      </c>
      <c r="R429" s="251">
        <v>66.19</v>
      </c>
      <c r="S429" s="251">
        <v>64.599999999999994</v>
      </c>
      <c r="T429" s="251">
        <v>64.085700000000003</v>
      </c>
      <c r="U429" s="251">
        <v>64.099999999999994</v>
      </c>
      <c r="V429" s="251">
        <v>65.08</v>
      </c>
      <c r="W429" s="251">
        <v>66.915000000000006</v>
      </c>
      <c r="X429" s="251">
        <v>67.775000000000006</v>
      </c>
      <c r="Y429" s="251">
        <v>68.36</v>
      </c>
      <c r="Z429" s="245">
        <f ca="1">[1]ExtEntry!$J27</f>
        <v>68.36</v>
      </c>
      <c r="AB429" s="262">
        <v>-1516.1999999999825</v>
      </c>
      <c r="AC429" s="262">
        <v>-1822.1000000000058</v>
      </c>
      <c r="AD429" s="262">
        <v>2207.7999999999884</v>
      </c>
      <c r="AE429" s="262">
        <v>1383.1999999999534</v>
      </c>
      <c r="AF429" s="262">
        <v>280.89999999999418</v>
      </c>
      <c r="AG429" s="262">
        <v>-8230.7999999999884</v>
      </c>
      <c r="AH429" s="262">
        <v>2654.8999999999942</v>
      </c>
      <c r="AI429" s="262">
        <v>3466.1999999999825</v>
      </c>
      <c r="AJ429" s="262">
        <v>930.80000000001746</v>
      </c>
      <c r="AK429" s="262">
        <v>-9490</v>
      </c>
      <c r="AL429" s="262">
        <v>10585.000000000058</v>
      </c>
      <c r="AM429" s="262">
        <v>-3530</v>
      </c>
      <c r="AN429" s="262">
        <v>-5755.0000000000582</v>
      </c>
      <c r="AO429" s="262">
        <v>-1530</v>
      </c>
      <c r="AP429" s="262">
        <v>4510</v>
      </c>
      <c r="AQ429" s="262">
        <v>-6200.0000000000582</v>
      </c>
      <c r="AR429" s="262">
        <v>6850</v>
      </c>
      <c r="AS429" s="262">
        <v>7125.0000000000582</v>
      </c>
      <c r="AT429" s="262">
        <v>6920</v>
      </c>
      <c r="AU429" s="262">
        <v>4280</v>
      </c>
      <c r="AV429" s="261">
        <f t="shared" ca="1" si="35"/>
        <v>4280</v>
      </c>
      <c r="AX429" s="88" t="str">
        <f t="shared" ca="1" si="36"/>
        <v>KR</v>
      </c>
    </row>
    <row r="430" spans="1:50" hidden="1" x14ac:dyDescent="0.3">
      <c r="A430" s="88" t="str">
        <f t="shared" ca="1" si="34"/>
        <v>LNSR</v>
      </c>
      <c r="F430" s="251">
        <v>12.039400000000001</v>
      </c>
      <c r="G430" s="251">
        <v>12.02</v>
      </c>
      <c r="H430" s="251">
        <v>11.867000000000001</v>
      </c>
      <c r="I430" s="251">
        <v>11.99</v>
      </c>
      <c r="J430" s="251">
        <v>12.3</v>
      </c>
      <c r="K430" s="251">
        <v>12.32</v>
      </c>
      <c r="L430" s="251">
        <v>12.31</v>
      </c>
      <c r="M430" s="251">
        <v>12.31</v>
      </c>
      <c r="N430" s="251">
        <v>12.262499999999999</v>
      </c>
      <c r="O430" s="251">
        <v>12.2599</v>
      </c>
      <c r="P430" s="251">
        <v>12</v>
      </c>
      <c r="Q430" s="251">
        <v>11.9582</v>
      </c>
      <c r="R430" s="251">
        <v>12.05</v>
      </c>
      <c r="S430" s="251">
        <v>12.5</v>
      </c>
      <c r="T430" s="251">
        <v>12.6</v>
      </c>
      <c r="U430" s="251">
        <v>12.395</v>
      </c>
      <c r="V430" s="251">
        <v>11.540800000000001</v>
      </c>
      <c r="W430" s="251">
        <v>10.479900000000001</v>
      </c>
      <c r="X430" s="251">
        <v>10.06</v>
      </c>
      <c r="Y430" s="251">
        <v>10.14</v>
      </c>
      <c r="Z430" s="245">
        <f ca="1">[1]ExtEntry!$J28</f>
        <v>10.14</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7.03</v>
      </c>
      <c r="G431" s="251">
        <v>7.4297000000000004</v>
      </c>
      <c r="H431" s="251">
        <v>7.4550000000000001</v>
      </c>
      <c r="I431" s="251">
        <v>7.03</v>
      </c>
      <c r="J431" s="251">
        <v>7.17</v>
      </c>
      <c r="K431" s="251">
        <v>7.31</v>
      </c>
      <c r="L431" s="251">
        <v>7.1849999999999996</v>
      </c>
      <c r="M431" s="251">
        <v>7.1849999999999996</v>
      </c>
      <c r="N431" s="251">
        <v>7.8250000000000002</v>
      </c>
      <c r="O431" s="251">
        <v>8.4</v>
      </c>
      <c r="P431" s="251">
        <v>9.4</v>
      </c>
      <c r="Q431" s="251">
        <v>10.1</v>
      </c>
      <c r="R431" s="251">
        <v>11.32</v>
      </c>
      <c r="S431" s="251">
        <v>11.45</v>
      </c>
      <c r="T431" s="251">
        <v>11.29</v>
      </c>
      <c r="U431" s="251">
        <v>11.43</v>
      </c>
      <c r="V431" s="251">
        <v>10.98</v>
      </c>
      <c r="W431" s="251">
        <v>8.2100000000000009</v>
      </c>
      <c r="X431" s="251">
        <v>8</v>
      </c>
      <c r="Y431" s="251">
        <v>7.99</v>
      </c>
      <c r="Z431" s="245">
        <f ca="1">[1]ExtEntry!$J29</f>
        <v>7.99</v>
      </c>
      <c r="AB431" s="262">
        <v>248.2</v>
      </c>
      <c r="AC431" s="262">
        <v>-133.94999999999999</v>
      </c>
      <c r="AD431" s="262">
        <v>-1.2000000000000171</v>
      </c>
      <c r="AE431" s="262">
        <v>1.0999999999999943</v>
      </c>
      <c r="AF431" s="262">
        <v>0.70000000000000284</v>
      </c>
      <c r="AG431" s="262">
        <v>-2.25</v>
      </c>
      <c r="AH431" s="262">
        <v>-1.25</v>
      </c>
      <c r="AI431" s="262">
        <v>2.6499999999999915</v>
      </c>
      <c r="AJ431" s="262">
        <v>5.9499999999999886</v>
      </c>
      <c r="AK431" s="262">
        <v>-0.99999999999998579</v>
      </c>
      <c r="AL431" s="262">
        <v>6.6500000000000199</v>
      </c>
      <c r="AM431" s="262">
        <v>7.0499999999999829</v>
      </c>
      <c r="AN431" s="262">
        <v>-1.7999999999999829</v>
      </c>
      <c r="AO431" s="262">
        <v>-8.6500000000000057</v>
      </c>
      <c r="AP431" s="262">
        <v>1.5</v>
      </c>
      <c r="AQ431" s="262">
        <v>-8.5000000000000142</v>
      </c>
      <c r="AR431" s="262">
        <v>-10.799999999999997</v>
      </c>
      <c r="AS431" s="262">
        <v>4.4499999999999886</v>
      </c>
      <c r="AT431" s="262">
        <v>0.50000000000001421</v>
      </c>
      <c r="AU431" s="262">
        <v>-4.2000000000000313</v>
      </c>
      <c r="AV431" s="261">
        <f t="shared" ca="1" si="35"/>
        <v>-4.2000000000000313</v>
      </c>
      <c r="AX431" s="88" t="str">
        <f t="shared" ca="1" si="36"/>
        <v>LUMN</v>
      </c>
    </row>
    <row r="432" spans="1:50" hidden="1" x14ac:dyDescent="0.3">
      <c r="A432" s="88" t="str">
        <f t="shared" ca="1" si="34"/>
        <v>MRNA</v>
      </c>
      <c r="F432" s="251">
        <v>26.69</v>
      </c>
      <c r="G432" s="251">
        <v>27.952000000000002</v>
      </c>
      <c r="H432" s="251">
        <v>28.48</v>
      </c>
      <c r="I432" s="251">
        <v>26.94</v>
      </c>
      <c r="J432" s="251">
        <v>28.12</v>
      </c>
      <c r="K432" s="251">
        <v>27.59</v>
      </c>
      <c r="L432" s="251">
        <v>27.35</v>
      </c>
      <c r="M432" s="251">
        <v>27.35</v>
      </c>
      <c r="N432" s="251">
        <v>26.67</v>
      </c>
      <c r="O432" s="251">
        <v>26.91</v>
      </c>
      <c r="P432" s="251">
        <v>27.373699999999999</v>
      </c>
      <c r="Q432" s="251">
        <v>26.9</v>
      </c>
      <c r="R432" s="251">
        <v>29.2</v>
      </c>
      <c r="S432" s="251">
        <v>25.15</v>
      </c>
      <c r="T432" s="251">
        <v>24.04</v>
      </c>
      <c r="U432" s="251">
        <v>25.56</v>
      </c>
      <c r="V432" s="251">
        <v>24.524999999999999</v>
      </c>
      <c r="W432" s="251">
        <v>24.88</v>
      </c>
      <c r="X432" s="251">
        <v>24.99</v>
      </c>
      <c r="Y432" s="251">
        <v>25.06</v>
      </c>
      <c r="Z432" s="245">
        <f ca="1">[1]ExtEntry!$J30</f>
        <v>25.06</v>
      </c>
      <c r="AB432" s="265">
        <v>2460</v>
      </c>
      <c r="AC432" s="265">
        <v>7620</v>
      </c>
      <c r="AD432" s="265">
        <v>-1620</v>
      </c>
      <c r="AE432" s="265">
        <v>1920</v>
      </c>
      <c r="AF432" s="265">
        <v>15960</v>
      </c>
      <c r="AG432" s="265">
        <v>3720</v>
      </c>
      <c r="AH432" s="265">
        <v>-18540</v>
      </c>
      <c r="AI432" s="265">
        <v>4140</v>
      </c>
      <c r="AJ432" s="265">
        <v>10080</v>
      </c>
      <c r="AK432" s="265">
        <v>-7320</v>
      </c>
      <c r="AL432" s="265">
        <v>-7080</v>
      </c>
      <c r="AM432" s="265">
        <v>-11520</v>
      </c>
      <c r="AN432" s="265">
        <v>48900</v>
      </c>
      <c r="AO432" s="265">
        <v>-15300</v>
      </c>
      <c r="AP432" s="265">
        <v>-6900</v>
      </c>
      <c r="AQ432" s="265">
        <v>-8820</v>
      </c>
      <c r="AR432" s="265">
        <v>23700</v>
      </c>
      <c r="AS432" s="265">
        <v>-40560</v>
      </c>
      <c r="AT432" s="265">
        <v>15300</v>
      </c>
      <c r="AU432" s="265">
        <v>-3780</v>
      </c>
      <c r="AV432" s="261">
        <f t="shared" ca="1" si="35"/>
        <v>-3780</v>
      </c>
      <c r="AX432" s="88" t="str">
        <f t="shared" ca="1" si="36"/>
        <v>MRNA</v>
      </c>
    </row>
    <row r="433" spans="1:50" hidden="1" x14ac:dyDescent="0.3">
      <c r="A433" s="88" t="str">
        <f t="shared" ca="1" si="34"/>
        <v>MSFT</v>
      </c>
      <c r="F433" s="251">
        <v>515.28200000000004</v>
      </c>
      <c r="G433" s="251">
        <v>517.17999999999995</v>
      </c>
      <c r="H433" s="251">
        <v>516.85</v>
      </c>
      <c r="I433" s="251">
        <v>515.48</v>
      </c>
      <c r="J433" s="251">
        <v>518.70000000000005</v>
      </c>
      <c r="K433" s="251">
        <v>518.69000000000005</v>
      </c>
      <c r="L433" s="251">
        <v>525.23</v>
      </c>
      <c r="M433" s="251">
        <v>525.23</v>
      </c>
      <c r="N433" s="251">
        <v>523.95000000000005</v>
      </c>
      <c r="O433" s="251">
        <v>525.34500000000003</v>
      </c>
      <c r="P433" s="251">
        <v>534.58000000000004</v>
      </c>
      <c r="Q433" s="251">
        <v>553.72</v>
      </c>
      <c r="R433" s="251">
        <v>534.97</v>
      </c>
      <c r="S433" s="251">
        <v>515.54999999999995</v>
      </c>
      <c r="T433" s="251">
        <v>514.83000000000004</v>
      </c>
      <c r="U433" s="251">
        <v>505.7</v>
      </c>
      <c r="V433" s="251">
        <v>499.37700000000001</v>
      </c>
      <c r="W433" s="251">
        <v>511.6</v>
      </c>
      <c r="X433" s="251">
        <v>502.98</v>
      </c>
      <c r="Y433" s="251">
        <v>495.18720000000002</v>
      </c>
      <c r="Z433" s="245">
        <f ca="1">[1]ExtEntry!$J31</f>
        <v>495.18720000000002</v>
      </c>
      <c r="AB433" s="262">
        <v>76529.250000000931</v>
      </c>
      <c r="AC433" s="262">
        <v>-39257.520000000484</v>
      </c>
      <c r="AD433" s="262">
        <v>-10133.25</v>
      </c>
      <c r="AE433" s="262">
        <v>43864.75</v>
      </c>
      <c r="AF433" s="262">
        <v>40670</v>
      </c>
      <c r="AG433" s="262">
        <v>-33418.000000000931</v>
      </c>
      <c r="AH433" s="262">
        <v>18129.020000000484</v>
      </c>
      <c r="AI433" s="262">
        <v>3528</v>
      </c>
      <c r="AJ433" s="262">
        <v>-63112.000000000931</v>
      </c>
      <c r="AK433" s="262">
        <v>-13328</v>
      </c>
      <c r="AL433" s="262">
        <v>-4116</v>
      </c>
      <c r="AM433" s="262">
        <v>-71735.999999999069</v>
      </c>
      <c r="AN433" s="262">
        <v>-39709.600000000559</v>
      </c>
      <c r="AO433" s="262">
        <v>42630.000000000931</v>
      </c>
      <c r="AP433" s="262">
        <v>-68208</v>
      </c>
      <c r="AQ433" s="262">
        <v>-81242</v>
      </c>
      <c r="AR433" s="262">
        <v>83887.999999999069</v>
      </c>
      <c r="AS433" s="262">
        <v>162797.60000000056</v>
      </c>
      <c r="AT433" s="262">
        <v>-39445</v>
      </c>
      <c r="AU433" s="262">
        <v>32046</v>
      </c>
      <c r="AV433" s="261">
        <f t="shared" ca="1" si="35"/>
        <v>32046</v>
      </c>
      <c r="AX433" s="88" t="str">
        <f t="shared" ca="1" si="36"/>
        <v>MSFT</v>
      </c>
    </row>
    <row r="434" spans="1:50" hidden="1" x14ac:dyDescent="0.3">
      <c r="A434" s="88" t="str">
        <f t="shared" ca="1" si="34"/>
        <v>NEE</v>
      </c>
      <c r="F434" s="251">
        <v>84.84</v>
      </c>
      <c r="G434" s="251">
        <v>86.48</v>
      </c>
      <c r="H434" s="251">
        <v>86.74</v>
      </c>
      <c r="I434" s="251">
        <v>85.82</v>
      </c>
      <c r="J434" s="251">
        <v>85.34</v>
      </c>
      <c r="K434" s="251">
        <v>85.11</v>
      </c>
      <c r="L434" s="251">
        <v>84.22</v>
      </c>
      <c r="M434" s="251">
        <v>84.22</v>
      </c>
      <c r="N434" s="251">
        <v>83.89</v>
      </c>
      <c r="O434" s="251">
        <v>84.775800000000004</v>
      </c>
      <c r="P434" s="251">
        <v>87.29</v>
      </c>
      <c r="Q434" s="251">
        <v>87.53</v>
      </c>
      <c r="R434" s="251">
        <v>82.580799999999996</v>
      </c>
      <c r="S434" s="251">
        <v>82.204999999999998</v>
      </c>
      <c r="T434" s="251">
        <v>82.63</v>
      </c>
      <c r="U434" s="251">
        <v>82.96</v>
      </c>
      <c r="V434" s="251">
        <v>83.765000000000001</v>
      </c>
      <c r="W434" s="251">
        <v>84.49</v>
      </c>
      <c r="X434" s="251">
        <v>86.69</v>
      </c>
      <c r="Y434" s="251">
        <v>85.34</v>
      </c>
      <c r="Z434" s="245">
        <f ca="1">[1]ExtEntry!$J32</f>
        <v>85.34</v>
      </c>
      <c r="AB434" s="265">
        <v>65.999999999992724</v>
      </c>
      <c r="AC434" s="265">
        <v>48</v>
      </c>
      <c r="AD434" s="265">
        <v>63.999999999992724</v>
      </c>
      <c r="AE434" s="265">
        <v>157</v>
      </c>
      <c r="AF434" s="265">
        <v>-915.00000000000728</v>
      </c>
      <c r="AG434" s="265">
        <v>-582</v>
      </c>
      <c r="AH434" s="265">
        <v>-788</v>
      </c>
      <c r="AI434" s="265">
        <v>-20</v>
      </c>
      <c r="AJ434" s="265">
        <v>120</v>
      </c>
      <c r="AK434" s="265">
        <v>498</v>
      </c>
      <c r="AL434" s="265">
        <v>1210</v>
      </c>
      <c r="AM434" s="265">
        <v>-1100</v>
      </c>
      <c r="AN434" s="265">
        <v>410</v>
      </c>
      <c r="AO434" s="265">
        <v>247.7</v>
      </c>
      <c r="AP434" s="265">
        <v>-331.28</v>
      </c>
      <c r="AQ434" s="265">
        <v>-805.71</v>
      </c>
      <c r="AR434" s="265">
        <v>1589.93</v>
      </c>
      <c r="AS434" s="265">
        <v>78.339999999999989</v>
      </c>
      <c r="AT434" s="265">
        <v>-1.1199999999999903</v>
      </c>
      <c r="AU434" s="265">
        <v>-1.1500000000000057</v>
      </c>
      <c r="AV434" s="261">
        <f t="shared" ca="1" si="35"/>
        <v>-1.1500000000000057</v>
      </c>
      <c r="AX434" s="88" t="str">
        <f t="shared" ca="1" si="36"/>
        <v>NEE</v>
      </c>
    </row>
    <row r="435" spans="1:50" hidden="1" x14ac:dyDescent="0.3">
      <c r="A435" s="88" t="str">
        <f t="shared" ca="1" si="34"/>
        <v>NEM</v>
      </c>
      <c r="F435" s="251">
        <v>91.236999999999995</v>
      </c>
      <c r="G435" s="251">
        <v>93.93</v>
      </c>
      <c r="H435" s="251">
        <v>98.578000000000003</v>
      </c>
      <c r="I435" s="251">
        <v>96.36</v>
      </c>
      <c r="J435" s="251">
        <v>95.02</v>
      </c>
      <c r="K435" s="251">
        <v>89.03</v>
      </c>
      <c r="L435" s="251">
        <v>87.61</v>
      </c>
      <c r="M435" s="251">
        <v>87.61</v>
      </c>
      <c r="N435" s="251">
        <v>90.19</v>
      </c>
      <c r="O435" s="251">
        <v>86</v>
      </c>
      <c r="P435" s="251">
        <v>80.16</v>
      </c>
      <c r="Q435" s="251">
        <v>79.86</v>
      </c>
      <c r="R435" s="251">
        <v>83.12</v>
      </c>
      <c r="S435" s="251">
        <v>80.7</v>
      </c>
      <c r="T435" s="251">
        <v>81.915000000000006</v>
      </c>
      <c r="U435" s="251">
        <v>84.34</v>
      </c>
      <c r="V435" s="251">
        <v>83.5</v>
      </c>
      <c r="W435" s="251">
        <v>89.47</v>
      </c>
      <c r="X435" s="251">
        <v>88.334999999999994</v>
      </c>
      <c r="Y435" s="251">
        <v>89.27</v>
      </c>
      <c r="Z435" s="245">
        <f ca="1">[1]ExtEntry!$J33</f>
        <v>89.27</v>
      </c>
      <c r="AB435" s="262">
        <v>63280</v>
      </c>
      <c r="AC435" s="262">
        <v>24920</v>
      </c>
      <c r="AD435" s="262">
        <v>91280</v>
      </c>
      <c r="AE435" s="262">
        <v>-31640</v>
      </c>
      <c r="AF435" s="262">
        <v>-6145</v>
      </c>
      <c r="AG435" s="262">
        <v>-86085</v>
      </c>
      <c r="AH435" s="262">
        <v>47150</v>
      </c>
      <c r="AI435" s="262">
        <v>21530</v>
      </c>
      <c r="AJ435" s="262">
        <v>73910</v>
      </c>
      <c r="AK435" s="262">
        <v>-25</v>
      </c>
      <c r="AL435" s="262">
        <v>35785</v>
      </c>
      <c r="AM435" s="262">
        <v>-19850</v>
      </c>
      <c r="AN435" s="262">
        <v>-21110</v>
      </c>
      <c r="AO435" s="262">
        <v>3249.9999999997672</v>
      </c>
      <c r="AP435" s="262">
        <v>4770.0000000002328</v>
      </c>
      <c r="AQ435" s="262">
        <v>14235.999999999767</v>
      </c>
      <c r="AR435" s="262">
        <v>-45220</v>
      </c>
      <c r="AS435" s="262">
        <v>-13160</v>
      </c>
      <c r="AT435" s="262">
        <v>-8099.9999999995343</v>
      </c>
      <c r="AU435" s="262">
        <v>-29100.000000000233</v>
      </c>
      <c r="AV435" s="261">
        <f t="shared" ca="1" si="35"/>
        <v>-29100.000000000233</v>
      </c>
      <c r="AX435" s="88" t="str">
        <f t="shared" ca="1" si="36"/>
        <v>NEM</v>
      </c>
    </row>
    <row r="436" spans="1:50" hidden="1" x14ac:dyDescent="0.3">
      <c r="A436" s="88" t="str">
        <f t="shared" ca="1" si="34"/>
        <v>NFLX</v>
      </c>
      <c r="F436" s="251">
        <v>1224.2899</v>
      </c>
      <c r="G436" s="251">
        <v>1219.6199999999999</v>
      </c>
      <c r="H436" s="251">
        <v>1216.71</v>
      </c>
      <c r="I436" s="251">
        <v>1203.1199999999999</v>
      </c>
      <c r="J436" s="251">
        <v>1247.76</v>
      </c>
      <c r="K436" s="251">
        <v>1248.5998999999999</v>
      </c>
      <c r="L436" s="251">
        <v>1157.5999999999999</v>
      </c>
      <c r="M436" s="251">
        <v>1157.5999999999999</v>
      </c>
      <c r="N436" s="251">
        <v>1127.8285000000001</v>
      </c>
      <c r="O436" s="251">
        <v>1114.51</v>
      </c>
      <c r="P436" s="251">
        <v>1102.28</v>
      </c>
      <c r="Q436" s="251">
        <v>1116.9799</v>
      </c>
      <c r="R436" s="251">
        <v>1106.1600000000001</v>
      </c>
      <c r="S436" s="251">
        <v>1104.5998999999999</v>
      </c>
      <c r="T436" s="251">
        <v>1100.8499999999999</v>
      </c>
      <c r="U436" s="251">
        <v>1103.7</v>
      </c>
      <c r="V436" s="251">
        <v>1108.22</v>
      </c>
      <c r="W436" s="251">
        <v>1142.73</v>
      </c>
      <c r="X436" s="251">
        <v>115.25</v>
      </c>
      <c r="Y436" s="251">
        <v>113.34</v>
      </c>
      <c r="Z436" s="245">
        <f ca="1">[1]ExtEntry!$J34</f>
        <v>113.34</v>
      </c>
      <c r="AB436" s="265">
        <v>-10196.000000000116</v>
      </c>
      <c r="AC436" s="265">
        <v>-18213.000000000116</v>
      </c>
      <c r="AD436" s="265">
        <v>-34622.000000000233</v>
      </c>
      <c r="AE436" s="265">
        <v>834</v>
      </c>
      <c r="AF436" s="265">
        <v>23103.499999999884</v>
      </c>
      <c r="AG436" s="265">
        <v>-1456</v>
      </c>
      <c r="AH436" s="265">
        <v>-48559</v>
      </c>
      <c r="AI436" s="265">
        <v>-30211.999999999767</v>
      </c>
      <c r="AJ436" s="265">
        <v>-45883</v>
      </c>
      <c r="AK436" s="265">
        <v>-70409.5</v>
      </c>
      <c r="AL436" s="265">
        <v>-17293.999999999884</v>
      </c>
      <c r="AM436" s="265">
        <v>78560</v>
      </c>
      <c r="AN436" s="265">
        <v>36859.999999999534</v>
      </c>
      <c r="AO436" s="265">
        <v>-3122.5</v>
      </c>
      <c r="AP436" s="265">
        <v>89310</v>
      </c>
      <c r="AQ436" s="265">
        <v>14729.999999999534</v>
      </c>
      <c r="AR436" s="265">
        <v>-6930</v>
      </c>
      <c r="AS436" s="265">
        <v>-75479.999999999534</v>
      </c>
      <c r="AT436" s="265">
        <v>150397.5</v>
      </c>
      <c r="AU436" s="265">
        <v>-131580</v>
      </c>
      <c r="AV436" s="261">
        <f t="shared" ca="1" si="35"/>
        <v>-131580</v>
      </c>
      <c r="AX436" s="88" t="str">
        <f t="shared" ca="1" si="36"/>
        <v>NFLX</v>
      </c>
    </row>
    <row r="437" spans="1:50" hidden="1" x14ac:dyDescent="0.3">
      <c r="A437" s="88" t="str">
        <f t="shared" ca="1" si="34"/>
        <v>NOTE</v>
      </c>
      <c r="F437" s="251">
        <v>4.88</v>
      </c>
      <c r="G437" s="251">
        <v>5.0842999999999998</v>
      </c>
      <c r="H437" s="251">
        <v>4.7705000000000002</v>
      </c>
      <c r="I437" s="251">
        <v>4.415</v>
      </c>
      <c r="J437" s="251">
        <v>4.4800000000000004</v>
      </c>
      <c r="K437" s="251">
        <v>4.63</v>
      </c>
      <c r="L437" s="251">
        <v>4.5</v>
      </c>
      <c r="M437" s="251">
        <v>4.5</v>
      </c>
      <c r="N437" s="251">
        <v>4.47</v>
      </c>
      <c r="O437" s="251">
        <v>4.5439999999999996</v>
      </c>
      <c r="P437" s="251">
        <v>4.4798999999999998</v>
      </c>
      <c r="Q437" s="251">
        <v>4.3827999999999996</v>
      </c>
      <c r="R437" s="251">
        <v>4.1500000000000004</v>
      </c>
      <c r="S437" s="251">
        <v>3.9014000000000002</v>
      </c>
      <c r="T437" s="251">
        <v>3.74</v>
      </c>
      <c r="U437" s="251">
        <v>3.4712999999999998</v>
      </c>
      <c r="V437" s="251">
        <v>3.12</v>
      </c>
      <c r="W437" s="251">
        <v>2.63</v>
      </c>
      <c r="X437" s="251">
        <v>2.41</v>
      </c>
      <c r="Y437" s="251">
        <v>2.3199999999999998</v>
      </c>
      <c r="Z437" s="245">
        <f ca="1">[1]ExtEntry!$J35</f>
        <v>2.3199999999999998</v>
      </c>
      <c r="AB437" s="262">
        <v>8533.4399999999878</v>
      </c>
      <c r="AC437" s="262">
        <v>-11360.142000000007</v>
      </c>
      <c r="AD437" s="262">
        <v>2666.6999999999971</v>
      </c>
      <c r="AE437" s="262">
        <v>8000.1000000000058</v>
      </c>
      <c r="AF437" s="262">
        <v>6933.4199999999837</v>
      </c>
      <c r="AG437" s="262">
        <v>-3733.3799999999901</v>
      </c>
      <c r="AH437" s="262">
        <v>-106.66800000000512</v>
      </c>
      <c r="AI437" s="262">
        <v>800.01000000000931</v>
      </c>
      <c r="AJ437" s="262">
        <v>7200.0900000000256</v>
      </c>
      <c r="AK437" s="262">
        <v>-5066.7300000000105</v>
      </c>
      <c r="AL437" s="262">
        <v>-2933.3700000000099</v>
      </c>
      <c r="AM437" s="262">
        <v>2933.3700000000099</v>
      </c>
      <c r="AN437" s="262">
        <v>6666.75</v>
      </c>
      <c r="AO437" s="262">
        <v>-7866.7650000000285</v>
      </c>
      <c r="AP437" s="262">
        <v>-4000.0499999999884</v>
      </c>
      <c r="AQ437" s="262">
        <v>-10522.798200000005</v>
      </c>
      <c r="AR437" s="262">
        <v>14133.50999999998</v>
      </c>
      <c r="AS437" s="262">
        <v>866.66999999999825</v>
      </c>
      <c r="AT437" s="262">
        <v>-1433.2949999999983</v>
      </c>
      <c r="AU437" s="262">
        <v>3933.4199999999983</v>
      </c>
      <c r="AV437" s="261">
        <f t="shared" ca="1" si="35"/>
        <v>3933.4199999999983</v>
      </c>
      <c r="AX437" s="88" t="str">
        <f t="shared" ca="1" si="36"/>
        <v>NOTE</v>
      </c>
    </row>
    <row r="438" spans="1:50" hidden="1" x14ac:dyDescent="0.3">
      <c r="A438" s="88" t="str">
        <f t="shared" ca="1" si="34"/>
        <v>PAAS</v>
      </c>
      <c r="F438" s="251">
        <v>40.64</v>
      </c>
      <c r="G438" s="251">
        <v>41.2</v>
      </c>
      <c r="H438" s="251">
        <v>42.57</v>
      </c>
      <c r="I438" s="251">
        <v>41.439</v>
      </c>
      <c r="J438" s="251">
        <v>39.85</v>
      </c>
      <c r="K438" s="251">
        <v>36.29</v>
      </c>
      <c r="L438" s="251">
        <v>36.034999999999997</v>
      </c>
      <c r="M438" s="251">
        <v>36.034999999999997</v>
      </c>
      <c r="N438" s="251">
        <v>37</v>
      </c>
      <c r="O438" s="251">
        <v>36.613</v>
      </c>
      <c r="P438" s="251">
        <v>35.67</v>
      </c>
      <c r="Q438" s="251">
        <v>35.25</v>
      </c>
      <c r="R438" s="251">
        <v>35.93</v>
      </c>
      <c r="S438" s="251">
        <v>34.069099999999999</v>
      </c>
      <c r="T438" s="251">
        <v>34.020000000000003</v>
      </c>
      <c r="U438" s="251">
        <v>34.64</v>
      </c>
      <c r="V438" s="251">
        <v>34.765000000000001</v>
      </c>
      <c r="W438" s="251">
        <v>38.795499999999997</v>
      </c>
      <c r="X438" s="251">
        <v>38.25</v>
      </c>
      <c r="Y438" s="251">
        <v>39.935000000000002</v>
      </c>
      <c r="Z438" s="245">
        <f ca="1">[1]ExtEntry!$J36</f>
        <v>39.935000000000002</v>
      </c>
      <c r="AB438" s="265">
        <v>924.99999999998545</v>
      </c>
      <c r="AC438" s="265">
        <v>3700</v>
      </c>
      <c r="AD438" s="265">
        <v>6037.5</v>
      </c>
      <c r="AE438" s="265">
        <v>-1287.5</v>
      </c>
      <c r="AF438" s="265">
        <v>-1900</v>
      </c>
      <c r="AG438" s="265">
        <v>-1735</v>
      </c>
      <c r="AH438" s="265">
        <v>4510</v>
      </c>
      <c r="AI438" s="265">
        <v>4985</v>
      </c>
      <c r="AJ438" s="265">
        <v>3315</v>
      </c>
      <c r="AK438" s="265">
        <v>2989.9999999999854</v>
      </c>
      <c r="AL438" s="265">
        <v>900</v>
      </c>
      <c r="AM438" s="265">
        <v>-940</v>
      </c>
      <c r="AN438" s="265">
        <v>-4420</v>
      </c>
      <c r="AO438" s="265">
        <v>1280.7999999999884</v>
      </c>
      <c r="AP438" s="265">
        <v>-3800</v>
      </c>
      <c r="AQ438" s="265">
        <v>240</v>
      </c>
      <c r="AR438" s="265">
        <v>-2600.3999999999942</v>
      </c>
      <c r="AS438" s="265">
        <v>1760</v>
      </c>
      <c r="AT438" s="265">
        <v>2549.2000000000116</v>
      </c>
      <c r="AU438" s="265">
        <v>220</v>
      </c>
      <c r="AV438" s="261">
        <f t="shared" ca="1" si="35"/>
        <v>220</v>
      </c>
      <c r="AX438" s="88" t="str">
        <f t="shared" ca="1" si="36"/>
        <v>PAAS</v>
      </c>
    </row>
    <row r="439" spans="1:50" hidden="1" x14ac:dyDescent="0.3">
      <c r="A439" s="88" t="str">
        <f t="shared" ca="1" si="34"/>
        <v>PROF</v>
      </c>
      <c r="F439" s="251">
        <v>6.01</v>
      </c>
      <c r="G439" s="251">
        <v>5.89</v>
      </c>
      <c r="H439" s="251">
        <v>5.9</v>
      </c>
      <c r="I439" s="251">
        <v>5.66</v>
      </c>
      <c r="J439" s="251">
        <v>5.9184000000000001</v>
      </c>
      <c r="K439" s="251">
        <v>5.88</v>
      </c>
      <c r="L439" s="251">
        <v>5.77</v>
      </c>
      <c r="M439" s="251">
        <v>5.77</v>
      </c>
      <c r="N439" s="251">
        <v>5.6</v>
      </c>
      <c r="O439" s="251">
        <v>5.58</v>
      </c>
      <c r="P439" s="251">
        <v>5.55</v>
      </c>
      <c r="Q439" s="251">
        <v>6.2298999999999998</v>
      </c>
      <c r="R439" s="251">
        <v>6.21</v>
      </c>
      <c r="S439" s="251">
        <v>6.0250000000000004</v>
      </c>
      <c r="T439" s="251">
        <v>5.95</v>
      </c>
      <c r="U439" s="251">
        <v>5.95</v>
      </c>
      <c r="V439" s="251">
        <v>5.95</v>
      </c>
      <c r="W439" s="251">
        <v>6.9898999999999996</v>
      </c>
      <c r="X439" s="251">
        <v>6.4859999999999998</v>
      </c>
      <c r="Y439" s="251">
        <v>6.25</v>
      </c>
      <c r="Z439" s="245">
        <f ca="1">[1]ExtEntry!$J37</f>
        <v>6.25</v>
      </c>
      <c r="AB439" s="262">
        <v>-3960</v>
      </c>
      <c r="AC439" s="262">
        <v>-3200</v>
      </c>
      <c r="AD439" s="262">
        <v>240</v>
      </c>
      <c r="AE439" s="262">
        <v>1040</v>
      </c>
      <c r="AF439" s="262">
        <v>300</v>
      </c>
      <c r="AG439" s="262">
        <v>840</v>
      </c>
      <c r="AH439" s="262">
        <v>40</v>
      </c>
      <c r="AI439" s="262">
        <v>-280</v>
      </c>
      <c r="AJ439" s="262">
        <v>-1136</v>
      </c>
      <c r="AK439" s="262">
        <v>-240</v>
      </c>
      <c r="AL439" s="262">
        <v>0</v>
      </c>
      <c r="AM439" s="262">
        <v>3960</v>
      </c>
      <c r="AN439" s="262">
        <v>1520</v>
      </c>
      <c r="AO439" s="262">
        <v>956</v>
      </c>
      <c r="AP439" s="262">
        <v>-360</v>
      </c>
      <c r="AQ439" s="262">
        <v>-120</v>
      </c>
      <c r="AR439" s="262">
        <v>-2380</v>
      </c>
      <c r="AS439" s="262">
        <v>3040</v>
      </c>
      <c r="AT439" s="262">
        <v>-700</v>
      </c>
      <c r="AU439" s="262">
        <v>-1160</v>
      </c>
      <c r="AV439" s="261">
        <f t="shared" ca="1" si="35"/>
        <v>-1160</v>
      </c>
      <c r="AX439" s="88" t="str">
        <f t="shared" ca="1" si="36"/>
        <v>PROF</v>
      </c>
    </row>
    <row r="440" spans="1:50" hidden="1" x14ac:dyDescent="0.3">
      <c r="A440" s="88" t="str">
        <f t="shared" ca="1" si="34"/>
        <v>POET</v>
      </c>
      <c r="F440" s="251">
        <v>9.4</v>
      </c>
      <c r="G440" s="251">
        <v>9.41</v>
      </c>
      <c r="H440" s="251">
        <v>8.84</v>
      </c>
      <c r="I440" s="251">
        <v>7.56</v>
      </c>
      <c r="J440" s="251">
        <v>7.8949999999999996</v>
      </c>
      <c r="K440" s="251">
        <v>8.17</v>
      </c>
      <c r="L440" s="251">
        <v>8.65</v>
      </c>
      <c r="M440" s="251">
        <v>8.65</v>
      </c>
      <c r="N440" s="251">
        <v>7.9398999999999997</v>
      </c>
      <c r="O440" s="251">
        <v>8.59</v>
      </c>
      <c r="P440" s="251">
        <v>8.2200000000000006</v>
      </c>
      <c r="Q440" s="251">
        <v>7.58</v>
      </c>
      <c r="R440" s="251">
        <v>6.65</v>
      </c>
      <c r="S440" s="251">
        <v>6.45</v>
      </c>
      <c r="T440" s="251">
        <v>6.1</v>
      </c>
      <c r="U440" s="251">
        <v>6.141</v>
      </c>
      <c r="V440" s="251">
        <v>5.44</v>
      </c>
      <c r="W440" s="251">
        <v>4.84</v>
      </c>
      <c r="X440" s="251">
        <v>4.375</v>
      </c>
      <c r="Y440" s="251">
        <v>4.3890000000000002</v>
      </c>
      <c r="Z440" s="245">
        <f ca="1">[1]ExtEntry!$J38</f>
        <v>4.3890000000000002</v>
      </c>
      <c r="AB440" s="265">
        <v>-7374.9999999999418</v>
      </c>
      <c r="AC440" s="265">
        <v>-74700</v>
      </c>
      <c r="AD440" s="265">
        <v>-25424.999999999942</v>
      </c>
      <c r="AE440" s="265">
        <v>2475.0000000000582</v>
      </c>
      <c r="AF440" s="265">
        <v>-5400</v>
      </c>
      <c r="AG440" s="265">
        <v>-67275.000000000058</v>
      </c>
      <c r="AH440" s="265">
        <v>26775</v>
      </c>
      <c r="AI440" s="265">
        <v>28350</v>
      </c>
      <c r="AJ440" s="265">
        <v>18675</v>
      </c>
      <c r="AK440" s="265">
        <v>11475</v>
      </c>
      <c r="AL440" s="265">
        <v>-15975.000000000058</v>
      </c>
      <c r="AM440" s="265">
        <v>-4950</v>
      </c>
      <c r="AN440" s="265">
        <v>9225</v>
      </c>
      <c r="AO440" s="265">
        <v>-13050</v>
      </c>
      <c r="AP440" s="265">
        <v>-31050</v>
      </c>
      <c r="AQ440" s="265">
        <v>675.00000000005821</v>
      </c>
      <c r="AR440" s="265">
        <v>33295.500000000029</v>
      </c>
      <c r="AS440" s="265">
        <v>16925.000000000029</v>
      </c>
      <c r="AT440" s="265">
        <v>21070</v>
      </c>
      <c r="AU440" s="265">
        <v>-3441</v>
      </c>
      <c r="AV440" s="261">
        <f t="shared" ca="1" si="35"/>
        <v>-3441</v>
      </c>
      <c r="AX440" s="88" t="str">
        <f t="shared" ca="1" si="36"/>
        <v>POET</v>
      </c>
    </row>
    <row r="441" spans="1:50" hidden="1" x14ac:dyDescent="0.3">
      <c r="A441" s="88" t="str">
        <f t="shared" ca="1" si="34"/>
        <v>PW</v>
      </c>
      <c r="F441" s="251">
        <v>0.91</v>
      </c>
      <c r="G441" s="251">
        <v>0.91890000000000005</v>
      </c>
      <c r="H441" s="251">
        <v>0.93989999999999996</v>
      </c>
      <c r="I441" s="251">
        <v>0.9</v>
      </c>
      <c r="J441" s="251">
        <v>0.84</v>
      </c>
      <c r="K441" s="251">
        <v>0.78</v>
      </c>
      <c r="L441" s="251">
        <v>0.75490000000000002</v>
      </c>
      <c r="M441" s="251">
        <v>0.75490000000000002</v>
      </c>
      <c r="N441" s="251">
        <v>0.71</v>
      </c>
      <c r="O441" s="251">
        <v>0.91300000000000003</v>
      </c>
      <c r="P441" s="251">
        <v>0.8296</v>
      </c>
      <c r="Q441" s="251">
        <v>0.80989999999999995</v>
      </c>
      <c r="R441" s="251">
        <v>0.79</v>
      </c>
      <c r="S441" s="251">
        <v>0.77</v>
      </c>
      <c r="T441" s="251">
        <v>0.77990000000000004</v>
      </c>
      <c r="U441" s="251">
        <v>0.78010000000000002</v>
      </c>
      <c r="V441" s="251">
        <v>0.69</v>
      </c>
      <c r="W441" s="251">
        <v>0.72709999999999997</v>
      </c>
      <c r="X441" s="251">
        <v>0.71450000000000002</v>
      </c>
      <c r="Y441" s="251">
        <v>0.66679999999999995</v>
      </c>
      <c r="Z441" s="245">
        <f ca="1">[1]ExtEntry!$J39</f>
        <v>0.66679999999999995</v>
      </c>
      <c r="AB441" s="262">
        <v>197</v>
      </c>
      <c r="AC441" s="262">
        <v>526</v>
      </c>
      <c r="AD441" s="262">
        <v>-1</v>
      </c>
      <c r="AE441" s="262">
        <v>-397</v>
      </c>
      <c r="AF441" s="262">
        <v>-634</v>
      </c>
      <c r="AG441" s="262">
        <v>-256</v>
      </c>
      <c r="AH441" s="262">
        <v>-105</v>
      </c>
      <c r="AI441" s="262">
        <v>295</v>
      </c>
      <c r="AJ441" s="262">
        <v>746.00000000000182</v>
      </c>
      <c r="AK441" s="262">
        <v>1023.9999999999991</v>
      </c>
      <c r="AL441" s="262">
        <v>764</v>
      </c>
      <c r="AM441" s="262">
        <v>-418</v>
      </c>
      <c r="AN441" s="262">
        <v>-800</v>
      </c>
      <c r="AO441" s="262">
        <v>-5.000000000001819</v>
      </c>
      <c r="AP441" s="262">
        <v>12.000000000000909</v>
      </c>
      <c r="AQ441" s="262">
        <v>-808</v>
      </c>
      <c r="AR441" s="262">
        <v>616.00000000000091</v>
      </c>
      <c r="AS441" s="262">
        <v>1979</v>
      </c>
      <c r="AT441" s="262">
        <v>-413</v>
      </c>
      <c r="AU441" s="262">
        <v>-685.99999999999909</v>
      </c>
      <c r="AV441" s="261">
        <f t="shared" ca="1" si="35"/>
        <v>-685.99999999999909</v>
      </c>
      <c r="AX441" s="88" t="str">
        <f t="shared" ca="1" si="36"/>
        <v>PW</v>
      </c>
    </row>
    <row r="442" spans="1:50" hidden="1" x14ac:dyDescent="0.3">
      <c r="A442" s="88" t="str">
        <f t="shared" ca="1" si="34"/>
        <v>RIGL</v>
      </c>
      <c r="F442" s="251">
        <v>27.49</v>
      </c>
      <c r="G442" s="251">
        <v>28.21</v>
      </c>
      <c r="H442" s="251">
        <v>28.45</v>
      </c>
      <c r="I442" s="251">
        <v>28.99</v>
      </c>
      <c r="J442" s="251">
        <v>30</v>
      </c>
      <c r="K442" s="251">
        <v>30.37</v>
      </c>
      <c r="L442" s="251">
        <v>31.59</v>
      </c>
      <c r="M442" s="251">
        <v>31.59</v>
      </c>
      <c r="N442" s="251">
        <v>31.92</v>
      </c>
      <c r="O442" s="251">
        <v>30.57</v>
      </c>
      <c r="P442" s="251">
        <v>31</v>
      </c>
      <c r="Q442" s="251">
        <v>30.08</v>
      </c>
      <c r="R442" s="251">
        <v>31.68</v>
      </c>
      <c r="S442" s="251">
        <v>30.795000000000002</v>
      </c>
      <c r="T442" s="251">
        <v>39.56</v>
      </c>
      <c r="U442" s="251">
        <v>38.83</v>
      </c>
      <c r="V442" s="251">
        <v>35.9099</v>
      </c>
      <c r="W442" s="251">
        <v>42.47</v>
      </c>
      <c r="X442" s="251">
        <v>46.31</v>
      </c>
      <c r="Y442" s="251">
        <v>47.264899999999997</v>
      </c>
      <c r="Z442" s="245">
        <f ca="1">[1]ExtEntry!$J40</f>
        <v>47.264899999999997</v>
      </c>
      <c r="AB442" s="265">
        <v>1360</v>
      </c>
      <c r="AC442" s="265">
        <v>8480</v>
      </c>
      <c r="AD442" s="265">
        <v>-760</v>
      </c>
      <c r="AE442" s="265">
        <v>280</v>
      </c>
      <c r="AF442" s="265">
        <v>10320</v>
      </c>
      <c r="AG442" s="265">
        <v>-2020</v>
      </c>
      <c r="AH442" s="265">
        <v>-1640</v>
      </c>
      <c r="AI442" s="265">
        <v>2240</v>
      </c>
      <c r="AJ442" s="265">
        <v>-2280</v>
      </c>
      <c r="AK442" s="265">
        <v>-4120</v>
      </c>
      <c r="AL442" s="265">
        <v>-2640</v>
      </c>
      <c r="AM442" s="265">
        <v>-160</v>
      </c>
      <c r="AN442" s="265">
        <v>3640</v>
      </c>
      <c r="AO442" s="265">
        <v>-2680</v>
      </c>
      <c r="AP442" s="265">
        <v>2460</v>
      </c>
      <c r="AQ442" s="265">
        <v>-545</v>
      </c>
      <c r="AR442" s="265">
        <v>-780</v>
      </c>
      <c r="AS442" s="265">
        <v>-2110</v>
      </c>
      <c r="AT442" s="265">
        <v>9490</v>
      </c>
      <c r="AU442" s="265">
        <v>-6880</v>
      </c>
      <c r="AV442" s="261">
        <f t="shared" ca="1" si="35"/>
        <v>-6880</v>
      </c>
      <c r="AX442" s="88" t="str">
        <f t="shared" ca="1" si="36"/>
        <v>RIGL</v>
      </c>
    </row>
    <row r="443" spans="1:50" hidden="1" x14ac:dyDescent="0.3">
      <c r="A443" s="88" t="str">
        <f t="shared" ca="1" si="34"/>
        <v>RWE</v>
      </c>
      <c r="F443" s="251">
        <v>40.94</v>
      </c>
      <c r="G443" s="251">
        <v>41.01</v>
      </c>
      <c r="H443" s="251">
        <v>41.5</v>
      </c>
      <c r="I443" s="251">
        <v>41.26</v>
      </c>
      <c r="J443" s="251">
        <v>41.16</v>
      </c>
      <c r="K443" s="251">
        <v>41</v>
      </c>
      <c r="L443" s="251">
        <v>41.27</v>
      </c>
      <c r="M443" s="251">
        <v>41.27</v>
      </c>
      <c r="N443" s="251">
        <v>40.119999999999997</v>
      </c>
      <c r="O443" s="251">
        <v>40.69</v>
      </c>
      <c r="P443" s="251">
        <v>40.81</v>
      </c>
      <c r="Q443" s="251">
        <v>41.09</v>
      </c>
      <c r="R443" s="251">
        <v>42.99</v>
      </c>
      <c r="S443" s="251">
        <v>42.66</v>
      </c>
      <c r="T443" s="251">
        <v>42.61</v>
      </c>
      <c r="U443" s="251">
        <v>43.77</v>
      </c>
      <c r="V443" s="251">
        <v>43.33</v>
      </c>
      <c r="W443" s="251">
        <v>45.5</v>
      </c>
      <c r="X443" s="251">
        <v>44.96</v>
      </c>
      <c r="Y443" s="251">
        <v>44.96</v>
      </c>
      <c r="Z443" s="245">
        <f ca="1">[1]ExtEntry!$J41</f>
        <v>44.96</v>
      </c>
      <c r="AB443" s="262">
        <v>-4.0000000000002274</v>
      </c>
      <c r="AC443" s="262">
        <v>-16.5</v>
      </c>
      <c r="AD443" s="262">
        <v>35.999999999999773</v>
      </c>
      <c r="AE443" s="262">
        <v>-9</v>
      </c>
      <c r="AF443" s="262">
        <v>-24</v>
      </c>
      <c r="AG443" s="262">
        <v>-13.999999999999545</v>
      </c>
      <c r="AH443" s="262">
        <v>-19</v>
      </c>
      <c r="AI443" s="262">
        <v>-44.5</v>
      </c>
      <c r="AJ443" s="262">
        <v>15</v>
      </c>
      <c r="AK443" s="262">
        <v>3.9999999999995453</v>
      </c>
      <c r="AL443" s="262">
        <v>17.999999999999773</v>
      </c>
      <c r="AM443" s="262">
        <v>51</v>
      </c>
      <c r="AN443" s="262">
        <v>55</v>
      </c>
      <c r="AO443" s="262">
        <v>-17</v>
      </c>
      <c r="AP443" s="262">
        <v>9.5000000000004547</v>
      </c>
      <c r="AQ443" s="262">
        <v>33</v>
      </c>
      <c r="AR443" s="262">
        <v>-43</v>
      </c>
      <c r="AS443" s="262">
        <v>-43</v>
      </c>
      <c r="AT443" s="262">
        <v>-28</v>
      </c>
      <c r="AU443" s="262">
        <v>-78</v>
      </c>
      <c r="AV443" s="261">
        <f t="shared" ca="1" si="35"/>
        <v>-78</v>
      </c>
      <c r="AX443" s="88" t="str">
        <f t="shared" ca="1" si="36"/>
        <v>RWE</v>
      </c>
    </row>
    <row r="444" spans="1:50" hidden="1" x14ac:dyDescent="0.3">
      <c r="A444" s="88" t="str">
        <f t="shared" ca="1" si="34"/>
        <v>SAP</v>
      </c>
      <c r="F444" s="251">
        <v>232.7</v>
      </c>
      <c r="G444" s="251">
        <v>234.65</v>
      </c>
      <c r="H444" s="251">
        <v>237.1</v>
      </c>
      <c r="I444" s="251">
        <v>232</v>
      </c>
      <c r="J444" s="251">
        <v>239.6</v>
      </c>
      <c r="K444" s="251">
        <v>241.25</v>
      </c>
      <c r="L444" s="251">
        <v>241.25</v>
      </c>
      <c r="M444" s="251">
        <v>241.25</v>
      </c>
      <c r="N444" s="251">
        <v>244.3</v>
      </c>
      <c r="O444" s="251">
        <v>241.3</v>
      </c>
      <c r="P444" s="251">
        <v>235.8</v>
      </c>
      <c r="Q444" s="251">
        <v>235.05</v>
      </c>
      <c r="R444" s="251">
        <v>227.6</v>
      </c>
      <c r="S444" s="251">
        <v>226.7</v>
      </c>
      <c r="T444" s="251">
        <v>229.95</v>
      </c>
      <c r="U444" s="251">
        <v>226.85</v>
      </c>
      <c r="V444" s="251">
        <v>220</v>
      </c>
      <c r="W444" s="251">
        <v>214.2</v>
      </c>
      <c r="X444" s="251">
        <v>206.1</v>
      </c>
      <c r="Y444" s="251">
        <v>207.55</v>
      </c>
      <c r="Z444" s="245">
        <f ca="1">[1]ExtEntry!$J42</f>
        <v>207.55</v>
      </c>
      <c r="AB444" s="265">
        <v>2450</v>
      </c>
      <c r="AC444" s="265">
        <v>2120</v>
      </c>
      <c r="AD444" s="265">
        <v>12400</v>
      </c>
      <c r="AE444" s="265">
        <v>9500</v>
      </c>
      <c r="AF444" s="265">
        <v>19760</v>
      </c>
      <c r="AG444" s="265">
        <v>1900</v>
      </c>
      <c r="AH444" s="265">
        <v>-25460</v>
      </c>
      <c r="AI444" s="265">
        <v>-23940</v>
      </c>
      <c r="AJ444" s="265">
        <v>3420</v>
      </c>
      <c r="AK444" s="265">
        <v>-48260</v>
      </c>
      <c r="AL444" s="265">
        <v>-2660</v>
      </c>
      <c r="AM444" s="265">
        <v>17100</v>
      </c>
      <c r="AN444" s="265">
        <v>22230</v>
      </c>
      <c r="AO444" s="265">
        <v>-9690</v>
      </c>
      <c r="AP444" s="265">
        <v>41420</v>
      </c>
      <c r="AQ444" s="265">
        <v>-34960</v>
      </c>
      <c r="AR444" s="265">
        <v>-15960</v>
      </c>
      <c r="AS444" s="265">
        <v>-15960</v>
      </c>
      <c r="AT444" s="265">
        <v>380</v>
      </c>
      <c r="AU444" s="265">
        <v>-10260</v>
      </c>
      <c r="AV444" s="261">
        <f t="shared" ca="1" si="35"/>
        <v>-10260</v>
      </c>
      <c r="AX444" s="88" t="str">
        <f t="shared" ca="1" si="36"/>
        <v>SAP</v>
      </c>
    </row>
    <row r="445" spans="1:50" hidden="1" x14ac:dyDescent="0.3">
      <c r="A445" s="88" t="str">
        <f t="shared" ca="1" si="34"/>
        <v>SHECY</v>
      </c>
      <c r="F445" s="251">
        <v>16.884</v>
      </c>
      <c r="G445" s="251">
        <v>16.64</v>
      </c>
      <c r="H445" s="251">
        <v>16.54</v>
      </c>
      <c r="I445" s="251">
        <v>16.809999999999999</v>
      </c>
      <c r="J445" s="251">
        <v>16.37</v>
      </c>
      <c r="K445" s="251">
        <v>16.28</v>
      </c>
      <c r="L445" s="251">
        <v>16.690000000000001</v>
      </c>
      <c r="M445" s="251">
        <v>16.690000000000001</v>
      </c>
      <c r="N445" s="251">
        <v>16.690000000000001</v>
      </c>
      <c r="O445" s="251">
        <v>15.82</v>
      </c>
      <c r="P445" s="251">
        <v>16.059999999999999</v>
      </c>
      <c r="Q445" s="251">
        <v>15.97</v>
      </c>
      <c r="R445" s="251">
        <v>15.3</v>
      </c>
      <c r="S445" s="251">
        <v>15.06</v>
      </c>
      <c r="T445" s="251">
        <v>14.97</v>
      </c>
      <c r="U445" s="251">
        <v>14.89</v>
      </c>
      <c r="V445" s="251">
        <v>14.86</v>
      </c>
      <c r="W445" s="251">
        <v>15.04</v>
      </c>
      <c r="X445" s="251">
        <v>14.4</v>
      </c>
      <c r="Y445" s="251">
        <v>14.73</v>
      </c>
      <c r="Z445" s="245">
        <f ca="1">[1]ExtEntry!$J43</f>
        <v>14.73</v>
      </c>
      <c r="AB445" s="262">
        <v>12328.000000000058</v>
      </c>
      <c r="AC445" s="262">
        <v>13546.37340000004</v>
      </c>
      <c r="AD445" s="262">
        <v>-7813.6800000001094</v>
      </c>
      <c r="AE445" s="262">
        <v>3593.9999999999418</v>
      </c>
      <c r="AF445" s="262">
        <v>6309.7600000000093</v>
      </c>
      <c r="AG445" s="262">
        <v>8787.7600000000093</v>
      </c>
      <c r="AH445" s="262">
        <v>-9688.8534000000218</v>
      </c>
      <c r="AI445" s="262">
        <v>6151.2000000000116</v>
      </c>
      <c r="AJ445" s="262">
        <v>-23262.720000000088</v>
      </c>
      <c r="AK445" s="262">
        <v>-14539.200000000012</v>
      </c>
      <c r="AL445" s="262">
        <v>-16999.679999999993</v>
      </c>
      <c r="AM445" s="262">
        <v>-18227.68319999997</v>
      </c>
      <c r="AN445" s="262">
        <v>8072.4800000000396</v>
      </c>
      <c r="AO445" s="262">
        <v>22076.220000000088</v>
      </c>
      <c r="AP445" s="262">
        <v>17539.440000000002</v>
      </c>
      <c r="AQ445" s="262">
        <v>5683.9199999999837</v>
      </c>
      <c r="AR445" s="262">
        <v>21175.16320000001</v>
      </c>
      <c r="AS445" s="262">
        <v>-12750</v>
      </c>
      <c r="AT445" s="262">
        <v>-3597.5</v>
      </c>
      <c r="AU445" s="262">
        <v>-28637.5</v>
      </c>
      <c r="AV445" s="261">
        <f t="shared" ca="1" si="35"/>
        <v>-28637.5</v>
      </c>
      <c r="AX445" s="88" t="str">
        <f t="shared" ca="1" si="36"/>
        <v>SHECY</v>
      </c>
    </row>
    <row r="446" spans="1:50" hidden="1" x14ac:dyDescent="0.3">
      <c r="A446" s="88" t="str">
        <f t="shared" ca="1" si="34"/>
        <v>SSYS</v>
      </c>
      <c r="F446" s="251">
        <v>11</v>
      </c>
      <c r="G446" s="251">
        <v>11.48</v>
      </c>
      <c r="H446" s="251">
        <v>12.2674</v>
      </c>
      <c r="I446" s="251">
        <v>11.58</v>
      </c>
      <c r="J446" s="251">
        <v>12.49</v>
      </c>
      <c r="K446" s="251">
        <v>12.81</v>
      </c>
      <c r="L446" s="251">
        <v>12.38</v>
      </c>
      <c r="M446" s="251">
        <v>12.38</v>
      </c>
      <c r="N446" s="251">
        <v>12.05</v>
      </c>
      <c r="O446" s="251">
        <v>12.2837</v>
      </c>
      <c r="P446" s="251">
        <v>12.08</v>
      </c>
      <c r="Q446" s="251">
        <v>12.01</v>
      </c>
      <c r="R446" s="251">
        <v>11.04</v>
      </c>
      <c r="S446" s="251">
        <v>10.365</v>
      </c>
      <c r="T446" s="251">
        <v>9.9859000000000009</v>
      </c>
      <c r="U446" s="251">
        <v>9.84</v>
      </c>
      <c r="V446" s="251">
        <v>9.48</v>
      </c>
      <c r="W446" s="251">
        <v>9.3000000000000007</v>
      </c>
      <c r="X446" s="251">
        <v>8.61</v>
      </c>
      <c r="Y446" s="251">
        <v>8.69</v>
      </c>
      <c r="Z446" s="245">
        <f ca="1">[1]ExtEntry!$J44</f>
        <v>8.69</v>
      </c>
      <c r="AB446" s="265">
        <v>9120</v>
      </c>
      <c r="AC446" s="265">
        <v>7024</v>
      </c>
      <c r="AD446" s="265">
        <v>-5920</v>
      </c>
      <c r="AE446" s="265">
        <v>-4640</v>
      </c>
      <c r="AF446" s="265">
        <v>17040</v>
      </c>
      <c r="AG446" s="265">
        <v>-6960</v>
      </c>
      <c r="AH446" s="265">
        <v>-20784</v>
      </c>
      <c r="AI446" s="265">
        <v>-7360</v>
      </c>
      <c r="AJ446" s="265">
        <v>13600</v>
      </c>
      <c r="AK446" s="265">
        <v>-19504</v>
      </c>
      <c r="AL446" s="265">
        <v>2800</v>
      </c>
      <c r="AM446" s="265">
        <v>10080</v>
      </c>
      <c r="AN446" s="265">
        <v>11040</v>
      </c>
      <c r="AO446" s="265">
        <v>-13600</v>
      </c>
      <c r="AP446" s="265">
        <v>-1536</v>
      </c>
      <c r="AQ446" s="265">
        <v>-4000</v>
      </c>
      <c r="AR446" s="265">
        <v>7680</v>
      </c>
      <c r="AS446" s="265">
        <v>4160</v>
      </c>
      <c r="AT446" s="265">
        <v>6720</v>
      </c>
      <c r="AU446" s="265">
        <v>-320</v>
      </c>
      <c r="AV446" s="261">
        <f t="shared" ca="1" si="35"/>
        <v>-320</v>
      </c>
      <c r="AX446" s="88" t="str">
        <f t="shared" ca="1" si="36"/>
        <v>SSYS</v>
      </c>
    </row>
    <row r="447" spans="1:50" hidden="1" x14ac:dyDescent="0.3">
      <c r="A447" s="88" t="str">
        <f t="shared" ca="1" si="34"/>
        <v>TSLA</v>
      </c>
      <c r="F447" s="251">
        <v>434.2</v>
      </c>
      <c r="G447" s="251">
        <v>440.51</v>
      </c>
      <c r="H447" s="251">
        <v>439.35</v>
      </c>
      <c r="I447" s="251">
        <v>441.45580000000001</v>
      </c>
      <c r="J447" s="251">
        <v>449.8</v>
      </c>
      <c r="K447" s="251">
        <v>449.3</v>
      </c>
      <c r="L447" s="251">
        <v>445.53899999999999</v>
      </c>
      <c r="M447" s="251">
        <v>445.53899999999999</v>
      </c>
      <c r="N447" s="251">
        <v>449.3999</v>
      </c>
      <c r="O447" s="251">
        <v>451.68</v>
      </c>
      <c r="P447" s="251">
        <v>460.16</v>
      </c>
      <c r="Q447" s="251">
        <v>467</v>
      </c>
      <c r="R447" s="251">
        <v>455.0607</v>
      </c>
      <c r="S447" s="251">
        <v>460.22</v>
      </c>
      <c r="T447" s="251">
        <v>466.32990000000001</v>
      </c>
      <c r="U447" s="251">
        <v>467.45</v>
      </c>
      <c r="V447" s="251">
        <v>437.9425</v>
      </c>
      <c r="W447" s="251">
        <v>412.19</v>
      </c>
      <c r="X447" s="251">
        <v>408.9</v>
      </c>
      <c r="Y447" s="251">
        <v>411.78</v>
      </c>
      <c r="Z447" s="245">
        <f ca="1">[1]ExtEntry!$J45</f>
        <v>411.78</v>
      </c>
      <c r="AB447" s="262">
        <v>149.89000000000021</v>
      </c>
      <c r="AC447" s="262">
        <v>-12.579899999999839</v>
      </c>
      <c r="AD447" s="262">
        <v>-43.2800000000002</v>
      </c>
      <c r="AE447" s="262">
        <v>-23.49000000000018</v>
      </c>
      <c r="AF447" s="262">
        <v>-124.73500000000018</v>
      </c>
      <c r="AG447" s="262">
        <v>-5.7450000000000045</v>
      </c>
      <c r="AH447" s="262">
        <v>-3.1000999999999408</v>
      </c>
      <c r="AI447" s="262">
        <v>1.5000000000000568</v>
      </c>
      <c r="AJ447" s="262">
        <v>15.170000000000016</v>
      </c>
      <c r="AK447" s="262">
        <v>-16.674999999999955</v>
      </c>
      <c r="AL447" s="262">
        <v>15.59499999999997</v>
      </c>
      <c r="AM447" s="262">
        <v>10.254999999999995</v>
      </c>
      <c r="AN447" s="262">
        <v>-6.4700000000000273</v>
      </c>
      <c r="AO447" s="262">
        <v>-36.639999999999986</v>
      </c>
      <c r="AP447" s="262">
        <v>23.317999999999927</v>
      </c>
      <c r="AQ447" s="262">
        <v>-29.400100000000009</v>
      </c>
      <c r="AR447" s="262">
        <v>-13.345000000000084</v>
      </c>
      <c r="AS447" s="262">
        <v>29</v>
      </c>
      <c r="AT447" s="262">
        <v>3.5299999999999727</v>
      </c>
      <c r="AU447" s="262">
        <v>-14.097999999999956</v>
      </c>
      <c r="AV447" s="261">
        <f t="shared" ca="1" si="35"/>
        <v>-14.097999999999956</v>
      </c>
      <c r="AX447" s="88" t="str">
        <f t="shared" ca="1" si="36"/>
        <v>TSLA</v>
      </c>
    </row>
    <row r="448" spans="1:50" hidden="1" x14ac:dyDescent="0.3">
      <c r="A448" s="88" t="str">
        <f t="shared" ca="1" si="34"/>
        <v>TSM</v>
      </c>
      <c r="F448" s="251">
        <v>301.75</v>
      </c>
      <c r="G448" s="251">
        <v>306.36900000000003</v>
      </c>
      <c r="H448" s="251">
        <v>311.36849999999998</v>
      </c>
      <c r="I448" s="251">
        <v>303.3</v>
      </c>
      <c r="J448" s="251">
        <v>303.64999999999998</v>
      </c>
      <c r="K448" s="251">
        <v>299.37</v>
      </c>
      <c r="L448" s="251">
        <v>295.2</v>
      </c>
      <c r="M448" s="251">
        <v>295.2</v>
      </c>
      <c r="N448" s="251">
        <v>294.08999999999997</v>
      </c>
      <c r="O448" s="251">
        <v>297.94990000000001</v>
      </c>
      <c r="P448" s="251">
        <v>300.48</v>
      </c>
      <c r="Q448" s="251">
        <v>302.13</v>
      </c>
      <c r="R448" s="251">
        <v>307.31</v>
      </c>
      <c r="S448" s="251">
        <v>301.99</v>
      </c>
      <c r="T448" s="251">
        <v>298.21850000000001</v>
      </c>
      <c r="U448" s="251">
        <v>294.64</v>
      </c>
      <c r="V448" s="251">
        <v>287.88499999999999</v>
      </c>
      <c r="W448" s="251">
        <v>286.86</v>
      </c>
      <c r="X448" s="251">
        <v>280.19</v>
      </c>
      <c r="Y448" s="251">
        <v>284.5489</v>
      </c>
      <c r="Z448" s="245">
        <f ca="1">[1]ExtEntry!$J46</f>
        <v>284.5489</v>
      </c>
      <c r="AB448" s="265">
        <v>57892.5</v>
      </c>
      <c r="AC448" s="265">
        <v>-47812.5</v>
      </c>
      <c r="AD448" s="265">
        <v>-38227.499999999767</v>
      </c>
      <c r="AE448" s="265">
        <v>-2347.5</v>
      </c>
      <c r="AF448" s="265">
        <v>-32404</v>
      </c>
      <c r="AG448" s="265">
        <v>-19472.5</v>
      </c>
      <c r="AH448" s="265">
        <v>-14662.5</v>
      </c>
      <c r="AI448" s="265">
        <v>29639.999999999767</v>
      </c>
      <c r="AJ448" s="265">
        <v>17772</v>
      </c>
      <c r="AK448" s="265">
        <v>6088</v>
      </c>
      <c r="AL448" s="265">
        <v>15952</v>
      </c>
      <c r="AM448" s="265">
        <v>35064</v>
      </c>
      <c r="AN448" s="265">
        <v>20736</v>
      </c>
      <c r="AO448" s="265">
        <v>-15096</v>
      </c>
      <c r="AP448" s="265">
        <v>9120</v>
      </c>
      <c r="AQ448" s="265">
        <v>-19047</v>
      </c>
      <c r="AR448" s="265">
        <v>-12031.5</v>
      </c>
      <c r="AS448" s="265">
        <v>39264</v>
      </c>
      <c r="AT448" s="265">
        <v>12654</v>
      </c>
      <c r="AU448" s="265">
        <v>4326</v>
      </c>
      <c r="AV448" s="261">
        <f t="shared" ca="1" si="35"/>
        <v>4326</v>
      </c>
      <c r="AX448" s="88" t="str">
        <f t="shared" ca="1" si="36"/>
        <v>TSM</v>
      </c>
    </row>
    <row r="449" spans="1:50" hidden="1" x14ac:dyDescent="0.3">
      <c r="A449" s="88" t="str">
        <f t="shared" ca="1" si="34"/>
        <v>UN0</v>
      </c>
      <c r="F449" s="251">
        <v>32</v>
      </c>
      <c r="G449" s="251">
        <v>31.85</v>
      </c>
      <c r="H449" s="251">
        <v>31.75</v>
      </c>
      <c r="I449" s="251">
        <v>31.85</v>
      </c>
      <c r="J449" s="251">
        <v>33</v>
      </c>
      <c r="K449" s="251">
        <v>32.1</v>
      </c>
      <c r="L449" s="251">
        <v>32.450000000000003</v>
      </c>
      <c r="M449" s="251">
        <v>32.450000000000003</v>
      </c>
      <c r="N449" s="251">
        <v>31.3</v>
      </c>
      <c r="O449" s="251">
        <v>31.2</v>
      </c>
      <c r="P449" s="251">
        <v>30.85</v>
      </c>
      <c r="Q449" s="251">
        <v>30.25</v>
      </c>
      <c r="R449" s="251">
        <v>30.25</v>
      </c>
      <c r="S449" s="251">
        <v>29.85</v>
      </c>
      <c r="T449" s="251">
        <v>29.6</v>
      </c>
      <c r="U449" s="251">
        <v>28.9</v>
      </c>
      <c r="V449" s="251">
        <v>28.5</v>
      </c>
      <c r="W449" s="251">
        <v>28.6</v>
      </c>
      <c r="X449" s="251">
        <v>29.55</v>
      </c>
      <c r="Y449" s="251">
        <v>30.25</v>
      </c>
      <c r="Z449" s="245">
        <f ca="1">[1]ExtEntry!$J47</f>
        <v>30.25</v>
      </c>
      <c r="AB449" s="262">
        <v>1950.0000000000146</v>
      </c>
      <c r="AC449" s="262">
        <v>-2850</v>
      </c>
      <c r="AD449" s="262">
        <v>-1650</v>
      </c>
      <c r="AE449" s="262">
        <v>600</v>
      </c>
      <c r="AF449" s="262">
        <v>4800</v>
      </c>
      <c r="AG449" s="262">
        <v>150</v>
      </c>
      <c r="AH449" s="262">
        <v>1050</v>
      </c>
      <c r="AI449" s="262">
        <v>450</v>
      </c>
      <c r="AJ449" s="262">
        <v>-1650</v>
      </c>
      <c r="AK449" s="262">
        <v>-5400.0000000000146</v>
      </c>
      <c r="AL449" s="262">
        <v>3150</v>
      </c>
      <c r="AM449" s="262">
        <v>-600</v>
      </c>
      <c r="AN449" s="262">
        <v>-1050</v>
      </c>
      <c r="AO449" s="262">
        <v>1200</v>
      </c>
      <c r="AP449" s="262">
        <v>2550</v>
      </c>
      <c r="AQ449" s="262">
        <v>-4800</v>
      </c>
      <c r="AR449" s="262">
        <v>300</v>
      </c>
      <c r="AS449" s="262">
        <v>900</v>
      </c>
      <c r="AT449" s="262">
        <v>-150</v>
      </c>
      <c r="AU449" s="262">
        <v>2100</v>
      </c>
      <c r="AV449" s="261">
        <f t="shared" ca="1" si="35"/>
        <v>2100</v>
      </c>
      <c r="AX449" s="88" t="str">
        <f t="shared" ca="1" si="36"/>
        <v>UN0</v>
      </c>
    </row>
    <row r="450" spans="1:50" hidden="1" x14ac:dyDescent="0.3">
      <c r="A450" s="88" t="str">
        <f t="shared" ca="1" si="34"/>
        <v>UNIT</v>
      </c>
      <c r="F450" s="251">
        <v>5.5353000000000003</v>
      </c>
      <c r="G450" s="251">
        <v>5.6550000000000002</v>
      </c>
      <c r="H450" s="251">
        <v>5.91</v>
      </c>
      <c r="I450" s="251">
        <v>5.69</v>
      </c>
      <c r="J450" s="251">
        <v>5.875</v>
      </c>
      <c r="K450" s="251">
        <v>5.7149999999999999</v>
      </c>
      <c r="L450" s="251">
        <v>5.66</v>
      </c>
      <c r="M450" s="251">
        <v>5.66</v>
      </c>
      <c r="N450" s="251">
        <v>5.9</v>
      </c>
      <c r="O450" s="251">
        <v>6.12</v>
      </c>
      <c r="P450" s="251">
        <v>6.24</v>
      </c>
      <c r="Q450" s="251">
        <v>6.18</v>
      </c>
      <c r="R450" s="251">
        <v>5.86</v>
      </c>
      <c r="S450" s="251">
        <v>6.5549999999999997</v>
      </c>
      <c r="T450" s="251">
        <v>6.7199</v>
      </c>
      <c r="U450" s="251">
        <v>6.5895000000000001</v>
      </c>
      <c r="V450" s="251">
        <v>6.58</v>
      </c>
      <c r="W450" s="251">
        <v>6.3150000000000004</v>
      </c>
      <c r="X450" s="251">
        <v>6.31</v>
      </c>
      <c r="Y450" s="251">
        <v>6.24</v>
      </c>
      <c r="Z450" s="245">
        <f ca="1">[1]ExtEntry!$J48</f>
        <v>6.24</v>
      </c>
      <c r="AB450" s="265">
        <v>2532.1800000000076</v>
      </c>
      <c r="AC450" s="265">
        <v>3074.7899999999936</v>
      </c>
      <c r="AD450" s="265">
        <v>-904.34999999999127</v>
      </c>
      <c r="AE450" s="265">
        <v>3255.660000000018</v>
      </c>
      <c r="AF450" s="265">
        <v>4738.7699999999895</v>
      </c>
      <c r="AG450" s="265">
        <v>36.190000000002328</v>
      </c>
      <c r="AH450" s="265">
        <v>-4919.6699999999983</v>
      </c>
      <c r="AI450" s="265">
        <v>2315.1299999999901</v>
      </c>
      <c r="AJ450" s="265">
        <v>542.6699999999837</v>
      </c>
      <c r="AK450" s="265">
        <v>1085.25</v>
      </c>
      <c r="AL450" s="265">
        <v>1157.5999999999913</v>
      </c>
      <c r="AM450" s="265">
        <v>-795.84999999999127</v>
      </c>
      <c r="AN450" s="265">
        <v>723.5</v>
      </c>
      <c r="AO450" s="265">
        <v>-397.92500000000291</v>
      </c>
      <c r="AP450" s="265">
        <v>2676.9499999999971</v>
      </c>
      <c r="AQ450" s="265">
        <v>-2496.0749999999898</v>
      </c>
      <c r="AR450" s="265">
        <v>3364.2749999999942</v>
      </c>
      <c r="AS450" s="265">
        <v>2242.8500000000058</v>
      </c>
      <c r="AT450" s="265">
        <v>-2640.7749999999942</v>
      </c>
      <c r="AU450" s="265">
        <v>-4811.2749999999942</v>
      </c>
      <c r="AV450" s="261">
        <f t="shared" ca="1" si="35"/>
        <v>-4811.2749999999942</v>
      </c>
      <c r="AX450" s="88" t="str">
        <f t="shared" ca="1" si="36"/>
        <v>UNIT</v>
      </c>
    </row>
    <row r="451" spans="1:50" hidden="1" x14ac:dyDescent="0.3">
      <c r="A451" s="88" t="str">
        <f t="shared" ca="1" si="34"/>
        <v>VLVLY</v>
      </c>
      <c r="F451" s="251">
        <v>27.9</v>
      </c>
      <c r="G451" s="251">
        <v>27.945</v>
      </c>
      <c r="H451" s="251">
        <v>28.44</v>
      </c>
      <c r="I451" s="251">
        <v>26.46</v>
      </c>
      <c r="J451" s="251">
        <v>27.229900000000001</v>
      </c>
      <c r="K451" s="251">
        <v>27.4998</v>
      </c>
      <c r="L451" s="251">
        <v>27.32</v>
      </c>
      <c r="M451" s="251">
        <v>27.32</v>
      </c>
      <c r="N451" s="251">
        <v>27.57</v>
      </c>
      <c r="O451" s="251">
        <v>27.8399</v>
      </c>
      <c r="P451" s="251">
        <v>27.91</v>
      </c>
      <c r="Q451" s="251">
        <v>27.92</v>
      </c>
      <c r="R451" s="251">
        <v>27.734999999999999</v>
      </c>
      <c r="S451" s="251">
        <v>27.164999999999999</v>
      </c>
      <c r="T451" s="251">
        <v>27.689900000000002</v>
      </c>
      <c r="U451" s="251">
        <v>27.68</v>
      </c>
      <c r="V451" s="251">
        <v>27.51</v>
      </c>
      <c r="W451" s="251">
        <v>28.209900000000001</v>
      </c>
      <c r="X451" s="251">
        <v>27.63</v>
      </c>
      <c r="Y451" s="251">
        <v>28.25</v>
      </c>
      <c r="Z451" s="245">
        <f ca="1">[1]ExtEntry!$J49</f>
        <v>28.25</v>
      </c>
      <c r="AB451" s="262">
        <v>600.15000000000146</v>
      </c>
      <c r="AC451" s="262">
        <v>-76.5</v>
      </c>
      <c r="AD451" s="262">
        <v>892.5</v>
      </c>
      <c r="AE451" s="262">
        <v>1080</v>
      </c>
      <c r="AF451" s="262">
        <v>502.5</v>
      </c>
      <c r="AG451" s="262">
        <v>314.84999999999854</v>
      </c>
      <c r="AH451" s="262">
        <v>-103.5</v>
      </c>
      <c r="AI451" s="262">
        <v>-172.5</v>
      </c>
      <c r="AJ451" s="262">
        <v>-495</v>
      </c>
      <c r="AK451" s="262">
        <v>-427.5</v>
      </c>
      <c r="AL451" s="262">
        <v>-540</v>
      </c>
      <c r="AM451" s="262">
        <v>150</v>
      </c>
      <c r="AN451" s="262">
        <v>-195</v>
      </c>
      <c r="AO451" s="262">
        <v>-795</v>
      </c>
      <c r="AP451" s="262">
        <v>781.80000000000291</v>
      </c>
      <c r="AQ451" s="262">
        <v>-915</v>
      </c>
      <c r="AR451" s="262">
        <v>1084.5</v>
      </c>
      <c r="AS451" s="262">
        <v>960</v>
      </c>
      <c r="AT451" s="262">
        <v>2985</v>
      </c>
      <c r="AU451" s="262">
        <v>-781.80000000000291</v>
      </c>
      <c r="AV451" s="261">
        <f t="shared" ca="1" si="35"/>
        <v>-781.80000000000291</v>
      </c>
      <c r="AX451" s="88" t="str">
        <f t="shared" ca="1" si="36"/>
        <v>VLVLY</v>
      </c>
    </row>
    <row r="452" spans="1:50" hidden="1" x14ac:dyDescent="0.3">
      <c r="A452" s="88" t="str">
        <f t="shared" ca="1" si="34"/>
        <v>VONN</v>
      </c>
      <c r="F452" s="251">
        <v>61</v>
      </c>
      <c r="G452" s="251">
        <v>60.7</v>
      </c>
      <c r="H452" s="251">
        <v>60.5</v>
      </c>
      <c r="I452" s="251">
        <v>59.4</v>
      </c>
      <c r="J452" s="251">
        <v>59.5</v>
      </c>
      <c r="K452" s="251">
        <v>59.3</v>
      </c>
      <c r="L452" s="251">
        <v>60.3</v>
      </c>
      <c r="M452" s="251">
        <v>60.3</v>
      </c>
      <c r="N452" s="251">
        <v>61.1</v>
      </c>
      <c r="O452" s="251">
        <v>61.3</v>
      </c>
      <c r="P452" s="251">
        <v>61.4</v>
      </c>
      <c r="Q452" s="251">
        <v>61.3</v>
      </c>
      <c r="R452" s="251">
        <v>61</v>
      </c>
      <c r="S452" s="251">
        <v>60</v>
      </c>
      <c r="T452" s="251">
        <v>59.6</v>
      </c>
      <c r="U452" s="251">
        <v>59.3</v>
      </c>
      <c r="V452" s="251">
        <v>58.8</v>
      </c>
      <c r="W452" s="251">
        <v>60.1</v>
      </c>
      <c r="X452" s="251">
        <v>58.8</v>
      </c>
      <c r="Y452" s="251">
        <v>59.4</v>
      </c>
      <c r="Z452" s="245">
        <f ca="1">[1]ExtEntry!$J50</f>
        <v>59.4</v>
      </c>
      <c r="AB452" s="265">
        <v>1500</v>
      </c>
      <c r="AC452" s="265">
        <v>-7100</v>
      </c>
      <c r="AD452" s="265">
        <v>-11900</v>
      </c>
      <c r="AE452" s="265">
        <v>12800</v>
      </c>
      <c r="AF452" s="265">
        <v>6800</v>
      </c>
      <c r="AG452" s="265">
        <v>-4800</v>
      </c>
      <c r="AH452" s="265">
        <v>28000</v>
      </c>
      <c r="AI452" s="265">
        <v>32900</v>
      </c>
      <c r="AJ452" s="265">
        <v>12800</v>
      </c>
      <c r="AK452" s="265">
        <v>4800</v>
      </c>
      <c r="AL452" s="265">
        <v>3200</v>
      </c>
      <c r="AM452" s="265">
        <v>-31987.400000000023</v>
      </c>
      <c r="AN452" s="265">
        <v>-12812.599999999977</v>
      </c>
      <c r="AO452" s="265">
        <v>-20400</v>
      </c>
      <c r="AP452" s="265">
        <v>-6400</v>
      </c>
      <c r="AQ452" s="265">
        <v>-12800</v>
      </c>
      <c r="AR452" s="265">
        <v>7587.4000000000233</v>
      </c>
      <c r="AS452" s="265">
        <v>-9587.4000000000233</v>
      </c>
      <c r="AT452" s="265">
        <v>11760</v>
      </c>
      <c r="AU452" s="265">
        <v>18560</v>
      </c>
      <c r="AV452" s="261">
        <f t="shared" ca="1" si="35"/>
        <v>18560</v>
      </c>
      <c r="AX452" s="88" t="str">
        <f t="shared" ca="1" si="36"/>
        <v>VONN</v>
      </c>
    </row>
    <row r="453" spans="1:50" hidden="1" x14ac:dyDescent="0.3">
      <c r="A453" s="88" t="str">
        <f t="shared" ca="1" si="34"/>
        <v>VTRS</v>
      </c>
      <c r="F453" s="251">
        <v>9.9700000000000006</v>
      </c>
      <c r="G453" s="251">
        <v>10.17</v>
      </c>
      <c r="H453" s="251">
        <v>10.199999999999999</v>
      </c>
      <c r="I453" s="251">
        <v>10.199999999999999</v>
      </c>
      <c r="J453" s="251">
        <v>10.32</v>
      </c>
      <c r="K453" s="251">
        <v>10.44</v>
      </c>
      <c r="L453" s="251">
        <v>10.515000000000001</v>
      </c>
      <c r="M453" s="251">
        <v>10.515000000000001</v>
      </c>
      <c r="N453" s="251">
        <v>10.494999999999999</v>
      </c>
      <c r="O453" s="251">
        <v>10.4999</v>
      </c>
      <c r="P453" s="251">
        <v>10.44</v>
      </c>
      <c r="Q453" s="251">
        <v>10.46</v>
      </c>
      <c r="R453" s="251">
        <v>10.465</v>
      </c>
      <c r="S453" s="251">
        <v>10.6</v>
      </c>
      <c r="T453" s="251">
        <v>10.81</v>
      </c>
      <c r="U453" s="251">
        <v>10.95</v>
      </c>
      <c r="V453" s="251">
        <v>10.16</v>
      </c>
      <c r="W453" s="251">
        <v>10.9</v>
      </c>
      <c r="X453" s="251">
        <v>10.87</v>
      </c>
      <c r="Y453" s="251">
        <v>10.68</v>
      </c>
      <c r="Z453" s="245">
        <f ca="1">[1]ExtEntry!$J51</f>
        <v>10.68</v>
      </c>
      <c r="AB453" s="262">
        <v>1599.9999999999854</v>
      </c>
      <c r="AC453" s="262">
        <v>1049.9999999999854</v>
      </c>
      <c r="AD453" s="262">
        <v>300</v>
      </c>
      <c r="AE453" s="262">
        <v>600</v>
      </c>
      <c r="AF453" s="262">
        <v>-100</v>
      </c>
      <c r="AG453" s="262">
        <v>-1400</v>
      </c>
      <c r="AH453" s="262">
        <v>500</v>
      </c>
      <c r="AI453" s="262">
        <v>-50</v>
      </c>
      <c r="AJ453" s="262">
        <v>-800</v>
      </c>
      <c r="AK453" s="262">
        <v>-750</v>
      </c>
      <c r="AL453" s="262">
        <v>-50</v>
      </c>
      <c r="AM453" s="262">
        <v>-500.00000000001455</v>
      </c>
      <c r="AN453" s="262">
        <v>400</v>
      </c>
      <c r="AO453" s="262">
        <v>875</v>
      </c>
      <c r="AP453" s="262">
        <v>1550</v>
      </c>
      <c r="AQ453" s="262">
        <v>-3125</v>
      </c>
      <c r="AR453" s="262">
        <v>475.00000000001455</v>
      </c>
      <c r="AS453" s="262">
        <v>-1000</v>
      </c>
      <c r="AT453" s="262">
        <v>-124.99999999999272</v>
      </c>
      <c r="AU453" s="262">
        <v>-2175</v>
      </c>
      <c r="AV453" s="261">
        <f t="shared" ca="1" si="35"/>
        <v>-2175</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112.962</v>
      </c>
      <c r="G455" s="251">
        <v>113.57</v>
      </c>
      <c r="H455" s="251">
        <v>112.19</v>
      </c>
      <c r="I455" s="251">
        <v>112.91</v>
      </c>
      <c r="J455" s="251">
        <v>113.15</v>
      </c>
      <c r="K455" s="251">
        <v>113.3601</v>
      </c>
      <c r="L455" s="251">
        <v>115.18</v>
      </c>
      <c r="M455" s="251">
        <v>115.18</v>
      </c>
      <c r="N455" s="251">
        <v>116.85</v>
      </c>
      <c r="O455" s="251">
        <v>116.47</v>
      </c>
      <c r="P455" s="251">
        <v>115.985</v>
      </c>
      <c r="Q455" s="251">
        <v>116.18</v>
      </c>
      <c r="R455" s="251">
        <v>116.52</v>
      </c>
      <c r="S455" s="251">
        <v>114.3501</v>
      </c>
      <c r="T455" s="251">
        <v>115.18</v>
      </c>
      <c r="U455" s="251">
        <v>114.9</v>
      </c>
      <c r="V455" s="251">
        <v>117.505</v>
      </c>
      <c r="W455" s="251">
        <v>119.48</v>
      </c>
      <c r="X455" s="251">
        <v>119.48</v>
      </c>
      <c r="Y455" s="251">
        <v>117.59010000000001</v>
      </c>
      <c r="Z455" s="245">
        <f ca="1">[1]ExtEntry!$J53</f>
        <v>117.59010000000001</v>
      </c>
      <c r="AB455" s="262">
        <v>680</v>
      </c>
      <c r="AC455" s="262">
        <v>-317.5</v>
      </c>
      <c r="AD455" s="262">
        <v>137.5</v>
      </c>
      <c r="AE455" s="262">
        <v>1062.5</v>
      </c>
      <c r="AF455" s="262">
        <v>-7.5</v>
      </c>
      <c r="AG455" s="262">
        <v>-865</v>
      </c>
      <c r="AH455" s="262">
        <v>1117.5</v>
      </c>
      <c r="AI455" s="262">
        <v>1260</v>
      </c>
      <c r="AJ455" s="262">
        <v>-645</v>
      </c>
      <c r="AK455" s="262">
        <v>-827.5</v>
      </c>
      <c r="AL455" s="262">
        <v>227.5</v>
      </c>
      <c r="AM455" s="262">
        <v>-865</v>
      </c>
      <c r="AN455" s="262">
        <v>-1507.5</v>
      </c>
      <c r="AO455" s="262">
        <v>757.5</v>
      </c>
      <c r="AP455" s="262">
        <v>285</v>
      </c>
      <c r="AQ455" s="262">
        <v>512.5</v>
      </c>
      <c r="AR455" s="262">
        <v>1335</v>
      </c>
      <c r="AS455" s="262">
        <v>1282.5</v>
      </c>
      <c r="AT455" s="262">
        <v>467.5</v>
      </c>
      <c r="AU455" s="262">
        <v>515</v>
      </c>
      <c r="AV455" s="261">
        <f t="shared" ca="1" si="35"/>
        <v>515</v>
      </c>
      <c r="AX455" s="88" t="str">
        <f t="shared" ca="1" si="36"/>
        <v>XOM</v>
      </c>
    </row>
    <row r="456" spans="1:50" hidden="1" x14ac:dyDescent="0.3">
      <c r="A456" s="88" t="str">
        <f t="shared" ca="1" si="34"/>
        <v>XPER</v>
      </c>
      <c r="F456" s="251">
        <v>6.7891000000000004</v>
      </c>
      <c r="G456" s="251">
        <v>6.8</v>
      </c>
      <c r="H456" s="251">
        <v>6.9</v>
      </c>
      <c r="I456" s="251">
        <v>6.76</v>
      </c>
      <c r="J456" s="251">
        <v>6.77</v>
      </c>
      <c r="K456" s="251">
        <v>6.8949999999999996</v>
      </c>
      <c r="L456" s="251">
        <v>6.8049999999999997</v>
      </c>
      <c r="M456" s="251">
        <v>6.8049999999999997</v>
      </c>
      <c r="N456" s="251">
        <v>6.68</v>
      </c>
      <c r="O456" s="251">
        <v>6.75</v>
      </c>
      <c r="P456" s="251">
        <v>6.7450000000000001</v>
      </c>
      <c r="Q456" s="251">
        <v>6.78</v>
      </c>
      <c r="R456" s="251">
        <v>6.65</v>
      </c>
      <c r="S456" s="251">
        <v>6.51</v>
      </c>
      <c r="T456" s="251">
        <v>6.78</v>
      </c>
      <c r="U456" s="251">
        <v>7.4349999999999996</v>
      </c>
      <c r="V456" s="251">
        <v>6.82</v>
      </c>
      <c r="W456" s="251">
        <v>6.32</v>
      </c>
      <c r="X456" s="251">
        <v>5.9950000000000001</v>
      </c>
      <c r="Y456" s="251">
        <v>5.875</v>
      </c>
      <c r="Z456" s="245">
        <f ca="1">[1]ExtEntry!$J54</f>
        <v>5.875</v>
      </c>
      <c r="AB456" s="265">
        <v>4250</v>
      </c>
      <c r="AC456" s="265">
        <v>-99</v>
      </c>
      <c r="AD456" s="265">
        <v>-1700</v>
      </c>
      <c r="AE456" s="265">
        <v>-1500</v>
      </c>
      <c r="AF456" s="265">
        <v>-1100</v>
      </c>
      <c r="AG456" s="265">
        <v>-2150</v>
      </c>
      <c r="AH456" s="265">
        <v>-1801</v>
      </c>
      <c r="AI456" s="265">
        <v>-1200</v>
      </c>
      <c r="AJ456" s="265">
        <v>1100</v>
      </c>
      <c r="AK456" s="265">
        <v>-300</v>
      </c>
      <c r="AL456" s="265">
        <v>-1800</v>
      </c>
      <c r="AM456" s="265">
        <v>3000</v>
      </c>
      <c r="AN456" s="265">
        <v>2100</v>
      </c>
      <c r="AO456" s="265">
        <v>-1800</v>
      </c>
      <c r="AP456" s="265">
        <v>3400</v>
      </c>
      <c r="AQ456" s="265">
        <v>-300</v>
      </c>
      <c r="AR456" s="265">
        <v>-2065</v>
      </c>
      <c r="AS456" s="265">
        <v>-499.99999999999272</v>
      </c>
      <c r="AT456" s="265">
        <v>0</v>
      </c>
      <c r="AU456" s="265">
        <v>-4699.9999999999927</v>
      </c>
      <c r="AV456" s="261">
        <f t="shared" ca="1" si="35"/>
        <v>-4699.9999999999927</v>
      </c>
      <c r="AX456" s="88" t="str">
        <f t="shared" ca="1" si="36"/>
        <v>XPER</v>
      </c>
    </row>
    <row r="457" spans="1:50" hidden="1" x14ac:dyDescent="0.3">
      <c r="A457" s="88" t="str">
        <f t="shared" ca="1" si="34"/>
        <v>MVEALDNE</v>
      </c>
      <c r="F457" s="251">
        <v>0.84</v>
      </c>
      <c r="G457" s="251">
        <v>0.83799999999999997</v>
      </c>
      <c r="H457" s="251">
        <v>0.83399999999999996</v>
      </c>
      <c r="I457" s="251">
        <v>0.83</v>
      </c>
      <c r="J457" s="251">
        <v>0.83</v>
      </c>
      <c r="K457" s="251">
        <v>0.84</v>
      </c>
      <c r="L457" s="251">
        <v>0.84</v>
      </c>
      <c r="M457" s="251">
        <v>0.84</v>
      </c>
      <c r="N457" s="251">
        <v>0.84</v>
      </c>
      <c r="O457" s="251">
        <v>0.83799999999999997</v>
      </c>
      <c r="P457" s="251">
        <v>0.81799999999999995</v>
      </c>
      <c r="Q457" s="251">
        <v>0.82</v>
      </c>
      <c r="R457" s="251">
        <v>0.81</v>
      </c>
      <c r="S457" s="251">
        <v>0.79</v>
      </c>
      <c r="T457" s="251">
        <v>0.79800000000000004</v>
      </c>
      <c r="U457" s="251">
        <v>0.79800000000000004</v>
      </c>
      <c r="V457" s="251">
        <v>0.78200000000000003</v>
      </c>
      <c r="W457" s="251">
        <v>0.72</v>
      </c>
      <c r="X457" s="251">
        <v>0.68200000000000005</v>
      </c>
      <c r="Y457" s="251">
        <v>0.68799999999999994</v>
      </c>
      <c r="Z457" s="245">
        <f ca="1">[1]ExtEntry!$J55</f>
        <v>0.68799999999999994</v>
      </c>
      <c r="AB457" s="262">
        <v>2020</v>
      </c>
      <c r="AC457" s="262">
        <v>9090</v>
      </c>
      <c r="AD457" s="262">
        <v>14140</v>
      </c>
      <c r="AE457" s="262">
        <v>1010</v>
      </c>
      <c r="AF457" s="262">
        <v>5050</v>
      </c>
      <c r="AG457" s="262">
        <v>8080</v>
      </c>
      <c r="AH457" s="262">
        <v>1010</v>
      </c>
      <c r="AI457" s="262">
        <v>5050</v>
      </c>
      <c r="AJ457" s="262">
        <v>-2020</v>
      </c>
      <c r="AK457" s="262">
        <v>-2020</v>
      </c>
      <c r="AL457" s="262">
        <v>-9090</v>
      </c>
      <c r="AM457" s="262">
        <v>-9090</v>
      </c>
      <c r="AN457" s="262">
        <v>0</v>
      </c>
      <c r="AO457" s="262">
        <v>0</v>
      </c>
      <c r="AP457" s="262">
        <v>-2020</v>
      </c>
      <c r="AQ457" s="262">
        <v>0</v>
      </c>
      <c r="AR457" s="262">
        <v>-1010</v>
      </c>
      <c r="AS457" s="262">
        <v>-37370</v>
      </c>
      <c r="AT457" s="262">
        <v>-5050</v>
      </c>
      <c r="AU457" s="262">
        <v>2020</v>
      </c>
      <c r="AV457" s="261">
        <f t="shared" ca="1" si="35"/>
        <v>2020</v>
      </c>
      <c r="AX457" s="88" t="str">
        <f t="shared" ca="1" si="36"/>
        <v>MVEALDNE</v>
      </c>
    </row>
    <row r="458" spans="1:50" hidden="1" x14ac:dyDescent="0.3">
      <c r="A458" s="88" t="str">
        <f t="shared" ca="1" si="34"/>
        <v>MVEDDD</v>
      </c>
      <c r="F458" s="251">
        <v>3.17</v>
      </c>
      <c r="G458" s="251">
        <v>3.28</v>
      </c>
      <c r="H458" s="251">
        <v>3.5497000000000001</v>
      </c>
      <c r="I458" s="251">
        <v>3.32</v>
      </c>
      <c r="J458" s="251">
        <v>3.8</v>
      </c>
      <c r="K458" s="251">
        <v>3.75</v>
      </c>
      <c r="L458" s="251">
        <v>3.43</v>
      </c>
      <c r="M458" s="251">
        <v>3.43</v>
      </c>
      <c r="N458" s="251">
        <v>3.21</v>
      </c>
      <c r="O458" s="251">
        <v>3.29</v>
      </c>
      <c r="P458" s="251">
        <v>3.24</v>
      </c>
      <c r="Q458" s="251">
        <v>3.4</v>
      </c>
      <c r="R458" s="251">
        <v>3.04</v>
      </c>
      <c r="S458" s="251">
        <v>2.7397999999999998</v>
      </c>
      <c r="T458" s="251">
        <v>2.6949999999999998</v>
      </c>
      <c r="U458" s="251">
        <v>2.65</v>
      </c>
      <c r="V458" s="251">
        <v>2.27</v>
      </c>
      <c r="W458" s="251">
        <v>2.23</v>
      </c>
      <c r="X458" s="251">
        <v>2.105</v>
      </c>
      <c r="Y458" s="251">
        <v>2.1899000000000002</v>
      </c>
      <c r="Z458" s="245">
        <f ca="1">[1]ExtEntry!$J56</f>
        <v>2.1899000000000002</v>
      </c>
      <c r="AB458" s="265">
        <v>1750.0000000000036</v>
      </c>
      <c r="AC458" s="265">
        <v>-250</v>
      </c>
      <c r="AD458" s="265">
        <v>499.99999999999636</v>
      </c>
      <c r="AE458" s="265">
        <v>300</v>
      </c>
      <c r="AF458" s="265">
        <v>4449.9999999999927</v>
      </c>
      <c r="AG458" s="265">
        <v>-4300</v>
      </c>
      <c r="AH458" s="265">
        <v>-4050</v>
      </c>
      <c r="AI458" s="265">
        <v>-3149.9999999999964</v>
      </c>
      <c r="AJ458" s="265">
        <v>650</v>
      </c>
      <c r="AK458" s="265">
        <v>-5999.9999999999964</v>
      </c>
      <c r="AL458" s="265">
        <v>1650</v>
      </c>
      <c r="AM458" s="265">
        <v>3199.9999999999964</v>
      </c>
      <c r="AN458" s="265">
        <v>1450</v>
      </c>
      <c r="AO458" s="265">
        <v>-801.99999999999636</v>
      </c>
      <c r="AP458" s="265">
        <v>1550</v>
      </c>
      <c r="AQ458" s="265">
        <v>-2100</v>
      </c>
      <c r="AR458" s="265">
        <v>500</v>
      </c>
      <c r="AS458" s="265">
        <v>2950</v>
      </c>
      <c r="AT458" s="265">
        <v>1151.9999999999964</v>
      </c>
      <c r="AU458" s="265">
        <v>-1550</v>
      </c>
      <c r="AV458" s="261">
        <f t="shared" ca="1" si="35"/>
        <v>-1550</v>
      </c>
      <c r="AX458" s="88" t="str">
        <f t="shared" ca="1" si="36"/>
        <v>MVEDDD</v>
      </c>
    </row>
    <row r="459" spans="1:50" hidden="1" x14ac:dyDescent="0.3">
      <c r="A459" s="88" t="str">
        <f t="shared" ca="1" si="34"/>
        <v>MVEDSY</v>
      </c>
      <c r="F459" s="251">
        <v>28.82</v>
      </c>
      <c r="G459" s="251">
        <v>29.1</v>
      </c>
      <c r="H459" s="251">
        <v>29.44</v>
      </c>
      <c r="I459" s="251">
        <v>29.41</v>
      </c>
      <c r="J459" s="251">
        <v>29.78</v>
      </c>
      <c r="K459" s="251">
        <v>30.27</v>
      </c>
      <c r="L459" s="251">
        <v>30.36</v>
      </c>
      <c r="M459" s="251">
        <v>30.36</v>
      </c>
      <c r="N459" s="251">
        <v>26.35</v>
      </c>
      <c r="O459" s="251">
        <v>26.43</v>
      </c>
      <c r="P459" s="251">
        <v>25.81</v>
      </c>
      <c r="Q459" s="251">
        <v>25.36</v>
      </c>
      <c r="R459" s="251">
        <v>24.86</v>
      </c>
      <c r="S459" s="251">
        <v>24.26</v>
      </c>
      <c r="T459" s="251">
        <v>24.12</v>
      </c>
      <c r="U459" s="251">
        <v>23.92</v>
      </c>
      <c r="V459" s="251">
        <v>23.48</v>
      </c>
      <c r="W459" s="251">
        <v>24.04</v>
      </c>
      <c r="X459" s="251">
        <v>23.23</v>
      </c>
      <c r="Y459" s="251">
        <v>23.56</v>
      </c>
      <c r="Z459" s="245">
        <f ca="1">[1]ExtEntry!$J57</f>
        <v>23.56</v>
      </c>
      <c r="AB459" s="262">
        <v>-1617.6000000000004</v>
      </c>
      <c r="AC459" s="262">
        <v>6240</v>
      </c>
      <c r="AD459" s="262">
        <v>5400</v>
      </c>
      <c r="AE459" s="262">
        <v>480</v>
      </c>
      <c r="AF459" s="262">
        <v>240</v>
      </c>
      <c r="AG459" s="262">
        <v>9360</v>
      </c>
      <c r="AH459" s="262">
        <v>-2640</v>
      </c>
      <c r="AI459" s="262">
        <v>-5760</v>
      </c>
      <c r="AJ459" s="262">
        <v>-1200</v>
      </c>
      <c r="AK459" s="262">
        <v>-11280</v>
      </c>
      <c r="AL459" s="262">
        <v>-9480</v>
      </c>
      <c r="AM459" s="262">
        <v>-4920</v>
      </c>
      <c r="AN459" s="262">
        <v>-1200</v>
      </c>
      <c r="AO459" s="262">
        <v>-3720</v>
      </c>
      <c r="AP459" s="262">
        <v>8760</v>
      </c>
      <c r="AQ459" s="262">
        <v>-3120</v>
      </c>
      <c r="AR459" s="262">
        <v>4080</v>
      </c>
      <c r="AS459" s="262">
        <v>120</v>
      </c>
      <c r="AT459" s="262">
        <v>840</v>
      </c>
      <c r="AU459" s="262">
        <v>720</v>
      </c>
      <c r="AV459" s="261">
        <f t="shared" ca="1" si="35"/>
        <v>720</v>
      </c>
      <c r="AX459" s="88" t="str">
        <f t="shared" ca="1" si="36"/>
        <v>MVEDSY</v>
      </c>
    </row>
    <row r="460" spans="1:50" hidden="1" x14ac:dyDescent="0.3">
      <c r="A460" s="88" t="str">
        <f t="shared" ca="1" si="34"/>
        <v>MVEEOAN</v>
      </c>
      <c r="F460" s="251">
        <v>16.425000000000001</v>
      </c>
      <c r="G460" s="251">
        <v>16.37</v>
      </c>
      <c r="H460" s="251">
        <v>16.305</v>
      </c>
      <c r="I460" s="251">
        <v>16.38</v>
      </c>
      <c r="J460" s="251">
        <v>16.454999999999998</v>
      </c>
      <c r="K460" s="251">
        <v>16.48</v>
      </c>
      <c r="L460" s="251">
        <v>16.395</v>
      </c>
      <c r="M460" s="251">
        <v>16.395</v>
      </c>
      <c r="N460" s="251">
        <v>16.13</v>
      </c>
      <c r="O460" s="251">
        <v>16.059999999999999</v>
      </c>
      <c r="P460" s="251">
        <v>16.2</v>
      </c>
      <c r="Q460" s="251">
        <v>16.265000000000001</v>
      </c>
      <c r="R460" s="251">
        <v>16.254999999999999</v>
      </c>
      <c r="S460" s="251">
        <v>15.855</v>
      </c>
      <c r="T460" s="251">
        <v>16.05</v>
      </c>
      <c r="U460" s="251">
        <v>16.2</v>
      </c>
      <c r="V460" s="251">
        <v>16.155000000000001</v>
      </c>
      <c r="W460" s="251">
        <v>15.3</v>
      </c>
      <c r="X460" s="251">
        <v>15.315</v>
      </c>
      <c r="Y460" s="251">
        <v>15.49</v>
      </c>
      <c r="Z460" s="245">
        <f ca="1">[1]ExtEntry!$J58</f>
        <v>15.49</v>
      </c>
      <c r="AB460" s="265">
        <v>1.7500000000000853</v>
      </c>
      <c r="AC460" s="265">
        <v>-2.1000000000000227</v>
      </c>
      <c r="AD460" s="265">
        <v>0.50000000000002842</v>
      </c>
      <c r="AE460" s="265">
        <v>0.80000000000001137</v>
      </c>
      <c r="AF460" s="265">
        <v>0.29999999999998295</v>
      </c>
      <c r="AG460" s="265">
        <v>-1.9500000000000739</v>
      </c>
      <c r="AH460" s="265">
        <v>-0.29999999999998295</v>
      </c>
      <c r="AI460" s="265">
        <v>-2.1000000000000227</v>
      </c>
      <c r="AJ460" s="265">
        <v>-2.5499999999999829</v>
      </c>
      <c r="AK460" s="265">
        <v>-0.30000000000001137</v>
      </c>
      <c r="AL460" s="265">
        <v>0.35000000000002274</v>
      </c>
      <c r="AM460" s="265">
        <v>4.1499999999999773</v>
      </c>
      <c r="AN460" s="265">
        <v>2.2999999999999829</v>
      </c>
      <c r="AO460" s="265">
        <v>0.49999999999997158</v>
      </c>
      <c r="AP460" s="265">
        <v>1.5</v>
      </c>
      <c r="AQ460" s="265">
        <v>0.30000000000001137</v>
      </c>
      <c r="AR460" s="265">
        <v>-2.1499999999999773</v>
      </c>
      <c r="AS460" s="265">
        <v>-9.9999999999994316E-2</v>
      </c>
      <c r="AT460" s="265">
        <v>0.15000000000000568</v>
      </c>
      <c r="AU460" s="265">
        <v>-2.4000000000000057</v>
      </c>
      <c r="AV460" s="261">
        <f t="shared" ca="1" si="35"/>
        <v>-2.4000000000000057</v>
      </c>
      <c r="AX460" s="88" t="str">
        <f t="shared" ca="1" si="36"/>
        <v>MVEEOAN</v>
      </c>
    </row>
    <row r="461" spans="1:50" hidden="1" x14ac:dyDescent="0.3">
      <c r="A461" s="88" t="str">
        <f t="shared" ca="1" si="34"/>
        <v>MVEENI</v>
      </c>
      <c r="F461" s="251">
        <v>14.926</v>
      </c>
      <c r="G461" s="251">
        <v>14.811999999999999</v>
      </c>
      <c r="H461" s="251">
        <v>14.846</v>
      </c>
      <c r="I461" s="251">
        <v>14.866</v>
      </c>
      <c r="J461" s="251">
        <v>15.002000000000001</v>
      </c>
      <c r="K461" s="251">
        <v>15.007999999999999</v>
      </c>
      <c r="L461" s="251">
        <v>15.166</v>
      </c>
      <c r="M461" s="251">
        <v>15.166</v>
      </c>
      <c r="N461" s="251">
        <v>15.63</v>
      </c>
      <c r="O461" s="251">
        <v>16.032</v>
      </c>
      <c r="P461" s="251">
        <v>15.954000000000001</v>
      </c>
      <c r="Q461" s="251">
        <v>15.923999999999999</v>
      </c>
      <c r="R461" s="251">
        <v>15.98</v>
      </c>
      <c r="S461" s="251">
        <v>15.91</v>
      </c>
      <c r="T461" s="251">
        <v>15.986000000000001</v>
      </c>
      <c r="U461" s="251">
        <v>15.994</v>
      </c>
      <c r="V461" s="251">
        <v>16.047999999999998</v>
      </c>
      <c r="W461" s="251">
        <v>16.495999999999999</v>
      </c>
      <c r="X461" s="251">
        <v>16.48</v>
      </c>
      <c r="Y461" s="251">
        <v>16.48</v>
      </c>
      <c r="Z461" s="245">
        <f ca="1">[1]ExtEntry!$J59</f>
        <v>16.48</v>
      </c>
      <c r="AB461" s="262">
        <v>-8280</v>
      </c>
      <c r="AC461" s="262">
        <v>1440</v>
      </c>
      <c r="AD461" s="262">
        <v>-1872</v>
      </c>
      <c r="AE461" s="262">
        <v>11232</v>
      </c>
      <c r="AF461" s="262">
        <v>2592</v>
      </c>
      <c r="AG461" s="262">
        <v>7056</v>
      </c>
      <c r="AH461" s="262">
        <v>1800</v>
      </c>
      <c r="AI461" s="262">
        <v>3240</v>
      </c>
      <c r="AJ461" s="262">
        <v>-1008</v>
      </c>
      <c r="AK461" s="262">
        <v>-360</v>
      </c>
      <c r="AL461" s="262">
        <v>2016</v>
      </c>
      <c r="AM461" s="262">
        <v>360</v>
      </c>
      <c r="AN461" s="262">
        <v>-4896</v>
      </c>
      <c r="AO461" s="262">
        <v>-8136</v>
      </c>
      <c r="AP461" s="262">
        <v>4104</v>
      </c>
      <c r="AQ461" s="262">
        <v>144</v>
      </c>
      <c r="AR461" s="262">
        <v>-5904</v>
      </c>
      <c r="AS461" s="262">
        <v>2736</v>
      </c>
      <c r="AT461" s="262">
        <v>-1080</v>
      </c>
      <c r="AU461" s="262">
        <v>-10152</v>
      </c>
      <c r="AV461" s="261">
        <f t="shared" ca="1" si="35"/>
        <v>-10152</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178.80000000000018</v>
      </c>
      <c r="AC462" s="265">
        <v>0</v>
      </c>
      <c r="AD462" s="265">
        <v>0</v>
      </c>
      <c r="AE462" s="265">
        <v>0</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55.46</v>
      </c>
      <c r="G463" s="251">
        <v>56.62</v>
      </c>
      <c r="H463" s="251">
        <v>56.74</v>
      </c>
      <c r="I463" s="251">
        <v>54.92</v>
      </c>
      <c r="J463" s="251">
        <v>54.76</v>
      </c>
      <c r="K463" s="251">
        <v>53.9</v>
      </c>
      <c r="L463" s="251">
        <v>53.24</v>
      </c>
      <c r="M463" s="251">
        <v>53.24</v>
      </c>
      <c r="N463" s="251">
        <v>54</v>
      </c>
      <c r="O463" s="251">
        <v>54.12</v>
      </c>
      <c r="P463" s="251">
        <v>53.92</v>
      </c>
      <c r="Q463" s="251">
        <v>54.26</v>
      </c>
      <c r="R463" s="251">
        <v>56.82</v>
      </c>
      <c r="S463" s="251">
        <v>54.64</v>
      </c>
      <c r="T463" s="251">
        <v>54.76</v>
      </c>
      <c r="U463" s="251">
        <v>56.3</v>
      </c>
      <c r="V463" s="251">
        <v>56.12</v>
      </c>
      <c r="W463" s="251">
        <v>58.84</v>
      </c>
      <c r="X463" s="251">
        <v>56.54</v>
      </c>
      <c r="Y463" s="251">
        <v>57.38</v>
      </c>
      <c r="Z463" s="245">
        <f ca="1">[1]ExtEntry!$J61</f>
        <v>57.38</v>
      </c>
      <c r="AB463" s="262">
        <v>12360</v>
      </c>
      <c r="AC463" s="262">
        <v>-7360</v>
      </c>
      <c r="AD463" s="262">
        <v>8040</v>
      </c>
      <c r="AE463" s="262">
        <v>-5520</v>
      </c>
      <c r="AF463" s="262">
        <v>-9500</v>
      </c>
      <c r="AG463" s="262">
        <v>-13640</v>
      </c>
      <c r="AH463" s="262">
        <v>2660</v>
      </c>
      <c r="AI463" s="262">
        <v>-7300</v>
      </c>
      <c r="AJ463" s="262">
        <v>9240</v>
      </c>
      <c r="AK463" s="262">
        <v>9240</v>
      </c>
      <c r="AL463" s="262">
        <v>2380</v>
      </c>
      <c r="AM463" s="262">
        <v>6160</v>
      </c>
      <c r="AN463" s="262">
        <v>-24640</v>
      </c>
      <c r="AO463" s="262">
        <v>840</v>
      </c>
      <c r="AP463" s="262">
        <v>6580</v>
      </c>
      <c r="AQ463" s="262">
        <v>6860</v>
      </c>
      <c r="AR463" s="262">
        <v>-15540</v>
      </c>
      <c r="AS463" s="262">
        <v>20160</v>
      </c>
      <c r="AT463" s="262">
        <v>-5040</v>
      </c>
      <c r="AU463" s="262">
        <v>-1960</v>
      </c>
      <c r="AV463" s="261">
        <f t="shared" ca="1" si="35"/>
        <v>-1960</v>
      </c>
      <c r="AX463" s="88" t="str">
        <f t="shared" ca="1" si="36"/>
        <v>MVEGLE</v>
      </c>
    </row>
    <row r="464" spans="1:50" hidden="1" x14ac:dyDescent="0.3">
      <c r="A464" s="88" t="str">
        <f t="shared" ca="1" si="34"/>
        <v>MVEORA</v>
      </c>
      <c r="F464" s="251">
        <v>13.59</v>
      </c>
      <c r="G464" s="251">
        <v>14.295</v>
      </c>
      <c r="H464" s="251">
        <v>14.135</v>
      </c>
      <c r="I464" s="251">
        <v>14.355</v>
      </c>
      <c r="J464" s="251">
        <v>14.275</v>
      </c>
      <c r="K464" s="251">
        <v>14.205</v>
      </c>
      <c r="L464" s="251">
        <v>14.13</v>
      </c>
      <c r="M464" s="251">
        <v>14.13</v>
      </c>
      <c r="N464" s="251">
        <v>14.29</v>
      </c>
      <c r="O464" s="251">
        <v>14.16</v>
      </c>
      <c r="P464" s="251">
        <v>13.935</v>
      </c>
      <c r="Q464" s="251">
        <v>13.904999999999999</v>
      </c>
      <c r="R464" s="251">
        <v>13.855</v>
      </c>
      <c r="S464" s="251">
        <v>13.76</v>
      </c>
      <c r="T464" s="251">
        <v>13.86</v>
      </c>
      <c r="U464" s="251">
        <v>13.94</v>
      </c>
      <c r="V464" s="251">
        <v>14.27</v>
      </c>
      <c r="W464" s="251">
        <v>14.36</v>
      </c>
      <c r="X464" s="251">
        <v>13.994999999999999</v>
      </c>
      <c r="Y464" s="251">
        <v>13.994999999999999</v>
      </c>
      <c r="Z464" s="245">
        <f ca="1">[1]ExtEntry!$J62</f>
        <v>13.994999999999999</v>
      </c>
      <c r="AB464" s="265">
        <v>2475</v>
      </c>
      <c r="AC464" s="265">
        <v>-2871</v>
      </c>
      <c r="AD464" s="265">
        <v>-1089</v>
      </c>
      <c r="AE464" s="265">
        <v>5940</v>
      </c>
      <c r="AF464" s="265">
        <v>2475</v>
      </c>
      <c r="AG464" s="265">
        <v>-3168</v>
      </c>
      <c r="AH464" s="265">
        <v>-99</v>
      </c>
      <c r="AI464" s="265">
        <v>-2871</v>
      </c>
      <c r="AJ464" s="265">
        <v>-5049</v>
      </c>
      <c r="AK464" s="265">
        <v>-2475</v>
      </c>
      <c r="AL464" s="265">
        <v>-297</v>
      </c>
      <c r="AM464" s="265">
        <v>594</v>
      </c>
      <c r="AN464" s="265">
        <v>2376</v>
      </c>
      <c r="AO464" s="265">
        <v>-1881</v>
      </c>
      <c r="AP464" s="265">
        <v>3861</v>
      </c>
      <c r="AQ464" s="265">
        <v>3663</v>
      </c>
      <c r="AR464" s="265">
        <v>4455</v>
      </c>
      <c r="AS464" s="265">
        <v>-8118</v>
      </c>
      <c r="AT464" s="265">
        <v>-5148</v>
      </c>
      <c r="AU464" s="265">
        <v>-3960</v>
      </c>
      <c r="AV464" s="261">
        <f t="shared" ca="1" si="35"/>
        <v>-3960</v>
      </c>
      <c r="AX464" s="88" t="str">
        <f t="shared" ca="1" si="36"/>
        <v>MVEORA</v>
      </c>
    </row>
    <row r="465" spans="1:50" hidden="1" x14ac:dyDescent="0.3">
      <c r="A465" s="88" t="str">
        <f t="shared" ca="1" si="34"/>
        <v>MVERWE</v>
      </c>
      <c r="F465" s="251">
        <v>40.94</v>
      </c>
      <c r="G465" s="251">
        <v>41.01</v>
      </c>
      <c r="H465" s="251">
        <v>41.5</v>
      </c>
      <c r="I465" s="251">
        <v>41.26</v>
      </c>
      <c r="J465" s="251">
        <v>41.16</v>
      </c>
      <c r="K465" s="251">
        <v>41</v>
      </c>
      <c r="L465" s="251">
        <v>41.27</v>
      </c>
      <c r="M465" s="251">
        <v>41.27</v>
      </c>
      <c r="N465" s="251">
        <v>40.119999999999997</v>
      </c>
      <c r="O465" s="251">
        <v>40.69</v>
      </c>
      <c r="P465" s="251">
        <v>40.81</v>
      </c>
      <c r="Q465" s="251">
        <v>41.09</v>
      </c>
      <c r="R465" s="251">
        <v>42.99</v>
      </c>
      <c r="S465" s="251">
        <v>42.66</v>
      </c>
      <c r="T465" s="251">
        <v>42.61</v>
      </c>
      <c r="U465" s="251">
        <v>43.77</v>
      </c>
      <c r="V465" s="251">
        <v>43.33</v>
      </c>
      <c r="W465" s="251">
        <v>45.5</v>
      </c>
      <c r="X465" s="251">
        <v>44.96</v>
      </c>
      <c r="Y465" s="251">
        <v>44.96</v>
      </c>
      <c r="Z465" s="245">
        <f ca="1">[1]ExtEntry!$J63</f>
        <v>44.96</v>
      </c>
      <c r="AB465" s="262">
        <v>-8.00000000000054E-2</v>
      </c>
      <c r="AC465" s="262">
        <v>-0.3300000000000054</v>
      </c>
      <c r="AD465" s="262">
        <v>0.71999999999999886</v>
      </c>
      <c r="AE465" s="262">
        <v>-0.17999999999999972</v>
      </c>
      <c r="AF465" s="262">
        <v>-0.47999999999999687</v>
      </c>
      <c r="AG465" s="262">
        <v>-0.27999999999999403</v>
      </c>
      <c r="AH465" s="262">
        <v>-0.37999999999999545</v>
      </c>
      <c r="AI465" s="262">
        <v>-0.89000000000000057</v>
      </c>
      <c r="AJ465" s="262">
        <v>0.29999999999999716</v>
      </c>
      <c r="AK465" s="262">
        <v>7.9999999999991189E-2</v>
      </c>
      <c r="AL465" s="262">
        <v>0.35999999999999943</v>
      </c>
      <c r="AM465" s="262">
        <v>1.0200000000000031</v>
      </c>
      <c r="AN465" s="262">
        <v>1.0999999999999943</v>
      </c>
      <c r="AO465" s="262">
        <v>-0.33999999999999631</v>
      </c>
      <c r="AP465" s="262">
        <v>0.19000000000000483</v>
      </c>
      <c r="AQ465" s="262">
        <v>0.65999999999999659</v>
      </c>
      <c r="AR465" s="262">
        <v>-0.86000000000000654</v>
      </c>
      <c r="AS465" s="262">
        <v>-0.85999999999999943</v>
      </c>
      <c r="AT465" s="262">
        <v>-0.56000000000000227</v>
      </c>
      <c r="AU465" s="262">
        <v>-1.5600000000000023</v>
      </c>
      <c r="AV465" s="261">
        <f t="shared" ca="1" si="35"/>
        <v>-1.5600000000000023</v>
      </c>
      <c r="AX465" s="88" t="str">
        <f t="shared" ca="1" si="36"/>
        <v>MVERWE</v>
      </c>
    </row>
    <row r="466" spans="1:50" hidden="1" x14ac:dyDescent="0.3">
      <c r="A466" s="88" t="str">
        <f t="shared" ca="1" si="34"/>
        <v>MVESAP</v>
      </c>
      <c r="F466" s="251">
        <v>232.7</v>
      </c>
      <c r="G466" s="251">
        <v>234.65</v>
      </c>
      <c r="H466" s="251">
        <v>237.1</v>
      </c>
      <c r="I466" s="251">
        <v>232</v>
      </c>
      <c r="J466" s="251">
        <v>239.6</v>
      </c>
      <c r="K466" s="251">
        <v>241.25</v>
      </c>
      <c r="L466" s="251">
        <v>241.25</v>
      </c>
      <c r="M466" s="251">
        <v>241.25</v>
      </c>
      <c r="N466" s="251">
        <v>244.3</v>
      </c>
      <c r="O466" s="251">
        <v>241.3</v>
      </c>
      <c r="P466" s="251">
        <v>235.8</v>
      </c>
      <c r="Q466" s="251">
        <v>235.05</v>
      </c>
      <c r="R466" s="251">
        <v>227.6</v>
      </c>
      <c r="S466" s="251">
        <v>226.7</v>
      </c>
      <c r="T466" s="251">
        <v>229.95</v>
      </c>
      <c r="U466" s="251">
        <v>226.85</v>
      </c>
      <c r="V466" s="251">
        <v>220</v>
      </c>
      <c r="W466" s="251">
        <v>214.2</v>
      </c>
      <c r="X466" s="251">
        <v>206.1</v>
      </c>
      <c r="Y466" s="251">
        <v>207.55</v>
      </c>
      <c r="Z466" s="245">
        <f ca="1">[1]ExtEntry!$J64</f>
        <v>207.55</v>
      </c>
      <c r="AB466" s="265">
        <v>280.69999999999709</v>
      </c>
      <c r="AC466" s="265">
        <v>260.64999999999418</v>
      </c>
      <c r="AD466" s="265">
        <v>1283.1999999999971</v>
      </c>
      <c r="AE466" s="265">
        <v>1002.5</v>
      </c>
      <c r="AF466" s="265">
        <v>2085.1999999999825</v>
      </c>
      <c r="AG466" s="265">
        <v>200.5</v>
      </c>
      <c r="AH466" s="265">
        <v>-2686.7000000000116</v>
      </c>
      <c r="AI466" s="265">
        <v>-2526.3000000000175</v>
      </c>
      <c r="AJ466" s="265">
        <v>360.89999999999418</v>
      </c>
      <c r="AK466" s="265">
        <v>-5092.6999999999971</v>
      </c>
      <c r="AL466" s="265">
        <v>-280.69999999999709</v>
      </c>
      <c r="AM466" s="265">
        <v>1804.5</v>
      </c>
      <c r="AN466" s="265">
        <v>2345.8500000000058</v>
      </c>
      <c r="AO466" s="265">
        <v>-1022.5499999999884</v>
      </c>
      <c r="AP466" s="265">
        <v>4370.9000000000087</v>
      </c>
      <c r="AQ466" s="265">
        <v>-3689.1999999999971</v>
      </c>
      <c r="AR466" s="265">
        <v>-1684.1999999999825</v>
      </c>
      <c r="AS466" s="265">
        <v>-1684.1999999999971</v>
      </c>
      <c r="AT466" s="265">
        <v>40.099999999991269</v>
      </c>
      <c r="AU466" s="265">
        <v>-1082.6999999999971</v>
      </c>
      <c r="AV466" s="261">
        <f t="shared" ca="1" si="35"/>
        <v>-1082.6999999999971</v>
      </c>
      <c r="AX466" s="88" t="str">
        <f t="shared" ca="1" si="36"/>
        <v>MVESAP</v>
      </c>
    </row>
    <row r="467" spans="1:50" hidden="1" x14ac:dyDescent="0.3">
      <c r="A467" s="88" t="str">
        <f t="shared" ca="1" si="34"/>
        <v>MVEUN0</v>
      </c>
      <c r="F467" s="251">
        <v>32</v>
      </c>
      <c r="G467" s="251">
        <v>31.85</v>
      </c>
      <c r="H467" s="251">
        <v>31.75</v>
      </c>
      <c r="I467" s="251">
        <v>31.85</v>
      </c>
      <c r="J467" s="251">
        <v>33</v>
      </c>
      <c r="K467" s="251">
        <v>32.1</v>
      </c>
      <c r="L467" s="251">
        <v>32.450000000000003</v>
      </c>
      <c r="M467" s="251">
        <v>32.450000000000003</v>
      </c>
      <c r="N467" s="251">
        <v>31.3</v>
      </c>
      <c r="O467" s="251">
        <v>31.2</v>
      </c>
      <c r="P467" s="251">
        <v>30.85</v>
      </c>
      <c r="Q467" s="251">
        <v>30.25</v>
      </c>
      <c r="R467" s="251">
        <v>30.25</v>
      </c>
      <c r="S467" s="251">
        <v>29.85</v>
      </c>
      <c r="T467" s="251">
        <v>29.6</v>
      </c>
      <c r="U467" s="251">
        <v>28.9</v>
      </c>
      <c r="V467" s="251">
        <v>28.5</v>
      </c>
      <c r="W467" s="251">
        <v>28.6</v>
      </c>
      <c r="X467" s="251">
        <v>29.55</v>
      </c>
      <c r="Y467" s="251">
        <v>30.25</v>
      </c>
      <c r="Z467" s="245">
        <f ca="1">[1]ExtEntry!$J65</f>
        <v>30.25</v>
      </c>
      <c r="AB467" s="262">
        <v>364</v>
      </c>
      <c r="AC467" s="262">
        <v>-532</v>
      </c>
      <c r="AD467" s="262">
        <v>-308</v>
      </c>
      <c r="AE467" s="262">
        <v>112</v>
      </c>
      <c r="AF467" s="262">
        <v>896</v>
      </c>
      <c r="AG467" s="262">
        <v>28</v>
      </c>
      <c r="AH467" s="262">
        <v>196</v>
      </c>
      <c r="AI467" s="262">
        <v>84</v>
      </c>
      <c r="AJ467" s="262">
        <v>-308</v>
      </c>
      <c r="AK467" s="262">
        <v>-1008</v>
      </c>
      <c r="AL467" s="262">
        <v>588</v>
      </c>
      <c r="AM467" s="262">
        <v>-112</v>
      </c>
      <c r="AN467" s="262">
        <v>-196</v>
      </c>
      <c r="AO467" s="262">
        <v>224</v>
      </c>
      <c r="AP467" s="262">
        <v>476</v>
      </c>
      <c r="AQ467" s="262">
        <v>-896</v>
      </c>
      <c r="AR467" s="262">
        <v>56</v>
      </c>
      <c r="AS467" s="262">
        <v>168</v>
      </c>
      <c r="AT467" s="262">
        <v>-28</v>
      </c>
      <c r="AU467" s="262">
        <v>392</v>
      </c>
      <c r="AV467" s="261">
        <f t="shared" ca="1" si="35"/>
        <v>392</v>
      </c>
      <c r="AX467" s="88" t="str">
        <f t="shared" ca="1" si="36"/>
        <v>MVEUN0</v>
      </c>
    </row>
    <row r="468" spans="1:50" hidden="1" x14ac:dyDescent="0.3">
      <c r="A468" s="88" t="str">
        <f t="shared" ca="1" si="34"/>
        <v>SAFAAPL</v>
      </c>
      <c r="F468" s="251">
        <v>248.845</v>
      </c>
      <c r="G468" s="251">
        <v>251.82</v>
      </c>
      <c r="H468" s="251">
        <v>249.04</v>
      </c>
      <c r="I468" s="251">
        <v>253.38</v>
      </c>
      <c r="J468" s="251">
        <v>264.375</v>
      </c>
      <c r="K468" s="251">
        <v>265.29000000000002</v>
      </c>
      <c r="L468" s="251">
        <v>262.85000000000002</v>
      </c>
      <c r="M468" s="251">
        <v>262.85000000000002</v>
      </c>
      <c r="N468" s="251">
        <v>260.62</v>
      </c>
      <c r="O468" s="251">
        <v>264.13</v>
      </c>
      <c r="P468" s="251">
        <v>269.12</v>
      </c>
      <c r="Q468" s="251">
        <v>269.89</v>
      </c>
      <c r="R468" s="251">
        <v>274.14</v>
      </c>
      <c r="S468" s="251">
        <v>271.48599999999999</v>
      </c>
      <c r="T468" s="251">
        <v>271.7</v>
      </c>
      <c r="U468" s="251">
        <v>273.39999999999998</v>
      </c>
      <c r="V468" s="251">
        <v>272.29000000000002</v>
      </c>
      <c r="W468" s="251">
        <v>275.95999999999998</v>
      </c>
      <c r="X468" s="251">
        <v>270.70999999999998</v>
      </c>
      <c r="Y468" s="251">
        <v>272.20999999999998</v>
      </c>
      <c r="Z468" s="245">
        <f ca="1">[1]ExtEntry!$J66</f>
        <v>272.20999999999998</v>
      </c>
      <c r="AB468" s="265">
        <v>533.75</v>
      </c>
      <c r="AC468" s="265">
        <v>-532</v>
      </c>
      <c r="AD468" s="265">
        <v>1037.75</v>
      </c>
      <c r="AE468" s="265">
        <v>2812.25</v>
      </c>
      <c r="AF468" s="265">
        <v>2854.25</v>
      </c>
      <c r="AG468" s="265">
        <v>-108.5</v>
      </c>
      <c r="AH468" s="265">
        <v>-1476.9999999999854</v>
      </c>
      <c r="AI468" s="265">
        <v>-1189.9999999999854</v>
      </c>
      <c r="AJ468" s="265">
        <v>-1620.5</v>
      </c>
      <c r="AK468" s="265">
        <v>-1653.75</v>
      </c>
      <c r="AL468" s="265">
        <v>1064</v>
      </c>
      <c r="AM468" s="265">
        <v>1475.2499999999854</v>
      </c>
      <c r="AN468" s="265">
        <v>1263.4999999999709</v>
      </c>
      <c r="AO468" s="265">
        <v>668.49999999998545</v>
      </c>
      <c r="AP468" s="265">
        <v>-35</v>
      </c>
      <c r="AQ468" s="265">
        <v>-570.5</v>
      </c>
      <c r="AR468" s="265">
        <v>-625.79999999998836</v>
      </c>
      <c r="AS468" s="265">
        <v>682.5000000000291</v>
      </c>
      <c r="AT468" s="265">
        <v>-1434.9999999999854</v>
      </c>
      <c r="AU468" s="265">
        <v>1049.9999999999854</v>
      </c>
      <c r="AV468" s="261">
        <f t="shared" ca="1" si="35"/>
        <v>1049.9999999999854</v>
      </c>
      <c r="AX468" s="88" t="str">
        <f t="shared" ca="1" si="36"/>
        <v>SAFAAPL</v>
      </c>
    </row>
    <row r="469" spans="1:50" hidden="1" x14ac:dyDescent="0.3">
      <c r="A469" s="88" t="str">
        <f t="shared" ca="1" si="34"/>
        <v>SAFAMZN</v>
      </c>
      <c r="F469" s="251">
        <v>219.32</v>
      </c>
      <c r="G469" s="251">
        <v>217.71</v>
      </c>
      <c r="H469" s="251">
        <v>218.59</v>
      </c>
      <c r="I469" s="251">
        <v>214.8</v>
      </c>
      <c r="J469" s="251">
        <v>216.69</v>
      </c>
      <c r="K469" s="251">
        <v>223.32</v>
      </c>
      <c r="L469" s="251">
        <v>220.005</v>
      </c>
      <c r="M469" s="251">
        <v>220.005</v>
      </c>
      <c r="N469" s="251">
        <v>221.3</v>
      </c>
      <c r="O469" s="251">
        <v>225.4</v>
      </c>
      <c r="P469" s="251">
        <v>228.4</v>
      </c>
      <c r="Q469" s="251">
        <v>231.48500000000001</v>
      </c>
      <c r="R469" s="251">
        <v>228.44</v>
      </c>
      <c r="S469" s="251">
        <v>257.01</v>
      </c>
      <c r="T469" s="251">
        <v>251</v>
      </c>
      <c r="U469" s="251">
        <v>250.38</v>
      </c>
      <c r="V469" s="251">
        <v>244.9</v>
      </c>
      <c r="W469" s="251">
        <v>238.73</v>
      </c>
      <c r="X469" s="251">
        <v>230.2</v>
      </c>
      <c r="Y469" s="251">
        <v>223.73500000000001</v>
      </c>
      <c r="Z469" s="245">
        <f ca="1">[1]ExtEntry!$J67</f>
        <v>223.73500000000001</v>
      </c>
      <c r="AB469" s="262">
        <v>-20</v>
      </c>
      <c r="AC469" s="262">
        <v>-6900</v>
      </c>
      <c r="AD469" s="262">
        <v>-7890</v>
      </c>
      <c r="AE469" s="262">
        <v>-8530</v>
      </c>
      <c r="AF469" s="262">
        <v>60</v>
      </c>
      <c r="AG469" s="262">
        <v>3620</v>
      </c>
      <c r="AH469" s="262">
        <v>275</v>
      </c>
      <c r="AI469" s="262">
        <v>375</v>
      </c>
      <c r="AJ469" s="262">
        <v>6175</v>
      </c>
      <c r="AK469" s="262">
        <v>-1840</v>
      </c>
      <c r="AL469" s="262">
        <v>-6435</v>
      </c>
      <c r="AM469" s="262">
        <v>3577.5</v>
      </c>
      <c r="AN469" s="262">
        <v>-4275</v>
      </c>
      <c r="AO469" s="262">
        <v>-5625</v>
      </c>
      <c r="AP469" s="262">
        <v>-1605</v>
      </c>
      <c r="AQ469" s="262">
        <v>-6980.4000000000233</v>
      </c>
      <c r="AR469" s="262">
        <v>787.5</v>
      </c>
      <c r="AS469" s="262">
        <v>5745</v>
      </c>
      <c r="AT469" s="262">
        <v>-5835</v>
      </c>
      <c r="AU469" s="262">
        <v>-5367</v>
      </c>
      <c r="AV469" s="261">
        <f t="shared" ca="1" si="35"/>
        <v>-5367</v>
      </c>
      <c r="AX469" s="88" t="str">
        <f t="shared" ca="1" si="36"/>
        <v>SAFAMZN</v>
      </c>
    </row>
    <row r="470" spans="1:50" hidden="1" x14ac:dyDescent="0.3">
      <c r="A470" s="88" t="str">
        <f t="shared" ref="A470:A497" ca="1" si="37">A70</f>
        <v>SAFASML</v>
      </c>
      <c r="F470" s="251">
        <v>847.9</v>
      </c>
      <c r="G470" s="251">
        <v>893.5</v>
      </c>
      <c r="H470" s="251">
        <v>900.5</v>
      </c>
      <c r="I470" s="251">
        <v>885.9</v>
      </c>
      <c r="J470" s="251">
        <v>901.5</v>
      </c>
      <c r="K470" s="251">
        <v>894.4</v>
      </c>
      <c r="L470" s="251">
        <v>892.4</v>
      </c>
      <c r="M470" s="251">
        <v>892.4</v>
      </c>
      <c r="N470" s="251">
        <v>891.2</v>
      </c>
      <c r="O470" s="251">
        <v>902.6</v>
      </c>
      <c r="P470" s="251">
        <v>914.2</v>
      </c>
      <c r="Q470" s="251">
        <v>914.2</v>
      </c>
      <c r="R470" s="251">
        <v>938.6</v>
      </c>
      <c r="S470" s="251">
        <v>926.1</v>
      </c>
      <c r="T470" s="251">
        <v>913.3</v>
      </c>
      <c r="U470" s="251">
        <v>912.6</v>
      </c>
      <c r="V470" s="251">
        <v>900.9</v>
      </c>
      <c r="W470" s="251">
        <v>876.8</v>
      </c>
      <c r="X470" s="251">
        <v>864.9</v>
      </c>
      <c r="Y470" s="251">
        <v>895.2</v>
      </c>
      <c r="Z470" s="245">
        <f ca="1">[1]ExtEntry!$J68</f>
        <v>895.2</v>
      </c>
      <c r="AB470" s="265">
        <v>6750</v>
      </c>
      <c r="AC470" s="265">
        <v>-1100</v>
      </c>
      <c r="AD470" s="265">
        <v>-1325</v>
      </c>
      <c r="AE470" s="265">
        <v>4725</v>
      </c>
      <c r="AF470" s="265">
        <v>-1450</v>
      </c>
      <c r="AG470" s="265">
        <v>-3025</v>
      </c>
      <c r="AH470" s="265">
        <v>-1000</v>
      </c>
      <c r="AI470" s="265">
        <v>-75</v>
      </c>
      <c r="AJ470" s="265">
        <v>-100</v>
      </c>
      <c r="AK470" s="265">
        <v>-5150</v>
      </c>
      <c r="AL470" s="265">
        <v>2075</v>
      </c>
      <c r="AM470" s="265">
        <v>2475</v>
      </c>
      <c r="AN470" s="265">
        <v>4775</v>
      </c>
      <c r="AO470" s="265">
        <v>-1725</v>
      </c>
      <c r="AP470" s="265">
        <v>7325</v>
      </c>
      <c r="AQ470" s="265">
        <v>-3475</v>
      </c>
      <c r="AR470" s="265">
        <v>-7875</v>
      </c>
      <c r="AS470" s="265">
        <v>-1325</v>
      </c>
      <c r="AT470" s="265">
        <v>-2625</v>
      </c>
      <c r="AU470" s="265">
        <v>450</v>
      </c>
      <c r="AV470" s="261">
        <f t="shared" ref="AV470:AV498" ca="1" si="38">AV370-AP370</f>
        <v>450</v>
      </c>
      <c r="AX470" s="88" t="str">
        <f t="shared" ref="AX470:AX497" ca="1" si="39">A70</f>
        <v>SAFASML</v>
      </c>
    </row>
    <row r="471" spans="1:50" hidden="1" x14ac:dyDescent="0.3">
      <c r="A471" s="88" t="str">
        <f t="shared" ca="1" si="37"/>
        <v>SAFDDD</v>
      </c>
      <c r="F471" s="251">
        <v>3.17</v>
      </c>
      <c r="G471" s="251">
        <v>3.28</v>
      </c>
      <c r="H471" s="251">
        <v>3.5497000000000001</v>
      </c>
      <c r="I471" s="251">
        <v>3.32</v>
      </c>
      <c r="J471" s="251">
        <v>3.8</v>
      </c>
      <c r="K471" s="251">
        <v>3.75</v>
      </c>
      <c r="L471" s="251">
        <v>3.43</v>
      </c>
      <c r="M471" s="251">
        <v>3.43</v>
      </c>
      <c r="N471" s="251">
        <v>3.21</v>
      </c>
      <c r="O471" s="251">
        <v>3.29</v>
      </c>
      <c r="P471" s="251">
        <v>3.24</v>
      </c>
      <c r="Q471" s="251">
        <v>3.4</v>
      </c>
      <c r="R471" s="251">
        <v>3.04</v>
      </c>
      <c r="S471" s="251">
        <v>2.7397999999999998</v>
      </c>
      <c r="T471" s="251">
        <v>2.6949999999999998</v>
      </c>
      <c r="U471" s="251">
        <v>2.65</v>
      </c>
      <c r="V471" s="251">
        <v>2.27</v>
      </c>
      <c r="W471" s="251">
        <v>2.23</v>
      </c>
      <c r="X471" s="251">
        <v>2.105</v>
      </c>
      <c r="Y471" s="251">
        <v>2.1899000000000002</v>
      </c>
      <c r="Z471" s="245">
        <f ca="1">[1]ExtEntry!$J69</f>
        <v>2.1899000000000002</v>
      </c>
      <c r="AB471" s="262">
        <v>19250</v>
      </c>
      <c r="AC471" s="262">
        <v>-2750</v>
      </c>
      <c r="AD471" s="262">
        <v>5500</v>
      </c>
      <c r="AE471" s="262">
        <v>3300</v>
      </c>
      <c r="AF471" s="262">
        <v>48950</v>
      </c>
      <c r="AG471" s="262">
        <v>-47300</v>
      </c>
      <c r="AH471" s="262">
        <v>-44550</v>
      </c>
      <c r="AI471" s="262">
        <v>-34650</v>
      </c>
      <c r="AJ471" s="262">
        <v>7150</v>
      </c>
      <c r="AK471" s="262">
        <v>-66000</v>
      </c>
      <c r="AL471" s="262">
        <v>18150</v>
      </c>
      <c r="AM471" s="262">
        <v>35200</v>
      </c>
      <c r="AN471" s="262">
        <v>15950</v>
      </c>
      <c r="AO471" s="262">
        <v>-8822</v>
      </c>
      <c r="AP471" s="262">
        <v>17050</v>
      </c>
      <c r="AQ471" s="262">
        <v>-23100</v>
      </c>
      <c r="AR471" s="262">
        <v>5499.9999999999709</v>
      </c>
      <c r="AS471" s="262">
        <v>32450.000000000029</v>
      </c>
      <c r="AT471" s="262">
        <v>12672.000000000029</v>
      </c>
      <c r="AU471" s="262">
        <v>-17050</v>
      </c>
      <c r="AV471" s="261">
        <f t="shared" ca="1" si="38"/>
        <v>-17050</v>
      </c>
      <c r="AX471" s="88" t="str">
        <f t="shared" ca="1" si="39"/>
        <v>SAFDDD</v>
      </c>
    </row>
    <row r="472" spans="1:50" hidden="1" x14ac:dyDescent="0.3">
      <c r="A472" s="88" t="str">
        <f t="shared" ca="1" si="37"/>
        <v>SAFDIS</v>
      </c>
      <c r="F472" s="251">
        <v>111.84</v>
      </c>
      <c r="G472" s="251">
        <v>112.675</v>
      </c>
      <c r="H472" s="251">
        <v>112.08499999999999</v>
      </c>
      <c r="I472" s="251">
        <v>111.46</v>
      </c>
      <c r="J472" s="251">
        <v>112.25</v>
      </c>
      <c r="K472" s="251">
        <v>114.5395</v>
      </c>
      <c r="L472" s="251">
        <v>114.28</v>
      </c>
      <c r="M472" s="251">
        <v>114.28</v>
      </c>
      <c r="N472" s="251">
        <v>113.83</v>
      </c>
      <c r="O472" s="251">
        <v>113.65</v>
      </c>
      <c r="P472" s="251">
        <v>112.6</v>
      </c>
      <c r="Q472" s="251">
        <v>112.48</v>
      </c>
      <c r="R472" s="251">
        <v>113.5801</v>
      </c>
      <c r="S472" s="251">
        <v>111.785</v>
      </c>
      <c r="T472" s="251">
        <v>111.97</v>
      </c>
      <c r="U472" s="251">
        <v>111.71</v>
      </c>
      <c r="V472" s="251">
        <v>111.425</v>
      </c>
      <c r="W472" s="251">
        <v>108.73</v>
      </c>
      <c r="X472" s="251">
        <v>107.08</v>
      </c>
      <c r="Y472" s="251">
        <v>107.59</v>
      </c>
      <c r="Z472" s="245">
        <f ca="1">[1]ExtEntry!$J70</f>
        <v>107.59</v>
      </c>
      <c r="AB472" s="265">
        <v>1746</v>
      </c>
      <c r="AC472" s="265">
        <v>1644</v>
      </c>
      <c r="AD472" s="265">
        <v>-1278</v>
      </c>
      <c r="AE472" s="265">
        <v>2112</v>
      </c>
      <c r="AF472" s="265">
        <v>984</v>
      </c>
      <c r="AG472" s="265">
        <v>798</v>
      </c>
      <c r="AH472" s="265">
        <v>-1626</v>
      </c>
      <c r="AI472" s="265">
        <v>1194</v>
      </c>
      <c r="AJ472" s="265">
        <v>-1296</v>
      </c>
      <c r="AK472" s="265">
        <v>-3012</v>
      </c>
      <c r="AL472" s="265">
        <v>-2028</v>
      </c>
      <c r="AM472" s="265">
        <v>786</v>
      </c>
      <c r="AN472" s="265">
        <v>3132</v>
      </c>
      <c r="AO472" s="265">
        <v>984</v>
      </c>
      <c r="AP472" s="265">
        <v>1860</v>
      </c>
      <c r="AQ472" s="265">
        <v>-2040</v>
      </c>
      <c r="AR472" s="265">
        <v>750</v>
      </c>
      <c r="AS472" s="265">
        <v>-4116</v>
      </c>
      <c r="AT472" s="265">
        <v>612</v>
      </c>
      <c r="AU472" s="265">
        <v>-906</v>
      </c>
      <c r="AV472" s="261">
        <f t="shared" ca="1" si="38"/>
        <v>-906</v>
      </c>
      <c r="AX472" s="88" t="str">
        <f t="shared" ca="1" si="39"/>
        <v>SAFDIS</v>
      </c>
    </row>
    <row r="473" spans="1:50" hidden="1" x14ac:dyDescent="0.3">
      <c r="A473" s="88" t="str">
        <f t="shared" ca="1" si="37"/>
        <v>SAFGM</v>
      </c>
      <c r="F473" s="251">
        <v>57.25</v>
      </c>
      <c r="G473" s="251">
        <v>58.25</v>
      </c>
      <c r="H473" s="251">
        <v>58.4</v>
      </c>
      <c r="I473" s="251">
        <v>59.17</v>
      </c>
      <c r="J473" s="251">
        <v>58.555</v>
      </c>
      <c r="K473" s="251">
        <v>67.55</v>
      </c>
      <c r="L473" s="251">
        <v>67.584999999999994</v>
      </c>
      <c r="M473" s="251">
        <v>67.584999999999994</v>
      </c>
      <c r="N473" s="251">
        <v>68.48</v>
      </c>
      <c r="O473" s="251">
        <v>69.7</v>
      </c>
      <c r="P473" s="251">
        <v>69.63</v>
      </c>
      <c r="Q473" s="251">
        <v>70.19</v>
      </c>
      <c r="R473" s="251">
        <v>69.78</v>
      </c>
      <c r="S473" s="251">
        <v>68.13</v>
      </c>
      <c r="T473" s="251">
        <v>69.260000000000005</v>
      </c>
      <c r="U473" s="251">
        <v>69.397999999999996</v>
      </c>
      <c r="V473" s="251">
        <v>70.734999999999999</v>
      </c>
      <c r="W473" s="251">
        <v>71.765000000000001</v>
      </c>
      <c r="X473" s="251">
        <v>68.42</v>
      </c>
      <c r="Y473" s="251">
        <v>69.66</v>
      </c>
      <c r="Z473" s="245">
        <f ca="1">[1]ExtEntry!$J71</f>
        <v>69.66</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408.6</v>
      </c>
      <c r="G474" s="251">
        <v>414.8</v>
      </c>
      <c r="H474" s="251">
        <v>411.9</v>
      </c>
      <c r="I474" s="251">
        <v>402</v>
      </c>
      <c r="J474" s="251">
        <v>398.4</v>
      </c>
      <c r="K474" s="251">
        <v>398.1</v>
      </c>
      <c r="L474" s="251">
        <v>404.8</v>
      </c>
      <c r="M474" s="251">
        <v>404.8</v>
      </c>
      <c r="N474" s="251">
        <v>406.2</v>
      </c>
      <c r="O474" s="251">
        <v>410</v>
      </c>
      <c r="P474" s="251">
        <v>411.7</v>
      </c>
      <c r="Q474" s="251">
        <v>414</v>
      </c>
      <c r="R474" s="251">
        <v>414.5</v>
      </c>
      <c r="S474" s="251">
        <v>425.7</v>
      </c>
      <c r="T474" s="251">
        <v>426.1</v>
      </c>
      <c r="U474" s="251">
        <v>426.1</v>
      </c>
      <c r="V474" s="251">
        <v>389.2</v>
      </c>
      <c r="W474" s="251">
        <v>392.7</v>
      </c>
      <c r="X474" s="251">
        <v>372.3</v>
      </c>
      <c r="Y474" s="251">
        <v>380.9</v>
      </c>
      <c r="Z474" s="245">
        <f ca="1">[1]ExtEntry!$J72</f>
        <v>380.9</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26.69</v>
      </c>
      <c r="G475" s="251">
        <v>27.952000000000002</v>
      </c>
      <c r="H475" s="251">
        <v>28.48</v>
      </c>
      <c r="I475" s="251">
        <v>26.94</v>
      </c>
      <c r="J475" s="251">
        <v>28.12</v>
      </c>
      <c r="K475" s="251">
        <v>27.59</v>
      </c>
      <c r="L475" s="251">
        <v>27.35</v>
      </c>
      <c r="M475" s="251">
        <v>27.35</v>
      </c>
      <c r="N475" s="251">
        <v>26.67</v>
      </c>
      <c r="O475" s="251">
        <v>26.91</v>
      </c>
      <c r="P475" s="251">
        <v>27.373699999999999</v>
      </c>
      <c r="Q475" s="251">
        <v>26.9</v>
      </c>
      <c r="R475" s="251">
        <v>29.2</v>
      </c>
      <c r="S475" s="251">
        <v>25.15</v>
      </c>
      <c r="T475" s="251">
        <v>24.04</v>
      </c>
      <c r="U475" s="251">
        <v>25.56</v>
      </c>
      <c r="V475" s="251">
        <v>24.524999999999999</v>
      </c>
      <c r="W475" s="251">
        <v>24.88</v>
      </c>
      <c r="X475" s="251">
        <v>24.99</v>
      </c>
      <c r="Y475" s="251">
        <v>25.06</v>
      </c>
      <c r="Z475" s="245">
        <f ca="1">[1]ExtEntry!$J73</f>
        <v>25.06</v>
      </c>
      <c r="AB475" s="262">
        <v>1025</v>
      </c>
      <c r="AC475" s="262">
        <v>3175</v>
      </c>
      <c r="AD475" s="262">
        <v>-675</v>
      </c>
      <c r="AE475" s="262">
        <v>800.00000000001455</v>
      </c>
      <c r="AF475" s="262">
        <v>6650</v>
      </c>
      <c r="AG475" s="262">
        <v>1550</v>
      </c>
      <c r="AH475" s="262">
        <v>-7725</v>
      </c>
      <c r="AI475" s="262">
        <v>1725</v>
      </c>
      <c r="AJ475" s="262">
        <v>4199.9999999999854</v>
      </c>
      <c r="AK475" s="262">
        <v>-3050</v>
      </c>
      <c r="AL475" s="262">
        <v>-2950</v>
      </c>
      <c r="AM475" s="262">
        <v>-4800</v>
      </c>
      <c r="AN475" s="262">
        <v>20375</v>
      </c>
      <c r="AO475" s="262">
        <v>-6375</v>
      </c>
      <c r="AP475" s="262">
        <v>-2875</v>
      </c>
      <c r="AQ475" s="262">
        <v>-3675</v>
      </c>
      <c r="AR475" s="262">
        <v>9875</v>
      </c>
      <c r="AS475" s="262">
        <v>-16900</v>
      </c>
      <c r="AT475" s="262">
        <v>6375.0000000000291</v>
      </c>
      <c r="AU475" s="262">
        <v>-1575</v>
      </c>
      <c r="AV475" s="261">
        <f t="shared" ca="1" si="38"/>
        <v>-1575</v>
      </c>
      <c r="AX475" s="88" t="str">
        <f t="shared" ca="1" si="39"/>
        <v>SAFMRNA</v>
      </c>
    </row>
    <row r="476" spans="1:50" hidden="1" x14ac:dyDescent="0.3">
      <c r="A476" s="88" t="str">
        <f t="shared" ca="1" si="37"/>
        <v>BLNK</v>
      </c>
      <c r="F476" s="251">
        <v>2.36</v>
      </c>
      <c r="G476" s="251">
        <v>2.35</v>
      </c>
      <c r="H476" s="251">
        <v>2.1549999999999998</v>
      </c>
      <c r="I476" s="251">
        <v>1.885</v>
      </c>
      <c r="J476" s="251">
        <v>1.93</v>
      </c>
      <c r="K476" s="251">
        <v>1.865</v>
      </c>
      <c r="L476" s="251">
        <v>1.8</v>
      </c>
      <c r="M476" s="251">
        <v>1.8</v>
      </c>
      <c r="N476" s="251">
        <v>1.82</v>
      </c>
      <c r="O476" s="251">
        <v>1.94</v>
      </c>
      <c r="P476" s="251">
        <v>1.96</v>
      </c>
      <c r="Q476" s="251">
        <v>1.86</v>
      </c>
      <c r="R476" s="251">
        <v>1.69</v>
      </c>
      <c r="S476" s="251">
        <v>1.57</v>
      </c>
      <c r="T476" s="251">
        <v>1.66</v>
      </c>
      <c r="U476" s="251">
        <v>1.64</v>
      </c>
      <c r="V476" s="251">
        <v>1.6</v>
      </c>
      <c r="W476" s="251">
        <v>1.4684999999999999</v>
      </c>
      <c r="X476" s="251">
        <v>1.44</v>
      </c>
      <c r="Y476" s="251">
        <v>1.43</v>
      </c>
      <c r="Z476" s="245">
        <f ca="1">[1]ExtEntry!$J74</f>
        <v>1.43</v>
      </c>
      <c r="AB476" s="265">
        <v>46200</v>
      </c>
      <c r="AC476" s="265">
        <v>-3300</v>
      </c>
      <c r="AD476" s="265">
        <v>-13200</v>
      </c>
      <c r="AE476" s="265">
        <v>8400</v>
      </c>
      <c r="AF476" s="265">
        <v>-13080</v>
      </c>
      <c r="AG476" s="265">
        <v>-26640</v>
      </c>
      <c r="AH476" s="265">
        <v>27420</v>
      </c>
      <c r="AI476" s="265">
        <v>36000</v>
      </c>
      <c r="AJ476" s="265">
        <v>3600</v>
      </c>
      <c r="AK476" s="265">
        <v>13200</v>
      </c>
      <c r="AL476" s="265">
        <v>-4800</v>
      </c>
      <c r="AM476" s="265">
        <v>-21600</v>
      </c>
      <c r="AN476" s="265">
        <v>-15600</v>
      </c>
      <c r="AO476" s="265">
        <v>1932</v>
      </c>
      <c r="AP476" s="265">
        <v>4800</v>
      </c>
      <c r="AQ476" s="265">
        <v>600</v>
      </c>
      <c r="AR476" s="265">
        <v>38388</v>
      </c>
      <c r="AS476" s="265">
        <v>7200</v>
      </c>
      <c r="AT476" s="265">
        <v>7068</v>
      </c>
      <c r="AU476" s="265">
        <v>-22200</v>
      </c>
      <c r="AV476" s="261">
        <f t="shared" ca="1" si="38"/>
        <v>-22200</v>
      </c>
      <c r="AX476" s="88" t="str">
        <f t="shared" ca="1" si="39"/>
        <v>BLNK</v>
      </c>
    </row>
    <row r="477" spans="1:50" hidden="1" x14ac:dyDescent="0.3">
      <c r="A477" s="88" t="str">
        <f t="shared" ca="1" si="37"/>
        <v>ENI</v>
      </c>
      <c r="F477" s="251">
        <v>14.926</v>
      </c>
      <c r="G477" s="251">
        <v>14.811999999999999</v>
      </c>
      <c r="H477" s="251">
        <v>14.846</v>
      </c>
      <c r="I477" s="251">
        <v>14.866</v>
      </c>
      <c r="J477" s="251">
        <v>15.002000000000001</v>
      </c>
      <c r="K477" s="251">
        <v>15.007999999999999</v>
      </c>
      <c r="L477" s="251">
        <v>15.166</v>
      </c>
      <c r="M477" s="251">
        <v>15.166</v>
      </c>
      <c r="N477" s="251">
        <v>15.63</v>
      </c>
      <c r="O477" s="251">
        <v>16.032</v>
      </c>
      <c r="P477" s="251">
        <v>15.954000000000001</v>
      </c>
      <c r="Q477" s="251">
        <v>15.923999999999999</v>
      </c>
      <c r="R477" s="251">
        <v>15.98</v>
      </c>
      <c r="S477" s="251">
        <v>15.91</v>
      </c>
      <c r="T477" s="251">
        <v>15.986000000000001</v>
      </c>
      <c r="U477" s="251">
        <v>15.994</v>
      </c>
      <c r="V477" s="251">
        <v>16.047999999999998</v>
      </c>
      <c r="W477" s="251">
        <v>16.495999999999999</v>
      </c>
      <c r="X477" s="251">
        <v>16.48</v>
      </c>
      <c r="Y477" s="251">
        <v>16.48</v>
      </c>
      <c r="Z477" s="245">
        <f ca="1">[1]ExtEntry!$J75</f>
        <v>16.48</v>
      </c>
      <c r="AB477" s="262">
        <v>-5060</v>
      </c>
      <c r="AC477" s="262">
        <v>880</v>
      </c>
      <c r="AD477" s="262">
        <v>-1144</v>
      </c>
      <c r="AE477" s="262">
        <v>6864</v>
      </c>
      <c r="AF477" s="262">
        <v>1584</v>
      </c>
      <c r="AG477" s="262">
        <v>4312</v>
      </c>
      <c r="AH477" s="262">
        <v>1100</v>
      </c>
      <c r="AI477" s="262">
        <v>1980</v>
      </c>
      <c r="AJ477" s="262">
        <v>-616</v>
      </c>
      <c r="AK477" s="262">
        <v>-220</v>
      </c>
      <c r="AL477" s="262">
        <v>1232</v>
      </c>
      <c r="AM477" s="262">
        <v>220</v>
      </c>
      <c r="AN477" s="262">
        <v>-2992</v>
      </c>
      <c r="AO477" s="262">
        <v>-5022</v>
      </c>
      <c r="AP477" s="262">
        <v>1908</v>
      </c>
      <c r="AQ477" s="262">
        <v>-142</v>
      </c>
      <c r="AR477" s="262">
        <v>-3218</v>
      </c>
      <c r="AS477" s="262">
        <v>1592</v>
      </c>
      <c r="AT477" s="262">
        <v>-510</v>
      </c>
      <c r="AU477" s="262">
        <v>-4794</v>
      </c>
      <c r="AV477" s="261">
        <f t="shared" ca="1" si="38"/>
        <v>-4794</v>
      </c>
      <c r="AX477" s="88" t="str">
        <f t="shared" ca="1" si="39"/>
        <v>ENI</v>
      </c>
    </row>
    <row r="478" spans="1:50" hidden="1" x14ac:dyDescent="0.3">
      <c r="A478" s="88" t="str">
        <f t="shared" ca="1" si="37"/>
        <v>EZJ</v>
      </c>
      <c r="F478" s="251">
        <v>517.20000000000005</v>
      </c>
      <c r="G478" s="251">
        <v>510</v>
      </c>
      <c r="H478" s="251">
        <v>490.7</v>
      </c>
      <c r="I478" s="251">
        <v>491.4</v>
      </c>
      <c r="J478" s="251">
        <v>491.3</v>
      </c>
      <c r="K478" s="251">
        <v>485.4</v>
      </c>
      <c r="L478" s="251">
        <v>497.2</v>
      </c>
      <c r="M478" s="251">
        <v>497.2</v>
      </c>
      <c r="N478" s="251">
        <v>490.4</v>
      </c>
      <c r="O478" s="251">
        <v>486.5</v>
      </c>
      <c r="P478" s="251">
        <v>490.1</v>
      </c>
      <c r="Q478" s="251">
        <v>487</v>
      </c>
      <c r="R478" s="251">
        <v>485.6</v>
      </c>
      <c r="S478" s="251">
        <v>489.2</v>
      </c>
      <c r="T478" s="251">
        <v>487.3</v>
      </c>
      <c r="U478" s="251">
        <v>486.6</v>
      </c>
      <c r="V478" s="251">
        <v>478.5</v>
      </c>
      <c r="W478" s="251">
        <v>474.4</v>
      </c>
      <c r="X478" s="251">
        <v>460.4</v>
      </c>
      <c r="Y478" s="251">
        <v>469.7</v>
      </c>
      <c r="Z478" s="245">
        <f ca="1">[1]ExtEntry!$J76</f>
        <v>469.7</v>
      </c>
      <c r="AB478" s="265">
        <v>-1880</v>
      </c>
      <c r="AC478" s="265">
        <v>-10160</v>
      </c>
      <c r="AD478" s="265">
        <v>3960</v>
      </c>
      <c r="AE478" s="265">
        <v>2469.2799999999997</v>
      </c>
      <c r="AF478" s="265">
        <v>-1680</v>
      </c>
      <c r="AG478" s="265">
        <v>1400</v>
      </c>
      <c r="AH478" s="265">
        <v>10990</v>
      </c>
      <c r="AI478" s="265">
        <v>-330</v>
      </c>
      <c r="AJ478" s="265">
        <v>-3910</v>
      </c>
      <c r="AK478" s="265">
        <v>2010</v>
      </c>
      <c r="AL478" s="265">
        <v>2280</v>
      </c>
      <c r="AM478" s="265">
        <v>-3780</v>
      </c>
      <c r="AN478" s="265">
        <v>-2490</v>
      </c>
      <c r="AO478" s="265">
        <v>-180</v>
      </c>
      <c r="AP478" s="265">
        <v>810</v>
      </c>
      <c r="AQ478" s="265">
        <v>-2670</v>
      </c>
      <c r="AR478" s="265">
        <v>-1380</v>
      </c>
      <c r="AS478" s="265">
        <v>-1440</v>
      </c>
      <c r="AT478" s="265">
        <v>1500</v>
      </c>
      <c r="AU478" s="265">
        <v>-360</v>
      </c>
      <c r="AV478" s="261">
        <f t="shared" ca="1" si="38"/>
        <v>-360</v>
      </c>
      <c r="AX478" s="88" t="str">
        <f t="shared" ca="1" si="39"/>
        <v>EZJ</v>
      </c>
    </row>
    <row r="479" spans="1:50" hidden="1" x14ac:dyDescent="0.3">
      <c r="A479" s="88" t="str">
        <f t="shared" ca="1" si="37"/>
        <v>F</v>
      </c>
      <c r="F479" s="251">
        <v>11.76</v>
      </c>
      <c r="G479" s="251">
        <v>11.78</v>
      </c>
      <c r="H479" s="251">
        <v>11.79</v>
      </c>
      <c r="I479" s="251">
        <v>12.01</v>
      </c>
      <c r="J479" s="251">
        <v>12.08</v>
      </c>
      <c r="K479" s="251">
        <v>12.63</v>
      </c>
      <c r="L479" s="251">
        <v>12.595000000000001</v>
      </c>
      <c r="M479" s="251">
        <v>12.595000000000001</v>
      </c>
      <c r="N479" s="251">
        <v>12.49</v>
      </c>
      <c r="O479" s="251">
        <v>13.97</v>
      </c>
      <c r="P479" s="251">
        <v>13.8</v>
      </c>
      <c r="Q479" s="251">
        <v>13.28</v>
      </c>
      <c r="R479" s="251">
        <v>13.29</v>
      </c>
      <c r="S479" s="251">
        <v>12.93</v>
      </c>
      <c r="T479" s="251">
        <v>13.305</v>
      </c>
      <c r="U479" s="251">
        <v>13.26</v>
      </c>
      <c r="V479" s="251">
        <v>13.24</v>
      </c>
      <c r="W479" s="251">
        <v>13.31</v>
      </c>
      <c r="X479" s="251">
        <v>13.09</v>
      </c>
      <c r="Y479" s="251">
        <v>13.15</v>
      </c>
      <c r="Z479" s="245">
        <f ca="1">[1]ExtEntry!$J77</f>
        <v>13.15</v>
      </c>
      <c r="AB479" s="262">
        <v>2520</v>
      </c>
      <c r="AC479" s="262">
        <v>930</v>
      </c>
      <c r="AD479" s="262">
        <v>690</v>
      </c>
      <c r="AE479" s="262">
        <v>1275</v>
      </c>
      <c r="AF479" s="262">
        <v>-165</v>
      </c>
      <c r="AG479" s="262">
        <v>-795</v>
      </c>
      <c r="AH479" s="262">
        <v>-225</v>
      </c>
      <c r="AI479" s="262">
        <v>-15</v>
      </c>
      <c r="AJ479" s="262">
        <v>-540</v>
      </c>
      <c r="AK479" s="262">
        <v>0</v>
      </c>
      <c r="AL479" s="262">
        <v>0</v>
      </c>
      <c r="AM479" s="262">
        <v>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55.46</v>
      </c>
      <c r="G480" s="251">
        <v>56.62</v>
      </c>
      <c r="H480" s="251">
        <v>56.74</v>
      </c>
      <c r="I480" s="251">
        <v>54.92</v>
      </c>
      <c r="J480" s="251">
        <v>54.76</v>
      </c>
      <c r="K480" s="251">
        <v>53.9</v>
      </c>
      <c r="L480" s="251">
        <v>53.24</v>
      </c>
      <c r="M480" s="251">
        <v>53.24</v>
      </c>
      <c r="N480" s="251">
        <v>54</v>
      </c>
      <c r="O480" s="251">
        <v>54.12</v>
      </c>
      <c r="P480" s="251">
        <v>53.92</v>
      </c>
      <c r="Q480" s="251">
        <v>54.26</v>
      </c>
      <c r="R480" s="251">
        <v>56.82</v>
      </c>
      <c r="S480" s="251">
        <v>54.64</v>
      </c>
      <c r="T480" s="251">
        <v>54.76</v>
      </c>
      <c r="U480" s="251">
        <v>56.3</v>
      </c>
      <c r="V480" s="251">
        <v>56.12</v>
      </c>
      <c r="W480" s="251">
        <v>58.84</v>
      </c>
      <c r="X480" s="251">
        <v>56.54</v>
      </c>
      <c r="Y480" s="251">
        <v>57.38</v>
      </c>
      <c r="Z480" s="245">
        <f ca="1">[1]ExtEntry!$J78</f>
        <v>57.38</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184.59</v>
      </c>
      <c r="G481" s="251">
        <v>196.495</v>
      </c>
      <c r="H481" s="251">
        <v>194.09899999999999</v>
      </c>
      <c r="I481" s="251">
        <v>193.03</v>
      </c>
      <c r="J481" s="251">
        <v>196.92</v>
      </c>
      <c r="K481" s="251">
        <v>195.97</v>
      </c>
      <c r="L481" s="251">
        <v>193.625</v>
      </c>
      <c r="M481" s="251">
        <v>193.625</v>
      </c>
      <c r="N481" s="251">
        <v>191.11</v>
      </c>
      <c r="O481" s="251">
        <v>195.2</v>
      </c>
      <c r="P481" s="251">
        <v>194.89</v>
      </c>
      <c r="Q481" s="251">
        <v>191.505</v>
      </c>
      <c r="R481" s="251">
        <v>181.0239</v>
      </c>
      <c r="S481" s="251">
        <v>163.12</v>
      </c>
      <c r="T481" s="251">
        <v>161.26</v>
      </c>
      <c r="U481" s="251">
        <v>158.64920000000001</v>
      </c>
      <c r="V481" s="251">
        <v>156.13</v>
      </c>
      <c r="W481" s="251">
        <v>153.13999999999999</v>
      </c>
      <c r="X481" s="251">
        <v>144.53</v>
      </c>
      <c r="Y481" s="251">
        <v>147.79</v>
      </c>
      <c r="Z481" s="245">
        <f ca="1">[1]ExtEntry!$J79</f>
        <v>147.79</v>
      </c>
      <c r="AB481" s="262">
        <v>8308</v>
      </c>
      <c r="AC481" s="262">
        <v>2216</v>
      </c>
      <c r="AD481" s="262">
        <v>-2219</v>
      </c>
      <c r="AE481" s="262">
        <v>-2006.0000000000146</v>
      </c>
      <c r="AF481" s="262">
        <v>406</v>
      </c>
      <c r="AG481" s="262">
        <v>-11112</v>
      </c>
      <c r="AH481" s="262">
        <v>-14019</v>
      </c>
      <c r="AI481" s="262">
        <v>-8484</v>
      </c>
      <c r="AJ481" s="262">
        <v>5568.0000000000146</v>
      </c>
      <c r="AK481" s="262">
        <v>-2292</v>
      </c>
      <c r="AL481" s="262">
        <v>-2904</v>
      </c>
      <c r="AM481" s="262">
        <v>7821</v>
      </c>
      <c r="AN481" s="262">
        <v>-2592</v>
      </c>
      <c r="AO481" s="262">
        <v>-8874</v>
      </c>
      <c r="AP481" s="262">
        <v>3015</v>
      </c>
      <c r="AQ481" s="262">
        <v>-837</v>
      </c>
      <c r="AR481" s="262">
        <v>3204</v>
      </c>
      <c r="AS481" s="262">
        <v>11691</v>
      </c>
      <c r="AT481" s="262">
        <v>6542.9999999999854</v>
      </c>
      <c r="AU481" s="262">
        <v>216</v>
      </c>
      <c r="AV481" s="261">
        <f t="shared" ca="1" si="38"/>
        <v>216</v>
      </c>
      <c r="AX481" s="88" t="str">
        <f t="shared" ca="1" si="39"/>
        <v>GNRC</v>
      </c>
    </row>
    <row r="482" spans="1:50" hidden="1" x14ac:dyDescent="0.3">
      <c r="A482" s="88" t="str">
        <f t="shared" ca="1" si="37"/>
        <v>GS</v>
      </c>
      <c r="F482" s="251">
        <v>786.5299</v>
      </c>
      <c r="G482" s="251">
        <v>782.44</v>
      </c>
      <c r="H482" s="251">
        <v>781.44</v>
      </c>
      <c r="I482" s="251">
        <v>758.93499999999995</v>
      </c>
      <c r="J482" s="251">
        <v>766.41989999999998</v>
      </c>
      <c r="K482" s="251">
        <v>765.29989999999998</v>
      </c>
      <c r="L482" s="251">
        <v>760.61</v>
      </c>
      <c r="M482" s="251">
        <v>760.61</v>
      </c>
      <c r="N482" s="251">
        <v>755</v>
      </c>
      <c r="O482" s="251">
        <v>784.61</v>
      </c>
      <c r="P482" s="251">
        <v>796.70989999999995</v>
      </c>
      <c r="Q482" s="251">
        <v>798.36</v>
      </c>
      <c r="R482" s="251">
        <v>807.14</v>
      </c>
      <c r="S482" s="251">
        <v>805.94</v>
      </c>
      <c r="T482" s="251">
        <v>797.36</v>
      </c>
      <c r="U482" s="251">
        <v>798</v>
      </c>
      <c r="V482" s="251">
        <v>785.55489999999998</v>
      </c>
      <c r="W482" s="251">
        <v>800.61</v>
      </c>
      <c r="X482" s="251">
        <v>787.7</v>
      </c>
      <c r="Y482" s="251">
        <v>785.3</v>
      </c>
      <c r="Z482" s="245">
        <f ca="1">[1]ExtEntry!$J80</f>
        <v>785.3</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2.2199</v>
      </c>
      <c r="G483" s="251">
        <v>2.23</v>
      </c>
      <c r="H483" s="251">
        <v>2.165</v>
      </c>
      <c r="I483" s="251">
        <v>2.1</v>
      </c>
      <c r="J483" s="251">
        <v>2.09</v>
      </c>
      <c r="K483" s="251">
        <v>2.0499999999999998</v>
      </c>
      <c r="L483" s="251">
        <v>1.85</v>
      </c>
      <c r="M483" s="251">
        <v>1.85</v>
      </c>
      <c r="N483" s="251">
        <v>1.8</v>
      </c>
      <c r="O483" s="251">
        <v>2.2799999999999998</v>
      </c>
      <c r="P483" s="251">
        <v>2.37</v>
      </c>
      <c r="Q483" s="251">
        <v>2.2949999999999999</v>
      </c>
      <c r="R483" s="251">
        <v>2.2549999999999999</v>
      </c>
      <c r="S483" s="251">
        <v>1.41</v>
      </c>
      <c r="T483" s="251">
        <v>1.37</v>
      </c>
      <c r="U483" s="251">
        <v>1.31</v>
      </c>
      <c r="V483" s="251">
        <v>1.27</v>
      </c>
      <c r="W483" s="251">
        <v>1.26</v>
      </c>
      <c r="X483" s="251">
        <v>0.9</v>
      </c>
      <c r="Y483" s="251">
        <v>0.98280000000000001</v>
      </c>
      <c r="Z483" s="245">
        <f ca="1">[1]ExtEntry!$J81</f>
        <v>0.98280000000000001</v>
      </c>
      <c r="AB483" s="262">
        <v>3879.5000000000036</v>
      </c>
      <c r="AC483" s="262">
        <v>-4732.989999999998</v>
      </c>
      <c r="AD483" s="262">
        <v>-465.54000000000815</v>
      </c>
      <c r="AE483" s="262">
        <v>620.71999999999389</v>
      </c>
      <c r="AF483" s="262">
        <v>-465.54000000000451</v>
      </c>
      <c r="AG483" s="262">
        <v>-3957.09</v>
      </c>
      <c r="AH483" s="262">
        <v>698.30999999999403</v>
      </c>
      <c r="AI483" s="262">
        <v>775.90000000000146</v>
      </c>
      <c r="AJ483" s="262">
        <v>1086.260000000002</v>
      </c>
      <c r="AK483" s="262">
        <v>7060.6900000000023</v>
      </c>
      <c r="AL483" s="262">
        <v>4577.8099999999868</v>
      </c>
      <c r="AM483" s="262">
        <v>-1784.5699999999924</v>
      </c>
      <c r="AN483" s="262">
        <v>2638.0600000000013</v>
      </c>
      <c r="AO483" s="262">
        <v>2405.2900000000009</v>
      </c>
      <c r="AP483" s="262">
        <v>-9233.2100000000064</v>
      </c>
      <c r="AQ483" s="262">
        <v>-2354.0805999999902</v>
      </c>
      <c r="AR483" s="262">
        <v>4965.7599999999984</v>
      </c>
      <c r="AS483" s="262">
        <v>-2948.4199999999946</v>
      </c>
      <c r="AT483" s="262">
        <v>-1998.7184000000016</v>
      </c>
      <c r="AU483" s="262">
        <v>1331.4444000000021</v>
      </c>
      <c r="AV483" s="261">
        <f t="shared" ca="1" si="38"/>
        <v>1331.4444000000021</v>
      </c>
      <c r="AX483" s="88" t="str">
        <f t="shared" ca="1" si="39"/>
        <v>LAZR</v>
      </c>
    </row>
    <row r="484" spans="1:50" hidden="1" x14ac:dyDescent="0.3">
      <c r="A484" s="88" t="str">
        <f t="shared" ca="1" si="37"/>
        <v>LUV</v>
      </c>
      <c r="F484" s="251">
        <v>33.625</v>
      </c>
      <c r="G484" s="251">
        <v>33.880000000000003</v>
      </c>
      <c r="H484" s="251">
        <v>34.049999999999997</v>
      </c>
      <c r="I484" s="251">
        <v>33.795000000000002</v>
      </c>
      <c r="J484" s="251">
        <v>34.664999999999999</v>
      </c>
      <c r="K484" s="251">
        <v>34.975000000000001</v>
      </c>
      <c r="L484" s="251">
        <v>34.75</v>
      </c>
      <c r="M484" s="251">
        <v>34.75</v>
      </c>
      <c r="N484" s="251">
        <v>33.15</v>
      </c>
      <c r="O484" s="251">
        <v>32.43</v>
      </c>
      <c r="P484" s="251">
        <v>32.74</v>
      </c>
      <c r="Q484" s="251">
        <v>32.174999999999997</v>
      </c>
      <c r="R484" s="251">
        <v>30.77</v>
      </c>
      <c r="S484" s="251">
        <v>30.17</v>
      </c>
      <c r="T484" s="251">
        <v>31.649899999999999</v>
      </c>
      <c r="U484" s="251">
        <v>31.97</v>
      </c>
      <c r="V484" s="251">
        <v>32.380000000000003</v>
      </c>
      <c r="W484" s="251">
        <v>33.075000000000003</v>
      </c>
      <c r="X484" s="251">
        <v>32.26</v>
      </c>
      <c r="Y484" s="251">
        <v>32.96</v>
      </c>
      <c r="Z484" s="245">
        <f ca="1">[1]ExtEntry!$J82</f>
        <v>32.96</v>
      </c>
      <c r="AB484" s="265">
        <v>2460</v>
      </c>
      <c r="AC484" s="265">
        <v>395.99999999999272</v>
      </c>
      <c r="AD484" s="265">
        <v>1740</v>
      </c>
      <c r="AE484" s="265">
        <v>2568.0000000000146</v>
      </c>
      <c r="AF484" s="265">
        <v>582</v>
      </c>
      <c r="AG484" s="265">
        <v>-1566</v>
      </c>
      <c r="AH484" s="265">
        <v>-930.00000000000728</v>
      </c>
      <c r="AI484" s="265">
        <v>-312</v>
      </c>
      <c r="AJ484" s="265">
        <v>-1752.0000000000146</v>
      </c>
      <c r="AK484" s="265">
        <v>-582</v>
      </c>
      <c r="AL484" s="265">
        <v>-936</v>
      </c>
      <c r="AM484" s="265">
        <v>-504</v>
      </c>
      <c r="AN484" s="265">
        <v>282</v>
      </c>
      <c r="AO484" s="265">
        <v>954</v>
      </c>
      <c r="AP484" s="265">
        <v>2010</v>
      </c>
      <c r="AQ484" s="265">
        <v>282</v>
      </c>
      <c r="AR484" s="265">
        <v>2718</v>
      </c>
      <c r="AS484" s="265">
        <v>828</v>
      </c>
      <c r="AT484" s="265">
        <v>810</v>
      </c>
      <c r="AU484" s="265">
        <v>-2814</v>
      </c>
      <c r="AV484" s="261">
        <f t="shared" ca="1" si="38"/>
        <v>-2814</v>
      </c>
      <c r="AX484" s="88" t="str">
        <f t="shared" ca="1" si="39"/>
        <v>LUV</v>
      </c>
    </row>
    <row r="485" spans="1:50" hidden="1" x14ac:dyDescent="0.3">
      <c r="A485" s="88" t="str">
        <f t="shared" ca="1" si="37"/>
        <v>MA</v>
      </c>
      <c r="F485" s="251">
        <v>569.71</v>
      </c>
      <c r="G485" s="251">
        <v>568.69000000000005</v>
      </c>
      <c r="H485" s="251">
        <v>564.65</v>
      </c>
      <c r="I485" s="251">
        <v>562.79999999999995</v>
      </c>
      <c r="J485" s="251">
        <v>567.41999999999996</v>
      </c>
      <c r="K485" s="251">
        <v>575.98</v>
      </c>
      <c r="L485" s="251">
        <v>576.4348</v>
      </c>
      <c r="M485" s="251">
        <v>576.4348</v>
      </c>
      <c r="N485" s="251">
        <v>576.99</v>
      </c>
      <c r="O485" s="251">
        <v>580.82000000000005</v>
      </c>
      <c r="P485" s="251">
        <v>575.72</v>
      </c>
      <c r="Q485" s="251">
        <v>573.99</v>
      </c>
      <c r="R485" s="251">
        <v>562.91999999999996</v>
      </c>
      <c r="S485" s="251">
        <v>554.03</v>
      </c>
      <c r="T485" s="251">
        <v>556.33000000000004</v>
      </c>
      <c r="U485" s="251">
        <v>554.99</v>
      </c>
      <c r="V485" s="251">
        <v>558.66999999999996</v>
      </c>
      <c r="W485" s="251">
        <v>557</v>
      </c>
      <c r="X485" s="251">
        <v>536</v>
      </c>
      <c r="Y485" s="251">
        <v>530.6884</v>
      </c>
      <c r="Z485" s="245">
        <f ca="1">[1]ExtEntry!$J83</f>
        <v>530.6884</v>
      </c>
      <c r="AB485" s="262">
        <v>2016.0000000000146</v>
      </c>
      <c r="AC485" s="262">
        <v>651</v>
      </c>
      <c r="AD485" s="262">
        <v>-21.999999999970896</v>
      </c>
      <c r="AE485" s="262">
        <v>4234.0000000000146</v>
      </c>
      <c r="AF485" s="262">
        <v>943.9999999999709</v>
      </c>
      <c r="AG485" s="262">
        <v>-224.00000000001455</v>
      </c>
      <c r="AH485" s="262">
        <v>375.0000000000291</v>
      </c>
      <c r="AI485" s="262">
        <v>2587.9999999999854</v>
      </c>
      <c r="AJ485" s="262">
        <v>-1798</v>
      </c>
      <c r="AK485" s="262">
        <v>-1595.9999999999709</v>
      </c>
      <c r="AL485" s="262">
        <v>-2674</v>
      </c>
      <c r="AM485" s="262">
        <v>-1420.0000000000146</v>
      </c>
      <c r="AN485" s="262">
        <v>348</v>
      </c>
      <c r="AO485" s="262">
        <v>1872.0000000000146</v>
      </c>
      <c r="AP485" s="262">
        <v>754</v>
      </c>
      <c r="AQ485" s="262">
        <v>1044.0000000000291</v>
      </c>
      <c r="AR485" s="262">
        <v>885.99999999998545</v>
      </c>
      <c r="AS485" s="262">
        <v>-2454.0000000000146</v>
      </c>
      <c r="AT485" s="262">
        <v>-3062</v>
      </c>
      <c r="AU485" s="262">
        <v>-595.49999999998545</v>
      </c>
      <c r="AV485" s="261">
        <f t="shared" ca="1" si="38"/>
        <v>-595.49999999998545</v>
      </c>
      <c r="AX485" s="88" t="str">
        <f t="shared" ca="1" si="39"/>
        <v>MA</v>
      </c>
    </row>
    <row r="486" spans="1:50" hidden="1" x14ac:dyDescent="0.3">
      <c r="A486" s="88" t="str">
        <f t="shared" ca="1" si="37"/>
        <v>NVAX</v>
      </c>
      <c r="F486" s="251">
        <v>9.0399999999999991</v>
      </c>
      <c r="G486" s="251">
        <v>9.34</v>
      </c>
      <c r="H486" s="251">
        <v>9.1</v>
      </c>
      <c r="I486" s="251">
        <v>8.36</v>
      </c>
      <c r="J486" s="251">
        <v>8.8249999999999993</v>
      </c>
      <c r="K486" s="251">
        <v>8.7750000000000004</v>
      </c>
      <c r="L486" s="251">
        <v>8.5500000000000007</v>
      </c>
      <c r="M486" s="251">
        <v>8.5500000000000007</v>
      </c>
      <c r="N486" s="251">
        <v>8.52</v>
      </c>
      <c r="O486" s="251">
        <v>8.65</v>
      </c>
      <c r="P486" s="251">
        <v>8.7535000000000007</v>
      </c>
      <c r="Q486" s="251">
        <v>8.75</v>
      </c>
      <c r="R486" s="251">
        <v>8.66</v>
      </c>
      <c r="S486" s="251">
        <v>7.8598999999999997</v>
      </c>
      <c r="T486" s="251">
        <v>7.87</v>
      </c>
      <c r="U486" s="251">
        <v>7.9</v>
      </c>
      <c r="V486" s="251">
        <v>7.64</v>
      </c>
      <c r="W486" s="251">
        <v>7.15</v>
      </c>
      <c r="X486" s="251">
        <v>6.7149999999999999</v>
      </c>
      <c r="Y486" s="251">
        <v>6.8</v>
      </c>
      <c r="Z486" s="245">
        <f ca="1">[1]ExtEntry!$J84</f>
        <v>6.8</v>
      </c>
      <c r="AB486" s="265">
        <v>394.99999999999272</v>
      </c>
      <c r="AC486" s="265">
        <v>4741.5000000000073</v>
      </c>
      <c r="AD486" s="265">
        <v>705</v>
      </c>
      <c r="AE486" s="265">
        <v>2525</v>
      </c>
      <c r="AF486" s="265">
        <v>1745.0000000000146</v>
      </c>
      <c r="AG486" s="265">
        <v>-2275.0000000000146</v>
      </c>
      <c r="AH486" s="265">
        <v>-344.5</v>
      </c>
      <c r="AI486" s="265">
        <v>3263.0000000000073</v>
      </c>
      <c r="AJ486" s="265">
        <v>357.49999999999272</v>
      </c>
      <c r="AK486" s="265">
        <v>-4290</v>
      </c>
      <c r="AL486" s="265">
        <v>1430</v>
      </c>
      <c r="AM486" s="265">
        <v>-1833.0000000000073</v>
      </c>
      <c r="AN486" s="265">
        <v>506.99999999998545</v>
      </c>
      <c r="AO486" s="265">
        <v>325.00000000000728</v>
      </c>
      <c r="AP486" s="265">
        <v>1430</v>
      </c>
      <c r="AQ486" s="265">
        <v>780.65000000000873</v>
      </c>
      <c r="AR486" s="265">
        <v>1163.5</v>
      </c>
      <c r="AS486" s="265">
        <v>-519.99999999999272</v>
      </c>
      <c r="AT486" s="265">
        <v>242.5</v>
      </c>
      <c r="AU486" s="265">
        <v>-1942.5000000000036</v>
      </c>
      <c r="AV486" s="261">
        <f t="shared" ca="1" si="38"/>
        <v>-1942.5000000000036</v>
      </c>
      <c r="AX486" s="88" t="str">
        <f t="shared" ca="1" si="39"/>
        <v>NVAX</v>
      </c>
    </row>
    <row r="487" spans="1:50" hidden="1" x14ac:dyDescent="0.3">
      <c r="A487" s="88" t="str">
        <f t="shared" ca="1" si="37"/>
        <v>NVS</v>
      </c>
      <c r="F487" s="251">
        <v>130.489</v>
      </c>
      <c r="G487" s="251">
        <v>130.41</v>
      </c>
      <c r="H487" s="251">
        <v>131.19</v>
      </c>
      <c r="I487" s="251">
        <v>132.44</v>
      </c>
      <c r="J487" s="251">
        <v>132.21</v>
      </c>
      <c r="K487" s="251">
        <v>131.77000000000001</v>
      </c>
      <c r="L487" s="251">
        <v>132.33000000000001</v>
      </c>
      <c r="M487" s="251">
        <v>132.33000000000001</v>
      </c>
      <c r="N487" s="251">
        <v>131.68</v>
      </c>
      <c r="O487" s="251">
        <v>131.54</v>
      </c>
      <c r="P487" s="251">
        <v>130.16999999999999</v>
      </c>
      <c r="Q487" s="251">
        <v>125.75</v>
      </c>
      <c r="R487" s="251">
        <v>123.33</v>
      </c>
      <c r="S487" s="251">
        <v>125.46</v>
      </c>
      <c r="T487" s="251">
        <v>125.92</v>
      </c>
      <c r="U487" s="251">
        <v>127.11</v>
      </c>
      <c r="V487" s="251">
        <v>126.96</v>
      </c>
      <c r="W487" s="251">
        <v>132.76</v>
      </c>
      <c r="X487" s="251">
        <v>128.69999999999999</v>
      </c>
      <c r="Y487" s="251">
        <v>128.39500000000001</v>
      </c>
      <c r="Z487" s="245">
        <f ca="1">[1]ExtEntry!$J85</f>
        <v>128.39500000000001</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13.59</v>
      </c>
      <c r="G488" s="251">
        <v>14.295</v>
      </c>
      <c r="H488" s="251">
        <v>14.135</v>
      </c>
      <c r="I488" s="251">
        <v>14.355</v>
      </c>
      <c r="J488" s="251">
        <v>14.275</v>
      </c>
      <c r="K488" s="251">
        <v>14.205</v>
      </c>
      <c r="L488" s="251">
        <v>14.13</v>
      </c>
      <c r="M488" s="251">
        <v>14.13</v>
      </c>
      <c r="N488" s="251">
        <v>14.29</v>
      </c>
      <c r="O488" s="251">
        <v>14.16</v>
      </c>
      <c r="P488" s="251">
        <v>13.935</v>
      </c>
      <c r="Q488" s="251">
        <v>13.904999999999999</v>
      </c>
      <c r="R488" s="251">
        <v>13.855</v>
      </c>
      <c r="S488" s="251">
        <v>13.76</v>
      </c>
      <c r="T488" s="251">
        <v>13.86</v>
      </c>
      <c r="U488" s="251">
        <v>13.94</v>
      </c>
      <c r="V488" s="251">
        <v>14.27</v>
      </c>
      <c r="W488" s="251">
        <v>14.36</v>
      </c>
      <c r="X488" s="251">
        <v>13.994999999999999</v>
      </c>
      <c r="Y488" s="251">
        <v>13.994999999999999</v>
      </c>
      <c r="Z488" s="245">
        <f ca="1">[1]ExtEntry!$J86</f>
        <v>13.994999999999999</v>
      </c>
      <c r="AB488" s="265">
        <v>150</v>
      </c>
      <c r="AC488" s="265">
        <v>-174</v>
      </c>
      <c r="AD488" s="265">
        <v>-66</v>
      </c>
      <c r="AE488" s="265">
        <v>360</v>
      </c>
      <c r="AF488" s="265">
        <v>150</v>
      </c>
      <c r="AG488" s="265">
        <v>-192</v>
      </c>
      <c r="AH488" s="265">
        <v>-6</v>
      </c>
      <c r="AI488" s="265">
        <v>-174</v>
      </c>
      <c r="AJ488" s="265">
        <v>-306</v>
      </c>
      <c r="AK488" s="265">
        <v>-150</v>
      </c>
      <c r="AL488" s="265">
        <v>-18</v>
      </c>
      <c r="AM488" s="265">
        <v>36</v>
      </c>
      <c r="AN488" s="265">
        <v>144</v>
      </c>
      <c r="AO488" s="265">
        <v>-114</v>
      </c>
      <c r="AP488" s="265">
        <v>234</v>
      </c>
      <c r="AQ488" s="265">
        <v>222</v>
      </c>
      <c r="AR488" s="265">
        <v>270</v>
      </c>
      <c r="AS488" s="265">
        <v>-492</v>
      </c>
      <c r="AT488" s="265">
        <v>-312</v>
      </c>
      <c r="AU488" s="265">
        <v>-240</v>
      </c>
      <c r="AV488" s="261">
        <f t="shared" ca="1" si="38"/>
        <v>-240</v>
      </c>
      <c r="AX488" s="88" t="str">
        <f t="shared" ca="1" si="39"/>
        <v>ORA</v>
      </c>
    </row>
    <row r="489" spans="1:50" hidden="1" x14ac:dyDescent="0.3">
      <c r="A489" s="88" t="str">
        <f t="shared" ca="1" si="37"/>
        <v>OXY</v>
      </c>
      <c r="F489" s="251">
        <v>42.528199999999998</v>
      </c>
      <c r="G489" s="251">
        <v>42.57</v>
      </c>
      <c r="H489" s="251">
        <v>42.089700000000001</v>
      </c>
      <c r="I489" s="251">
        <v>41.07</v>
      </c>
      <c r="J489" s="251">
        <v>41.46</v>
      </c>
      <c r="K489" s="251">
        <v>41.344999999999999</v>
      </c>
      <c r="L489" s="251">
        <v>41.854999999999997</v>
      </c>
      <c r="M489" s="251">
        <v>41.854999999999997</v>
      </c>
      <c r="N489" s="251">
        <v>43.347900000000003</v>
      </c>
      <c r="O489" s="251">
        <v>43.174999999999997</v>
      </c>
      <c r="P489" s="251">
        <v>42.959899999999998</v>
      </c>
      <c r="Q489" s="251">
        <v>42.11</v>
      </c>
      <c r="R489" s="251">
        <v>41.33</v>
      </c>
      <c r="S489" s="251">
        <v>40.29</v>
      </c>
      <c r="T489" s="251">
        <v>40.424999999999997</v>
      </c>
      <c r="U489" s="251">
        <v>40.674999999999997</v>
      </c>
      <c r="V489" s="251">
        <v>41.244999999999997</v>
      </c>
      <c r="W489" s="251">
        <v>43.085000000000001</v>
      </c>
      <c r="X489" s="251">
        <v>42.66</v>
      </c>
      <c r="Y489" s="251">
        <v>41.63</v>
      </c>
      <c r="Z489" s="245">
        <f ca="1">[1]ExtEntry!$J87</f>
        <v>41.63</v>
      </c>
      <c r="AB489" s="262">
        <v>1060</v>
      </c>
      <c r="AC489" s="262">
        <v>-1140</v>
      </c>
      <c r="AD489" s="262">
        <v>-440</v>
      </c>
      <c r="AE489" s="262">
        <v>3760</v>
      </c>
      <c r="AF489" s="262">
        <v>1780</v>
      </c>
      <c r="AG489" s="262">
        <v>-1720</v>
      </c>
      <c r="AH489" s="262">
        <v>4480</v>
      </c>
      <c r="AI489" s="262">
        <v>5860</v>
      </c>
      <c r="AJ489" s="262">
        <v>-1440</v>
      </c>
      <c r="AK489" s="262">
        <v>-1960</v>
      </c>
      <c r="AL489" s="262">
        <v>-1880</v>
      </c>
      <c r="AM489" s="262">
        <v>-6660</v>
      </c>
      <c r="AN489" s="262">
        <v>-520</v>
      </c>
      <c r="AO489" s="262">
        <v>460</v>
      </c>
      <c r="AP489" s="262">
        <v>460</v>
      </c>
      <c r="AQ489" s="262">
        <v>3320</v>
      </c>
      <c r="AR489" s="262">
        <v>7677.2000000000116</v>
      </c>
      <c r="AS489" s="262">
        <v>1440</v>
      </c>
      <c r="AT489" s="262">
        <v>4640</v>
      </c>
      <c r="AU489" s="262">
        <v>1520</v>
      </c>
      <c r="AV489" s="261">
        <f t="shared" ca="1" si="38"/>
        <v>1520</v>
      </c>
      <c r="AX489" s="88" t="str">
        <f t="shared" ca="1" si="39"/>
        <v>OXY</v>
      </c>
    </row>
    <row r="490" spans="1:50" hidden="1" x14ac:dyDescent="0.3">
      <c r="A490" s="88" t="str">
        <f t="shared" ca="1" si="37"/>
        <v>PFE</v>
      </c>
      <c r="F490" s="251">
        <v>24.79</v>
      </c>
      <c r="G490" s="251">
        <v>24.58</v>
      </c>
      <c r="H490" s="251">
        <v>24.605</v>
      </c>
      <c r="I490" s="251">
        <v>24.53</v>
      </c>
      <c r="J490" s="251">
        <v>24.73</v>
      </c>
      <c r="K490" s="251">
        <v>24.96</v>
      </c>
      <c r="L490" s="251">
        <v>24.93</v>
      </c>
      <c r="M490" s="251">
        <v>24.93</v>
      </c>
      <c r="N490" s="251">
        <v>24.78</v>
      </c>
      <c r="O490" s="251">
        <v>24.829000000000001</v>
      </c>
      <c r="P490" s="251">
        <v>24.795000000000002</v>
      </c>
      <c r="Q490" s="251">
        <v>24.78</v>
      </c>
      <c r="R490" s="251">
        <v>24.7</v>
      </c>
      <c r="S490" s="251">
        <v>25.2</v>
      </c>
      <c r="T490" s="251">
        <v>24.67</v>
      </c>
      <c r="U490" s="251">
        <v>25.13</v>
      </c>
      <c r="V490" s="251">
        <v>24.63</v>
      </c>
      <c r="W490" s="251">
        <v>25.77</v>
      </c>
      <c r="X490" s="251">
        <v>25.51</v>
      </c>
      <c r="Y490" s="251">
        <v>25.5</v>
      </c>
      <c r="Z490" s="245">
        <f ca="1">[1]ExtEntry!$J88</f>
        <v>25.5</v>
      </c>
      <c r="AB490" s="265">
        <v>64</v>
      </c>
      <c r="AC490" s="265">
        <v>976</v>
      </c>
      <c r="AD490" s="265">
        <v>536</v>
      </c>
      <c r="AE490" s="265">
        <v>1360</v>
      </c>
      <c r="AF490" s="265">
        <v>400</v>
      </c>
      <c r="AG490" s="265">
        <v>352</v>
      </c>
      <c r="AH490" s="265">
        <v>120</v>
      </c>
      <c r="AI490" s="265">
        <v>248</v>
      </c>
      <c r="AJ490" s="265">
        <v>-616</v>
      </c>
      <c r="AK490" s="265">
        <v>-48</v>
      </c>
      <c r="AL490" s="265">
        <v>-144</v>
      </c>
      <c r="AM490" s="265">
        <v>-320</v>
      </c>
      <c r="AN490" s="265">
        <v>72</v>
      </c>
      <c r="AO490" s="265">
        <v>40</v>
      </c>
      <c r="AP490" s="265">
        <v>272</v>
      </c>
      <c r="AQ490" s="265">
        <v>224</v>
      </c>
      <c r="AR490" s="265">
        <v>464</v>
      </c>
      <c r="AS490" s="265">
        <v>-920</v>
      </c>
      <c r="AT490" s="265">
        <v>720</v>
      </c>
      <c r="AU490" s="265">
        <v>-960</v>
      </c>
      <c r="AV490" s="261">
        <f t="shared" ca="1" si="38"/>
        <v>-960</v>
      </c>
      <c r="AX490" s="88" t="str">
        <f t="shared" ca="1" si="39"/>
        <v>PFE</v>
      </c>
    </row>
    <row r="491" spans="1:50" hidden="1" x14ac:dyDescent="0.3">
      <c r="A491" s="88" t="str">
        <f t="shared" ca="1" si="37"/>
        <v>RIG</v>
      </c>
      <c r="F491" s="251">
        <v>3.19</v>
      </c>
      <c r="G491" s="251">
        <v>3.3</v>
      </c>
      <c r="H491" s="251">
        <v>3.39</v>
      </c>
      <c r="I491" s="251">
        <v>3.26</v>
      </c>
      <c r="J491" s="251">
        <v>3.41</v>
      </c>
      <c r="K491" s="251">
        <v>3.38</v>
      </c>
      <c r="L491" s="251">
        <v>3.47</v>
      </c>
      <c r="M491" s="251">
        <v>3.47</v>
      </c>
      <c r="N491" s="251">
        <v>3.9550000000000001</v>
      </c>
      <c r="O491" s="251">
        <v>4.07</v>
      </c>
      <c r="P491" s="251">
        <v>3.95</v>
      </c>
      <c r="Q491" s="251">
        <v>3.83</v>
      </c>
      <c r="R491" s="251">
        <v>4</v>
      </c>
      <c r="S491" s="251">
        <v>3.915</v>
      </c>
      <c r="T491" s="251">
        <v>3.98</v>
      </c>
      <c r="U491" s="251">
        <v>3.99</v>
      </c>
      <c r="V491" s="251">
        <v>3.99</v>
      </c>
      <c r="W491" s="251">
        <v>4.13</v>
      </c>
      <c r="X491" s="251">
        <v>4.2</v>
      </c>
      <c r="Y491" s="251">
        <v>4.1399999999999997</v>
      </c>
      <c r="Z491" s="245">
        <f ca="1">[1]ExtEntry!$J89</f>
        <v>4.1399999999999997</v>
      </c>
      <c r="AB491" s="262">
        <v>-2400</v>
      </c>
      <c r="AC491" s="262">
        <v>8400</v>
      </c>
      <c r="AD491" s="262">
        <v>-960</v>
      </c>
      <c r="AE491" s="262">
        <v>6240</v>
      </c>
      <c r="AF491" s="262">
        <v>-1200</v>
      </c>
      <c r="AG491" s="262">
        <v>1440</v>
      </c>
      <c r="AH491" s="262">
        <v>-1680</v>
      </c>
      <c r="AI491" s="262">
        <v>9600</v>
      </c>
      <c r="AJ491" s="262">
        <v>14640</v>
      </c>
      <c r="AK491" s="262">
        <v>-480</v>
      </c>
      <c r="AL491" s="262">
        <v>-3840</v>
      </c>
      <c r="AM491" s="262">
        <v>-5760</v>
      </c>
      <c r="AN491" s="262">
        <v>1920</v>
      </c>
      <c r="AO491" s="262">
        <v>-13190.400000000023</v>
      </c>
      <c r="AP491" s="262">
        <v>1920</v>
      </c>
      <c r="AQ491" s="262">
        <v>4800</v>
      </c>
      <c r="AR491" s="262">
        <v>4210</v>
      </c>
      <c r="AS491" s="262">
        <v>-6480</v>
      </c>
      <c r="AT491" s="262">
        <v>450.40000000002328</v>
      </c>
      <c r="AU491" s="262">
        <v>1760</v>
      </c>
      <c r="AV491" s="261">
        <f t="shared" ca="1" si="38"/>
        <v>1760</v>
      </c>
      <c r="AX491" s="88" t="str">
        <f t="shared" ca="1" si="39"/>
        <v>RIG</v>
      </c>
    </row>
    <row r="492" spans="1:50" x14ac:dyDescent="0.3">
      <c r="A492" s="88" t="str">
        <f t="shared" ca="1" si="37"/>
        <v>RRC</v>
      </c>
      <c r="F492" s="251">
        <v>36.56</v>
      </c>
      <c r="G492" s="251">
        <v>37.32</v>
      </c>
      <c r="H492" s="251">
        <v>37.64</v>
      </c>
      <c r="I492" s="251">
        <v>36.119999999999997</v>
      </c>
      <c r="J492" s="251">
        <v>37.64</v>
      </c>
      <c r="K492" s="251">
        <v>37.49</v>
      </c>
      <c r="L492" s="251">
        <v>37.405000000000001</v>
      </c>
      <c r="M492" s="251">
        <v>37.405000000000001</v>
      </c>
      <c r="N492" s="251">
        <v>37.61</v>
      </c>
      <c r="O492" s="251">
        <v>37.9</v>
      </c>
      <c r="P492" s="251">
        <v>38.01</v>
      </c>
      <c r="Q492" s="251">
        <v>37.32</v>
      </c>
      <c r="R492" s="251">
        <v>35.495100000000001</v>
      </c>
      <c r="S492" s="251">
        <v>37.25</v>
      </c>
      <c r="T492" s="251">
        <v>37.555</v>
      </c>
      <c r="U492" s="251">
        <v>37.83</v>
      </c>
      <c r="V492" s="251">
        <v>37.615000000000002</v>
      </c>
      <c r="W492" s="251">
        <v>38.31</v>
      </c>
      <c r="X492" s="251">
        <v>39.164999999999999</v>
      </c>
      <c r="Y492" s="251">
        <v>39.26</v>
      </c>
      <c r="Z492" s="245">
        <f ca="1">[1]ExtEntry!$J90</f>
        <v>39.26</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77.44</v>
      </c>
      <c r="G493" s="243">
        <v>77.8</v>
      </c>
      <c r="H493" s="243">
        <v>77.69</v>
      </c>
      <c r="I493" s="243">
        <v>75.709999999999994</v>
      </c>
      <c r="J493" s="243">
        <v>76.87</v>
      </c>
      <c r="K493" s="243">
        <v>78.87</v>
      </c>
      <c r="L493" s="243">
        <v>77.34</v>
      </c>
      <c r="M493" s="243">
        <v>77.34</v>
      </c>
      <c r="N493" s="243">
        <v>79.290000000000006</v>
      </c>
      <c r="O493" s="243">
        <v>80.38</v>
      </c>
      <c r="P493" s="243">
        <v>81.489999999999995</v>
      </c>
      <c r="Q493" s="243">
        <v>81.7</v>
      </c>
      <c r="R493" s="243">
        <v>76.47</v>
      </c>
      <c r="S493" s="243">
        <v>73.625</v>
      </c>
      <c r="T493" s="243">
        <v>74.649299999999997</v>
      </c>
      <c r="U493" s="243">
        <v>75.099999999999994</v>
      </c>
      <c r="V493" s="243">
        <v>66.734999999999999</v>
      </c>
      <c r="W493" s="243">
        <v>62.19</v>
      </c>
      <c r="X493" s="243">
        <v>59.54</v>
      </c>
      <c r="Y493" s="243">
        <v>58.7</v>
      </c>
      <c r="Z493" s="245">
        <f ca="1">[1]ExtEntry!$J91</f>
        <v>58.7</v>
      </c>
      <c r="AB493" s="262">
        <v>1212</v>
      </c>
      <c r="AC493" s="262">
        <v>-1302</v>
      </c>
      <c r="AD493" s="262">
        <v>-948</v>
      </c>
      <c r="AE493" s="262">
        <v>996</v>
      </c>
      <c r="AF493" s="262">
        <v>654</v>
      </c>
      <c r="AG493" s="262">
        <v>-714.00000000001455</v>
      </c>
      <c r="AH493" s="262">
        <v>-311.99999999999272</v>
      </c>
      <c r="AI493" s="262">
        <v>234.00000000000728</v>
      </c>
      <c r="AJ493" s="262">
        <v>600</v>
      </c>
      <c r="AK493" s="262">
        <v>-491.99999999999272</v>
      </c>
      <c r="AL493" s="262">
        <v>-1127.9999999999927</v>
      </c>
      <c r="AM493" s="262">
        <v>863.99999999999272</v>
      </c>
      <c r="AN493" s="262">
        <v>-690.00000000000728</v>
      </c>
      <c r="AO493" s="262">
        <v>-1866</v>
      </c>
      <c r="AP493" s="262">
        <v>617.99999999999272</v>
      </c>
      <c r="AQ493" s="262">
        <v>-1716</v>
      </c>
      <c r="AR493" s="262">
        <v>2832</v>
      </c>
      <c r="AS493" s="262">
        <v>1197</v>
      </c>
      <c r="AT493" s="262">
        <v>-30</v>
      </c>
      <c r="AU493" s="262">
        <v>-1125</v>
      </c>
      <c r="AV493" s="261">
        <f t="shared" ca="1" si="38"/>
        <v>-1125</v>
      </c>
      <c r="AX493" s="88" t="str">
        <f t="shared" ca="1" si="39"/>
        <v>XYZ</v>
      </c>
    </row>
    <row r="494" spans="1:50" x14ac:dyDescent="0.3">
      <c r="A494" s="88" t="str">
        <f t="shared" ca="1" si="37"/>
        <v>THC</v>
      </c>
      <c r="F494" s="251">
        <v>196.58</v>
      </c>
      <c r="G494" s="251">
        <v>200.26</v>
      </c>
      <c r="H494" s="251">
        <v>200.65</v>
      </c>
      <c r="I494" s="251">
        <v>200.12</v>
      </c>
      <c r="J494" s="251">
        <v>202.82499999999999</v>
      </c>
      <c r="K494" s="251">
        <v>203.29</v>
      </c>
      <c r="L494" s="251">
        <v>206.1</v>
      </c>
      <c r="M494" s="251">
        <v>206.1</v>
      </c>
      <c r="N494" s="251">
        <v>208.25</v>
      </c>
      <c r="O494" s="251">
        <v>217.42500000000001</v>
      </c>
      <c r="P494" s="251">
        <v>217.16</v>
      </c>
      <c r="Q494" s="251">
        <v>213.98</v>
      </c>
      <c r="R494" s="251">
        <v>214.4</v>
      </c>
      <c r="S494" s="251">
        <v>209.63</v>
      </c>
      <c r="T494" s="251">
        <v>209.16499999999999</v>
      </c>
      <c r="U494" s="251">
        <v>210.34</v>
      </c>
      <c r="V494" s="251">
        <v>206.23</v>
      </c>
      <c r="W494" s="251">
        <v>196.70500000000001</v>
      </c>
      <c r="X494" s="251">
        <v>193.74</v>
      </c>
      <c r="Y494" s="251">
        <v>194.51499999999999</v>
      </c>
      <c r="Z494" s="245">
        <f ca="1">[1]ExtEntry!$J92</f>
        <v>194.51499999999999</v>
      </c>
      <c r="AB494" s="265">
        <v>4851</v>
      </c>
      <c r="AC494" s="265">
        <v>7740</v>
      </c>
      <c r="AD494" s="265">
        <v>9105</v>
      </c>
      <c r="AE494" s="265">
        <v>10605</v>
      </c>
      <c r="AF494" s="265">
        <v>2925</v>
      </c>
      <c r="AG494" s="265">
        <v>-9855</v>
      </c>
      <c r="AH494" s="265">
        <v>1125</v>
      </c>
      <c r="AI494" s="265">
        <v>2745</v>
      </c>
      <c r="AJ494" s="265">
        <v>2655</v>
      </c>
      <c r="AK494" s="265">
        <v>187.5</v>
      </c>
      <c r="AL494" s="265">
        <v>9090</v>
      </c>
      <c r="AM494" s="265">
        <v>-10515</v>
      </c>
      <c r="AN494" s="265">
        <v>-1665</v>
      </c>
      <c r="AO494" s="265">
        <v>7935</v>
      </c>
      <c r="AP494" s="265">
        <v>1890</v>
      </c>
      <c r="AQ494" s="265">
        <v>-12225</v>
      </c>
      <c r="AR494" s="265">
        <v>8467.5</v>
      </c>
      <c r="AS494" s="265">
        <v>-5790</v>
      </c>
      <c r="AT494" s="265">
        <v>-9585</v>
      </c>
      <c r="AU494" s="265">
        <v>-1717.5</v>
      </c>
      <c r="AV494" s="261">
        <f t="shared" ca="1" si="38"/>
        <v>-1717.5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10.242000000000001</v>
      </c>
      <c r="G496" s="344">
        <v>10.353999999999999</v>
      </c>
      <c r="H496" s="243">
        <v>10.382</v>
      </c>
      <c r="I496" s="243">
        <v>10.178000000000001</v>
      </c>
      <c r="J496" s="243">
        <v>10.25</v>
      </c>
      <c r="K496" s="243">
        <v>10.465999999999999</v>
      </c>
      <c r="L496" s="243">
        <v>10.492000000000001</v>
      </c>
      <c r="M496" s="243">
        <v>10.492000000000001</v>
      </c>
      <c r="N496" s="243">
        <v>10.384</v>
      </c>
      <c r="O496" s="243">
        <v>10.587999999999999</v>
      </c>
      <c r="P496" s="243">
        <v>10.672000000000001</v>
      </c>
      <c r="Q496" s="243">
        <v>10.614000000000001</v>
      </c>
      <c r="R496" s="243">
        <v>10.481999999999999</v>
      </c>
      <c r="S496" s="243">
        <v>10.444000000000001</v>
      </c>
      <c r="T496" s="243">
        <v>10.316000000000001</v>
      </c>
      <c r="U496" s="243">
        <v>10.394</v>
      </c>
      <c r="V496" s="243">
        <v>10.226000000000001</v>
      </c>
      <c r="W496" s="243">
        <v>10.086</v>
      </c>
      <c r="X496" s="243">
        <v>9.8000000000000007</v>
      </c>
      <c r="Y496" s="243">
        <v>9.8149999999999995</v>
      </c>
      <c r="Z496" s="245">
        <f ca="1">[1]ExtEntry!$J94</f>
        <v>9.8149999999999995</v>
      </c>
      <c r="AB496" s="262">
        <v>7864.1999999999534</v>
      </c>
      <c r="AC496" s="262">
        <v>0</v>
      </c>
      <c r="AD496" s="262">
        <v>-2467.1999999999534</v>
      </c>
      <c r="AE496" s="262">
        <v>-1079.3999999999069</v>
      </c>
      <c r="AF496" s="262">
        <v>462.59999999997672</v>
      </c>
      <c r="AG496" s="262">
        <v>8326.8000000000466</v>
      </c>
      <c r="AH496" s="262">
        <v>-10639.800000000163</v>
      </c>
      <c r="AI496" s="262">
        <v>-8635.2000000001863</v>
      </c>
      <c r="AJ496" s="262">
        <v>1079.3999999999069</v>
      </c>
      <c r="AK496" s="262">
        <v>7247.3999999999069</v>
      </c>
      <c r="AL496" s="262">
        <v>-8172.5999999999767</v>
      </c>
      <c r="AM496" s="262">
        <v>10639.800000000163</v>
      </c>
      <c r="AN496" s="262">
        <v>6013.8000000002794</v>
      </c>
      <c r="AO496" s="262">
        <v>0</v>
      </c>
      <c r="AP496" s="262">
        <v>-2158.7999999998137</v>
      </c>
      <c r="AQ496" s="262">
        <v>-3855</v>
      </c>
      <c r="AR496" s="262">
        <v>-4009.2000000001863</v>
      </c>
      <c r="AS496" s="262">
        <v>7401.5999999998603</v>
      </c>
      <c r="AT496" s="262">
        <v>-154.20000000006985</v>
      </c>
      <c r="AU496" s="262">
        <v>-7632.9000000001397</v>
      </c>
      <c r="AV496" s="261">
        <f t="shared" ca="1" si="38"/>
        <v>-7632.9000000001397</v>
      </c>
      <c r="AX496" s="88" t="str">
        <f t="shared" ca="1" si="39"/>
        <v>LOCK</v>
      </c>
    </row>
    <row r="497" spans="1:51" x14ac:dyDescent="0.3">
      <c r="A497" s="88" t="str">
        <f t="shared" ca="1" si="37"/>
        <v>JBASML</v>
      </c>
      <c r="F497" s="344">
        <v>847.9</v>
      </c>
      <c r="G497" s="243">
        <v>893.5</v>
      </c>
      <c r="H497" s="243">
        <v>900.5</v>
      </c>
      <c r="I497" s="243">
        <v>885.9</v>
      </c>
      <c r="J497" s="1099">
        <v>901.5</v>
      </c>
      <c r="K497" s="245">
        <v>894.4</v>
      </c>
      <c r="L497" s="1100">
        <v>892.4</v>
      </c>
      <c r="M497" s="241">
        <v>892.4</v>
      </c>
      <c r="N497" s="243">
        <v>891.2</v>
      </c>
      <c r="O497" s="1101">
        <v>902.6</v>
      </c>
      <c r="P497" s="1101">
        <v>914.2</v>
      </c>
      <c r="Q497" s="243">
        <v>914.2</v>
      </c>
      <c r="R497" s="247">
        <v>938.6</v>
      </c>
      <c r="S497" s="243">
        <v>926.1</v>
      </c>
      <c r="T497" s="243">
        <v>913.3</v>
      </c>
      <c r="U497" s="243">
        <v>912.6</v>
      </c>
      <c r="V497" s="243">
        <v>900.9</v>
      </c>
      <c r="W497" s="1102">
        <v>876.8</v>
      </c>
      <c r="X497" s="345">
        <v>864.9</v>
      </c>
      <c r="Y497" s="243">
        <v>895.2</v>
      </c>
      <c r="Z497" s="245">
        <f ca="1">[1]ExtEntry!$J95</f>
        <v>895.2</v>
      </c>
      <c r="AB497" s="262">
        <v>5400</v>
      </c>
      <c r="AC497" s="262">
        <v>-880</v>
      </c>
      <c r="AD497" s="262">
        <v>-1060</v>
      </c>
      <c r="AE497" s="262">
        <v>3780</v>
      </c>
      <c r="AF497" s="262">
        <v>-1160</v>
      </c>
      <c r="AG497" s="262">
        <v>-2420</v>
      </c>
      <c r="AH497" s="262">
        <v>-800</v>
      </c>
      <c r="AI497" s="262">
        <v>-60</v>
      </c>
      <c r="AJ497" s="262">
        <v>-80</v>
      </c>
      <c r="AK497" s="262">
        <v>-4120</v>
      </c>
      <c r="AL497" s="262">
        <v>1660</v>
      </c>
      <c r="AM497" s="262">
        <v>1980</v>
      </c>
      <c r="AN497" s="262">
        <v>3820</v>
      </c>
      <c r="AO497" s="262">
        <v>-1380</v>
      </c>
      <c r="AP497" s="262">
        <v>5860</v>
      </c>
      <c r="AQ497" s="262">
        <v>-2780</v>
      </c>
      <c r="AR497" s="262">
        <v>-6300</v>
      </c>
      <c r="AS497" s="262">
        <v>-1060</v>
      </c>
      <c r="AT497" s="262">
        <v>-2100</v>
      </c>
      <c r="AU497" s="262">
        <v>360</v>
      </c>
      <c r="AV497" s="261">
        <f t="shared" ca="1" si="38"/>
        <v>360</v>
      </c>
      <c r="AX497" s="88" t="str">
        <f t="shared" ca="1" si="39"/>
        <v>JBASML</v>
      </c>
    </row>
    <row r="498" spans="1:51" x14ac:dyDescent="0.3">
      <c r="A498" s="88" t="str">
        <f ca="1">A98</f>
        <v>JBEOAN</v>
      </c>
      <c r="F498" s="251">
        <v>16.425000000000001</v>
      </c>
      <c r="G498" s="251">
        <v>16.37</v>
      </c>
      <c r="H498" s="251">
        <v>16.305</v>
      </c>
      <c r="I498" s="251">
        <v>16.38</v>
      </c>
      <c r="J498" s="251">
        <v>16.454999999999998</v>
      </c>
      <c r="K498" s="251">
        <v>16.48</v>
      </c>
      <c r="L498" s="251">
        <v>16.395</v>
      </c>
      <c r="M498" s="251">
        <v>16.395</v>
      </c>
      <c r="N498" s="251">
        <v>16.13</v>
      </c>
      <c r="O498" s="251">
        <v>16.059999999999999</v>
      </c>
      <c r="P498" s="251">
        <v>16.2</v>
      </c>
      <c r="Q498" s="251">
        <v>16.265000000000001</v>
      </c>
      <c r="R498" s="251">
        <v>16.254999999999999</v>
      </c>
      <c r="S498" s="251">
        <v>15.855</v>
      </c>
      <c r="T498" s="251">
        <v>16.05</v>
      </c>
      <c r="U498" s="251">
        <v>16.2</v>
      </c>
      <c r="V498" s="251">
        <v>16.155000000000001</v>
      </c>
      <c r="W498" s="251">
        <v>15.3</v>
      </c>
      <c r="X498" s="251">
        <v>15.315</v>
      </c>
      <c r="Y498" s="251">
        <v>15.49</v>
      </c>
      <c r="Z498" s="245">
        <f ca="1">[1]ExtEntry!$J96</f>
        <v>15.49</v>
      </c>
      <c r="AB498" s="265">
        <v>3150</v>
      </c>
      <c r="AC498" s="265">
        <v>-3780</v>
      </c>
      <c r="AD498" s="265">
        <v>900</v>
      </c>
      <c r="AE498" s="265">
        <v>1440</v>
      </c>
      <c r="AF498" s="265">
        <v>540.00000000005821</v>
      </c>
      <c r="AG498" s="265">
        <v>-3510</v>
      </c>
      <c r="AH498" s="265">
        <v>-540</v>
      </c>
      <c r="AI498" s="265">
        <v>-3780</v>
      </c>
      <c r="AJ498" s="265">
        <v>-4590</v>
      </c>
      <c r="AK498" s="265">
        <v>-540.00000000005821</v>
      </c>
      <c r="AL498" s="265">
        <v>630</v>
      </c>
      <c r="AM498" s="265">
        <v>7470</v>
      </c>
      <c r="AN498" s="265">
        <v>4140</v>
      </c>
      <c r="AO498" s="265">
        <v>900</v>
      </c>
      <c r="AP498" s="265">
        <v>2700</v>
      </c>
      <c r="AQ498" s="265">
        <v>539.99999999994179</v>
      </c>
      <c r="AR498" s="265">
        <v>-3870</v>
      </c>
      <c r="AS498" s="265">
        <v>-120</v>
      </c>
      <c r="AT498" s="265">
        <v>15</v>
      </c>
      <c r="AU498" s="265">
        <v>-4365</v>
      </c>
      <c r="AV498" s="261">
        <f t="shared" ca="1" si="38"/>
        <v>-4365</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48"/>
      <c r="F502" s="117">
        <f t="shared" ref="F502:Z502" ca="1" si="41">F402</f>
        <v>45952</v>
      </c>
      <c r="G502" s="117">
        <f t="shared" ca="1" si="41"/>
        <v>45953</v>
      </c>
      <c r="H502" s="117">
        <f t="shared" ca="1" si="41"/>
        <v>45954</v>
      </c>
      <c r="I502" s="117">
        <f t="shared" ca="1" si="41"/>
        <v>45957</v>
      </c>
      <c r="J502" s="117">
        <f t="shared" ca="1" si="41"/>
        <v>45958</v>
      </c>
      <c r="K502" s="117">
        <f t="shared" ca="1" si="41"/>
        <v>45959</v>
      </c>
      <c r="L502" s="117">
        <f t="shared" ca="1" si="41"/>
        <v>45960</v>
      </c>
      <c r="M502" s="117">
        <f t="shared" ca="1" si="41"/>
        <v>45961</v>
      </c>
      <c r="N502" s="117">
        <f t="shared" ca="1" si="41"/>
        <v>45964</v>
      </c>
      <c r="O502" s="117">
        <f t="shared" ca="1" si="41"/>
        <v>45965</v>
      </c>
      <c r="P502" s="117">
        <f t="shared" ca="1" si="41"/>
        <v>45966</v>
      </c>
      <c r="Q502" s="117">
        <f t="shared" ca="1" si="41"/>
        <v>45967</v>
      </c>
      <c r="R502" s="117">
        <f t="shared" ca="1" si="41"/>
        <v>45968</v>
      </c>
      <c r="S502" s="117">
        <f t="shared" ca="1" si="41"/>
        <v>45971</v>
      </c>
      <c r="T502" s="117">
        <f t="shared" ca="1" si="41"/>
        <v>45972</v>
      </c>
      <c r="U502" s="117">
        <f t="shared" ca="1" si="41"/>
        <v>45973</v>
      </c>
      <c r="V502" s="117">
        <f t="shared" ca="1" si="41"/>
        <v>45974</v>
      </c>
      <c r="W502" s="117">
        <f t="shared" ca="1" si="41"/>
        <v>45975</v>
      </c>
      <c r="X502" s="117">
        <f t="shared" ca="1" si="41"/>
        <v>45978</v>
      </c>
      <c r="Y502" s="117">
        <f t="shared" ca="1" si="41"/>
        <v>45979</v>
      </c>
      <c r="Z502" s="117">
        <f t="shared" ca="1" si="41"/>
        <v>45980</v>
      </c>
      <c r="AB502" s="117">
        <f t="shared" ref="AB502:AV502" ca="1" si="42">F402</f>
        <v>45952</v>
      </c>
      <c r="AC502" s="117">
        <f t="shared" ca="1" si="42"/>
        <v>45953</v>
      </c>
      <c r="AD502" s="117">
        <f t="shared" ca="1" si="42"/>
        <v>45954</v>
      </c>
      <c r="AE502" s="117">
        <f t="shared" ca="1" si="42"/>
        <v>45957</v>
      </c>
      <c r="AF502" s="117">
        <f t="shared" ca="1" si="42"/>
        <v>45958</v>
      </c>
      <c r="AG502" s="117">
        <f t="shared" ca="1" si="42"/>
        <v>45959</v>
      </c>
      <c r="AH502" s="117">
        <f t="shared" ca="1" si="42"/>
        <v>45960</v>
      </c>
      <c r="AI502" s="117">
        <f t="shared" ca="1" si="42"/>
        <v>45961</v>
      </c>
      <c r="AJ502" s="117">
        <f t="shared" ca="1" si="42"/>
        <v>45964</v>
      </c>
      <c r="AK502" s="117">
        <f t="shared" ca="1" si="42"/>
        <v>45965</v>
      </c>
      <c r="AL502" s="117">
        <f t="shared" ca="1" si="42"/>
        <v>45966</v>
      </c>
      <c r="AM502" s="117">
        <f t="shared" ca="1" si="42"/>
        <v>45967</v>
      </c>
      <c r="AN502" s="117">
        <f t="shared" ca="1" si="42"/>
        <v>45968</v>
      </c>
      <c r="AO502" s="117">
        <f t="shared" ca="1" si="42"/>
        <v>45971</v>
      </c>
      <c r="AP502" s="117">
        <f t="shared" ca="1" si="42"/>
        <v>45972</v>
      </c>
      <c r="AQ502" s="117">
        <f t="shared" ca="1" si="42"/>
        <v>45973</v>
      </c>
      <c r="AR502" s="117">
        <f t="shared" ca="1" si="42"/>
        <v>45974</v>
      </c>
      <c r="AS502" s="117">
        <f t="shared" ca="1" si="42"/>
        <v>45975</v>
      </c>
      <c r="AT502" s="117">
        <f t="shared" ca="1" si="42"/>
        <v>45978</v>
      </c>
      <c r="AU502" s="117">
        <f t="shared" ca="1" si="42"/>
        <v>45979</v>
      </c>
      <c r="AV502" s="117">
        <f t="shared" ca="1" si="42"/>
        <v>45980</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01">
        <v>34.1738</v>
      </c>
      <c r="G505" s="1101">
        <v>34.398600000000002</v>
      </c>
      <c r="H505" s="1101">
        <v>34.129600000000003</v>
      </c>
      <c r="I505" s="1101">
        <v>34.1295</v>
      </c>
      <c r="J505" s="1101">
        <v>34.796999999999997</v>
      </c>
      <c r="K505" s="1101">
        <v>36.169400000000003</v>
      </c>
      <c r="L505" s="1101">
        <v>35.646799999999999</v>
      </c>
      <c r="M505" s="1101">
        <v>35.646799999999999</v>
      </c>
      <c r="N505" s="1101">
        <v>35.802700000000002</v>
      </c>
      <c r="O505" s="1101">
        <v>36.249499999999998</v>
      </c>
      <c r="P505" s="1101">
        <v>37.075699999999998</v>
      </c>
      <c r="Q505" s="1101">
        <v>37.101900000000001</v>
      </c>
      <c r="R505" s="1101">
        <v>37.432899999999997</v>
      </c>
      <c r="S505" s="1101">
        <v>36.3598</v>
      </c>
      <c r="T505" s="1101">
        <v>36.3613</v>
      </c>
      <c r="U505" s="1101">
        <v>36.423099999999998</v>
      </c>
      <c r="V505" s="1101">
        <v>36.086100000000002</v>
      </c>
      <c r="W505" s="1101">
        <v>36.680300000000003</v>
      </c>
      <c r="X505" s="1101">
        <v>36.011200000000002</v>
      </c>
      <c r="Y505" s="1101">
        <v>36.3598</v>
      </c>
      <c r="Z505" s="1101">
        <f ca="1">[1]ExtEntry!$K3</f>
        <v>36.3598</v>
      </c>
      <c r="AB505" s="262">
        <v>2601585</v>
      </c>
      <c r="AC505" s="262">
        <v>2618700</v>
      </c>
      <c r="AD505" s="262">
        <v>2598225</v>
      </c>
      <c r="AE505" s="262">
        <v>2649045</v>
      </c>
      <c r="AF505" s="262">
        <v>2753520</v>
      </c>
      <c r="AG505" s="262">
        <v>2627700</v>
      </c>
      <c r="AH505" s="262">
        <v>2584500</v>
      </c>
      <c r="AI505" s="262">
        <v>2584500</v>
      </c>
      <c r="AJ505" s="262">
        <v>2595800</v>
      </c>
      <c r="AK505" s="262">
        <v>2628200</v>
      </c>
      <c r="AL505" s="262">
        <v>2688100</v>
      </c>
      <c r="AM505" s="262">
        <v>2690000</v>
      </c>
      <c r="AN505" s="262">
        <v>2714000</v>
      </c>
      <c r="AO505" s="262">
        <v>2565284.9999999995</v>
      </c>
      <c r="AP505" s="262">
        <v>2566330</v>
      </c>
      <c r="AQ505" s="262">
        <v>2569750</v>
      </c>
      <c r="AR505" s="262">
        <v>2545971.5</v>
      </c>
      <c r="AS505" s="262">
        <v>2587895.0000000005</v>
      </c>
      <c r="AT505" s="262">
        <v>2540680</v>
      </c>
      <c r="AU505" s="262">
        <v>2565284.9999999995</v>
      </c>
      <c r="AV505" s="262">
        <f ca="1">Calc!F3</f>
        <v>2565284.9999999995</v>
      </c>
      <c r="AX505" s="88" t="str">
        <f t="shared" ref="AX505:AX536" ca="1" si="43">A5</f>
        <v>AAPL</v>
      </c>
      <c r="AY505" s="81">
        <f ca="1">Tab2MarketValue[[#This Row],[M_Val20]]-Tab2MarketValue[[#This Row],[M_Val19]]</f>
        <v>0</v>
      </c>
    </row>
    <row r="506" spans="1:51" x14ac:dyDescent="0.3">
      <c r="A506" s="88" t="str">
        <f t="shared" ref="A506:A569" ca="1" si="44">A6</f>
        <v>ADEA</v>
      </c>
      <c r="F506" s="257">
        <v>22.360099999999999</v>
      </c>
      <c r="G506" s="257">
        <v>23.1693</v>
      </c>
      <c r="H506" s="257">
        <v>23.2913</v>
      </c>
      <c r="I506" s="257">
        <v>22.4011</v>
      </c>
      <c r="J506" s="257">
        <v>22.3337</v>
      </c>
      <c r="K506" s="257">
        <v>22.643899999999999</v>
      </c>
      <c r="L506" s="257">
        <v>22.683700000000002</v>
      </c>
      <c r="M506" s="257">
        <v>22.683700000000002</v>
      </c>
      <c r="N506" s="257">
        <v>22.616299999999999</v>
      </c>
      <c r="O506" s="257">
        <v>23.061399999999999</v>
      </c>
      <c r="P506" s="257">
        <v>23.7896</v>
      </c>
      <c r="Q506" s="257">
        <v>23.911000000000001</v>
      </c>
      <c r="R506" s="257">
        <v>23.0883</v>
      </c>
      <c r="S506" s="257">
        <v>17.161200000000001</v>
      </c>
      <c r="T506" s="257">
        <v>21.232700000000001</v>
      </c>
      <c r="U506" s="257">
        <v>21.471499999999999</v>
      </c>
      <c r="V506" s="257">
        <v>21.640999999999998</v>
      </c>
      <c r="W506" s="257">
        <v>19.815100000000001</v>
      </c>
      <c r="X506" s="257">
        <v>19.029299999999999</v>
      </c>
      <c r="Y506" s="257">
        <v>18.890599999999999</v>
      </c>
      <c r="Z506" s="1101">
        <f ca="1">[1]ExtEntry!$K4</f>
        <v>18.890599999999999</v>
      </c>
      <c r="AB506" s="265">
        <v>82899.999999999985</v>
      </c>
      <c r="AC506" s="265">
        <v>85900</v>
      </c>
      <c r="AD506" s="265">
        <v>83050</v>
      </c>
      <c r="AE506" s="265">
        <v>82800</v>
      </c>
      <c r="AF506" s="265">
        <v>83950</v>
      </c>
      <c r="AG506" s="265">
        <v>85050.000000000015</v>
      </c>
      <c r="AH506" s="265">
        <v>84100</v>
      </c>
      <c r="AI506" s="265">
        <v>84100</v>
      </c>
      <c r="AJ506" s="265">
        <v>83850</v>
      </c>
      <c r="AK506" s="265">
        <v>85500</v>
      </c>
      <c r="AL506" s="265">
        <v>88200</v>
      </c>
      <c r="AM506" s="265">
        <v>88650</v>
      </c>
      <c r="AN506" s="265">
        <v>85600</v>
      </c>
      <c r="AO506" s="265">
        <v>63625</v>
      </c>
      <c r="AP506" s="265">
        <v>68900</v>
      </c>
      <c r="AQ506" s="265">
        <v>69675</v>
      </c>
      <c r="AR506" s="265">
        <v>70225</v>
      </c>
      <c r="AS506" s="265">
        <v>64300</v>
      </c>
      <c r="AT506" s="265">
        <v>61750</v>
      </c>
      <c r="AU506" s="265">
        <v>61300</v>
      </c>
      <c r="AV506" s="262">
        <f ca="1">Calc!F4</f>
        <v>61300</v>
      </c>
      <c r="AX506" s="88" t="str">
        <f t="shared" ca="1" si="43"/>
        <v>ADEA</v>
      </c>
      <c r="AY506" s="81">
        <f ca="1">Tab2MarketValue[[#This Row],[M_Val20]]-Tab2MarketValue[[#This Row],[M_Val19]]</f>
        <v>0</v>
      </c>
    </row>
    <row r="507" spans="1:51" x14ac:dyDescent="0.3">
      <c r="A507" s="88" t="str">
        <f t="shared" ca="1" si="44"/>
        <v>AET</v>
      </c>
      <c r="F507" s="1101">
        <v>3.7326000000000001</v>
      </c>
      <c r="G507" s="1101">
        <v>3.6545000000000001</v>
      </c>
      <c r="H507" s="1101">
        <v>3.5590000000000002</v>
      </c>
      <c r="I507" s="1101">
        <v>3.5590000000000002</v>
      </c>
      <c r="J507" s="1101">
        <v>3.6718999999999999</v>
      </c>
      <c r="K507" s="1101">
        <v>3.6718999999999999</v>
      </c>
      <c r="L507" s="1101">
        <v>3.7326000000000001</v>
      </c>
      <c r="M507" s="1101">
        <v>3.7326000000000001</v>
      </c>
      <c r="N507" s="1101">
        <v>3.7673999999999999</v>
      </c>
      <c r="O507" s="1101">
        <v>3.9756999999999998</v>
      </c>
      <c r="P507" s="1101">
        <v>3.8889</v>
      </c>
      <c r="Q507" s="1101">
        <v>3.8020999999999998</v>
      </c>
      <c r="R507" s="1101">
        <v>3.9062999999999999</v>
      </c>
      <c r="S507" s="1101">
        <v>3.9062999999999999</v>
      </c>
      <c r="T507" s="1101">
        <v>3.9931000000000001</v>
      </c>
      <c r="U507" s="1101">
        <v>3.8542000000000001</v>
      </c>
      <c r="V507" s="1101">
        <v>3.8801999999999999</v>
      </c>
      <c r="W507" s="1101">
        <v>4.0103999999999997</v>
      </c>
      <c r="X507" s="1101">
        <v>3.9062999999999999</v>
      </c>
      <c r="Y507" s="1101">
        <v>3.9062999999999999</v>
      </c>
      <c r="Z507" s="1101">
        <f ca="1">[1]ExtEntry!$K5</f>
        <v>3.9062999999999999</v>
      </c>
      <c r="AB507" s="262">
        <v>351780</v>
      </c>
      <c r="AC507" s="262">
        <v>345220</v>
      </c>
      <c r="AD507" s="262">
        <v>336200</v>
      </c>
      <c r="AE507" s="262">
        <v>344400</v>
      </c>
      <c r="AF507" s="262">
        <v>346860</v>
      </c>
      <c r="AG507" s="262">
        <v>352600</v>
      </c>
      <c r="AH507" s="262">
        <v>355880</v>
      </c>
      <c r="AI507" s="262">
        <v>355880</v>
      </c>
      <c r="AJ507" s="262">
        <v>364080</v>
      </c>
      <c r="AK507" s="262">
        <v>375560</v>
      </c>
      <c r="AL507" s="262">
        <v>367360</v>
      </c>
      <c r="AM507" s="262">
        <v>359160</v>
      </c>
      <c r="AN507" s="262">
        <v>369000</v>
      </c>
      <c r="AO507" s="262">
        <v>369000</v>
      </c>
      <c r="AP507" s="262">
        <v>377200</v>
      </c>
      <c r="AQ507" s="262">
        <v>364080</v>
      </c>
      <c r="AR507" s="262">
        <v>366540</v>
      </c>
      <c r="AS507" s="262">
        <v>370640</v>
      </c>
      <c r="AT507" s="262">
        <v>369000</v>
      </c>
      <c r="AU507" s="262">
        <v>369000</v>
      </c>
      <c r="AV507" s="262">
        <f ca="1">Calc!F5</f>
        <v>369000</v>
      </c>
      <c r="AX507" s="88" t="str">
        <f t="shared" ca="1" si="43"/>
        <v>AET</v>
      </c>
      <c r="AY507" s="81">
        <f ca="1">Tab2MarketValue[[#This Row],[M_Val20]]-Tab2MarketValue[[#This Row],[M_Val19]]</f>
        <v>0</v>
      </c>
    </row>
    <row r="508" spans="1:51" x14ac:dyDescent="0.3">
      <c r="A508" s="88" t="str">
        <f t="shared" ca="1" si="44"/>
        <v>AMZN</v>
      </c>
      <c r="F508" s="257">
        <v>33.020499999999998</v>
      </c>
      <c r="G508" s="257">
        <v>32.832799999999999</v>
      </c>
      <c r="H508" s="257">
        <v>32.727499999999999</v>
      </c>
      <c r="I508" s="257">
        <v>32.727600000000002</v>
      </c>
      <c r="J508" s="257">
        <v>32.509399999999999</v>
      </c>
      <c r="K508" s="257">
        <v>33.034300000000002</v>
      </c>
      <c r="L508" s="257">
        <v>33.258600000000001</v>
      </c>
      <c r="M508" s="257">
        <v>33.258600000000001</v>
      </c>
      <c r="N508" s="257">
        <v>33.737699999999997</v>
      </c>
      <c r="O508" s="257">
        <v>34.213799999999999</v>
      </c>
      <c r="P508" s="257">
        <v>34.634999999999998</v>
      </c>
      <c r="Q508" s="257">
        <v>34.982900000000001</v>
      </c>
      <c r="R508" s="257">
        <v>34.007800000000003</v>
      </c>
      <c r="S508" s="257">
        <v>35.149000000000001</v>
      </c>
      <c r="T508" s="257">
        <v>35.344000000000001</v>
      </c>
      <c r="U508" s="257">
        <v>34.440800000000003</v>
      </c>
      <c r="V508" s="257">
        <v>34.5473</v>
      </c>
      <c r="W508" s="257">
        <v>33.152999999999999</v>
      </c>
      <c r="X508" s="257">
        <v>31.438300000000002</v>
      </c>
      <c r="Y508" s="257">
        <v>31.244800000000001</v>
      </c>
      <c r="Z508" s="1101">
        <f ca="1">[1]ExtEntry!$K6</f>
        <v>31.244800000000001</v>
      </c>
      <c r="AB508" s="265">
        <v>2596680</v>
      </c>
      <c r="AC508" s="265">
        <v>2581920</v>
      </c>
      <c r="AD508" s="265">
        <v>2573640</v>
      </c>
      <c r="AE508" s="265">
        <v>2556480</v>
      </c>
      <c r="AF508" s="265">
        <v>2597760</v>
      </c>
      <c r="AG508" s="265">
        <v>2664360</v>
      </c>
      <c r="AH508" s="265">
        <v>2615400</v>
      </c>
      <c r="AI508" s="265">
        <v>2615400</v>
      </c>
      <c r="AJ508" s="265">
        <v>2653080</v>
      </c>
      <c r="AK508" s="265">
        <v>2690520</v>
      </c>
      <c r="AL508" s="265">
        <v>2723640</v>
      </c>
      <c r="AM508" s="265">
        <v>2751000</v>
      </c>
      <c r="AN508" s="265">
        <v>2674320</v>
      </c>
      <c r="AO508" s="265">
        <v>2985840</v>
      </c>
      <c r="AP508" s="265">
        <v>3002400</v>
      </c>
      <c r="AQ508" s="265">
        <v>2925676.8</v>
      </c>
      <c r="AR508" s="265">
        <v>2934720</v>
      </c>
      <c r="AS508" s="265">
        <v>2816280</v>
      </c>
      <c r="AT508" s="265">
        <v>2670600</v>
      </c>
      <c r="AU508" s="265">
        <v>2654184</v>
      </c>
      <c r="AV508" s="262">
        <f ca="1">Calc!F6</f>
        <v>2654184</v>
      </c>
      <c r="AX508" s="88" t="str">
        <f t="shared" ca="1" si="43"/>
        <v>AMZN</v>
      </c>
      <c r="AY508" s="81">
        <f ca="1">Tab2MarketValue[[#This Row],[M_Val20]]-Tab2MarketValue[[#This Row],[M_Val19]]</f>
        <v>0</v>
      </c>
    </row>
    <row r="509" spans="1:51" x14ac:dyDescent="0.3">
      <c r="A509" s="88" t="str">
        <f t="shared" ca="1" si="44"/>
        <v>ALDNE</v>
      </c>
      <c r="F509" s="1101">
        <v>0</v>
      </c>
      <c r="G509" s="1101">
        <v>0</v>
      </c>
      <c r="H509" s="1101">
        <v>0</v>
      </c>
      <c r="I509" s="1101">
        <v>0</v>
      </c>
      <c r="J509" s="1101">
        <v>0</v>
      </c>
      <c r="K509" s="1101">
        <v>0</v>
      </c>
      <c r="L509" s="1101">
        <v>0</v>
      </c>
      <c r="M509" s="1101">
        <v>0</v>
      </c>
      <c r="N509" s="1101">
        <v>0</v>
      </c>
      <c r="O509" s="1101">
        <v>0</v>
      </c>
      <c r="P509" s="1101">
        <v>0</v>
      </c>
      <c r="Q509" s="1101">
        <v>0</v>
      </c>
      <c r="R509" s="1101">
        <v>0</v>
      </c>
      <c r="S509" s="1101">
        <v>0</v>
      </c>
      <c r="T509" s="1101">
        <v>0</v>
      </c>
      <c r="U509" s="1101">
        <v>0</v>
      </c>
      <c r="V509" s="1101">
        <v>0</v>
      </c>
      <c r="W509" s="1101">
        <v>0</v>
      </c>
      <c r="X509" s="1101">
        <v>0</v>
      </c>
      <c r="Y509" s="1101">
        <v>0</v>
      </c>
      <c r="Z509" s="1101">
        <f ca="1">[1]ExtEntry!$K7</f>
        <v>0</v>
      </c>
      <c r="AB509" s="262">
        <v>2125200</v>
      </c>
      <c r="AC509" s="262">
        <v>2120140</v>
      </c>
      <c r="AD509" s="262">
        <v>2099900</v>
      </c>
      <c r="AE509" s="262">
        <v>2099900</v>
      </c>
      <c r="AF509" s="262">
        <v>2074599.9999999998</v>
      </c>
      <c r="AG509" s="262">
        <v>2099900</v>
      </c>
      <c r="AH509" s="262">
        <v>2125200</v>
      </c>
      <c r="AI509" s="262">
        <v>2125200</v>
      </c>
      <c r="AJ509" s="262">
        <v>2120140</v>
      </c>
      <c r="AK509" s="262">
        <v>2089780</v>
      </c>
      <c r="AL509" s="262">
        <v>2069539.9999999998</v>
      </c>
      <c r="AM509" s="262">
        <v>2074599.9999999998</v>
      </c>
      <c r="AN509" s="262">
        <v>2049300.0000000002</v>
      </c>
      <c r="AO509" s="262">
        <v>1993640</v>
      </c>
      <c r="AP509" s="262">
        <v>1998700</v>
      </c>
      <c r="AQ509" s="262">
        <v>1978460</v>
      </c>
      <c r="AR509" s="262">
        <v>1973400</v>
      </c>
      <c r="AS509" s="262">
        <v>1684980</v>
      </c>
      <c r="AT509" s="262">
        <v>1695100</v>
      </c>
      <c r="AU509" s="262">
        <v>1740639.9999999998</v>
      </c>
      <c r="AV509" s="262">
        <f ca="1">Calc!F7</f>
        <v>1740639.9999999998</v>
      </c>
      <c r="AX509" s="88" t="str">
        <f t="shared" ca="1" si="43"/>
        <v>ALDNE</v>
      </c>
      <c r="AY509" s="81">
        <f ca="1">Tab2MarketValue[[#This Row],[M_Val20]]-Tab2MarketValue[[#This Row],[M_Val19]]</f>
        <v>0</v>
      </c>
    </row>
    <row r="510" spans="1:51" x14ac:dyDescent="0.3">
      <c r="A510" s="88" t="str">
        <f t="shared" ca="1" si="44"/>
        <v>ASML</v>
      </c>
      <c r="F510" s="257">
        <v>32.506399999999999</v>
      </c>
      <c r="G510" s="257">
        <v>33.520099999999999</v>
      </c>
      <c r="H510" s="257">
        <v>33.689</v>
      </c>
      <c r="I510" s="257">
        <v>33.689</v>
      </c>
      <c r="J510" s="257">
        <v>34.5184</v>
      </c>
      <c r="K510" s="257">
        <v>34.165100000000002</v>
      </c>
      <c r="L510" s="257">
        <v>34.165100000000002</v>
      </c>
      <c r="M510" s="257">
        <v>34.165100000000002</v>
      </c>
      <c r="N510" s="257">
        <v>33.408700000000003</v>
      </c>
      <c r="O510" s="257">
        <v>34.341799999999999</v>
      </c>
      <c r="P510" s="257">
        <v>34.867800000000003</v>
      </c>
      <c r="Q510" s="257">
        <v>34.867800000000003</v>
      </c>
      <c r="R510" s="257">
        <v>35.996600000000001</v>
      </c>
      <c r="S510" s="257">
        <v>35.247900000000001</v>
      </c>
      <c r="T510" s="257">
        <v>34.810200000000002</v>
      </c>
      <c r="U510" s="257">
        <v>34.376300000000001</v>
      </c>
      <c r="V510" s="257">
        <v>33.435600000000001</v>
      </c>
      <c r="W510" s="257">
        <v>33.5623</v>
      </c>
      <c r="X510" s="257">
        <v>32.997900000000001</v>
      </c>
      <c r="Y510" s="257">
        <v>34.042299999999997</v>
      </c>
      <c r="Z510" s="1101">
        <f ca="1">[1]ExtEntry!$K8</f>
        <v>34.042299999999997</v>
      </c>
      <c r="AB510" s="265">
        <v>3386400</v>
      </c>
      <c r="AC510" s="265">
        <v>3492000</v>
      </c>
      <c r="AD510" s="265">
        <v>3421860</v>
      </c>
      <c r="AE510" s="265">
        <v>3327660</v>
      </c>
      <c r="AF510" s="265">
        <v>3416200</v>
      </c>
      <c r="AG510" s="265">
        <v>3381240</v>
      </c>
      <c r="AH510" s="265">
        <v>3306380</v>
      </c>
      <c r="AI510" s="265">
        <v>3306380</v>
      </c>
      <c r="AJ510" s="265">
        <v>3373260</v>
      </c>
      <c r="AK510" s="265">
        <v>3309280</v>
      </c>
      <c r="AL510" s="265">
        <v>3269160</v>
      </c>
      <c r="AM510" s="265">
        <v>3266640</v>
      </c>
      <c r="AN510" s="265">
        <v>3375000</v>
      </c>
      <c r="AO510" s="265">
        <v>3304800</v>
      </c>
      <c r="AP510" s="265">
        <v>3263760</v>
      </c>
      <c r="AQ510" s="265">
        <v>2775430</v>
      </c>
      <c r="AR510" s="265">
        <v>2699480</v>
      </c>
      <c r="AS510" s="265">
        <v>2622300</v>
      </c>
      <c r="AT510" s="265">
        <v>3007900</v>
      </c>
      <c r="AU510" s="265">
        <v>3103100</v>
      </c>
      <c r="AV510" s="262">
        <f ca="1">Calc!F8</f>
        <v>3103100</v>
      </c>
      <c r="AX510" s="88" t="str">
        <f t="shared" ca="1" si="43"/>
        <v>ASML</v>
      </c>
      <c r="AY510" s="81">
        <f ca="1">Tab2MarketValue[[#This Row],[M_Val20]]-Tab2MarketValue[[#This Row],[M_Val19]]</f>
        <v>0</v>
      </c>
    </row>
    <row r="511" spans="1:51" hidden="1" x14ac:dyDescent="0.3">
      <c r="A511" s="88" t="str">
        <f t="shared" ca="1" si="44"/>
        <v>AVGO</v>
      </c>
      <c r="F511" s="257">
        <v>88.215800000000002</v>
      </c>
      <c r="G511" s="257">
        <v>89.923100000000005</v>
      </c>
      <c r="H511" s="257">
        <v>90.784400000000005</v>
      </c>
      <c r="I511" s="257">
        <v>90.784899999999993</v>
      </c>
      <c r="J511" s="257">
        <v>89.549300000000002</v>
      </c>
      <c r="K511" s="257">
        <v>87.838999999999999</v>
      </c>
      <c r="L511" s="257">
        <v>87.233999999999995</v>
      </c>
      <c r="M511" s="257">
        <v>87.233999999999995</v>
      </c>
      <c r="N511" s="257">
        <v>88.256900000000002</v>
      </c>
      <c r="O511" s="257">
        <v>90.779300000000006</v>
      </c>
      <c r="P511" s="257">
        <v>92.8095</v>
      </c>
      <c r="Q511" s="257">
        <v>92.81</v>
      </c>
      <c r="R511" s="257">
        <v>96.506</v>
      </c>
      <c r="S511" s="257">
        <v>90.294499999999999</v>
      </c>
      <c r="T511" s="257">
        <v>90.218400000000003</v>
      </c>
      <c r="U511" s="257">
        <v>91.156099999999995</v>
      </c>
      <c r="V511" s="257">
        <v>89.050200000000004</v>
      </c>
      <c r="W511" s="257">
        <v>87.787700000000001</v>
      </c>
      <c r="X511" s="257">
        <v>87.285799999999995</v>
      </c>
      <c r="Y511" s="257">
        <v>89.200199999999995</v>
      </c>
      <c r="Z511" s="1101">
        <f ca="1">[1]ExtEntry!$K9</f>
        <v>89.200199999999995</v>
      </c>
      <c r="AB511" s="265">
        <v>137652</v>
      </c>
      <c r="AC511" s="265">
        <v>140316</v>
      </c>
      <c r="AD511" s="265">
        <v>141660</v>
      </c>
      <c r="AE511" s="265">
        <v>139732</v>
      </c>
      <c r="AF511" s="265">
        <v>139696</v>
      </c>
      <c r="AG511" s="265">
        <v>137064</v>
      </c>
      <c r="AH511" s="265">
        <v>136120</v>
      </c>
      <c r="AI511" s="265">
        <v>136120</v>
      </c>
      <c r="AJ511" s="265">
        <v>137716</v>
      </c>
      <c r="AK511" s="265">
        <v>141652</v>
      </c>
      <c r="AL511" s="265">
        <v>144820</v>
      </c>
      <c r="AM511" s="265">
        <v>149188</v>
      </c>
      <c r="AN511" s="265">
        <v>150588</v>
      </c>
      <c r="AO511" s="265">
        <v>140895.56</v>
      </c>
      <c r="AP511" s="265">
        <v>143592</v>
      </c>
      <c r="AQ511" s="265">
        <v>142240</v>
      </c>
      <c r="AR511" s="265">
        <v>138954</v>
      </c>
      <c r="AS511" s="265">
        <v>136984</v>
      </c>
      <c r="AT511" s="265">
        <v>68100</v>
      </c>
      <c r="AU511" s="265">
        <v>69594</v>
      </c>
      <c r="AV511" s="262">
        <f ca="1">Calc!F9</f>
        <v>69594</v>
      </c>
      <c r="AX511" s="88" t="str">
        <f t="shared" ca="1" si="43"/>
        <v>AVGO</v>
      </c>
      <c r="AY511" s="81">
        <f ca="1">Tab2MarketValue[[#This Row],[M_Val20]]-Tab2MarketValue[[#This Row],[M_Val19]]</f>
        <v>0</v>
      </c>
    </row>
    <row r="512" spans="1:51" hidden="1" x14ac:dyDescent="0.3">
      <c r="A512" s="88" t="str">
        <f t="shared" ca="1" si="44"/>
        <v>AZN</v>
      </c>
      <c r="F512" s="257">
        <v>88.215800000000002</v>
      </c>
      <c r="G512" s="257">
        <v>89.923100000000005</v>
      </c>
      <c r="H512" s="257">
        <v>90.784400000000005</v>
      </c>
      <c r="I512" s="257">
        <v>90.784899999999993</v>
      </c>
      <c r="J512" s="257">
        <v>89.549300000000002</v>
      </c>
      <c r="K512" s="257">
        <v>87.838999999999999</v>
      </c>
      <c r="L512" s="257">
        <v>87.233999999999995</v>
      </c>
      <c r="M512" s="257">
        <v>87.233999999999995</v>
      </c>
      <c r="N512" s="257">
        <v>88.256900000000002</v>
      </c>
      <c r="O512" s="257">
        <v>90.779300000000006</v>
      </c>
      <c r="P512" s="257">
        <v>92.8095</v>
      </c>
      <c r="Q512" s="257">
        <v>92.81</v>
      </c>
      <c r="R512" s="257">
        <v>96.506</v>
      </c>
      <c r="S512" s="257">
        <v>90.294499999999999</v>
      </c>
      <c r="T512" s="257">
        <v>90.218400000000003</v>
      </c>
      <c r="U512" s="257">
        <v>91.156099999999995</v>
      </c>
      <c r="V512" s="257">
        <v>89.050200000000004</v>
      </c>
      <c r="W512" s="257">
        <v>87.787700000000001</v>
      </c>
      <c r="X512" s="257">
        <v>87.285799999999995</v>
      </c>
      <c r="Y512" s="257">
        <v>89.200199999999995</v>
      </c>
      <c r="Z512" s="1101">
        <f ca="1">[1]ExtEntry!$K9</f>
        <v>89.200199999999995</v>
      </c>
      <c r="AB512" s="262">
        <v>42560</v>
      </c>
      <c r="AC512" s="262">
        <v>42472.5</v>
      </c>
      <c r="AD512" s="262">
        <v>41915</v>
      </c>
      <c r="AE512" s="262">
        <v>42345</v>
      </c>
      <c r="AF512" s="262">
        <v>41935</v>
      </c>
      <c r="AG512" s="262">
        <v>41610</v>
      </c>
      <c r="AH512" s="262">
        <v>41715</v>
      </c>
      <c r="AI512" s="262">
        <v>41715</v>
      </c>
      <c r="AJ512" s="262">
        <v>41700</v>
      </c>
      <c r="AK512" s="262">
        <v>41645</v>
      </c>
      <c r="AL512" s="262">
        <v>42030</v>
      </c>
      <c r="AM512" s="262">
        <v>41305</v>
      </c>
      <c r="AN512" s="262">
        <v>41170</v>
      </c>
      <c r="AO512" s="262">
        <v>40977.550000000003</v>
      </c>
      <c r="AP512" s="262">
        <v>40575</v>
      </c>
      <c r="AQ512" s="262">
        <v>41847.5</v>
      </c>
      <c r="AR512" s="262">
        <v>42277.5</v>
      </c>
      <c r="AS512" s="262">
        <v>44550</v>
      </c>
      <c r="AT512" s="262">
        <v>44775</v>
      </c>
      <c r="AU512" s="262">
        <v>44485.05</v>
      </c>
      <c r="AV512" s="262">
        <f ca="1">Calc!F10</f>
        <v>44485.05</v>
      </c>
      <c r="AX512" s="88" t="str">
        <f t="shared" ca="1" si="43"/>
        <v>AZN</v>
      </c>
      <c r="AY512" s="81">
        <f ca="1">Tab2MarketValue[[#This Row],[M_Val20]]-Tab2MarketValue[[#This Row],[M_Val19]]</f>
        <v>0</v>
      </c>
    </row>
    <row r="513" spans="1:51" hidden="1" x14ac:dyDescent="0.3">
      <c r="A513" s="88" t="str">
        <f t="shared" ca="1" si="44"/>
        <v>BLDP</v>
      </c>
      <c r="F513" s="257">
        <v>32.046999999999997</v>
      </c>
      <c r="G513" s="257">
        <v>31.981100000000001</v>
      </c>
      <c r="H513" s="257">
        <v>31.561299999999999</v>
      </c>
      <c r="I513" s="257">
        <v>31.561</v>
      </c>
      <c r="J513" s="257">
        <v>31.884799999999998</v>
      </c>
      <c r="K513" s="257">
        <v>31.331700000000001</v>
      </c>
      <c r="L513" s="257">
        <v>31.410699999999999</v>
      </c>
      <c r="M513" s="257">
        <v>31.410699999999999</v>
      </c>
      <c r="N513" s="257">
        <v>31.3994</v>
      </c>
      <c r="O513" s="257">
        <v>31.358000000000001</v>
      </c>
      <c r="P513" s="257">
        <v>31.6479</v>
      </c>
      <c r="Q513" s="257">
        <v>31.102</v>
      </c>
      <c r="R513" s="257">
        <v>31.000299999999999</v>
      </c>
      <c r="S513" s="257">
        <v>30.855399999999999</v>
      </c>
      <c r="T513" s="257">
        <v>30.552299999999999</v>
      </c>
      <c r="U513" s="257">
        <v>31.5105</v>
      </c>
      <c r="V513" s="257">
        <v>28.0914</v>
      </c>
      <c r="W513" s="257">
        <v>29.601299999999998</v>
      </c>
      <c r="X513" s="257">
        <v>29.750399999999999</v>
      </c>
      <c r="Y513" s="257">
        <v>29.558199999999999</v>
      </c>
      <c r="Z513" s="1101">
        <f ca="1">[1]ExtEntry!$K10</f>
        <v>29.558199999999999</v>
      </c>
      <c r="AB513" s="265">
        <v>79600</v>
      </c>
      <c r="AC513" s="265">
        <v>75500</v>
      </c>
      <c r="AD513" s="265">
        <v>73400</v>
      </c>
      <c r="AE513" s="265">
        <v>72600</v>
      </c>
      <c r="AF513" s="265">
        <v>72800</v>
      </c>
      <c r="AG513" s="265">
        <v>66600</v>
      </c>
      <c r="AH513" s="265">
        <v>65600</v>
      </c>
      <c r="AI513" s="265">
        <v>65600</v>
      </c>
      <c r="AJ513" s="265">
        <v>65600</v>
      </c>
      <c r="AK513" s="265">
        <v>68800</v>
      </c>
      <c r="AL513" s="265">
        <v>68200</v>
      </c>
      <c r="AM513" s="265">
        <v>68800</v>
      </c>
      <c r="AN513" s="265">
        <v>68800</v>
      </c>
      <c r="AO513" s="265">
        <v>67900</v>
      </c>
      <c r="AP513" s="265">
        <v>73000</v>
      </c>
      <c r="AQ513" s="265">
        <v>71400</v>
      </c>
      <c r="AR513" s="265">
        <v>69700</v>
      </c>
      <c r="AS513" s="265">
        <v>60599.999999999993</v>
      </c>
      <c r="AT513" s="265">
        <v>57800</v>
      </c>
      <c r="AU513" s="265">
        <v>56840</v>
      </c>
      <c r="AV513" s="262">
        <f ca="1">Calc!F11</f>
        <v>56840</v>
      </c>
      <c r="AX513" s="88" t="str">
        <f t="shared" ca="1" si="43"/>
        <v>BLDP</v>
      </c>
      <c r="AY513" s="81">
        <f ca="1">Tab2MarketValue[[#This Row],[M_Val20]]-Tab2MarketValue[[#This Row],[M_Val19]]</f>
        <v>0</v>
      </c>
    </row>
    <row r="514" spans="1:51"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01">
        <f ca="1">[1]ExtEntry!$K11</f>
        <v>0</v>
      </c>
      <c r="AB514" s="262">
        <v>36000</v>
      </c>
      <c r="AC514" s="262">
        <v>35750</v>
      </c>
      <c r="AD514" s="262">
        <v>37625</v>
      </c>
      <c r="AE514" s="262">
        <v>37250</v>
      </c>
      <c r="AF514" s="262">
        <v>39000</v>
      </c>
      <c r="AG514" s="262">
        <v>40000</v>
      </c>
      <c r="AH514" s="262">
        <v>36625</v>
      </c>
      <c r="AI514" s="262">
        <v>36625</v>
      </c>
      <c r="AJ514" s="262">
        <v>36375</v>
      </c>
      <c r="AK514" s="262">
        <v>37000</v>
      </c>
      <c r="AL514" s="262">
        <v>37000</v>
      </c>
      <c r="AM514" s="262">
        <v>36625</v>
      </c>
      <c r="AN514" s="262">
        <v>34500</v>
      </c>
      <c r="AO514" s="262">
        <v>68200</v>
      </c>
      <c r="AP514" s="262">
        <v>70950</v>
      </c>
      <c r="AQ514" s="262">
        <v>31874.999999999996</v>
      </c>
      <c r="AR514" s="262">
        <v>31218.75</v>
      </c>
      <c r="AS514" s="262">
        <v>30125</v>
      </c>
      <c r="AT514" s="262">
        <v>28125</v>
      </c>
      <c r="AU514" s="262">
        <v>27687.5</v>
      </c>
      <c r="AV514" s="262">
        <f ca="1">Calc!F12</f>
        <v>27687.5</v>
      </c>
      <c r="AX514" s="88" t="str">
        <f t="shared" ca="1" si="43"/>
        <v>BMRA</v>
      </c>
      <c r="AY514" s="81">
        <f ca="1">Tab2MarketValue[[#This Row],[M_Val20]]-Tab2MarketValue[[#This Row],[M_Val19]]</f>
        <v>0</v>
      </c>
    </row>
    <row r="515" spans="1:51"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01">
        <f ca="1">[1]ExtEntry!$K12</f>
        <v>0</v>
      </c>
      <c r="AB515" s="265">
        <v>499.05</v>
      </c>
      <c r="AC515" s="265">
        <v>496.23500000000001</v>
      </c>
      <c r="AD515" s="265">
        <v>481.4</v>
      </c>
      <c r="AE515" s="265">
        <v>485.34999999999997</v>
      </c>
      <c r="AF515" s="265">
        <v>496.45000000000005</v>
      </c>
      <c r="AG515" s="265">
        <v>491.25</v>
      </c>
      <c r="AH515" s="265">
        <v>481.59999999999997</v>
      </c>
      <c r="AI515" s="265">
        <v>481.59999999999997</v>
      </c>
      <c r="AJ515" s="265">
        <v>483.29999999999995</v>
      </c>
      <c r="AK515" s="265">
        <v>493.97500000000002</v>
      </c>
      <c r="AL515" s="265">
        <v>505.09999999999997</v>
      </c>
      <c r="AM515" s="265">
        <v>506.95</v>
      </c>
      <c r="AN515" s="265">
        <v>501.2</v>
      </c>
      <c r="AO515" s="265">
        <v>10600.8</v>
      </c>
      <c r="AP515" s="265">
        <v>10680.6</v>
      </c>
      <c r="AQ515" s="265">
        <v>10606.050000000001</v>
      </c>
      <c r="AR515" s="265">
        <v>10554.6</v>
      </c>
      <c r="AS515" s="265">
        <v>10531.5</v>
      </c>
      <c r="AT515" s="265">
        <v>10323.599999999999</v>
      </c>
      <c r="AU515" s="265">
        <v>10458</v>
      </c>
      <c r="AV515" s="262">
        <f ca="1">Calc!F13</f>
        <v>10458</v>
      </c>
      <c r="AX515" s="88" t="str">
        <f t="shared" ca="1" si="43"/>
        <v>C</v>
      </c>
      <c r="AY515" s="81">
        <f ca="1">Tab2MarketValue[[#This Row],[M_Val20]]-Tab2MarketValue[[#This Row],[M_Val19]]</f>
        <v>0</v>
      </c>
    </row>
    <row r="516" spans="1:51" hidden="1" x14ac:dyDescent="0.3">
      <c r="A516" s="88" t="str">
        <f t="shared" ca="1" si="44"/>
        <v>CSCO</v>
      </c>
      <c r="F516" s="257">
        <v>14.755000000000001</v>
      </c>
      <c r="G516" s="257">
        <v>13.951700000000001</v>
      </c>
      <c r="H516" s="257">
        <v>14.0266</v>
      </c>
      <c r="I516" s="257">
        <v>13.5318</v>
      </c>
      <c r="J516" s="257">
        <v>13.957800000000001</v>
      </c>
      <c r="K516" s="257">
        <v>13.8116</v>
      </c>
      <c r="L516" s="257">
        <v>13.5403</v>
      </c>
      <c r="M516" s="257">
        <v>13.5403</v>
      </c>
      <c r="N516" s="257">
        <v>13.588100000000001</v>
      </c>
      <c r="O516" s="257">
        <v>13.888199999999999</v>
      </c>
      <c r="P516" s="257">
        <v>14.201000000000001</v>
      </c>
      <c r="Q516" s="257">
        <v>14.253</v>
      </c>
      <c r="R516" s="257">
        <v>14.0913</v>
      </c>
      <c r="S516" s="257">
        <v>14.192500000000001</v>
      </c>
      <c r="T516" s="257">
        <v>14.2994</v>
      </c>
      <c r="U516" s="257">
        <v>14.1996</v>
      </c>
      <c r="V516" s="257">
        <v>14.130699999999999</v>
      </c>
      <c r="W516" s="257">
        <v>14.0998</v>
      </c>
      <c r="X516" s="257">
        <v>13.821400000000001</v>
      </c>
      <c r="Y516" s="257">
        <v>14.001300000000001</v>
      </c>
      <c r="Z516" s="1101">
        <f ca="1">[1]ExtEntry!$K13</f>
        <v>14.001300000000001</v>
      </c>
      <c r="AB516" s="262">
        <v>137320</v>
      </c>
      <c r="AC516" s="262">
        <v>69425</v>
      </c>
      <c r="AD516" s="262">
        <v>69090</v>
      </c>
      <c r="AE516" s="262">
        <v>70130</v>
      </c>
      <c r="AF516" s="262">
        <v>70650</v>
      </c>
      <c r="AG516" s="262">
        <v>70720</v>
      </c>
      <c r="AH516" s="262">
        <v>70660</v>
      </c>
      <c r="AI516" s="262">
        <v>70660</v>
      </c>
      <c r="AJ516" s="262">
        <v>70270</v>
      </c>
      <c r="AK516" s="262">
        <v>70630</v>
      </c>
      <c r="AL516" s="262">
        <v>71390</v>
      </c>
      <c r="AM516" s="262">
        <v>72620</v>
      </c>
      <c r="AN516" s="262">
        <v>72910</v>
      </c>
      <c r="AO516" s="262">
        <v>72405</v>
      </c>
      <c r="AP516" s="262">
        <v>72100</v>
      </c>
      <c r="AQ516" s="262">
        <v>71155</v>
      </c>
      <c r="AR516" s="262">
        <v>70925</v>
      </c>
      <c r="AS516" s="262">
        <v>78000</v>
      </c>
      <c r="AT516" s="262">
        <v>77370</v>
      </c>
      <c r="AU516" s="262">
        <v>78273.600000000006</v>
      </c>
      <c r="AV516" s="262">
        <f ca="1">Calc!F14</f>
        <v>78273.600000000006</v>
      </c>
      <c r="AX516" s="88" t="str">
        <f t="shared" ca="1" si="43"/>
        <v>CSCO</v>
      </c>
      <c r="AY516" s="81">
        <f ca="1">Tab2MarketValue[[#This Row],[M_Val20]]-Tab2MarketValue[[#This Row],[M_Val19]]</f>
        <v>0</v>
      </c>
    </row>
    <row r="517" spans="1:51" hidden="1" x14ac:dyDescent="0.3">
      <c r="A517" s="88" t="str">
        <f t="shared" ca="1" si="44"/>
        <v>CVS</v>
      </c>
      <c r="F517" s="257">
        <v>29.025600000000001</v>
      </c>
      <c r="G517" s="257">
        <v>29.349</v>
      </c>
      <c r="H517" s="257">
        <v>29.3889</v>
      </c>
      <c r="I517" s="257">
        <v>29.207100000000001</v>
      </c>
      <c r="J517" s="257">
        <v>29.646799999999999</v>
      </c>
      <c r="K517" s="257">
        <v>29.866599999999998</v>
      </c>
      <c r="L517" s="257">
        <v>29.871099999999998</v>
      </c>
      <c r="M517" s="257">
        <v>29.871099999999998</v>
      </c>
      <c r="N517" s="257">
        <v>29.706199999999999</v>
      </c>
      <c r="O517" s="257">
        <v>29.8584</v>
      </c>
      <c r="P517" s="257">
        <v>30.1797</v>
      </c>
      <c r="Q517" s="257">
        <v>30.6996</v>
      </c>
      <c r="R517" s="257">
        <v>30.822199999999999</v>
      </c>
      <c r="S517" s="257">
        <v>30.608799999999999</v>
      </c>
      <c r="T517" s="257">
        <v>30.479800000000001</v>
      </c>
      <c r="U517" s="257">
        <v>30.080300000000001</v>
      </c>
      <c r="V517" s="257">
        <v>29.9831</v>
      </c>
      <c r="W517" s="257">
        <v>30.167100000000001</v>
      </c>
      <c r="X517" s="257">
        <v>29.923100000000002</v>
      </c>
      <c r="Y517" s="257">
        <v>30.2729</v>
      </c>
      <c r="Z517" s="1101">
        <f ca="1">[1]ExtEntry!$K14</f>
        <v>30.2729</v>
      </c>
      <c r="AB517" s="265">
        <v>79.680000000000007</v>
      </c>
      <c r="AC517" s="265">
        <v>81.11</v>
      </c>
      <c r="AD517" s="265">
        <v>81.400000000000006</v>
      </c>
      <c r="AE517" s="265">
        <v>82.52</v>
      </c>
      <c r="AF517" s="265">
        <v>82.45</v>
      </c>
      <c r="AG517" s="265">
        <v>83.02</v>
      </c>
      <c r="AH517" s="265">
        <v>82.04</v>
      </c>
      <c r="AI517" s="265">
        <v>82.04</v>
      </c>
      <c r="AJ517" s="265">
        <v>81.069999999999993</v>
      </c>
      <c r="AK517" s="265">
        <v>81.900000000000006</v>
      </c>
      <c r="AL517" s="265">
        <v>82.444999999999993</v>
      </c>
      <c r="AM517" s="265">
        <v>82.19</v>
      </c>
      <c r="AN517" s="265">
        <v>76.69</v>
      </c>
      <c r="AO517" s="265">
        <v>78.11</v>
      </c>
      <c r="AP517" s="265">
        <v>78.56</v>
      </c>
      <c r="AQ517" s="265">
        <v>78.73</v>
      </c>
      <c r="AR517" s="265">
        <v>78.84</v>
      </c>
      <c r="AS517" s="265">
        <v>77.87</v>
      </c>
      <c r="AT517" s="265">
        <v>77.94</v>
      </c>
      <c r="AU517" s="265">
        <v>76.42</v>
      </c>
      <c r="AV517" s="262">
        <f ca="1">Calc!F15</f>
        <v>76.42</v>
      </c>
      <c r="AX517" s="88" t="str">
        <f t="shared" ca="1" si="43"/>
        <v>CVS</v>
      </c>
      <c r="AY517" s="81">
        <f ca="1">Tab2MarketValue[[#This Row],[M_Val20]]-Tab2MarketValue[[#This Row],[M_Val19]]</f>
        <v>0</v>
      </c>
    </row>
    <row r="518" spans="1:51" hidden="1" x14ac:dyDescent="0.3">
      <c r="A518" s="88" t="str">
        <f t="shared" ca="1" si="44"/>
        <v>DDD</v>
      </c>
      <c r="F518" s="257">
        <v>22.237100000000002</v>
      </c>
      <c r="G518" s="257">
        <v>22.636199999999999</v>
      </c>
      <c r="H518" s="257">
        <v>22.717099999999999</v>
      </c>
      <c r="I518" s="257">
        <v>22.7089</v>
      </c>
      <c r="J518" s="257">
        <v>23.010200000000001</v>
      </c>
      <c r="K518" s="257">
        <v>23.1692</v>
      </c>
      <c r="L518" s="257">
        <v>22.895700000000001</v>
      </c>
      <c r="M518" s="257">
        <v>22.895700000000001</v>
      </c>
      <c r="N518" s="257">
        <v>22.625</v>
      </c>
      <c r="O518" s="257">
        <v>22.8567</v>
      </c>
      <c r="P518" s="257">
        <v>23.008800000000001</v>
      </c>
      <c r="Q518" s="257">
        <v>22.9376</v>
      </c>
      <c r="R518" s="257">
        <v>21.402699999999999</v>
      </c>
      <c r="S518" s="257">
        <v>204.6371</v>
      </c>
      <c r="T518" s="257">
        <v>205.81610000000001</v>
      </c>
      <c r="U518" s="257">
        <v>206.26150000000001</v>
      </c>
      <c r="V518" s="257">
        <v>206.5496</v>
      </c>
      <c r="W518" s="257">
        <v>204.00839999999999</v>
      </c>
      <c r="X518" s="257">
        <v>204.20249999999999</v>
      </c>
      <c r="Y518" s="257">
        <v>200.20959999999999</v>
      </c>
      <c r="Z518" s="1101">
        <f ca="1">[1]ExtEntry!$K15</f>
        <v>200.20959999999999</v>
      </c>
      <c r="AB518" s="262">
        <v>261800</v>
      </c>
      <c r="AC518" s="262">
        <v>276250</v>
      </c>
      <c r="AD518" s="262">
        <v>277100</v>
      </c>
      <c r="AE518" s="262">
        <v>264350</v>
      </c>
      <c r="AF518" s="262">
        <v>321725</v>
      </c>
      <c r="AG518" s="262">
        <v>286450</v>
      </c>
      <c r="AH518" s="262">
        <v>255425</v>
      </c>
      <c r="AI518" s="262">
        <v>255425</v>
      </c>
      <c r="AJ518" s="262">
        <v>261375.00000000003</v>
      </c>
      <c r="AK518" s="262">
        <v>265625</v>
      </c>
      <c r="AL518" s="262">
        <v>261375.00000000003</v>
      </c>
      <c r="AM518" s="262">
        <v>271575</v>
      </c>
      <c r="AN518" s="262">
        <v>239700</v>
      </c>
      <c r="AO518" s="262">
        <v>220558.00000000003</v>
      </c>
      <c r="AP518" s="262">
        <v>221000</v>
      </c>
      <c r="AQ518" s="262">
        <v>192525</v>
      </c>
      <c r="AR518" s="262">
        <v>189125</v>
      </c>
      <c r="AS518" s="262">
        <v>183600</v>
      </c>
      <c r="AT518" s="262">
        <v>176800</v>
      </c>
      <c r="AU518" s="262">
        <v>173825</v>
      </c>
      <c r="AV518" s="262">
        <f ca="1">Calc!F16</f>
        <v>173825</v>
      </c>
      <c r="AX518" s="88" t="str">
        <f t="shared" ca="1" si="43"/>
        <v>DDD</v>
      </c>
      <c r="AY518" s="81">
        <f ca="1">Tab2MarketValue[[#This Row],[M_Val20]]-Tab2MarketValue[[#This Row],[M_Val19]]</f>
        <v>0</v>
      </c>
    </row>
    <row r="519" spans="1:51" hidden="1" x14ac:dyDescent="0.3">
      <c r="A519" s="88" t="str">
        <f t="shared" ca="1" si="44"/>
        <v>DIS</v>
      </c>
      <c r="F519" s="257">
        <v>0</v>
      </c>
      <c r="G519" s="257">
        <v>0</v>
      </c>
      <c r="H519" s="257">
        <v>99</v>
      </c>
      <c r="I519" s="257">
        <v>99</v>
      </c>
      <c r="J519" s="257">
        <v>99</v>
      </c>
      <c r="K519" s="257">
        <v>99</v>
      </c>
      <c r="L519" s="257">
        <v>99</v>
      </c>
      <c r="M519" s="257">
        <v>99</v>
      </c>
      <c r="N519" s="257">
        <v>99</v>
      </c>
      <c r="O519" s="257">
        <v>99</v>
      </c>
      <c r="P519" s="257">
        <v>99</v>
      </c>
      <c r="Q519" s="257">
        <v>99</v>
      </c>
      <c r="R519" s="257">
        <v>99</v>
      </c>
      <c r="S519" s="257">
        <v>0</v>
      </c>
      <c r="T519" s="257">
        <v>99</v>
      </c>
      <c r="U519" s="257">
        <v>0</v>
      </c>
      <c r="V519" s="257">
        <v>0</v>
      </c>
      <c r="W519" s="257">
        <v>99</v>
      </c>
      <c r="X519" s="257">
        <v>99</v>
      </c>
      <c r="Y519" s="257">
        <v>0</v>
      </c>
      <c r="Z519" s="1101">
        <f ca="1">[1]ExtEntry!$K16</f>
        <v>0</v>
      </c>
      <c r="AB519" s="265">
        <v>111165</v>
      </c>
      <c r="AC519" s="265">
        <v>112005</v>
      </c>
      <c r="AD519" s="265">
        <v>109895</v>
      </c>
      <c r="AE519" s="265">
        <v>110670</v>
      </c>
      <c r="AF519" s="265">
        <v>111980</v>
      </c>
      <c r="AG519" s="265">
        <v>114310</v>
      </c>
      <c r="AH519" s="265">
        <v>113100</v>
      </c>
      <c r="AI519" s="265">
        <v>113100</v>
      </c>
      <c r="AJ519" s="265">
        <v>113020</v>
      </c>
      <c r="AK519" s="265">
        <v>111670</v>
      </c>
      <c r="AL519" s="265">
        <v>112310</v>
      </c>
      <c r="AM519" s="265">
        <v>111665</v>
      </c>
      <c r="AN519" s="265">
        <v>111840</v>
      </c>
      <c r="AO519" s="265">
        <v>111340</v>
      </c>
      <c r="AP519" s="265">
        <v>111340</v>
      </c>
      <c r="AQ519" s="265">
        <v>110160</v>
      </c>
      <c r="AR519" s="265">
        <v>110730</v>
      </c>
      <c r="AS519" s="265">
        <v>105800</v>
      </c>
      <c r="AT519" s="265">
        <v>106280</v>
      </c>
      <c r="AU519" s="265">
        <v>105300</v>
      </c>
      <c r="AV519" s="262">
        <f ca="1">Calc!F17</f>
        <v>105300</v>
      </c>
      <c r="AX519" s="88" t="str">
        <f t="shared" ca="1" si="43"/>
        <v>DIS</v>
      </c>
      <c r="AY519" s="81">
        <f ca="1">Tab2MarketValue[[#This Row],[M_Val20]]-Tab2MarketValue[[#This Row],[M_Val19]]</f>
        <v>0</v>
      </c>
    </row>
    <row r="520" spans="1:51" hidden="1" x14ac:dyDescent="0.3">
      <c r="A520" s="88" t="str">
        <f t="shared" ca="1" si="44"/>
        <v>DSY</v>
      </c>
      <c r="F520" s="257">
        <v>17.4284</v>
      </c>
      <c r="G520" s="257">
        <v>17.559999999999999</v>
      </c>
      <c r="H520" s="257">
        <v>17.229199999999999</v>
      </c>
      <c r="I520" s="257">
        <v>17.227</v>
      </c>
      <c r="J520" s="257">
        <v>17.556100000000001</v>
      </c>
      <c r="K520" s="257">
        <v>17.553100000000001</v>
      </c>
      <c r="L520" s="257">
        <v>17.919899999999998</v>
      </c>
      <c r="M520" s="257">
        <v>17.919899999999998</v>
      </c>
      <c r="N520" s="257">
        <v>17.7287</v>
      </c>
      <c r="O520" s="257">
        <v>17.5075</v>
      </c>
      <c r="P520" s="257">
        <v>17.607900000000001</v>
      </c>
      <c r="Q520" s="257">
        <v>17.506699999999999</v>
      </c>
      <c r="R520" s="257">
        <v>17.534199999999998</v>
      </c>
      <c r="S520" s="257">
        <v>17.4558</v>
      </c>
      <c r="T520" s="257">
        <v>17.4558</v>
      </c>
      <c r="U520" s="257">
        <v>17.270800000000001</v>
      </c>
      <c r="V520" s="257">
        <v>17.360199999999999</v>
      </c>
      <c r="W520" s="257">
        <v>15.4414</v>
      </c>
      <c r="X520" s="257">
        <v>15.5115</v>
      </c>
      <c r="Y520" s="257">
        <v>15.368399999999999</v>
      </c>
      <c r="Z520" s="1101">
        <f ca="1">[1]ExtEntry!$K17</f>
        <v>15.368399999999999</v>
      </c>
      <c r="AB520" s="262">
        <v>113400</v>
      </c>
      <c r="AC520" s="262">
        <v>115520</v>
      </c>
      <c r="AD520" s="262">
        <v>117520</v>
      </c>
      <c r="AE520" s="262">
        <v>117320</v>
      </c>
      <c r="AF520" s="262">
        <v>119120</v>
      </c>
      <c r="AG520" s="262">
        <v>121080</v>
      </c>
      <c r="AH520" s="262">
        <v>120480</v>
      </c>
      <c r="AI520" s="262">
        <v>120480</v>
      </c>
      <c r="AJ520" s="262">
        <v>104840</v>
      </c>
      <c r="AK520" s="262">
        <v>102760</v>
      </c>
      <c r="AL520" s="262">
        <v>101640</v>
      </c>
      <c r="AM520" s="262">
        <v>99880</v>
      </c>
      <c r="AN520" s="262">
        <v>98200</v>
      </c>
      <c r="AO520" s="262">
        <v>96160</v>
      </c>
      <c r="AP520" s="262">
        <v>95920</v>
      </c>
      <c r="AQ520" s="262">
        <v>93040</v>
      </c>
      <c r="AR520" s="262">
        <v>93360</v>
      </c>
      <c r="AS520" s="262">
        <v>95960</v>
      </c>
      <c r="AT520" s="262">
        <v>92680</v>
      </c>
      <c r="AU520" s="262">
        <v>93520</v>
      </c>
      <c r="AV520" s="262">
        <f ca="1">Calc!F18</f>
        <v>93520</v>
      </c>
      <c r="AX520" s="88" t="str">
        <f t="shared" ca="1" si="43"/>
        <v>DSY</v>
      </c>
      <c r="AY520" s="81">
        <f ca="1">Tab2MarketValue[[#This Row],[M_Val20]]-Tab2MarketValue[[#This Row],[M_Val19]]</f>
        <v>0</v>
      </c>
    </row>
    <row r="521" spans="1:51" hidden="1" x14ac:dyDescent="0.3">
      <c r="A521" s="88" t="str">
        <f t="shared" ca="1" si="44"/>
        <v>DVA</v>
      </c>
      <c r="F521" s="257">
        <v>32.575000000000003</v>
      </c>
      <c r="G521" s="257">
        <v>33.183999999999997</v>
      </c>
      <c r="H521" s="257">
        <v>33.758499999999998</v>
      </c>
      <c r="I521" s="257">
        <v>33.758499999999998</v>
      </c>
      <c r="J521" s="257">
        <v>34.2181</v>
      </c>
      <c r="K521" s="257">
        <v>34.2181</v>
      </c>
      <c r="L521" s="257">
        <v>34.781100000000002</v>
      </c>
      <c r="M521" s="257">
        <v>34.781100000000002</v>
      </c>
      <c r="N521" s="257">
        <v>34.608800000000002</v>
      </c>
      <c r="O521" s="257">
        <v>30.116099999999999</v>
      </c>
      <c r="P521" s="257">
        <v>28.391100000000002</v>
      </c>
      <c r="Q521" s="257">
        <v>28.391100000000002</v>
      </c>
      <c r="R521" s="257">
        <v>27.407800000000002</v>
      </c>
      <c r="S521" s="257">
        <v>26.860299999999999</v>
      </c>
      <c r="T521" s="257">
        <v>26.793299999999999</v>
      </c>
      <c r="U521" s="257">
        <v>25.988800000000001</v>
      </c>
      <c r="V521" s="257">
        <v>25.988800000000001</v>
      </c>
      <c r="W521" s="257">
        <v>27.072600000000001</v>
      </c>
      <c r="X521" s="257">
        <v>25.888300000000001</v>
      </c>
      <c r="Y521" s="257">
        <v>26.122900000000001</v>
      </c>
      <c r="Z521" s="1101">
        <f ca="1">[1]ExtEntry!$K18</f>
        <v>26.122900000000001</v>
      </c>
      <c r="AB521" s="265">
        <v>177256.8</v>
      </c>
      <c r="AC521" s="265">
        <v>177485</v>
      </c>
      <c r="AD521" s="265">
        <v>175350</v>
      </c>
      <c r="AE521" s="265">
        <v>176232</v>
      </c>
      <c r="AF521" s="265">
        <v>179270.00000000003</v>
      </c>
      <c r="AG521" s="265">
        <v>179774</v>
      </c>
      <c r="AH521" s="265">
        <v>180712.00000000003</v>
      </c>
      <c r="AI521" s="265">
        <v>180712.00000000003</v>
      </c>
      <c r="AJ521" s="265">
        <v>179228</v>
      </c>
      <c r="AK521" s="265">
        <v>180866</v>
      </c>
      <c r="AL521" s="265">
        <v>181320.99999999997</v>
      </c>
      <c r="AM521" s="265">
        <v>181454.00000000003</v>
      </c>
      <c r="AN521" s="265">
        <v>166166</v>
      </c>
      <c r="AO521" s="265">
        <v>360420</v>
      </c>
      <c r="AP521" s="265">
        <v>363480</v>
      </c>
      <c r="AQ521" s="265">
        <v>365460</v>
      </c>
      <c r="AR521" s="265">
        <v>172655</v>
      </c>
      <c r="AS521" s="265">
        <v>170184</v>
      </c>
      <c r="AT521" s="265">
        <v>163184</v>
      </c>
      <c r="AU521" s="265">
        <v>161217</v>
      </c>
      <c r="AV521" s="262">
        <f ca="1">Calc!F19</f>
        <v>161217</v>
      </c>
      <c r="AX521" s="88" t="str">
        <f t="shared" ca="1" si="43"/>
        <v>DVA</v>
      </c>
      <c r="AY521" s="81">
        <f ca="1">Tab2MarketValue[[#This Row],[M_Val20]]-Tab2MarketValue[[#This Row],[M_Val19]]</f>
        <v>0</v>
      </c>
    </row>
    <row r="522" spans="1:51" hidden="1" x14ac:dyDescent="0.3">
      <c r="A522" s="88" t="str">
        <f t="shared" ca="1" si="44"/>
        <v>DXC</v>
      </c>
      <c r="F522" s="257">
        <v>12.440899999999999</v>
      </c>
      <c r="G522" s="257">
        <v>12.456899999999999</v>
      </c>
      <c r="H522" s="257">
        <v>12.307</v>
      </c>
      <c r="I522" s="257">
        <v>12.3071</v>
      </c>
      <c r="J522" s="257">
        <v>12.5822</v>
      </c>
      <c r="K522" s="257">
        <v>12.6175</v>
      </c>
      <c r="L522" s="257">
        <v>12.683400000000001</v>
      </c>
      <c r="M522" s="257">
        <v>12.683400000000001</v>
      </c>
      <c r="N522" s="257">
        <v>12.5792</v>
      </c>
      <c r="O522" s="257">
        <v>12.6942</v>
      </c>
      <c r="P522" s="257">
        <v>12.726100000000001</v>
      </c>
      <c r="Q522" s="257">
        <v>12.7355</v>
      </c>
      <c r="R522" s="257">
        <v>11.6625</v>
      </c>
      <c r="S522" s="257">
        <v>12.3695</v>
      </c>
      <c r="T522" s="257">
        <v>12.474500000000001</v>
      </c>
      <c r="U522" s="257">
        <v>12.5425</v>
      </c>
      <c r="V522" s="257">
        <v>12.6974</v>
      </c>
      <c r="W522" s="257">
        <v>12.515700000000001</v>
      </c>
      <c r="X522" s="257">
        <v>12.0009</v>
      </c>
      <c r="Y522" s="257">
        <v>11.856199999999999</v>
      </c>
      <c r="Z522" s="1101">
        <f ca="1">[1]ExtEntry!$K19</f>
        <v>11.856199999999999</v>
      </c>
      <c r="AB522" s="262">
        <v>79890</v>
      </c>
      <c r="AC522" s="262">
        <v>78780</v>
      </c>
      <c r="AD522" s="262">
        <v>76920</v>
      </c>
      <c r="AE522" s="262">
        <v>77100</v>
      </c>
      <c r="AF522" s="262">
        <v>77970</v>
      </c>
      <c r="AG522" s="262">
        <v>79650</v>
      </c>
      <c r="AH522" s="262">
        <v>79620</v>
      </c>
      <c r="AI522" s="262">
        <v>79620</v>
      </c>
      <c r="AJ522" s="262">
        <v>80220</v>
      </c>
      <c r="AK522" s="262">
        <v>81240</v>
      </c>
      <c r="AL522" s="262">
        <v>80580</v>
      </c>
      <c r="AM522" s="262">
        <v>80160</v>
      </c>
      <c r="AN522" s="262">
        <v>77640</v>
      </c>
      <c r="AO522" s="262">
        <v>81330</v>
      </c>
      <c r="AP522" s="262">
        <v>82860</v>
      </c>
      <c r="AQ522" s="262">
        <v>82410</v>
      </c>
      <c r="AR522" s="262">
        <v>79050</v>
      </c>
      <c r="AS522" s="262">
        <v>77460</v>
      </c>
      <c r="AT522" s="262">
        <v>73320</v>
      </c>
      <c r="AU522" s="262">
        <v>72660</v>
      </c>
      <c r="AV522" s="262">
        <f ca="1">Calc!F20</f>
        <v>72660</v>
      </c>
      <c r="AX522" s="88" t="str">
        <f t="shared" ca="1" si="43"/>
        <v>DXC</v>
      </c>
      <c r="AY522" s="81">
        <f ca="1">Tab2MarketValue[[#This Row],[M_Val20]]-Tab2MarketValue[[#This Row],[M_Val19]]</f>
        <v>0</v>
      </c>
    </row>
    <row r="523" spans="1:51" hidden="1" x14ac:dyDescent="0.3">
      <c r="A523" s="88" t="str">
        <f t="shared" ca="1" si="44"/>
        <v>EOAN</v>
      </c>
      <c r="F523" s="257">
        <v>6.5015000000000001</v>
      </c>
      <c r="G523" s="257">
        <v>6.4111000000000002</v>
      </c>
      <c r="H523" s="257">
        <v>6.2598000000000003</v>
      </c>
      <c r="I523" s="257">
        <v>6.2598000000000003</v>
      </c>
      <c r="J523" s="257">
        <v>6.3452000000000002</v>
      </c>
      <c r="K523" s="257">
        <v>6.3428000000000004</v>
      </c>
      <c r="L523" s="257">
        <v>6.4794999999999998</v>
      </c>
      <c r="M523" s="257">
        <v>6.4794999999999998</v>
      </c>
      <c r="N523" s="257">
        <v>6.5282999999999998</v>
      </c>
      <c r="O523" s="257">
        <v>6.6113</v>
      </c>
      <c r="P523" s="257">
        <v>6.5575999999999999</v>
      </c>
      <c r="Q523" s="257">
        <v>6.5233999999999996</v>
      </c>
      <c r="R523" s="257">
        <v>6.3183999999999996</v>
      </c>
      <c r="S523" s="257">
        <v>6.6186999999999996</v>
      </c>
      <c r="T523" s="257">
        <v>6.7431999999999999</v>
      </c>
      <c r="U523" s="257">
        <v>6.7065000000000001</v>
      </c>
      <c r="V523" s="257">
        <v>6.4330999999999996</v>
      </c>
      <c r="W523" s="257">
        <v>6.3037000000000001</v>
      </c>
      <c r="X523" s="257">
        <v>5.9668000000000001</v>
      </c>
      <c r="Y523" s="257">
        <v>5.9131</v>
      </c>
      <c r="Z523" s="1101">
        <f ca="1">[1]ExtEntry!$K20</f>
        <v>5.9131</v>
      </c>
      <c r="AB523" s="265">
        <v>9003.5</v>
      </c>
      <c r="AC523" s="265">
        <v>8910</v>
      </c>
      <c r="AD523" s="265">
        <v>8937.5</v>
      </c>
      <c r="AE523" s="265">
        <v>8948.5</v>
      </c>
      <c r="AF523" s="265">
        <v>9031.0000000000018</v>
      </c>
      <c r="AG523" s="265">
        <v>9000.75</v>
      </c>
      <c r="AH523" s="265">
        <v>8855</v>
      </c>
      <c r="AI523" s="265">
        <v>8855</v>
      </c>
      <c r="AJ523" s="265">
        <v>8789</v>
      </c>
      <c r="AK523" s="265">
        <v>8833</v>
      </c>
      <c r="AL523" s="265">
        <v>8852.25</v>
      </c>
      <c r="AM523" s="265">
        <v>8932</v>
      </c>
      <c r="AN523" s="265">
        <v>8940.25</v>
      </c>
      <c r="AO523" s="265">
        <v>8662.5</v>
      </c>
      <c r="AP523" s="265">
        <v>240750</v>
      </c>
      <c r="AQ523" s="265">
        <v>241199.99999999997</v>
      </c>
      <c r="AR523" s="265">
        <v>241575</v>
      </c>
      <c r="AS523" s="265">
        <v>228675</v>
      </c>
      <c r="AT523" s="265">
        <v>228450</v>
      </c>
      <c r="AU523" s="265">
        <v>229500</v>
      </c>
      <c r="AV523" s="262">
        <f ca="1">Calc!F21</f>
        <v>229500</v>
      </c>
      <c r="AX523" s="88" t="str">
        <f t="shared" ca="1" si="43"/>
        <v>EOAN</v>
      </c>
      <c r="AY523" s="81">
        <f ca="1">Tab2MarketValue[[#This Row],[M_Val20]]-Tab2MarketValue[[#This Row],[M_Val19]]</f>
        <v>0</v>
      </c>
    </row>
    <row r="524" spans="1:51" hidden="1" x14ac:dyDescent="0.3">
      <c r="A524" s="88" t="str">
        <f t="shared" ca="1" si="44"/>
        <v>EPIX</v>
      </c>
      <c r="F524" s="257">
        <v>13.5289</v>
      </c>
      <c r="G524" s="257">
        <v>13.388400000000001</v>
      </c>
      <c r="H524" s="257">
        <v>13.4298</v>
      </c>
      <c r="I524" s="257">
        <v>13.42</v>
      </c>
      <c r="J524" s="257">
        <v>13.5702</v>
      </c>
      <c r="K524" s="257">
        <v>13.524800000000001</v>
      </c>
      <c r="L524" s="257">
        <v>13.6</v>
      </c>
      <c r="M524" s="257">
        <v>13.6</v>
      </c>
      <c r="N524" s="257">
        <v>13.2066</v>
      </c>
      <c r="O524" s="257">
        <v>13.2727</v>
      </c>
      <c r="P524" s="257">
        <v>13.3017</v>
      </c>
      <c r="Q524" s="257">
        <v>13.4215</v>
      </c>
      <c r="R524" s="257">
        <v>13.4339</v>
      </c>
      <c r="S524" s="257">
        <v>13.016500000000001</v>
      </c>
      <c r="T524" s="257">
        <v>13.2645</v>
      </c>
      <c r="U524" s="257">
        <v>13.289300000000001</v>
      </c>
      <c r="V524" s="257">
        <v>13.309900000000001</v>
      </c>
      <c r="W524" s="257">
        <v>12.84</v>
      </c>
      <c r="X524" s="257">
        <v>13.243499999999999</v>
      </c>
      <c r="Y524" s="257">
        <v>13.3043</v>
      </c>
      <c r="Z524" s="1101">
        <f ca="1">[1]ExtEntry!$K21</f>
        <v>13.3043</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c r="AY524" s="81">
        <f ca="1">Tab2MarketValue[[#This Row],[M_Val20]]-Tab2MarketValue[[#This Row],[M_Val19]]</f>
        <v>0</v>
      </c>
    </row>
    <row r="525" spans="1:51"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01">
        <f ca="1">[1]ExtEntry!$K22</f>
        <v>0</v>
      </c>
      <c r="AB525" s="265">
        <v>571.5</v>
      </c>
      <c r="AC525" s="265">
        <v>579.19899999999996</v>
      </c>
      <c r="AD525" s="265">
        <v>573.40000000000009</v>
      </c>
      <c r="AE525" s="265">
        <v>583.80000000000007</v>
      </c>
      <c r="AF525" s="265">
        <v>580.20000000000005</v>
      </c>
      <c r="AG525" s="265">
        <v>666.1</v>
      </c>
      <c r="AH525" s="265">
        <v>673.19999999999993</v>
      </c>
      <c r="AI525" s="265">
        <v>673.19999999999993</v>
      </c>
      <c r="AJ525" s="265">
        <v>668.34999999999991</v>
      </c>
      <c r="AK525" s="265">
        <v>696.7</v>
      </c>
      <c r="AL525" s="265">
        <v>693.55000000000007</v>
      </c>
      <c r="AM525" s="265">
        <v>698.7</v>
      </c>
      <c r="AN525" s="265">
        <v>686.59999999999991</v>
      </c>
      <c r="AO525" s="265">
        <v>669.59999999999991</v>
      </c>
      <c r="AP525" s="265">
        <v>687.8</v>
      </c>
      <c r="AQ525" s="265">
        <v>689.2</v>
      </c>
      <c r="AR525" s="265">
        <v>706.59999999999991</v>
      </c>
      <c r="AS525" s="265">
        <v>705.19999999999993</v>
      </c>
      <c r="AT525" s="265">
        <v>679.4</v>
      </c>
      <c r="AU525" s="265">
        <v>691.15</v>
      </c>
      <c r="AV525" s="262">
        <f ca="1">Calc!F23</f>
        <v>691.15</v>
      </c>
      <c r="AX525" s="88" t="str">
        <f t="shared" ca="1" si="43"/>
        <v>GM</v>
      </c>
      <c r="AY525" s="81">
        <f ca="1">Tab2MarketValue[[#This Row],[M_Val20]]-Tab2MarketValue[[#This Row],[M_Val19]]</f>
        <v>0</v>
      </c>
    </row>
    <row r="526" spans="1:51" hidden="1" x14ac:dyDescent="0.3">
      <c r="A526" s="88" t="str">
        <f t="shared" ca="1" si="44"/>
        <v>HPE</v>
      </c>
      <c r="F526" s="257">
        <v>8.2377000000000002</v>
      </c>
      <c r="G526" s="257">
        <v>8.3486999999999991</v>
      </c>
      <c r="H526" s="257">
        <v>8.2651000000000003</v>
      </c>
      <c r="I526" s="257">
        <v>8.2651000000000003</v>
      </c>
      <c r="J526" s="257">
        <v>8.3630999999999993</v>
      </c>
      <c r="K526" s="257">
        <v>8.3602000000000007</v>
      </c>
      <c r="L526" s="257">
        <v>12.813599999999999</v>
      </c>
      <c r="M526" s="257">
        <v>12.813599999999999</v>
      </c>
      <c r="N526" s="257">
        <v>12.946300000000001</v>
      </c>
      <c r="O526" s="257">
        <v>13.4001</v>
      </c>
      <c r="P526" s="257">
        <v>13.339600000000001</v>
      </c>
      <c r="Q526" s="257">
        <v>13.438599999999999</v>
      </c>
      <c r="R526" s="257">
        <v>13.2059</v>
      </c>
      <c r="S526" s="257">
        <v>12.8789</v>
      </c>
      <c r="T526" s="257">
        <v>13.228999999999999</v>
      </c>
      <c r="U526" s="257">
        <v>13.2559</v>
      </c>
      <c r="V526" s="257">
        <v>13.5906</v>
      </c>
      <c r="W526" s="257">
        <v>13.563599999999999</v>
      </c>
      <c r="X526" s="257">
        <v>13.0655</v>
      </c>
      <c r="Y526" s="257">
        <v>13.2934</v>
      </c>
      <c r="Z526" s="1101">
        <f ca="1">[1]ExtEntry!$K23</f>
        <v>13.2934</v>
      </c>
      <c r="AB526" s="262">
        <v>229908</v>
      </c>
      <c r="AC526" s="262">
        <v>233818</v>
      </c>
      <c r="AD526" s="262">
        <v>207184</v>
      </c>
      <c r="AE526" s="262">
        <v>211232</v>
      </c>
      <c r="AF526" s="262">
        <v>251460</v>
      </c>
      <c r="AG526" s="262">
        <v>255970</v>
      </c>
      <c r="AH526" s="262">
        <v>254155</v>
      </c>
      <c r="AI526" s="262">
        <v>253990</v>
      </c>
      <c r="AJ526" s="262">
        <v>255200</v>
      </c>
      <c r="AK526" s="262">
        <v>258500</v>
      </c>
      <c r="AL526" s="262">
        <v>265870</v>
      </c>
      <c r="AM526" s="262">
        <v>223284</v>
      </c>
      <c r="AN526" s="262">
        <v>224480</v>
      </c>
      <c r="AO526" s="262">
        <v>216522</v>
      </c>
      <c r="AP526" s="262">
        <v>218040</v>
      </c>
      <c r="AQ526" s="262">
        <v>215694</v>
      </c>
      <c r="AR526" s="262">
        <v>215280</v>
      </c>
      <c r="AS526" s="262">
        <v>210035.99999999997</v>
      </c>
      <c r="AT526" s="262">
        <v>192372</v>
      </c>
      <c r="AU526" s="262">
        <v>190762</v>
      </c>
      <c r="AV526" s="262">
        <f ca="1">Calc!F24</f>
        <v>190762</v>
      </c>
      <c r="AX526" s="88" t="str">
        <f t="shared" ca="1" si="43"/>
        <v>HPE</v>
      </c>
      <c r="AY526" s="81">
        <f ca="1">Tab2MarketValue[[#This Row],[M_Val20]]-Tab2MarketValue[[#This Row],[M_Val19]]</f>
        <v>0</v>
      </c>
    </row>
    <row r="527" spans="1:51" hidden="1" x14ac:dyDescent="0.3">
      <c r="A527" s="88" t="str">
        <f t="shared" ca="1" si="44"/>
        <v>HPQ</v>
      </c>
      <c r="F527" s="257">
        <v>29.974799999999998</v>
      </c>
      <c r="G527" s="257">
        <v>30.4846</v>
      </c>
      <c r="H527" s="257">
        <v>27.0121</v>
      </c>
      <c r="I527" s="257">
        <v>26.9878</v>
      </c>
      <c r="J527" s="257">
        <v>27.419899999999998</v>
      </c>
      <c r="K527" s="257">
        <v>27.9117</v>
      </c>
      <c r="L527" s="257">
        <v>27.713799999999999</v>
      </c>
      <c r="M527" s="257">
        <v>27.695799999999998</v>
      </c>
      <c r="N527" s="257">
        <v>27.695499999999999</v>
      </c>
      <c r="O527" s="257">
        <v>28.1876</v>
      </c>
      <c r="P527" s="257">
        <v>28.1873</v>
      </c>
      <c r="Q527" s="257">
        <v>29.1112</v>
      </c>
      <c r="R527" s="257">
        <v>29.267099999999999</v>
      </c>
      <c r="S527" s="257">
        <v>28.229600000000001</v>
      </c>
      <c r="T527" s="257">
        <v>28.427499999999998</v>
      </c>
      <c r="U527" s="257">
        <v>28.121600000000001</v>
      </c>
      <c r="V527" s="257">
        <v>28.067699999999999</v>
      </c>
      <c r="W527" s="257">
        <v>27.384</v>
      </c>
      <c r="X527" s="257">
        <v>25.0687</v>
      </c>
      <c r="Y527" s="257">
        <v>24.871099999999998</v>
      </c>
      <c r="Z527" s="1101">
        <f ca="1">[1]ExtEntry!$K24</f>
        <v>24.871099999999998</v>
      </c>
      <c r="AB527" s="265">
        <v>142675</v>
      </c>
      <c r="AC527" s="265">
        <v>114720</v>
      </c>
      <c r="AD527" s="265">
        <v>136075</v>
      </c>
      <c r="AE527" s="265">
        <v>136850</v>
      </c>
      <c r="AF527" s="265">
        <v>138275</v>
      </c>
      <c r="AG527" s="265">
        <v>140800</v>
      </c>
      <c r="AH527" s="265">
        <v>138300</v>
      </c>
      <c r="AI527" s="265">
        <v>138300</v>
      </c>
      <c r="AJ527" s="265">
        <v>139125</v>
      </c>
      <c r="AK527" s="265">
        <v>138300</v>
      </c>
      <c r="AL527" s="265">
        <v>139575</v>
      </c>
      <c r="AM527" s="265">
        <v>140325</v>
      </c>
      <c r="AN527" s="265">
        <v>137550</v>
      </c>
      <c r="AO527" s="265">
        <v>129925</v>
      </c>
      <c r="AP527" s="265">
        <v>133200</v>
      </c>
      <c r="AQ527" s="265">
        <v>130900</v>
      </c>
      <c r="AR527" s="265">
        <v>131075</v>
      </c>
      <c r="AS527" s="265">
        <v>122565.00000000001</v>
      </c>
      <c r="AT527" s="265">
        <v>113550</v>
      </c>
      <c r="AU527" s="265">
        <v>112700</v>
      </c>
      <c r="AV527" s="262">
        <f ca="1">Calc!F25</f>
        <v>112700</v>
      </c>
      <c r="AX527" s="88" t="str">
        <f t="shared" ca="1" si="43"/>
        <v>HPQ</v>
      </c>
      <c r="AY527" s="81">
        <f ca="1">Tab2MarketValue[[#This Row],[M_Val20]]-Tab2MarketValue[[#This Row],[M_Val19]]</f>
        <v>0</v>
      </c>
    </row>
    <row r="528" spans="1:51" hidden="1" x14ac:dyDescent="0.3">
      <c r="A528" s="88" t="str">
        <f t="shared" ca="1" si="44"/>
        <v>IAG</v>
      </c>
      <c r="F528" s="257">
        <v>10.3949</v>
      </c>
      <c r="G528" s="257">
        <v>10.447699999999999</v>
      </c>
      <c r="H528" s="257">
        <v>9.9139999999999997</v>
      </c>
      <c r="I528" s="257">
        <v>9.9704999999999995</v>
      </c>
      <c r="J528" s="257">
        <v>10.074299999999999</v>
      </c>
      <c r="K528" s="257">
        <v>10.2583</v>
      </c>
      <c r="L528" s="257">
        <v>10.0761</v>
      </c>
      <c r="M528" s="257">
        <v>10.0761</v>
      </c>
      <c r="N528" s="257">
        <v>10.136200000000001</v>
      </c>
      <c r="O528" s="257">
        <v>10.0761</v>
      </c>
      <c r="P528" s="257">
        <v>10.169</v>
      </c>
      <c r="Q528" s="257">
        <v>10.223699999999999</v>
      </c>
      <c r="R528" s="257">
        <v>10.0215</v>
      </c>
      <c r="S528" s="257">
        <v>9.4659999999999993</v>
      </c>
      <c r="T528" s="257">
        <v>9.7045999999999992</v>
      </c>
      <c r="U528" s="257">
        <v>9.5370000000000008</v>
      </c>
      <c r="V528" s="257">
        <v>9.5496999999999996</v>
      </c>
      <c r="W528" s="257">
        <v>8.9297000000000004</v>
      </c>
      <c r="X528" s="257">
        <v>8.2730999999999995</v>
      </c>
      <c r="Y528" s="257">
        <v>8.2110000000000003</v>
      </c>
      <c r="Z528" s="1101">
        <f ca="1">[1]ExtEntry!$K25</f>
        <v>8.2110000000000003</v>
      </c>
      <c r="AB528" s="262">
        <v>979200</v>
      </c>
      <c r="AC528" s="262">
        <v>978000</v>
      </c>
      <c r="AD528" s="262">
        <v>975120</v>
      </c>
      <c r="AE528" s="262">
        <v>938880</v>
      </c>
      <c r="AF528" s="262">
        <v>950400</v>
      </c>
      <c r="AG528" s="262">
        <v>945120</v>
      </c>
      <c r="AH528" s="262">
        <v>925980</v>
      </c>
      <c r="AI528" s="262">
        <v>925980</v>
      </c>
      <c r="AJ528" s="262">
        <v>887700</v>
      </c>
      <c r="AK528" s="262">
        <v>820000</v>
      </c>
      <c r="AL528" s="262">
        <v>814507</v>
      </c>
      <c r="AM528" s="262">
        <v>783370</v>
      </c>
      <c r="AN528" s="262">
        <v>766825</v>
      </c>
      <c r="AO528" s="262">
        <v>633900</v>
      </c>
      <c r="AP528" s="262">
        <v>552760</v>
      </c>
      <c r="AQ528" s="262">
        <v>538330</v>
      </c>
      <c r="AR528" s="262">
        <v>402820</v>
      </c>
      <c r="AS528" s="262">
        <v>387500</v>
      </c>
      <c r="AT528" s="262">
        <v>370389</v>
      </c>
      <c r="AU528" s="262">
        <v>377600</v>
      </c>
      <c r="AV528" s="262">
        <f ca="1">Calc!F26</f>
        <v>377600</v>
      </c>
      <c r="AX528" s="88" t="str">
        <f t="shared" ca="1" si="43"/>
        <v>IAG</v>
      </c>
      <c r="AY528" s="81">
        <f ca="1">Tab2MarketValue[[#This Row],[M_Val20]]-Tab2MarketValue[[#This Row],[M_Val19]]</f>
        <v>0</v>
      </c>
    </row>
    <row r="529" spans="1:51" hidden="1" x14ac:dyDescent="0.3">
      <c r="A529" s="88" t="str">
        <f t="shared" ca="1" si="44"/>
        <v>KR</v>
      </c>
      <c r="F529" s="257">
        <v>7.3158000000000003</v>
      </c>
      <c r="G529" s="257">
        <v>7.3643999999999998</v>
      </c>
      <c r="H529" s="257">
        <v>7.3266</v>
      </c>
      <c r="I529" s="257">
        <v>7.3193999999999999</v>
      </c>
      <c r="J529" s="257">
        <v>7.1398000000000001</v>
      </c>
      <c r="K529" s="257">
        <v>7.0852000000000004</v>
      </c>
      <c r="L529" s="257">
        <v>7.0941999999999998</v>
      </c>
      <c r="M529" s="257">
        <v>7.0941999999999998</v>
      </c>
      <c r="N529" s="257">
        <v>7.2526999999999999</v>
      </c>
      <c r="O529" s="257">
        <v>7.3752000000000004</v>
      </c>
      <c r="P529" s="257">
        <v>7.3788999999999998</v>
      </c>
      <c r="Q529" s="257">
        <v>7.3734000000000002</v>
      </c>
      <c r="R529" s="257">
        <v>7.4562999999999997</v>
      </c>
      <c r="S529" s="257">
        <v>7.6130000000000004</v>
      </c>
      <c r="T529" s="257">
        <v>7.6527000000000003</v>
      </c>
      <c r="U529" s="257">
        <v>7.4599000000000002</v>
      </c>
      <c r="V529" s="257">
        <v>6.6745000000000001</v>
      </c>
      <c r="W529" s="257">
        <v>7.1302000000000003</v>
      </c>
      <c r="X529" s="257">
        <v>6.6725000000000003</v>
      </c>
      <c r="Y529" s="257">
        <v>6.8258000000000001</v>
      </c>
      <c r="Z529" s="1101">
        <f ca="1">[1]ExtEntry!$K26</f>
        <v>6.8258000000000001</v>
      </c>
      <c r="AB529" s="265">
        <v>183885.8</v>
      </c>
      <c r="AC529" s="265">
        <v>183819.30000000002</v>
      </c>
      <c r="AD529" s="265">
        <v>183247.4</v>
      </c>
      <c r="AE529" s="265">
        <v>183513.4</v>
      </c>
      <c r="AF529" s="265">
        <v>276640</v>
      </c>
      <c r="AG529" s="265">
        <v>270440</v>
      </c>
      <c r="AH529" s="265">
        <v>274440</v>
      </c>
      <c r="AI529" s="265">
        <v>274440</v>
      </c>
      <c r="AJ529" s="265">
        <v>274640</v>
      </c>
      <c r="AK529" s="265">
        <v>335500</v>
      </c>
      <c r="AL529" s="265">
        <v>340125</v>
      </c>
      <c r="AM529" s="265">
        <v>338450</v>
      </c>
      <c r="AN529" s="265">
        <v>327175</v>
      </c>
      <c r="AO529" s="265">
        <v>445900</v>
      </c>
      <c r="AP529" s="265">
        <v>442050</v>
      </c>
      <c r="AQ529" s="265">
        <v>443800</v>
      </c>
      <c r="AR529" s="265">
        <v>389430</v>
      </c>
      <c r="AS529" s="265">
        <v>400290</v>
      </c>
      <c r="AT529" s="265">
        <v>404430</v>
      </c>
      <c r="AU529" s="265">
        <v>405300</v>
      </c>
      <c r="AV529" s="262">
        <f ca="1">Calc!F27</f>
        <v>405300</v>
      </c>
      <c r="AX529" s="88" t="str">
        <f t="shared" ca="1" si="43"/>
        <v>KR</v>
      </c>
      <c r="AY529" s="81">
        <f ca="1">Tab2MarketValue[[#This Row],[M_Val20]]-Tab2MarketValue[[#This Row],[M_Val19]]</f>
        <v>0</v>
      </c>
    </row>
    <row r="530" spans="1:51" hidden="1" x14ac:dyDescent="0.3">
      <c r="A530" s="88" t="str">
        <f t="shared" ca="1" si="44"/>
        <v>LNSR</v>
      </c>
      <c r="F530" s="257">
        <v>17.5137</v>
      </c>
      <c r="G530" s="257">
        <v>17.507300000000001</v>
      </c>
      <c r="H530" s="257">
        <v>17.4529</v>
      </c>
      <c r="I530" s="257">
        <v>17.450299999999999</v>
      </c>
      <c r="J530" s="257">
        <v>17.5213</v>
      </c>
      <c r="K530" s="257">
        <v>17.128599999999999</v>
      </c>
      <c r="L530" s="257">
        <v>17.381900000000002</v>
      </c>
      <c r="M530" s="257">
        <v>17.381900000000002</v>
      </c>
      <c r="N530" s="257">
        <v>17.394600000000001</v>
      </c>
      <c r="O530" s="257">
        <v>17.394500000000001</v>
      </c>
      <c r="P530" s="257">
        <v>17.233699999999999</v>
      </c>
      <c r="Q530" s="257">
        <v>17.148900000000001</v>
      </c>
      <c r="R530" s="257">
        <v>16.5776</v>
      </c>
      <c r="S530" s="257">
        <v>16.138000000000002</v>
      </c>
      <c r="T530" s="257">
        <v>15.998699999999999</v>
      </c>
      <c r="U530" s="257">
        <v>16.062000000000001</v>
      </c>
      <c r="V530" s="257">
        <v>16.443300000000001</v>
      </c>
      <c r="W530" s="257">
        <v>16.901900000000001</v>
      </c>
      <c r="X530" s="257">
        <v>17.0702</v>
      </c>
      <c r="Y530" s="257">
        <v>17.113399999999999</v>
      </c>
      <c r="Z530" s="1101">
        <f ca="1">[1]ExtEntry!$K27</f>
        <v>17.113399999999999</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c r="AY530" s="81">
        <f ca="1">Tab2MarketValue[[#This Row],[M_Val20]]-Tab2MarketValue[[#This Row],[M_Val19]]</f>
        <v>0</v>
      </c>
    </row>
    <row r="531" spans="1:51"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01">
        <f ca="1">[1]ExtEntry!$K28</f>
        <v>0</v>
      </c>
      <c r="AB531" s="265">
        <v>68.7</v>
      </c>
      <c r="AC531" s="265">
        <v>71.75</v>
      </c>
      <c r="AD531" s="265">
        <v>70.25</v>
      </c>
      <c r="AE531" s="265">
        <v>69</v>
      </c>
      <c r="AF531" s="265">
        <v>71.55</v>
      </c>
      <c r="AG531" s="265">
        <v>71.75</v>
      </c>
      <c r="AH531" s="265">
        <v>70.5</v>
      </c>
      <c r="AI531" s="265">
        <v>70.5</v>
      </c>
      <c r="AJ531" s="265">
        <v>77.849999999999994</v>
      </c>
      <c r="AK531" s="265">
        <v>80.850000000000009</v>
      </c>
      <c r="AL531" s="265">
        <v>93.800000000000011</v>
      </c>
      <c r="AM531" s="265">
        <v>100.64999999999999</v>
      </c>
      <c r="AN531" s="265">
        <v>103.4</v>
      </c>
      <c r="AO531" s="265">
        <v>106.5</v>
      </c>
      <c r="AP531" s="265">
        <v>108.55000000000001</v>
      </c>
      <c r="AQ531" s="265">
        <v>108.2</v>
      </c>
      <c r="AR531" s="265">
        <v>104.85</v>
      </c>
      <c r="AS531" s="265">
        <v>79.95</v>
      </c>
      <c r="AT531" s="265">
        <v>76.2</v>
      </c>
      <c r="AU531" s="265">
        <v>75.149999999999991</v>
      </c>
      <c r="AV531" s="262">
        <f ca="1">Calc!F29</f>
        <v>75.149999999999991</v>
      </c>
      <c r="AX531" s="88" t="str">
        <f t="shared" ca="1" si="43"/>
        <v>LUMN</v>
      </c>
      <c r="AY531" s="81">
        <f ca="1">Tab2MarketValue[[#This Row],[M_Val20]]-Tab2MarketValue[[#This Row],[M_Val19]]</f>
        <v>0</v>
      </c>
    </row>
    <row r="532" spans="1:51" hidden="1" x14ac:dyDescent="0.3">
      <c r="A532" s="88" t="str">
        <f t="shared" ca="1" si="44"/>
        <v>MRNA</v>
      </c>
      <c r="F532" s="257">
        <v>0</v>
      </c>
      <c r="G532" s="257">
        <v>99</v>
      </c>
      <c r="H532" s="257">
        <v>99</v>
      </c>
      <c r="I532" s="257">
        <v>99</v>
      </c>
      <c r="J532" s="257">
        <v>99</v>
      </c>
      <c r="K532" s="257">
        <v>99</v>
      </c>
      <c r="L532" s="257">
        <v>99</v>
      </c>
      <c r="M532" s="257">
        <v>99</v>
      </c>
      <c r="N532" s="257">
        <v>0</v>
      </c>
      <c r="O532" s="257">
        <v>99</v>
      </c>
      <c r="P532" s="257">
        <v>99</v>
      </c>
      <c r="Q532" s="257">
        <v>99</v>
      </c>
      <c r="R532" s="257">
        <v>99</v>
      </c>
      <c r="S532" s="257">
        <v>99</v>
      </c>
      <c r="T532" s="257">
        <v>0</v>
      </c>
      <c r="U532" s="257">
        <v>99</v>
      </c>
      <c r="V532" s="257">
        <v>0</v>
      </c>
      <c r="W532" s="257">
        <v>99</v>
      </c>
      <c r="X532" s="257">
        <v>99</v>
      </c>
      <c r="Y532" s="257">
        <v>0</v>
      </c>
      <c r="Z532" s="1101">
        <f ca="1">[1]ExtEntry!$K29</f>
        <v>0</v>
      </c>
      <c r="AB532" s="262">
        <v>315000</v>
      </c>
      <c r="AC532" s="262">
        <v>333060</v>
      </c>
      <c r="AD532" s="262">
        <v>325680</v>
      </c>
      <c r="AE532" s="262">
        <v>312120</v>
      </c>
      <c r="AF532" s="262">
        <v>326880</v>
      </c>
      <c r="AG532" s="262">
        <v>329880</v>
      </c>
      <c r="AH532" s="262">
        <v>322200</v>
      </c>
      <c r="AI532" s="262">
        <v>322200</v>
      </c>
      <c r="AJ532" s="262">
        <v>315000</v>
      </c>
      <c r="AK532" s="262">
        <v>320880</v>
      </c>
      <c r="AL532" s="262">
        <v>319920</v>
      </c>
      <c r="AM532" s="262">
        <v>304200</v>
      </c>
      <c r="AN532" s="262">
        <v>337680</v>
      </c>
      <c r="AO532" s="262">
        <v>285300</v>
      </c>
      <c r="AP532" s="262">
        <v>282720</v>
      </c>
      <c r="AQ532" s="262">
        <v>289260</v>
      </c>
      <c r="AR532" s="262">
        <v>294300</v>
      </c>
      <c r="AS532" s="262">
        <v>297240</v>
      </c>
      <c r="AT532" s="262">
        <v>299040</v>
      </c>
      <c r="AU532" s="262">
        <v>291360</v>
      </c>
      <c r="AV532" s="262">
        <f ca="1">Calc!F30</f>
        <v>291360</v>
      </c>
      <c r="AX532" s="88" t="str">
        <f t="shared" ca="1" si="43"/>
        <v>MRNA</v>
      </c>
      <c r="AY532" s="81">
        <f ca="1">Tab2MarketValue[[#This Row],[M_Val20]]-Tab2MarketValue[[#This Row],[M_Val19]]</f>
        <v>0</v>
      </c>
    </row>
    <row r="533" spans="1:51"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01">
        <f ca="1">[1]ExtEntry!$K30</f>
        <v>0</v>
      </c>
      <c r="AB533" s="265">
        <v>5032986.0000000009</v>
      </c>
      <c r="AC533" s="265">
        <v>5022402.9799999995</v>
      </c>
      <c r="AD533" s="265">
        <v>5013778</v>
      </c>
      <c r="AE533" s="265">
        <v>5033084</v>
      </c>
      <c r="AF533" s="265">
        <v>5064542</v>
      </c>
      <c r="AG533" s="265">
        <v>5073068</v>
      </c>
      <c r="AH533" s="265">
        <v>5101292</v>
      </c>
      <c r="AI533" s="265">
        <v>5101292</v>
      </c>
      <c r="AJ533" s="265">
        <v>5101487.9999999991</v>
      </c>
      <c r="AK533" s="265">
        <v>5131378</v>
      </c>
      <c r="AL533" s="265">
        <v>5208896</v>
      </c>
      <c r="AM533" s="265">
        <v>5312286.0000000009</v>
      </c>
      <c r="AN533" s="265">
        <v>5153016.3999999994</v>
      </c>
      <c r="AO533" s="265">
        <v>5038082</v>
      </c>
      <c r="AP533" s="265">
        <v>4970168</v>
      </c>
      <c r="AQ533" s="265">
        <v>4872070</v>
      </c>
      <c r="AR533" s="265">
        <v>4876774</v>
      </c>
      <c r="AS533" s="265">
        <v>4999764</v>
      </c>
      <c r="AT533" s="265">
        <v>4839142</v>
      </c>
      <c r="AU533" s="265">
        <v>4768582</v>
      </c>
      <c r="AV533" s="262">
        <f ca="1">Calc!F31</f>
        <v>4768582</v>
      </c>
      <c r="AX533" s="88" t="str">
        <f t="shared" ca="1" si="43"/>
        <v>MSFT</v>
      </c>
      <c r="AY533" s="81">
        <f ca="1">Tab2MarketValue[[#This Row],[M_Val20]]-Tab2MarketValue[[#This Row],[M_Val19]]</f>
        <v>0</v>
      </c>
    </row>
    <row r="534" spans="1:51" hidden="1" x14ac:dyDescent="0.3">
      <c r="A534" s="88" t="str">
        <f t="shared" ca="1" si="44"/>
        <v>NEE</v>
      </c>
      <c r="F534" s="257">
        <v>37.648699999999998</v>
      </c>
      <c r="G534" s="257">
        <v>37.569600000000001</v>
      </c>
      <c r="H534" s="257">
        <v>37.505000000000003</v>
      </c>
      <c r="I534" s="257">
        <v>37.505099999999999</v>
      </c>
      <c r="J534" s="257">
        <v>37.649500000000003</v>
      </c>
      <c r="K534" s="257">
        <v>37.884900000000002</v>
      </c>
      <c r="L534" s="257">
        <v>38.159700000000001</v>
      </c>
      <c r="M534" s="257">
        <v>38.159700000000001</v>
      </c>
      <c r="N534" s="257">
        <v>38.161099999999998</v>
      </c>
      <c r="O534" s="257">
        <v>38.384700000000002</v>
      </c>
      <c r="P534" s="257">
        <v>38.964599999999997</v>
      </c>
      <c r="Q534" s="257">
        <v>38.964700000000001</v>
      </c>
      <c r="R534" s="257">
        <v>38.546599999999998</v>
      </c>
      <c r="S534" s="257">
        <v>36.576000000000001</v>
      </c>
      <c r="T534" s="257">
        <v>36.082900000000002</v>
      </c>
      <c r="U534" s="257">
        <v>35.370699999999999</v>
      </c>
      <c r="V534" s="257">
        <v>35.404899999999998</v>
      </c>
      <c r="W534" s="257">
        <v>36.297800000000002</v>
      </c>
      <c r="X534" s="257">
        <v>35.131700000000002</v>
      </c>
      <c r="Y534" s="257">
        <v>34.619399999999999</v>
      </c>
      <c r="Z534" s="1101">
        <f ca="1">[1]ExtEntry!$K31</f>
        <v>34.619399999999999</v>
      </c>
      <c r="AB534" s="262">
        <v>33854</v>
      </c>
      <c r="AC534" s="262">
        <v>34316</v>
      </c>
      <c r="AD534" s="262">
        <v>34020</v>
      </c>
      <c r="AE534" s="262">
        <v>33812</v>
      </c>
      <c r="AF534" s="262">
        <v>33910</v>
      </c>
      <c r="AG534" s="262">
        <v>33596</v>
      </c>
      <c r="AH534" s="262">
        <v>33140</v>
      </c>
      <c r="AI534" s="262">
        <v>33140</v>
      </c>
      <c r="AJ534" s="262">
        <v>33308</v>
      </c>
      <c r="AK534" s="262">
        <v>33764</v>
      </c>
      <c r="AL534" s="262">
        <v>34400</v>
      </c>
      <c r="AM534" s="262">
        <v>33420</v>
      </c>
      <c r="AN534" s="262">
        <v>32648</v>
      </c>
      <c r="AO534" s="262">
        <v>81.459999999999994</v>
      </c>
      <c r="AP534" s="262">
        <v>82.14</v>
      </c>
      <c r="AQ534" s="262">
        <v>82.39</v>
      </c>
      <c r="AR534" s="262">
        <v>83.71</v>
      </c>
      <c r="AS534" s="262">
        <v>83.85</v>
      </c>
      <c r="AT534" s="262">
        <v>84.7</v>
      </c>
      <c r="AU534" s="262">
        <v>84.71</v>
      </c>
      <c r="AV534" s="262">
        <f ca="1">Calc!F32</f>
        <v>84.71</v>
      </c>
      <c r="AX534" s="88" t="str">
        <f t="shared" ca="1" si="43"/>
        <v>NEE</v>
      </c>
      <c r="AY534" s="81">
        <f ca="1">Tab2MarketValue[[#This Row],[M_Val20]]-Tab2MarketValue[[#This Row],[M_Val19]]</f>
        <v>0</v>
      </c>
    </row>
    <row r="535" spans="1:51" hidden="1" x14ac:dyDescent="0.3">
      <c r="A535" s="88" t="str">
        <f t="shared" ca="1" si="44"/>
        <v>NEM</v>
      </c>
      <c r="F535" s="257">
        <v>31.653500000000001</v>
      </c>
      <c r="G535" s="257">
        <v>32.0854</v>
      </c>
      <c r="H535" s="257">
        <v>31.808700000000002</v>
      </c>
      <c r="I535" s="257">
        <v>31.6142</v>
      </c>
      <c r="J535" s="257">
        <v>31.613700000000001</v>
      </c>
      <c r="K535" s="257">
        <v>31.412199999999999</v>
      </c>
      <c r="L535" s="257">
        <v>30.985900000000001</v>
      </c>
      <c r="M535" s="257">
        <v>30.985900000000001</v>
      </c>
      <c r="N535" s="257">
        <v>31.142900000000001</v>
      </c>
      <c r="O535" s="257">
        <v>31.569299999999998</v>
      </c>
      <c r="P535" s="257">
        <v>32.164000000000001</v>
      </c>
      <c r="Q535" s="257">
        <v>31.247699999999998</v>
      </c>
      <c r="R535" s="257">
        <v>25.922599999999999</v>
      </c>
      <c r="S535" s="257">
        <v>25.8718</v>
      </c>
      <c r="T535" s="257">
        <v>26.087800000000001</v>
      </c>
      <c r="U535" s="257">
        <v>26.167200000000001</v>
      </c>
      <c r="V535" s="257">
        <v>26.586400000000001</v>
      </c>
      <c r="W535" s="257">
        <v>26.6309</v>
      </c>
      <c r="X535" s="257">
        <v>26.881399999999999</v>
      </c>
      <c r="Y535" s="257">
        <v>26.904</v>
      </c>
      <c r="Z535" s="1101">
        <f ca="1">[1]ExtEntry!$K32</f>
        <v>26.904</v>
      </c>
      <c r="AB535" s="265">
        <v>1267560</v>
      </c>
      <c r="AC535" s="265">
        <v>1310960</v>
      </c>
      <c r="AD535" s="265">
        <v>1375500</v>
      </c>
      <c r="AE535" s="265">
        <v>1270780</v>
      </c>
      <c r="AF535" s="265">
        <v>1233635</v>
      </c>
      <c r="AG535" s="265">
        <v>1467185</v>
      </c>
      <c r="AH535" s="265">
        <v>1479000</v>
      </c>
      <c r="AI535" s="265">
        <v>1479000</v>
      </c>
      <c r="AJ535" s="265">
        <v>1332900</v>
      </c>
      <c r="AK535" s="265">
        <v>1416610</v>
      </c>
      <c r="AL535" s="265">
        <v>1336540</v>
      </c>
      <c r="AM535" s="265">
        <v>1427940</v>
      </c>
      <c r="AN535" s="265">
        <v>1481940</v>
      </c>
      <c r="AO535" s="265">
        <v>1737119.9999999998</v>
      </c>
      <c r="AP535" s="265">
        <v>1632400</v>
      </c>
      <c r="AQ535" s="265">
        <v>1652296</v>
      </c>
      <c r="AR535" s="265">
        <v>1667000</v>
      </c>
      <c r="AS535" s="265">
        <v>1756000</v>
      </c>
      <c r="AT535" s="265">
        <v>1732200</v>
      </c>
      <c r="AU535" s="265">
        <v>1751900</v>
      </c>
      <c r="AV535" s="262">
        <f ca="1">Calc!F33</f>
        <v>1751900</v>
      </c>
      <c r="AX535" s="88" t="str">
        <f t="shared" ca="1" si="43"/>
        <v>NEM</v>
      </c>
      <c r="AY535" s="81">
        <f ca="1">Tab2MarketValue[[#This Row],[M_Val20]]-Tab2MarketValue[[#This Row],[M_Val19]]</f>
        <v>0</v>
      </c>
    </row>
    <row r="536" spans="1:51" hidden="1" x14ac:dyDescent="0.3">
      <c r="A536" s="88" t="str">
        <f t="shared" ca="1" si="44"/>
        <v>NFLX</v>
      </c>
      <c r="F536" s="257">
        <v>16.387899999999998</v>
      </c>
      <c r="G536" s="257">
        <v>16.949000000000002</v>
      </c>
      <c r="H536" s="257">
        <v>17.7834</v>
      </c>
      <c r="I536" s="257">
        <v>17.786999999999999</v>
      </c>
      <c r="J536" s="257">
        <v>17.176200000000001</v>
      </c>
      <c r="K536" s="257">
        <v>17.1752</v>
      </c>
      <c r="L536" s="257">
        <v>15.624000000000001</v>
      </c>
      <c r="M536" s="257">
        <v>15.624000000000001</v>
      </c>
      <c r="N536" s="257">
        <v>15.748900000000001</v>
      </c>
      <c r="O536" s="257">
        <v>15.0829</v>
      </c>
      <c r="P536" s="257">
        <v>12.217599999999999</v>
      </c>
      <c r="Q536" s="257">
        <v>12.3279</v>
      </c>
      <c r="R536" s="257">
        <v>12.7941</v>
      </c>
      <c r="S536" s="257">
        <v>12.2704</v>
      </c>
      <c r="T536" s="257">
        <v>12.6838</v>
      </c>
      <c r="U536" s="257">
        <v>12.8384</v>
      </c>
      <c r="V536" s="257">
        <v>12.9526</v>
      </c>
      <c r="W536" s="257">
        <v>13.6441</v>
      </c>
      <c r="X536" s="257">
        <v>13.457599999999999</v>
      </c>
      <c r="Y536" s="257">
        <v>13.612299999999999</v>
      </c>
      <c r="Z536" s="1101">
        <f ca="1">[1]ExtEntry!$K33</f>
        <v>13.612299999999999</v>
      </c>
      <c r="AB536" s="262">
        <v>850744.99999999988</v>
      </c>
      <c r="AC536" s="262">
        <v>844606</v>
      </c>
      <c r="AD536" s="262">
        <v>946871.99999999988</v>
      </c>
      <c r="AE536" s="262">
        <v>959487.99999999988</v>
      </c>
      <c r="AF536" s="262">
        <v>866992</v>
      </c>
      <c r="AG536" s="262">
        <v>868944.99999999988</v>
      </c>
      <c r="AH536" s="262">
        <v>2232740</v>
      </c>
      <c r="AI536" s="262">
        <v>2232740</v>
      </c>
      <c r="AJ536" s="262">
        <v>2783975</v>
      </c>
      <c r="AK536" s="262">
        <v>3284070</v>
      </c>
      <c r="AL536" s="262">
        <v>3283680</v>
      </c>
      <c r="AM536" s="262">
        <v>3307500</v>
      </c>
      <c r="AN536" s="262">
        <v>3267000</v>
      </c>
      <c r="AO536" s="262">
        <v>3263602.5</v>
      </c>
      <c r="AP536" s="262">
        <v>3295380</v>
      </c>
      <c r="AQ536" s="262">
        <v>3282630</v>
      </c>
      <c r="AR536" s="262">
        <v>3297750</v>
      </c>
      <c r="AS536" s="262">
        <v>3336510</v>
      </c>
      <c r="AT536" s="262">
        <v>3422700</v>
      </c>
      <c r="AU536" s="262">
        <v>3293400</v>
      </c>
      <c r="AV536" s="262">
        <f ca="1">Calc!F34</f>
        <v>3293400</v>
      </c>
      <c r="AX536" s="88" t="str">
        <f t="shared" ca="1" si="43"/>
        <v>NFLX</v>
      </c>
      <c r="AY536" s="81">
        <f ca="1">Tab2MarketValue[[#This Row],[M_Val20]]-Tab2MarketValue[[#This Row],[M_Val19]]</f>
        <v>0</v>
      </c>
    </row>
    <row r="537" spans="1:51" hidden="1" x14ac:dyDescent="0.3">
      <c r="A537" s="88" t="str">
        <f t="shared" ca="1" si="44"/>
        <v>NOTE</v>
      </c>
      <c r="F537" s="257">
        <v>51.789099999999998</v>
      </c>
      <c r="G537" s="257">
        <v>51.415399999999998</v>
      </c>
      <c r="H537" s="257">
        <v>50.435699999999997</v>
      </c>
      <c r="I537" s="257">
        <v>50.4358</v>
      </c>
      <c r="J537" s="257">
        <v>51.107799999999997</v>
      </c>
      <c r="K537" s="257">
        <v>52.896999999999998</v>
      </c>
      <c r="L537" s="257">
        <v>47.571300000000001</v>
      </c>
      <c r="M537" s="257">
        <v>47.571300000000001</v>
      </c>
      <c r="N537" s="257">
        <v>47.571300000000001</v>
      </c>
      <c r="O537" s="257">
        <v>46.520099999999999</v>
      </c>
      <c r="P537" s="257">
        <v>45.725200000000001</v>
      </c>
      <c r="Q537" s="257">
        <v>46.056899999999999</v>
      </c>
      <c r="R537" s="257">
        <v>45.492899999999999</v>
      </c>
      <c r="S537" s="257">
        <v>45.445599999999999</v>
      </c>
      <c r="T537" s="257">
        <v>45.658299999999997</v>
      </c>
      <c r="U537" s="257">
        <v>45.710500000000003</v>
      </c>
      <c r="V537" s="257">
        <v>45.921100000000003</v>
      </c>
      <c r="W537" s="257">
        <v>48.217799999999997</v>
      </c>
      <c r="X537" s="257">
        <v>47.661000000000001</v>
      </c>
      <c r="Y537" s="257">
        <v>45.860100000000003</v>
      </c>
      <c r="Z537" s="1101">
        <f ca="1">[1]ExtEntry!$K34</f>
        <v>45.860100000000003</v>
      </c>
      <c r="AB537" s="265">
        <v>125334.90000000001</v>
      </c>
      <c r="AC537" s="265">
        <v>124641.558</v>
      </c>
      <c r="AD537" s="265">
        <v>117068.12999999999</v>
      </c>
      <c r="AE537" s="265">
        <v>113334.75</v>
      </c>
      <c r="AF537" s="265">
        <v>118668.15000000001</v>
      </c>
      <c r="AG537" s="265">
        <v>119734.83</v>
      </c>
      <c r="AH537" s="265">
        <v>113068.08</v>
      </c>
      <c r="AI537" s="265">
        <v>113068.08</v>
      </c>
      <c r="AJ537" s="265">
        <v>118668.15000000001</v>
      </c>
      <c r="AK537" s="265">
        <v>116534.79000000001</v>
      </c>
      <c r="AL537" s="265">
        <v>114668.09999999999</v>
      </c>
      <c r="AM537" s="265">
        <v>110668.05</v>
      </c>
      <c r="AN537" s="265">
        <v>106134.66</v>
      </c>
      <c r="AO537" s="265">
        <v>99067.904999999999</v>
      </c>
      <c r="AP537" s="265">
        <v>88267.77</v>
      </c>
      <c r="AQ537" s="265">
        <v>79078.321799999991</v>
      </c>
      <c r="AR537" s="265">
        <v>81334.349999999991</v>
      </c>
      <c r="AS537" s="265">
        <v>76200</v>
      </c>
      <c r="AT537" s="265">
        <v>67200</v>
      </c>
      <c r="AU537" s="265">
        <v>63900</v>
      </c>
      <c r="AV537" s="262">
        <f ca="1">Calc!F35</f>
        <v>63900</v>
      </c>
      <c r="AX537" s="88" t="str">
        <f t="shared" ref="AX537:AX568" ca="1" si="45">A37</f>
        <v>NOTE</v>
      </c>
      <c r="AY537" s="81">
        <f ca="1">Tab2MarketValue[[#This Row],[M_Val20]]-Tab2MarketValue[[#This Row],[M_Val19]]</f>
        <v>0</v>
      </c>
    </row>
    <row r="538" spans="1:51" hidden="1" x14ac:dyDescent="0.3">
      <c r="A538" s="88" t="str">
        <f t="shared" ca="1" si="44"/>
        <v>PAAS</v>
      </c>
      <c r="F538" s="257">
        <v>0</v>
      </c>
      <c r="G538" s="257">
        <v>0</v>
      </c>
      <c r="H538" s="257">
        <v>99</v>
      </c>
      <c r="I538" s="257">
        <v>99</v>
      </c>
      <c r="J538" s="257">
        <v>99</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0</v>
      </c>
      <c r="Z538" s="1101">
        <f ca="1">[1]ExtEntry!$K35</f>
        <v>0</v>
      </c>
      <c r="AB538" s="262">
        <v>98900</v>
      </c>
      <c r="AC538" s="262">
        <v>102650</v>
      </c>
      <c r="AD538" s="262">
        <v>105075</v>
      </c>
      <c r="AE538" s="262">
        <v>96100</v>
      </c>
      <c r="AF538" s="262">
        <v>98375</v>
      </c>
      <c r="AG538" s="262">
        <v>141740</v>
      </c>
      <c r="AH538" s="262">
        <v>143500</v>
      </c>
      <c r="AI538" s="262">
        <v>143500</v>
      </c>
      <c r="AJ538" s="262">
        <v>144840</v>
      </c>
      <c r="AK538" s="262">
        <v>145320</v>
      </c>
      <c r="AL538" s="262">
        <v>138960</v>
      </c>
      <c r="AM538" s="262">
        <v>140960</v>
      </c>
      <c r="AN538" s="262">
        <v>142200</v>
      </c>
      <c r="AO538" s="262">
        <v>133120.79999999999</v>
      </c>
      <c r="AP538" s="262">
        <v>135080</v>
      </c>
      <c r="AQ538" s="262">
        <v>134980</v>
      </c>
      <c r="AR538" s="262">
        <v>138879.6</v>
      </c>
      <c r="AS538" s="262">
        <v>77020</v>
      </c>
      <c r="AT538" s="262">
        <v>76140</v>
      </c>
      <c r="AU538" s="262">
        <v>76980</v>
      </c>
      <c r="AV538" s="262">
        <f ca="1">Calc!F36</f>
        <v>76980</v>
      </c>
      <c r="AX538" s="88" t="str">
        <f t="shared" ca="1" si="45"/>
        <v>PAAS</v>
      </c>
      <c r="AY538" s="81">
        <f ca="1">Tab2MarketValue[[#This Row],[M_Val20]]-Tab2MarketValue[[#This Row],[M_Val19]]</f>
        <v>0</v>
      </c>
    </row>
    <row r="539" spans="1:51" hidden="1" x14ac:dyDescent="0.3">
      <c r="A539" s="88" t="str">
        <f t="shared" ca="1" si="44"/>
        <v>PROF</v>
      </c>
      <c r="F539" s="257">
        <v>27.4665</v>
      </c>
      <c r="G539" s="257">
        <v>28.507899999999999</v>
      </c>
      <c r="H539" s="257">
        <v>29.1814</v>
      </c>
      <c r="I539" s="257">
        <v>26.6889</v>
      </c>
      <c r="J539" s="257">
        <v>27.320699999999999</v>
      </c>
      <c r="K539" s="257">
        <v>27.340800000000002</v>
      </c>
      <c r="L539" s="257">
        <v>24.908000000000001</v>
      </c>
      <c r="M539" s="257">
        <v>24.908000000000001</v>
      </c>
      <c r="N539" s="257">
        <v>25.140599999999999</v>
      </c>
      <c r="O539" s="257">
        <v>25.2239</v>
      </c>
      <c r="P539" s="257">
        <v>24.12</v>
      </c>
      <c r="Q539" s="257">
        <v>24.467099999999999</v>
      </c>
      <c r="R539" s="257">
        <v>24.682400000000001</v>
      </c>
      <c r="S539" s="257">
        <v>23.106400000000001</v>
      </c>
      <c r="T539" s="257">
        <v>23.4465</v>
      </c>
      <c r="U539" s="257">
        <v>23.429099999999998</v>
      </c>
      <c r="V539" s="257">
        <v>24.106000000000002</v>
      </c>
      <c r="W539" s="257">
        <v>22.271699999999999</v>
      </c>
      <c r="X539" s="257">
        <v>22.0169</v>
      </c>
      <c r="Y539" s="257">
        <v>22.260100000000001</v>
      </c>
      <c r="Z539" s="1101">
        <f ca="1">[1]ExtEntry!$K36</f>
        <v>22.260100000000001</v>
      </c>
      <c r="AB539" s="265">
        <v>34980</v>
      </c>
      <c r="AC539" s="265">
        <v>22400</v>
      </c>
      <c r="AD539" s="265">
        <v>22240</v>
      </c>
      <c r="AE539" s="265">
        <v>22120</v>
      </c>
      <c r="AF539" s="265">
        <v>23120</v>
      </c>
      <c r="AG539" s="265">
        <v>23440</v>
      </c>
      <c r="AH539" s="265">
        <v>21680</v>
      </c>
      <c r="AI539" s="265">
        <v>21680</v>
      </c>
      <c r="AJ539" s="265">
        <v>21224</v>
      </c>
      <c r="AK539" s="265">
        <v>22000</v>
      </c>
      <c r="AL539" s="265">
        <v>22000</v>
      </c>
      <c r="AM539" s="265">
        <v>24800</v>
      </c>
      <c r="AN539" s="265">
        <v>24480</v>
      </c>
      <c r="AO539" s="265">
        <v>23500</v>
      </c>
      <c r="AP539" s="265">
        <v>23440</v>
      </c>
      <c r="AQ539" s="265">
        <v>23440</v>
      </c>
      <c r="AR539" s="265">
        <v>23700</v>
      </c>
      <c r="AS539" s="265">
        <v>27400</v>
      </c>
      <c r="AT539" s="265">
        <v>24920</v>
      </c>
      <c r="AU539" s="265">
        <v>23960</v>
      </c>
      <c r="AV539" s="262">
        <f ca="1">Calc!F37</f>
        <v>23960</v>
      </c>
      <c r="AX539" s="88" t="str">
        <f t="shared" ca="1" si="45"/>
        <v>PROF</v>
      </c>
      <c r="AY539" s="81">
        <f ca="1">Tab2MarketValue[[#This Row],[M_Val20]]-Tab2MarketValue[[#This Row],[M_Val19]]</f>
        <v>0</v>
      </c>
    </row>
    <row r="540" spans="1:51"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01">
        <f ca="1">[1]ExtEntry!$K37</f>
        <v>0</v>
      </c>
      <c r="AB540" s="262">
        <v>407250.00000000006</v>
      </c>
      <c r="AC540" s="262">
        <v>377325</v>
      </c>
      <c r="AD540" s="262">
        <v>340200</v>
      </c>
      <c r="AE540" s="262">
        <v>315900</v>
      </c>
      <c r="AF540" s="262">
        <v>341550</v>
      </c>
      <c r="AG540" s="262">
        <v>335250</v>
      </c>
      <c r="AH540" s="262">
        <v>331650</v>
      </c>
      <c r="AI540" s="262">
        <v>331650</v>
      </c>
      <c r="AJ540" s="262">
        <v>328950</v>
      </c>
      <c r="AK540" s="262">
        <v>370350</v>
      </c>
      <c r="AL540" s="262">
        <v>333450</v>
      </c>
      <c r="AM540" s="262">
        <v>318150</v>
      </c>
      <c r="AN540" s="262">
        <v>287100</v>
      </c>
      <c r="AO540" s="262">
        <v>267975</v>
      </c>
      <c r="AP540" s="262">
        <v>271575</v>
      </c>
      <c r="AQ540" s="262">
        <v>240525</v>
      </c>
      <c r="AR540" s="262">
        <v>241645.50000000003</v>
      </c>
      <c r="AS540" s="262">
        <v>209000.00000000003</v>
      </c>
      <c r="AT540" s="262">
        <v>203775</v>
      </c>
      <c r="AU540" s="262">
        <v>198759</v>
      </c>
      <c r="AV540" s="262">
        <f ca="1">Calc!F38</f>
        <v>198759</v>
      </c>
      <c r="AX540" s="88" t="str">
        <f t="shared" ca="1" si="45"/>
        <v>POET</v>
      </c>
      <c r="AY540" s="81">
        <f ca="1">Tab2MarketValue[[#This Row],[M_Val20]]-Tab2MarketValue[[#This Row],[M_Val19]]</f>
        <v>0</v>
      </c>
    </row>
    <row r="541" spans="1:51"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01">
        <f ca="1">[1]ExtEntry!$K38</f>
        <v>0</v>
      </c>
      <c r="AB541" s="265">
        <v>8716</v>
      </c>
      <c r="AC541" s="265">
        <v>9000</v>
      </c>
      <c r="AD541" s="265">
        <v>8999</v>
      </c>
      <c r="AE541" s="265">
        <v>8204</v>
      </c>
      <c r="AF541" s="265">
        <v>7811</v>
      </c>
      <c r="AG541" s="265">
        <v>7641</v>
      </c>
      <c r="AH541" s="265">
        <v>7095</v>
      </c>
      <c r="AI541" s="265">
        <v>7095</v>
      </c>
      <c r="AJ541" s="265">
        <v>6850.0000000000009</v>
      </c>
      <c r="AK541" s="265">
        <v>7534.9999999999991</v>
      </c>
      <c r="AL541" s="265">
        <v>8139.9999999999991</v>
      </c>
      <c r="AM541" s="265">
        <v>7551</v>
      </c>
      <c r="AN541" s="265">
        <v>6995</v>
      </c>
      <c r="AO541" s="265">
        <v>7115</v>
      </c>
      <c r="AP541" s="265">
        <v>7450</v>
      </c>
      <c r="AQ541" s="265">
        <v>7297</v>
      </c>
      <c r="AR541" s="265">
        <v>6600</v>
      </c>
      <c r="AS541" s="265">
        <v>7074</v>
      </c>
      <c r="AT541" s="265">
        <v>6399</v>
      </c>
      <c r="AU541" s="265">
        <v>6429</v>
      </c>
      <c r="AV541" s="262">
        <f ca="1">Calc!F39</f>
        <v>6429</v>
      </c>
      <c r="AX541" s="88" t="str">
        <f t="shared" ca="1" si="45"/>
        <v>PW</v>
      </c>
      <c r="AY541" s="81">
        <f ca="1">Tab2MarketValue[[#This Row],[M_Val20]]-Tab2MarketValue[[#This Row],[M_Val19]]</f>
        <v>0</v>
      </c>
    </row>
    <row r="542" spans="1:51" hidden="1" x14ac:dyDescent="0.3">
      <c r="A542" s="88" t="str">
        <f t="shared" ca="1" si="44"/>
        <v>RIGL</v>
      </c>
      <c r="F542" s="257">
        <v>0</v>
      </c>
      <c r="G542" s="257">
        <v>99</v>
      </c>
      <c r="H542" s="257">
        <v>99</v>
      </c>
      <c r="I542" s="257">
        <v>99</v>
      </c>
      <c r="J542" s="257">
        <v>99</v>
      </c>
      <c r="K542" s="257">
        <v>99</v>
      </c>
      <c r="L542" s="257">
        <v>99</v>
      </c>
      <c r="M542" s="257">
        <v>99</v>
      </c>
      <c r="N542" s="257">
        <v>99</v>
      </c>
      <c r="O542" s="257">
        <v>99</v>
      </c>
      <c r="P542" s="257">
        <v>99</v>
      </c>
      <c r="Q542" s="257">
        <v>99</v>
      </c>
      <c r="R542" s="257">
        <v>99</v>
      </c>
      <c r="S542" s="257">
        <v>99</v>
      </c>
      <c r="T542" s="257">
        <v>99</v>
      </c>
      <c r="U542" s="257">
        <v>0</v>
      </c>
      <c r="V542" s="257">
        <v>99</v>
      </c>
      <c r="W542" s="257">
        <v>99</v>
      </c>
      <c r="X542" s="257">
        <v>99</v>
      </c>
      <c r="Y542" s="257">
        <v>99</v>
      </c>
      <c r="Z542" s="1101">
        <f>[1]ExtEntry!$K39</f>
        <v>99</v>
      </c>
      <c r="AB542" s="262">
        <v>109520</v>
      </c>
      <c r="AC542" s="262">
        <v>112320</v>
      </c>
      <c r="AD542" s="262">
        <v>112440</v>
      </c>
      <c r="AE542" s="262">
        <v>111760</v>
      </c>
      <c r="AF542" s="262">
        <v>117840</v>
      </c>
      <c r="AG542" s="262">
        <v>60540</v>
      </c>
      <c r="AH542" s="262">
        <v>61380</v>
      </c>
      <c r="AI542" s="262">
        <v>61380</v>
      </c>
      <c r="AJ542" s="262">
        <v>58780</v>
      </c>
      <c r="AK542" s="262">
        <v>59940</v>
      </c>
      <c r="AL542" s="262">
        <v>59160</v>
      </c>
      <c r="AM542" s="262">
        <v>59380</v>
      </c>
      <c r="AN542" s="262">
        <v>63240</v>
      </c>
      <c r="AO542" s="262">
        <v>84990</v>
      </c>
      <c r="AP542" s="262">
        <v>37850</v>
      </c>
      <c r="AQ542" s="262">
        <v>36325</v>
      </c>
      <c r="AR542" s="262">
        <v>35310</v>
      </c>
      <c r="AS542" s="262">
        <v>41940</v>
      </c>
      <c r="AT542" s="262">
        <v>46220</v>
      </c>
      <c r="AU542" s="262">
        <v>42200</v>
      </c>
      <c r="AV542" s="262">
        <f ca="1">Calc!F40</f>
        <v>42200</v>
      </c>
      <c r="AX542" s="88" t="str">
        <f t="shared" ca="1" si="45"/>
        <v>RIGL</v>
      </c>
      <c r="AY542" s="81">
        <f ca="1">Tab2MarketValue[[#This Row],[M_Val20]]-Tab2MarketValue[[#This Row],[M_Val19]]</f>
        <v>0</v>
      </c>
    </row>
    <row r="543" spans="1:51" hidden="1" x14ac:dyDescent="0.3">
      <c r="A543" s="88" t="str">
        <f t="shared" ca="1" si="44"/>
        <v>RWE</v>
      </c>
      <c r="F543" s="257">
        <v>5.0563000000000002</v>
      </c>
      <c r="G543" s="257">
        <v>5.1856</v>
      </c>
      <c r="H543" s="257">
        <v>5.1910999999999996</v>
      </c>
      <c r="I543" s="257">
        <v>5.1912000000000003</v>
      </c>
      <c r="J543" s="257">
        <v>5.1597999999999997</v>
      </c>
      <c r="K543" s="257">
        <v>5.4405000000000001</v>
      </c>
      <c r="L543" s="257">
        <v>5.6676000000000002</v>
      </c>
      <c r="M543" s="257">
        <v>5.6676000000000002</v>
      </c>
      <c r="N543" s="257">
        <v>5.4275000000000002</v>
      </c>
      <c r="O543" s="257">
        <v>5.5346000000000002</v>
      </c>
      <c r="P543" s="257">
        <v>5.4626000000000001</v>
      </c>
      <c r="Q543" s="257">
        <v>5.4828999999999999</v>
      </c>
      <c r="R543" s="257">
        <v>5.8392999999999997</v>
      </c>
      <c r="S543" s="257">
        <v>5.2317999999999998</v>
      </c>
      <c r="T543" s="257">
        <v>4.6014999999999997</v>
      </c>
      <c r="U543" s="257">
        <v>5.8895999999999997</v>
      </c>
      <c r="V543" s="257">
        <v>5.7251000000000003</v>
      </c>
      <c r="W543" s="257">
        <v>6.8000999999999996</v>
      </c>
      <c r="X543" s="257">
        <v>7.4939999999999998</v>
      </c>
      <c r="Y543" s="257">
        <v>6.8422000000000001</v>
      </c>
      <c r="Z543" s="1101">
        <f ca="1">[1]ExtEntry!$K40</f>
        <v>6.8422000000000001</v>
      </c>
      <c r="AB543" s="265">
        <v>2029</v>
      </c>
      <c r="AC543" s="265">
        <v>2034.5</v>
      </c>
      <c r="AD543" s="265">
        <v>2069</v>
      </c>
      <c r="AE543" s="265">
        <v>2053</v>
      </c>
      <c r="AF543" s="265">
        <v>2046</v>
      </c>
      <c r="AG543" s="265">
        <v>2023.5</v>
      </c>
      <c r="AH543" s="265">
        <v>2011</v>
      </c>
      <c r="AI543" s="265">
        <v>2011</v>
      </c>
      <c r="AJ543" s="265">
        <v>2000</v>
      </c>
      <c r="AK543" s="265">
        <v>2023.9999999999998</v>
      </c>
      <c r="AL543" s="265">
        <v>2025</v>
      </c>
      <c r="AM543" s="265">
        <v>2054.5</v>
      </c>
      <c r="AN543" s="265">
        <v>2149</v>
      </c>
      <c r="AO543" s="265">
        <v>2117</v>
      </c>
      <c r="AP543" s="265">
        <v>2130.5</v>
      </c>
      <c r="AQ543" s="265">
        <v>2156</v>
      </c>
      <c r="AR543" s="265">
        <v>2145.5</v>
      </c>
      <c r="AS543" s="265">
        <v>2266.5</v>
      </c>
      <c r="AT543" s="265">
        <v>2214</v>
      </c>
      <c r="AU543" s="265">
        <v>2186.5</v>
      </c>
      <c r="AV543" s="262">
        <f ca="1">Calc!F41</f>
        <v>2186.5</v>
      </c>
      <c r="AX543" s="88" t="str">
        <f t="shared" ca="1" si="45"/>
        <v>RWE</v>
      </c>
      <c r="AY543" s="81">
        <f ca="1">Tab2MarketValue[[#This Row],[M_Val20]]-Tab2MarketValue[[#This Row],[M_Val19]]</f>
        <v>0</v>
      </c>
    </row>
    <row r="544" spans="1:51" hidden="1" x14ac:dyDescent="0.3">
      <c r="A544" s="88" t="str">
        <f t="shared" ca="1" si="44"/>
        <v>SAP</v>
      </c>
      <c r="F544" s="257">
        <v>11.6275</v>
      </c>
      <c r="G544" s="257">
        <v>11.659000000000001</v>
      </c>
      <c r="H544" s="257">
        <v>11.8567</v>
      </c>
      <c r="I544" s="257">
        <v>11.67</v>
      </c>
      <c r="J544" s="257">
        <v>11.7249</v>
      </c>
      <c r="K544" s="257">
        <v>11.596</v>
      </c>
      <c r="L544" s="257">
        <v>11.5244</v>
      </c>
      <c r="M544" s="257">
        <v>11.5244</v>
      </c>
      <c r="N544" s="257">
        <v>11.4613</v>
      </c>
      <c r="O544" s="257">
        <v>11.5989</v>
      </c>
      <c r="P544" s="257">
        <v>11.6046</v>
      </c>
      <c r="Q544" s="257">
        <v>11.7736</v>
      </c>
      <c r="R544" s="257">
        <v>12.315200000000001</v>
      </c>
      <c r="S544" s="257">
        <v>12.1318</v>
      </c>
      <c r="T544" s="257">
        <v>12.209199999999999</v>
      </c>
      <c r="U544" s="257">
        <v>12.3553</v>
      </c>
      <c r="V544" s="257">
        <v>12.2951</v>
      </c>
      <c r="W544" s="257">
        <v>15.02</v>
      </c>
      <c r="X544" s="257">
        <v>14.283899999999999</v>
      </c>
      <c r="Y544" s="257">
        <v>14.1065</v>
      </c>
      <c r="Z544" s="1101">
        <f ca="1">[1]ExtEntry!$K41</f>
        <v>14.1065</v>
      </c>
      <c r="AB544" s="262">
        <v>884260</v>
      </c>
      <c r="AC544" s="262">
        <v>889960</v>
      </c>
      <c r="AD544" s="262">
        <v>886160</v>
      </c>
      <c r="AE544" s="262">
        <v>877610</v>
      </c>
      <c r="AF544" s="262">
        <v>906680</v>
      </c>
      <c r="AG544" s="262">
        <v>913520</v>
      </c>
      <c r="AH544" s="262">
        <v>900030</v>
      </c>
      <c r="AI544" s="262">
        <v>900030</v>
      </c>
      <c r="AJ544" s="262">
        <v>919600</v>
      </c>
      <c r="AK544" s="262">
        <v>886730</v>
      </c>
      <c r="AL544" s="262">
        <v>895090</v>
      </c>
      <c r="AM544" s="262">
        <v>889580</v>
      </c>
      <c r="AN544" s="262">
        <v>858230</v>
      </c>
      <c r="AO544" s="262">
        <v>858990</v>
      </c>
      <c r="AP544" s="262">
        <v>866210</v>
      </c>
      <c r="AQ544" s="262">
        <v>828210</v>
      </c>
      <c r="AR544" s="262">
        <v>819470</v>
      </c>
      <c r="AS544" s="262">
        <v>802180</v>
      </c>
      <c r="AT544" s="262">
        <v>780330</v>
      </c>
      <c r="AU544" s="262">
        <v>780900</v>
      </c>
      <c r="AV544" s="262">
        <f ca="1">Calc!F42</f>
        <v>780900</v>
      </c>
      <c r="AX544" s="88" t="str">
        <f t="shared" ca="1" si="45"/>
        <v>SAP</v>
      </c>
      <c r="AY544" s="81">
        <f ca="1">Tab2MarketValue[[#This Row],[M_Val20]]-Tab2MarketValue[[#This Row],[M_Val19]]</f>
        <v>0</v>
      </c>
    </row>
    <row r="545" spans="1:51" hidden="1" x14ac:dyDescent="0.3">
      <c r="A545" s="88" t="str">
        <f t="shared" ca="1" si="44"/>
        <v>SHECY</v>
      </c>
      <c r="F545" s="257">
        <v>41.547600000000003</v>
      </c>
      <c r="G545" s="257">
        <v>41.8155</v>
      </c>
      <c r="H545" s="257">
        <v>41.636899999999997</v>
      </c>
      <c r="I545" s="257">
        <v>41.636899999999997</v>
      </c>
      <c r="J545" s="257">
        <v>42.601100000000002</v>
      </c>
      <c r="K545" s="257">
        <v>42.601100000000002</v>
      </c>
      <c r="L545" s="257">
        <v>42.288600000000002</v>
      </c>
      <c r="M545" s="257">
        <v>42.288600000000002</v>
      </c>
      <c r="N545" s="257">
        <v>42.288600000000002</v>
      </c>
      <c r="O545" s="257">
        <v>38.438099999999999</v>
      </c>
      <c r="P545" s="257">
        <v>38.8005</v>
      </c>
      <c r="Q545" s="257">
        <v>38.561599999999999</v>
      </c>
      <c r="R545" s="257">
        <v>37.2027</v>
      </c>
      <c r="S545" s="257">
        <v>37.235599999999998</v>
      </c>
      <c r="T545" s="257">
        <v>37.5486</v>
      </c>
      <c r="U545" s="257">
        <v>35.901400000000002</v>
      </c>
      <c r="V545" s="257">
        <v>35.522500000000001</v>
      </c>
      <c r="W545" s="257">
        <v>35.926099999999998</v>
      </c>
      <c r="X545" s="257">
        <v>33.825899999999997</v>
      </c>
      <c r="Y545" s="257">
        <v>33.8506</v>
      </c>
      <c r="Z545" s="1101">
        <f ca="1">[1]ExtEntry!$K42</f>
        <v>33.8506</v>
      </c>
      <c r="AB545" s="265">
        <v>381110</v>
      </c>
      <c r="AC545" s="265">
        <v>378033.23339999997</v>
      </c>
      <c r="AD545" s="265">
        <v>367953.6</v>
      </c>
      <c r="AE545" s="265">
        <v>369072</v>
      </c>
      <c r="AF545" s="265">
        <v>365493.12</v>
      </c>
      <c r="AG545" s="265">
        <v>363927.36</v>
      </c>
      <c r="AH545" s="265">
        <v>358782.71999999997</v>
      </c>
      <c r="AI545" s="265">
        <v>358782.71999999997</v>
      </c>
      <c r="AJ545" s="265">
        <v>361243.19999999995</v>
      </c>
      <c r="AK545" s="265">
        <v>350506.56</v>
      </c>
      <c r="AL545" s="265">
        <v>343796.16</v>
      </c>
      <c r="AM545" s="265">
        <v>344914.56</v>
      </c>
      <c r="AN545" s="265">
        <v>373500</v>
      </c>
      <c r="AO545" s="265">
        <v>373500</v>
      </c>
      <c r="AP545" s="265">
        <v>372500</v>
      </c>
      <c r="AQ545" s="265">
        <v>362500</v>
      </c>
      <c r="AR545" s="265">
        <v>367250</v>
      </c>
      <c r="AS545" s="265">
        <v>374750</v>
      </c>
      <c r="AT545" s="265">
        <v>358250</v>
      </c>
      <c r="AU545" s="265">
        <v>355362.5</v>
      </c>
      <c r="AV545" s="262">
        <f ca="1">Calc!F43</f>
        <v>355362.5</v>
      </c>
      <c r="AX545" s="88" t="str">
        <f t="shared" ca="1" si="45"/>
        <v>SHECY</v>
      </c>
      <c r="AY545" s="81">
        <f ca="1">Tab2MarketValue[[#This Row],[M_Val20]]-Tab2MarketValue[[#This Row],[M_Val19]]</f>
        <v>0</v>
      </c>
    </row>
    <row r="546" spans="1:51"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01">
        <f ca="1">[1]ExtEntry!$K43</f>
        <v>0</v>
      </c>
      <c r="AB546" s="262">
        <v>173760</v>
      </c>
      <c r="AC546" s="262">
        <v>183504</v>
      </c>
      <c r="AD546" s="262">
        <v>183680</v>
      </c>
      <c r="AE546" s="262">
        <v>174720</v>
      </c>
      <c r="AF546" s="262">
        <v>199040</v>
      </c>
      <c r="AG546" s="262">
        <v>197600</v>
      </c>
      <c r="AH546" s="262">
        <v>180800</v>
      </c>
      <c r="AI546" s="262">
        <v>180800</v>
      </c>
      <c r="AJ546" s="262">
        <v>188480</v>
      </c>
      <c r="AK546" s="262">
        <v>191840</v>
      </c>
      <c r="AL546" s="262">
        <v>190560</v>
      </c>
      <c r="AM546" s="262">
        <v>184480</v>
      </c>
      <c r="AN546" s="262">
        <v>172480</v>
      </c>
      <c r="AO546" s="262">
        <v>158880</v>
      </c>
      <c r="AP546" s="262">
        <v>157600</v>
      </c>
      <c r="AQ546" s="262">
        <v>151360</v>
      </c>
      <c r="AR546" s="262">
        <v>151360</v>
      </c>
      <c r="AS546" s="262">
        <v>143200</v>
      </c>
      <c r="AT546" s="262">
        <v>136000</v>
      </c>
      <c r="AU546" s="262">
        <v>135200</v>
      </c>
      <c r="AV546" s="262">
        <f ca="1">Calc!F44</f>
        <v>135200</v>
      </c>
      <c r="AX546" s="88" t="str">
        <f t="shared" ca="1" si="45"/>
        <v>SSYS</v>
      </c>
      <c r="AY546" s="81">
        <f ca="1">Tab2MarketValue[[#This Row],[M_Val20]]-Tab2MarketValue[[#This Row],[M_Val19]]</f>
        <v>0</v>
      </c>
    </row>
    <row r="547" spans="1:51"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01">
        <f ca="1">[1]ExtEntry!$K44</f>
        <v>0</v>
      </c>
      <c r="AB547" s="265">
        <v>429.24</v>
      </c>
      <c r="AC547" s="265">
        <v>433.44009999999997</v>
      </c>
      <c r="AD547" s="265">
        <v>428.75</v>
      </c>
      <c r="AE547" s="265">
        <v>439.31</v>
      </c>
      <c r="AF547" s="265">
        <v>447.43</v>
      </c>
      <c r="AG547" s="265">
        <v>442.6</v>
      </c>
      <c r="AH547" s="265">
        <v>438.97</v>
      </c>
      <c r="AI547" s="265">
        <v>438.97</v>
      </c>
      <c r="AJ547" s="265">
        <v>448.98</v>
      </c>
      <c r="AK547" s="265">
        <v>433.72</v>
      </c>
      <c r="AL547" s="265">
        <v>452.42</v>
      </c>
      <c r="AM547" s="265">
        <v>460.55</v>
      </c>
      <c r="AN547" s="265">
        <v>440.1</v>
      </c>
      <c r="AO547" s="265">
        <v>446.92</v>
      </c>
      <c r="AP547" s="265">
        <v>462.25799999999998</v>
      </c>
      <c r="AQ547" s="265">
        <v>445.00990000000002</v>
      </c>
      <c r="AR547" s="265">
        <v>430.03</v>
      </c>
      <c r="AS547" s="265">
        <v>404.35</v>
      </c>
      <c r="AT547" s="265">
        <v>401.25</v>
      </c>
      <c r="AU547" s="265">
        <v>402.11</v>
      </c>
      <c r="AV547" s="262">
        <f ca="1">Calc!F45</f>
        <v>402.11</v>
      </c>
      <c r="AX547" s="88" t="str">
        <f t="shared" ca="1" si="45"/>
        <v>TSLA</v>
      </c>
      <c r="AY547" s="81">
        <f ca="1">Tab2MarketValue[[#This Row],[M_Val20]]-Tab2MarketValue[[#This Row],[M_Val19]]</f>
        <v>0</v>
      </c>
    </row>
    <row r="548" spans="1:51" hidden="1" x14ac:dyDescent="0.3">
      <c r="A548" s="88" t="str">
        <f t="shared" ca="1" si="44"/>
        <v>TSM</v>
      </c>
      <c r="F548" s="257">
        <v>239.19749999999999</v>
      </c>
      <c r="G548" s="257">
        <v>241.53809999999999</v>
      </c>
      <c r="H548" s="257">
        <v>242.49629999999999</v>
      </c>
      <c r="I548" s="257">
        <v>238.9298</v>
      </c>
      <c r="J548" s="257">
        <v>244.81460000000001</v>
      </c>
      <c r="K548" s="257">
        <v>249.33959999999999</v>
      </c>
      <c r="L548" s="257">
        <v>244.61969999999999</v>
      </c>
      <c r="M548" s="257">
        <v>244.61969999999999</v>
      </c>
      <c r="N548" s="257">
        <v>300.02</v>
      </c>
      <c r="O548" s="257">
        <v>289.8229</v>
      </c>
      <c r="P548" s="257">
        <v>313.67950000000002</v>
      </c>
      <c r="Q548" s="257">
        <v>319.31639999999999</v>
      </c>
      <c r="R548" s="257">
        <v>305.13760000000002</v>
      </c>
      <c r="S548" s="257">
        <v>309.86619999999999</v>
      </c>
      <c r="T548" s="257">
        <v>308.01760000000002</v>
      </c>
      <c r="U548" s="257">
        <v>308.54180000000002</v>
      </c>
      <c r="V548" s="257">
        <v>298.15570000000002</v>
      </c>
      <c r="W548" s="257">
        <v>280.35079999999999</v>
      </c>
      <c r="X548" s="257">
        <v>278.19760000000002</v>
      </c>
      <c r="Y548" s="257">
        <v>278.7978</v>
      </c>
      <c r="Z548" s="1101">
        <f ca="1">[1]ExtEntry!$K45</f>
        <v>278.7978</v>
      </c>
      <c r="AB548" s="262">
        <v>1331887.5</v>
      </c>
      <c r="AC548" s="262">
        <v>1372792.5</v>
      </c>
      <c r="AD548" s="262">
        <v>1349865.0000000002</v>
      </c>
      <c r="AE548" s="262">
        <v>1180320</v>
      </c>
      <c r="AF548" s="262">
        <v>1191176</v>
      </c>
      <c r="AG548" s="262">
        <v>1178080</v>
      </c>
      <c r="AH548" s="262">
        <v>1386720</v>
      </c>
      <c r="AI548" s="262">
        <v>1386720</v>
      </c>
      <c r="AJ548" s="262">
        <v>1395552</v>
      </c>
      <c r="AK548" s="262">
        <v>1416000</v>
      </c>
      <c r="AL548" s="262">
        <v>1431552</v>
      </c>
      <c r="AM548" s="262">
        <v>1447296</v>
      </c>
      <c r="AN548" s="262">
        <v>1455840</v>
      </c>
      <c r="AO548" s="262">
        <v>1416216</v>
      </c>
      <c r="AP548" s="262">
        <v>1410960</v>
      </c>
      <c r="AQ548" s="262">
        <v>1302435</v>
      </c>
      <c r="AR548" s="262">
        <v>1286325</v>
      </c>
      <c r="AS548" s="262">
        <v>1281915</v>
      </c>
      <c r="AT548" s="262">
        <v>1251045</v>
      </c>
      <c r="AU548" s="262">
        <v>1257705</v>
      </c>
      <c r="AV548" s="262">
        <f ca="1">Calc!F46</f>
        <v>1257705</v>
      </c>
      <c r="AX548" s="88" t="str">
        <f t="shared" ca="1" si="45"/>
        <v>TSM</v>
      </c>
      <c r="AY548" s="81">
        <f ca="1">Tab2MarketValue[[#This Row],[M_Val20]]-Tab2MarketValue[[#This Row],[M_Val19]]</f>
        <v>0</v>
      </c>
    </row>
    <row r="549" spans="1:51" hidden="1" x14ac:dyDescent="0.3">
      <c r="A549" s="88" t="str">
        <f t="shared" ca="1" si="44"/>
        <v>UN0</v>
      </c>
      <c r="F549" s="257">
        <v>30.681799999999999</v>
      </c>
      <c r="G549" s="257">
        <v>31.624099999999999</v>
      </c>
      <c r="H549" s="257">
        <v>31.0959</v>
      </c>
      <c r="I549" s="257">
        <v>29.362400000000001</v>
      </c>
      <c r="J549" s="257">
        <v>29.632400000000001</v>
      </c>
      <c r="K549" s="257">
        <v>29.3066</v>
      </c>
      <c r="L549" s="257">
        <v>28.747399999999999</v>
      </c>
      <c r="M549" s="257">
        <v>28.747399999999999</v>
      </c>
      <c r="N549" s="257">
        <v>28.930499999999999</v>
      </c>
      <c r="O549" s="257">
        <v>29.354399999999998</v>
      </c>
      <c r="P549" s="257">
        <v>29.6768</v>
      </c>
      <c r="Q549" s="257">
        <v>30.0032</v>
      </c>
      <c r="R549" s="257">
        <v>30.180299999999999</v>
      </c>
      <c r="S549" s="257">
        <v>29.358899999999998</v>
      </c>
      <c r="T549" s="257">
        <v>29.2499</v>
      </c>
      <c r="U549" s="257">
        <v>28.8002</v>
      </c>
      <c r="V549" s="257">
        <v>28.443899999999999</v>
      </c>
      <c r="W549" s="257">
        <v>28.346399999999999</v>
      </c>
      <c r="X549" s="257">
        <v>27.6539</v>
      </c>
      <c r="Y549" s="257">
        <v>27.8111</v>
      </c>
      <c r="Z549" s="1101">
        <f ca="1">[1]ExtEntry!$K46</f>
        <v>27.8111</v>
      </c>
      <c r="AB549" s="265">
        <v>94650</v>
      </c>
      <c r="AC549" s="265">
        <v>94800</v>
      </c>
      <c r="AD549" s="265">
        <v>95250</v>
      </c>
      <c r="AE549" s="265">
        <v>94650</v>
      </c>
      <c r="AF549" s="265">
        <v>99000</v>
      </c>
      <c r="AG549" s="265">
        <v>95100</v>
      </c>
      <c r="AH549" s="265">
        <v>95400</v>
      </c>
      <c r="AI549" s="265">
        <v>95400</v>
      </c>
      <c r="AJ549" s="265">
        <v>92850</v>
      </c>
      <c r="AK549" s="265">
        <v>90450</v>
      </c>
      <c r="AL549" s="265">
        <v>92550</v>
      </c>
      <c r="AM549" s="265">
        <v>90750</v>
      </c>
      <c r="AN549" s="265">
        <v>90150</v>
      </c>
      <c r="AO549" s="265">
        <v>88800</v>
      </c>
      <c r="AP549" s="265">
        <v>88500</v>
      </c>
      <c r="AQ549" s="265">
        <v>83850</v>
      </c>
      <c r="AR549" s="265">
        <v>85500</v>
      </c>
      <c r="AS549" s="265">
        <v>85800</v>
      </c>
      <c r="AT549" s="265">
        <v>88650</v>
      </c>
      <c r="AU549" s="265">
        <v>90750</v>
      </c>
      <c r="AV549" s="262">
        <f ca="1">Calc!F47</f>
        <v>90750</v>
      </c>
      <c r="AX549" s="88" t="str">
        <f t="shared" ca="1" si="45"/>
        <v>UN0</v>
      </c>
      <c r="AY549" s="81">
        <f ca="1">Tab2MarketValue[[#This Row],[M_Val20]]-Tab2MarketValue[[#This Row],[M_Val19]]</f>
        <v>0</v>
      </c>
    </row>
    <row r="550" spans="1:51" hidden="1" x14ac:dyDescent="0.3">
      <c r="A550" s="88" t="str">
        <f t="shared" ca="1" si="44"/>
        <v>UNIT</v>
      </c>
      <c r="F550" s="257">
        <v>22.5305</v>
      </c>
      <c r="G550" s="257">
        <v>23.6234</v>
      </c>
      <c r="H550" s="257">
        <v>24.0471</v>
      </c>
      <c r="I550" s="257">
        <v>23.584599999999998</v>
      </c>
      <c r="J550" s="257">
        <v>23.752800000000001</v>
      </c>
      <c r="K550" s="257">
        <v>23.539300000000001</v>
      </c>
      <c r="L550" s="257">
        <v>23.3291</v>
      </c>
      <c r="M550" s="257">
        <v>23.3291</v>
      </c>
      <c r="N550" s="257">
        <v>24.38</v>
      </c>
      <c r="O550" s="257">
        <v>25.220700000000001</v>
      </c>
      <c r="P550" s="257">
        <v>26.145399999999999</v>
      </c>
      <c r="Q550" s="257">
        <v>25.3888</v>
      </c>
      <c r="R550" s="257">
        <v>24.422000000000001</v>
      </c>
      <c r="S550" s="257">
        <v>25.830200000000001</v>
      </c>
      <c r="T550" s="257">
        <v>1.2729999999999999</v>
      </c>
      <c r="U550" s="257">
        <v>1.2402</v>
      </c>
      <c r="V550" s="257">
        <v>1.3058000000000001</v>
      </c>
      <c r="W550" s="257">
        <v>1.2367999999999999</v>
      </c>
      <c r="X550" s="257">
        <v>1.2112000000000001</v>
      </c>
      <c r="Y550" s="257">
        <v>1.1649</v>
      </c>
      <c r="Z550" s="1101">
        <f ca="1">[1]ExtEntry!$K48</f>
        <v>1.1649</v>
      </c>
      <c r="AB550" s="262">
        <v>96946.32</v>
      </c>
      <c r="AC550" s="262">
        <v>101648.94</v>
      </c>
      <c r="AD550" s="262">
        <v>101468.07</v>
      </c>
      <c r="AE550" s="262">
        <v>102191.55</v>
      </c>
      <c r="AF550" s="262">
        <v>40516</v>
      </c>
      <c r="AG550" s="262">
        <v>40516</v>
      </c>
      <c r="AH550" s="262">
        <v>40154.25</v>
      </c>
      <c r="AI550" s="262">
        <v>40154.25</v>
      </c>
      <c r="AJ550" s="262">
        <v>41963</v>
      </c>
      <c r="AK550" s="262">
        <v>43410</v>
      </c>
      <c r="AL550" s="262">
        <v>45001.7</v>
      </c>
      <c r="AM550" s="262">
        <v>43699.4</v>
      </c>
      <c r="AN550" s="262">
        <v>42035.35</v>
      </c>
      <c r="AO550" s="262">
        <v>44459.074999999997</v>
      </c>
      <c r="AP550" s="262">
        <v>46304</v>
      </c>
      <c r="AQ550" s="262">
        <v>45110.225000000006</v>
      </c>
      <c r="AR550" s="262">
        <v>47497.775000000001</v>
      </c>
      <c r="AS550" s="262">
        <v>45435.8</v>
      </c>
      <c r="AT550" s="262">
        <v>44495.25</v>
      </c>
      <c r="AU550" s="262">
        <v>42795.025000000001</v>
      </c>
      <c r="AV550" s="262">
        <f ca="1">Calc!F48</f>
        <v>42795.025000000001</v>
      </c>
      <c r="AX550" s="88" t="str">
        <f t="shared" ca="1" si="45"/>
        <v>UNIT</v>
      </c>
      <c r="AY550" s="81">
        <f ca="1">Tab2MarketValue[[#This Row],[M_Val20]]-Tab2MarketValue[[#This Row],[M_Val19]]</f>
        <v>0</v>
      </c>
    </row>
    <row r="551" spans="1:51"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01">
        <f ca="1">[1]ExtEntry!$K49</f>
        <v>0</v>
      </c>
      <c r="AB551" s="262">
        <v>41550.15</v>
      </c>
      <c r="AC551" s="262">
        <v>41757</v>
      </c>
      <c r="AD551" s="262">
        <v>42240</v>
      </c>
      <c r="AE551" s="262">
        <v>39540</v>
      </c>
      <c r="AF551" s="262">
        <v>40635</v>
      </c>
      <c r="AG551" s="262">
        <v>40995</v>
      </c>
      <c r="AH551" s="262">
        <v>40770</v>
      </c>
      <c r="AI551" s="262">
        <v>40770</v>
      </c>
      <c r="AJ551" s="262">
        <v>41115</v>
      </c>
      <c r="AK551" s="262">
        <v>41415</v>
      </c>
      <c r="AL551" s="262">
        <v>41670</v>
      </c>
      <c r="AM551" s="262">
        <v>41550</v>
      </c>
      <c r="AN551" s="262">
        <v>82500</v>
      </c>
      <c r="AO551" s="262">
        <v>80415</v>
      </c>
      <c r="AP551" s="262">
        <v>82741.8</v>
      </c>
      <c r="AQ551" s="262">
        <v>82080</v>
      </c>
      <c r="AR551" s="262">
        <v>82249.5</v>
      </c>
      <c r="AS551" s="262">
        <v>84120</v>
      </c>
      <c r="AT551" s="262">
        <v>82830</v>
      </c>
      <c r="AU551" s="262">
        <v>84015</v>
      </c>
      <c r="AV551" s="262">
        <f ca="1">Calc!F49</f>
        <v>84015</v>
      </c>
      <c r="AX551" s="88" t="str">
        <f t="shared" ca="1" si="45"/>
        <v>VLVLY</v>
      </c>
      <c r="AY551" s="81">
        <f ca="1">Tab2MarketValue[[#This Row],[M_Val20]]-Tab2MarketValue[[#This Row],[M_Val19]]</f>
        <v>0</v>
      </c>
    </row>
    <row r="552" spans="1:51" hidden="1" x14ac:dyDescent="0.3">
      <c r="A552" s="88" t="str">
        <f t="shared" ca="1" si="44"/>
        <v>VONN</v>
      </c>
      <c r="F552" s="257">
        <v>13.702</v>
      </c>
      <c r="G552" s="257">
        <v>13.5892</v>
      </c>
      <c r="H552" s="257">
        <v>13.498900000000001</v>
      </c>
      <c r="I552" s="257">
        <v>13.498900000000001</v>
      </c>
      <c r="J552" s="257">
        <v>13.3409</v>
      </c>
      <c r="K552" s="257">
        <v>13.2506</v>
      </c>
      <c r="L552" s="257">
        <v>13.2506</v>
      </c>
      <c r="M552" s="257">
        <v>13.2506</v>
      </c>
      <c r="N552" s="257">
        <v>13.611700000000001</v>
      </c>
      <c r="O552" s="257">
        <v>13.8375</v>
      </c>
      <c r="P552" s="257">
        <v>13.8149</v>
      </c>
      <c r="Q552" s="257">
        <v>13.8149</v>
      </c>
      <c r="R552" s="257">
        <v>13.747199999999999</v>
      </c>
      <c r="S552" s="257">
        <v>13.4086</v>
      </c>
      <c r="T552" s="257">
        <v>13.3409</v>
      </c>
      <c r="U552" s="257">
        <v>13.137700000000001</v>
      </c>
      <c r="V552" s="257">
        <v>13.160299999999999</v>
      </c>
      <c r="W552" s="257">
        <v>13.544</v>
      </c>
      <c r="X552" s="257">
        <v>13.2506</v>
      </c>
      <c r="Y552" s="257">
        <v>13.3634</v>
      </c>
      <c r="Z552" s="1101">
        <f ca="1">[1]ExtEntry!$K50</f>
        <v>13.3634</v>
      </c>
      <c r="AB552" s="265">
        <v>849800</v>
      </c>
      <c r="AC552" s="265">
        <v>842800</v>
      </c>
      <c r="AD552" s="265">
        <v>897000</v>
      </c>
      <c r="AE552" s="265">
        <v>944000</v>
      </c>
      <c r="AF552" s="265">
        <v>945600</v>
      </c>
      <c r="AG552" s="265">
        <v>939200</v>
      </c>
      <c r="AH552" s="265">
        <v>964800</v>
      </c>
      <c r="AI552" s="265">
        <v>964800</v>
      </c>
      <c r="AJ552" s="265">
        <v>977600</v>
      </c>
      <c r="AK552" s="265">
        <v>980800</v>
      </c>
      <c r="AL552" s="265">
        <v>979200</v>
      </c>
      <c r="AM552" s="265">
        <v>965131.6</v>
      </c>
      <c r="AN552" s="265">
        <v>973121.1</v>
      </c>
      <c r="AO552" s="265">
        <v>891000</v>
      </c>
      <c r="AP552" s="265">
        <v>945600</v>
      </c>
      <c r="AQ552" s="265">
        <v>1047600</v>
      </c>
      <c r="AR552" s="265">
        <v>1166000</v>
      </c>
      <c r="AS552" s="265">
        <v>1152000</v>
      </c>
      <c r="AT552" s="265">
        <v>1127040</v>
      </c>
      <c r="AU552" s="265">
        <v>1136640</v>
      </c>
      <c r="AV552" s="262">
        <f ca="1">Calc!F50</f>
        <v>1136640</v>
      </c>
      <c r="AX552" s="88" t="str">
        <f t="shared" ca="1" si="45"/>
        <v>VONN</v>
      </c>
      <c r="AY552" s="81">
        <f ca="1">Tab2MarketValue[[#This Row],[M_Val20]]-Tab2MarketValue[[#This Row],[M_Val19]]</f>
        <v>0</v>
      </c>
    </row>
    <row r="553" spans="1:51"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01">
        <f ca="1">[1]ExtEntry!$K51</f>
        <v>0</v>
      </c>
      <c r="AB553" s="262">
        <v>99300</v>
      </c>
      <c r="AC553" s="262">
        <v>99750</v>
      </c>
      <c r="AD553" s="262">
        <v>50500</v>
      </c>
      <c r="AE553" s="262">
        <v>50850</v>
      </c>
      <c r="AF553" s="262">
        <v>51550</v>
      </c>
      <c r="AG553" s="262">
        <v>51950</v>
      </c>
      <c r="AH553" s="262">
        <v>52050</v>
      </c>
      <c r="AI553" s="262">
        <v>52050</v>
      </c>
      <c r="AJ553" s="262">
        <v>51550</v>
      </c>
      <c r="AK553" s="262">
        <v>51750</v>
      </c>
      <c r="AL553" s="262">
        <v>52100</v>
      </c>
      <c r="AM553" s="262">
        <v>51449.999999999993</v>
      </c>
      <c r="AN553" s="262">
        <v>51800</v>
      </c>
      <c r="AO553" s="262">
        <v>52675</v>
      </c>
      <c r="AP553" s="262">
        <v>53750</v>
      </c>
      <c r="AQ553" s="262">
        <v>50975</v>
      </c>
      <c r="AR553" s="262">
        <v>50375</v>
      </c>
      <c r="AS553" s="262">
        <v>53600</v>
      </c>
      <c r="AT553" s="262">
        <v>53550.000000000007</v>
      </c>
      <c r="AU553" s="262">
        <v>52725</v>
      </c>
      <c r="AV553" s="262">
        <f ca="1">Calc!F51</f>
        <v>52725</v>
      </c>
      <c r="AX553" s="88" t="str">
        <f t="shared" ca="1" si="45"/>
        <v>VTRS</v>
      </c>
      <c r="AY553" s="81">
        <f ca="1">Tab2MarketValue[[#This Row],[M_Val20]]-Tab2MarketValue[[#This Row],[M_Val19]]</f>
        <v>0</v>
      </c>
    </row>
    <row r="554" spans="1:51"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01">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c r="AY554" s="81">
        <f ca="1">Tab2MarketValue[[#This Row],[M_Val20]]-Tab2MarketValue[[#This Row],[M_Val19]]</f>
        <v>0</v>
      </c>
    </row>
    <row r="555" spans="1:51" hidden="1" x14ac:dyDescent="0.3">
      <c r="A555" s="88" t="str">
        <f t="shared" ca="1" si="44"/>
        <v>XOM</v>
      </c>
      <c r="F555" s="257">
        <v>15.9361</v>
      </c>
      <c r="G555" s="257">
        <v>15.860200000000001</v>
      </c>
      <c r="H555" s="257">
        <v>15.8368</v>
      </c>
      <c r="I555" s="257">
        <v>15.699199999999999</v>
      </c>
      <c r="J555" s="257">
        <v>15.9922</v>
      </c>
      <c r="K555" s="257">
        <v>15.9915</v>
      </c>
      <c r="L555" s="257">
        <v>16.279499999999999</v>
      </c>
      <c r="M555" s="257">
        <v>16.279499999999999</v>
      </c>
      <c r="N555" s="257">
        <v>16.4526</v>
      </c>
      <c r="O555" s="257">
        <v>16.374600000000001</v>
      </c>
      <c r="P555" s="257">
        <v>16.4541</v>
      </c>
      <c r="Q555" s="257">
        <v>16.323499999999999</v>
      </c>
      <c r="R555" s="257">
        <v>16.273900000000001</v>
      </c>
      <c r="S555" s="257">
        <v>16.585000000000001</v>
      </c>
      <c r="T555" s="257">
        <v>16.5291</v>
      </c>
      <c r="U555" s="257">
        <v>16.700600000000001</v>
      </c>
      <c r="V555" s="257">
        <v>17.064</v>
      </c>
      <c r="W555" s="257">
        <v>17.338699999999999</v>
      </c>
      <c r="X555" s="257">
        <v>17.302499999999998</v>
      </c>
      <c r="Y555" s="257">
        <v>17.0916</v>
      </c>
      <c r="Z555" s="1101">
        <f ca="1">[1]ExtEntry!$K53</f>
        <v>17.0916</v>
      </c>
      <c r="AB555" s="262">
        <v>56155</v>
      </c>
      <c r="AC555" s="262">
        <v>55887.5</v>
      </c>
      <c r="AD555" s="262">
        <v>55320</v>
      </c>
      <c r="AE555" s="262">
        <v>56120</v>
      </c>
      <c r="AF555" s="262">
        <v>56352.5</v>
      </c>
      <c r="AG555" s="262">
        <v>56350</v>
      </c>
      <c r="AH555" s="262">
        <v>57365</v>
      </c>
      <c r="AI555" s="262">
        <v>57365</v>
      </c>
      <c r="AJ555" s="262">
        <v>57975</v>
      </c>
      <c r="AK555" s="262">
        <v>57700</v>
      </c>
      <c r="AL555" s="262">
        <v>57980</v>
      </c>
      <c r="AM555" s="262">
        <v>57520</v>
      </c>
      <c r="AN555" s="262">
        <v>57345</v>
      </c>
      <c r="AO555" s="262">
        <v>57047.5</v>
      </c>
      <c r="AP555" s="262">
        <v>56855</v>
      </c>
      <c r="AQ555" s="262">
        <v>57445</v>
      </c>
      <c r="AR555" s="262">
        <v>58695</v>
      </c>
      <c r="AS555" s="262">
        <v>59640</v>
      </c>
      <c r="AT555" s="262">
        <v>59515</v>
      </c>
      <c r="AU555" s="262">
        <v>58790</v>
      </c>
      <c r="AV555" s="262">
        <f ca="1">Calc!F53</f>
        <v>58790</v>
      </c>
      <c r="AX555" s="88" t="str">
        <f t="shared" ca="1" si="45"/>
        <v>XOM</v>
      </c>
      <c r="AY555" s="81">
        <f ca="1">Tab2MarketValue[[#This Row],[M_Val20]]-Tab2MarketValue[[#This Row],[M_Val19]]</f>
        <v>0</v>
      </c>
    </row>
    <row r="556" spans="1:51" hidden="1" x14ac:dyDescent="0.3">
      <c r="A556" s="88" t="str">
        <f t="shared" ca="1" si="44"/>
        <v>XPER</v>
      </c>
      <c r="F556" s="257">
        <v>0</v>
      </c>
      <c r="G556" s="257">
        <v>99</v>
      </c>
      <c r="H556" s="257">
        <v>99</v>
      </c>
      <c r="I556" s="257">
        <v>99</v>
      </c>
      <c r="J556" s="257">
        <v>99</v>
      </c>
      <c r="K556" s="257">
        <v>99</v>
      </c>
      <c r="L556" s="257">
        <v>99</v>
      </c>
      <c r="M556" s="257">
        <v>99</v>
      </c>
      <c r="N556" s="257">
        <v>99</v>
      </c>
      <c r="O556" s="257">
        <v>99</v>
      </c>
      <c r="P556" s="257">
        <v>99</v>
      </c>
      <c r="Q556" s="257">
        <v>99</v>
      </c>
      <c r="R556" s="257">
        <v>99</v>
      </c>
      <c r="S556" s="257">
        <v>99</v>
      </c>
      <c r="T556" s="257">
        <v>99</v>
      </c>
      <c r="U556" s="257">
        <v>99</v>
      </c>
      <c r="V556" s="257">
        <v>99</v>
      </c>
      <c r="W556" s="257">
        <v>36.497599999999998</v>
      </c>
      <c r="X556" s="257">
        <v>34.314</v>
      </c>
      <c r="Y556" s="257">
        <v>33.549500000000002</v>
      </c>
      <c r="Z556" s="1101">
        <f ca="1">[1]ExtEntry!$K54</f>
        <v>33.549500000000002</v>
      </c>
      <c r="AB556" s="265">
        <v>67100</v>
      </c>
      <c r="AC556" s="265">
        <v>67701</v>
      </c>
      <c r="AD556" s="265">
        <v>67200</v>
      </c>
      <c r="AE556" s="265">
        <v>66100</v>
      </c>
      <c r="AF556" s="265">
        <v>67300</v>
      </c>
      <c r="AG556" s="265">
        <v>67800</v>
      </c>
      <c r="AH556" s="265">
        <v>65600</v>
      </c>
      <c r="AI556" s="265">
        <v>65500</v>
      </c>
      <c r="AJ556" s="265">
        <v>66100</v>
      </c>
      <c r="AK556" s="265">
        <v>66900</v>
      </c>
      <c r="AL556" s="265">
        <v>66400</v>
      </c>
      <c r="AM556" s="265">
        <v>67400</v>
      </c>
      <c r="AN556" s="265">
        <v>65900</v>
      </c>
      <c r="AO556" s="265">
        <v>63750</v>
      </c>
      <c r="AP556" s="265">
        <v>67400</v>
      </c>
      <c r="AQ556" s="265">
        <v>68900</v>
      </c>
      <c r="AR556" s="265">
        <v>65985</v>
      </c>
      <c r="AS556" s="265">
        <v>61900.000000000007</v>
      </c>
      <c r="AT556" s="265">
        <v>58200</v>
      </c>
      <c r="AU556" s="265">
        <v>56900.000000000007</v>
      </c>
      <c r="AV556" s="262">
        <f ca="1">Calc!F54</f>
        <v>56900.000000000007</v>
      </c>
      <c r="AX556" s="88" t="str">
        <f t="shared" ca="1" si="45"/>
        <v>XPER</v>
      </c>
      <c r="AY556" s="81">
        <f ca="1">Tab2MarketValue[[#This Row],[M_Val20]]-Tab2MarketValue[[#This Row],[M_Val19]]</f>
        <v>0</v>
      </c>
    </row>
    <row r="557" spans="1:51"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01">
        <f ca="1">[1]ExtEntry!$K55</f>
        <v>0</v>
      </c>
      <c r="AB557" s="262">
        <v>424200</v>
      </c>
      <c r="AC557" s="262">
        <v>423190</v>
      </c>
      <c r="AD557" s="262">
        <v>419150</v>
      </c>
      <c r="AE557" s="262">
        <v>419150</v>
      </c>
      <c r="AF557" s="262">
        <v>414100</v>
      </c>
      <c r="AG557" s="262">
        <v>419150</v>
      </c>
      <c r="AH557" s="262">
        <v>424200</v>
      </c>
      <c r="AI557" s="262">
        <v>424200</v>
      </c>
      <c r="AJ557" s="262">
        <v>423190</v>
      </c>
      <c r="AK557" s="262">
        <v>417130</v>
      </c>
      <c r="AL557" s="262">
        <v>413090</v>
      </c>
      <c r="AM557" s="262">
        <v>414100</v>
      </c>
      <c r="AN557" s="262">
        <v>409050</v>
      </c>
      <c r="AO557" s="262">
        <v>397940</v>
      </c>
      <c r="AP557" s="262">
        <v>398950</v>
      </c>
      <c r="AQ557" s="262">
        <v>394910</v>
      </c>
      <c r="AR557" s="262">
        <v>393900</v>
      </c>
      <c r="AS557" s="262">
        <v>336330</v>
      </c>
      <c r="AT557" s="262">
        <v>338350</v>
      </c>
      <c r="AU557" s="262">
        <v>347440</v>
      </c>
      <c r="AV557" s="262">
        <f ca="1">Calc!F55</f>
        <v>347440</v>
      </c>
      <c r="AX557" s="88" t="str">
        <f t="shared" ca="1" si="45"/>
        <v>MVEALDNE</v>
      </c>
      <c r="AY557" s="81">
        <f ca="1">Tab2MarketValue[[#This Row],[M_Val20]]-Tab2MarketValue[[#This Row],[M_Val19]]</f>
        <v>0</v>
      </c>
    </row>
    <row r="558" spans="1:51" hidden="1" x14ac:dyDescent="0.3">
      <c r="A558" s="88" t="str">
        <f t="shared" ca="1" si="44"/>
        <v>MVEDDD</v>
      </c>
      <c r="F558" s="257">
        <v>0</v>
      </c>
      <c r="G558" s="257">
        <v>0</v>
      </c>
      <c r="H558" s="257">
        <v>99</v>
      </c>
      <c r="I558" s="257">
        <v>99</v>
      </c>
      <c r="J558" s="257">
        <v>99</v>
      </c>
      <c r="K558" s="257">
        <v>99</v>
      </c>
      <c r="L558" s="257">
        <v>99</v>
      </c>
      <c r="M558" s="257">
        <v>99</v>
      </c>
      <c r="N558" s="257">
        <v>99</v>
      </c>
      <c r="O558" s="257">
        <v>99</v>
      </c>
      <c r="P558" s="257">
        <v>99</v>
      </c>
      <c r="Q558" s="257">
        <v>99</v>
      </c>
      <c r="R558" s="257">
        <v>99</v>
      </c>
      <c r="S558" s="257">
        <v>0</v>
      </c>
      <c r="T558" s="257">
        <v>99</v>
      </c>
      <c r="U558" s="257">
        <v>0</v>
      </c>
      <c r="V558" s="257">
        <v>0</v>
      </c>
      <c r="W558" s="257">
        <v>99</v>
      </c>
      <c r="X558" s="257">
        <v>99</v>
      </c>
      <c r="Y558" s="257">
        <v>0</v>
      </c>
      <c r="Z558" s="1101">
        <f ca="1">[1]ExtEntry!$K56</f>
        <v>0</v>
      </c>
      <c r="AB558" s="265">
        <v>30800</v>
      </c>
      <c r="AC558" s="265">
        <v>32500</v>
      </c>
      <c r="AD558" s="265">
        <v>32599.999999999996</v>
      </c>
      <c r="AE558" s="265">
        <v>31100</v>
      </c>
      <c r="AF558" s="265">
        <v>37850</v>
      </c>
      <c r="AG558" s="265">
        <v>33700</v>
      </c>
      <c r="AH558" s="265">
        <v>30050</v>
      </c>
      <c r="AI558" s="265">
        <v>30050</v>
      </c>
      <c r="AJ558" s="265">
        <v>30750</v>
      </c>
      <c r="AK558" s="265">
        <v>31250</v>
      </c>
      <c r="AL558" s="265">
        <v>30750</v>
      </c>
      <c r="AM558" s="265">
        <v>31950</v>
      </c>
      <c r="AN558" s="265">
        <v>28200</v>
      </c>
      <c r="AO558" s="265">
        <v>25948.000000000004</v>
      </c>
      <c r="AP558" s="265">
        <v>26000</v>
      </c>
      <c r="AQ558" s="265">
        <v>22650</v>
      </c>
      <c r="AR558" s="265">
        <v>22250</v>
      </c>
      <c r="AS558" s="265">
        <v>21600</v>
      </c>
      <c r="AT558" s="265">
        <v>20800</v>
      </c>
      <c r="AU558" s="265">
        <v>20450</v>
      </c>
      <c r="AV558" s="262">
        <f ca="1">Calc!F56</f>
        <v>20450</v>
      </c>
      <c r="AX558" s="88" t="str">
        <f t="shared" ca="1" si="45"/>
        <v>MVEDDD</v>
      </c>
      <c r="AY558" s="81">
        <f ca="1">Tab2MarketValue[[#This Row],[M_Val20]]-Tab2MarketValue[[#This Row],[M_Val19]]</f>
        <v>0</v>
      </c>
    </row>
    <row r="559" spans="1:51" hidden="1" x14ac:dyDescent="0.3">
      <c r="A559" s="88" t="str">
        <f t="shared" ca="1" si="44"/>
        <v>MVEDSY</v>
      </c>
      <c r="F559" s="257">
        <v>32.575000000000003</v>
      </c>
      <c r="G559" s="257">
        <v>33.183999999999997</v>
      </c>
      <c r="H559" s="257">
        <v>33.758499999999998</v>
      </c>
      <c r="I559" s="257">
        <v>33.758499999999998</v>
      </c>
      <c r="J559" s="257">
        <v>34.2181</v>
      </c>
      <c r="K559" s="257">
        <v>34.2181</v>
      </c>
      <c r="L559" s="257">
        <v>34.781100000000002</v>
      </c>
      <c r="M559" s="257">
        <v>34.781100000000002</v>
      </c>
      <c r="N559" s="257">
        <v>34.608800000000002</v>
      </c>
      <c r="O559" s="257">
        <v>30.116099999999999</v>
      </c>
      <c r="P559" s="257">
        <v>28.391100000000002</v>
      </c>
      <c r="Q559" s="257">
        <v>28.391100000000002</v>
      </c>
      <c r="R559" s="257">
        <v>27.407800000000002</v>
      </c>
      <c r="S559" s="257">
        <v>26.860299999999999</v>
      </c>
      <c r="T559" s="257">
        <v>26.793299999999999</v>
      </c>
      <c r="U559" s="257">
        <v>25.988800000000001</v>
      </c>
      <c r="V559" s="257">
        <v>25.988800000000001</v>
      </c>
      <c r="W559" s="257">
        <v>27.072600000000001</v>
      </c>
      <c r="X559" s="257">
        <v>25.888300000000001</v>
      </c>
      <c r="Y559" s="257">
        <v>26.122900000000001</v>
      </c>
      <c r="Z559" s="1101">
        <f ca="1">[1]ExtEntry!$K57</f>
        <v>26.122900000000001</v>
      </c>
      <c r="AB559" s="262">
        <v>340200</v>
      </c>
      <c r="AC559" s="262">
        <v>346560</v>
      </c>
      <c r="AD559" s="262">
        <v>352560</v>
      </c>
      <c r="AE559" s="262">
        <v>351960</v>
      </c>
      <c r="AF559" s="262">
        <v>357360</v>
      </c>
      <c r="AG559" s="262">
        <v>363240</v>
      </c>
      <c r="AH559" s="262">
        <v>361440</v>
      </c>
      <c r="AI559" s="262">
        <v>361440</v>
      </c>
      <c r="AJ559" s="262">
        <v>314520</v>
      </c>
      <c r="AK559" s="262">
        <v>308280</v>
      </c>
      <c r="AL559" s="262">
        <v>304920</v>
      </c>
      <c r="AM559" s="262">
        <v>299640</v>
      </c>
      <c r="AN559" s="262">
        <v>294600</v>
      </c>
      <c r="AO559" s="262">
        <v>288480</v>
      </c>
      <c r="AP559" s="262">
        <v>287760</v>
      </c>
      <c r="AQ559" s="262">
        <v>279120</v>
      </c>
      <c r="AR559" s="262">
        <v>280080</v>
      </c>
      <c r="AS559" s="262">
        <v>287880</v>
      </c>
      <c r="AT559" s="262">
        <v>278040</v>
      </c>
      <c r="AU559" s="262">
        <v>280560</v>
      </c>
      <c r="AV559" s="262">
        <f ca="1">Calc!F57</f>
        <v>280560</v>
      </c>
      <c r="AX559" s="88" t="str">
        <f t="shared" ca="1" si="45"/>
        <v>MVEDSY</v>
      </c>
      <c r="AY559" s="81">
        <f ca="1">Tab2MarketValue[[#This Row],[M_Val20]]-Tab2MarketValue[[#This Row],[M_Val19]]</f>
        <v>0</v>
      </c>
    </row>
    <row r="560" spans="1:51" hidden="1" x14ac:dyDescent="0.3">
      <c r="A560" s="88" t="str">
        <f t="shared" ca="1" si="44"/>
        <v>MVEEOAN</v>
      </c>
      <c r="F560" s="257">
        <v>13.5289</v>
      </c>
      <c r="G560" s="257">
        <v>13.388400000000001</v>
      </c>
      <c r="H560" s="257">
        <v>13.4298</v>
      </c>
      <c r="I560" s="257">
        <v>13.42</v>
      </c>
      <c r="J560" s="257">
        <v>13.5702</v>
      </c>
      <c r="K560" s="257">
        <v>13.524800000000001</v>
      </c>
      <c r="L560" s="257">
        <v>13.6</v>
      </c>
      <c r="M560" s="257">
        <v>13.6</v>
      </c>
      <c r="N560" s="257">
        <v>13.2066</v>
      </c>
      <c r="O560" s="257">
        <v>13.2727</v>
      </c>
      <c r="P560" s="257">
        <v>13.3017</v>
      </c>
      <c r="Q560" s="257">
        <v>13.4215</v>
      </c>
      <c r="R560" s="257">
        <v>13.4339</v>
      </c>
      <c r="S560" s="257">
        <v>13.016500000000001</v>
      </c>
      <c r="T560" s="257">
        <v>13.2645</v>
      </c>
      <c r="U560" s="257">
        <v>13.289300000000001</v>
      </c>
      <c r="V560" s="257">
        <v>13.309900000000001</v>
      </c>
      <c r="W560" s="257">
        <v>12.84</v>
      </c>
      <c r="X560" s="257">
        <v>13.243499999999999</v>
      </c>
      <c r="Y560" s="257">
        <v>13.3043</v>
      </c>
      <c r="Z560" s="1101">
        <f ca="1">[1]ExtEntry!$K58</f>
        <v>13.3043</v>
      </c>
      <c r="AB560" s="265">
        <v>163.70000000000002</v>
      </c>
      <c r="AC560" s="265">
        <v>162</v>
      </c>
      <c r="AD560" s="265">
        <v>162.5</v>
      </c>
      <c r="AE560" s="265">
        <v>162.69999999999999</v>
      </c>
      <c r="AF560" s="265">
        <v>164.20000000000002</v>
      </c>
      <c r="AG560" s="265">
        <v>163.64999999999998</v>
      </c>
      <c r="AH560" s="265">
        <v>161</v>
      </c>
      <c r="AI560" s="265">
        <v>161</v>
      </c>
      <c r="AJ560" s="265">
        <v>159.80000000000001</v>
      </c>
      <c r="AK560" s="265">
        <v>160.6</v>
      </c>
      <c r="AL560" s="265">
        <v>160.94999999999999</v>
      </c>
      <c r="AM560" s="265">
        <v>162.39999999999998</v>
      </c>
      <c r="AN560" s="265">
        <v>162.54999999999998</v>
      </c>
      <c r="AO560" s="265">
        <v>157.5</v>
      </c>
      <c r="AP560" s="265">
        <v>160.5</v>
      </c>
      <c r="AQ560" s="265">
        <v>160.79999999999998</v>
      </c>
      <c r="AR560" s="265">
        <v>161.05000000000001</v>
      </c>
      <c r="AS560" s="265">
        <v>152.44999999999999</v>
      </c>
      <c r="AT560" s="265">
        <v>152.30000000000001</v>
      </c>
      <c r="AU560" s="265">
        <v>153</v>
      </c>
      <c r="AV560" s="262">
        <f ca="1">Calc!F58</f>
        <v>153</v>
      </c>
      <c r="AX560" s="88" t="str">
        <f t="shared" ca="1" si="45"/>
        <v>MVEEOAN</v>
      </c>
      <c r="AY560" s="81">
        <f ca="1">Tab2MarketValue[[#This Row],[M_Val20]]-Tab2MarketValue[[#This Row],[M_Val19]]</f>
        <v>0</v>
      </c>
    </row>
    <row r="561" spans="1:51" hidden="1" x14ac:dyDescent="0.3">
      <c r="A561" s="88" t="str">
        <f t="shared" ca="1" si="44"/>
        <v>MVEENI</v>
      </c>
      <c r="F561" s="257">
        <v>18.3658</v>
      </c>
      <c r="G561" s="257">
        <v>18.3933</v>
      </c>
      <c r="H561" s="257">
        <v>18.4483</v>
      </c>
      <c r="I561" s="257">
        <v>18.4483</v>
      </c>
      <c r="J561" s="257">
        <v>18.585699999999999</v>
      </c>
      <c r="K561" s="257">
        <v>18.585699999999999</v>
      </c>
      <c r="L561" s="257">
        <v>18.6157</v>
      </c>
      <c r="M561" s="257">
        <v>18.6157</v>
      </c>
      <c r="N561" s="257">
        <v>18.898099999999999</v>
      </c>
      <c r="O561" s="257">
        <v>19.472799999999999</v>
      </c>
      <c r="P561" s="257">
        <v>17.605699999999999</v>
      </c>
      <c r="Q561" s="257">
        <v>17.605699999999999</v>
      </c>
      <c r="R561" s="257">
        <v>17.581399999999999</v>
      </c>
      <c r="S561" s="257">
        <v>17.570399999999999</v>
      </c>
      <c r="T561" s="257">
        <v>17.634499999999999</v>
      </c>
      <c r="U561" s="257">
        <v>17.612400000000001</v>
      </c>
      <c r="V561" s="257">
        <v>17.5947</v>
      </c>
      <c r="W561" s="257">
        <v>18.175599999999999</v>
      </c>
      <c r="X561" s="257">
        <v>18.067399999999999</v>
      </c>
      <c r="Y561" s="257">
        <v>17.910499999999999</v>
      </c>
      <c r="Z561" s="1101">
        <f ca="1">[1]ExtEntry!$K59</f>
        <v>17.910499999999999</v>
      </c>
      <c r="AB561" s="262">
        <v>529200</v>
      </c>
      <c r="AC561" s="262">
        <v>529992</v>
      </c>
      <c r="AD561" s="262">
        <v>531576</v>
      </c>
      <c r="AE561" s="262">
        <v>534384</v>
      </c>
      <c r="AF561" s="262">
        <v>535536</v>
      </c>
      <c r="AG561" s="262">
        <v>536400</v>
      </c>
      <c r="AH561" s="262">
        <v>544536</v>
      </c>
      <c r="AI561" s="262">
        <v>544536</v>
      </c>
      <c r="AJ561" s="262">
        <v>561096</v>
      </c>
      <c r="AK561" s="262">
        <v>570096</v>
      </c>
      <c r="AL561" s="262">
        <v>573912</v>
      </c>
      <c r="AM561" s="262">
        <v>571896</v>
      </c>
      <c r="AN561" s="262">
        <v>573120</v>
      </c>
      <c r="AO561" s="262">
        <v>572760</v>
      </c>
      <c r="AP561" s="262">
        <v>574848</v>
      </c>
      <c r="AQ561" s="262">
        <v>574128</v>
      </c>
      <c r="AR561" s="262">
        <v>573552</v>
      </c>
      <c r="AS561" s="262">
        <v>593064</v>
      </c>
      <c r="AT561" s="262">
        <v>588960</v>
      </c>
      <c r="AU561" s="262">
        <v>583848</v>
      </c>
      <c r="AV561" s="262">
        <f ca="1">Calc!F59</f>
        <v>583848</v>
      </c>
      <c r="AX561" s="88" t="str">
        <f t="shared" ca="1" si="45"/>
        <v>MVEENI</v>
      </c>
      <c r="AY561" s="81">
        <f ca="1">Tab2MarketValue[[#This Row],[M_Val20]]-Tab2MarketValue[[#This Row],[M_Val19]]</f>
        <v>0</v>
      </c>
    </row>
    <row r="562" spans="1:51"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01">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c r="AY562" s="81">
        <f ca="1">Tab2MarketValue[[#This Row],[M_Val20]]-Tab2MarketValue[[#This Row],[M_Val19]]</f>
        <v>0</v>
      </c>
    </row>
    <row r="563" spans="1:51" hidden="1" x14ac:dyDescent="0.3">
      <c r="A563" s="88" t="str">
        <f t="shared" ca="1" si="44"/>
        <v>MVEGLE</v>
      </c>
      <c r="F563" s="257">
        <v>9.2149999999999999</v>
      </c>
      <c r="G563" s="257">
        <v>9.3054000000000006</v>
      </c>
      <c r="H563" s="257">
        <v>9.4662000000000006</v>
      </c>
      <c r="I563" s="257">
        <v>9.4662000000000006</v>
      </c>
      <c r="J563" s="257">
        <v>8.9839000000000002</v>
      </c>
      <c r="K563" s="257">
        <v>8.8766999999999996</v>
      </c>
      <c r="L563" s="257">
        <v>8.8968000000000007</v>
      </c>
      <c r="M563" s="257">
        <v>8.8968000000000007</v>
      </c>
      <c r="N563" s="257">
        <v>8.8566000000000003</v>
      </c>
      <c r="O563" s="257">
        <v>8.9738000000000007</v>
      </c>
      <c r="P563" s="257">
        <v>8.9771999999999998</v>
      </c>
      <c r="Q563" s="257">
        <v>8.9771999999999998</v>
      </c>
      <c r="R563" s="257">
        <v>8.8766999999999996</v>
      </c>
      <c r="S563" s="257">
        <v>8.7401999999999997</v>
      </c>
      <c r="T563" s="257">
        <v>8.7401999999999997</v>
      </c>
      <c r="U563" s="257">
        <v>8.7498000000000005</v>
      </c>
      <c r="V563" s="257">
        <v>8.7498000000000005</v>
      </c>
      <c r="W563" s="257">
        <v>9.2847000000000008</v>
      </c>
      <c r="X563" s="257">
        <v>8.9963999999999995</v>
      </c>
      <c r="Y563" s="257">
        <v>9.0989000000000004</v>
      </c>
      <c r="Z563" s="1101">
        <f ca="1">[1]ExtEntry!$K61</f>
        <v>9.0989000000000004</v>
      </c>
      <c r="AB563" s="262">
        <v>330120</v>
      </c>
      <c r="AC563" s="262">
        <v>333360</v>
      </c>
      <c r="AD563" s="262">
        <v>339120</v>
      </c>
      <c r="AE563" s="262">
        <v>375480</v>
      </c>
      <c r="AF563" s="262">
        <v>371000</v>
      </c>
      <c r="AG563" s="262">
        <v>371840</v>
      </c>
      <c r="AH563" s="262">
        <v>370160</v>
      </c>
      <c r="AI563" s="262">
        <v>370160</v>
      </c>
      <c r="AJ563" s="262">
        <v>375060</v>
      </c>
      <c r="AK563" s="262">
        <v>375760</v>
      </c>
      <c r="AL563" s="262">
        <v>375200</v>
      </c>
      <c r="AM563" s="262">
        <v>379820</v>
      </c>
      <c r="AN563" s="262">
        <v>371000</v>
      </c>
      <c r="AO563" s="262">
        <v>382060</v>
      </c>
      <c r="AP563" s="262">
        <v>382480</v>
      </c>
      <c r="AQ563" s="262">
        <v>390600</v>
      </c>
      <c r="AR563" s="262">
        <v>382480</v>
      </c>
      <c r="AS563" s="262">
        <v>405860</v>
      </c>
      <c r="AT563" s="262">
        <v>393260</v>
      </c>
      <c r="AU563" s="262">
        <v>397740</v>
      </c>
      <c r="AV563" s="262">
        <f ca="1">Calc!F61</f>
        <v>397740</v>
      </c>
      <c r="AX563" s="88" t="str">
        <f t="shared" ca="1" si="45"/>
        <v>MVEGLE</v>
      </c>
      <c r="AY563" s="81">
        <f ca="1">Tab2MarketValue[[#This Row],[M_Val20]]-Tab2MarketValue[[#This Row],[M_Val19]]</f>
        <v>0</v>
      </c>
    </row>
    <row r="564" spans="1:51" hidden="1" x14ac:dyDescent="0.3">
      <c r="A564" s="88" t="str">
        <f t="shared" ca="1" si="44"/>
        <v>MVEORA</v>
      </c>
      <c r="F564" s="257">
        <v>42.419499999999999</v>
      </c>
      <c r="G564" s="257">
        <v>44.267200000000003</v>
      </c>
      <c r="H564" s="257">
        <v>44.488300000000002</v>
      </c>
      <c r="I564" s="257">
        <v>44.488300000000002</v>
      </c>
      <c r="J564" s="257">
        <v>45.277999999999999</v>
      </c>
      <c r="K564" s="257">
        <v>44.614699999999999</v>
      </c>
      <c r="L564" s="257">
        <v>44.614699999999999</v>
      </c>
      <c r="M564" s="257">
        <v>44.614699999999999</v>
      </c>
      <c r="N564" s="257">
        <v>44.440899999999999</v>
      </c>
      <c r="O564" s="257">
        <v>44.693600000000004</v>
      </c>
      <c r="P564" s="257">
        <v>43.967199999999998</v>
      </c>
      <c r="Q564" s="257">
        <v>43.746099999999998</v>
      </c>
      <c r="R564" s="257">
        <v>43.761800000000001</v>
      </c>
      <c r="S564" s="257">
        <v>43.319600000000001</v>
      </c>
      <c r="T564" s="257">
        <v>43.319600000000001</v>
      </c>
      <c r="U564" s="257">
        <v>44.030299999999997</v>
      </c>
      <c r="V564" s="257">
        <v>44.741</v>
      </c>
      <c r="W564" s="257">
        <v>44.283000000000001</v>
      </c>
      <c r="X564" s="257">
        <v>43.240699999999997</v>
      </c>
      <c r="Y564" s="257">
        <v>43.524999999999999</v>
      </c>
      <c r="Z564" s="1101">
        <f ca="1">[1]ExtEntry!$K62</f>
        <v>43.524999999999999</v>
      </c>
      <c r="AB564" s="265">
        <v>268686</v>
      </c>
      <c r="AC564" s="265">
        <v>277497</v>
      </c>
      <c r="AD564" s="265">
        <v>278883</v>
      </c>
      <c r="AE564" s="265">
        <v>283833</v>
      </c>
      <c r="AF564" s="265">
        <v>280368</v>
      </c>
      <c r="AG564" s="265">
        <v>279675</v>
      </c>
      <c r="AH564" s="265">
        <v>278586</v>
      </c>
      <c r="AI564" s="265">
        <v>278586</v>
      </c>
      <c r="AJ564" s="265">
        <v>280170</v>
      </c>
      <c r="AK564" s="265">
        <v>275616</v>
      </c>
      <c r="AL564" s="265">
        <v>274230</v>
      </c>
      <c r="AM564" s="265">
        <v>275022</v>
      </c>
      <c r="AN564" s="265">
        <v>274329</v>
      </c>
      <c r="AO564" s="265">
        <v>271557</v>
      </c>
      <c r="AP564" s="265">
        <v>271557</v>
      </c>
      <c r="AQ564" s="265">
        <v>276012</v>
      </c>
      <c r="AR564" s="265">
        <v>280467</v>
      </c>
      <c r="AS564" s="265">
        <v>277596</v>
      </c>
      <c r="AT564" s="265">
        <v>271062</v>
      </c>
      <c r="AU564" s="265">
        <v>272844</v>
      </c>
      <c r="AV564" s="262">
        <f ca="1">Calc!F62</f>
        <v>272844</v>
      </c>
      <c r="AX564" s="88" t="str">
        <f t="shared" ca="1" si="45"/>
        <v>MVEORA</v>
      </c>
      <c r="AY564" s="81">
        <f ca="1">Tab2MarketValue[[#This Row],[M_Val20]]-Tab2MarketValue[[#This Row],[M_Val19]]</f>
        <v>0</v>
      </c>
    </row>
    <row r="565" spans="1:51" hidden="1" x14ac:dyDescent="0.3">
      <c r="A565" s="88" t="str">
        <f t="shared" ca="1" si="44"/>
        <v>MVERWE</v>
      </c>
      <c r="F565" s="257">
        <v>11.6275</v>
      </c>
      <c r="G565" s="257">
        <v>11.659000000000001</v>
      </c>
      <c r="H565" s="257">
        <v>11.8567</v>
      </c>
      <c r="I565" s="257">
        <v>11.67</v>
      </c>
      <c r="J565" s="257">
        <v>11.7249</v>
      </c>
      <c r="K565" s="257">
        <v>11.596</v>
      </c>
      <c r="L565" s="257">
        <v>11.5244</v>
      </c>
      <c r="M565" s="257">
        <v>11.5244</v>
      </c>
      <c r="N565" s="257">
        <v>11.4613</v>
      </c>
      <c r="O565" s="257">
        <v>11.5989</v>
      </c>
      <c r="P565" s="257">
        <v>11.6046</v>
      </c>
      <c r="Q565" s="257">
        <v>11.7736</v>
      </c>
      <c r="R565" s="257">
        <v>12.315200000000001</v>
      </c>
      <c r="S565" s="257">
        <v>12.1318</v>
      </c>
      <c r="T565" s="257">
        <v>12.209199999999999</v>
      </c>
      <c r="U565" s="257">
        <v>12.3553</v>
      </c>
      <c r="V565" s="257">
        <v>12.2951</v>
      </c>
      <c r="W565" s="257">
        <v>15.02</v>
      </c>
      <c r="X565" s="257">
        <v>14.283899999999999</v>
      </c>
      <c r="Y565" s="257">
        <v>14.1065</v>
      </c>
      <c r="Z565" s="1101">
        <f ca="1">[1]ExtEntry!$K63</f>
        <v>14.1065</v>
      </c>
      <c r="AB565" s="262">
        <v>40.58</v>
      </c>
      <c r="AC565" s="262">
        <v>40.69</v>
      </c>
      <c r="AD565" s="262">
        <v>41.38</v>
      </c>
      <c r="AE565" s="262">
        <v>41.06</v>
      </c>
      <c r="AF565" s="262">
        <v>40.92</v>
      </c>
      <c r="AG565" s="262">
        <v>40.47</v>
      </c>
      <c r="AH565" s="262">
        <v>40.22</v>
      </c>
      <c r="AI565" s="262">
        <v>40.22</v>
      </c>
      <c r="AJ565" s="262">
        <v>40</v>
      </c>
      <c r="AK565" s="262">
        <v>40.479999999999997</v>
      </c>
      <c r="AL565" s="262">
        <v>40.5</v>
      </c>
      <c r="AM565" s="262">
        <v>41.09</v>
      </c>
      <c r="AN565" s="262">
        <v>42.98</v>
      </c>
      <c r="AO565" s="262">
        <v>42.34</v>
      </c>
      <c r="AP565" s="262">
        <v>42.61</v>
      </c>
      <c r="AQ565" s="262">
        <v>43.12</v>
      </c>
      <c r="AR565" s="262">
        <v>42.91</v>
      </c>
      <c r="AS565" s="262">
        <v>45.33</v>
      </c>
      <c r="AT565" s="262">
        <v>44.28</v>
      </c>
      <c r="AU565" s="262">
        <v>43.73</v>
      </c>
      <c r="AV565" s="262">
        <f ca="1">Calc!F63</f>
        <v>43.73</v>
      </c>
      <c r="AX565" s="88" t="str">
        <f t="shared" ca="1" si="45"/>
        <v>MVERWE</v>
      </c>
      <c r="AY565" s="81">
        <f ca="1">Tab2MarketValue[[#This Row],[M_Val20]]-Tab2MarketValue[[#This Row],[M_Val19]]</f>
        <v>0</v>
      </c>
    </row>
    <row r="566" spans="1:51" hidden="1" x14ac:dyDescent="0.3">
      <c r="A566" s="88" t="str">
        <f t="shared" ca="1" si="44"/>
        <v>MVESAP</v>
      </c>
      <c r="F566" s="257">
        <v>41.547600000000003</v>
      </c>
      <c r="G566" s="257">
        <v>41.8155</v>
      </c>
      <c r="H566" s="257">
        <v>41.636899999999997</v>
      </c>
      <c r="I566" s="257">
        <v>41.636899999999997</v>
      </c>
      <c r="J566" s="257">
        <v>42.601100000000002</v>
      </c>
      <c r="K566" s="257">
        <v>42.601100000000002</v>
      </c>
      <c r="L566" s="257">
        <v>42.288600000000002</v>
      </c>
      <c r="M566" s="257">
        <v>42.288600000000002</v>
      </c>
      <c r="N566" s="257">
        <v>42.288600000000002</v>
      </c>
      <c r="O566" s="257">
        <v>38.438099999999999</v>
      </c>
      <c r="P566" s="257">
        <v>38.8005</v>
      </c>
      <c r="Q566" s="257">
        <v>38.561599999999999</v>
      </c>
      <c r="R566" s="257">
        <v>37.2027</v>
      </c>
      <c r="S566" s="257">
        <v>37.235599999999998</v>
      </c>
      <c r="T566" s="257">
        <v>37.5486</v>
      </c>
      <c r="U566" s="257">
        <v>35.901400000000002</v>
      </c>
      <c r="V566" s="257">
        <v>35.522500000000001</v>
      </c>
      <c r="W566" s="257">
        <v>35.926099999999998</v>
      </c>
      <c r="X566" s="257">
        <v>33.825899999999997</v>
      </c>
      <c r="Y566" s="257">
        <v>33.8506</v>
      </c>
      <c r="Z566" s="1101">
        <f ca="1">[1]ExtEntry!$K64</f>
        <v>33.8506</v>
      </c>
      <c r="AB566" s="265">
        <v>93312.7</v>
      </c>
      <c r="AC566" s="265">
        <v>93914.2</v>
      </c>
      <c r="AD566" s="265">
        <v>93513.2</v>
      </c>
      <c r="AE566" s="265">
        <v>92610.95</v>
      </c>
      <c r="AF566" s="265">
        <v>95678.599999999991</v>
      </c>
      <c r="AG566" s="265">
        <v>96400.400000000009</v>
      </c>
      <c r="AH566" s="265">
        <v>94976.849999999991</v>
      </c>
      <c r="AI566" s="265">
        <v>94976.849999999991</v>
      </c>
      <c r="AJ566" s="265">
        <v>97042</v>
      </c>
      <c r="AK566" s="265">
        <v>93573.349999999991</v>
      </c>
      <c r="AL566" s="265">
        <v>94455.55</v>
      </c>
      <c r="AM566" s="265">
        <v>93874.099999999991</v>
      </c>
      <c r="AN566" s="265">
        <v>90565.849999999991</v>
      </c>
      <c r="AO566" s="265">
        <v>90646.05</v>
      </c>
      <c r="AP566" s="265">
        <v>91407.95</v>
      </c>
      <c r="AQ566" s="265">
        <v>87397.95</v>
      </c>
      <c r="AR566" s="265">
        <v>86475.650000000009</v>
      </c>
      <c r="AS566" s="265">
        <v>84651.099999999991</v>
      </c>
      <c r="AT566" s="265">
        <v>82345.349999999991</v>
      </c>
      <c r="AU566" s="265">
        <v>82405.5</v>
      </c>
      <c r="AV566" s="262">
        <f ca="1">Calc!F64</f>
        <v>82405.5</v>
      </c>
      <c r="AX566" s="88" t="str">
        <f t="shared" ca="1" si="45"/>
        <v>MVESAP</v>
      </c>
      <c r="AY566" s="81">
        <f ca="1">Tab2MarketValue[[#This Row],[M_Val20]]-Tab2MarketValue[[#This Row],[M_Val19]]</f>
        <v>0</v>
      </c>
    </row>
    <row r="567" spans="1:51"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01">
        <f>[1]ExtEntry!$K65</f>
        <v>99</v>
      </c>
      <c r="AB567" s="262">
        <v>17668</v>
      </c>
      <c r="AC567" s="262">
        <v>17696</v>
      </c>
      <c r="AD567" s="262">
        <v>17780</v>
      </c>
      <c r="AE567" s="262">
        <v>17668</v>
      </c>
      <c r="AF567" s="262">
        <v>18480</v>
      </c>
      <c r="AG567" s="262">
        <v>17752</v>
      </c>
      <c r="AH567" s="262">
        <v>17808</v>
      </c>
      <c r="AI567" s="262">
        <v>17808</v>
      </c>
      <c r="AJ567" s="262">
        <v>17332</v>
      </c>
      <c r="AK567" s="262">
        <v>16884</v>
      </c>
      <c r="AL567" s="262">
        <v>17276</v>
      </c>
      <c r="AM567" s="262">
        <v>16940</v>
      </c>
      <c r="AN567" s="262">
        <v>16828</v>
      </c>
      <c r="AO567" s="262">
        <v>16576</v>
      </c>
      <c r="AP567" s="262">
        <v>16520</v>
      </c>
      <c r="AQ567" s="262">
        <v>15652</v>
      </c>
      <c r="AR567" s="262">
        <v>15960</v>
      </c>
      <c r="AS567" s="262">
        <v>16016</v>
      </c>
      <c r="AT567" s="262">
        <v>16548</v>
      </c>
      <c r="AU567" s="262">
        <v>16940</v>
      </c>
      <c r="AV567" s="262">
        <f ca="1">Calc!F65</f>
        <v>16940</v>
      </c>
      <c r="AX567" s="88" t="str">
        <f t="shared" ca="1" si="45"/>
        <v>MVEUN0</v>
      </c>
      <c r="AY567" s="81">
        <f ca="1">Tab2MarketValue[[#This Row],[M_Val20]]-Tab2MarketValue[[#This Row],[M_Val19]]</f>
        <v>0</v>
      </c>
    </row>
    <row r="568" spans="1:51" hidden="1" x14ac:dyDescent="0.3">
      <c r="A568" s="88" t="str">
        <f t="shared" ca="1" si="44"/>
        <v>SAFAAPL</v>
      </c>
      <c r="F568" s="257">
        <v>34.1738</v>
      </c>
      <c r="G568" s="257">
        <v>34.398600000000002</v>
      </c>
      <c r="H568" s="257">
        <v>34.129600000000003</v>
      </c>
      <c r="I568" s="257">
        <v>34.1295</v>
      </c>
      <c r="J568" s="257">
        <v>34.796999999999997</v>
      </c>
      <c r="K568" s="257">
        <v>36.169400000000003</v>
      </c>
      <c r="L568" s="257">
        <v>35.646799999999999</v>
      </c>
      <c r="M568" s="257">
        <v>35.646799999999999</v>
      </c>
      <c r="N568" s="257">
        <v>35.802700000000002</v>
      </c>
      <c r="O568" s="257">
        <v>36.249499999999998</v>
      </c>
      <c r="P568" s="257">
        <v>37.075699999999998</v>
      </c>
      <c r="Q568" s="257">
        <v>37.101900000000001</v>
      </c>
      <c r="R568" s="257">
        <v>37.432899999999997</v>
      </c>
      <c r="S568" s="257">
        <v>36.3598</v>
      </c>
      <c r="T568" s="257">
        <v>36.3613</v>
      </c>
      <c r="U568" s="257">
        <v>36.423099999999998</v>
      </c>
      <c r="V568" s="257">
        <v>36.086100000000002</v>
      </c>
      <c r="W568" s="257">
        <v>36.680300000000003</v>
      </c>
      <c r="X568" s="257">
        <v>36.011200000000002</v>
      </c>
      <c r="Y568" s="257">
        <v>36.3598</v>
      </c>
      <c r="Z568" s="1101">
        <f ca="1">[1]ExtEntry!$K66</f>
        <v>36.3598</v>
      </c>
      <c r="AB568" s="265">
        <v>86719.5</v>
      </c>
      <c r="AC568" s="265">
        <v>87290</v>
      </c>
      <c r="AD568" s="265">
        <v>86607.5</v>
      </c>
      <c r="AE568" s="265">
        <v>88301.5</v>
      </c>
      <c r="AF568" s="265">
        <v>91784</v>
      </c>
      <c r="AG568" s="265">
        <v>91969.5</v>
      </c>
      <c r="AH568" s="265">
        <v>90457.5</v>
      </c>
      <c r="AI568" s="265">
        <v>90457.5</v>
      </c>
      <c r="AJ568" s="265">
        <v>90853</v>
      </c>
      <c r="AK568" s="265">
        <v>91987</v>
      </c>
      <c r="AL568" s="265">
        <v>94083.5</v>
      </c>
      <c r="AM568" s="265">
        <v>94150</v>
      </c>
      <c r="AN568" s="265">
        <v>94989.999999999985</v>
      </c>
      <c r="AO568" s="265">
        <v>94510.499999999985</v>
      </c>
      <c r="AP568" s="265">
        <v>94549</v>
      </c>
      <c r="AQ568" s="265">
        <v>94675</v>
      </c>
      <c r="AR568" s="265">
        <v>93798.950000000012</v>
      </c>
      <c r="AS568" s="265">
        <v>95343.500000000015</v>
      </c>
      <c r="AT568" s="265">
        <v>93604</v>
      </c>
      <c r="AU568" s="265">
        <v>94510.499999999985</v>
      </c>
      <c r="AV568" s="262">
        <f ca="1">Calc!F66</f>
        <v>94510.499999999985</v>
      </c>
      <c r="AX568" s="88" t="str">
        <f t="shared" ca="1" si="45"/>
        <v>SAFAAPL</v>
      </c>
      <c r="AY568" s="81">
        <f ca="1">Tab2MarketValue[[#This Row],[M_Val20]]-Tab2MarketValue[[#This Row],[M_Val19]]</f>
        <v>0</v>
      </c>
    </row>
    <row r="569" spans="1:51" hidden="1" x14ac:dyDescent="0.3">
      <c r="A569" s="88" t="str">
        <f t="shared" ca="1" si="44"/>
        <v>SAFAMZN</v>
      </c>
      <c r="F569" s="257">
        <v>33.020499999999998</v>
      </c>
      <c r="G569" s="257">
        <v>32.832799999999999</v>
      </c>
      <c r="H569" s="257">
        <v>32.727499999999999</v>
      </c>
      <c r="I569" s="257">
        <v>32.727600000000002</v>
      </c>
      <c r="J569" s="257">
        <v>32.509399999999999</v>
      </c>
      <c r="K569" s="257">
        <v>33.034300000000002</v>
      </c>
      <c r="L569" s="257">
        <v>33.258600000000001</v>
      </c>
      <c r="M569" s="257">
        <v>33.258600000000001</v>
      </c>
      <c r="N569" s="257">
        <v>33.737699999999997</v>
      </c>
      <c r="O569" s="257">
        <v>34.213799999999999</v>
      </c>
      <c r="P569" s="257">
        <v>34.634999999999998</v>
      </c>
      <c r="Q569" s="257">
        <v>34.982900000000001</v>
      </c>
      <c r="R569" s="257">
        <v>34.007800000000003</v>
      </c>
      <c r="S569" s="257">
        <v>35.149000000000001</v>
      </c>
      <c r="T569" s="257">
        <v>35.344000000000001</v>
      </c>
      <c r="U569" s="257">
        <v>34.440800000000003</v>
      </c>
      <c r="V569" s="257">
        <v>34.5473</v>
      </c>
      <c r="W569" s="257">
        <v>33.152999999999999</v>
      </c>
      <c r="X569" s="257">
        <v>31.438300000000002</v>
      </c>
      <c r="Y569" s="257">
        <v>31.244800000000001</v>
      </c>
      <c r="Z569" s="1101">
        <f ca="1">[1]ExtEntry!$K67</f>
        <v>31.244800000000001</v>
      </c>
      <c r="AB569" s="262">
        <v>432780</v>
      </c>
      <c r="AC569" s="262">
        <v>430320</v>
      </c>
      <c r="AD569" s="262">
        <v>428940</v>
      </c>
      <c r="AE569" s="262">
        <v>426080</v>
      </c>
      <c r="AF569" s="262">
        <v>432960</v>
      </c>
      <c r="AG569" s="262">
        <v>333045</v>
      </c>
      <c r="AH569" s="262">
        <v>326925</v>
      </c>
      <c r="AI569" s="262">
        <v>326925</v>
      </c>
      <c r="AJ569" s="262">
        <v>331635</v>
      </c>
      <c r="AK569" s="262">
        <v>336315</v>
      </c>
      <c r="AL569" s="262">
        <v>340455</v>
      </c>
      <c r="AM569" s="262">
        <v>343875</v>
      </c>
      <c r="AN569" s="262">
        <v>334290</v>
      </c>
      <c r="AO569" s="262">
        <v>373230</v>
      </c>
      <c r="AP569" s="262">
        <v>375300</v>
      </c>
      <c r="AQ569" s="262">
        <v>365709.6</v>
      </c>
      <c r="AR569" s="262">
        <v>366840</v>
      </c>
      <c r="AS569" s="262">
        <v>352035</v>
      </c>
      <c r="AT569" s="262">
        <v>333825</v>
      </c>
      <c r="AU569" s="262">
        <v>331773</v>
      </c>
      <c r="AV569" s="262">
        <f ca="1">Calc!F67</f>
        <v>331773</v>
      </c>
      <c r="AX569" s="88" t="str">
        <f t="shared" ref="AX569:AX598" ca="1" si="46">A69</f>
        <v>SAFAMZN</v>
      </c>
      <c r="AY569" s="81">
        <f ca="1">Tab2MarketValue[[#This Row],[M_Val20]]-Tab2MarketValue[[#This Row],[M_Val19]]</f>
        <v>0</v>
      </c>
    </row>
    <row r="570" spans="1:51" hidden="1" x14ac:dyDescent="0.3">
      <c r="A570" s="88" t="str">
        <f t="shared" ref="A570:A597" ca="1" si="47">A70</f>
        <v>SAFASML</v>
      </c>
      <c r="F570" s="257">
        <v>32.506399999999999</v>
      </c>
      <c r="G570" s="257">
        <v>33.520099999999999</v>
      </c>
      <c r="H570" s="257">
        <v>33.689</v>
      </c>
      <c r="I570" s="257">
        <v>33.689</v>
      </c>
      <c r="J570" s="257">
        <v>34.5184</v>
      </c>
      <c r="K570" s="257">
        <v>34.165100000000002</v>
      </c>
      <c r="L570" s="257">
        <v>34.165100000000002</v>
      </c>
      <c r="M570" s="257">
        <v>34.165100000000002</v>
      </c>
      <c r="N570" s="257">
        <v>33.408700000000003</v>
      </c>
      <c r="O570" s="257">
        <v>34.341799999999999</v>
      </c>
      <c r="P570" s="257">
        <v>34.867800000000003</v>
      </c>
      <c r="Q570" s="257">
        <v>34.867800000000003</v>
      </c>
      <c r="R570" s="257">
        <v>35.996600000000001</v>
      </c>
      <c r="S570" s="257">
        <v>35.247900000000001</v>
      </c>
      <c r="T570" s="257">
        <v>34.810200000000002</v>
      </c>
      <c r="U570" s="257">
        <v>34.376300000000001</v>
      </c>
      <c r="V570" s="257">
        <v>33.435600000000001</v>
      </c>
      <c r="W570" s="257">
        <v>33.5623</v>
      </c>
      <c r="X570" s="257">
        <v>32.997900000000001</v>
      </c>
      <c r="Y570" s="257">
        <v>34.042299999999997</v>
      </c>
      <c r="Z570" s="1101">
        <f ca="1">[1]ExtEntry!$K68</f>
        <v>34.042299999999997</v>
      </c>
      <c r="AB570" s="265">
        <v>211650</v>
      </c>
      <c r="AC570" s="265">
        <v>218250</v>
      </c>
      <c r="AD570" s="265">
        <v>219350</v>
      </c>
      <c r="AE570" s="265">
        <v>218925</v>
      </c>
      <c r="AF570" s="265">
        <v>224750</v>
      </c>
      <c r="AG570" s="265">
        <v>222450</v>
      </c>
      <c r="AH570" s="265">
        <v>217525</v>
      </c>
      <c r="AI570" s="265">
        <v>217525</v>
      </c>
      <c r="AJ570" s="265">
        <v>221925</v>
      </c>
      <c r="AK570" s="265">
        <v>223600</v>
      </c>
      <c r="AL570" s="265">
        <v>227025</v>
      </c>
      <c r="AM570" s="265">
        <v>226850</v>
      </c>
      <c r="AN570" s="265">
        <v>234375</v>
      </c>
      <c r="AO570" s="265">
        <v>229500</v>
      </c>
      <c r="AP570" s="265">
        <v>226650</v>
      </c>
      <c r="AQ570" s="265">
        <v>223825</v>
      </c>
      <c r="AR570" s="265">
        <v>217700</v>
      </c>
      <c r="AS570" s="265">
        <v>218525</v>
      </c>
      <c r="AT570" s="265">
        <v>214850</v>
      </c>
      <c r="AU570" s="265">
        <v>221650</v>
      </c>
      <c r="AV570" s="262">
        <f ca="1">Calc!F68</f>
        <v>221650</v>
      </c>
      <c r="AX570" s="88" t="str">
        <f t="shared" ca="1" si="46"/>
        <v>SAFASML</v>
      </c>
      <c r="AY570" s="81">
        <f ca="1">Tab2MarketValue[[#This Row],[M_Val20]]-Tab2MarketValue[[#This Row],[M_Val19]]</f>
        <v>0</v>
      </c>
    </row>
    <row r="571" spans="1:51" hidden="1" x14ac:dyDescent="0.3">
      <c r="A571" s="88" t="str">
        <f t="shared" ca="1" si="47"/>
        <v>SAFDDD</v>
      </c>
      <c r="F571" s="257">
        <v>0</v>
      </c>
      <c r="G571" s="257">
        <v>0</v>
      </c>
      <c r="H571" s="257">
        <v>99</v>
      </c>
      <c r="I571" s="257">
        <v>99</v>
      </c>
      <c r="J571" s="257">
        <v>99</v>
      </c>
      <c r="K571" s="257">
        <v>99</v>
      </c>
      <c r="L571" s="257">
        <v>99</v>
      </c>
      <c r="M571" s="257">
        <v>99</v>
      </c>
      <c r="N571" s="257">
        <v>99</v>
      </c>
      <c r="O571" s="257">
        <v>99</v>
      </c>
      <c r="P571" s="257">
        <v>99</v>
      </c>
      <c r="Q571" s="257">
        <v>99</v>
      </c>
      <c r="R571" s="257">
        <v>99</v>
      </c>
      <c r="S571" s="257">
        <v>0</v>
      </c>
      <c r="T571" s="257">
        <v>99</v>
      </c>
      <c r="U571" s="257">
        <v>0</v>
      </c>
      <c r="V571" s="257">
        <v>0</v>
      </c>
      <c r="W571" s="257">
        <v>99</v>
      </c>
      <c r="X571" s="257">
        <v>99</v>
      </c>
      <c r="Y571" s="257">
        <v>0</v>
      </c>
      <c r="Z571" s="1101">
        <f ca="1">[1]ExtEntry!$K69</f>
        <v>0</v>
      </c>
      <c r="AB571" s="262">
        <v>338800</v>
      </c>
      <c r="AC571" s="262">
        <v>357500</v>
      </c>
      <c r="AD571" s="262">
        <v>358600</v>
      </c>
      <c r="AE571" s="262">
        <v>342100</v>
      </c>
      <c r="AF571" s="262">
        <v>416350</v>
      </c>
      <c r="AG571" s="262">
        <v>370700</v>
      </c>
      <c r="AH571" s="262">
        <v>330550</v>
      </c>
      <c r="AI571" s="262">
        <v>330550</v>
      </c>
      <c r="AJ571" s="262">
        <v>338250</v>
      </c>
      <c r="AK571" s="262">
        <v>343750</v>
      </c>
      <c r="AL571" s="262">
        <v>338250</v>
      </c>
      <c r="AM571" s="262">
        <v>351450</v>
      </c>
      <c r="AN571" s="262">
        <v>310200</v>
      </c>
      <c r="AO571" s="262">
        <v>285428</v>
      </c>
      <c r="AP571" s="262">
        <v>286000</v>
      </c>
      <c r="AQ571" s="262">
        <v>249150</v>
      </c>
      <c r="AR571" s="262">
        <v>244750</v>
      </c>
      <c r="AS571" s="262">
        <v>237600.00000000003</v>
      </c>
      <c r="AT571" s="262">
        <v>228800</v>
      </c>
      <c r="AU571" s="262">
        <v>224950</v>
      </c>
      <c r="AV571" s="262">
        <f ca="1">Calc!F69</f>
        <v>224950</v>
      </c>
      <c r="AX571" s="88" t="str">
        <f t="shared" ca="1" si="46"/>
        <v>SAFDDD</v>
      </c>
      <c r="AY571" s="81">
        <f ca="1">Tab2MarketValue[[#This Row],[M_Val20]]-Tab2MarketValue[[#This Row],[M_Val19]]</f>
        <v>0</v>
      </c>
    </row>
    <row r="572" spans="1:51" hidden="1" x14ac:dyDescent="0.3">
      <c r="A572" s="88" t="str">
        <f t="shared" ca="1" si="47"/>
        <v>SAFDIS</v>
      </c>
      <c r="F572" s="257">
        <v>17.4284</v>
      </c>
      <c r="G572" s="257">
        <v>17.559999999999999</v>
      </c>
      <c r="H572" s="257">
        <v>17.229199999999999</v>
      </c>
      <c r="I572" s="257">
        <v>17.227</v>
      </c>
      <c r="J572" s="257">
        <v>17.556100000000001</v>
      </c>
      <c r="K572" s="257">
        <v>17.553100000000001</v>
      </c>
      <c r="L572" s="257">
        <v>17.919899999999998</v>
      </c>
      <c r="M572" s="257">
        <v>17.919899999999998</v>
      </c>
      <c r="N572" s="257">
        <v>17.7287</v>
      </c>
      <c r="O572" s="257">
        <v>17.5075</v>
      </c>
      <c r="P572" s="257">
        <v>17.607900000000001</v>
      </c>
      <c r="Q572" s="257">
        <v>17.506699999999999</v>
      </c>
      <c r="R572" s="257">
        <v>17.534199999999998</v>
      </c>
      <c r="S572" s="257">
        <v>17.4558</v>
      </c>
      <c r="T572" s="257">
        <v>17.4558</v>
      </c>
      <c r="U572" s="257">
        <v>17.270800000000001</v>
      </c>
      <c r="V572" s="257">
        <v>17.360199999999999</v>
      </c>
      <c r="W572" s="257">
        <v>15.4414</v>
      </c>
      <c r="X572" s="257">
        <v>15.5115</v>
      </c>
      <c r="Y572" s="257">
        <v>15.368399999999999</v>
      </c>
      <c r="Z572" s="1101">
        <f ca="1">[1]ExtEntry!$K70</f>
        <v>15.368399999999999</v>
      </c>
      <c r="AB572" s="265">
        <v>133398</v>
      </c>
      <c r="AC572" s="265">
        <v>134406</v>
      </c>
      <c r="AD572" s="265">
        <v>131874</v>
      </c>
      <c r="AE572" s="265">
        <v>132804</v>
      </c>
      <c r="AF572" s="265">
        <v>134376</v>
      </c>
      <c r="AG572" s="265">
        <v>137172</v>
      </c>
      <c r="AH572" s="265">
        <v>135720</v>
      </c>
      <c r="AI572" s="265">
        <v>135720</v>
      </c>
      <c r="AJ572" s="265">
        <v>135624</v>
      </c>
      <c r="AK572" s="265">
        <v>134004</v>
      </c>
      <c r="AL572" s="265">
        <v>134772</v>
      </c>
      <c r="AM572" s="265">
        <v>133998</v>
      </c>
      <c r="AN572" s="265">
        <v>134208</v>
      </c>
      <c r="AO572" s="265">
        <v>133608</v>
      </c>
      <c r="AP572" s="265">
        <v>133608</v>
      </c>
      <c r="AQ572" s="265">
        <v>132192</v>
      </c>
      <c r="AR572" s="265">
        <v>132876</v>
      </c>
      <c r="AS572" s="265">
        <v>126960</v>
      </c>
      <c r="AT572" s="265">
        <v>127536</v>
      </c>
      <c r="AU572" s="265">
        <v>126360</v>
      </c>
      <c r="AV572" s="262">
        <f ca="1">Calc!F70</f>
        <v>126360</v>
      </c>
      <c r="AX572" s="88" t="str">
        <f t="shared" ca="1" si="46"/>
        <v>SAFDIS</v>
      </c>
      <c r="AY572" s="81">
        <f ca="1">Tab2MarketValue[[#This Row],[M_Val20]]-Tab2MarketValue[[#This Row],[M_Val19]]</f>
        <v>0</v>
      </c>
    </row>
    <row r="573" spans="1:51" hidden="1" x14ac:dyDescent="0.3">
      <c r="A573" s="88" t="str">
        <f t="shared" ca="1" si="47"/>
        <v>SAFGM</v>
      </c>
      <c r="F573" s="257">
        <v>8.2377000000000002</v>
      </c>
      <c r="G573" s="257">
        <v>8.3486999999999991</v>
      </c>
      <c r="H573" s="257">
        <v>8.2651000000000003</v>
      </c>
      <c r="I573" s="257">
        <v>8.2651000000000003</v>
      </c>
      <c r="J573" s="257">
        <v>8.3630999999999993</v>
      </c>
      <c r="K573" s="257">
        <v>8.3602000000000007</v>
      </c>
      <c r="L573" s="257">
        <v>12.813599999999999</v>
      </c>
      <c r="M573" s="257">
        <v>12.813599999999999</v>
      </c>
      <c r="N573" s="257">
        <v>12.946300000000001</v>
      </c>
      <c r="O573" s="257">
        <v>13.4001</v>
      </c>
      <c r="P573" s="257">
        <v>13.339600000000001</v>
      </c>
      <c r="Q573" s="257">
        <v>13.438599999999999</v>
      </c>
      <c r="R573" s="257">
        <v>13.2059</v>
      </c>
      <c r="S573" s="257">
        <v>12.8789</v>
      </c>
      <c r="T573" s="257">
        <v>13.228999999999999</v>
      </c>
      <c r="U573" s="257">
        <v>13.2559</v>
      </c>
      <c r="V573" s="257">
        <v>13.5906</v>
      </c>
      <c r="W573" s="257">
        <v>13.563599999999999</v>
      </c>
      <c r="X573" s="257">
        <v>13.0655</v>
      </c>
      <c r="Y573" s="257">
        <v>13.2934</v>
      </c>
      <c r="Z573" s="1101">
        <f ca="1">[1]ExtEntry!$K71</f>
        <v>13.2934</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c r="AY573" s="81">
        <f ca="1">Tab2MarketValue[[#This Row],[M_Val20]]-Tab2MarketValue[[#This Row],[M_Val19]]</f>
        <v>0</v>
      </c>
    </row>
    <row r="574" spans="1:51" hidden="1" x14ac:dyDescent="0.3">
      <c r="A574" s="88" t="str">
        <f t="shared" ca="1" si="47"/>
        <v>SAFIAG</v>
      </c>
      <c r="F574" s="257">
        <v>7.3158000000000003</v>
      </c>
      <c r="G574" s="257">
        <v>7.3643999999999998</v>
      </c>
      <c r="H574" s="257">
        <v>7.3266</v>
      </c>
      <c r="I574" s="257">
        <v>7.3193999999999999</v>
      </c>
      <c r="J574" s="257">
        <v>7.1398000000000001</v>
      </c>
      <c r="K574" s="257">
        <v>7.0852000000000004</v>
      </c>
      <c r="L574" s="257">
        <v>7.0941999999999998</v>
      </c>
      <c r="M574" s="257">
        <v>7.0941999999999998</v>
      </c>
      <c r="N574" s="257">
        <v>7.2526999999999999</v>
      </c>
      <c r="O574" s="257">
        <v>7.3752000000000004</v>
      </c>
      <c r="P574" s="257">
        <v>7.3788999999999998</v>
      </c>
      <c r="Q574" s="257">
        <v>7.3734000000000002</v>
      </c>
      <c r="R574" s="257">
        <v>7.4562999999999997</v>
      </c>
      <c r="S574" s="257">
        <v>7.6130000000000004</v>
      </c>
      <c r="T574" s="257">
        <v>7.6527000000000003</v>
      </c>
      <c r="U574" s="257">
        <v>7.4599000000000002</v>
      </c>
      <c r="V574" s="257">
        <v>6.6745000000000001</v>
      </c>
      <c r="W574" s="257">
        <v>7.1302000000000003</v>
      </c>
      <c r="X574" s="257">
        <v>6.6725000000000003</v>
      </c>
      <c r="Y574" s="257">
        <v>6.8258000000000001</v>
      </c>
      <c r="Z574" s="1101">
        <f ca="1">[1]ExtEntry!$K72</f>
        <v>6.8258000000000001</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c r="AY574" s="81">
        <f ca="1">Tab2MarketValue[[#This Row],[M_Val20]]-Tab2MarketValue[[#This Row],[M_Val19]]</f>
        <v>0</v>
      </c>
    </row>
    <row r="575" spans="1:51"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01">
        <f ca="1">[1]ExtEntry!$K73</f>
        <v>0</v>
      </c>
      <c r="AB575" s="262">
        <v>131250</v>
      </c>
      <c r="AC575" s="262">
        <v>138775</v>
      </c>
      <c r="AD575" s="262">
        <v>135700</v>
      </c>
      <c r="AE575" s="262">
        <v>130050.00000000001</v>
      </c>
      <c r="AF575" s="262">
        <v>136200</v>
      </c>
      <c r="AG575" s="262">
        <v>137450</v>
      </c>
      <c r="AH575" s="262">
        <v>134250</v>
      </c>
      <c r="AI575" s="262">
        <v>134250</v>
      </c>
      <c r="AJ575" s="262">
        <v>131250</v>
      </c>
      <c r="AK575" s="262">
        <v>133700</v>
      </c>
      <c r="AL575" s="262">
        <v>133300</v>
      </c>
      <c r="AM575" s="262">
        <v>126750</v>
      </c>
      <c r="AN575" s="262">
        <v>140700</v>
      </c>
      <c r="AO575" s="262">
        <v>118875</v>
      </c>
      <c r="AP575" s="262">
        <v>117800</v>
      </c>
      <c r="AQ575" s="262">
        <v>120525</v>
      </c>
      <c r="AR575" s="262">
        <v>122625</v>
      </c>
      <c r="AS575" s="262">
        <v>123850</v>
      </c>
      <c r="AT575" s="262">
        <v>124600.00000000001</v>
      </c>
      <c r="AU575" s="262">
        <v>121400</v>
      </c>
      <c r="AV575" s="262">
        <f ca="1">Calc!F73</f>
        <v>121400</v>
      </c>
      <c r="AX575" s="88" t="str">
        <f t="shared" ca="1" si="46"/>
        <v>SAFMRNA</v>
      </c>
      <c r="AY575" s="81">
        <f ca="1">Tab2MarketValue[[#This Row],[M_Val20]]-Tab2MarketValue[[#This Row],[M_Val19]]</f>
        <v>0</v>
      </c>
    </row>
    <row r="576" spans="1:51"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01">
        <f ca="1">[1]ExtEntry!$K74</f>
        <v>0</v>
      </c>
      <c r="AB576" s="265">
        <v>299640</v>
      </c>
      <c r="AC576" s="265">
        <v>285780</v>
      </c>
      <c r="AD576" s="265">
        <v>229200</v>
      </c>
      <c r="AE576" s="265">
        <v>218400</v>
      </c>
      <c r="AF576" s="265">
        <v>226800</v>
      </c>
      <c r="AG576" s="265">
        <v>212400</v>
      </c>
      <c r="AH576" s="265">
        <v>214800</v>
      </c>
      <c r="AI576" s="265">
        <v>214800</v>
      </c>
      <c r="AJ576" s="265">
        <v>214800</v>
      </c>
      <c r="AK576" s="265">
        <v>231600</v>
      </c>
      <c r="AL576" s="265">
        <v>218400</v>
      </c>
      <c r="AM576" s="265">
        <v>206400</v>
      </c>
      <c r="AN576" s="265">
        <v>193200</v>
      </c>
      <c r="AO576" s="265">
        <v>179532</v>
      </c>
      <c r="AP576" s="265">
        <v>196800</v>
      </c>
      <c r="AQ576" s="265">
        <v>180600</v>
      </c>
      <c r="AR576" s="265">
        <v>190788</v>
      </c>
      <c r="AS576" s="265">
        <v>169200</v>
      </c>
      <c r="AT576" s="265">
        <v>169200</v>
      </c>
      <c r="AU576" s="265">
        <v>163800</v>
      </c>
      <c r="AV576" s="262">
        <f ca="1">Calc!F74</f>
        <v>163800</v>
      </c>
      <c r="AX576" s="88" t="str">
        <f t="shared" ca="1" si="46"/>
        <v>BLNK</v>
      </c>
      <c r="AY576" s="81">
        <f ca="1">Tab2MarketValue[[#This Row],[M_Val20]]-Tab2MarketValue[[#This Row],[M_Val19]]</f>
        <v>0</v>
      </c>
    </row>
    <row r="577" spans="1:70" hidden="1" x14ac:dyDescent="0.3">
      <c r="A577" s="88" t="str">
        <f t="shared" ca="1" si="47"/>
        <v>ENI</v>
      </c>
      <c r="F577" s="257">
        <v>18.3658</v>
      </c>
      <c r="G577" s="257">
        <v>18.3933</v>
      </c>
      <c r="H577" s="257">
        <v>18.4483</v>
      </c>
      <c r="I577" s="257">
        <v>18.4483</v>
      </c>
      <c r="J577" s="257">
        <v>18.585699999999999</v>
      </c>
      <c r="K577" s="257">
        <v>18.585699999999999</v>
      </c>
      <c r="L577" s="257">
        <v>18.6157</v>
      </c>
      <c r="M577" s="257">
        <v>18.6157</v>
      </c>
      <c r="N577" s="257">
        <v>18.898099999999999</v>
      </c>
      <c r="O577" s="257">
        <v>19.472799999999999</v>
      </c>
      <c r="P577" s="257">
        <v>17.605699999999999</v>
      </c>
      <c r="Q577" s="257">
        <v>17.605699999999999</v>
      </c>
      <c r="R577" s="257">
        <v>17.581399999999999</v>
      </c>
      <c r="S577" s="257">
        <v>17.570399999999999</v>
      </c>
      <c r="T577" s="257">
        <v>17.634499999999999</v>
      </c>
      <c r="U577" s="257">
        <v>17.612400000000001</v>
      </c>
      <c r="V577" s="257">
        <v>17.5947</v>
      </c>
      <c r="W577" s="257">
        <v>18.175599999999999</v>
      </c>
      <c r="X577" s="257">
        <v>18.067399999999999</v>
      </c>
      <c r="Y577" s="257">
        <v>17.910499999999999</v>
      </c>
      <c r="Z577" s="1101">
        <f ca="1">[1]ExtEntry!$K75</f>
        <v>17.910499999999999</v>
      </c>
      <c r="AB577" s="262">
        <v>323400</v>
      </c>
      <c r="AC577" s="262">
        <v>323884</v>
      </c>
      <c r="AD577" s="262">
        <v>324852</v>
      </c>
      <c r="AE577" s="262">
        <v>326568</v>
      </c>
      <c r="AF577" s="262">
        <v>327272</v>
      </c>
      <c r="AG577" s="262">
        <v>327800</v>
      </c>
      <c r="AH577" s="262">
        <v>332772</v>
      </c>
      <c r="AI577" s="262">
        <v>332772</v>
      </c>
      <c r="AJ577" s="262">
        <v>342892</v>
      </c>
      <c r="AK577" s="262">
        <v>348392</v>
      </c>
      <c r="AL577" s="262">
        <v>350724</v>
      </c>
      <c r="AM577" s="262">
        <v>349492</v>
      </c>
      <c r="AN577" s="262">
        <v>350240</v>
      </c>
      <c r="AO577" s="262">
        <v>270470</v>
      </c>
      <c r="AP577" s="262">
        <v>271456</v>
      </c>
      <c r="AQ577" s="262">
        <v>271116</v>
      </c>
      <c r="AR577" s="262">
        <v>270844</v>
      </c>
      <c r="AS577" s="262">
        <v>280058</v>
      </c>
      <c r="AT577" s="262">
        <v>278120</v>
      </c>
      <c r="AU577" s="262">
        <v>275706</v>
      </c>
      <c r="AV577" s="262">
        <f ca="1">Calc!F75</f>
        <v>275706</v>
      </c>
      <c r="AX577" s="88" t="str">
        <f t="shared" ca="1" si="46"/>
        <v>ENI</v>
      </c>
      <c r="AY577" s="81">
        <f ca="1">Tab2MarketValue[[#This Row],[M_Val20]]-Tab2MarketValue[[#This Row],[M_Val19]]</f>
        <v>0</v>
      </c>
    </row>
    <row r="578" spans="1:70" hidden="1" x14ac:dyDescent="0.3">
      <c r="A578" s="88" t="str">
        <f t="shared" ca="1" si="47"/>
        <v>EZJ</v>
      </c>
      <c r="F578" s="257">
        <v>9.0033999999999992</v>
      </c>
      <c r="G578" s="257">
        <v>8.7195</v>
      </c>
      <c r="H578" s="257">
        <v>8.8678000000000008</v>
      </c>
      <c r="I578" s="257">
        <v>8.8568999999999996</v>
      </c>
      <c r="J578" s="257">
        <v>8.8225999999999996</v>
      </c>
      <c r="K578" s="257">
        <v>8.7032000000000007</v>
      </c>
      <c r="L578" s="257">
        <v>8.6868999999999996</v>
      </c>
      <c r="M578" s="257">
        <v>8.6868999999999996</v>
      </c>
      <c r="N578" s="257">
        <v>8.9220000000000006</v>
      </c>
      <c r="O578" s="257">
        <v>8.7954000000000008</v>
      </c>
      <c r="P578" s="257">
        <v>8.8117000000000001</v>
      </c>
      <c r="Q578" s="257">
        <v>8.7899999999999991</v>
      </c>
      <c r="R578" s="257">
        <v>8.6851000000000003</v>
      </c>
      <c r="S578" s="257">
        <v>8.6942000000000004</v>
      </c>
      <c r="T578" s="257">
        <v>8.7754999999999992</v>
      </c>
      <c r="U578" s="257">
        <v>8.6453000000000007</v>
      </c>
      <c r="V578" s="257">
        <v>8.5350000000000001</v>
      </c>
      <c r="W578" s="257">
        <v>8.6272000000000002</v>
      </c>
      <c r="X578" s="257">
        <v>8.2075999999999993</v>
      </c>
      <c r="Y578" s="257">
        <v>8.3849</v>
      </c>
      <c r="Z578" s="1101">
        <f ca="1">[1]ExtEntry!$K76</f>
        <v>8.3849</v>
      </c>
      <c r="AB578" s="265">
        <v>200480</v>
      </c>
      <c r="AC578" s="265">
        <v>192280</v>
      </c>
      <c r="AD578" s="265">
        <v>195880</v>
      </c>
      <c r="AE578" s="265">
        <v>195160</v>
      </c>
      <c r="AF578" s="265">
        <v>194400</v>
      </c>
      <c r="AG578" s="265">
        <v>192120</v>
      </c>
      <c r="AH578" s="265">
        <v>147990</v>
      </c>
      <c r="AI578" s="265">
        <v>147990</v>
      </c>
      <c r="AJ578" s="265">
        <v>143850</v>
      </c>
      <c r="AK578" s="265">
        <v>145830</v>
      </c>
      <c r="AL578" s="265">
        <v>145800</v>
      </c>
      <c r="AM578" s="265">
        <v>144630</v>
      </c>
      <c r="AN578" s="265">
        <v>144030</v>
      </c>
      <c r="AO578" s="265">
        <v>144090</v>
      </c>
      <c r="AP578" s="265">
        <v>145230</v>
      </c>
      <c r="AQ578" s="265">
        <v>143550</v>
      </c>
      <c r="AR578" s="265">
        <v>141420</v>
      </c>
      <c r="AS578" s="265">
        <v>140760</v>
      </c>
      <c r="AT578" s="265">
        <v>136140</v>
      </c>
      <c r="AU578" s="265">
        <v>138630</v>
      </c>
      <c r="AV578" s="262">
        <f ca="1">Calc!F76</f>
        <v>138630</v>
      </c>
      <c r="AX578" s="88" t="str">
        <f t="shared" ca="1" si="46"/>
        <v>EZJ</v>
      </c>
      <c r="AY578" s="81">
        <f ca="1">Tab2MarketValue[[#This Row],[M_Val20]]-Tab2MarketValue[[#This Row],[M_Val19]]</f>
        <v>0</v>
      </c>
    </row>
    <row r="579" spans="1:70" hidden="1" x14ac:dyDescent="0.3">
      <c r="A579" s="88" t="str">
        <f t="shared" ca="1" si="47"/>
        <v>F</v>
      </c>
      <c r="F579" s="257">
        <v>14.9169</v>
      </c>
      <c r="G579" s="257">
        <v>15.006399999999999</v>
      </c>
      <c r="H579" s="257">
        <v>15.0192</v>
      </c>
      <c r="I579" s="257">
        <v>15.0122</v>
      </c>
      <c r="J579" s="257">
        <v>15.2424</v>
      </c>
      <c r="K579" s="257">
        <v>16.074200000000001</v>
      </c>
      <c r="L579" s="257">
        <v>15.927099999999999</v>
      </c>
      <c r="M579" s="257">
        <v>15.927099999999999</v>
      </c>
      <c r="N579" s="257">
        <v>15.7417</v>
      </c>
      <c r="O579" s="257">
        <v>17.685400000000001</v>
      </c>
      <c r="P579" s="257">
        <v>11.3611</v>
      </c>
      <c r="Q579" s="257">
        <v>11.279500000000001</v>
      </c>
      <c r="R579" s="257">
        <v>11.2194</v>
      </c>
      <c r="S579" s="257">
        <v>11.013299999999999</v>
      </c>
      <c r="T579" s="257">
        <v>11.279500000000001</v>
      </c>
      <c r="U579" s="257">
        <v>11.2972</v>
      </c>
      <c r="V579" s="257">
        <v>11.339600000000001</v>
      </c>
      <c r="W579" s="257">
        <v>11.331</v>
      </c>
      <c r="X579" s="257">
        <v>11.1805</v>
      </c>
      <c r="Y579" s="257">
        <v>11.1593</v>
      </c>
      <c r="Z579" s="1101">
        <f ca="1">[1]ExtEntry!$K77</f>
        <v>11.1593</v>
      </c>
      <c r="AB579" s="262">
        <v>34995</v>
      </c>
      <c r="AC579" s="262">
        <v>35205</v>
      </c>
      <c r="AD579" s="262">
        <v>35235</v>
      </c>
      <c r="AE579" s="262">
        <v>35760</v>
      </c>
      <c r="AF579" s="262">
        <v>0</v>
      </c>
      <c r="AG579" s="262">
        <v>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c r="AY579" s="81">
        <f ca="1">Tab2MarketValue[[#This Row],[M_Val20]]-Tab2MarketValue[[#This Row],[M_Val19]]</f>
        <v>0</v>
      </c>
    </row>
    <row r="580" spans="1:70" hidden="1" x14ac:dyDescent="0.3">
      <c r="A580" s="88" t="str">
        <f t="shared" ca="1" si="47"/>
        <v>GLE</v>
      </c>
      <c r="F580" s="257">
        <v>9.2149999999999999</v>
      </c>
      <c r="G580" s="257">
        <v>9.3054000000000006</v>
      </c>
      <c r="H580" s="257">
        <v>9.4662000000000006</v>
      </c>
      <c r="I580" s="257">
        <v>9.4662000000000006</v>
      </c>
      <c r="J580" s="257">
        <v>8.9839000000000002</v>
      </c>
      <c r="K580" s="257">
        <v>8.8766999999999996</v>
      </c>
      <c r="L580" s="257">
        <v>8.8968000000000007</v>
      </c>
      <c r="M580" s="257">
        <v>8.8968000000000007</v>
      </c>
      <c r="N580" s="257">
        <v>8.8566000000000003</v>
      </c>
      <c r="O580" s="257">
        <v>8.9738000000000007</v>
      </c>
      <c r="P580" s="257">
        <v>8.9771999999999998</v>
      </c>
      <c r="Q580" s="257">
        <v>8.9771999999999998</v>
      </c>
      <c r="R580" s="257">
        <v>8.8766999999999996</v>
      </c>
      <c r="S580" s="257">
        <v>8.7401999999999997</v>
      </c>
      <c r="T580" s="257">
        <v>8.7401999999999997</v>
      </c>
      <c r="U580" s="257">
        <v>8.7498000000000005</v>
      </c>
      <c r="V580" s="257">
        <v>8.7498000000000005</v>
      </c>
      <c r="W580" s="257">
        <v>9.2847000000000008</v>
      </c>
      <c r="X580" s="257">
        <v>8.9963999999999995</v>
      </c>
      <c r="Y580" s="257">
        <v>9.0989000000000004</v>
      </c>
      <c r="Z580" s="1101">
        <f ca="1">[1]ExtEntry!$K78</f>
        <v>9.0989000000000004</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c r="AY580" s="81">
        <f ca="1">Tab2MarketValue[[#This Row],[M_Val20]]-Tab2MarketValue[[#This Row],[M_Val19]]</f>
        <v>0</v>
      </c>
    </row>
    <row r="581" spans="1:70" hidden="1" x14ac:dyDescent="0.3">
      <c r="A581" s="88" t="str">
        <f t="shared" ca="1" si="47"/>
        <v>GNRC</v>
      </c>
      <c r="F581" s="257">
        <v>30.5412</v>
      </c>
      <c r="G581" s="257">
        <v>32.097099999999998</v>
      </c>
      <c r="H581" s="257">
        <v>31.9908</v>
      </c>
      <c r="I581" s="257">
        <v>31.988299999999999</v>
      </c>
      <c r="J581" s="257">
        <v>31.6313</v>
      </c>
      <c r="K581" s="257">
        <v>31.968399999999999</v>
      </c>
      <c r="L581" s="257">
        <v>30.4025</v>
      </c>
      <c r="M581" s="257">
        <v>30.4025</v>
      </c>
      <c r="N581" s="257">
        <v>31.390499999999999</v>
      </c>
      <c r="O581" s="257">
        <v>31.883700000000001</v>
      </c>
      <c r="P581" s="257">
        <v>31.626300000000001</v>
      </c>
      <c r="Q581" s="257">
        <v>31.5732</v>
      </c>
      <c r="R581" s="257">
        <v>27.526499999999999</v>
      </c>
      <c r="S581" s="257">
        <v>26.083500000000001</v>
      </c>
      <c r="T581" s="257">
        <v>30.288799999999998</v>
      </c>
      <c r="U581" s="257">
        <v>29.213799999999999</v>
      </c>
      <c r="V581" s="257">
        <v>29.421199999999999</v>
      </c>
      <c r="W581" s="257">
        <v>28.753299999999999</v>
      </c>
      <c r="X581" s="257">
        <v>27.107600000000001</v>
      </c>
      <c r="Y581" s="257">
        <v>27.950299999999999</v>
      </c>
      <c r="Z581" s="1101">
        <f ca="1">[1]ExtEntry!$K79</f>
        <v>27.950299999999999</v>
      </c>
      <c r="AB581" s="262">
        <v>147140</v>
      </c>
      <c r="AC581" s="262">
        <v>154636</v>
      </c>
      <c r="AD581" s="262">
        <v>115593</v>
      </c>
      <c r="AE581" s="262">
        <v>114294</v>
      </c>
      <c r="AF581" s="262">
        <v>117462</v>
      </c>
      <c r="AG581" s="262">
        <v>115512</v>
      </c>
      <c r="AH581" s="262">
        <v>164781</v>
      </c>
      <c r="AI581" s="262">
        <v>164781</v>
      </c>
      <c r="AJ581" s="262">
        <v>170136</v>
      </c>
      <c r="AK581" s="262">
        <v>172809</v>
      </c>
      <c r="AL581" s="262">
        <v>171414</v>
      </c>
      <c r="AM581" s="262">
        <v>171126</v>
      </c>
      <c r="AN581" s="262">
        <v>149193</v>
      </c>
      <c r="AO581" s="262">
        <v>141372</v>
      </c>
      <c r="AP581" s="262">
        <v>143262</v>
      </c>
      <c r="AQ581" s="262">
        <v>138177</v>
      </c>
      <c r="AR581" s="262">
        <v>139158</v>
      </c>
      <c r="AS581" s="262">
        <v>135999</v>
      </c>
      <c r="AT581" s="262">
        <v>128214</v>
      </c>
      <c r="AU581" s="262">
        <v>132201</v>
      </c>
      <c r="AV581" s="262">
        <f ca="1">Calc!F79</f>
        <v>132201</v>
      </c>
      <c r="AX581" s="88" t="str">
        <f t="shared" ca="1" si="46"/>
        <v>GNRC</v>
      </c>
      <c r="AY581" s="81">
        <f ca="1">Tab2MarketValue[[#This Row],[M_Val20]]-Tab2MarketValue[[#This Row],[M_Val19]]</f>
        <v>0</v>
      </c>
    </row>
    <row r="582" spans="1:70" hidden="1" x14ac:dyDescent="0.3">
      <c r="A582" s="88" t="str">
        <f t="shared" ca="1" si="47"/>
        <v>GS</v>
      </c>
      <c r="F582" s="257">
        <v>16.994</v>
      </c>
      <c r="G582" s="257">
        <v>15.523099999999999</v>
      </c>
      <c r="H582" s="257">
        <v>15.404500000000001</v>
      </c>
      <c r="I582" s="257">
        <v>15.399800000000001</v>
      </c>
      <c r="J582" s="257">
        <v>15.5014</v>
      </c>
      <c r="K582" s="257">
        <v>15.5061</v>
      </c>
      <c r="L582" s="257">
        <v>15.125400000000001</v>
      </c>
      <c r="M582" s="257">
        <v>15.125400000000001</v>
      </c>
      <c r="N582" s="257">
        <v>15.1258</v>
      </c>
      <c r="O582" s="257">
        <v>15.923500000000001</v>
      </c>
      <c r="P582" s="257">
        <v>16.045999999999999</v>
      </c>
      <c r="Q582" s="257">
        <v>16.0944</v>
      </c>
      <c r="R582" s="257">
        <v>16.043199999999999</v>
      </c>
      <c r="S582" s="257">
        <v>16.085000000000001</v>
      </c>
      <c r="T582" s="257">
        <v>16.1112</v>
      </c>
      <c r="U582" s="257">
        <v>15.9946</v>
      </c>
      <c r="V582" s="257">
        <v>15.9537</v>
      </c>
      <c r="W582" s="257">
        <v>16.0578</v>
      </c>
      <c r="X582" s="257">
        <v>15.7697</v>
      </c>
      <c r="Y582" s="257">
        <v>15.863</v>
      </c>
      <c r="Z582" s="1101">
        <f ca="1">[1]ExtEntry!$K80</f>
        <v>15.863</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c r="AY582" s="81">
        <f ca="1">Tab2MarketValue[[#This Row],[M_Val20]]-Tab2MarketValue[[#This Row],[M_Val19]]</f>
        <v>0</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01">
        <f ca="1">[1]ExtEntry!$K81</f>
        <v>0</v>
      </c>
      <c r="AB583" s="262">
        <v>32432.62</v>
      </c>
      <c r="AC583" s="262">
        <v>31113.59</v>
      </c>
      <c r="AD583" s="262">
        <v>29329.019999999997</v>
      </c>
      <c r="AE583" s="262">
        <v>30104.92</v>
      </c>
      <c r="AF583" s="262">
        <v>31036</v>
      </c>
      <c r="AG583" s="262">
        <v>28165.17</v>
      </c>
      <c r="AH583" s="262">
        <v>26690.959999999999</v>
      </c>
      <c r="AI583" s="262">
        <v>26690.959999999999</v>
      </c>
      <c r="AJ583" s="262">
        <v>26225.42</v>
      </c>
      <c r="AK583" s="262">
        <v>34449.960000000006</v>
      </c>
      <c r="AL583" s="262">
        <v>36001.759999999995</v>
      </c>
      <c r="AM583" s="262">
        <v>31967.08</v>
      </c>
      <c r="AN583" s="262">
        <v>32742.98</v>
      </c>
      <c r="AO583" s="262">
        <v>21337.25</v>
      </c>
      <c r="AP583" s="262">
        <v>19242.32</v>
      </c>
      <c r="AQ583" s="262">
        <v>18440.039399999998</v>
      </c>
      <c r="AR583" s="262">
        <v>19319.91</v>
      </c>
      <c r="AS583" s="262">
        <v>15673.18</v>
      </c>
      <c r="AT583" s="262">
        <v>13440.139799999999</v>
      </c>
      <c r="AU583" s="262">
        <v>13745.8444</v>
      </c>
      <c r="AV583" s="262">
        <f ca="1">Calc!F81</f>
        <v>13745.8444</v>
      </c>
      <c r="AX583" s="88" t="str">
        <f t="shared" ca="1" si="46"/>
        <v>LAZR</v>
      </c>
      <c r="AY583" s="81">
        <f ca="1">Tab2MarketValue[[#This Row],[M_Val20]]-Tab2MarketValue[[#This Row],[M_Val19]]</f>
        <v>0</v>
      </c>
    </row>
    <row r="584" spans="1:70" hidden="1" x14ac:dyDescent="0.3">
      <c r="A584" s="88" t="str">
        <f t="shared" ca="1" si="47"/>
        <v>LUV</v>
      </c>
      <c r="F584" s="257">
        <v>40.101999999999997</v>
      </c>
      <c r="G584" s="257">
        <v>40.540199999999999</v>
      </c>
      <c r="H584" s="257">
        <v>39.963999999999999</v>
      </c>
      <c r="I584" s="257">
        <v>40.240099999999998</v>
      </c>
      <c r="J584" s="257">
        <v>41.302500000000002</v>
      </c>
      <c r="K584" s="257">
        <v>41.332000000000001</v>
      </c>
      <c r="L584" s="257">
        <v>40.480200000000004</v>
      </c>
      <c r="M584" s="257">
        <v>40.480200000000004</v>
      </c>
      <c r="N584" s="257">
        <v>37.995199999999997</v>
      </c>
      <c r="O584" s="257">
        <v>48.109400000000001</v>
      </c>
      <c r="P584" s="257">
        <v>48.191600000000001</v>
      </c>
      <c r="Q584" s="257">
        <v>46.465400000000002</v>
      </c>
      <c r="R584" s="257">
        <v>44.9634</v>
      </c>
      <c r="S584" s="257">
        <v>44.290799999999997</v>
      </c>
      <c r="T584" s="257">
        <v>47.25</v>
      </c>
      <c r="U584" s="257">
        <v>47.003399999999999</v>
      </c>
      <c r="V584" s="257">
        <v>48.370899999999999</v>
      </c>
      <c r="W584" s="257">
        <v>49.073399999999999</v>
      </c>
      <c r="X584" s="257">
        <v>47.765700000000002</v>
      </c>
      <c r="Y584" s="257">
        <v>47.556399999999996</v>
      </c>
      <c r="Z584" s="1101">
        <f ca="1">[1]ExtEntry!$K82</f>
        <v>47.556399999999996</v>
      </c>
      <c r="AB584" s="265">
        <v>40086</v>
      </c>
      <c r="AC584" s="265">
        <v>40524.000000000007</v>
      </c>
      <c r="AD584" s="265">
        <v>39948</v>
      </c>
      <c r="AE584" s="265">
        <v>40224.000000000007</v>
      </c>
      <c r="AF584" s="265">
        <v>41286</v>
      </c>
      <c r="AG584" s="265">
        <v>41622</v>
      </c>
      <c r="AH584" s="265">
        <v>40464</v>
      </c>
      <c r="AI584" s="265">
        <v>40464</v>
      </c>
      <c r="AJ584" s="265">
        <v>37980</v>
      </c>
      <c r="AK584" s="265">
        <v>38628</v>
      </c>
      <c r="AL584" s="265">
        <v>38694</v>
      </c>
      <c r="AM584" s="265">
        <v>37308</v>
      </c>
      <c r="AN584" s="265">
        <v>36102</v>
      </c>
      <c r="AO584" s="265">
        <v>35562</v>
      </c>
      <c r="AP584" s="265">
        <v>37938</v>
      </c>
      <c r="AQ584" s="265">
        <v>37740</v>
      </c>
      <c r="AR584" s="265">
        <v>38838</v>
      </c>
      <c r="AS584" s="265">
        <v>39402</v>
      </c>
      <c r="AT584" s="265">
        <v>38352</v>
      </c>
      <c r="AU584" s="265">
        <v>38184</v>
      </c>
      <c r="AV584" s="262">
        <f ca="1">Calc!F82</f>
        <v>38184</v>
      </c>
      <c r="AX584" s="88" t="str">
        <f t="shared" ca="1" si="46"/>
        <v>LUV</v>
      </c>
      <c r="AY584" s="81">
        <f ca="1">Tab2MarketValue[[#This Row],[M_Val20]]-Tab2MarketValue[[#This Row],[M_Val19]]</f>
        <v>0</v>
      </c>
    </row>
    <row r="585" spans="1:70" hidden="1" x14ac:dyDescent="0.3">
      <c r="A585" s="88" t="str">
        <f t="shared" ca="1" si="47"/>
        <v>MA</v>
      </c>
      <c r="F585" s="257">
        <v>38.285200000000003</v>
      </c>
      <c r="G585" s="257">
        <v>38.014400000000002</v>
      </c>
      <c r="H585" s="257">
        <v>37.096899999999998</v>
      </c>
      <c r="I585" s="257">
        <v>37.083300000000001</v>
      </c>
      <c r="J585" s="257">
        <v>38.215699999999998</v>
      </c>
      <c r="K585" s="257">
        <v>38.194699999999997</v>
      </c>
      <c r="L585" s="257">
        <v>38.577100000000002</v>
      </c>
      <c r="M585" s="257">
        <v>38.577100000000002</v>
      </c>
      <c r="N585" s="257">
        <v>38.5319</v>
      </c>
      <c r="O585" s="257">
        <v>38.725499999999997</v>
      </c>
      <c r="P585" s="257">
        <v>38.585900000000002</v>
      </c>
      <c r="Q585" s="257">
        <v>38.183999999999997</v>
      </c>
      <c r="R585" s="257">
        <v>37.328899999999997</v>
      </c>
      <c r="S585" s="257">
        <v>35.354399999999998</v>
      </c>
      <c r="T585" s="257">
        <v>35.4069</v>
      </c>
      <c r="U585" s="257">
        <v>35.315399999999997</v>
      </c>
      <c r="V585" s="257">
        <v>35.249600000000001</v>
      </c>
      <c r="W585" s="257">
        <v>34.8934</v>
      </c>
      <c r="X585" s="257">
        <v>33.732999999999997</v>
      </c>
      <c r="Y585" s="257">
        <v>33.6372</v>
      </c>
      <c r="Z585" s="1101">
        <f ca="1">[1]ExtEntry!$K83</f>
        <v>33.6372</v>
      </c>
      <c r="AB585" s="262">
        <v>113540.00000000001</v>
      </c>
      <c r="AC585" s="262">
        <v>112736.99999999999</v>
      </c>
      <c r="AD585" s="262">
        <v>110016.00000000001</v>
      </c>
      <c r="AE585" s="262">
        <v>112194</v>
      </c>
      <c r="AF585" s="262">
        <v>113333.99999999999</v>
      </c>
      <c r="AG585" s="262">
        <v>114394</v>
      </c>
      <c r="AH585" s="262">
        <v>114254</v>
      </c>
      <c r="AI585" s="262">
        <v>114254</v>
      </c>
      <c r="AJ585" s="262">
        <v>114770</v>
      </c>
      <c r="AK585" s="262">
        <v>114846</v>
      </c>
      <c r="AL585" s="262">
        <v>114432</v>
      </c>
      <c r="AM585" s="262">
        <v>113240.00000000001</v>
      </c>
      <c r="AN585" s="262">
        <v>110704</v>
      </c>
      <c r="AO585" s="262">
        <v>110588.00000000001</v>
      </c>
      <c r="AP585" s="262">
        <v>110752</v>
      </c>
      <c r="AQ585" s="262">
        <v>110466.00000000001</v>
      </c>
      <c r="AR585" s="262">
        <v>110259.99999999999</v>
      </c>
      <c r="AS585" s="262">
        <v>109146</v>
      </c>
      <c r="AT585" s="262">
        <v>105420</v>
      </c>
      <c r="AU585" s="262">
        <v>105216.5</v>
      </c>
      <c r="AV585" s="262">
        <f ca="1">Calc!F83</f>
        <v>105216.5</v>
      </c>
      <c r="AX585" s="88" t="str">
        <f t="shared" ca="1" si="46"/>
        <v>MA</v>
      </c>
      <c r="AY585" s="81">
        <f ca="1">Tab2MarketValue[[#This Row],[M_Val20]]-Tab2MarketValue[[#This Row],[M_Val19]]</f>
        <v>0</v>
      </c>
    </row>
    <row r="586" spans="1:70" hidden="1" x14ac:dyDescent="0.3">
      <c r="A586" s="88" t="str">
        <f t="shared" ca="1" si="47"/>
        <v>NVAX</v>
      </c>
      <c r="F586" s="257">
        <v>3.8868</v>
      </c>
      <c r="G586" s="257">
        <v>3.9415</v>
      </c>
      <c r="H586" s="257">
        <v>3.7075999999999998</v>
      </c>
      <c r="I586" s="257">
        <v>3.7075999999999998</v>
      </c>
      <c r="J586" s="257">
        <v>3.5413999999999999</v>
      </c>
      <c r="K586" s="257">
        <v>3.8431000000000002</v>
      </c>
      <c r="L586" s="257">
        <v>3.6987999999999999</v>
      </c>
      <c r="M586" s="257">
        <v>3.6987999999999999</v>
      </c>
      <c r="N586" s="257">
        <v>3.6551</v>
      </c>
      <c r="O586" s="257">
        <v>3.7250999999999999</v>
      </c>
      <c r="P586" s="257">
        <v>3.8037999999999998</v>
      </c>
      <c r="Q586" s="257">
        <v>3.7250999999999999</v>
      </c>
      <c r="R586" s="257">
        <v>3.6857000000000002</v>
      </c>
      <c r="S586" s="257">
        <v>3.2944</v>
      </c>
      <c r="T586" s="257">
        <v>3.2835000000000001</v>
      </c>
      <c r="U586" s="257">
        <v>3.3666</v>
      </c>
      <c r="V586" s="257">
        <v>3.2393000000000001</v>
      </c>
      <c r="W586" s="257">
        <v>3.8752</v>
      </c>
      <c r="X586" s="257">
        <v>3.6528999999999998</v>
      </c>
      <c r="Y586" s="257">
        <v>3.5554999999999999</v>
      </c>
      <c r="Z586" s="1101">
        <f ca="1">[1]ExtEntry!$K84</f>
        <v>3.5554999999999999</v>
      </c>
      <c r="AB586" s="265">
        <v>57785.000000000007</v>
      </c>
      <c r="AC586" s="265">
        <v>58597.500000000007</v>
      </c>
      <c r="AD586" s="265">
        <v>55120</v>
      </c>
      <c r="AE586" s="265">
        <v>52650</v>
      </c>
      <c r="AF586" s="265">
        <v>57134.999999999993</v>
      </c>
      <c r="AG586" s="265">
        <v>55835</v>
      </c>
      <c r="AH586" s="265">
        <v>54990.000000000007</v>
      </c>
      <c r="AI586" s="265">
        <v>54990.000000000007</v>
      </c>
      <c r="AJ586" s="265">
        <v>54339.999999999993</v>
      </c>
      <c r="AK586" s="265">
        <v>55380</v>
      </c>
      <c r="AL586" s="265">
        <v>56549.999999999993</v>
      </c>
      <c r="AM586" s="265">
        <v>55380</v>
      </c>
      <c r="AN586" s="265">
        <v>54795</v>
      </c>
      <c r="AO586" s="265">
        <v>48977.5</v>
      </c>
      <c r="AP586" s="265">
        <v>49985</v>
      </c>
      <c r="AQ586" s="265">
        <v>50050.65</v>
      </c>
      <c r="AR586" s="265">
        <v>48158.5</v>
      </c>
      <c r="AS586" s="265">
        <v>45305</v>
      </c>
      <c r="AT586" s="265">
        <v>29565</v>
      </c>
      <c r="AU586" s="265">
        <v>28777.499999999996</v>
      </c>
      <c r="AV586" s="262">
        <f ca="1">Calc!F84</f>
        <v>28777.499999999996</v>
      </c>
      <c r="AX586" s="88" t="str">
        <f t="shared" ca="1" si="46"/>
        <v>NVAX</v>
      </c>
      <c r="AY586" s="81">
        <f ca="1">Tab2MarketValue[[#This Row],[M_Val20]]-Tab2MarketValue[[#This Row],[M_Val19]]</f>
        <v>0</v>
      </c>
    </row>
    <row r="587" spans="1:70" hidden="1" x14ac:dyDescent="0.3">
      <c r="A587" s="88" t="str">
        <f t="shared" ca="1" si="47"/>
        <v>NVS</v>
      </c>
      <c r="F587" s="257">
        <v>18.992799999999999</v>
      </c>
      <c r="G587" s="257">
        <v>18.942499999999999</v>
      </c>
      <c r="H587" s="257">
        <v>18.944700000000001</v>
      </c>
      <c r="I587" s="257">
        <v>19.061299999999999</v>
      </c>
      <c r="J587" s="257">
        <v>19.21</v>
      </c>
      <c r="K587" s="257">
        <v>19.144400000000001</v>
      </c>
      <c r="L587" s="257">
        <v>19.157499999999999</v>
      </c>
      <c r="M587" s="257">
        <v>19.157499999999999</v>
      </c>
      <c r="N587" s="257">
        <v>19.188099999999999</v>
      </c>
      <c r="O587" s="257">
        <v>19.0044</v>
      </c>
      <c r="P587" s="257">
        <v>18.794499999999999</v>
      </c>
      <c r="Q587" s="257">
        <v>17.985600000000002</v>
      </c>
      <c r="R587" s="257">
        <v>16.7683</v>
      </c>
      <c r="S587" s="257">
        <v>17.082899999999999</v>
      </c>
      <c r="T587" s="257">
        <v>17.163599999999999</v>
      </c>
      <c r="U587" s="257">
        <v>17.328399999999998</v>
      </c>
      <c r="V587" s="257">
        <v>17.293500000000002</v>
      </c>
      <c r="W587" s="257">
        <v>17.9513</v>
      </c>
      <c r="X587" s="257">
        <v>17.506900000000002</v>
      </c>
      <c r="Y587" s="257">
        <v>17.346800000000002</v>
      </c>
      <c r="Z587" s="1101">
        <f ca="1">[1]ExtEntry!$K85</f>
        <v>17.346800000000002</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c r="AY587" s="81">
        <f ca="1">Tab2MarketValue[[#This Row],[M_Val20]]-Tab2MarketValue[[#This Row],[M_Val19]]</f>
        <v>0</v>
      </c>
    </row>
    <row r="588" spans="1:70" hidden="1" x14ac:dyDescent="0.3">
      <c r="A588" s="88" t="str">
        <f t="shared" ca="1" si="47"/>
        <v>ORA</v>
      </c>
      <c r="F588" s="257">
        <v>42.419499999999999</v>
      </c>
      <c r="G588" s="257">
        <v>44.267200000000003</v>
      </c>
      <c r="H588" s="257">
        <v>44.488300000000002</v>
      </c>
      <c r="I588" s="257">
        <v>44.488300000000002</v>
      </c>
      <c r="J588" s="257">
        <v>45.277999999999999</v>
      </c>
      <c r="K588" s="257">
        <v>44.614699999999999</v>
      </c>
      <c r="L588" s="257">
        <v>44.614699999999999</v>
      </c>
      <c r="M588" s="257">
        <v>44.614699999999999</v>
      </c>
      <c r="N588" s="257">
        <v>44.440899999999999</v>
      </c>
      <c r="O588" s="257">
        <v>44.693600000000004</v>
      </c>
      <c r="P588" s="257">
        <v>43.967199999999998</v>
      </c>
      <c r="Q588" s="257">
        <v>43.746099999999998</v>
      </c>
      <c r="R588" s="257">
        <v>43.761800000000001</v>
      </c>
      <c r="S588" s="257">
        <v>43.319600000000001</v>
      </c>
      <c r="T588" s="257">
        <v>43.319600000000001</v>
      </c>
      <c r="U588" s="257">
        <v>44.030299999999997</v>
      </c>
      <c r="V588" s="257">
        <v>44.741</v>
      </c>
      <c r="W588" s="257">
        <v>44.283000000000001</v>
      </c>
      <c r="X588" s="257">
        <v>43.240699999999997</v>
      </c>
      <c r="Y588" s="257">
        <v>43.524999999999999</v>
      </c>
      <c r="Z588" s="1101">
        <f ca="1">[1]ExtEntry!$K86</f>
        <v>43.524999999999999</v>
      </c>
      <c r="AB588" s="265">
        <v>16284</v>
      </c>
      <c r="AC588" s="265">
        <v>16818</v>
      </c>
      <c r="AD588" s="265">
        <v>16902</v>
      </c>
      <c r="AE588" s="265">
        <v>17202</v>
      </c>
      <c r="AF588" s="265">
        <v>16992</v>
      </c>
      <c r="AG588" s="265">
        <v>16950</v>
      </c>
      <c r="AH588" s="265">
        <v>16884</v>
      </c>
      <c r="AI588" s="265">
        <v>16884</v>
      </c>
      <c r="AJ588" s="265">
        <v>16980</v>
      </c>
      <c r="AK588" s="265">
        <v>16704</v>
      </c>
      <c r="AL588" s="265">
        <v>16620</v>
      </c>
      <c r="AM588" s="265">
        <v>16668</v>
      </c>
      <c r="AN588" s="265">
        <v>16626</v>
      </c>
      <c r="AO588" s="265">
        <v>16458</v>
      </c>
      <c r="AP588" s="265">
        <v>16458</v>
      </c>
      <c r="AQ588" s="265">
        <v>16728</v>
      </c>
      <c r="AR588" s="265">
        <v>16998</v>
      </c>
      <c r="AS588" s="265">
        <v>16824</v>
      </c>
      <c r="AT588" s="265">
        <v>16428</v>
      </c>
      <c r="AU588" s="265">
        <v>16536</v>
      </c>
      <c r="AV588" s="262">
        <f ca="1">Calc!F86</f>
        <v>16536</v>
      </c>
      <c r="AX588" s="88" t="str">
        <f t="shared" ca="1" si="46"/>
        <v>ORA</v>
      </c>
      <c r="AY588" s="81">
        <f ca="1">Tab2MarketValue[[#This Row],[M_Val20]]-Tab2MarketValue[[#This Row],[M_Val19]]</f>
        <v>0</v>
      </c>
    </row>
    <row r="589" spans="1:70" hidden="1" x14ac:dyDescent="0.3">
      <c r="A589" s="88" t="str">
        <f t="shared" ca="1" si="47"/>
        <v>OXY</v>
      </c>
      <c r="F589" s="257">
        <v>24.904299999999999</v>
      </c>
      <c r="G589" s="257">
        <v>24.6539</v>
      </c>
      <c r="H589" s="257">
        <v>24.1739</v>
      </c>
      <c r="I589" s="257">
        <v>24.174499999999998</v>
      </c>
      <c r="J589" s="257">
        <v>24.167999999999999</v>
      </c>
      <c r="K589" s="257">
        <v>24.097300000000001</v>
      </c>
      <c r="L589" s="257">
        <v>24.583300000000001</v>
      </c>
      <c r="M589" s="257">
        <v>24.583300000000001</v>
      </c>
      <c r="N589" s="257">
        <v>24.5809</v>
      </c>
      <c r="O589" s="257">
        <v>25.081</v>
      </c>
      <c r="P589" s="257">
        <v>25.075700000000001</v>
      </c>
      <c r="Q589" s="257">
        <v>24.062000000000001</v>
      </c>
      <c r="R589" s="257">
        <v>23.976600000000001</v>
      </c>
      <c r="S589" s="257">
        <v>23.6172</v>
      </c>
      <c r="T589" s="257">
        <v>23.428799999999999</v>
      </c>
      <c r="U589" s="257">
        <v>23.720300000000002</v>
      </c>
      <c r="V589" s="257">
        <v>24.261800000000001</v>
      </c>
      <c r="W589" s="257">
        <v>31.223500000000001</v>
      </c>
      <c r="X589" s="257">
        <v>31.042200000000001</v>
      </c>
      <c r="Y589" s="257">
        <v>30.285399999999999</v>
      </c>
      <c r="Z589" s="1101">
        <f ca="1">[1]ExtEntry!$K87</f>
        <v>30.285399999999999</v>
      </c>
      <c r="AB589" s="262">
        <v>169120</v>
      </c>
      <c r="AC589" s="262">
        <v>167420</v>
      </c>
      <c r="AD589" s="262">
        <v>164160</v>
      </c>
      <c r="AE589" s="262">
        <v>163600</v>
      </c>
      <c r="AF589" s="262">
        <v>164120</v>
      </c>
      <c r="AG589" s="262">
        <v>163640</v>
      </c>
      <c r="AH589" s="262">
        <v>166940</v>
      </c>
      <c r="AI589" s="262">
        <v>166940</v>
      </c>
      <c r="AJ589" s="262">
        <v>171520</v>
      </c>
      <c r="AK589" s="262">
        <v>170320</v>
      </c>
      <c r="AL589" s="262">
        <v>169160</v>
      </c>
      <c r="AM589" s="262">
        <v>163400</v>
      </c>
      <c r="AN589" s="262">
        <v>162820</v>
      </c>
      <c r="AO589" s="262">
        <v>160380</v>
      </c>
      <c r="AP589" s="262">
        <v>159100</v>
      </c>
      <c r="AQ589" s="262">
        <v>161080</v>
      </c>
      <c r="AR589" s="262">
        <v>164757.20000000001</v>
      </c>
      <c r="AS589" s="262">
        <v>171080</v>
      </c>
      <c r="AT589" s="262">
        <v>170060</v>
      </c>
      <c r="AU589" s="262">
        <v>165940</v>
      </c>
      <c r="AV589" s="262">
        <f ca="1">Calc!F87</f>
        <v>165940</v>
      </c>
      <c r="AX589" s="88" t="str">
        <f t="shared" ca="1" si="46"/>
        <v>OXY</v>
      </c>
      <c r="AY589" s="81">
        <f ca="1">Tab2MarketValue[[#This Row],[M_Val20]]-Tab2MarketValue[[#This Row],[M_Val19]]</f>
        <v>0</v>
      </c>
      <c r="BQ589" t="s">
        <v>190</v>
      </c>
      <c r="BR589" t="s">
        <v>178</v>
      </c>
    </row>
    <row r="590" spans="1:70" hidden="1" x14ac:dyDescent="0.3">
      <c r="A590" s="88" t="str">
        <f t="shared" ca="1" si="47"/>
        <v>PFE</v>
      </c>
      <c r="F590" s="257">
        <v>17.784600000000001</v>
      </c>
      <c r="G590" s="257">
        <v>17.657699999999998</v>
      </c>
      <c r="H590" s="257">
        <v>17.570699999999999</v>
      </c>
      <c r="I590" s="257">
        <v>17.571100000000001</v>
      </c>
      <c r="J590" s="257">
        <v>17.900700000000001</v>
      </c>
      <c r="K590" s="257">
        <v>18.002199999999998</v>
      </c>
      <c r="L590" s="257">
        <v>17.936900000000001</v>
      </c>
      <c r="M590" s="257">
        <v>17.936900000000001</v>
      </c>
      <c r="N590" s="257">
        <v>17.900700000000001</v>
      </c>
      <c r="O590" s="257">
        <v>17.9695</v>
      </c>
      <c r="P590" s="257">
        <v>17.9514</v>
      </c>
      <c r="Q590" s="257">
        <v>17.784600000000001</v>
      </c>
      <c r="R590" s="257">
        <v>17.621500000000001</v>
      </c>
      <c r="S590" s="257">
        <v>17.6432</v>
      </c>
      <c r="T590" s="257">
        <v>14.359400000000001</v>
      </c>
      <c r="U590" s="257">
        <v>14.4993</v>
      </c>
      <c r="V590" s="257">
        <v>14.2079</v>
      </c>
      <c r="W590" s="257">
        <v>14.621700000000001</v>
      </c>
      <c r="X590" s="257">
        <v>14.8345</v>
      </c>
      <c r="Y590" s="257">
        <v>14.5809</v>
      </c>
      <c r="Z590" s="1101">
        <f ca="1">[1]ExtEntry!$K88</f>
        <v>14.5809</v>
      </c>
      <c r="AB590" s="265">
        <v>39240</v>
      </c>
      <c r="AC590" s="265">
        <v>38960</v>
      </c>
      <c r="AD590" s="265">
        <v>38768</v>
      </c>
      <c r="AE590" s="265">
        <v>39216</v>
      </c>
      <c r="AF590" s="265">
        <v>39496</v>
      </c>
      <c r="AG590" s="265">
        <v>39720</v>
      </c>
      <c r="AH590" s="265">
        <v>39576</v>
      </c>
      <c r="AI590" s="265">
        <v>39576</v>
      </c>
      <c r="AJ590" s="265">
        <v>39496</v>
      </c>
      <c r="AK590" s="265">
        <v>39648</v>
      </c>
      <c r="AL590" s="265">
        <v>39608</v>
      </c>
      <c r="AM590" s="265">
        <v>39240</v>
      </c>
      <c r="AN590" s="265">
        <v>38880</v>
      </c>
      <c r="AO590" s="265">
        <v>38928</v>
      </c>
      <c r="AP590" s="265">
        <v>39416</v>
      </c>
      <c r="AQ590" s="265">
        <v>39800</v>
      </c>
      <c r="AR590" s="265">
        <v>39000</v>
      </c>
      <c r="AS590" s="265">
        <v>40136</v>
      </c>
      <c r="AT590" s="265">
        <v>40720</v>
      </c>
      <c r="AU590" s="265">
        <v>40024</v>
      </c>
      <c r="AV590" s="262">
        <f ca="1">Calc!F88</f>
        <v>40024</v>
      </c>
      <c r="AX590" s="88" t="str">
        <f t="shared" ca="1" si="46"/>
        <v>PFE</v>
      </c>
      <c r="AY590" s="81">
        <f ca="1">Tab2MarketValue[[#This Row],[M_Val20]]-Tab2MarketValue[[#This Row],[M_Val19]]</f>
        <v>0</v>
      </c>
      <c r="BQ590" t="s">
        <v>191</v>
      </c>
      <c r="BR590" t="s">
        <v>2200</v>
      </c>
    </row>
    <row r="591" spans="1:70" hidden="1" x14ac:dyDescent="0.3">
      <c r="A591" s="88" t="str">
        <f t="shared" ca="1" si="47"/>
        <v>RIG</v>
      </c>
      <c r="F591" s="257">
        <v>0</v>
      </c>
      <c r="G591" s="257">
        <v>99</v>
      </c>
      <c r="H591" s="257">
        <v>99</v>
      </c>
      <c r="I591" s="257">
        <v>99</v>
      </c>
      <c r="J591" s="257">
        <v>99</v>
      </c>
      <c r="K591" s="257">
        <v>99</v>
      </c>
      <c r="L591" s="257">
        <v>99</v>
      </c>
      <c r="M591" s="257">
        <v>99</v>
      </c>
      <c r="N591" s="257">
        <v>0</v>
      </c>
      <c r="O591" s="257">
        <v>99</v>
      </c>
      <c r="P591" s="257">
        <v>99</v>
      </c>
      <c r="Q591" s="257">
        <v>99</v>
      </c>
      <c r="R591" s="257">
        <v>99</v>
      </c>
      <c r="S591" s="257">
        <v>99</v>
      </c>
      <c r="T591" s="257">
        <v>0</v>
      </c>
      <c r="U591" s="257">
        <v>99</v>
      </c>
      <c r="V591" s="257">
        <v>0</v>
      </c>
      <c r="W591" s="257">
        <v>99</v>
      </c>
      <c r="X591" s="257">
        <v>99</v>
      </c>
      <c r="Y591" s="257">
        <v>0</v>
      </c>
      <c r="Z591" s="1101">
        <f ca="1">[1]ExtEntry!$K89</f>
        <v>0</v>
      </c>
      <c r="AB591" s="262">
        <v>149520</v>
      </c>
      <c r="AC591" s="262">
        <v>157920</v>
      </c>
      <c r="AD591" s="262">
        <v>154800</v>
      </c>
      <c r="AE591" s="262">
        <v>156480</v>
      </c>
      <c r="AF591" s="262">
        <v>157680</v>
      </c>
      <c r="AG591" s="262">
        <v>158640</v>
      </c>
      <c r="AH591" s="262">
        <v>164400</v>
      </c>
      <c r="AI591" s="262">
        <v>164400</v>
      </c>
      <c r="AJ591" s="262">
        <v>186480</v>
      </c>
      <c r="AK591" s="262">
        <v>186960</v>
      </c>
      <c r="AL591" s="262">
        <v>185040</v>
      </c>
      <c r="AM591" s="262">
        <v>180240</v>
      </c>
      <c r="AN591" s="262">
        <v>187920</v>
      </c>
      <c r="AO591" s="262">
        <v>187449.59999999998</v>
      </c>
      <c r="AP591" s="262">
        <v>186960</v>
      </c>
      <c r="AQ591" s="262">
        <v>188400</v>
      </c>
      <c r="AR591" s="262">
        <v>170280</v>
      </c>
      <c r="AS591" s="262">
        <v>172430</v>
      </c>
      <c r="AT591" s="262">
        <v>177590</v>
      </c>
      <c r="AU591" s="262">
        <v>176085</v>
      </c>
      <c r="AV591" s="262">
        <f ca="1">Calc!F89</f>
        <v>176085</v>
      </c>
      <c r="AX591" s="88" t="str">
        <f t="shared" ca="1" si="46"/>
        <v>RIG</v>
      </c>
      <c r="AY591" s="81">
        <f ca="1">Tab2MarketValue[[#This Row],[M_Val20]]-Tab2MarketValue[[#This Row],[M_Val19]]</f>
        <v>0</v>
      </c>
      <c r="BQ591" t="s">
        <v>139</v>
      </c>
      <c r="BR591" t="s">
        <v>2201</v>
      </c>
    </row>
    <row r="592" spans="1:70" x14ac:dyDescent="0.3">
      <c r="A592" s="88" t="str">
        <f t="shared" ca="1" si="47"/>
        <v>RRC</v>
      </c>
      <c r="F592" s="257">
        <v>32.400700000000001</v>
      </c>
      <c r="G592" s="257">
        <v>33.396099999999997</v>
      </c>
      <c r="H592" s="257">
        <v>32.006100000000004</v>
      </c>
      <c r="I592" s="257">
        <v>32.0139</v>
      </c>
      <c r="J592" s="257">
        <v>33.297499999999999</v>
      </c>
      <c r="K592" s="257">
        <v>33.287300000000002</v>
      </c>
      <c r="L592" s="257">
        <v>32.508299999999998</v>
      </c>
      <c r="M592" s="257">
        <v>32.508299999999998</v>
      </c>
      <c r="N592" s="257">
        <v>32.507100000000001</v>
      </c>
      <c r="O592" s="257">
        <v>33.723399999999998</v>
      </c>
      <c r="P592" s="257">
        <v>33.503700000000002</v>
      </c>
      <c r="Q592" s="257">
        <v>33.154000000000003</v>
      </c>
      <c r="R592" s="257">
        <v>14.525700000000001</v>
      </c>
      <c r="S592" s="257">
        <v>15.5566</v>
      </c>
      <c r="T592" s="257">
        <v>15.571300000000001</v>
      </c>
      <c r="U592" s="257">
        <v>15.4579</v>
      </c>
      <c r="V592" s="257">
        <v>15.718299999999999</v>
      </c>
      <c r="W592" s="257">
        <v>16.054300000000001</v>
      </c>
      <c r="X592" s="257">
        <v>16.3903</v>
      </c>
      <c r="Y592" s="257">
        <v>16.409099999999999</v>
      </c>
      <c r="Z592" s="1101">
        <f ca="1">[1]ExtEntry!$K90</f>
        <v>16.409099999999999</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AY592" s="81">
        <f ca="1">Tab2MarketValue[[#This Row],[M_Val20]]-Tab2MarketValue[[#This Row],[M_Val19]]</f>
        <v>0</v>
      </c>
      <c r="BQ592" t="s">
        <v>192</v>
      </c>
      <c r="BR592" t="s">
        <v>1892</v>
      </c>
    </row>
    <row r="593" spans="1:70" x14ac:dyDescent="0.3">
      <c r="A593" s="88" t="str">
        <f t="shared" ca="1" si="47"/>
        <v>XYZ</v>
      </c>
      <c r="F593" s="1101">
        <v>44.986400000000003</v>
      </c>
      <c r="G593" s="1101">
        <v>44.862400000000001</v>
      </c>
      <c r="H593" s="1101">
        <v>44.957999999999998</v>
      </c>
      <c r="I593" s="1101">
        <v>44.018999999999998</v>
      </c>
      <c r="J593" s="1101">
        <v>45.175400000000003</v>
      </c>
      <c r="K593" s="1101">
        <v>45.889899999999997</v>
      </c>
      <c r="L593" s="1101">
        <v>44.838799999999999</v>
      </c>
      <c r="M593" s="1101">
        <v>44.838799999999999</v>
      </c>
      <c r="N593" s="1101">
        <v>46.386000000000003</v>
      </c>
      <c r="O593" s="1101">
        <v>46.970599999999997</v>
      </c>
      <c r="P593" s="1101">
        <v>47.342599999999997</v>
      </c>
      <c r="Q593" s="1101">
        <v>47.354399999999998</v>
      </c>
      <c r="R593" s="1101">
        <v>43.645899999999997</v>
      </c>
      <c r="S593" s="1101">
        <v>42.907800000000002</v>
      </c>
      <c r="T593" s="1101">
        <v>43.492400000000004</v>
      </c>
      <c r="U593" s="1101">
        <v>42.069200000000002</v>
      </c>
      <c r="V593" s="1101">
        <v>38.691400000000002</v>
      </c>
      <c r="W593" s="1101">
        <v>30.402799999999999</v>
      </c>
      <c r="X593" s="1101">
        <v>28.983000000000001</v>
      </c>
      <c r="Y593" s="1101">
        <v>28.909400000000002</v>
      </c>
      <c r="Z593" s="1101">
        <f ca="1">[1]ExtEntry!$K91</f>
        <v>28.909400000000002</v>
      </c>
      <c r="AB593" s="262">
        <v>45708.000000000007</v>
      </c>
      <c r="AC593" s="262">
        <v>45582</v>
      </c>
      <c r="AD593" s="262">
        <v>44730</v>
      </c>
      <c r="AE593" s="262">
        <v>45120</v>
      </c>
      <c r="AF593" s="262">
        <v>45900</v>
      </c>
      <c r="AG593" s="262">
        <v>46625.999999999993</v>
      </c>
      <c r="AH593" s="262">
        <v>45558.000000000007</v>
      </c>
      <c r="AI593" s="262">
        <v>45558.000000000007</v>
      </c>
      <c r="AJ593" s="262">
        <v>47130</v>
      </c>
      <c r="AK593" s="262">
        <v>47724.000000000007</v>
      </c>
      <c r="AL593" s="262">
        <v>48102</v>
      </c>
      <c r="AM593" s="262">
        <v>48114</v>
      </c>
      <c r="AN593" s="262">
        <v>44346</v>
      </c>
      <c r="AO593" s="262">
        <v>43596</v>
      </c>
      <c r="AP593" s="262">
        <v>44190</v>
      </c>
      <c r="AQ593" s="262">
        <v>42744</v>
      </c>
      <c r="AR593" s="262">
        <v>39312</v>
      </c>
      <c r="AS593" s="262">
        <v>36279</v>
      </c>
      <c r="AT593" s="262">
        <v>34584</v>
      </c>
      <c r="AU593" s="262">
        <v>34497</v>
      </c>
      <c r="AV593" s="262">
        <f ca="1">Calc!F91</f>
        <v>34497</v>
      </c>
      <c r="AX593" s="88" t="str">
        <f t="shared" ca="1" si="46"/>
        <v>XYZ</v>
      </c>
      <c r="AY593" s="81">
        <f ca="1">Tab2MarketValue[[#This Row],[M_Val20]]-Tab2MarketValue[[#This Row],[M_Val19]]</f>
        <v>0</v>
      </c>
      <c r="BQ593" t="s">
        <v>193</v>
      </c>
      <c r="BR593" t="s">
        <v>2202</v>
      </c>
    </row>
    <row r="594" spans="1:70" x14ac:dyDescent="0.3">
      <c r="A594" s="88" t="str">
        <f t="shared" ca="1" si="47"/>
        <v>THC</v>
      </c>
      <c r="F594" s="257">
        <v>12.988899999999999</v>
      </c>
      <c r="G594" s="257">
        <v>13.0914</v>
      </c>
      <c r="H594" s="257">
        <v>13.1661</v>
      </c>
      <c r="I594" s="257">
        <v>13.1662</v>
      </c>
      <c r="J594" s="257">
        <v>13.359500000000001</v>
      </c>
      <c r="K594" s="257">
        <v>13.3797</v>
      </c>
      <c r="L594" s="257">
        <v>13.562200000000001</v>
      </c>
      <c r="M594" s="257">
        <v>13.562200000000001</v>
      </c>
      <c r="N594" s="257">
        <v>13.6805</v>
      </c>
      <c r="O594" s="257">
        <v>13.91</v>
      </c>
      <c r="P594" s="257">
        <v>14.2928</v>
      </c>
      <c r="Q594" s="257">
        <v>13.5291</v>
      </c>
      <c r="R594" s="257">
        <v>13.866400000000001</v>
      </c>
      <c r="S594" s="257">
        <v>13.8368</v>
      </c>
      <c r="T594" s="257">
        <v>13.8658</v>
      </c>
      <c r="U594" s="257">
        <v>13.680300000000001</v>
      </c>
      <c r="V594" s="257">
        <v>13.6149</v>
      </c>
      <c r="W594" s="257">
        <v>12.8216</v>
      </c>
      <c r="X594" s="257">
        <v>12.8276</v>
      </c>
      <c r="Y594" s="257">
        <v>12.866099999999999</v>
      </c>
      <c r="Z594" s="1101">
        <f ca="1">[1]ExtEntry!$K92</f>
        <v>12.866099999999999</v>
      </c>
      <c r="AB594" s="265">
        <v>294675</v>
      </c>
      <c r="AC594" s="265">
        <v>297000</v>
      </c>
      <c r="AD594" s="265">
        <v>298695</v>
      </c>
      <c r="AE594" s="265">
        <v>300000</v>
      </c>
      <c r="AF594" s="265">
        <v>303082.5</v>
      </c>
      <c r="AG594" s="265">
        <v>303540</v>
      </c>
      <c r="AH594" s="265">
        <v>307680</v>
      </c>
      <c r="AI594" s="265">
        <v>307680</v>
      </c>
      <c r="AJ594" s="265">
        <v>310365</v>
      </c>
      <c r="AK594" s="265">
        <v>315570</v>
      </c>
      <c r="AL594" s="265">
        <v>324255</v>
      </c>
      <c r="AM594" s="265">
        <v>306930</v>
      </c>
      <c r="AN594" s="265">
        <v>312945</v>
      </c>
      <c r="AO594" s="265">
        <v>312277.5</v>
      </c>
      <c r="AP594" s="265">
        <v>312930</v>
      </c>
      <c r="AQ594" s="265">
        <v>308745</v>
      </c>
      <c r="AR594" s="265">
        <v>307267.5</v>
      </c>
      <c r="AS594" s="265">
        <v>289365</v>
      </c>
      <c r="AT594" s="265">
        <v>289500</v>
      </c>
      <c r="AU594" s="265">
        <v>290370</v>
      </c>
      <c r="AV594" s="262">
        <f ca="1">Calc!F92</f>
        <v>290370</v>
      </c>
      <c r="AX594" s="88" t="str">
        <f t="shared" ca="1" si="46"/>
        <v>THC</v>
      </c>
      <c r="AY594" s="81">
        <f ca="1">Tab2MarketValue[[#This Row],[M_Val20]]-Tab2MarketValue[[#This Row],[M_Val19]]</f>
        <v>0</v>
      </c>
      <c r="BQ594" t="s">
        <v>2203</v>
      </c>
      <c r="BR594" t="s">
        <v>1835</v>
      </c>
    </row>
    <row r="595" spans="1:70" x14ac:dyDescent="0.3">
      <c r="A595" s="88" t="str">
        <f t="shared" ca="1" si="47"/>
        <v>X</v>
      </c>
      <c r="F595" s="1101">
        <v>186.1634</v>
      </c>
      <c r="G595" s="1101">
        <v>186.1634</v>
      </c>
      <c r="H595" s="1101">
        <v>186.1634</v>
      </c>
      <c r="I595" s="1101">
        <v>186.1634</v>
      </c>
      <c r="J595" s="1101">
        <v>186.1634</v>
      </c>
      <c r="K595" s="1101">
        <v>186.1634</v>
      </c>
      <c r="L595" s="1101">
        <v>186.1634</v>
      </c>
      <c r="M595" s="1101">
        <v>186.1634</v>
      </c>
      <c r="N595" s="1101">
        <v>186.1634</v>
      </c>
      <c r="O595" s="1101">
        <v>186.1634</v>
      </c>
      <c r="P595" s="1101">
        <v>186.1634</v>
      </c>
      <c r="Q595" s="1101">
        <v>186.1634</v>
      </c>
      <c r="R595" s="1101">
        <v>186.1634</v>
      </c>
      <c r="S595" s="1101">
        <v>186.1634</v>
      </c>
      <c r="T595" s="1101">
        <v>186.1634</v>
      </c>
      <c r="U595" s="1101">
        <v>186.1634</v>
      </c>
      <c r="V595" s="1101">
        <v>186.1634</v>
      </c>
      <c r="W595" s="1101">
        <v>186.1634</v>
      </c>
      <c r="X595" s="1101">
        <v>186.1634</v>
      </c>
      <c r="Y595" s="1101">
        <v>186.1634</v>
      </c>
      <c r="Z595" s="1101">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AY595" s="81">
        <f ca="1">Tab2MarketValue[[#This Row],[M_Val20]]-Tab2MarketValue[[#This Row],[M_Val19]]</f>
        <v>0</v>
      </c>
      <c r="BQ595" t="s">
        <v>195</v>
      </c>
      <c r="BR595" t="s">
        <v>702</v>
      </c>
    </row>
    <row r="596" spans="1:70" x14ac:dyDescent="0.3">
      <c r="A596" s="88" t="str">
        <f t="shared" ca="1" si="47"/>
        <v>LOCK</v>
      </c>
      <c r="F596" s="1101">
        <v>99</v>
      </c>
      <c r="G596" s="1101">
        <v>99</v>
      </c>
      <c r="H596" s="1101">
        <v>99</v>
      </c>
      <c r="I596" s="1101">
        <v>99</v>
      </c>
      <c r="J596" s="1101">
        <v>99</v>
      </c>
      <c r="K596" s="1101">
        <v>99</v>
      </c>
      <c r="L596" s="1101">
        <v>99</v>
      </c>
      <c r="M596" s="1101">
        <v>99</v>
      </c>
      <c r="N596" s="1101">
        <v>99</v>
      </c>
      <c r="O596" s="1101">
        <v>99</v>
      </c>
      <c r="P596" s="1101">
        <v>99</v>
      </c>
      <c r="Q596" s="1101">
        <v>99</v>
      </c>
      <c r="R596" s="1101">
        <v>99</v>
      </c>
      <c r="S596" s="1101">
        <v>99</v>
      </c>
      <c r="T596" s="1101">
        <v>99</v>
      </c>
      <c r="U596" s="1101">
        <v>99</v>
      </c>
      <c r="V596" s="1101">
        <v>99</v>
      </c>
      <c r="W596" s="1101">
        <v>99</v>
      </c>
      <c r="X596" s="1101">
        <v>99</v>
      </c>
      <c r="Y596" s="1101">
        <v>99</v>
      </c>
      <c r="Z596" s="1101">
        <f>[1]ExtEntry!$K94</f>
        <v>99</v>
      </c>
      <c r="AB596" s="262">
        <v>787036.8</v>
      </c>
      <c r="AC596" s="262">
        <v>798293.39999999991</v>
      </c>
      <c r="AD596" s="262">
        <v>798447.6</v>
      </c>
      <c r="AE596" s="262">
        <v>783027.60000000009</v>
      </c>
      <c r="AF596" s="262">
        <v>790275</v>
      </c>
      <c r="AG596" s="262">
        <v>806928.6</v>
      </c>
      <c r="AH596" s="262">
        <v>798293.39999999991</v>
      </c>
      <c r="AI596" s="262">
        <v>798293.39999999991</v>
      </c>
      <c r="AJ596" s="262">
        <v>800606.4</v>
      </c>
      <c r="AK596" s="262">
        <v>816334.79999999993</v>
      </c>
      <c r="AL596" s="262">
        <v>819573.00000000012</v>
      </c>
      <c r="AM596" s="262">
        <v>818339.4</v>
      </c>
      <c r="AN596" s="262">
        <v>803536.20000000007</v>
      </c>
      <c r="AO596" s="262">
        <v>801994.2</v>
      </c>
      <c r="AP596" s="262">
        <v>795363.60000000009</v>
      </c>
      <c r="AQ596" s="262">
        <v>786420</v>
      </c>
      <c r="AR596" s="262">
        <v>784415.39999999991</v>
      </c>
      <c r="AS596" s="262">
        <v>777630.6</v>
      </c>
      <c r="AT596" s="262">
        <v>755271.6</v>
      </c>
      <c r="AU596" s="262">
        <v>752881.5</v>
      </c>
      <c r="AV596" s="262">
        <f ca="1">Calc!F94</f>
        <v>752881.5</v>
      </c>
      <c r="AX596" s="88" t="str">
        <f t="shared" ca="1" si="46"/>
        <v>LOCK</v>
      </c>
      <c r="AY596" s="81">
        <f ca="1">Tab2MarketValue[[#This Row],[M_Val20]]-Tab2MarketValue[[#This Row],[M_Val19]]</f>
        <v>0</v>
      </c>
      <c r="BQ596" t="s">
        <v>2205</v>
      </c>
      <c r="BR596" t="s">
        <v>2204</v>
      </c>
    </row>
    <row r="597" spans="1:70" x14ac:dyDescent="0.3">
      <c r="A597" s="88" t="str">
        <f t="shared" ca="1" si="47"/>
        <v>JBASML</v>
      </c>
      <c r="F597" s="1101">
        <v>32.506399999999999</v>
      </c>
      <c r="G597" s="1101">
        <v>33.520099999999999</v>
      </c>
      <c r="H597" s="1101">
        <v>33.689</v>
      </c>
      <c r="I597" s="1101">
        <v>33.689</v>
      </c>
      <c r="J597" s="1101">
        <v>34.5184</v>
      </c>
      <c r="K597" s="1101">
        <v>34.165100000000002</v>
      </c>
      <c r="L597" s="981">
        <v>34.165100000000002</v>
      </c>
      <c r="M597" s="1094">
        <v>34.165100000000002</v>
      </c>
      <c r="N597" s="1101">
        <v>33.408700000000003</v>
      </c>
      <c r="O597" s="1101">
        <v>34.341799999999999</v>
      </c>
      <c r="P597" s="1101">
        <v>34.867800000000003</v>
      </c>
      <c r="Q597" s="1101">
        <v>34.867800000000003</v>
      </c>
      <c r="R597" s="348">
        <v>35.996600000000001</v>
      </c>
      <c r="S597" s="1101">
        <v>35.247900000000001</v>
      </c>
      <c r="T597" s="1101">
        <v>34.810200000000002</v>
      </c>
      <c r="U597" s="1101">
        <v>34.376300000000001</v>
      </c>
      <c r="V597" s="1101">
        <v>33.435600000000001</v>
      </c>
      <c r="W597" s="981">
        <v>33.5623</v>
      </c>
      <c r="X597" s="1108">
        <v>32.997900000000001</v>
      </c>
      <c r="Y597" s="1101">
        <v>34.042299999999997</v>
      </c>
      <c r="Z597" s="1101">
        <f ca="1">[1]ExtEntry!$K95</f>
        <v>34.042299999999997</v>
      </c>
      <c r="AB597" s="262">
        <v>169320</v>
      </c>
      <c r="AC597" s="262">
        <v>174600</v>
      </c>
      <c r="AD597" s="262">
        <v>175480</v>
      </c>
      <c r="AE597" s="262">
        <v>175140</v>
      </c>
      <c r="AF597" s="262">
        <v>179800</v>
      </c>
      <c r="AG597" s="262">
        <v>177960</v>
      </c>
      <c r="AH597" s="262">
        <v>174020</v>
      </c>
      <c r="AI597" s="262">
        <v>174020</v>
      </c>
      <c r="AJ597" s="262">
        <v>177540</v>
      </c>
      <c r="AK597" s="262">
        <v>178880</v>
      </c>
      <c r="AL597" s="262">
        <v>181620</v>
      </c>
      <c r="AM597" s="262">
        <v>181480</v>
      </c>
      <c r="AN597" s="262">
        <v>187500</v>
      </c>
      <c r="AO597" s="262">
        <v>183600</v>
      </c>
      <c r="AP597" s="262">
        <v>181320</v>
      </c>
      <c r="AQ597" s="262">
        <v>179060</v>
      </c>
      <c r="AR597" s="262">
        <v>174160</v>
      </c>
      <c r="AS597" s="262">
        <v>174820</v>
      </c>
      <c r="AT597" s="262">
        <v>171880</v>
      </c>
      <c r="AU597" s="262">
        <v>177320</v>
      </c>
      <c r="AV597" s="262">
        <f ca="1">Calc!F95</f>
        <v>177320</v>
      </c>
      <c r="AX597" s="88" t="str">
        <f t="shared" ca="1" si="46"/>
        <v>JBASML</v>
      </c>
      <c r="AY597" s="81">
        <f ca="1">Tab2MarketValue[[#This Row],[M_Val20]]-Tab2MarketValue[[#This Row],[M_Val19]]</f>
        <v>0</v>
      </c>
      <c r="BQ597" t="s">
        <v>2206</v>
      </c>
      <c r="BR597" t="s">
        <v>2207</v>
      </c>
    </row>
    <row r="598" spans="1:70" x14ac:dyDescent="0.3">
      <c r="A598" s="88" t="str">
        <f ca="1">A98</f>
        <v>JBEOAN</v>
      </c>
      <c r="F598" s="257">
        <v>13.5289</v>
      </c>
      <c r="G598" s="257">
        <v>13.388400000000001</v>
      </c>
      <c r="H598" s="257">
        <v>13.4298</v>
      </c>
      <c r="I598" s="257">
        <v>13.42</v>
      </c>
      <c r="J598" s="257">
        <v>13.5702</v>
      </c>
      <c r="K598" s="257">
        <v>13.524800000000001</v>
      </c>
      <c r="L598" s="257">
        <v>13.6</v>
      </c>
      <c r="M598" s="257">
        <v>13.6</v>
      </c>
      <c r="N598" s="257">
        <v>13.2066</v>
      </c>
      <c r="O598" s="257">
        <v>13.2727</v>
      </c>
      <c r="P598" s="257">
        <v>13.3017</v>
      </c>
      <c r="Q598" s="257">
        <v>13.4215</v>
      </c>
      <c r="R598" s="257">
        <v>13.4339</v>
      </c>
      <c r="S598" s="257">
        <v>13.016500000000001</v>
      </c>
      <c r="T598" s="257">
        <v>13.2645</v>
      </c>
      <c r="U598" s="257">
        <v>13.289300000000001</v>
      </c>
      <c r="V598" s="257">
        <v>13.309900000000001</v>
      </c>
      <c r="W598" s="257">
        <v>12.84</v>
      </c>
      <c r="X598" s="257">
        <v>13.243499999999999</v>
      </c>
      <c r="Y598" s="257">
        <v>13.3043</v>
      </c>
      <c r="Z598" s="1101">
        <f ca="1">[1]ExtEntry!$K96</f>
        <v>13.3043</v>
      </c>
      <c r="AB598" s="265">
        <v>294660</v>
      </c>
      <c r="AC598" s="265">
        <v>291600</v>
      </c>
      <c r="AD598" s="265">
        <v>292500</v>
      </c>
      <c r="AE598" s="265">
        <v>292860</v>
      </c>
      <c r="AF598" s="265">
        <v>295560.00000000006</v>
      </c>
      <c r="AG598" s="265">
        <v>294570</v>
      </c>
      <c r="AH598" s="265">
        <v>289800</v>
      </c>
      <c r="AI598" s="265">
        <v>289800</v>
      </c>
      <c r="AJ598" s="265">
        <v>287640</v>
      </c>
      <c r="AK598" s="265">
        <v>289080</v>
      </c>
      <c r="AL598" s="265">
        <v>289710</v>
      </c>
      <c r="AM598" s="265">
        <v>292320</v>
      </c>
      <c r="AN598" s="265">
        <v>292590</v>
      </c>
      <c r="AO598" s="265">
        <v>283500</v>
      </c>
      <c r="AP598" s="265">
        <v>288900</v>
      </c>
      <c r="AQ598" s="265">
        <v>289439.99999999994</v>
      </c>
      <c r="AR598" s="265">
        <v>289890</v>
      </c>
      <c r="AS598" s="265">
        <v>320145</v>
      </c>
      <c r="AT598" s="265">
        <v>319830</v>
      </c>
      <c r="AU598" s="265">
        <v>321300</v>
      </c>
      <c r="AV598" s="262">
        <f ca="1">Calc!F96</f>
        <v>321300</v>
      </c>
      <c r="AX598" s="88" t="str">
        <f t="shared" ca="1" si="46"/>
        <v>JBEOAN</v>
      </c>
      <c r="AY598" s="81">
        <f ca="1">Tab2MarketValue[[#This Row],[M_Val20]]-Tab2MarketValue[[#This Row],[M_Val19]]</f>
        <v>0</v>
      </c>
      <c r="BQ598" t="s">
        <v>2208</v>
      </c>
      <c r="BR598" t="s">
        <v>662</v>
      </c>
    </row>
    <row r="599" spans="1:70" x14ac:dyDescent="0.3">
      <c r="AX599" s="88"/>
      <c r="AY599" s="81">
        <f ca="1">SUM(AY505:AY598)</f>
        <v>0</v>
      </c>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48"/>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45952</v>
      </c>
      <c r="G603" s="117">
        <f t="shared" ca="1" si="48"/>
        <v>45953</v>
      </c>
      <c r="H603" s="117">
        <f t="shared" ca="1" si="48"/>
        <v>45954</v>
      </c>
      <c r="I603" s="117">
        <f t="shared" ca="1" si="48"/>
        <v>45957</v>
      </c>
      <c r="J603" s="117">
        <f t="shared" ca="1" si="48"/>
        <v>45958</v>
      </c>
      <c r="K603" s="117">
        <f t="shared" ca="1" si="48"/>
        <v>45959</v>
      </c>
      <c r="L603" s="117">
        <f t="shared" ca="1" si="48"/>
        <v>45960</v>
      </c>
      <c r="M603" s="117">
        <f t="shared" ca="1" si="48"/>
        <v>45961</v>
      </c>
      <c r="N603" s="117">
        <f t="shared" ca="1" si="48"/>
        <v>45964</v>
      </c>
      <c r="O603" s="117">
        <f t="shared" ca="1" si="48"/>
        <v>45965</v>
      </c>
      <c r="P603" s="117">
        <f t="shared" ca="1" si="48"/>
        <v>45966</v>
      </c>
      <c r="Q603" s="117">
        <f t="shared" ca="1" si="48"/>
        <v>45967</v>
      </c>
      <c r="R603" s="117">
        <f t="shared" ca="1" si="48"/>
        <v>45968</v>
      </c>
      <c r="S603" s="117">
        <f t="shared" ca="1" si="48"/>
        <v>45971</v>
      </c>
      <c r="T603" s="117">
        <f t="shared" ca="1" si="48"/>
        <v>45972</v>
      </c>
      <c r="U603" s="117">
        <f t="shared" ca="1" si="48"/>
        <v>45973</v>
      </c>
      <c r="V603" s="117">
        <f t="shared" ca="1" si="48"/>
        <v>45974</v>
      </c>
      <c r="W603" s="117">
        <f t="shared" ca="1" si="48"/>
        <v>45975</v>
      </c>
      <c r="X603" s="117">
        <f t="shared" ca="1" si="48"/>
        <v>45978</v>
      </c>
      <c r="Y603" s="117">
        <f t="shared" ca="1" si="48"/>
        <v>45979</v>
      </c>
      <c r="Z603" s="117">
        <f t="shared" ca="1" si="48"/>
        <v>45980</v>
      </c>
      <c r="AB603" s="117">
        <f t="shared" ref="AB603:AV603" ca="1" si="49">F502</f>
        <v>45952</v>
      </c>
      <c r="AC603" s="117">
        <f t="shared" ca="1" si="49"/>
        <v>45953</v>
      </c>
      <c r="AD603" s="117">
        <f t="shared" ca="1" si="49"/>
        <v>45954</v>
      </c>
      <c r="AE603" s="117">
        <f t="shared" ca="1" si="49"/>
        <v>45957</v>
      </c>
      <c r="AF603" s="117">
        <f t="shared" ca="1" si="49"/>
        <v>45958</v>
      </c>
      <c r="AG603" s="117">
        <f t="shared" ca="1" si="49"/>
        <v>45959</v>
      </c>
      <c r="AH603" s="117">
        <f t="shared" ca="1" si="49"/>
        <v>45960</v>
      </c>
      <c r="AI603" s="117">
        <f t="shared" ca="1" si="49"/>
        <v>45961</v>
      </c>
      <c r="AJ603" s="117">
        <f t="shared" ca="1" si="49"/>
        <v>45964</v>
      </c>
      <c r="AK603" s="117">
        <f t="shared" ca="1" si="49"/>
        <v>45965</v>
      </c>
      <c r="AL603" s="117">
        <f t="shared" ca="1" si="49"/>
        <v>45966</v>
      </c>
      <c r="AM603" s="117">
        <f t="shared" ca="1" si="49"/>
        <v>45967</v>
      </c>
      <c r="AN603" s="117">
        <f t="shared" ca="1" si="49"/>
        <v>45968</v>
      </c>
      <c r="AO603" s="117">
        <f t="shared" ca="1" si="49"/>
        <v>45971</v>
      </c>
      <c r="AP603" s="117">
        <f t="shared" ca="1" si="49"/>
        <v>45972</v>
      </c>
      <c r="AQ603" s="117">
        <f t="shared" ca="1" si="49"/>
        <v>45973</v>
      </c>
      <c r="AR603" s="117">
        <f t="shared" ca="1" si="49"/>
        <v>45974</v>
      </c>
      <c r="AS603" s="117">
        <f t="shared" ca="1" si="49"/>
        <v>45975</v>
      </c>
      <c r="AT603" s="117">
        <f t="shared" ca="1" si="49"/>
        <v>45978</v>
      </c>
      <c r="AU603" s="117">
        <f t="shared" ca="1" si="49"/>
        <v>45979</v>
      </c>
      <c r="AV603" s="117">
        <f t="shared" ca="1" si="49"/>
        <v>45980</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0.11</v>
      </c>
      <c r="G605" s="245">
        <v>1.63</v>
      </c>
      <c r="H605" s="245">
        <v>-1.89</v>
      </c>
      <c r="I605" s="245">
        <v>4.84</v>
      </c>
      <c r="J605" s="245">
        <v>9.9499999999999993</v>
      </c>
      <c r="K605" s="245">
        <v>0.53</v>
      </c>
      <c r="L605" s="245">
        <v>-4.32</v>
      </c>
      <c r="M605" s="245">
        <v>-4.32</v>
      </c>
      <c r="N605" s="245">
        <v>1.1299999999999999</v>
      </c>
      <c r="O605" s="245">
        <v>3.24</v>
      </c>
      <c r="P605" s="245">
        <v>5.99</v>
      </c>
      <c r="Q605" s="245">
        <v>0.19</v>
      </c>
      <c r="R605" s="245">
        <v>1.7</v>
      </c>
      <c r="S605" s="245">
        <v>0.98</v>
      </c>
      <c r="T605" s="245">
        <v>0.1</v>
      </c>
      <c r="U605" s="245">
        <v>0.36</v>
      </c>
      <c r="V605" s="245">
        <v>-1.7729999999999999</v>
      </c>
      <c r="W605" s="245">
        <v>-0.54</v>
      </c>
      <c r="X605" s="245">
        <v>-0.02</v>
      </c>
      <c r="Y605" s="245">
        <v>2.59</v>
      </c>
      <c r="Z605" s="245">
        <f ca="1">[1]ExtEntry!$L3</f>
        <v>2.59</v>
      </c>
      <c r="AB605" s="307">
        <v>0.95058130524276541</v>
      </c>
      <c r="AC605" s="307">
        <v>0.94436860465116279</v>
      </c>
      <c r="AD605" s="307">
        <v>0.95181058799757534</v>
      </c>
      <c r="AE605" s="307">
        <v>0.93355079472036151</v>
      </c>
      <c r="AF605" s="307">
        <v>0.89812969035997559</v>
      </c>
      <c r="AG605" s="307">
        <v>0.89631818700764931</v>
      </c>
      <c r="AH605" s="307">
        <v>0.91130017411491593</v>
      </c>
      <c r="AI605" s="307">
        <v>0.96022936738247244</v>
      </c>
      <c r="AJ605" s="307">
        <v>0.95604931042453201</v>
      </c>
      <c r="AK605" s="307" t="e">
        <v>#N/A</v>
      </c>
      <c r="AL605" s="307">
        <v>0.87617845318254528</v>
      </c>
      <c r="AM605" s="307">
        <v>0.87555959107806691</v>
      </c>
      <c r="AN605" s="307">
        <v>0.94328150331613858</v>
      </c>
      <c r="AO605" s="307">
        <v>1.0237046624449135</v>
      </c>
      <c r="AP605" s="307">
        <v>1.023287813726216</v>
      </c>
      <c r="AQ605" s="307">
        <v>1.0219259519408503</v>
      </c>
      <c r="AR605" s="307">
        <v>1.0314703895939132</v>
      </c>
      <c r="AS605" s="307">
        <v>1.0147607283139384</v>
      </c>
      <c r="AT605" s="307">
        <v>1.0336186434340413</v>
      </c>
      <c r="AU605" s="307">
        <v>1.0237046624449135</v>
      </c>
      <c r="AV605" s="307">
        <f ca="1">Calc!AS3</f>
        <v>1.0237046624449135</v>
      </c>
      <c r="AX605" s="88" t="str">
        <f ca="1">A5</f>
        <v>AAPL</v>
      </c>
    </row>
    <row r="606" spans="1:70" x14ac:dyDescent="0.3">
      <c r="A606" s="88" t="str">
        <f t="shared" ref="A606:A669" ca="1" si="50">A6</f>
        <v>ADEA</v>
      </c>
      <c r="F606" s="253">
        <v>0.83</v>
      </c>
      <c r="G606" s="253">
        <v>0.6</v>
      </c>
      <c r="H606" s="253">
        <v>-0.66</v>
      </c>
      <c r="I606" s="253">
        <v>-0.05</v>
      </c>
      <c r="J606" s="253">
        <v>0.23</v>
      </c>
      <c r="K606" s="253">
        <v>0.22</v>
      </c>
      <c r="L606" s="253">
        <v>-0.19</v>
      </c>
      <c r="M606" s="253">
        <v>-0.19</v>
      </c>
      <c r="N606" s="253">
        <v>-0.05</v>
      </c>
      <c r="O606" s="253">
        <v>0.33</v>
      </c>
      <c r="P606" s="253">
        <v>0.54</v>
      </c>
      <c r="Q606" s="253">
        <v>0.09</v>
      </c>
      <c r="R606" s="253">
        <v>-0.48</v>
      </c>
      <c r="S606" s="253">
        <v>-1.575</v>
      </c>
      <c r="T606" s="253">
        <v>1.03</v>
      </c>
      <c r="U606" s="253">
        <v>0.155</v>
      </c>
      <c r="V606" s="253">
        <v>4.4999999999999998E-2</v>
      </c>
      <c r="W606" s="253">
        <v>-0.28000000000000003</v>
      </c>
      <c r="X606" s="253">
        <v>-0.06</v>
      </c>
      <c r="Y606" s="253">
        <v>-0.09</v>
      </c>
      <c r="Z606" s="245">
        <f ca="1">[1]ExtEntry!$L4</f>
        <v>-0.09</v>
      </c>
      <c r="AB606" s="307">
        <v>1.2464819059107359</v>
      </c>
      <c r="AC606" s="307">
        <v>1.2029493597206053</v>
      </c>
      <c r="AD606" s="307">
        <v>1.244230583985551</v>
      </c>
      <c r="AE606" s="307">
        <v>1.2479873188405799</v>
      </c>
      <c r="AF606" s="307">
        <v>1.2308916021441334</v>
      </c>
      <c r="AG606" s="307">
        <v>1.2149717813051146</v>
      </c>
      <c r="AH606" s="307">
        <v>1.2286961950059452</v>
      </c>
      <c r="AI606" s="307">
        <v>1.2286961950059452</v>
      </c>
      <c r="AJ606" s="307">
        <v>1.2323595706618962</v>
      </c>
      <c r="AK606" s="307" t="e">
        <v>#N/A</v>
      </c>
      <c r="AL606" s="307">
        <v>1.1715799319727891</v>
      </c>
      <c r="AM606" s="307">
        <v>1.1656328257191202</v>
      </c>
      <c r="AN606" s="307">
        <v>1.2071653037383177</v>
      </c>
      <c r="AO606" s="307">
        <v>1.6240998035363459</v>
      </c>
      <c r="AP606" s="307">
        <v>1.4997583454281569</v>
      </c>
      <c r="AQ606" s="307">
        <v>1.4830764262648009</v>
      </c>
      <c r="AR606" s="307">
        <v>1.4714610181559273</v>
      </c>
      <c r="AS606" s="307">
        <v>1.6070505443234837</v>
      </c>
      <c r="AT606" s="307">
        <v>1.6734145748987854</v>
      </c>
      <c r="AU606" s="307">
        <v>1.6856990212071779</v>
      </c>
      <c r="AV606" s="307">
        <f ca="1">Calc!AS4</f>
        <v>1.6856990212071779</v>
      </c>
      <c r="AX606" s="88" t="str">
        <f t="shared" ref="AX606:AX669" ca="1" si="51">A6</f>
        <v>ADEA</v>
      </c>
    </row>
    <row r="607" spans="1:70" x14ac:dyDescent="0.3">
      <c r="A607" s="88" t="str">
        <f t="shared" ca="1" si="50"/>
        <v>AET</v>
      </c>
      <c r="F607" s="245">
        <v>-0.4</v>
      </c>
      <c r="G607" s="245">
        <v>-0.8</v>
      </c>
      <c r="H607" s="245">
        <v>-1.1000000000000001</v>
      </c>
      <c r="I607" s="245">
        <v>1</v>
      </c>
      <c r="J607" s="245">
        <v>0.3</v>
      </c>
      <c r="K607" s="245">
        <v>0.7</v>
      </c>
      <c r="L607" s="245">
        <v>0.4</v>
      </c>
      <c r="M607" s="245">
        <v>0.4</v>
      </c>
      <c r="N607" s="245">
        <v>1</v>
      </c>
      <c r="O607" s="245">
        <v>1.4</v>
      </c>
      <c r="P607" s="245">
        <v>-1</v>
      </c>
      <c r="Q607" s="245">
        <v>-1</v>
      </c>
      <c r="R607" s="245">
        <v>0.7</v>
      </c>
      <c r="S607" s="245">
        <v>-3</v>
      </c>
      <c r="T607" s="245">
        <v>1</v>
      </c>
      <c r="U607" s="245">
        <v>-1.6</v>
      </c>
      <c r="V607" s="245">
        <v>0.3</v>
      </c>
      <c r="W607" s="245">
        <v>-1</v>
      </c>
      <c r="X607" s="245">
        <v>0</v>
      </c>
      <c r="Y607" s="245">
        <v>0</v>
      </c>
      <c r="Z607" s="245">
        <f ca="1">[1]ExtEntry!$L5</f>
        <v>0</v>
      </c>
      <c r="AB607" s="307">
        <v>2.2158509324009326</v>
      </c>
      <c r="AC607" s="307">
        <v>2.2579573634204277</v>
      </c>
      <c r="AD607" s="307">
        <v>2.3185367073170733</v>
      </c>
      <c r="AE607" s="307">
        <v>2.2633334523809525</v>
      </c>
      <c r="AF607" s="307">
        <v>2.2472814420803786</v>
      </c>
      <c r="AG607" s="307">
        <v>2.2106977906976746</v>
      </c>
      <c r="AH607" s="307">
        <v>2.1903226958525348</v>
      </c>
      <c r="AI607" s="307">
        <v>2.2271889400921658</v>
      </c>
      <c r="AJ607" s="307">
        <v>2.1770270270270271</v>
      </c>
      <c r="AK607" s="307" t="e">
        <v>#N/A</v>
      </c>
      <c r="AL607" s="307">
        <v>2.1218751116071433</v>
      </c>
      <c r="AM607" s="307">
        <v>2.1703197488584478</v>
      </c>
      <c r="AN607" s="307">
        <v>2.1480000000000001</v>
      </c>
      <c r="AO607" s="307">
        <v>2.1480000000000001</v>
      </c>
      <c r="AP607" s="307">
        <v>2.1013043478260869</v>
      </c>
      <c r="AQ607" s="307">
        <v>2.1770270270270271</v>
      </c>
      <c r="AR607" s="307">
        <v>2.1624161073825503</v>
      </c>
      <c r="AS607" s="307">
        <v>2.1384955752212389</v>
      </c>
      <c r="AT607" s="307">
        <v>2.1480000000000001</v>
      </c>
      <c r="AU607" s="307">
        <v>2.1480000000000001</v>
      </c>
      <c r="AV607" s="307">
        <f ca="1">Calc!AS5</f>
        <v>2.1480000000000001</v>
      </c>
      <c r="AX607" s="88" t="str">
        <f t="shared" ca="1" si="51"/>
        <v>AET</v>
      </c>
    </row>
    <row r="608" spans="1:70" x14ac:dyDescent="0.3">
      <c r="A608" s="88" t="str">
        <f t="shared" ca="1" si="50"/>
        <v>AMZN</v>
      </c>
      <c r="F608" s="253">
        <v>-3.68</v>
      </c>
      <c r="G608" s="253">
        <v>-1.23</v>
      </c>
      <c r="H608" s="253">
        <v>-1.1000000000000001</v>
      </c>
      <c r="I608" s="253">
        <v>-1.43</v>
      </c>
      <c r="J608" s="253">
        <v>3.44</v>
      </c>
      <c r="K608" s="253">
        <v>5.55</v>
      </c>
      <c r="L608" s="253">
        <v>-4.08</v>
      </c>
      <c r="M608" s="253">
        <v>-4.08</v>
      </c>
      <c r="N608" s="253">
        <v>3.14</v>
      </c>
      <c r="O608" s="253">
        <v>3.12</v>
      </c>
      <c r="P608" s="253">
        <v>2.76</v>
      </c>
      <c r="Q608" s="253">
        <v>2.2799999999999998</v>
      </c>
      <c r="R608" s="253">
        <v>-7.44</v>
      </c>
      <c r="S608" s="253">
        <v>-5.18</v>
      </c>
      <c r="T608" s="253">
        <v>0.88</v>
      </c>
      <c r="U608" s="253">
        <v>-6.3936000000000002</v>
      </c>
      <c r="V608" s="253">
        <v>1.52</v>
      </c>
      <c r="W608" s="253">
        <v>-2.89</v>
      </c>
      <c r="X608" s="253">
        <v>-10.32</v>
      </c>
      <c r="Y608" s="253">
        <v>-1.3680000000000001</v>
      </c>
      <c r="Z608" s="245">
        <f ca="1">[1]ExtEntry!$L6</f>
        <v>-1.3680000000000001</v>
      </c>
      <c r="AB608" s="307">
        <v>1.2162314801977911</v>
      </c>
      <c r="AC608" s="307">
        <v>1.2231842814649565</v>
      </c>
      <c r="AD608" s="307">
        <v>1.2271195505198864</v>
      </c>
      <c r="AE608" s="307">
        <v>1.2353564119414195</v>
      </c>
      <c r="AF608" s="307">
        <v>1.2157258407243166</v>
      </c>
      <c r="AG608" s="307">
        <v>1.1853368013331533</v>
      </c>
      <c r="AH608" s="307">
        <v>1.2075261757283782</v>
      </c>
      <c r="AI608" s="307">
        <v>1.2230534526267494</v>
      </c>
      <c r="AJ608" s="307">
        <v>1.2056832059342351</v>
      </c>
      <c r="AK608" s="307" t="e">
        <v>#N/A</v>
      </c>
      <c r="AL608" s="307">
        <v>1.1595379565581356</v>
      </c>
      <c r="AM608" s="307">
        <v>1.1480058015267176</v>
      </c>
      <c r="AN608" s="307">
        <v>1.2021924975320828</v>
      </c>
      <c r="AO608" s="307">
        <v>1.1591676714090509</v>
      </c>
      <c r="AP608" s="307">
        <v>1.1527741806554757</v>
      </c>
      <c r="AQ608" s="307">
        <v>1.1830046299030708</v>
      </c>
      <c r="AR608" s="307">
        <v>1.1793592574419365</v>
      </c>
      <c r="AS608" s="307">
        <v>1.2289577740849631</v>
      </c>
      <c r="AT608" s="307">
        <v>1.2959968546394069</v>
      </c>
      <c r="AU608" s="307">
        <v>1.3040125326654068</v>
      </c>
      <c r="AV608" s="307">
        <f ca="1">Calc!AS6</f>
        <v>1.3040125326654068</v>
      </c>
      <c r="AX608" s="88" t="str">
        <f t="shared" ca="1" si="51"/>
        <v>AMZN</v>
      </c>
    </row>
    <row r="609" spans="1:50" ht="24" customHeight="1" x14ac:dyDescent="0.3">
      <c r="A609" s="88" t="str">
        <f t="shared" ca="1" si="50"/>
        <v>ALDNE</v>
      </c>
      <c r="F609" s="245">
        <v>2E-3</v>
      </c>
      <c r="G609" s="245">
        <v>-2E-3</v>
      </c>
      <c r="H609" s="245">
        <v>-8.0000000000000002E-3</v>
      </c>
      <c r="I609" s="245">
        <v>0</v>
      </c>
      <c r="J609" s="245">
        <v>-0.01</v>
      </c>
      <c r="K609" s="245">
        <v>0.01</v>
      </c>
      <c r="L609" s="245">
        <v>0.01</v>
      </c>
      <c r="M609" s="245">
        <v>0.01</v>
      </c>
      <c r="N609" s="245">
        <v>-2E-3</v>
      </c>
      <c r="O609" s="245">
        <v>-1.2E-2</v>
      </c>
      <c r="P609" s="245">
        <v>-8.0000000000000002E-3</v>
      </c>
      <c r="Q609" s="245">
        <v>2E-3</v>
      </c>
      <c r="R609" s="245">
        <v>2.4E-2</v>
      </c>
      <c r="S609" s="245">
        <v>-2E-3</v>
      </c>
      <c r="T609" s="245">
        <v>2E-3</v>
      </c>
      <c r="U609" s="245">
        <v>-8.0000000000000002E-3</v>
      </c>
      <c r="V609" s="245">
        <v>-2E-3</v>
      </c>
      <c r="W609" s="245">
        <v>-5.3999999999999999E-2</v>
      </c>
      <c r="X609" s="245">
        <v>-0.01</v>
      </c>
      <c r="Y609" s="245">
        <v>8.0000000000000002E-3</v>
      </c>
      <c r="Z609" s="245">
        <f ca="1">[1]ExtEntry!$L7</f>
        <v>8.0000000000000002E-3</v>
      </c>
      <c r="AB609" s="307">
        <v>1.8253928571428573</v>
      </c>
      <c r="AC609" s="307">
        <v>1.8297494033412889</v>
      </c>
      <c r="AD609" s="307">
        <v>1.8473855421686749</v>
      </c>
      <c r="AE609" s="307">
        <v>1.8473855421686749</v>
      </c>
      <c r="AF609" s="307">
        <v>1.8699146341463417</v>
      </c>
      <c r="AG609" s="307">
        <v>1.8473855421686749</v>
      </c>
      <c r="AH609" s="307">
        <v>1.8253928571428573</v>
      </c>
      <c r="AI609" s="307">
        <v>1.8253928571428573</v>
      </c>
      <c r="AJ609" s="307">
        <v>1.8297494033412889</v>
      </c>
      <c r="AK609" s="307" t="e">
        <v>#N/A</v>
      </c>
      <c r="AL609" s="307">
        <v>1.8744865525672374</v>
      </c>
      <c r="AM609" s="307">
        <v>1.8699146341463417</v>
      </c>
      <c r="AN609" s="307">
        <v>1.893</v>
      </c>
      <c r="AO609" s="307">
        <v>1.9458502538071065</v>
      </c>
      <c r="AP609" s="307">
        <v>1.9409240506329115</v>
      </c>
      <c r="AQ609" s="307">
        <v>1.9607800511508953</v>
      </c>
      <c r="AR609" s="307">
        <v>1.9658076923076924</v>
      </c>
      <c r="AS609" s="307">
        <v>2.3022972972972973</v>
      </c>
      <c r="AT609" s="307">
        <v>2.2885522388059703</v>
      </c>
      <c r="AU609" s="307">
        <v>2.2286773255813959</v>
      </c>
      <c r="AV609" s="307">
        <f ca="1">Calc!AS7</f>
        <v>2.2286773255813959</v>
      </c>
      <c r="AX609" s="88" t="str">
        <f t="shared" ca="1" si="51"/>
        <v>ALDNE</v>
      </c>
    </row>
    <row r="610" spans="1:50" x14ac:dyDescent="0.3">
      <c r="A610" s="88" t="str">
        <f t="shared" ca="1" si="50"/>
        <v>ASML</v>
      </c>
      <c r="F610" s="253">
        <v>2.6</v>
      </c>
      <c r="G610" s="253">
        <v>26.4</v>
      </c>
      <c r="H610" s="253">
        <v>4.4000000000000004</v>
      </c>
      <c r="I610" s="253">
        <v>-1.7</v>
      </c>
      <c r="J610" s="253">
        <v>23.3</v>
      </c>
      <c r="K610" s="253">
        <v>-9.1999999999999993</v>
      </c>
      <c r="L610" s="253">
        <v>-19.7</v>
      </c>
      <c r="M610" s="253">
        <v>-19.7</v>
      </c>
      <c r="N610" s="253">
        <v>17.600000000000001</v>
      </c>
      <c r="O610" s="253">
        <v>6.7</v>
      </c>
      <c r="P610" s="253">
        <v>13.7</v>
      </c>
      <c r="Q610" s="253">
        <v>0.9</v>
      </c>
      <c r="R610" s="253">
        <v>18.100000000000001</v>
      </c>
      <c r="S610" s="253">
        <v>-8.5</v>
      </c>
      <c r="T610" s="253">
        <v>-11.4</v>
      </c>
      <c r="U610" s="253">
        <v>-11.3</v>
      </c>
      <c r="V610" s="253">
        <v>-24.5</v>
      </c>
      <c r="W610" s="253">
        <v>-7.4</v>
      </c>
      <c r="X610" s="253">
        <v>-6.2</v>
      </c>
      <c r="Y610" s="253">
        <v>21</v>
      </c>
      <c r="Z610" s="245">
        <f ca="1">[1]ExtEntry!$L8</f>
        <v>21</v>
      </c>
      <c r="AB610" s="307">
        <v>0.89534609024332623</v>
      </c>
      <c r="AC610" s="307">
        <v>0.86827033218785798</v>
      </c>
      <c r="AD610" s="307">
        <v>0.86391611579667205</v>
      </c>
      <c r="AE610" s="307">
        <v>0.86559323969395907</v>
      </c>
      <c r="AF610" s="307">
        <v>0.84315906562847609</v>
      </c>
      <c r="AG610" s="307">
        <v>0.85187682625309058</v>
      </c>
      <c r="AH610" s="307">
        <v>0.87116423399609233</v>
      </c>
      <c r="AI610" s="307">
        <v>1.0043710607976095</v>
      </c>
      <c r="AJ610" s="307">
        <v>0.98445787991438549</v>
      </c>
      <c r="AK610" s="307" t="e">
        <v>#N/A</v>
      </c>
      <c r="AL610" s="307">
        <v>1.0324303490804976</v>
      </c>
      <c r="AM610" s="307">
        <v>1.0332268018514437</v>
      </c>
      <c r="AN610" s="307">
        <v>1.0046968106666667</v>
      </c>
      <c r="AO610" s="307">
        <v>1.0260384095860566</v>
      </c>
      <c r="AP610" s="307">
        <v>1.0389402823737039</v>
      </c>
      <c r="AQ610" s="307">
        <v>1.0520532335529991</v>
      </c>
      <c r="AR610" s="307">
        <v>1.08165280202113</v>
      </c>
      <c r="AS610" s="307">
        <v>1.0775692254890745</v>
      </c>
      <c r="AT610" s="307">
        <v>1.0960010006981615</v>
      </c>
      <c r="AU610" s="307">
        <v>1.0623767877284007</v>
      </c>
      <c r="AV610" s="307">
        <f ca="1">Calc!AS8</f>
        <v>1.0623767877284007</v>
      </c>
      <c r="AX610" s="88" t="str">
        <f t="shared" ca="1" si="51"/>
        <v>ASML</v>
      </c>
    </row>
    <row r="611" spans="1:50" x14ac:dyDescent="0.3">
      <c r="A611" s="88" t="str">
        <f t="shared" ca="1" si="50"/>
        <v>AVGO</v>
      </c>
      <c r="F611" s="253">
        <v>-12.57</v>
      </c>
      <c r="G611" s="253">
        <v>6.66</v>
      </c>
      <c r="H611" s="253">
        <v>2.82</v>
      </c>
      <c r="I611" s="253">
        <v>-4.82</v>
      </c>
      <c r="J611" s="253">
        <v>-0.09</v>
      </c>
      <c r="K611" s="253">
        <v>-6.58</v>
      </c>
      <c r="L611" s="253">
        <v>-2.36</v>
      </c>
      <c r="M611" s="253">
        <v>-2.36</v>
      </c>
      <c r="N611" s="253">
        <v>3.99</v>
      </c>
      <c r="O611" s="253">
        <v>9.84</v>
      </c>
      <c r="P611" s="253">
        <v>7.92</v>
      </c>
      <c r="Q611" s="253">
        <v>10.92</v>
      </c>
      <c r="R611" s="253">
        <v>-9.51</v>
      </c>
      <c r="S611" s="253">
        <v>-10.3111</v>
      </c>
      <c r="T611" s="253">
        <v>7.04</v>
      </c>
      <c r="U611" s="253">
        <v>-3.38</v>
      </c>
      <c r="V611" s="253">
        <v>-8.2050000000000001</v>
      </c>
      <c r="W611" s="253">
        <v>2.48</v>
      </c>
      <c r="X611" s="253">
        <v>-2.15</v>
      </c>
      <c r="Y611" s="253">
        <v>7.47</v>
      </c>
      <c r="Z611" s="245">
        <f ca="1">[1]ExtEntry!$L9</f>
        <v>7.47</v>
      </c>
      <c r="AB611" s="307">
        <v>1.031761253014849</v>
      </c>
      <c r="AC611" s="307">
        <v>1.0121725248724307</v>
      </c>
      <c r="AD611" s="307">
        <v>1.002569532683891</v>
      </c>
      <c r="AE611" s="307">
        <v>1.0164028282712623</v>
      </c>
      <c r="AF611" s="307">
        <v>1.0166647577597068</v>
      </c>
      <c r="AG611" s="307">
        <v>1.0361874744644837</v>
      </c>
      <c r="AH611" s="307">
        <v>1.0433734939759036</v>
      </c>
      <c r="AI611" s="307">
        <v>1.0883482221569203</v>
      </c>
      <c r="AJ611" s="307">
        <v>1.0757352813035521</v>
      </c>
      <c r="AK611" s="307" t="e">
        <v>#N/A</v>
      </c>
      <c r="AL611" s="307">
        <v>0.98069327440961196</v>
      </c>
      <c r="AM611" s="307">
        <v>0.95198005201490732</v>
      </c>
      <c r="AN611" s="307">
        <v>1.042265386352166</v>
      </c>
      <c r="AO611" s="307">
        <v>1.1139645564416649</v>
      </c>
      <c r="AP611" s="307">
        <v>1.0930459914201347</v>
      </c>
      <c r="AQ611" s="307">
        <v>1.1034354611923509</v>
      </c>
      <c r="AR611" s="307">
        <v>1.1295296285101544</v>
      </c>
      <c r="AS611" s="307">
        <v>1.1457736669976055</v>
      </c>
      <c r="AT611" s="307">
        <v>1.1523690161527165</v>
      </c>
      <c r="AU611" s="307">
        <v>1.1276306865534385</v>
      </c>
      <c r="AV611" s="307">
        <f ca="1">Calc!AS9</f>
        <v>1.1276306865534385</v>
      </c>
      <c r="AX611" s="88" t="str">
        <f t="shared" ca="1" si="51"/>
        <v>AVGO</v>
      </c>
    </row>
    <row r="612" spans="1:50" hidden="1" x14ac:dyDescent="0.3">
      <c r="A612" s="88" t="str">
        <f t="shared" ca="1" si="50"/>
        <v>AZN</v>
      </c>
      <c r="F612" s="253">
        <v>0.61</v>
      </c>
      <c r="G612" s="253">
        <v>-0.17499999999999999</v>
      </c>
      <c r="H612" s="253">
        <v>-1</v>
      </c>
      <c r="I612" s="253">
        <v>0.86</v>
      </c>
      <c r="J612" s="253">
        <v>-0.82</v>
      </c>
      <c r="K612" s="253">
        <v>-0.65</v>
      </c>
      <c r="L612" s="253">
        <v>0.21</v>
      </c>
      <c r="M612" s="253">
        <v>0.21</v>
      </c>
      <c r="N612" s="253">
        <v>-0.03</v>
      </c>
      <c r="O612" s="253">
        <v>-0.11</v>
      </c>
      <c r="P612" s="253">
        <v>0.77</v>
      </c>
      <c r="Q612" s="253">
        <v>-1.45</v>
      </c>
      <c r="R612" s="253">
        <v>0.11</v>
      </c>
      <c r="S612" s="253">
        <v>0.2351</v>
      </c>
      <c r="T612" s="253">
        <v>-0.88</v>
      </c>
      <c r="U612" s="253">
        <v>2.5449999999999999</v>
      </c>
      <c r="V612" s="253">
        <v>0.78500000000000003</v>
      </c>
      <c r="W612" s="253">
        <v>0.49</v>
      </c>
      <c r="X612" s="253">
        <v>0.15</v>
      </c>
      <c r="Y612" s="253">
        <v>-0.57989999999999997</v>
      </c>
      <c r="Z612" s="245">
        <f ca="1">[1]ExtEntry!$L10</f>
        <v>-0.57989999999999997</v>
      </c>
      <c r="AB612" s="307">
        <v>1.0252584586466165</v>
      </c>
      <c r="AC612" s="307">
        <v>1.0273706515980929</v>
      </c>
      <c r="AD612" s="307">
        <v>1.0410354288440893</v>
      </c>
      <c r="AE612" s="307">
        <v>1.030464045341835</v>
      </c>
      <c r="AF612" s="307">
        <v>1.040538929295338</v>
      </c>
      <c r="AG612" s="307">
        <v>1.0486661860129776</v>
      </c>
      <c r="AH612" s="307">
        <v>1.0460266091334052</v>
      </c>
      <c r="AI612" s="307">
        <v>1.0759918494546326</v>
      </c>
      <c r="AJ612" s="307">
        <v>1.0763788968824939</v>
      </c>
      <c r="AK612" s="307" t="e">
        <v>#N/A</v>
      </c>
      <c r="AL612" s="307">
        <v>1.0381870092790864</v>
      </c>
      <c r="AM612" s="307">
        <v>1.056409635637332</v>
      </c>
      <c r="AN612" s="307">
        <v>1.132532547971824</v>
      </c>
      <c r="AO612" s="307">
        <v>1.1378514576884171</v>
      </c>
      <c r="AP612" s="307">
        <v>1.1491402341343191</v>
      </c>
      <c r="AQ612" s="307">
        <v>1.1141971443933329</v>
      </c>
      <c r="AR612" s="307">
        <v>1.1028647625805688</v>
      </c>
      <c r="AS612" s="307">
        <v>1.0466075196408531</v>
      </c>
      <c r="AT612" s="307">
        <v>1.0413481853713009</v>
      </c>
      <c r="AU612" s="307">
        <v>1.0481356096036758</v>
      </c>
      <c r="AV612" s="306">
        <f ca="1">Calc!AS10</f>
        <v>1.0481356096036758</v>
      </c>
      <c r="AX612" s="88" t="str">
        <f t="shared" ca="1" si="51"/>
        <v>AZN</v>
      </c>
    </row>
    <row r="613" spans="1:50" hidden="1" x14ac:dyDescent="0.3">
      <c r="A613" s="88" t="str">
        <f t="shared" ca="1" si="50"/>
        <v>BLDP</v>
      </c>
      <c r="F613" s="253">
        <v>0.49</v>
      </c>
      <c r="G613" s="253">
        <v>-0.20499999999999999</v>
      </c>
      <c r="H613" s="253">
        <v>-0.09</v>
      </c>
      <c r="I613" s="253">
        <v>-0.04</v>
      </c>
      <c r="J613" s="253">
        <v>0.01</v>
      </c>
      <c r="K613" s="253">
        <v>-0.31</v>
      </c>
      <c r="L613" s="253">
        <v>-0.05</v>
      </c>
      <c r="M613" s="253">
        <v>-0.05</v>
      </c>
      <c r="N613" s="253">
        <v>0</v>
      </c>
      <c r="O613" s="253">
        <v>0.16</v>
      </c>
      <c r="P613" s="253">
        <v>-0.03</v>
      </c>
      <c r="Q613" s="253">
        <v>0.03</v>
      </c>
      <c r="R613" s="253">
        <v>-0.1</v>
      </c>
      <c r="S613" s="253">
        <v>-0.16500000000000001</v>
      </c>
      <c r="T613" s="253">
        <v>0.28000000000000003</v>
      </c>
      <c r="U613" s="253">
        <v>-0.08</v>
      </c>
      <c r="V613" s="253">
        <v>-6.5000000000000002E-2</v>
      </c>
      <c r="W613" s="253">
        <v>-0.16</v>
      </c>
      <c r="X613" s="253">
        <v>-0.02</v>
      </c>
      <c r="Y613" s="253">
        <v>-4.8000000000000001E-2</v>
      </c>
      <c r="Z613" s="245">
        <f ca="1">[1]ExtEntry!$L11</f>
        <v>-4.8000000000000001E-2</v>
      </c>
      <c r="AB613" s="307">
        <v>0.58186683417085427</v>
      </c>
      <c r="AC613" s="307">
        <v>0.61346490066225168</v>
      </c>
      <c r="AD613" s="307">
        <v>0.63101634877384194</v>
      </c>
      <c r="AE613" s="307">
        <v>0.63796969696969696</v>
      </c>
      <c r="AF613" s="307">
        <v>0.63621703296703291</v>
      </c>
      <c r="AG613" s="307">
        <v>0.69544444444444442</v>
      </c>
      <c r="AH613" s="307">
        <v>0.7060457317073171</v>
      </c>
      <c r="AI613" s="307">
        <v>0.74161585365853666</v>
      </c>
      <c r="AJ613" s="307">
        <v>0.74161585365853666</v>
      </c>
      <c r="AK613" s="307" t="e">
        <v>#N/A</v>
      </c>
      <c r="AL613" s="307">
        <v>0.67912903225806454</v>
      </c>
      <c r="AM613" s="307">
        <v>0.67320639534883719</v>
      </c>
      <c r="AN613" s="307">
        <v>0.79941860465116277</v>
      </c>
      <c r="AO613" s="307">
        <v>0.81001472754050075</v>
      </c>
      <c r="AP613" s="307">
        <v>0.75342465753424659</v>
      </c>
      <c r="AQ613" s="307">
        <v>0.77030812324929976</v>
      </c>
      <c r="AR613" s="307">
        <v>0.78909612625538028</v>
      </c>
      <c r="AS613" s="307">
        <v>0.90759075907590769</v>
      </c>
      <c r="AT613" s="307">
        <v>0.95155709342560546</v>
      </c>
      <c r="AU613" s="307">
        <v>0.96762843068261783</v>
      </c>
      <c r="AV613" s="306">
        <f ca="1">Calc!AS11</f>
        <v>0.96762843068261783</v>
      </c>
      <c r="AX613" s="88" t="str">
        <f t="shared" ca="1" si="51"/>
        <v>BLDP</v>
      </c>
    </row>
    <row r="614" spans="1:50" hidden="1" x14ac:dyDescent="0.3">
      <c r="A614" s="88" t="str">
        <f t="shared" ca="1" si="50"/>
        <v>BMRA</v>
      </c>
      <c r="F614" s="253">
        <v>0.08</v>
      </c>
      <c r="G614" s="253">
        <v>-0.02</v>
      </c>
      <c r="H614" s="253">
        <v>0.15</v>
      </c>
      <c r="I614" s="253">
        <v>-0.03</v>
      </c>
      <c r="J614" s="253">
        <v>0.14000000000000001</v>
      </c>
      <c r="K614" s="253">
        <v>0.08</v>
      </c>
      <c r="L614" s="253">
        <v>-0.27</v>
      </c>
      <c r="M614" s="253">
        <v>-0.25</v>
      </c>
      <c r="N614" s="253">
        <v>-0.02</v>
      </c>
      <c r="O614" s="253">
        <v>0.05</v>
      </c>
      <c r="P614" s="253">
        <v>0</v>
      </c>
      <c r="Q614" s="253">
        <v>-0.03</v>
      </c>
      <c r="R614" s="253">
        <v>-0.03</v>
      </c>
      <c r="S614" s="253">
        <v>-0.23</v>
      </c>
      <c r="T614" s="253">
        <v>0.1</v>
      </c>
      <c r="U614" s="253">
        <v>-0.03</v>
      </c>
      <c r="V614" s="253">
        <v>-5.2499999999999998E-2</v>
      </c>
      <c r="W614" s="253">
        <v>-0.09</v>
      </c>
      <c r="X614" s="253">
        <v>-0.04</v>
      </c>
      <c r="Y614" s="253">
        <v>-3.5000000000000003E-2</v>
      </c>
      <c r="Z614" s="245">
        <f ca="1">[1]ExtEntry!$L12</f>
        <v>-3.5000000000000003E-2</v>
      </c>
      <c r="AB614" s="307">
        <v>0</v>
      </c>
      <c r="AC614" s="307">
        <v>0</v>
      </c>
      <c r="AD614" s="307">
        <v>0</v>
      </c>
      <c r="AE614" s="307">
        <v>0</v>
      </c>
      <c r="AF614" s="307">
        <v>0</v>
      </c>
      <c r="AG614" s="307">
        <v>0</v>
      </c>
      <c r="AH614" s="307">
        <v>0</v>
      </c>
      <c r="AI614" s="307">
        <v>0</v>
      </c>
      <c r="AJ614" s="307">
        <v>0</v>
      </c>
      <c r="AK614" s="307" t="e">
        <v>#N/A</v>
      </c>
      <c r="AL614" s="307">
        <v>0</v>
      </c>
      <c r="AM614" s="307">
        <v>0</v>
      </c>
      <c r="AN614" s="307">
        <v>0</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3.71</v>
      </c>
      <c r="G615" s="253">
        <v>-0.59299999999999997</v>
      </c>
      <c r="H615" s="253">
        <v>-3.5</v>
      </c>
      <c r="I615" s="253">
        <v>0.81</v>
      </c>
      <c r="J615" s="253">
        <v>2.2200000000000002</v>
      </c>
      <c r="K615" s="253">
        <v>-1.05</v>
      </c>
      <c r="L615" s="253">
        <v>-1.93</v>
      </c>
      <c r="M615" s="253">
        <v>-1.93</v>
      </c>
      <c r="N615" s="253">
        <v>0.36</v>
      </c>
      <c r="O615" s="253">
        <v>2.105</v>
      </c>
      <c r="P615" s="253">
        <v>2.2400000000000002</v>
      </c>
      <c r="Q615" s="253">
        <v>0.4</v>
      </c>
      <c r="R615" s="253">
        <v>1.1200000000000001</v>
      </c>
      <c r="S615" s="253">
        <v>-0.65</v>
      </c>
      <c r="T615" s="253">
        <v>0.71</v>
      </c>
      <c r="U615" s="253">
        <v>-0.68</v>
      </c>
      <c r="V615" s="253">
        <v>-0.33</v>
      </c>
      <c r="W615" s="253">
        <v>-0.37</v>
      </c>
      <c r="X615" s="253">
        <v>0.13</v>
      </c>
      <c r="Y615" s="253">
        <v>1.28</v>
      </c>
      <c r="Z615" s="245">
        <f ca="1">[1]ExtEntry!$L13</f>
        <v>1.28</v>
      </c>
      <c r="AB615" s="307">
        <v>1.0174092776274921</v>
      </c>
      <c r="AC615" s="307">
        <v>1.0231807510554474</v>
      </c>
      <c r="AD615" s="307">
        <v>1.0547114665558786</v>
      </c>
      <c r="AE615" s="307">
        <v>1.046127742865973</v>
      </c>
      <c r="AF615" s="307">
        <v>1.0227376372242925</v>
      </c>
      <c r="AG615" s="307">
        <v>1.0335635623409669</v>
      </c>
      <c r="AH615" s="307">
        <v>1.0542734634551496</v>
      </c>
      <c r="AI615" s="307">
        <v>1.1487007890365448</v>
      </c>
      <c r="AJ615" s="307">
        <v>1.1446602524312022</v>
      </c>
      <c r="AK615" s="307" t="e">
        <v>#N/A</v>
      </c>
      <c r="AL615" s="307">
        <v>1.0052229261532371</v>
      </c>
      <c r="AM615" s="307">
        <v>1.0015545911825623</v>
      </c>
      <c r="AN615" s="307">
        <v>1.1299072226656026</v>
      </c>
      <c r="AO615" s="307">
        <v>1.126801703645008</v>
      </c>
      <c r="AP615" s="307">
        <v>1.1183828155721589</v>
      </c>
      <c r="AQ615" s="307">
        <v>1.1262439362439363</v>
      </c>
      <c r="AR615" s="307">
        <v>1.131733983286908</v>
      </c>
      <c r="AS615" s="307">
        <v>1.1342163509471586</v>
      </c>
      <c r="AT615" s="307">
        <v>1.1570575671277461</v>
      </c>
      <c r="AU615" s="307">
        <v>1.1421877510040161</v>
      </c>
      <c r="AV615" s="306">
        <f ca="1">Calc!AS13</f>
        <v>1.1421877510040161</v>
      </c>
      <c r="AX615" s="88" t="str">
        <f t="shared" ca="1" si="51"/>
        <v>C</v>
      </c>
    </row>
    <row r="616" spans="1:50" hidden="1" x14ac:dyDescent="0.3">
      <c r="A616" s="88" t="str">
        <f t="shared" ca="1" si="50"/>
        <v>CSCO</v>
      </c>
      <c r="F616" s="253">
        <v>1.2</v>
      </c>
      <c r="G616" s="253">
        <v>0.76500000000000001</v>
      </c>
      <c r="H616" s="253">
        <v>-0.43</v>
      </c>
      <c r="I616" s="253">
        <v>1.04</v>
      </c>
      <c r="J616" s="253">
        <v>0.52</v>
      </c>
      <c r="K616" s="253">
        <v>7.0000000000000007E-2</v>
      </c>
      <c r="L616" s="253">
        <v>-0.06</v>
      </c>
      <c r="M616" s="253">
        <v>-0.06</v>
      </c>
      <c r="N616" s="253">
        <v>-0.39</v>
      </c>
      <c r="O616" s="253">
        <v>0.36</v>
      </c>
      <c r="P616" s="253">
        <v>0.76</v>
      </c>
      <c r="Q616" s="253">
        <v>1.23</v>
      </c>
      <c r="R616" s="253">
        <v>1.58</v>
      </c>
      <c r="S616" s="253">
        <v>-2.0449999999999999</v>
      </c>
      <c r="T616" s="253">
        <v>-0.22</v>
      </c>
      <c r="U616" s="253">
        <v>-0.94499999999999995</v>
      </c>
      <c r="V616" s="253">
        <v>-0.115</v>
      </c>
      <c r="W616" s="253">
        <v>0.62</v>
      </c>
      <c r="X616" s="253">
        <v>-0.41</v>
      </c>
      <c r="Y616" s="253">
        <v>0.90359999999999996</v>
      </c>
      <c r="Z616" s="245">
        <f ca="1">[1]ExtEntry!$L14</f>
        <v>0.90359999999999996</v>
      </c>
      <c r="AB616" s="307">
        <v>1.1042056510340812</v>
      </c>
      <c r="AC616" s="307">
        <v>1.0920383147281241</v>
      </c>
      <c r="AD616" s="307">
        <v>1.0973333333333333</v>
      </c>
      <c r="AE616" s="307">
        <v>1.0810603165549695</v>
      </c>
      <c r="AF616" s="307">
        <v>1.0731034677990092</v>
      </c>
      <c r="AG616" s="307">
        <v>1.0720412895927602</v>
      </c>
      <c r="AH616" s="307">
        <v>1.0729515992074725</v>
      </c>
      <c r="AI616" s="307">
        <v>1.0796907727144069</v>
      </c>
      <c r="AJ616" s="307">
        <v>1.0856830795503059</v>
      </c>
      <c r="AK616" s="307" t="e">
        <v>#N/A</v>
      </c>
      <c r="AL616" s="307">
        <v>1.061980109259</v>
      </c>
      <c r="AM616" s="307">
        <v>1.0439928394381712</v>
      </c>
      <c r="AN616" s="307">
        <v>1.0463715539706486</v>
      </c>
      <c r="AO616" s="307">
        <v>1.0536696360748565</v>
      </c>
      <c r="AP616" s="307">
        <v>1.0581269070735091</v>
      </c>
      <c r="AQ616" s="307">
        <v>1.0721797484365116</v>
      </c>
      <c r="AR616" s="307">
        <v>1.0756566795911173</v>
      </c>
      <c r="AS616" s="307">
        <v>0.97808910256410253</v>
      </c>
      <c r="AT616" s="307">
        <v>0.9860533798629959</v>
      </c>
      <c r="AU616" s="307">
        <v>0.97467025919339334</v>
      </c>
      <c r="AV616" s="306">
        <f ca="1">Calc!AS14</f>
        <v>0.97467025919339334</v>
      </c>
      <c r="AX616" s="88" t="str">
        <f t="shared" ca="1" si="51"/>
        <v>CSCO</v>
      </c>
    </row>
    <row r="617" spans="1:50" hidden="1" x14ac:dyDescent="0.3">
      <c r="A617" s="88" t="str">
        <f t="shared" ca="1" si="50"/>
        <v>CVS</v>
      </c>
      <c r="F617" s="253">
        <v>1.24</v>
      </c>
      <c r="G617" s="253">
        <v>1.45</v>
      </c>
      <c r="H617" s="253">
        <v>0.73</v>
      </c>
      <c r="I617" s="253">
        <v>1.1499999999999999</v>
      </c>
      <c r="J617" s="253">
        <v>-7.0000000000000007E-2</v>
      </c>
      <c r="K617" s="253">
        <v>0.54</v>
      </c>
      <c r="L617" s="253">
        <v>-1</v>
      </c>
      <c r="M617" s="253">
        <v>-1</v>
      </c>
      <c r="N617" s="253">
        <v>-0.27500000000000002</v>
      </c>
      <c r="O617" s="253">
        <v>0.83</v>
      </c>
      <c r="P617" s="253">
        <v>0.51500000000000001</v>
      </c>
      <c r="Q617" s="253">
        <v>-0.26</v>
      </c>
      <c r="R617" s="253">
        <v>-3.91</v>
      </c>
      <c r="S617" s="253">
        <v>-0.33</v>
      </c>
      <c r="T617" s="253">
        <v>0.48</v>
      </c>
      <c r="U617" s="253">
        <v>0.18</v>
      </c>
      <c r="V617" s="253">
        <v>0.18</v>
      </c>
      <c r="W617" s="253">
        <v>-1.37</v>
      </c>
      <c r="X617" s="253">
        <v>-0.47</v>
      </c>
      <c r="Y617" s="253">
        <v>-1.52</v>
      </c>
      <c r="Z617" s="245">
        <f ca="1">[1]ExtEntry!$L15</f>
        <v>-1.52</v>
      </c>
      <c r="AB617" s="307">
        <v>1.0300263554216866</v>
      </c>
      <c r="AC617" s="307">
        <v>1.0118666009123414</v>
      </c>
      <c r="AD617" s="307">
        <v>1.0082616707616707</v>
      </c>
      <c r="AE617" s="307">
        <v>0.99457707222491532</v>
      </c>
      <c r="AF617" s="307">
        <v>0.99542146755609462</v>
      </c>
      <c r="AG617" s="307">
        <v>0.98858708744880763</v>
      </c>
      <c r="AH617" s="307">
        <v>1.0003961482203803</v>
      </c>
      <c r="AI617" s="307">
        <v>1.0213514139444173</v>
      </c>
      <c r="AJ617" s="307">
        <v>1.0335718514863699</v>
      </c>
      <c r="AK617" s="307" t="e">
        <v>#N/A</v>
      </c>
      <c r="AL617" s="307">
        <v>0.99548183637576582</v>
      </c>
      <c r="AM617" s="307">
        <v>0.9985703856916901</v>
      </c>
      <c r="AN617" s="307">
        <v>1.1626026861390011</v>
      </c>
      <c r="AO617" s="307">
        <v>1.1583664063500192</v>
      </c>
      <c r="AP617" s="307">
        <v>1.1517311608961303</v>
      </c>
      <c r="AQ617" s="307">
        <v>1.1492442525085735</v>
      </c>
      <c r="AR617" s="307">
        <v>1.147640791476408</v>
      </c>
      <c r="AS617" s="307">
        <v>1.1619365609348915</v>
      </c>
      <c r="AT617" s="307">
        <v>1.1608929946112394</v>
      </c>
      <c r="AU617" s="307">
        <v>1.1839832504579952</v>
      </c>
      <c r="AV617" s="306">
        <f ca="1">Calc!AS15</f>
        <v>1.1839832504579952</v>
      </c>
      <c r="AX617" s="88" t="str">
        <f t="shared" ca="1" si="51"/>
        <v>CVS</v>
      </c>
    </row>
    <row r="618" spans="1:50" hidden="1" x14ac:dyDescent="0.3">
      <c r="A618" s="88" t="str">
        <f t="shared" ca="1" si="50"/>
        <v>DDD</v>
      </c>
      <c r="F618" s="253">
        <v>-0.03</v>
      </c>
      <c r="G618" s="253">
        <v>0.17</v>
      </c>
      <c r="H618" s="253">
        <v>-0.01</v>
      </c>
      <c r="I618" s="253">
        <v>-0.15</v>
      </c>
      <c r="J618" s="253">
        <v>0.67500000000000004</v>
      </c>
      <c r="K618" s="253">
        <v>-0.41</v>
      </c>
      <c r="L618" s="253">
        <v>-0.375</v>
      </c>
      <c r="M618" s="253">
        <v>-0.375</v>
      </c>
      <c r="N618" s="253">
        <v>6.5000000000000002E-2</v>
      </c>
      <c r="O618" s="253">
        <v>4.4999999999999998E-2</v>
      </c>
      <c r="P618" s="253">
        <v>-5.5E-2</v>
      </c>
      <c r="Q618" s="253">
        <v>0.125</v>
      </c>
      <c r="R618" s="253">
        <v>-0.21</v>
      </c>
      <c r="S618" s="253">
        <v>-0.16520000000000001</v>
      </c>
      <c r="T618" s="253">
        <v>-0.02</v>
      </c>
      <c r="U618" s="253">
        <v>-0.33500000000000002</v>
      </c>
      <c r="V618" s="253">
        <v>-2.5000000000000001E-2</v>
      </c>
      <c r="W618" s="253">
        <v>0</v>
      </c>
      <c r="X618" s="253">
        <v>0</v>
      </c>
      <c r="Y618" s="253">
        <v>-3.5000000000000003E-2</v>
      </c>
      <c r="Z618" s="245">
        <f ca="1">[1]ExtEntry!$L16</f>
        <v>-3.5000000000000003E-2</v>
      </c>
      <c r="AB618" s="307">
        <v>1.0551948051948052</v>
      </c>
      <c r="AC618" s="307">
        <v>1</v>
      </c>
      <c r="AD618" s="307">
        <v>0.99693251533742333</v>
      </c>
      <c r="AE618" s="307">
        <v>1.045016077170418</v>
      </c>
      <c r="AF618" s="307">
        <v>0.85865257595772781</v>
      </c>
      <c r="AG618" s="307">
        <v>0.96439169139465875</v>
      </c>
      <c r="AH618" s="307">
        <v>1.08153078202995</v>
      </c>
      <c r="AI618" s="307">
        <v>1.08153078202995</v>
      </c>
      <c r="AJ618" s="307">
        <v>1.056910569105691</v>
      </c>
      <c r="AK618" s="307" t="e">
        <v>#N/A</v>
      </c>
      <c r="AL618" s="307">
        <v>1.056910569105691</v>
      </c>
      <c r="AM618" s="307">
        <v>1.0172143974960877</v>
      </c>
      <c r="AN618" s="307">
        <v>1.1524822695035462</v>
      </c>
      <c r="AO618" s="307">
        <v>1.2525050100200399</v>
      </c>
      <c r="AP618" s="307">
        <v>1.25</v>
      </c>
      <c r="AQ618" s="307">
        <v>1.434878587196468</v>
      </c>
      <c r="AR618" s="307">
        <v>1.4606741573033708</v>
      </c>
      <c r="AS618" s="307">
        <v>1.5046296296296295</v>
      </c>
      <c r="AT618" s="307">
        <v>1.5625</v>
      </c>
      <c r="AU618" s="307">
        <v>1.5892420537897312</v>
      </c>
      <c r="AV618" s="306">
        <f ca="1">Calc!AS16</f>
        <v>1.5892420537897312</v>
      </c>
      <c r="AX618" s="88" t="str">
        <f t="shared" ca="1" si="51"/>
        <v>DDD</v>
      </c>
    </row>
    <row r="619" spans="1:50" hidden="1" x14ac:dyDescent="0.3">
      <c r="A619" s="88" t="str">
        <f t="shared" ca="1" si="50"/>
        <v>DIS</v>
      </c>
      <c r="F619" s="253">
        <v>0.89500000000000002</v>
      </c>
      <c r="G619" s="253">
        <v>0.83499999999999996</v>
      </c>
      <c r="H619" s="253">
        <v>-1.8149999999999999</v>
      </c>
      <c r="I619" s="253">
        <v>0.79</v>
      </c>
      <c r="J619" s="253">
        <v>1.31</v>
      </c>
      <c r="K619" s="253">
        <v>2.35</v>
      </c>
      <c r="L619" s="253">
        <v>-1.2</v>
      </c>
      <c r="M619" s="253">
        <v>-1.2</v>
      </c>
      <c r="N619" s="253">
        <v>-0.06</v>
      </c>
      <c r="O619" s="253">
        <v>-1.36</v>
      </c>
      <c r="P619" s="253">
        <v>0.63</v>
      </c>
      <c r="Q619" s="253">
        <v>-0.67500000000000004</v>
      </c>
      <c r="R619" s="253">
        <v>1.6</v>
      </c>
      <c r="S619" s="253">
        <v>-0.78</v>
      </c>
      <c r="T619" s="253">
        <v>-0.13</v>
      </c>
      <c r="U619" s="253">
        <v>-1.2</v>
      </c>
      <c r="V619" s="253">
        <v>0.24</v>
      </c>
      <c r="W619" s="253">
        <v>-1.81</v>
      </c>
      <c r="X619" s="253">
        <v>0.59</v>
      </c>
      <c r="Y619" s="253">
        <v>-0.98</v>
      </c>
      <c r="Z619" s="245">
        <f ca="1">[1]ExtEntry!$L17</f>
        <v>-0.98</v>
      </c>
      <c r="AB619" s="307">
        <v>1.1894565735618225</v>
      </c>
      <c r="AC619" s="307">
        <v>1.1805360474978797</v>
      </c>
      <c r="AD619" s="307">
        <v>1.203202511488239</v>
      </c>
      <c r="AE619" s="307">
        <v>1.194776723592663</v>
      </c>
      <c r="AF619" s="307">
        <v>1.1807996070726916</v>
      </c>
      <c r="AG619" s="307">
        <v>1.1567311696264544</v>
      </c>
      <c r="AH619" s="307">
        <v>1.1691064544650753</v>
      </c>
      <c r="AI619" s="307">
        <v>1.1845177718832893</v>
      </c>
      <c r="AJ619" s="307">
        <v>1.1853562201380288</v>
      </c>
      <c r="AK619" s="307" t="e">
        <v>#N/A</v>
      </c>
      <c r="AL619" s="307">
        <v>1.177330068560235</v>
      </c>
      <c r="AM619" s="307">
        <v>1.1841305691129718</v>
      </c>
      <c r="AN619" s="307">
        <v>1.1987875536480685</v>
      </c>
      <c r="AO619" s="307">
        <v>1.2041710077240881</v>
      </c>
      <c r="AP619" s="307">
        <v>1.2041710077240881</v>
      </c>
      <c r="AQ619" s="307">
        <v>1.2170697167755991</v>
      </c>
      <c r="AR619" s="307">
        <v>1.2108046599837441</v>
      </c>
      <c r="AS619" s="307">
        <v>1.2672249527410206</v>
      </c>
      <c r="AT619" s="307">
        <v>1.2615016936394428</v>
      </c>
      <c r="AU619" s="307">
        <v>1.2732421652421653</v>
      </c>
      <c r="AV619" s="306">
        <f ca="1">Calc!AS17</f>
        <v>1.2732421652421653</v>
      </c>
      <c r="AX619" s="88" t="str">
        <f t="shared" ca="1" si="51"/>
        <v>DIS</v>
      </c>
    </row>
    <row r="620" spans="1:50" hidden="1" x14ac:dyDescent="0.3">
      <c r="A620" s="88" t="str">
        <f t="shared" ca="1" si="50"/>
        <v>DSY</v>
      </c>
      <c r="F620" s="253">
        <v>-0.46</v>
      </c>
      <c r="G620" s="253">
        <v>0.53</v>
      </c>
      <c r="H620" s="253">
        <v>0.5</v>
      </c>
      <c r="I620" s="253">
        <v>-0.05</v>
      </c>
      <c r="J620" s="253">
        <v>0.45</v>
      </c>
      <c r="K620" s="253">
        <v>0.49</v>
      </c>
      <c r="L620" s="253">
        <v>-0.15</v>
      </c>
      <c r="M620" s="253">
        <v>-0.15</v>
      </c>
      <c r="N620" s="253">
        <v>-3.91</v>
      </c>
      <c r="O620" s="253">
        <v>-0.52</v>
      </c>
      <c r="P620" s="253">
        <v>-0.28000000000000003</v>
      </c>
      <c r="Q620" s="253">
        <v>-0.44</v>
      </c>
      <c r="R620" s="253">
        <v>0.02</v>
      </c>
      <c r="S620" s="253">
        <v>-0.32</v>
      </c>
      <c r="T620" s="253">
        <v>-0.06</v>
      </c>
      <c r="U620" s="253">
        <v>-0.72</v>
      </c>
      <c r="V620" s="253">
        <v>0.08</v>
      </c>
      <c r="W620" s="253">
        <v>-0.24</v>
      </c>
      <c r="X620" s="253">
        <v>-0.01</v>
      </c>
      <c r="Y620" s="253">
        <v>0.2</v>
      </c>
      <c r="Z620" s="245">
        <f ca="1">[1]ExtEntry!$L18</f>
        <v>0.2</v>
      </c>
      <c r="AB620" s="307">
        <v>1.2544582010582011</v>
      </c>
      <c r="AC620" s="307">
        <v>1.2314366343490306</v>
      </c>
      <c r="AD620" s="307">
        <v>1.2104795779441797</v>
      </c>
      <c r="AE620" s="307">
        <v>1.2125431299011251</v>
      </c>
      <c r="AF620" s="307">
        <v>1.1942206178643384</v>
      </c>
      <c r="AG620" s="307">
        <v>1.1748889990089197</v>
      </c>
      <c r="AH620" s="307">
        <v>1.1807400398406374</v>
      </c>
      <c r="AI620" s="307">
        <v>1.1737310756972112</v>
      </c>
      <c r="AJ620" s="307">
        <v>1.3488279282716522</v>
      </c>
      <c r="AK620" s="307" t="e">
        <v>#N/A</v>
      </c>
      <c r="AL620" s="307">
        <v>1.3996021251475796</v>
      </c>
      <c r="AM620" s="307">
        <v>1.4242647176611936</v>
      </c>
      <c r="AN620" s="307">
        <v>1.3097987780040734</v>
      </c>
      <c r="AO620" s="307">
        <v>1.3260307820299502</v>
      </c>
      <c r="AP620" s="307">
        <v>1.3293486238532111</v>
      </c>
      <c r="AQ620" s="307">
        <v>1.3704978503869303</v>
      </c>
      <c r="AR620" s="307">
        <v>1.3658003427592118</v>
      </c>
      <c r="AS620" s="307">
        <v>1.3287944977073782</v>
      </c>
      <c r="AT620" s="307">
        <v>1.3758213206732843</v>
      </c>
      <c r="AU620" s="307">
        <v>1.363463644140291</v>
      </c>
      <c r="AV620" s="306">
        <f ca="1">Calc!AS18</f>
        <v>1.363463644140291</v>
      </c>
      <c r="AX620" s="88" t="str">
        <f t="shared" ca="1" si="51"/>
        <v>DSY</v>
      </c>
    </row>
    <row r="621" spans="1:50" hidden="1" x14ac:dyDescent="0.3">
      <c r="A621" s="88" t="str">
        <f t="shared" ca="1" si="50"/>
        <v>DVA</v>
      </c>
      <c r="F621" s="253">
        <v>2.702</v>
      </c>
      <c r="G621" s="253">
        <v>0.155</v>
      </c>
      <c r="H621" s="253">
        <v>-0.75</v>
      </c>
      <c r="I621" s="253">
        <v>0.63</v>
      </c>
      <c r="J621" s="253">
        <v>2.17</v>
      </c>
      <c r="K621" s="253">
        <v>0.36</v>
      </c>
      <c r="L621" s="253">
        <v>0.67</v>
      </c>
      <c r="M621" s="253">
        <v>0.67</v>
      </c>
      <c r="N621" s="253">
        <v>-1.06</v>
      </c>
      <c r="O621" s="253">
        <v>1.17</v>
      </c>
      <c r="P621" s="253">
        <v>0.32500000000000001</v>
      </c>
      <c r="Q621" s="253">
        <v>0.06</v>
      </c>
      <c r="R621" s="253">
        <v>-7.87</v>
      </c>
      <c r="S621" s="253">
        <v>1.0900000000000001</v>
      </c>
      <c r="T621" s="253">
        <v>1.19</v>
      </c>
      <c r="U621" s="253">
        <v>0.66</v>
      </c>
      <c r="V621" s="253">
        <v>1.7949999999999999</v>
      </c>
      <c r="W621" s="253">
        <v>-1.49</v>
      </c>
      <c r="X621" s="253">
        <v>-0.71</v>
      </c>
      <c r="Y621" s="253">
        <v>-1.405</v>
      </c>
      <c r="Z621" s="245">
        <f ca="1">[1]ExtEntry!$L19</f>
        <v>-1.405</v>
      </c>
      <c r="AB621" s="307">
        <v>1.212365336618962</v>
      </c>
      <c r="AC621" s="307">
        <v>1.2108065470321434</v>
      </c>
      <c r="AD621" s="307">
        <v>1.2255489021956087</v>
      </c>
      <c r="AE621" s="307">
        <v>1.2194153161741341</v>
      </c>
      <c r="AF621" s="307">
        <v>1.1987504880905895</v>
      </c>
      <c r="AG621" s="307">
        <v>1.195389767152091</v>
      </c>
      <c r="AH621" s="307">
        <v>1.1891850015494265</v>
      </c>
      <c r="AI621" s="307">
        <v>1.1736907344282614</v>
      </c>
      <c r="AJ621" s="307">
        <v>1.18340884236838</v>
      </c>
      <c r="AK621" s="307" t="e">
        <v>#N/A</v>
      </c>
      <c r="AL621" s="307">
        <v>1.1851909045284332</v>
      </c>
      <c r="AM621" s="307">
        <v>1.1843221973613145</v>
      </c>
      <c r="AN621" s="307">
        <v>1.2395736793327155</v>
      </c>
      <c r="AO621" s="307">
        <v>1.2246129515565174</v>
      </c>
      <c r="AP621" s="307">
        <v>1.2143034004621989</v>
      </c>
      <c r="AQ621" s="307">
        <v>1.2077245115744542</v>
      </c>
      <c r="AR621" s="307">
        <v>1.1929860125684169</v>
      </c>
      <c r="AS621" s="307">
        <v>1.2103076669957222</v>
      </c>
      <c r="AT621" s="307">
        <v>1.2622254632807137</v>
      </c>
      <c r="AU621" s="307">
        <v>1.2776258086926318</v>
      </c>
      <c r="AV621" s="306">
        <f ca="1">Calc!AS19</f>
        <v>1.2776258086926318</v>
      </c>
      <c r="AX621" s="88" t="str">
        <f t="shared" ca="1" si="51"/>
        <v>DVA</v>
      </c>
    </row>
    <row r="622" spans="1:50" hidden="1" x14ac:dyDescent="0.3">
      <c r="A622" s="88" t="str">
        <f t="shared" ca="1" si="50"/>
        <v>DXC</v>
      </c>
      <c r="F622" s="253">
        <v>9.5000000000000001E-2</v>
      </c>
      <c r="G622" s="253">
        <v>-0.19</v>
      </c>
      <c r="H622" s="253">
        <v>-0.28000000000000003</v>
      </c>
      <c r="I622" s="253">
        <v>0.03</v>
      </c>
      <c r="J622" s="253">
        <v>0.14499999999999999</v>
      </c>
      <c r="K622" s="253">
        <v>0.28499999999999998</v>
      </c>
      <c r="L622" s="253">
        <v>0</v>
      </c>
      <c r="M622" s="253">
        <v>0</v>
      </c>
      <c r="N622" s="253">
        <v>0.1</v>
      </c>
      <c r="O622" s="253">
        <v>0.17</v>
      </c>
      <c r="P622" s="253">
        <v>-0.11</v>
      </c>
      <c r="Q622" s="253">
        <v>-7.0000000000000007E-2</v>
      </c>
      <c r="R622" s="253">
        <v>-0.23</v>
      </c>
      <c r="S622" s="253">
        <v>0.28499999999999998</v>
      </c>
      <c r="T622" s="253">
        <v>0.27</v>
      </c>
      <c r="U622" s="253">
        <v>-7.4999999999999997E-2</v>
      </c>
      <c r="V622" s="253">
        <v>-0.46500000000000002</v>
      </c>
      <c r="W622" s="253">
        <v>-0.41</v>
      </c>
      <c r="X622" s="253">
        <v>-0.24</v>
      </c>
      <c r="Y622" s="253">
        <v>-0.11</v>
      </c>
      <c r="Z622" s="245">
        <f ca="1">[1]ExtEntry!$L20</f>
        <v>-0.11</v>
      </c>
      <c r="AB622" s="307">
        <v>1.1359369132557267</v>
      </c>
      <c r="AC622" s="307">
        <v>1.1519421172886519</v>
      </c>
      <c r="AD622" s="307">
        <v>1.1797971918876755</v>
      </c>
      <c r="AE622" s="307">
        <v>1.1770428015564203</v>
      </c>
      <c r="AF622" s="307">
        <v>1.1639091958445558</v>
      </c>
      <c r="AG622" s="307">
        <v>1.1393596986817325</v>
      </c>
      <c r="AH622" s="307">
        <v>1.1397889977392615</v>
      </c>
      <c r="AI622" s="307">
        <v>1.1397889977392615</v>
      </c>
      <c r="AJ622" s="307">
        <v>1.1312640239341811</v>
      </c>
      <c r="AK622" s="307" t="e">
        <v>#N/A</v>
      </c>
      <c r="AL622" s="307">
        <v>1.126209977661951</v>
      </c>
      <c r="AM622" s="307">
        <v>1.1321107784431139</v>
      </c>
      <c r="AN622" s="307">
        <v>1.1591962905718702</v>
      </c>
      <c r="AO622" s="307">
        <v>1.0697159719660643</v>
      </c>
      <c r="AP622" s="307">
        <v>1.0499637943519189</v>
      </c>
      <c r="AQ622" s="307">
        <v>1.0556971241354205</v>
      </c>
      <c r="AR622" s="307">
        <v>1.1005692599620494</v>
      </c>
      <c r="AS622" s="307">
        <v>1.1231603408210689</v>
      </c>
      <c r="AT622" s="307">
        <v>1.1865793780687397</v>
      </c>
      <c r="AU622" s="307">
        <v>1.1973575557390588</v>
      </c>
      <c r="AV622" s="306">
        <f ca="1">Calc!AS20</f>
        <v>1.1973575557390588</v>
      </c>
      <c r="AX622" s="88" t="str">
        <f t="shared" ca="1" si="51"/>
        <v>DXC</v>
      </c>
    </row>
    <row r="623" spans="1:50" hidden="1" x14ac:dyDescent="0.3">
      <c r="A623" s="88" t="str">
        <f t="shared" ca="1" si="50"/>
        <v>EOAN</v>
      </c>
      <c r="F623" s="253">
        <v>0.11</v>
      </c>
      <c r="G623" s="253">
        <v>-0.17</v>
      </c>
      <c r="H623" s="253">
        <v>0.05</v>
      </c>
      <c r="I623" s="253">
        <v>0.02</v>
      </c>
      <c r="J623" s="253">
        <v>0.15</v>
      </c>
      <c r="K623" s="253">
        <v>-5.5E-2</v>
      </c>
      <c r="L623" s="253">
        <v>-0.26500000000000001</v>
      </c>
      <c r="M623" s="253">
        <v>-0.26500000000000001</v>
      </c>
      <c r="N623" s="253">
        <v>-0.12</v>
      </c>
      <c r="O623" s="253">
        <v>0.08</v>
      </c>
      <c r="P623" s="253">
        <v>3.5000000000000003E-2</v>
      </c>
      <c r="Q623" s="253">
        <v>0.14499999999999999</v>
      </c>
      <c r="R623" s="253">
        <v>-0.05</v>
      </c>
      <c r="S623" s="253">
        <v>-0.16500000000000001</v>
      </c>
      <c r="T623" s="253">
        <v>0.3</v>
      </c>
      <c r="U623" s="253">
        <v>0.03</v>
      </c>
      <c r="V623" s="253">
        <v>2.5000000000000001E-2</v>
      </c>
      <c r="W623" s="253">
        <v>0.02</v>
      </c>
      <c r="X623" s="253">
        <v>-0.11</v>
      </c>
      <c r="Y623" s="253">
        <v>-0.04</v>
      </c>
      <c r="Z623" s="245">
        <f ca="1">[1]ExtEntry!$L21</f>
        <v>-0.04</v>
      </c>
      <c r="AB623" s="307">
        <v>1.0316579108124617</v>
      </c>
      <c r="AC623" s="307">
        <v>1.042483950617284</v>
      </c>
      <c r="AD623" s="307">
        <v>1.0392763076923077</v>
      </c>
      <c r="AE623" s="307">
        <v>1.0379987707437002</v>
      </c>
      <c r="AF623" s="307">
        <v>1.0285164433617537</v>
      </c>
      <c r="AG623" s="307">
        <v>1.0319731133516652</v>
      </c>
      <c r="AH623" s="307">
        <v>1.04895900621118</v>
      </c>
      <c r="AI623" s="307">
        <v>1.0485931677018632</v>
      </c>
      <c r="AJ623" s="307">
        <v>1.0564674593241552</v>
      </c>
      <c r="AK623" s="307" t="e">
        <v>#N/A</v>
      </c>
      <c r="AL623" s="307">
        <v>1.0492848710779745</v>
      </c>
      <c r="AM623" s="307">
        <v>1.0399162561576356</v>
      </c>
      <c r="AN623" s="307">
        <v>1.0408852660719778</v>
      </c>
      <c r="AO623" s="307">
        <v>1.0742596825396824</v>
      </c>
      <c r="AP623" s="307">
        <v>1.0541800623052959</v>
      </c>
      <c r="AQ623" s="307">
        <v>1.0522133084577114</v>
      </c>
      <c r="AR623" s="307">
        <v>1.0505799441167338</v>
      </c>
      <c r="AS623" s="307">
        <v>1.1098451951459496</v>
      </c>
      <c r="AT623" s="307">
        <v>1.1109382797110965</v>
      </c>
      <c r="AU623" s="307">
        <v>1.1058555555555554</v>
      </c>
      <c r="AV623" s="306">
        <f ca="1">Calc!AS21</f>
        <v>1.1058555555555554</v>
      </c>
      <c r="AX623" s="88" t="str">
        <f t="shared" ca="1" si="51"/>
        <v>EOAN</v>
      </c>
    </row>
    <row r="624" spans="1:50" hidden="1" x14ac:dyDescent="0.3">
      <c r="A624" s="88" t="str">
        <f t="shared" ca="1" si="50"/>
        <v>EPIX</v>
      </c>
      <c r="F624" s="253">
        <v>0</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t="e">
        <v>#N/A</v>
      </c>
      <c r="AL624" s="307">
        <v>0</v>
      </c>
      <c r="AM624" s="307">
        <v>0</v>
      </c>
      <c r="AN624" s="307">
        <v>0</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1.53</v>
      </c>
      <c r="G625" s="253">
        <v>0.76990000000000003</v>
      </c>
      <c r="H625" s="253">
        <v>-0.46</v>
      </c>
      <c r="I625" s="253">
        <v>1.04</v>
      </c>
      <c r="J625" s="253">
        <v>-0.36</v>
      </c>
      <c r="K625" s="253">
        <v>8.61</v>
      </c>
      <c r="L625" s="253">
        <v>0.7</v>
      </c>
      <c r="M625" s="253">
        <v>0.7</v>
      </c>
      <c r="N625" s="253">
        <v>-0.47499999999999998</v>
      </c>
      <c r="O625" s="253">
        <v>2.82</v>
      </c>
      <c r="P625" s="253">
        <v>-0.30499999999999999</v>
      </c>
      <c r="Q625" s="253">
        <v>0.49</v>
      </c>
      <c r="R625" s="253">
        <v>-0.47</v>
      </c>
      <c r="S625" s="253">
        <v>-1.26</v>
      </c>
      <c r="T625" s="253">
        <v>1.91</v>
      </c>
      <c r="U625" s="253">
        <v>0.15</v>
      </c>
      <c r="V625" s="253">
        <v>1.82</v>
      </c>
      <c r="W625" s="253">
        <v>-1.37</v>
      </c>
      <c r="X625" s="253">
        <v>0.03</v>
      </c>
      <c r="Y625" s="253">
        <v>1.1850000000000001</v>
      </c>
      <c r="Z625" s="245">
        <f ca="1">[1]ExtEntry!$L23</f>
        <v>1.1850000000000001</v>
      </c>
      <c r="AB625" s="307">
        <v>1.0008748906386702</v>
      </c>
      <c r="AC625" s="307">
        <v>0.98757076583350467</v>
      </c>
      <c r="AD625" s="307">
        <v>0.99755842343913492</v>
      </c>
      <c r="AE625" s="307">
        <v>0.97978759849263442</v>
      </c>
      <c r="AF625" s="307">
        <v>0.98586694243364359</v>
      </c>
      <c r="AG625" s="307">
        <v>0.85872992043236751</v>
      </c>
      <c r="AH625" s="307">
        <v>0.84967320261437917</v>
      </c>
      <c r="AI625" s="307">
        <v>0.94771241830065367</v>
      </c>
      <c r="AJ625" s="307">
        <v>0.95458966110570809</v>
      </c>
      <c r="AK625" s="307" t="e">
        <v>#N/A</v>
      </c>
      <c r="AL625" s="307">
        <v>0.82474226804123707</v>
      </c>
      <c r="AM625" s="307">
        <v>0.81866323171604405</v>
      </c>
      <c r="AN625" s="307">
        <v>1.065450771919604</v>
      </c>
      <c r="AO625" s="307">
        <v>1.0925007467144565</v>
      </c>
      <c r="AP625" s="307">
        <v>1.0635918871765049</v>
      </c>
      <c r="AQ625" s="307">
        <v>1.0614313697040048</v>
      </c>
      <c r="AR625" s="307">
        <v>1.0352936597792246</v>
      </c>
      <c r="AS625" s="307">
        <v>1.0373489790130461</v>
      </c>
      <c r="AT625" s="307">
        <v>1.0767419782160732</v>
      </c>
      <c r="AU625" s="307">
        <v>1.058436663531795</v>
      </c>
      <c r="AV625" s="306">
        <f ca="1">Calc!AS23</f>
        <v>1.058436663531795</v>
      </c>
      <c r="AX625" s="88" t="str">
        <f t="shared" ca="1" si="51"/>
        <v>GM</v>
      </c>
    </row>
    <row r="626" spans="1:50" hidden="1" x14ac:dyDescent="0.3">
      <c r="A626" s="88" t="str">
        <f t="shared" ca="1" si="50"/>
        <v>HPE</v>
      </c>
      <c r="F626" s="253">
        <v>0.19</v>
      </c>
      <c r="G626" s="253">
        <v>0.41499999999999998</v>
      </c>
      <c r="H626" s="253">
        <v>-2.52</v>
      </c>
      <c r="I626" s="253">
        <v>0.46</v>
      </c>
      <c r="J626" s="253">
        <v>-0.1</v>
      </c>
      <c r="K626" s="253">
        <v>0.4</v>
      </c>
      <c r="L626" s="253">
        <v>-0.16500000000000001</v>
      </c>
      <c r="M626" s="253">
        <v>-0.18</v>
      </c>
      <c r="N626" s="253">
        <v>0.11</v>
      </c>
      <c r="O626" s="253">
        <v>0.31</v>
      </c>
      <c r="P626" s="253">
        <v>0.67</v>
      </c>
      <c r="Q626" s="253">
        <v>0.09</v>
      </c>
      <c r="R626" s="253">
        <v>0.13</v>
      </c>
      <c r="S626" s="253">
        <v>-0.96499999999999997</v>
      </c>
      <c r="T626" s="253">
        <v>0.14000000000000001</v>
      </c>
      <c r="U626" s="253">
        <v>-0.26500000000000001</v>
      </c>
      <c r="V626" s="253">
        <v>0</v>
      </c>
      <c r="W626" s="253">
        <v>-0.1</v>
      </c>
      <c r="X626" s="253">
        <v>-0.32</v>
      </c>
      <c r="Y626" s="253">
        <v>-0.16500000000000001</v>
      </c>
      <c r="Z626" s="245">
        <f ca="1">[1]ExtEntry!$L24</f>
        <v>-0.16500000000000001</v>
      </c>
      <c r="AB626" s="307">
        <v>0.999764705882353</v>
      </c>
      <c r="AC626" s="307">
        <v>0.98304623253983869</v>
      </c>
      <c r="AD626" s="307">
        <v>1.1094191829484903</v>
      </c>
      <c r="AE626" s="307">
        <v>1.0881585365853659</v>
      </c>
      <c r="AF626" s="307">
        <v>1.0929186351706037</v>
      </c>
      <c r="AG626" s="307">
        <v>1.0736622260421143</v>
      </c>
      <c r="AH626" s="307">
        <v>1.0813295823414846</v>
      </c>
      <c r="AI626" s="307">
        <v>1.1277851883932437</v>
      </c>
      <c r="AJ626" s="307">
        <v>1.1224379310344827</v>
      </c>
      <c r="AK626" s="307" t="e">
        <v>#N/A</v>
      </c>
      <c r="AL626" s="307">
        <v>1.0336830781961108</v>
      </c>
      <c r="AM626" s="307">
        <v>1.0294239802224969</v>
      </c>
      <c r="AN626" s="307">
        <v>1.0865618852459018</v>
      </c>
      <c r="AO626" s="307">
        <v>1.1264971319311663</v>
      </c>
      <c r="AP626" s="307">
        <v>1.1186544303797468</v>
      </c>
      <c r="AQ626" s="307">
        <v>1.1308214971209214</v>
      </c>
      <c r="AR626" s="307">
        <v>1.1329961538461539</v>
      </c>
      <c r="AS626" s="307">
        <v>1.1612838370565046</v>
      </c>
      <c r="AT626" s="307">
        <v>1.2679153515064563</v>
      </c>
      <c r="AU626" s="307">
        <v>1.2786163491680733</v>
      </c>
      <c r="AV626" s="306">
        <f ca="1">Calc!AS24</f>
        <v>1.2786163491680733</v>
      </c>
      <c r="AX626" s="88" t="str">
        <f t="shared" ca="1" si="51"/>
        <v>HPE</v>
      </c>
    </row>
    <row r="627" spans="1:50" hidden="1" x14ac:dyDescent="0.3">
      <c r="A627" s="88" t="str">
        <f t="shared" ca="1" si="50"/>
        <v>HPQ</v>
      </c>
      <c r="F627" s="253">
        <v>1.1850000000000001</v>
      </c>
      <c r="G627" s="253">
        <v>0.14000000000000001</v>
      </c>
      <c r="H627" s="253">
        <v>-1.395</v>
      </c>
      <c r="I627" s="253">
        <v>0.17</v>
      </c>
      <c r="J627" s="253">
        <v>0.28499999999999998</v>
      </c>
      <c r="K627" s="253">
        <v>0.5</v>
      </c>
      <c r="L627" s="253">
        <v>-0.5</v>
      </c>
      <c r="M627" s="253">
        <v>-0.5</v>
      </c>
      <c r="N627" s="253">
        <v>0.16500000000000001</v>
      </c>
      <c r="O627" s="253">
        <v>-0.17</v>
      </c>
      <c r="P627" s="253">
        <v>0.255</v>
      </c>
      <c r="Q627" s="253">
        <v>0.14499999999999999</v>
      </c>
      <c r="R627" s="253">
        <v>-0.19</v>
      </c>
      <c r="S627" s="253">
        <v>-1.0249999999999999</v>
      </c>
      <c r="T627" s="253">
        <v>0.7</v>
      </c>
      <c r="U627" s="253">
        <v>-0.46</v>
      </c>
      <c r="V627" s="253">
        <v>4.4999999999999998E-2</v>
      </c>
      <c r="W627" s="253">
        <v>-0.46700000000000003</v>
      </c>
      <c r="X627" s="253">
        <v>-0.16</v>
      </c>
      <c r="Y627" s="253">
        <v>-0.17</v>
      </c>
      <c r="Z627" s="245">
        <f ca="1">[1]ExtEntry!$L25</f>
        <v>-0.17</v>
      </c>
      <c r="AB627" s="307">
        <v>0.98012966532328716</v>
      </c>
      <c r="AC627" s="307">
        <v>0.97517433751743376</v>
      </c>
      <c r="AD627" s="307">
        <v>1.0276685651295241</v>
      </c>
      <c r="AE627" s="307">
        <v>1.0218487394957982</v>
      </c>
      <c r="AF627" s="307">
        <v>1.0113180256734766</v>
      </c>
      <c r="AG627" s="307">
        <v>0.99318181818181817</v>
      </c>
      <c r="AH627" s="307">
        <v>1.0111352133044107</v>
      </c>
      <c r="AI627" s="307">
        <v>1.0182122198120029</v>
      </c>
      <c r="AJ627" s="307">
        <v>1.0121743036837376</v>
      </c>
      <c r="AK627" s="307" t="e">
        <v>#N/A</v>
      </c>
      <c r="AL627" s="307">
        <v>1.0018986208131828</v>
      </c>
      <c r="AM627" s="307">
        <v>0.99654373775164795</v>
      </c>
      <c r="AN627" s="307">
        <v>1.0280806979280261</v>
      </c>
      <c r="AO627" s="307">
        <v>1.0884163940735039</v>
      </c>
      <c r="AP627" s="307">
        <v>1.0616554054054053</v>
      </c>
      <c r="AQ627" s="307">
        <v>1.080309396485867</v>
      </c>
      <c r="AR627" s="307">
        <v>1.0788670608430289</v>
      </c>
      <c r="AS627" s="307">
        <v>1.1537755476685838</v>
      </c>
      <c r="AT627" s="307">
        <v>1.2453764861294583</v>
      </c>
      <c r="AU627" s="307">
        <v>1.2547692990239574</v>
      </c>
      <c r="AV627" s="306">
        <f ca="1">Calc!AS25</f>
        <v>1.2547692990239574</v>
      </c>
      <c r="AX627" s="88" t="str">
        <f t="shared" ca="1" si="51"/>
        <v>HPQ</v>
      </c>
    </row>
    <row r="628" spans="1:50" hidden="1" x14ac:dyDescent="0.3">
      <c r="A628" s="88" t="str">
        <f t="shared" ca="1" si="50"/>
        <v>IAG</v>
      </c>
      <c r="F628" s="253">
        <v>-0.2</v>
      </c>
      <c r="G628" s="253">
        <v>-0.5</v>
      </c>
      <c r="H628" s="253">
        <v>-1.2</v>
      </c>
      <c r="I628" s="253">
        <v>-15.1</v>
      </c>
      <c r="J628" s="253">
        <v>4.8</v>
      </c>
      <c r="K628" s="253">
        <v>-2.2000000000000002</v>
      </c>
      <c r="L628" s="253">
        <v>8.8000000000000007</v>
      </c>
      <c r="M628" s="253">
        <v>8.8000000000000007</v>
      </c>
      <c r="N628" s="253">
        <v>0.9</v>
      </c>
      <c r="O628" s="253">
        <v>6.5</v>
      </c>
      <c r="P628" s="253">
        <v>-0.7</v>
      </c>
      <c r="Q628" s="253">
        <v>3</v>
      </c>
      <c r="R628" s="253">
        <v>6.8</v>
      </c>
      <c r="S628" s="253">
        <v>-5</v>
      </c>
      <c r="T628" s="253">
        <v>2.6</v>
      </c>
      <c r="U628" s="253">
        <v>-11.1</v>
      </c>
      <c r="V628" s="253">
        <v>-47.9</v>
      </c>
      <c r="W628" s="253">
        <v>-8.3000000000000007</v>
      </c>
      <c r="X628" s="253">
        <v>-0.91100000000000003</v>
      </c>
      <c r="Y628" s="253">
        <v>6.3</v>
      </c>
      <c r="Z628" s="245">
        <f ca="1">[1]ExtEntry!$L26</f>
        <v>6.3</v>
      </c>
      <c r="AB628" s="307">
        <v>1.0682301470588236</v>
      </c>
      <c r="AC628" s="307">
        <v>1.0695408588957056</v>
      </c>
      <c r="AD628" s="307">
        <v>1.0726997292640905</v>
      </c>
      <c r="AE628" s="307">
        <v>1.1141050613496932</v>
      </c>
      <c r="AF628" s="307">
        <v>1.1006007575757575</v>
      </c>
      <c r="AG628" s="307">
        <v>1.1067493651599796</v>
      </c>
      <c r="AH628" s="307">
        <v>1.0825581222056631</v>
      </c>
      <c r="AI628" s="307">
        <v>1.0890614008941877</v>
      </c>
      <c r="AJ628" s="307">
        <v>1.0866322676579925</v>
      </c>
      <c r="AK628" s="307" t="e">
        <v>#N/A</v>
      </c>
      <c r="AL628" s="307">
        <v>1.1282433422917175</v>
      </c>
      <c r="AM628" s="307">
        <v>1.1200339558573855</v>
      </c>
      <c r="AN628" s="307">
        <v>1.1220594933655006</v>
      </c>
      <c r="AO628" s="307">
        <v>1.0981878845243729</v>
      </c>
      <c r="AP628" s="307">
        <v>1.0914727187206021</v>
      </c>
      <c r="AQ628" s="307">
        <v>1.1207297754165659</v>
      </c>
      <c r="AR628" s="307">
        <v>1.2673244128891317</v>
      </c>
      <c r="AS628" s="307">
        <v>1.1976624516129033</v>
      </c>
      <c r="AT628" s="307">
        <v>1.2529913145368787</v>
      </c>
      <c r="AU628" s="307">
        <v>1.2290630296610168</v>
      </c>
      <c r="AV628" s="306">
        <f ca="1">Calc!AS26</f>
        <v>1.2290630296610168</v>
      </c>
      <c r="AX628" s="88" t="str">
        <f t="shared" ca="1" si="51"/>
        <v>IAG</v>
      </c>
    </row>
    <row r="629" spans="1:50" hidden="1" x14ac:dyDescent="0.3">
      <c r="A629" s="88" t="str">
        <f t="shared" ca="1" si="50"/>
        <v>KR</v>
      </c>
      <c r="F629" s="253">
        <v>2</v>
      </c>
      <c r="G629" s="253">
        <v>-2.5000000000000001E-2</v>
      </c>
      <c r="H629" s="253">
        <v>-0.21</v>
      </c>
      <c r="I629" s="253">
        <v>0.11</v>
      </c>
      <c r="J629" s="253">
        <v>0.17</v>
      </c>
      <c r="K629" s="253">
        <v>-1.54</v>
      </c>
      <c r="L629" s="253">
        <v>1.01</v>
      </c>
      <c r="M629" s="253">
        <v>1.01</v>
      </c>
      <c r="N629" s="253">
        <v>0.06</v>
      </c>
      <c r="O629" s="253">
        <v>-1.56</v>
      </c>
      <c r="P629" s="253">
        <v>0.91500000000000004</v>
      </c>
      <c r="Q629" s="253">
        <v>-0.34</v>
      </c>
      <c r="R629" s="253">
        <v>-0.60499999999999998</v>
      </c>
      <c r="S629" s="253">
        <v>0.26</v>
      </c>
      <c r="T629" s="253">
        <v>-0.61</v>
      </c>
      <c r="U629" s="253">
        <v>0.25</v>
      </c>
      <c r="V629" s="253">
        <v>1.4750000000000001</v>
      </c>
      <c r="W629" s="253">
        <v>1.095</v>
      </c>
      <c r="X629" s="253">
        <v>1.3049999999999999</v>
      </c>
      <c r="Y629" s="253">
        <v>0.17</v>
      </c>
      <c r="Z629" s="245">
        <f ca="1">[1]ExtEntry!$L27</f>
        <v>0.17</v>
      </c>
      <c r="AB629" s="307">
        <v>1.095432807753508</v>
      </c>
      <c r="AC629" s="307">
        <v>1.0958291006439476</v>
      </c>
      <c r="AD629" s="307">
        <v>1.0992490927565686</v>
      </c>
      <c r="AE629" s="307">
        <v>1.0976557472097408</v>
      </c>
      <c r="AF629" s="307">
        <v>1.0949576344707925</v>
      </c>
      <c r="AG629" s="307">
        <v>1.1200601981955334</v>
      </c>
      <c r="AH629" s="307">
        <v>1.1037351698003208</v>
      </c>
      <c r="AI629" s="307">
        <v>1.1116853228392363</v>
      </c>
      <c r="AJ629" s="307">
        <v>1.1108757646373435</v>
      </c>
      <c r="AK629" s="307" t="e">
        <v>#N/A</v>
      </c>
      <c r="AL629" s="307">
        <v>1.1132270488790885</v>
      </c>
      <c r="AM629" s="307">
        <v>1.1187364455606441</v>
      </c>
      <c r="AN629" s="307">
        <v>1.1621525177657217</v>
      </c>
      <c r="AO629" s="307">
        <v>1.1938061224489795</v>
      </c>
      <c r="AP629" s="307">
        <v>1.2042034837688045</v>
      </c>
      <c r="AQ629" s="307">
        <v>1.1994550473186121</v>
      </c>
      <c r="AR629" s="307">
        <v>1.1716424004313997</v>
      </c>
      <c r="AS629" s="307">
        <v>1.1398553548677208</v>
      </c>
      <c r="AT629" s="307">
        <v>1.1281870781099326</v>
      </c>
      <c r="AU629" s="307">
        <v>1.1257653589933383</v>
      </c>
      <c r="AV629" s="306">
        <f ca="1">Calc!AS27</f>
        <v>1.1257653589933383</v>
      </c>
      <c r="AX629" s="88" t="str">
        <f t="shared" ca="1" si="51"/>
        <v>KR</v>
      </c>
    </row>
    <row r="630" spans="1:50" hidden="1" x14ac:dyDescent="0.3">
      <c r="A630" s="88" t="str">
        <f t="shared" ca="1" si="50"/>
        <v>LNSR</v>
      </c>
      <c r="F630" s="253">
        <v>0.01</v>
      </c>
      <c r="G630" s="253">
        <v>-0.28000000000000003</v>
      </c>
      <c r="H630" s="253">
        <v>0.21</v>
      </c>
      <c r="I630" s="253">
        <v>0.03</v>
      </c>
      <c r="J630" s="253">
        <v>0.43</v>
      </c>
      <c r="K630" s="253">
        <v>-0.02</v>
      </c>
      <c r="L630" s="253">
        <v>-0.04</v>
      </c>
      <c r="M630" s="253">
        <v>-0.04</v>
      </c>
      <c r="N630" s="253">
        <v>-0.24</v>
      </c>
      <c r="O630" s="253">
        <v>-0.01</v>
      </c>
      <c r="P630" s="253">
        <v>-0.11</v>
      </c>
      <c r="Q630" s="253">
        <v>0.01</v>
      </c>
      <c r="R630" s="253">
        <v>0.15</v>
      </c>
      <c r="S630" s="253">
        <v>-0.33</v>
      </c>
      <c r="T630" s="253">
        <v>0.36</v>
      </c>
      <c r="U630" s="253">
        <v>-0.89</v>
      </c>
      <c r="V630" s="253">
        <v>-0.81</v>
      </c>
      <c r="W630" s="253">
        <v>-0.14000000000000001</v>
      </c>
      <c r="X630" s="253">
        <v>0.11</v>
      </c>
      <c r="Y630" s="253">
        <v>0.12</v>
      </c>
      <c r="Z630" s="245">
        <f ca="1">[1]ExtEntry!$L28</f>
        <v>0.12</v>
      </c>
      <c r="AB630" s="307">
        <v>1.2520868113522536</v>
      </c>
      <c r="AC630" s="307">
        <v>1.2820512820512822</v>
      </c>
      <c r="AD630" s="307">
        <v>1.2690355329949239</v>
      </c>
      <c r="AE630" s="307">
        <v>1.2658227848101267</v>
      </c>
      <c r="AF630" s="307">
        <v>1.221498371335505</v>
      </c>
      <c r="AG630" s="307">
        <v>1.2234910277324633</v>
      </c>
      <c r="AH630" s="307">
        <v>1.2274959083469721</v>
      </c>
      <c r="AI630" s="307">
        <v>1.2274959083469721</v>
      </c>
      <c r="AJ630" s="307">
        <v>1.2520868113522536</v>
      </c>
      <c r="AK630" s="307" t="e">
        <v>#N/A</v>
      </c>
      <c r="AL630" s="307">
        <v>1.2647554806070826</v>
      </c>
      <c r="AM630" s="307">
        <v>1.2636899747262005</v>
      </c>
      <c r="AN630" s="307">
        <v>1.2448132780082988</v>
      </c>
      <c r="AO630" s="307">
        <v>1.2325390304026294</v>
      </c>
      <c r="AP630" s="307">
        <v>1.1980830670926519</v>
      </c>
      <c r="AQ630" s="307">
        <v>1.2897678417884779</v>
      </c>
      <c r="AR630" s="307">
        <v>1.4111006585136405</v>
      </c>
      <c r="AS630" s="307">
        <v>1.4836795252225521</v>
      </c>
      <c r="AT630" s="307">
        <v>1.5045135406218655</v>
      </c>
      <c r="AU630" s="307">
        <v>1.4866204162537167</v>
      </c>
      <c r="AV630" s="306">
        <f ca="1">Calc!AS28</f>
        <v>1.4866204162537167</v>
      </c>
      <c r="AX630" s="88" t="str">
        <f t="shared" ca="1" si="51"/>
        <v>LNSR</v>
      </c>
    </row>
    <row r="631" spans="1:50" hidden="1" x14ac:dyDescent="0.3">
      <c r="A631" s="88" t="str">
        <f t="shared" ca="1" si="50"/>
        <v>LUMN</v>
      </c>
      <c r="F631" s="253">
        <v>0.12</v>
      </c>
      <c r="G631" s="253">
        <v>0.30499999999999999</v>
      </c>
      <c r="H631" s="253">
        <v>-0.245</v>
      </c>
      <c r="I631" s="253">
        <v>-0.12</v>
      </c>
      <c r="J631" s="253">
        <v>0.255</v>
      </c>
      <c r="K631" s="253">
        <v>1.4999999999999999E-2</v>
      </c>
      <c r="L631" s="253">
        <v>-0.12</v>
      </c>
      <c r="M631" s="253">
        <v>-0.12</v>
      </c>
      <c r="N631" s="253">
        <v>0.745</v>
      </c>
      <c r="O631" s="253">
        <v>0.29499999999999998</v>
      </c>
      <c r="P631" s="253">
        <v>1.29</v>
      </c>
      <c r="Q631" s="253">
        <v>0.70499999999999996</v>
      </c>
      <c r="R631" s="253">
        <v>-0.66</v>
      </c>
      <c r="S631" s="253">
        <v>-1.18</v>
      </c>
      <c r="T631" s="253">
        <v>0.315</v>
      </c>
      <c r="U631" s="253">
        <v>-0.04</v>
      </c>
      <c r="V631" s="253">
        <v>-0.45500000000000002</v>
      </c>
      <c r="W631" s="253">
        <v>-0.125</v>
      </c>
      <c r="X631" s="253">
        <v>-0.44</v>
      </c>
      <c r="Y631" s="253">
        <v>-0.105</v>
      </c>
      <c r="Z631" s="245">
        <f ca="1">[1]ExtEntry!$L29</f>
        <v>-0.105</v>
      </c>
      <c r="AB631" s="307">
        <v>0.73680058224163025</v>
      </c>
      <c r="AC631" s="307">
        <v>0.70548013937282228</v>
      </c>
      <c r="AD631" s="307">
        <v>0.72054377224199284</v>
      </c>
      <c r="AE631" s="307">
        <v>0.73359710144927537</v>
      </c>
      <c r="AF631" s="307">
        <v>0.70745213137665963</v>
      </c>
      <c r="AG631" s="307">
        <v>0.70548013937282228</v>
      </c>
      <c r="AH631" s="307">
        <v>0.71798865248226951</v>
      </c>
      <c r="AI631" s="307">
        <v>0.74377872340425533</v>
      </c>
      <c r="AJ631" s="307">
        <v>0.67355684007707128</v>
      </c>
      <c r="AK631" s="307" t="e">
        <v>#N/A</v>
      </c>
      <c r="AL631" s="307">
        <v>0.53963965884861398</v>
      </c>
      <c r="AM631" s="307">
        <v>0.50291306507699951</v>
      </c>
      <c r="AN631" s="307">
        <v>0.50712185686653777</v>
      </c>
      <c r="AO631" s="307">
        <v>0.55943661971830982</v>
      </c>
      <c r="AP631" s="307">
        <v>0.54887148779364348</v>
      </c>
      <c r="AQ631" s="307">
        <v>0.55064695009242148</v>
      </c>
      <c r="AR631" s="307">
        <v>0.56824034334763951</v>
      </c>
      <c r="AS631" s="307">
        <v>0.74521575984990618</v>
      </c>
      <c r="AT631" s="307">
        <v>0.78188976377952757</v>
      </c>
      <c r="AU631" s="307">
        <v>0.79281437125748511</v>
      </c>
      <c r="AV631" s="306">
        <f ca="1">Calc!AS29</f>
        <v>0.79281437125748511</v>
      </c>
      <c r="AX631" s="88" t="str">
        <f t="shared" ca="1" si="51"/>
        <v>LUMN</v>
      </c>
    </row>
    <row r="632" spans="1:50" hidden="1" x14ac:dyDescent="0.3">
      <c r="A632" s="88" t="str">
        <f t="shared" ca="1" si="50"/>
        <v>MRNA</v>
      </c>
      <c r="F632" s="253">
        <v>-0.49</v>
      </c>
      <c r="G632" s="253">
        <v>1.5049999999999999</v>
      </c>
      <c r="H632" s="253">
        <v>-0.57999999999999996</v>
      </c>
      <c r="I632" s="253">
        <v>-1.1299999999999999</v>
      </c>
      <c r="J632" s="253">
        <v>1.23</v>
      </c>
      <c r="K632" s="253">
        <v>0.25</v>
      </c>
      <c r="L632" s="253">
        <v>-0.64</v>
      </c>
      <c r="M632" s="253">
        <v>-0.64</v>
      </c>
      <c r="N632" s="253">
        <v>-0.6</v>
      </c>
      <c r="O632" s="253">
        <v>0.49</v>
      </c>
      <c r="P632" s="253">
        <v>-0.08</v>
      </c>
      <c r="Q632" s="253">
        <v>-1.31</v>
      </c>
      <c r="R632" s="253">
        <v>3.44</v>
      </c>
      <c r="S632" s="253">
        <v>-1.135</v>
      </c>
      <c r="T632" s="253">
        <v>-0.19</v>
      </c>
      <c r="U632" s="253">
        <v>0.54500000000000004</v>
      </c>
      <c r="V632" s="253">
        <v>0.19500000000000001</v>
      </c>
      <c r="W632" s="253">
        <v>-0.19</v>
      </c>
      <c r="X632" s="253">
        <v>0.16</v>
      </c>
      <c r="Y632" s="253">
        <v>-0.64</v>
      </c>
      <c r="Z632" s="245">
        <f ca="1">[1]ExtEntry!$L30</f>
        <v>-0.64</v>
      </c>
      <c r="AB632" s="307">
        <v>1.6857142857142857</v>
      </c>
      <c r="AC632" s="307">
        <v>1.5943073320122501</v>
      </c>
      <c r="AD632" s="307">
        <v>1.6304347826086956</v>
      </c>
      <c r="AE632" s="307">
        <v>1.7012687427912341</v>
      </c>
      <c r="AF632" s="307">
        <v>1.6244493392070485</v>
      </c>
      <c r="AG632" s="307">
        <v>1.6096762459076028</v>
      </c>
      <c r="AH632" s="307">
        <v>1.6480446927374302</v>
      </c>
      <c r="AI632" s="307">
        <v>1.6499068901303535</v>
      </c>
      <c r="AJ632" s="307">
        <v>1.6876190476190476</v>
      </c>
      <c r="AK632" s="307" t="e">
        <v>#N/A</v>
      </c>
      <c r="AL632" s="307">
        <v>1.6597899474868718</v>
      </c>
      <c r="AM632" s="307">
        <v>1.7455621301775146</v>
      </c>
      <c r="AN632" s="307">
        <v>1.4321250888415067</v>
      </c>
      <c r="AO632" s="307">
        <v>1.6950578338590956</v>
      </c>
      <c r="AP632" s="307">
        <v>1.7105263157894737</v>
      </c>
      <c r="AQ632" s="307">
        <v>1.6718523127981746</v>
      </c>
      <c r="AR632" s="307">
        <v>1.6432212028542303</v>
      </c>
      <c r="AS632" s="307">
        <v>1.6269681065805408</v>
      </c>
      <c r="AT632" s="307">
        <v>1.6171749598715888</v>
      </c>
      <c r="AU632" s="307">
        <v>1.6598023064250409</v>
      </c>
      <c r="AV632" s="306">
        <f ca="1">Calc!AS30</f>
        <v>1.6598023064250409</v>
      </c>
      <c r="AX632" s="88" t="str">
        <f t="shared" ca="1" si="51"/>
        <v>MRNA</v>
      </c>
    </row>
    <row r="633" spans="1:50" hidden="1" x14ac:dyDescent="0.3">
      <c r="A633" s="88" t="str">
        <f t="shared" ca="1" si="50"/>
        <v>MSFT</v>
      </c>
      <c r="F633" s="253">
        <v>-0.48</v>
      </c>
      <c r="G633" s="253">
        <v>-1.0799000000000001</v>
      </c>
      <c r="H633" s="253">
        <v>-1.82</v>
      </c>
      <c r="I633" s="253">
        <v>1.97</v>
      </c>
      <c r="J633" s="253">
        <v>3.21</v>
      </c>
      <c r="K633" s="253">
        <v>0.87</v>
      </c>
      <c r="L633" s="253">
        <v>2.88</v>
      </c>
      <c r="M633" s="253">
        <v>2.88</v>
      </c>
      <c r="N633" s="253">
        <v>0.02</v>
      </c>
      <c r="O633" s="253">
        <v>3.05</v>
      </c>
      <c r="P633" s="253">
        <v>7.91</v>
      </c>
      <c r="Q633" s="253">
        <v>10.55</v>
      </c>
      <c r="R633" s="253">
        <v>-15.731999999999999</v>
      </c>
      <c r="S633" s="253">
        <v>-2.94</v>
      </c>
      <c r="T633" s="253">
        <v>-7.17</v>
      </c>
      <c r="U633" s="253">
        <v>-10.01</v>
      </c>
      <c r="V633" s="253">
        <v>0.53</v>
      </c>
      <c r="W633" s="253">
        <v>6.89</v>
      </c>
      <c r="X633" s="253">
        <v>-13.7</v>
      </c>
      <c r="Y633" s="253">
        <v>-7.2</v>
      </c>
      <c r="Z633" s="245">
        <f ca="1">[1]ExtEntry!$L31</f>
        <v>-7.2</v>
      </c>
      <c r="AB633" s="307">
        <v>1.1953416282103706</v>
      </c>
      <c r="AC633" s="307">
        <v>1.197860407449822</v>
      </c>
      <c r="AD633" s="307">
        <v>1.1999210335998125</v>
      </c>
      <c r="AE633" s="307">
        <v>1.1953183535184391</v>
      </c>
      <c r="AF633" s="307">
        <v>1.1878937285938198</v>
      </c>
      <c r="AG633" s="307">
        <v>1.185897307112777</v>
      </c>
      <c r="AH633" s="307">
        <v>1.1793360740769203</v>
      </c>
      <c r="AI633" s="307">
        <v>1.1924864563722288</v>
      </c>
      <c r="AJ633" s="307">
        <v>1.1924406408483172</v>
      </c>
      <c r="AK633" s="307" t="e">
        <v>#N/A</v>
      </c>
      <c r="AL633" s="307">
        <v>1.154973660445515</v>
      </c>
      <c r="AM633" s="307">
        <v>1.1324950652129799</v>
      </c>
      <c r="AN633" s="307">
        <v>1.1840591231186457</v>
      </c>
      <c r="AO633" s="307">
        <v>1.2181263202941117</v>
      </c>
      <c r="AP633" s="307">
        <v>1.2347711964665982</v>
      </c>
      <c r="AQ633" s="307">
        <v>1.2596330282610881</v>
      </c>
      <c r="AR633" s="307">
        <v>1.2584180214215379</v>
      </c>
      <c r="AS633" s="307">
        <v>1.2274619938061075</v>
      </c>
      <c r="AT633" s="307">
        <v>1.2682042163672815</v>
      </c>
      <c r="AU633" s="307">
        <v>1.2869696459031217</v>
      </c>
      <c r="AV633" s="306">
        <f ca="1">Calc!AS31</f>
        <v>1.2869696459031217</v>
      </c>
      <c r="AX633" s="88" t="str">
        <f t="shared" ca="1" si="51"/>
        <v>MSFT</v>
      </c>
    </row>
    <row r="634" spans="1:50" hidden="1" x14ac:dyDescent="0.3">
      <c r="A634" s="88" t="str">
        <f t="shared" ca="1" si="50"/>
        <v>NEE</v>
      </c>
      <c r="F634" s="253">
        <v>0.33500000000000002</v>
      </c>
      <c r="G634" s="253">
        <v>1.1499999999999999</v>
      </c>
      <c r="H634" s="253">
        <v>-0.74</v>
      </c>
      <c r="I634" s="253">
        <v>-0.52</v>
      </c>
      <c r="J634" s="253">
        <v>0.245</v>
      </c>
      <c r="K634" s="253">
        <v>-0.78</v>
      </c>
      <c r="L634" s="253">
        <v>-1.1399999999999999</v>
      </c>
      <c r="M634" s="253">
        <v>-1.1399999999999999</v>
      </c>
      <c r="N634" s="253">
        <v>0.43</v>
      </c>
      <c r="O634" s="253">
        <v>1.1599999999999999</v>
      </c>
      <c r="P634" s="253">
        <v>1.59</v>
      </c>
      <c r="Q634" s="253">
        <v>-2.48</v>
      </c>
      <c r="R634" s="253">
        <v>-0.14000000000000001</v>
      </c>
      <c r="S634" s="253">
        <v>-0.32</v>
      </c>
      <c r="T634" s="253">
        <v>0.45</v>
      </c>
      <c r="U634" s="253">
        <v>0.25</v>
      </c>
      <c r="V634" s="253">
        <v>1.71</v>
      </c>
      <c r="W634" s="253">
        <v>-0.14000000000000001</v>
      </c>
      <c r="X634" s="253">
        <v>-1.05</v>
      </c>
      <c r="Y634" s="253">
        <v>7.0000000000000007E-2</v>
      </c>
      <c r="Z634" s="245">
        <f ca="1">[1]ExtEntry!$L32</f>
        <v>7.0000000000000007E-2</v>
      </c>
      <c r="AB634" s="307">
        <v>0.97234146629644946</v>
      </c>
      <c r="AC634" s="307">
        <v>0.95925072852313786</v>
      </c>
      <c r="AD634" s="307">
        <v>0.96759694297472087</v>
      </c>
      <c r="AE634" s="307">
        <v>0.97354927244765177</v>
      </c>
      <c r="AF634" s="307">
        <v>0.9707357121792981</v>
      </c>
      <c r="AG634" s="307">
        <v>0.9798085486367426</v>
      </c>
      <c r="AH634" s="307">
        <v>0.99329052504526272</v>
      </c>
      <c r="AI634" s="307">
        <v>1.0225977066988534</v>
      </c>
      <c r="AJ634" s="307">
        <v>1.017439894319683</v>
      </c>
      <c r="AK634" s="307" t="e">
        <v>#N/A</v>
      </c>
      <c r="AL634" s="307">
        <v>0.95690837209302337</v>
      </c>
      <c r="AM634" s="307">
        <v>0.98496852184320782</v>
      </c>
      <c r="AN634" s="307">
        <v>1.1149228130360205</v>
      </c>
      <c r="AO634" s="307">
        <v>1.1171126933464277</v>
      </c>
      <c r="AP634" s="307">
        <v>1.1078646213781349</v>
      </c>
      <c r="AQ634" s="307">
        <v>1.1045029736618521</v>
      </c>
      <c r="AR634" s="307">
        <v>1.0870863696093658</v>
      </c>
      <c r="AS634" s="307">
        <v>1.0852713178294575</v>
      </c>
      <c r="AT634" s="307">
        <v>1.0743801652892562</v>
      </c>
      <c r="AU634" s="307">
        <v>1.0742533349073309</v>
      </c>
      <c r="AV634" s="306">
        <f ca="1">Calc!AS32</f>
        <v>1.0742533349073309</v>
      </c>
      <c r="AX634" s="88" t="str">
        <f t="shared" ca="1" si="51"/>
        <v>NEE</v>
      </c>
    </row>
    <row r="635" spans="1:50" hidden="1" x14ac:dyDescent="0.3">
      <c r="A635" s="88" t="str">
        <f t="shared" ca="1" si="50"/>
        <v>NEM</v>
      </c>
      <c r="F635" s="253">
        <v>1.1399999999999999</v>
      </c>
      <c r="G635" s="253">
        <v>3.1</v>
      </c>
      <c r="H635" s="253">
        <v>4.67</v>
      </c>
      <c r="I635" s="253">
        <v>-7.5</v>
      </c>
      <c r="J635" s="253">
        <v>4.125</v>
      </c>
      <c r="K635" s="253">
        <v>-8.5850000000000009</v>
      </c>
      <c r="L635" s="253">
        <v>0.68</v>
      </c>
      <c r="M635" s="253">
        <v>0.68</v>
      </c>
      <c r="N635" s="253">
        <v>1.85</v>
      </c>
      <c r="O635" s="253">
        <v>-5.58</v>
      </c>
      <c r="P635" s="253">
        <v>-4.75</v>
      </c>
      <c r="Q635" s="253">
        <v>0.7</v>
      </c>
      <c r="R635" s="253">
        <v>2.66</v>
      </c>
      <c r="S635" s="253">
        <v>-2.66</v>
      </c>
      <c r="T635" s="253">
        <v>2.72</v>
      </c>
      <c r="U635" s="253">
        <v>0.98480000000000001</v>
      </c>
      <c r="V635" s="253">
        <v>0.82</v>
      </c>
      <c r="W635" s="253">
        <v>-1.92</v>
      </c>
      <c r="X635" s="253">
        <v>-0.48</v>
      </c>
      <c r="Y635" s="253">
        <v>0.995</v>
      </c>
      <c r="Z635" s="245">
        <f ca="1">[1]ExtEntry!$L33</f>
        <v>0.995</v>
      </c>
      <c r="AB635" s="307">
        <v>0.80875568809366016</v>
      </c>
      <c r="AC635" s="307">
        <v>0.78198141819735156</v>
      </c>
      <c r="AD635" s="307">
        <v>0.74528997455470736</v>
      </c>
      <c r="AE635" s="307">
        <v>0.80670640079321365</v>
      </c>
      <c r="AF635" s="307">
        <v>0.77163960166499812</v>
      </c>
      <c r="AG635" s="307">
        <v>0.84844145762122691</v>
      </c>
      <c r="AH635" s="307">
        <v>0.84166367816091947</v>
      </c>
      <c r="AI635" s="307">
        <v>1.0483850574712645</v>
      </c>
      <c r="AJ635" s="307">
        <v>1.0264404681521495</v>
      </c>
      <c r="AK635" s="307" t="e">
        <v>#N/A</v>
      </c>
      <c r="AL635" s="307">
        <v>0.93137547697786816</v>
      </c>
      <c r="AM635" s="307">
        <v>0.92303970755073739</v>
      </c>
      <c r="AN635" s="307">
        <v>1.2478440422689179</v>
      </c>
      <c r="AO635" s="307">
        <v>1.3011018237082068</v>
      </c>
      <c r="AP635" s="307">
        <v>1.2586988483214898</v>
      </c>
      <c r="AQ635" s="307">
        <v>1.2435423192938795</v>
      </c>
      <c r="AR635" s="307">
        <v>1.2325734853029395</v>
      </c>
      <c r="AS635" s="307">
        <v>1.1701025056947609</v>
      </c>
      <c r="AT635" s="307">
        <v>1.1861794250086595</v>
      </c>
      <c r="AU635" s="307">
        <v>1.1728409155773731</v>
      </c>
      <c r="AV635" s="306">
        <f ca="1">Calc!AS33</f>
        <v>1.1728409155773731</v>
      </c>
      <c r="AX635" s="88" t="str">
        <f t="shared" ca="1" si="51"/>
        <v>NEM</v>
      </c>
    </row>
    <row r="636" spans="1:50" hidden="1" x14ac:dyDescent="0.3">
      <c r="A636" s="88" t="str">
        <f t="shared" ca="1" si="50"/>
        <v>NFLX</v>
      </c>
      <c r="F636" s="253">
        <v>-3.68</v>
      </c>
      <c r="G636" s="253">
        <v>-8.77</v>
      </c>
      <c r="H636" s="253">
        <v>-19.7</v>
      </c>
      <c r="I636" s="253">
        <v>15.77</v>
      </c>
      <c r="J636" s="253">
        <v>39.200000000000003</v>
      </c>
      <c r="K636" s="253">
        <v>2.79</v>
      </c>
      <c r="L636" s="253">
        <v>-124.98</v>
      </c>
      <c r="M636" s="253">
        <v>-124.98</v>
      </c>
      <c r="N636" s="253">
        <v>-2.78</v>
      </c>
      <c r="O636" s="253">
        <v>-18.899999999999999</v>
      </c>
      <c r="P636" s="253">
        <v>-0.13</v>
      </c>
      <c r="Q636" s="253">
        <v>7.94</v>
      </c>
      <c r="R636" s="253">
        <v>-11.41</v>
      </c>
      <c r="S636" s="253">
        <v>-12.2225</v>
      </c>
      <c r="T636" s="253">
        <v>5.5</v>
      </c>
      <c r="U636" s="253">
        <v>-4.25</v>
      </c>
      <c r="V636" s="253">
        <v>2.23</v>
      </c>
      <c r="W636" s="253">
        <v>-42.06</v>
      </c>
      <c r="X636" s="253">
        <v>3.8</v>
      </c>
      <c r="Y636" s="253">
        <v>-4.3099999999999996</v>
      </c>
      <c r="Z636" s="245">
        <f ca="1">[1]ExtEntry!$L34</f>
        <v>-4.3099999999999996</v>
      </c>
      <c r="AB636" s="307">
        <v>1.1110511375323981</v>
      </c>
      <c r="AC636" s="307">
        <v>1.1191267881118534</v>
      </c>
      <c r="AD636" s="307">
        <v>1.1408646575249877</v>
      </c>
      <c r="AE636" s="307">
        <v>1.1258637940234792</v>
      </c>
      <c r="AF636" s="307">
        <v>1.0902305903630023</v>
      </c>
      <c r="AG636" s="307">
        <v>1.0877802392556493</v>
      </c>
      <c r="AH636" s="307">
        <v>1.2095595546279461</v>
      </c>
      <c r="AI636" s="307">
        <v>1.2169894389852827</v>
      </c>
      <c r="AJ636" s="307">
        <v>1.2200275684946884</v>
      </c>
      <c r="AK636" s="307" t="e">
        <v>#N/A</v>
      </c>
      <c r="AL636" s="307">
        <v>1.2336610144715685</v>
      </c>
      <c r="AM636" s="307">
        <v>1.22477641723356</v>
      </c>
      <c r="AN636" s="307">
        <v>1.2372112947658402</v>
      </c>
      <c r="AO636" s="307">
        <v>1.238499265765362</v>
      </c>
      <c r="AP636" s="307">
        <v>1.2265563607231944</v>
      </c>
      <c r="AQ636" s="307">
        <v>1.2313204046755193</v>
      </c>
      <c r="AR636" s="307">
        <v>1.2256748692290198</v>
      </c>
      <c r="AS636" s="307">
        <v>1.2114362912144725</v>
      </c>
      <c r="AT636" s="307">
        <v>11.809300552195635</v>
      </c>
      <c r="AU636" s="307">
        <v>12.272937693568956</v>
      </c>
      <c r="AV636" s="306">
        <f ca="1">Calc!AS34</f>
        <v>12.272937693568956</v>
      </c>
      <c r="AX636" s="88" t="str">
        <f t="shared" ca="1" si="51"/>
        <v>NFLX</v>
      </c>
    </row>
    <row r="637" spans="1:50" hidden="1" x14ac:dyDescent="0.3">
      <c r="A637" s="88" t="str">
        <f t="shared" ca="1" si="50"/>
        <v>NOTE</v>
      </c>
      <c r="F637" s="253">
        <v>0.09</v>
      </c>
      <c r="G637" s="253">
        <v>-5.6000000000000001E-2</v>
      </c>
      <c r="H637" s="253">
        <v>-0.28000000000000003</v>
      </c>
      <c r="I637" s="253">
        <v>-0.14000000000000001</v>
      </c>
      <c r="J637" s="253">
        <v>0.2</v>
      </c>
      <c r="K637" s="253">
        <v>0.04</v>
      </c>
      <c r="L637" s="253">
        <v>-0.25</v>
      </c>
      <c r="M637" s="253">
        <v>-0.25</v>
      </c>
      <c r="N637" s="253">
        <v>0.21</v>
      </c>
      <c r="O637" s="253">
        <v>-0.08</v>
      </c>
      <c r="P637" s="253">
        <v>-7.0000000000000007E-2</v>
      </c>
      <c r="Q637" s="253">
        <v>-0.15</v>
      </c>
      <c r="R637" s="253">
        <v>-0.02</v>
      </c>
      <c r="S637" s="253">
        <v>-0.29499999999999998</v>
      </c>
      <c r="T637" s="253">
        <v>-0.4</v>
      </c>
      <c r="U637" s="253">
        <v>-0.34460000000000002</v>
      </c>
      <c r="V637" s="253">
        <v>0.05</v>
      </c>
      <c r="W637" s="253">
        <v>0.01</v>
      </c>
      <c r="X637" s="253">
        <v>-0.14000000000000001</v>
      </c>
      <c r="Y637" s="253">
        <v>-0.11</v>
      </c>
      <c r="Z637" s="245">
        <f ca="1">[1]ExtEntry!$L35</f>
        <v>-0.11</v>
      </c>
      <c r="AB637" s="307">
        <v>6.7023957446808504</v>
      </c>
      <c r="AC637" s="307">
        <v>6.7396790757381249</v>
      </c>
      <c r="AD637" s="307">
        <v>7.1756856492027339</v>
      </c>
      <c r="AE637" s="307">
        <v>7.4120611764705879</v>
      </c>
      <c r="AF637" s="307">
        <v>7.0789348314606739</v>
      </c>
      <c r="AG637" s="307">
        <v>7.0158708240534517</v>
      </c>
      <c r="AH637" s="307">
        <v>7.4295424528301881</v>
      </c>
      <c r="AI637" s="307">
        <v>7.4295</v>
      </c>
      <c r="AJ637" s="307">
        <v>7.0788943820224723</v>
      </c>
      <c r="AK637" s="307" t="e">
        <v>#N/A</v>
      </c>
      <c r="AL637" s="307">
        <v>7.3258744186046512</v>
      </c>
      <c r="AM637" s="307">
        <v>7.5906650602409629</v>
      </c>
      <c r="AN637" s="307">
        <v>7.9148442211055281</v>
      </c>
      <c r="AO637" s="307">
        <v>8.4794293405114409</v>
      </c>
      <c r="AP637" s="307">
        <v>9.5169425981873115</v>
      </c>
      <c r="AQ637" s="307">
        <v>10.622877183516559</v>
      </c>
      <c r="AR637" s="307">
        <v>10.328222950819674</v>
      </c>
      <c r="AS637" s="307">
        <v>12.402000000000001</v>
      </c>
      <c r="AT637" s="307">
        <v>14.062982142857143</v>
      </c>
      <c r="AU637" s="307">
        <v>14.78923943661972</v>
      </c>
      <c r="AV637" s="306">
        <f ca="1">Calc!AS35</f>
        <v>14.78923943661972</v>
      </c>
      <c r="AX637" s="88" t="str">
        <f t="shared" ca="1" si="51"/>
        <v>NOTE</v>
      </c>
    </row>
    <row r="638" spans="1:50" hidden="1" x14ac:dyDescent="0.3">
      <c r="A638" s="88" t="str">
        <f t="shared" ca="1" si="50"/>
        <v>PAAS</v>
      </c>
      <c r="F638" s="253">
        <v>-1.27</v>
      </c>
      <c r="G638" s="253">
        <v>1.52</v>
      </c>
      <c r="H638" s="253">
        <v>1.02</v>
      </c>
      <c r="I638" s="253">
        <v>-3.59</v>
      </c>
      <c r="J638" s="253">
        <v>0.91</v>
      </c>
      <c r="K638" s="253">
        <v>-3.9449999999999998</v>
      </c>
      <c r="L638" s="253">
        <v>0.435</v>
      </c>
      <c r="M638" s="253">
        <v>0.435</v>
      </c>
      <c r="N638" s="253">
        <v>0.33</v>
      </c>
      <c r="O638" s="253">
        <v>0.11</v>
      </c>
      <c r="P638" s="253">
        <v>-1.6</v>
      </c>
      <c r="Q638" s="253">
        <v>0.51</v>
      </c>
      <c r="R638" s="253">
        <v>0.46</v>
      </c>
      <c r="S638" s="253">
        <v>-1.3997999999999999</v>
      </c>
      <c r="T638" s="253">
        <v>0.56999999999999995</v>
      </c>
      <c r="U638" s="253">
        <v>-2.5000000000000001E-2</v>
      </c>
      <c r="V638" s="253">
        <v>0.88990000000000002</v>
      </c>
      <c r="W638" s="253">
        <v>-0.54</v>
      </c>
      <c r="X638" s="253">
        <v>0.68</v>
      </c>
      <c r="Y638" s="253">
        <v>0.42</v>
      </c>
      <c r="Z638" s="245">
        <f ca="1">[1]ExtEntry!$L36</f>
        <v>0.42</v>
      </c>
      <c r="AB638" s="307">
        <v>0.94476744186046502</v>
      </c>
      <c r="AC638" s="307">
        <v>0.91025328787140769</v>
      </c>
      <c r="AD638" s="307">
        <v>0.88924577682607664</v>
      </c>
      <c r="AE638" s="307">
        <v>0.97229448491155057</v>
      </c>
      <c r="AF638" s="307">
        <v>0.94980940279542558</v>
      </c>
      <c r="AG638" s="307">
        <v>1.054748130379568</v>
      </c>
      <c r="AH638" s="307">
        <v>1.0418118466898956</v>
      </c>
      <c r="AI638" s="307">
        <v>1.240418118466899</v>
      </c>
      <c r="AJ638" s="307">
        <v>1.2289422811378072</v>
      </c>
      <c r="AK638" s="307" t="e">
        <v>#N/A</v>
      </c>
      <c r="AL638" s="307">
        <v>1.0758491652274036</v>
      </c>
      <c r="AM638" s="307">
        <v>1.0605845629965946</v>
      </c>
      <c r="AN638" s="307">
        <v>1.3185654008438819</v>
      </c>
      <c r="AO638" s="307">
        <v>1.4084951412551607</v>
      </c>
      <c r="AP638" s="307">
        <v>1.3880663310630736</v>
      </c>
      <c r="AQ638" s="307">
        <v>1.3890946806934361</v>
      </c>
      <c r="AR638" s="307">
        <v>1.3500902940388653</v>
      </c>
      <c r="AS638" s="307">
        <v>1.2172163074526097</v>
      </c>
      <c r="AT638" s="307">
        <v>1.231284475965327</v>
      </c>
      <c r="AU638" s="307">
        <v>1.2178487918939984</v>
      </c>
      <c r="AV638" s="306">
        <f ca="1">Calc!AS36</f>
        <v>1.2178487918939984</v>
      </c>
      <c r="AX638" s="88" t="str">
        <f t="shared" ca="1" si="51"/>
        <v>PAAS</v>
      </c>
    </row>
    <row r="639" spans="1:50" hidden="1" x14ac:dyDescent="0.3">
      <c r="A639" s="88" t="str">
        <f t="shared" ca="1" si="50"/>
        <v>PROF</v>
      </c>
      <c r="F639" s="253">
        <v>-0.15</v>
      </c>
      <c r="G639" s="253">
        <v>-0.23</v>
      </c>
      <c r="H639" s="253">
        <v>-0.2</v>
      </c>
      <c r="I639" s="253">
        <v>-0.03</v>
      </c>
      <c r="J639" s="253">
        <v>0.25</v>
      </c>
      <c r="K639" s="253">
        <v>0.08</v>
      </c>
      <c r="L639" s="253">
        <v>-0.44</v>
      </c>
      <c r="M639" s="253">
        <v>-0.44</v>
      </c>
      <c r="N639" s="253">
        <v>-0.114</v>
      </c>
      <c r="O639" s="253">
        <v>0.19400000000000001</v>
      </c>
      <c r="P639" s="253">
        <v>0</v>
      </c>
      <c r="Q639" s="253">
        <v>0.7</v>
      </c>
      <c r="R639" s="253">
        <v>-0.01</v>
      </c>
      <c r="S639" s="253">
        <v>-8.5000000000000006E-2</v>
      </c>
      <c r="T639" s="253">
        <v>-0.03</v>
      </c>
      <c r="U639" s="253">
        <v>0</v>
      </c>
      <c r="V639" s="253">
        <v>7.4999999999999997E-2</v>
      </c>
      <c r="W639" s="253">
        <v>0.5</v>
      </c>
      <c r="X639" s="253">
        <v>-0.23</v>
      </c>
      <c r="Y639" s="253">
        <v>-0.24</v>
      </c>
      <c r="Z639" s="245">
        <f ca="1">[1]ExtEntry!$L37</f>
        <v>-0.24</v>
      </c>
      <c r="AB639" s="307">
        <v>2.0754716981132075</v>
      </c>
      <c r="AC639" s="307">
        <v>2.1607142857142856</v>
      </c>
      <c r="AD639" s="307">
        <v>2.1762589928057556</v>
      </c>
      <c r="AE639" s="307">
        <v>2.1880650994575044</v>
      </c>
      <c r="AF639" s="307">
        <v>2.0934256055363321</v>
      </c>
      <c r="AG639" s="307">
        <v>2.0648464163822524</v>
      </c>
      <c r="AH639" s="307">
        <v>2.2324723247232474</v>
      </c>
      <c r="AI639" s="307">
        <v>2.2324723247232474</v>
      </c>
      <c r="AJ639" s="307">
        <v>2.2804372408594045</v>
      </c>
      <c r="AK639" s="307" t="e">
        <v>#N/A</v>
      </c>
      <c r="AL639" s="307">
        <v>2.1999999999999997</v>
      </c>
      <c r="AM639" s="307">
        <v>1.9516129032258063</v>
      </c>
      <c r="AN639" s="307">
        <v>1.9771241830065358</v>
      </c>
      <c r="AO639" s="307">
        <v>2.0595744680851062</v>
      </c>
      <c r="AP639" s="307">
        <v>2.0648464163822524</v>
      </c>
      <c r="AQ639" s="307">
        <v>2.0648464163822524</v>
      </c>
      <c r="AR639" s="307">
        <v>2.0421940928270041</v>
      </c>
      <c r="AS639" s="307">
        <v>1.7664233576642336</v>
      </c>
      <c r="AT639" s="307">
        <v>1.9422150882825038</v>
      </c>
      <c r="AU639" s="307">
        <v>2.020033388981636</v>
      </c>
      <c r="AV639" s="306">
        <f ca="1">Calc!AS37</f>
        <v>2.020033388981636</v>
      </c>
      <c r="AX639" s="88" t="str">
        <f t="shared" ca="1" si="51"/>
        <v>PROF</v>
      </c>
    </row>
    <row r="640" spans="1:50" hidden="1" x14ac:dyDescent="0.3">
      <c r="A640" s="88" t="str">
        <f t="shared" ca="1" si="50"/>
        <v>POET</v>
      </c>
      <c r="F640" s="253">
        <v>0.62</v>
      </c>
      <c r="G640" s="253">
        <v>-0.66500000000000004</v>
      </c>
      <c r="H640" s="253">
        <v>-0.76</v>
      </c>
      <c r="I640" s="253">
        <v>-0.54</v>
      </c>
      <c r="J640" s="253">
        <v>0.56999999999999995</v>
      </c>
      <c r="K640" s="253">
        <v>-0.14000000000000001</v>
      </c>
      <c r="L640" s="253">
        <v>-0.08</v>
      </c>
      <c r="M640" s="253">
        <v>-0.08</v>
      </c>
      <c r="N640" s="253">
        <v>-0.06</v>
      </c>
      <c r="O640" s="253">
        <v>0.92</v>
      </c>
      <c r="P640" s="253">
        <v>-0.82</v>
      </c>
      <c r="Q640" s="253">
        <v>-0.34</v>
      </c>
      <c r="R640" s="253">
        <v>-0.25</v>
      </c>
      <c r="S640" s="253">
        <v>-0.64500000000000002</v>
      </c>
      <c r="T640" s="253">
        <v>8.5000000000000006E-2</v>
      </c>
      <c r="U640" s="253">
        <v>-0.69</v>
      </c>
      <c r="V640" s="253">
        <v>4.99E-2</v>
      </c>
      <c r="W640" s="253">
        <v>-0.3</v>
      </c>
      <c r="X640" s="253">
        <v>0.12</v>
      </c>
      <c r="Y640" s="253">
        <v>-0.1056</v>
      </c>
      <c r="Z640" s="245">
        <f ca="1">[1]ExtEntry!$L38</f>
        <v>-0.1056</v>
      </c>
      <c r="AB640" s="307">
        <v>0.73296464088397784</v>
      </c>
      <c r="AC640" s="307">
        <v>0.79109481216457966</v>
      </c>
      <c r="AD640" s="307">
        <v>0.87742460317460325</v>
      </c>
      <c r="AE640" s="307">
        <v>0.94491880341880352</v>
      </c>
      <c r="AF640" s="307">
        <v>0.87395652173913041</v>
      </c>
      <c r="AG640" s="307">
        <v>0.89037986577181205</v>
      </c>
      <c r="AH640" s="307">
        <v>0.90004477611940292</v>
      </c>
      <c r="AI640" s="307">
        <v>0.90004477611940292</v>
      </c>
      <c r="AJ640" s="307">
        <v>0.90743228454172375</v>
      </c>
      <c r="AK640" s="307" t="e">
        <v>#N/A</v>
      </c>
      <c r="AL640" s="307">
        <v>0.89518623481781379</v>
      </c>
      <c r="AM640" s="307">
        <v>0.93823620933521923</v>
      </c>
      <c r="AN640" s="307">
        <v>1.0397068965517242</v>
      </c>
      <c r="AO640" s="307">
        <v>1.1139093198992442</v>
      </c>
      <c r="AP640" s="307">
        <v>1.0991433305716654</v>
      </c>
      <c r="AQ640" s="307">
        <v>1.2410346117867166</v>
      </c>
      <c r="AR640" s="307">
        <v>1.2352799865919291</v>
      </c>
      <c r="AS640" s="307">
        <v>1.5075749999999999</v>
      </c>
      <c r="AT640" s="307">
        <v>1.5462307692307693</v>
      </c>
      <c r="AU640" s="307">
        <v>1.5852523659305993</v>
      </c>
      <c r="AV640" s="306">
        <f ca="1">Calc!AS38</f>
        <v>1.5852523659305993</v>
      </c>
      <c r="AX640" s="88" t="str">
        <f t="shared" ca="1" si="51"/>
        <v>POET</v>
      </c>
    </row>
    <row r="641" spans="1:50" hidden="1" x14ac:dyDescent="0.3">
      <c r="A641" s="88" t="str">
        <f t="shared" ca="1" si="50"/>
        <v>PW</v>
      </c>
      <c r="F641" s="253">
        <v>-4.02E-2</v>
      </c>
      <c r="G641" s="253">
        <v>2.06E-2</v>
      </c>
      <c r="H641" s="253">
        <v>-1.29E-2</v>
      </c>
      <c r="I641" s="253">
        <v>-7.9500000000000001E-2</v>
      </c>
      <c r="J641" s="253">
        <v>-3.9300000000000002E-2</v>
      </c>
      <c r="K641" s="253">
        <v>-1.7000000000000001E-2</v>
      </c>
      <c r="L641" s="253">
        <v>-5.4600000000000003E-2</v>
      </c>
      <c r="M641" s="253">
        <v>-5.4600000000000003E-2</v>
      </c>
      <c r="N641" s="253">
        <v>-2.4500000000000001E-2</v>
      </c>
      <c r="O641" s="253">
        <v>5.0599999999999999E-2</v>
      </c>
      <c r="P641" s="253">
        <v>6.0499999999999998E-2</v>
      </c>
      <c r="Q641" s="253">
        <v>-5.8900000000000001E-2</v>
      </c>
      <c r="R641" s="253">
        <v>9.4999999999999998E-3</v>
      </c>
      <c r="S641" s="253">
        <v>-8.5000000000000006E-3</v>
      </c>
      <c r="T641" s="253">
        <v>5.1700000000000003E-2</v>
      </c>
      <c r="U641" s="253">
        <v>-1.5299999999999999E-2</v>
      </c>
      <c r="V641" s="253">
        <v>-2.1899999999999999E-2</v>
      </c>
      <c r="W641" s="253">
        <v>8.7499999999999994E-2</v>
      </c>
      <c r="X641" s="253">
        <v>-6.8000000000000005E-2</v>
      </c>
      <c r="Y641" s="253">
        <v>-2.1299999999999999E-2</v>
      </c>
      <c r="Z641" s="245">
        <f ca="1">[1]ExtEntry!$L39</f>
        <v>-2.1299999999999999E-2</v>
      </c>
      <c r="AB641" s="307">
        <v>0</v>
      </c>
      <c r="AC641" s="307">
        <v>0</v>
      </c>
      <c r="AD641" s="307">
        <v>0</v>
      </c>
      <c r="AE641" s="307">
        <v>0</v>
      </c>
      <c r="AF641" s="307">
        <v>0</v>
      </c>
      <c r="AG641" s="307">
        <v>0</v>
      </c>
      <c r="AH641" s="307">
        <v>0</v>
      </c>
      <c r="AI641" s="307">
        <v>0</v>
      </c>
      <c r="AJ641" s="307">
        <v>0</v>
      </c>
      <c r="AK641" s="307" t="e">
        <v>#N/A</v>
      </c>
      <c r="AL641" s="307">
        <v>0</v>
      </c>
      <c r="AM641" s="307">
        <v>0</v>
      </c>
      <c r="AN641" s="307">
        <v>0</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0.55000000000000004</v>
      </c>
      <c r="G642" s="253">
        <v>0.7</v>
      </c>
      <c r="H642" s="253">
        <v>0</v>
      </c>
      <c r="I642" s="253">
        <v>-0.17</v>
      </c>
      <c r="J642" s="253">
        <v>1.52</v>
      </c>
      <c r="K642" s="253">
        <v>0.81</v>
      </c>
      <c r="L642" s="253">
        <v>0.42</v>
      </c>
      <c r="M642" s="253">
        <v>0.42</v>
      </c>
      <c r="N642" s="253">
        <v>-1.3</v>
      </c>
      <c r="O642" s="253">
        <v>0.57999999999999996</v>
      </c>
      <c r="P642" s="253">
        <v>-0.39</v>
      </c>
      <c r="Q642" s="253">
        <v>0.11</v>
      </c>
      <c r="R642" s="253">
        <v>2.2200000000000002</v>
      </c>
      <c r="S642" s="253">
        <v>-2.3199999999999998</v>
      </c>
      <c r="T642" s="253">
        <v>9.4700000000000006</v>
      </c>
      <c r="U642" s="253">
        <v>-1.5249999999999999</v>
      </c>
      <c r="V642" s="253">
        <v>-0.81</v>
      </c>
      <c r="W642" s="253">
        <v>2.06</v>
      </c>
      <c r="X642" s="253">
        <v>3.71</v>
      </c>
      <c r="Y642" s="253">
        <v>-4.0199999999999996</v>
      </c>
      <c r="Z642" s="245">
        <f ca="1">[1]ExtEntry!$L40</f>
        <v>-4.0199999999999996</v>
      </c>
      <c r="AB642" s="307">
        <v>1.4000485756026295</v>
      </c>
      <c r="AC642" s="307">
        <v>1.3651470797720797</v>
      </c>
      <c r="AD642" s="307">
        <v>1.3636901458555672</v>
      </c>
      <c r="AE642" s="307">
        <v>1.3719874731567643</v>
      </c>
      <c r="AF642" s="307">
        <v>1.3011992532247114</v>
      </c>
      <c r="AG642" s="307">
        <v>1.2663802444664685</v>
      </c>
      <c r="AH642" s="307">
        <v>1.2490495275333984</v>
      </c>
      <c r="AI642" s="307">
        <v>1.2490495275333984</v>
      </c>
      <c r="AJ642" s="307">
        <v>1.3042984008166041</v>
      </c>
      <c r="AK642" s="307" t="e">
        <v>#N/A</v>
      </c>
      <c r="AL642" s="307">
        <v>1.295920554428668</v>
      </c>
      <c r="AM642" s="307">
        <v>1.2911192320646681</v>
      </c>
      <c r="AN642" s="307">
        <v>1.2123127767235926</v>
      </c>
      <c r="AO642" s="307">
        <v>1.3531002470878926</v>
      </c>
      <c r="AP642" s="307">
        <v>1.0127696169088507</v>
      </c>
      <c r="AQ642" s="307">
        <v>1.055287818306951</v>
      </c>
      <c r="AR642" s="307">
        <v>1.08562248654772</v>
      </c>
      <c r="AS642" s="307">
        <v>0.91400405340963276</v>
      </c>
      <c r="AT642" s="307">
        <v>0.82936672436174808</v>
      </c>
      <c r="AU642" s="307">
        <v>0.90837274881516572</v>
      </c>
      <c r="AV642" s="306">
        <f ca="1">Calc!AS40</f>
        <v>0.90837274881516572</v>
      </c>
      <c r="AX642" s="88" t="str">
        <f t="shared" ca="1" si="51"/>
        <v>RIGL</v>
      </c>
    </row>
    <row r="643" spans="1:50" hidden="1" x14ac:dyDescent="0.3">
      <c r="A643" s="88" t="str">
        <f t="shared" ca="1" si="50"/>
        <v>RWE</v>
      </c>
      <c r="F643" s="253">
        <v>-0.38</v>
      </c>
      <c r="G643" s="253">
        <v>0.11</v>
      </c>
      <c r="H643" s="253">
        <v>0.61</v>
      </c>
      <c r="I643" s="253">
        <v>-0.32</v>
      </c>
      <c r="J643" s="253">
        <v>-0.14000000000000001</v>
      </c>
      <c r="K643" s="253">
        <v>-0.45</v>
      </c>
      <c r="L643" s="253">
        <v>-0.25</v>
      </c>
      <c r="M643" s="253">
        <v>-0.25</v>
      </c>
      <c r="N643" s="253">
        <v>-0.22</v>
      </c>
      <c r="O643" s="253">
        <v>0.48</v>
      </c>
      <c r="P643" s="253">
        <v>0.02</v>
      </c>
      <c r="Q643" s="253">
        <v>0.59</v>
      </c>
      <c r="R643" s="253">
        <v>0.68</v>
      </c>
      <c r="S643" s="253">
        <v>-0.46</v>
      </c>
      <c r="T643" s="253">
        <v>0.27</v>
      </c>
      <c r="U643" s="253">
        <v>0.51</v>
      </c>
      <c r="V643" s="253">
        <v>-0.18</v>
      </c>
      <c r="W643" s="253">
        <v>-0.14000000000000001</v>
      </c>
      <c r="X643" s="253">
        <v>-0.39</v>
      </c>
      <c r="Y643" s="253">
        <v>-0.94</v>
      </c>
      <c r="Z643" s="245">
        <f ca="1">[1]ExtEntry!$L41</f>
        <v>-0.94</v>
      </c>
      <c r="AB643" s="307">
        <v>1.0660423854115328</v>
      </c>
      <c r="AC643" s="307">
        <v>1.0631604816908331</v>
      </c>
      <c r="AD643" s="307">
        <v>1.0454325761237311</v>
      </c>
      <c r="AE643" s="307">
        <v>1.0535801266439355</v>
      </c>
      <c r="AF643" s="307">
        <v>1.0571847507331378</v>
      </c>
      <c r="AG643" s="307">
        <v>1.0689399555226093</v>
      </c>
      <c r="AH643" s="307">
        <v>1.0755842864246643</v>
      </c>
      <c r="AI643" s="307">
        <v>1.0935442565887619</v>
      </c>
      <c r="AJ643" s="307">
        <v>1.0995587499999999</v>
      </c>
      <c r="AK643" s="307" t="e">
        <v>#N/A</v>
      </c>
      <c r="AL643" s="307">
        <v>1.0595335802469137</v>
      </c>
      <c r="AM643" s="307">
        <v>1.0443200292041859</v>
      </c>
      <c r="AN643" s="307">
        <v>1.0397449976733366</v>
      </c>
      <c r="AO643" s="307">
        <v>1.0568507321681624</v>
      </c>
      <c r="AP643" s="307">
        <v>1.0501539544707814</v>
      </c>
      <c r="AQ643" s="307">
        <v>1.0377333024118738</v>
      </c>
      <c r="AR643" s="307">
        <v>1.0428119319505942</v>
      </c>
      <c r="AS643" s="307">
        <v>0.98714008382969332</v>
      </c>
      <c r="AT643" s="307">
        <v>1.0105478771454381</v>
      </c>
      <c r="AU643" s="307">
        <v>1.0232577178138578</v>
      </c>
      <c r="AV643" s="306">
        <f ca="1">Calc!AS41</f>
        <v>1.0232577178138578</v>
      </c>
      <c r="AX643" s="88" t="str">
        <f t="shared" ca="1" si="51"/>
        <v>RWE</v>
      </c>
    </row>
    <row r="644" spans="1:50" hidden="1" x14ac:dyDescent="0.3">
      <c r="A644" s="88" t="str">
        <f t="shared" ca="1" si="50"/>
        <v>SAP</v>
      </c>
      <c r="F644" s="253">
        <v>1.3</v>
      </c>
      <c r="G644" s="253">
        <v>1.5</v>
      </c>
      <c r="H644" s="253">
        <v>-1</v>
      </c>
      <c r="I644" s="253">
        <v>-2.25</v>
      </c>
      <c r="J644" s="253">
        <v>7.65</v>
      </c>
      <c r="K644" s="253">
        <v>1.8</v>
      </c>
      <c r="L644" s="253">
        <v>-3.55</v>
      </c>
      <c r="M644" s="253">
        <v>-3.55</v>
      </c>
      <c r="N644" s="253">
        <v>5.15</v>
      </c>
      <c r="O644" s="253">
        <v>-8.65</v>
      </c>
      <c r="P644" s="253">
        <v>2.2000000000000002</v>
      </c>
      <c r="Q644" s="253">
        <v>-1.45</v>
      </c>
      <c r="R644" s="253">
        <v>1.55</v>
      </c>
      <c r="S644" s="253">
        <v>-2.8</v>
      </c>
      <c r="T644" s="253">
        <v>1.9</v>
      </c>
      <c r="U644" s="253">
        <v>-10</v>
      </c>
      <c r="V644" s="253">
        <v>-2.2999999999999998</v>
      </c>
      <c r="W644" s="253">
        <v>-7</v>
      </c>
      <c r="X644" s="253">
        <v>0</v>
      </c>
      <c r="Y644" s="253">
        <v>0.15</v>
      </c>
      <c r="Z644" s="245">
        <f ca="1">[1]ExtEntry!$L42</f>
        <v>0.15</v>
      </c>
      <c r="AB644" s="307">
        <v>1.2544493768801033</v>
      </c>
      <c r="AC644" s="307">
        <v>1.246414901793339</v>
      </c>
      <c r="AD644" s="307">
        <v>1.2517597341337907</v>
      </c>
      <c r="AE644" s="307">
        <v>1.2639548387096775</v>
      </c>
      <c r="AF644" s="307">
        <v>1.2234298826487846</v>
      </c>
      <c r="AG644" s="307">
        <v>1.2142694259567388</v>
      </c>
      <c r="AH644" s="307">
        <v>1.2324693687988177</v>
      </c>
      <c r="AI644" s="307">
        <v>1.2142820350432766</v>
      </c>
      <c r="AJ644" s="307">
        <v>1.1884409090909092</v>
      </c>
      <c r="AK644" s="307" t="e">
        <v>#N/A</v>
      </c>
      <c r="AL644" s="307">
        <v>1.2392713648906812</v>
      </c>
      <c r="AM644" s="307">
        <v>1.246947330200769</v>
      </c>
      <c r="AN644" s="307">
        <v>1.2772495018817798</v>
      </c>
      <c r="AO644" s="307">
        <v>1.2770042026100421</v>
      </c>
      <c r="AP644" s="307">
        <v>1.2663601667032245</v>
      </c>
      <c r="AQ644" s="307">
        <v>1.3244634090387706</v>
      </c>
      <c r="AR644" s="307">
        <v>1.3385893809413403</v>
      </c>
      <c r="AS644" s="307">
        <v>1.3674410232117482</v>
      </c>
      <c r="AT644" s="307">
        <v>1.4057307036766498</v>
      </c>
      <c r="AU644" s="307">
        <v>1.4047046228710462</v>
      </c>
      <c r="AV644" s="306">
        <f ca="1">Calc!AS42</f>
        <v>1.4047046228710462</v>
      </c>
      <c r="AX644" s="88" t="str">
        <f t="shared" ca="1" si="51"/>
        <v>SAP</v>
      </c>
    </row>
    <row r="645" spans="1:50" hidden="1" x14ac:dyDescent="0.3">
      <c r="A645" s="88" t="str">
        <f t="shared" ca="1" si="50"/>
        <v>SHECY</v>
      </c>
      <c r="F645" s="253">
        <v>0.17</v>
      </c>
      <c r="G645" s="253">
        <v>-6.6600000000000006E-2</v>
      </c>
      <c r="H645" s="253">
        <v>-0.09</v>
      </c>
      <c r="I645" s="253">
        <v>0.05</v>
      </c>
      <c r="J645" s="253">
        <v>-0.16</v>
      </c>
      <c r="K645" s="253">
        <v>-7.0000000000000007E-2</v>
      </c>
      <c r="L645" s="253">
        <v>-0.23</v>
      </c>
      <c r="M645" s="253">
        <v>-0.23</v>
      </c>
      <c r="N645" s="253">
        <v>0.11</v>
      </c>
      <c r="O645" s="253">
        <v>-0.48</v>
      </c>
      <c r="P645" s="253">
        <v>-0.3</v>
      </c>
      <c r="Q645" s="253">
        <v>0.05</v>
      </c>
      <c r="R645" s="253">
        <v>-0.11</v>
      </c>
      <c r="S645" s="253">
        <v>-0.13</v>
      </c>
      <c r="T645" s="253">
        <v>-0.03</v>
      </c>
      <c r="U645" s="253">
        <v>-0.4</v>
      </c>
      <c r="V645" s="253">
        <v>0.23</v>
      </c>
      <c r="W645" s="253">
        <v>0.19</v>
      </c>
      <c r="X645" s="253">
        <v>-0.35</v>
      </c>
      <c r="Y645" s="253">
        <v>-0.11550000000000001</v>
      </c>
      <c r="Z645" s="245">
        <f ca="1">[1]ExtEntry!$L43</f>
        <v>-0.11550000000000001</v>
      </c>
      <c r="AB645" s="307">
        <v>0</v>
      </c>
      <c r="AC645" s="307">
        <v>0</v>
      </c>
      <c r="AD645" s="307">
        <v>0</v>
      </c>
      <c r="AE645" s="307">
        <v>0</v>
      </c>
      <c r="AF645" s="307">
        <v>0</v>
      </c>
      <c r="AG645" s="307">
        <v>0</v>
      </c>
      <c r="AH645" s="307">
        <v>0</v>
      </c>
      <c r="AI645" s="307">
        <v>0</v>
      </c>
      <c r="AJ645" s="307">
        <v>0</v>
      </c>
      <c r="AK645" s="307" t="e">
        <v>#N/A</v>
      </c>
      <c r="AL645" s="307">
        <v>0</v>
      </c>
      <c r="AM645" s="307">
        <v>0</v>
      </c>
      <c r="AN645" s="307">
        <v>0</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-0.01</v>
      </c>
      <c r="G646" s="253">
        <v>0.60899999999999999</v>
      </c>
      <c r="H646" s="253">
        <v>-0.06</v>
      </c>
      <c r="I646" s="253">
        <v>-0.56000000000000005</v>
      </c>
      <c r="J646" s="253">
        <v>1.52</v>
      </c>
      <c r="K646" s="253">
        <v>-0.09</v>
      </c>
      <c r="L646" s="253">
        <v>-1.05</v>
      </c>
      <c r="M646" s="253">
        <v>-1.05</v>
      </c>
      <c r="N646" s="253">
        <v>0.48</v>
      </c>
      <c r="O646" s="253">
        <v>0.21</v>
      </c>
      <c r="P646" s="253">
        <v>-0.08</v>
      </c>
      <c r="Q646" s="253">
        <v>-0.38</v>
      </c>
      <c r="R646" s="253">
        <v>-0.32</v>
      </c>
      <c r="S646" s="253">
        <v>-0.66</v>
      </c>
      <c r="T646" s="253">
        <v>-0.02</v>
      </c>
      <c r="U646" s="253">
        <v>-0.39</v>
      </c>
      <c r="V646" s="253">
        <v>0</v>
      </c>
      <c r="W646" s="253">
        <v>-0.38</v>
      </c>
      <c r="X646" s="253">
        <v>-0.03</v>
      </c>
      <c r="Y646" s="253">
        <v>-0.05</v>
      </c>
      <c r="Z646" s="245">
        <f ca="1">[1]ExtEntry!$L44</f>
        <v>-0.05</v>
      </c>
      <c r="AB646" s="307">
        <v>1.2277467771639043</v>
      </c>
      <c r="AC646" s="307">
        <v>1.1625538407882117</v>
      </c>
      <c r="AD646" s="307">
        <v>1.1614398954703833</v>
      </c>
      <c r="AE646" s="307">
        <v>1.2210009157509158</v>
      </c>
      <c r="AF646" s="307">
        <v>1.0718110932475884</v>
      </c>
      <c r="AG646" s="307">
        <v>1.0796218623481781</v>
      </c>
      <c r="AH646" s="307">
        <v>1.1799407079646016</v>
      </c>
      <c r="AI646" s="307">
        <v>1.1799407079646016</v>
      </c>
      <c r="AJ646" s="307">
        <v>1.1318616298811546</v>
      </c>
      <c r="AK646" s="307" t="e">
        <v>#N/A</v>
      </c>
      <c r="AL646" s="307">
        <v>1.1195071368597818</v>
      </c>
      <c r="AM646" s="307">
        <v>1.1564032957502168</v>
      </c>
      <c r="AN646" s="307">
        <v>1.2368580705009278</v>
      </c>
      <c r="AO646" s="307">
        <v>1.3427321248741189</v>
      </c>
      <c r="AP646" s="307">
        <v>1.3536375634517768</v>
      </c>
      <c r="AQ646" s="307">
        <v>1.4094429175475687</v>
      </c>
      <c r="AR646" s="307">
        <v>1.4094429175475687</v>
      </c>
      <c r="AS646" s="307">
        <v>1.4897575418994415</v>
      </c>
      <c r="AT646" s="307">
        <v>1.5686270588235294</v>
      </c>
      <c r="AU646" s="307">
        <v>1.5779088757396451</v>
      </c>
      <c r="AV646" s="306">
        <f ca="1">Calc!AS44</f>
        <v>1.5779088757396451</v>
      </c>
      <c r="AX646" s="88" t="str">
        <f t="shared" ca="1" si="51"/>
        <v>SSYS</v>
      </c>
    </row>
    <row r="647" spans="1:50" hidden="1" x14ac:dyDescent="0.3">
      <c r="A647" s="88" t="str">
        <f t="shared" ca="1" si="50"/>
        <v>TSLA</v>
      </c>
      <c r="F647" s="253">
        <v>-6.66</v>
      </c>
      <c r="G647" s="253">
        <v>4.2000999999999999</v>
      </c>
      <c r="H647" s="253">
        <v>-6.4</v>
      </c>
      <c r="I647" s="253">
        <v>10.56</v>
      </c>
      <c r="J647" s="253">
        <v>8.1199999999999992</v>
      </c>
      <c r="K647" s="253">
        <v>-4.83</v>
      </c>
      <c r="L647" s="253">
        <v>-3.63</v>
      </c>
      <c r="M647" s="253">
        <v>-3.63</v>
      </c>
      <c r="N647" s="253">
        <v>10.01</v>
      </c>
      <c r="O647" s="253">
        <v>-15.26</v>
      </c>
      <c r="P647" s="253">
        <v>18.7</v>
      </c>
      <c r="Q647" s="253">
        <v>8.1300000000000008</v>
      </c>
      <c r="R647" s="253">
        <v>-21.41</v>
      </c>
      <c r="S647" s="253">
        <v>-21.45</v>
      </c>
      <c r="T647" s="253">
        <v>17.998000000000001</v>
      </c>
      <c r="U647" s="253">
        <v>-17.060099999999998</v>
      </c>
      <c r="V647" s="253">
        <v>-15.88</v>
      </c>
      <c r="W647" s="253">
        <v>2.36</v>
      </c>
      <c r="X647" s="253">
        <v>-7.67</v>
      </c>
      <c r="Y647" s="253">
        <v>0.86</v>
      </c>
      <c r="Z647" s="245">
        <f ca="1">[1]ExtEntry!$L45</f>
        <v>0.86</v>
      </c>
      <c r="AB647" s="307">
        <v>0.72345098313297929</v>
      </c>
      <c r="AC647" s="307">
        <v>0.71644063389612556</v>
      </c>
      <c r="AD647" s="307">
        <v>0.72427778425655986</v>
      </c>
      <c r="AE647" s="307">
        <v>0.70686781543784571</v>
      </c>
      <c r="AF647" s="307">
        <v>0.69403951456093693</v>
      </c>
      <c r="AG647" s="307">
        <v>0.70161342069588795</v>
      </c>
      <c r="AH647" s="307">
        <v>0.70741531311934758</v>
      </c>
      <c r="AI647" s="307">
        <v>0.82153554912636395</v>
      </c>
      <c r="AJ647" s="307">
        <v>0.80321943070960844</v>
      </c>
      <c r="AK647" s="307" t="e">
        <v>#N/A</v>
      </c>
      <c r="AL647" s="307">
        <v>0.68638455417532385</v>
      </c>
      <c r="AM647" s="307">
        <v>0.67426794050591687</v>
      </c>
      <c r="AN647" s="307">
        <v>0.8891571233810498</v>
      </c>
      <c r="AO647" s="307">
        <v>0.87558858408663742</v>
      </c>
      <c r="AP647" s="307">
        <v>0.84653602533650052</v>
      </c>
      <c r="AQ647" s="307">
        <v>0.87934684149723419</v>
      </c>
      <c r="AR647" s="307">
        <v>0.90997848987279972</v>
      </c>
      <c r="AS647" s="307">
        <v>0.9677706195127983</v>
      </c>
      <c r="AT647" s="307">
        <v>0.97524747663551414</v>
      </c>
      <c r="AU647" s="307">
        <v>0.97316169704807143</v>
      </c>
      <c r="AV647" s="306">
        <f ca="1">Calc!AS45</f>
        <v>0.97316169704807143</v>
      </c>
      <c r="AX647" s="88" t="str">
        <f t="shared" ca="1" si="51"/>
        <v>TSLA</v>
      </c>
    </row>
    <row r="648" spans="1:50" hidden="1" x14ac:dyDescent="0.3">
      <c r="A648" s="88" t="str">
        <f t="shared" ca="1" si="50"/>
        <v>TSM</v>
      </c>
      <c r="F648" s="253">
        <v>-6.915</v>
      </c>
      <c r="G648" s="253">
        <v>9.125</v>
      </c>
      <c r="H648" s="253">
        <v>-4.74</v>
      </c>
      <c r="I648" s="253">
        <v>-4.76</v>
      </c>
      <c r="J648" s="253">
        <v>2.714</v>
      </c>
      <c r="K648" s="253">
        <v>-3.18</v>
      </c>
      <c r="L648" s="253">
        <v>-5.61</v>
      </c>
      <c r="M648" s="253">
        <v>-5.61</v>
      </c>
      <c r="N648" s="253">
        <v>1.86</v>
      </c>
      <c r="O648" s="253">
        <v>4.2699999999999996</v>
      </c>
      <c r="P648" s="253">
        <v>3.28</v>
      </c>
      <c r="Q648" s="253">
        <v>3.27</v>
      </c>
      <c r="R648" s="253">
        <v>-1.79</v>
      </c>
      <c r="S648" s="253">
        <v>-9.8149999999999995</v>
      </c>
      <c r="T648" s="253">
        <v>-0.1</v>
      </c>
      <c r="U648" s="253">
        <v>-4.21</v>
      </c>
      <c r="V648" s="253">
        <v>-3.39</v>
      </c>
      <c r="W648" s="253">
        <v>2.67</v>
      </c>
      <c r="X648" s="253">
        <v>-4</v>
      </c>
      <c r="Y648" s="253">
        <v>1.58</v>
      </c>
      <c r="Z648" s="245">
        <f ca="1">[1]ExtEntry!$L46</f>
        <v>1.58</v>
      </c>
      <c r="AB648" s="307">
        <v>0.92628323338119767</v>
      </c>
      <c r="AC648" s="307">
        <v>0.8986828380836871</v>
      </c>
      <c r="AD648" s="307">
        <v>0.91394699469946983</v>
      </c>
      <c r="AE648" s="307">
        <v>0.92909272061813752</v>
      </c>
      <c r="AF648" s="307">
        <v>0.92062526444454895</v>
      </c>
      <c r="AG648" s="307">
        <v>0.93085929648241206</v>
      </c>
      <c r="AH648" s="307">
        <v>0.94896739356178617</v>
      </c>
      <c r="AI648" s="307">
        <v>1.0648905503634476</v>
      </c>
      <c r="AJ648" s="307">
        <v>1.0581512003852238</v>
      </c>
      <c r="AK648" s="307" t="e">
        <v>#N/A</v>
      </c>
      <c r="AL648" s="307">
        <v>0.91924852467811158</v>
      </c>
      <c r="AM648" s="307">
        <v>0.9092487397187583</v>
      </c>
      <c r="AN648" s="307">
        <v>1.1058255192878339</v>
      </c>
      <c r="AO648" s="307">
        <v>1.1367651714145299</v>
      </c>
      <c r="AP648" s="307">
        <v>1.1409997618642627</v>
      </c>
      <c r="AQ648" s="307">
        <v>1.1588186435407526</v>
      </c>
      <c r="AR648" s="307">
        <v>1.1733317474199754</v>
      </c>
      <c r="AS648" s="307">
        <v>1.1773682030399832</v>
      </c>
      <c r="AT648" s="307">
        <v>1.2064202007122047</v>
      </c>
      <c r="AU648" s="307">
        <v>1.2000317721564278</v>
      </c>
      <c r="AV648" s="306">
        <f ca="1">Calc!AS46</f>
        <v>1.2000317721564278</v>
      </c>
      <c r="AX648" s="88" t="str">
        <f t="shared" ca="1" si="51"/>
        <v>TSM</v>
      </c>
    </row>
    <row r="649" spans="1:50" hidden="1" x14ac:dyDescent="0.3">
      <c r="A649" s="88" t="str">
        <f t="shared" ca="1" si="50"/>
        <v>UN0</v>
      </c>
      <c r="F649" s="253">
        <v>-0.35</v>
      </c>
      <c r="G649" s="253">
        <v>0.05</v>
      </c>
      <c r="H649" s="253">
        <v>0.15</v>
      </c>
      <c r="I649" s="253">
        <v>-0.2</v>
      </c>
      <c r="J649" s="253">
        <v>1.45</v>
      </c>
      <c r="K649" s="253">
        <v>-1.3</v>
      </c>
      <c r="L649" s="253">
        <v>0.1</v>
      </c>
      <c r="M649" s="253">
        <v>0.1</v>
      </c>
      <c r="N649" s="253">
        <v>-0.85</v>
      </c>
      <c r="O649" s="253">
        <v>-0.8</v>
      </c>
      <c r="P649" s="253">
        <v>0.7</v>
      </c>
      <c r="Q649" s="253">
        <v>-0.6</v>
      </c>
      <c r="R649" s="253">
        <v>-0.45</v>
      </c>
      <c r="S649" s="253">
        <v>0.05</v>
      </c>
      <c r="T649" s="253">
        <v>-0.1</v>
      </c>
      <c r="U649" s="253">
        <v>-1.55</v>
      </c>
      <c r="V649" s="253">
        <v>0.55000000000000004</v>
      </c>
      <c r="W649" s="253">
        <v>-0.05</v>
      </c>
      <c r="X649" s="253">
        <v>-0.9</v>
      </c>
      <c r="Y649" s="253">
        <v>-0.2</v>
      </c>
      <c r="Z649" s="245">
        <f ca="1">[1]ExtEntry!$L47</f>
        <v>-0.2</v>
      </c>
      <c r="AB649" s="307">
        <v>0</v>
      </c>
      <c r="AC649" s="307">
        <v>0</v>
      </c>
      <c r="AD649" s="307">
        <v>0</v>
      </c>
      <c r="AE649" s="307">
        <v>0</v>
      </c>
      <c r="AF649" s="307">
        <v>0</v>
      </c>
      <c r="AG649" s="307">
        <v>0</v>
      </c>
      <c r="AH649" s="307">
        <v>0</v>
      </c>
      <c r="AI649" s="307">
        <v>0</v>
      </c>
      <c r="AJ649" s="307">
        <v>0</v>
      </c>
      <c r="AK649" s="307" t="e">
        <v>#N/A</v>
      </c>
      <c r="AL649" s="307">
        <v>0</v>
      </c>
      <c r="AM649" s="307">
        <v>0</v>
      </c>
      <c r="AN649" s="307">
        <v>0</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0.26</v>
      </c>
      <c r="H650" s="253">
        <v>-0.11</v>
      </c>
      <c r="I650" s="253">
        <v>0.04</v>
      </c>
      <c r="J650" s="253">
        <v>-0.05</v>
      </c>
      <c r="K650" s="253">
        <v>0</v>
      </c>
      <c r="L650" s="253">
        <v>-0.05</v>
      </c>
      <c r="M650" s="253">
        <v>-0.05</v>
      </c>
      <c r="N650" s="253">
        <v>0.25</v>
      </c>
      <c r="O650" s="253">
        <v>0.2</v>
      </c>
      <c r="P650" s="253">
        <v>0.22</v>
      </c>
      <c r="Q650" s="253">
        <v>-0.18</v>
      </c>
      <c r="R650" s="253">
        <v>-0.03</v>
      </c>
      <c r="S650" s="253">
        <v>1.4999999999999999E-2</v>
      </c>
      <c r="T650" s="253">
        <v>0.4</v>
      </c>
      <c r="U650" s="253">
        <v>-0.16500000000000001</v>
      </c>
      <c r="V650" s="253">
        <v>0.30499999999999999</v>
      </c>
      <c r="W650" s="253">
        <v>0.245</v>
      </c>
      <c r="X650" s="253">
        <v>-0.14000000000000001</v>
      </c>
      <c r="Y650" s="253">
        <v>-0.23499999999999999</v>
      </c>
      <c r="Z650" s="245">
        <f ca="1">[1]ExtEntry!$L48</f>
        <v>-0.23499999999999999</v>
      </c>
      <c r="AB650" s="307">
        <v>1.5392294776119402</v>
      </c>
      <c r="AC650" s="307">
        <v>1.4680195729537366</v>
      </c>
      <c r="AD650" s="307">
        <v>1.4706363636363635</v>
      </c>
      <c r="AE650" s="307">
        <v>1.4602247787610618</v>
      </c>
      <c r="AF650" s="307">
        <v>1.4732625000000001</v>
      </c>
      <c r="AG650" s="307">
        <v>1.4732625000000001</v>
      </c>
      <c r="AH650" s="307">
        <v>1.4865351351351352</v>
      </c>
      <c r="AI650" s="307">
        <v>1.3468468468468469</v>
      </c>
      <c r="AJ650" s="307">
        <v>1.2887931034482758</v>
      </c>
      <c r="AK650" s="307" t="e">
        <v>#N/A</v>
      </c>
      <c r="AL650" s="307">
        <v>1.3264099678456593</v>
      </c>
      <c r="AM650" s="307">
        <v>1.3659387417218545</v>
      </c>
      <c r="AN650" s="307">
        <v>1.2774905335628228</v>
      </c>
      <c r="AO650" s="307">
        <v>1.2078470301057771</v>
      </c>
      <c r="AP650" s="307">
        <v>1.159721875</v>
      </c>
      <c r="AQ650" s="307">
        <v>1.1904121892542101</v>
      </c>
      <c r="AR650" s="307">
        <v>1.1305742574257425</v>
      </c>
      <c r="AS650" s="307">
        <v>1.1818821656050955</v>
      </c>
      <c r="AT650" s="307">
        <v>1.2068650406504065</v>
      </c>
      <c r="AU650" s="307">
        <v>1.2548131868131869</v>
      </c>
      <c r="AV650" s="306">
        <f ca="1">Calc!AS48</f>
        <v>1.2548131868131869</v>
      </c>
      <c r="AX650" s="88" t="str">
        <f t="shared" ca="1" si="51"/>
        <v>UNIT</v>
      </c>
    </row>
    <row r="651" spans="1:50" hidden="1" x14ac:dyDescent="0.3">
      <c r="A651" s="88" t="str">
        <f t="shared" ca="1" si="50"/>
        <v>VLVLY</v>
      </c>
      <c r="F651" s="253">
        <v>-0.19989999999999999</v>
      </c>
      <c r="G651" s="253">
        <v>0.188</v>
      </c>
      <c r="H651" s="253">
        <v>0.35</v>
      </c>
      <c r="I651" s="253">
        <v>-1.8</v>
      </c>
      <c r="J651" s="253">
        <v>0.73</v>
      </c>
      <c r="K651" s="253">
        <v>0.24</v>
      </c>
      <c r="L651" s="253">
        <v>-0.15</v>
      </c>
      <c r="M651" s="253">
        <v>-0.15</v>
      </c>
      <c r="N651" s="253">
        <v>0.23</v>
      </c>
      <c r="O651" s="253">
        <v>0.2</v>
      </c>
      <c r="P651" s="253">
        <v>0.17</v>
      </c>
      <c r="Q651" s="253">
        <v>-0.08</v>
      </c>
      <c r="R651" s="253">
        <v>-0.23</v>
      </c>
      <c r="S651" s="253">
        <v>-0.38300000000000001</v>
      </c>
      <c r="T651" s="253">
        <v>0.76060000000000005</v>
      </c>
      <c r="U651" s="253">
        <v>-0.22059999999999999</v>
      </c>
      <c r="V651" s="253">
        <v>0.14649999999999999</v>
      </c>
      <c r="W651" s="253">
        <v>-0.33</v>
      </c>
      <c r="X651" s="253">
        <v>-0.01</v>
      </c>
      <c r="Y651" s="253">
        <v>0.39500000000000002</v>
      </c>
      <c r="Z651" s="245">
        <f ca="1">[1]ExtEntry!$L49</f>
        <v>0.39500000000000002</v>
      </c>
      <c r="AB651" s="307">
        <v>1.2996342973491071</v>
      </c>
      <c r="AC651" s="307">
        <v>1.2931963503125223</v>
      </c>
      <c r="AD651" s="307">
        <v>1.2784090909090908</v>
      </c>
      <c r="AE651" s="307">
        <v>1.3657056145675266</v>
      </c>
      <c r="AF651" s="307">
        <v>1.3289036544850499</v>
      </c>
      <c r="AG651" s="307">
        <v>1.3172338090010978</v>
      </c>
      <c r="AH651" s="307">
        <v>1.3245033112582782</v>
      </c>
      <c r="AI651" s="307">
        <v>1.3245033112582782</v>
      </c>
      <c r="AJ651" s="307">
        <v>1.3133892739875959</v>
      </c>
      <c r="AK651" s="307" t="e">
        <v>#N/A</v>
      </c>
      <c r="AL651" s="307">
        <v>1.2958963282937364</v>
      </c>
      <c r="AM651" s="307">
        <v>1.2996389891696751</v>
      </c>
      <c r="AN651" s="307">
        <v>1.2363636363636363</v>
      </c>
      <c r="AO651" s="307">
        <v>1.2684200708822981</v>
      </c>
      <c r="AP651" s="307">
        <v>1.2327505565506189</v>
      </c>
      <c r="AQ651" s="307">
        <v>1.2426900584795322</v>
      </c>
      <c r="AR651" s="307">
        <v>1.2401291193259534</v>
      </c>
      <c r="AS651" s="307">
        <v>1.2125534950071326</v>
      </c>
      <c r="AT651" s="307">
        <v>1.231437884824339</v>
      </c>
      <c r="AU651" s="307">
        <v>1.2140689162649527</v>
      </c>
      <c r="AV651" s="307">
        <f ca="1">Calc!AS49</f>
        <v>1.2140689162649527</v>
      </c>
      <c r="AX651" s="88" t="str">
        <f t="shared" ca="1" si="51"/>
        <v>VLVLY</v>
      </c>
    </row>
    <row r="652" spans="1:50" hidden="1" x14ac:dyDescent="0.3">
      <c r="A652" s="88" t="str">
        <f t="shared" ca="1" si="50"/>
        <v>VONN</v>
      </c>
      <c r="F652" s="253">
        <v>0.2</v>
      </c>
      <c r="G652" s="253">
        <v>-0.5</v>
      </c>
      <c r="H652" s="253">
        <v>-0.4</v>
      </c>
      <c r="I652" s="253">
        <v>-0.8</v>
      </c>
      <c r="J652" s="253">
        <v>0.1</v>
      </c>
      <c r="K652" s="253">
        <v>-0.4</v>
      </c>
      <c r="L652" s="253">
        <v>1.6</v>
      </c>
      <c r="M652" s="253">
        <v>1.6</v>
      </c>
      <c r="N652" s="253">
        <v>0.8</v>
      </c>
      <c r="O652" s="253">
        <v>0.2</v>
      </c>
      <c r="P652" s="253">
        <v>-0.1</v>
      </c>
      <c r="Q652" s="253">
        <v>-0.8</v>
      </c>
      <c r="R652" s="253">
        <v>0.7</v>
      </c>
      <c r="S652" s="253">
        <v>-0.7</v>
      </c>
      <c r="T652" s="253">
        <v>-0.3</v>
      </c>
      <c r="U652" s="253">
        <v>-0.9</v>
      </c>
      <c r="V652" s="253">
        <v>0.1</v>
      </c>
      <c r="W652" s="253">
        <v>-0.2</v>
      </c>
      <c r="X652" s="253">
        <v>-0.1</v>
      </c>
      <c r="Y652" s="253">
        <v>0.4</v>
      </c>
      <c r="Z652" s="245">
        <f ca="1">[1]ExtEntry!$L50</f>
        <v>0.4</v>
      </c>
      <c r="AB652" s="307">
        <v>1.0432454695222406</v>
      </c>
      <c r="AC652" s="307">
        <v>1.0519102990033222</v>
      </c>
      <c r="AD652" s="307">
        <v>1.0589464882943145</v>
      </c>
      <c r="AE652" s="307">
        <v>1.0733050847457628</v>
      </c>
      <c r="AF652" s="307">
        <v>1.0714890016920473</v>
      </c>
      <c r="AG652" s="307">
        <v>1.0787904599659284</v>
      </c>
      <c r="AH652" s="307">
        <v>1.0501658374792704</v>
      </c>
      <c r="AI652" s="307">
        <v>1.0132669983416254</v>
      </c>
      <c r="AJ652" s="307">
        <v>1</v>
      </c>
      <c r="AK652" s="307" t="e">
        <v>#N/A</v>
      </c>
      <c r="AL652" s="307">
        <v>1.0347222222222223</v>
      </c>
      <c r="AM652" s="307">
        <v>1.048427152317881</v>
      </c>
      <c r="AN652" s="307">
        <v>1.0098522167487685</v>
      </c>
      <c r="AO652" s="307">
        <v>1.0353535353535355</v>
      </c>
      <c r="AP652" s="307">
        <v>1.0406091370558375</v>
      </c>
      <c r="AQ652" s="307">
        <v>1.0567010309278351</v>
      </c>
      <c r="AR652" s="307">
        <v>1.0548885077186965</v>
      </c>
      <c r="AS652" s="307">
        <v>1.0249999999999999</v>
      </c>
      <c r="AT652" s="307">
        <v>1.0477001703577513</v>
      </c>
      <c r="AU652" s="307">
        <v>1.0388513513513513</v>
      </c>
      <c r="AV652" s="307">
        <f ca="1">Calc!AS50</f>
        <v>1.0388513513513513</v>
      </c>
      <c r="AX652" s="88" t="str">
        <f t="shared" ca="1" si="51"/>
        <v>VONN</v>
      </c>
    </row>
    <row r="653" spans="1:50" hidden="1" x14ac:dyDescent="0.3">
      <c r="A653" s="88" t="str">
        <f t="shared" ca="1" si="50"/>
        <v>VTRS</v>
      </c>
      <c r="F653" s="253">
        <v>7.0000000000000007E-2</v>
      </c>
      <c r="G653" s="253">
        <v>4.4999999999999998E-2</v>
      </c>
      <c r="H653" s="253">
        <v>0.12</v>
      </c>
      <c r="I653" s="253">
        <v>7.0000000000000007E-2</v>
      </c>
      <c r="J653" s="253">
        <v>0.14000000000000001</v>
      </c>
      <c r="K653" s="253">
        <v>0.08</v>
      </c>
      <c r="L653" s="253">
        <v>0.02</v>
      </c>
      <c r="M653" s="253">
        <v>0.02</v>
      </c>
      <c r="N653" s="253">
        <v>-0.1</v>
      </c>
      <c r="O653" s="253">
        <v>0.04</v>
      </c>
      <c r="P653" s="253">
        <v>7.0000000000000007E-2</v>
      </c>
      <c r="Q653" s="253">
        <v>-0.13</v>
      </c>
      <c r="R653" s="253">
        <v>0.09</v>
      </c>
      <c r="S653" s="253">
        <v>5.0000000000000001E-3</v>
      </c>
      <c r="T653" s="253">
        <v>0.26</v>
      </c>
      <c r="U653" s="253">
        <v>-0.55500000000000005</v>
      </c>
      <c r="V653" s="253">
        <v>-3.5000000000000003E-2</v>
      </c>
      <c r="W653" s="253">
        <v>-0.19</v>
      </c>
      <c r="X653" s="253">
        <v>0.05</v>
      </c>
      <c r="Y653" s="253">
        <v>-0.16500000000000001</v>
      </c>
      <c r="Z653" s="245">
        <f ca="1">[1]ExtEntry!$L51</f>
        <v>-0.16500000000000001</v>
      </c>
      <c r="AB653" s="307">
        <v>1.1509133937562941</v>
      </c>
      <c r="AC653" s="307">
        <v>1.1457213032581455</v>
      </c>
      <c r="AD653" s="307">
        <v>1.131541584158416</v>
      </c>
      <c r="AE653" s="307">
        <v>1.1237531956735498</v>
      </c>
      <c r="AF653" s="307">
        <v>1.1084936954413191</v>
      </c>
      <c r="AG653" s="307">
        <v>1.099958614051973</v>
      </c>
      <c r="AH653" s="307">
        <v>1.0978453410182518</v>
      </c>
      <c r="AI653" s="307">
        <v>1.0978453410182518</v>
      </c>
      <c r="AJ653" s="307">
        <v>1.1084936954413191</v>
      </c>
      <c r="AK653" s="307" t="e">
        <v>#N/A</v>
      </c>
      <c r="AL653" s="307">
        <v>1.0967917466410748</v>
      </c>
      <c r="AM653" s="307">
        <v>1.1106482021379982</v>
      </c>
      <c r="AN653" s="307">
        <v>1.1583011583011584</v>
      </c>
      <c r="AO653" s="307">
        <v>1.1390602752728998</v>
      </c>
      <c r="AP653" s="307">
        <v>1.1162790697674418</v>
      </c>
      <c r="AQ653" s="307">
        <v>1.1770475723393821</v>
      </c>
      <c r="AR653" s="307">
        <v>1.1910669975186106</v>
      </c>
      <c r="AS653" s="307">
        <v>1.1194029850746268</v>
      </c>
      <c r="AT653" s="307">
        <v>1.1204481792717087</v>
      </c>
      <c r="AU653" s="307">
        <v>1.1379800853485065</v>
      </c>
      <c r="AV653" s="307">
        <f ca="1">Calc!AS51</f>
        <v>1.1379800853485065</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t="e">
        <v>#N/A</v>
      </c>
      <c r="AL654" s="307">
        <v>1.0112095158597663</v>
      </c>
      <c r="AM654" s="307">
        <v>1.0112095158597663</v>
      </c>
      <c r="AN654" s="307">
        <v>0</v>
      </c>
      <c r="AO654" s="307">
        <v>0</v>
      </c>
      <c r="AP654" s="307">
        <v>0</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7.0000000000000007E-2</v>
      </c>
      <c r="G655" s="253">
        <v>-0.51500000000000001</v>
      </c>
      <c r="H655" s="253">
        <v>-0.97</v>
      </c>
      <c r="I655" s="253">
        <v>1.6</v>
      </c>
      <c r="J655" s="253">
        <v>0.46500000000000002</v>
      </c>
      <c r="K655" s="253">
        <v>0</v>
      </c>
      <c r="L655" s="253">
        <v>2.02</v>
      </c>
      <c r="M655" s="253">
        <v>2.02</v>
      </c>
      <c r="N655" s="253">
        <v>1.24</v>
      </c>
      <c r="O655" s="253">
        <v>-0.57999999999999996</v>
      </c>
      <c r="P655" s="253">
        <v>0.56999999999999995</v>
      </c>
      <c r="Q655" s="253">
        <v>-0.9</v>
      </c>
      <c r="R655" s="253">
        <v>-1.76</v>
      </c>
      <c r="S655" s="253">
        <v>0.33500000000000002</v>
      </c>
      <c r="T655" s="253">
        <v>-0.43</v>
      </c>
      <c r="U655" s="253">
        <v>1.21</v>
      </c>
      <c r="V655" s="253">
        <v>2.89</v>
      </c>
      <c r="W655" s="253">
        <v>1.52</v>
      </c>
      <c r="X655" s="253">
        <v>1.35</v>
      </c>
      <c r="Y655" s="253">
        <v>-1.45</v>
      </c>
      <c r="Z655" s="245">
        <f ca="1">[1]ExtEntry!$L53</f>
        <v>-1.45</v>
      </c>
      <c r="AB655" s="307">
        <v>1.1111358739203989</v>
      </c>
      <c r="AC655" s="307">
        <v>1.1164542160590472</v>
      </c>
      <c r="AD655" s="307">
        <v>1.1279073571945046</v>
      </c>
      <c r="AE655" s="307">
        <v>1.1118288488952246</v>
      </c>
      <c r="AF655" s="307">
        <v>1.1072416485515284</v>
      </c>
      <c r="AG655" s="307">
        <v>1.1072907719609582</v>
      </c>
      <c r="AH655" s="307">
        <v>1.0876986838664691</v>
      </c>
      <c r="AI655" s="307">
        <v>1.0847311078183561</v>
      </c>
      <c r="AJ655" s="307">
        <v>1.0733178094006037</v>
      </c>
      <c r="AK655" s="307" t="e">
        <v>#N/A</v>
      </c>
      <c r="AL655" s="307">
        <v>1.0761613487409452</v>
      </c>
      <c r="AM655" s="307">
        <v>1.0847676460361613</v>
      </c>
      <c r="AN655" s="307">
        <v>1.1027317987618799</v>
      </c>
      <c r="AO655" s="307">
        <v>1.1120557430211666</v>
      </c>
      <c r="AP655" s="307">
        <v>1.1158209480256793</v>
      </c>
      <c r="AQ655" s="307">
        <v>1.1043606928366263</v>
      </c>
      <c r="AR655" s="307">
        <v>1.0808416389811739</v>
      </c>
      <c r="AS655" s="307">
        <v>1.0637156270959087</v>
      </c>
      <c r="AT655" s="307">
        <v>1.0659497605645636</v>
      </c>
      <c r="AU655" s="307">
        <v>1.0790950841979929</v>
      </c>
      <c r="AV655" s="307">
        <f ca="1">Calc!AS53</f>
        <v>1.0790950841979929</v>
      </c>
      <c r="AX655" s="88" t="str">
        <f t="shared" ca="1" si="51"/>
        <v>XOM</v>
      </c>
    </row>
    <row r="656" spans="1:50" hidden="1" x14ac:dyDescent="0.3">
      <c r="A656" s="88" t="str">
        <f t="shared" ca="1" si="50"/>
        <v>XPER</v>
      </c>
      <c r="F656" s="253">
        <v>0.22</v>
      </c>
      <c r="G656" s="253">
        <v>6.0100000000000001E-2</v>
      </c>
      <c r="H656" s="253">
        <v>-0.04</v>
      </c>
      <c r="I656" s="253">
        <v>-0.11</v>
      </c>
      <c r="J656" s="253">
        <v>0.12</v>
      </c>
      <c r="K656" s="253">
        <v>0.05</v>
      </c>
      <c r="L656" s="253">
        <v>-0.22</v>
      </c>
      <c r="M656" s="253">
        <v>-0.23</v>
      </c>
      <c r="N656" s="253">
        <v>0.06</v>
      </c>
      <c r="O656" s="253">
        <v>0.08</v>
      </c>
      <c r="P656" s="253">
        <v>-0.03</v>
      </c>
      <c r="Q656" s="253">
        <v>0.1</v>
      </c>
      <c r="R656" s="253">
        <v>-0.06</v>
      </c>
      <c r="S656" s="253">
        <v>-0.22500000000000001</v>
      </c>
      <c r="T656" s="253">
        <v>0.37</v>
      </c>
      <c r="U656" s="253">
        <v>0.15</v>
      </c>
      <c r="V656" s="253">
        <v>-0.27150000000000002</v>
      </c>
      <c r="W656" s="253">
        <v>-0.11</v>
      </c>
      <c r="X656" s="253">
        <v>-0.14000000000000001</v>
      </c>
      <c r="Y656" s="253">
        <v>-0.13</v>
      </c>
      <c r="Z656" s="245">
        <f ca="1">[1]ExtEntry!$L54</f>
        <v>-0.13</v>
      </c>
      <c r="AB656" s="307">
        <v>1.639344262295082</v>
      </c>
      <c r="AC656" s="307">
        <v>1.6247913620182863</v>
      </c>
      <c r="AD656" s="307">
        <v>1.6369047619047619</v>
      </c>
      <c r="AE656" s="307">
        <v>1.664145234493192</v>
      </c>
      <c r="AF656" s="307">
        <v>1.6344725111441307</v>
      </c>
      <c r="AG656" s="307">
        <v>1.6224188790560472</v>
      </c>
      <c r="AH656" s="307">
        <v>1.6768292682926831</v>
      </c>
      <c r="AI656" s="307">
        <v>1.7404580152671756</v>
      </c>
      <c r="AJ656" s="307">
        <v>1.7246596066565809</v>
      </c>
      <c r="AK656" s="307" t="e">
        <v>#N/A</v>
      </c>
      <c r="AL656" s="307">
        <v>1.6566265060240966</v>
      </c>
      <c r="AM656" s="307">
        <v>1.6320474777448071</v>
      </c>
      <c r="AN656" s="307">
        <v>1.7298937784522004</v>
      </c>
      <c r="AO656" s="307">
        <v>1.7882352941176471</v>
      </c>
      <c r="AP656" s="307">
        <v>1.6913946587537092</v>
      </c>
      <c r="AQ656" s="307">
        <v>1.6545718432510887</v>
      </c>
      <c r="AR656" s="307">
        <v>1.7276653784951126</v>
      </c>
      <c r="AS656" s="307">
        <v>1.8416801292407108</v>
      </c>
      <c r="AT656" s="307">
        <v>1.9587628865979381</v>
      </c>
      <c r="AU656" s="307">
        <v>2.0035149384885762</v>
      </c>
      <c r="AV656" s="307">
        <f ca="1">Calc!AS54</f>
        <v>2.0035149384885762</v>
      </c>
      <c r="AX656" s="88" t="str">
        <f t="shared" ca="1" si="51"/>
        <v>XPER</v>
      </c>
    </row>
    <row r="657" spans="1:50" hidden="1" x14ac:dyDescent="0.3">
      <c r="A657" s="88" t="str">
        <f t="shared" ca="1" si="50"/>
        <v>MVEALDNE</v>
      </c>
      <c r="F657" s="253">
        <v>2E-3</v>
      </c>
      <c r="G657" s="253">
        <v>-2E-3</v>
      </c>
      <c r="H657" s="253">
        <v>-8.0000000000000002E-3</v>
      </c>
      <c r="I657" s="253">
        <v>0</v>
      </c>
      <c r="J657" s="253">
        <v>-0.01</v>
      </c>
      <c r="K657" s="253">
        <v>0.01</v>
      </c>
      <c r="L657" s="253">
        <v>0.01</v>
      </c>
      <c r="M657" s="253">
        <v>0.01</v>
      </c>
      <c r="N657" s="253">
        <v>-2E-3</v>
      </c>
      <c r="O657" s="253">
        <v>-1.2E-2</v>
      </c>
      <c r="P657" s="253">
        <v>-8.0000000000000002E-3</v>
      </c>
      <c r="Q657" s="253">
        <v>2E-3</v>
      </c>
      <c r="R657" s="253">
        <v>2.4E-2</v>
      </c>
      <c r="S657" s="253">
        <v>-2E-3</v>
      </c>
      <c r="T657" s="253">
        <v>2E-3</v>
      </c>
      <c r="U657" s="253">
        <v>-8.0000000000000002E-3</v>
      </c>
      <c r="V657" s="253">
        <v>-2E-3</v>
      </c>
      <c r="W657" s="253">
        <v>-5.3999999999999999E-2</v>
      </c>
      <c r="X657" s="253">
        <v>-0.01</v>
      </c>
      <c r="Y657" s="253">
        <v>8.0000000000000002E-3</v>
      </c>
      <c r="Z657" s="245">
        <f ca="1">[1]ExtEntry!$L55</f>
        <v>8.0000000000000002E-3</v>
      </c>
      <c r="AB657" s="307">
        <v>1.8253928571428573</v>
      </c>
      <c r="AC657" s="307">
        <v>1.8297494033412889</v>
      </c>
      <c r="AD657" s="307">
        <v>1.8473855421686749</v>
      </c>
      <c r="AE657" s="307">
        <v>1.8473855421686749</v>
      </c>
      <c r="AF657" s="307">
        <v>1.8699146341463417</v>
      </c>
      <c r="AG657" s="307">
        <v>1.8473855421686749</v>
      </c>
      <c r="AH657" s="307">
        <v>1.8253928571428573</v>
      </c>
      <c r="AI657" s="307">
        <v>1.8253928571428573</v>
      </c>
      <c r="AJ657" s="307">
        <v>1.8297494033412889</v>
      </c>
      <c r="AK657" s="307" t="e">
        <v>#N/A</v>
      </c>
      <c r="AL657" s="307">
        <v>1.8744865525672374</v>
      </c>
      <c r="AM657" s="307">
        <v>1.8699146341463417</v>
      </c>
      <c r="AN657" s="307">
        <v>2.9629629629629628</v>
      </c>
      <c r="AO657" s="307">
        <v>1.9458502538071065</v>
      </c>
      <c r="AP657" s="307">
        <v>1.9409240506329115</v>
      </c>
      <c r="AQ657" s="307">
        <v>1.9607800511508953</v>
      </c>
      <c r="AR657" s="307">
        <v>1.9658076923076924</v>
      </c>
      <c r="AS657" s="307">
        <v>2.3022972972972973</v>
      </c>
      <c r="AT657" s="307">
        <v>2.2885522388059703</v>
      </c>
      <c r="AU657" s="307">
        <v>2.2286773255813959</v>
      </c>
      <c r="AV657" s="307">
        <f ca="1">Calc!AS55</f>
        <v>2.2286773255813959</v>
      </c>
      <c r="AX657" s="88" t="str">
        <f t="shared" ca="1" si="51"/>
        <v>MVEALDNE</v>
      </c>
    </row>
    <row r="658" spans="1:50" hidden="1" x14ac:dyDescent="0.3">
      <c r="A658" s="88" t="str">
        <f t="shared" ca="1" si="50"/>
        <v>MVEDDD</v>
      </c>
      <c r="F658" s="253">
        <v>-0.03</v>
      </c>
      <c r="G658" s="253">
        <v>0.17</v>
      </c>
      <c r="H658" s="253">
        <v>-0.01</v>
      </c>
      <c r="I658" s="253">
        <v>-0.15</v>
      </c>
      <c r="J658" s="253">
        <v>0.67500000000000004</v>
      </c>
      <c r="K658" s="253">
        <v>-0.41</v>
      </c>
      <c r="L658" s="253">
        <v>-0.375</v>
      </c>
      <c r="M658" s="253">
        <v>-0.375</v>
      </c>
      <c r="N658" s="253">
        <v>6.5000000000000002E-2</v>
      </c>
      <c r="O658" s="253">
        <v>4.4999999999999998E-2</v>
      </c>
      <c r="P658" s="253">
        <v>-5.5E-2</v>
      </c>
      <c r="Q658" s="253">
        <v>0.125</v>
      </c>
      <c r="R658" s="253">
        <v>-0.21</v>
      </c>
      <c r="S658" s="253">
        <v>-0.16520000000000001</v>
      </c>
      <c r="T658" s="253">
        <v>-0.02</v>
      </c>
      <c r="U658" s="253">
        <v>-0.33500000000000002</v>
      </c>
      <c r="V658" s="253">
        <v>-2.5000000000000001E-2</v>
      </c>
      <c r="W658" s="253">
        <v>0</v>
      </c>
      <c r="X658" s="253">
        <v>0</v>
      </c>
      <c r="Y658" s="253">
        <v>-3.5000000000000003E-2</v>
      </c>
      <c r="Z658" s="245">
        <f ca="1">[1]ExtEntry!$L56</f>
        <v>-3.5000000000000003E-2</v>
      </c>
      <c r="AB658" s="307">
        <v>1.0551948051948052</v>
      </c>
      <c r="AC658" s="307">
        <v>1</v>
      </c>
      <c r="AD658" s="307">
        <v>0.99693251533742333</v>
      </c>
      <c r="AE658" s="307">
        <v>1.045016077170418</v>
      </c>
      <c r="AF658" s="307">
        <v>0.85865257595772781</v>
      </c>
      <c r="AG658" s="307">
        <v>0.96439169139465875</v>
      </c>
      <c r="AH658" s="307">
        <v>1.08153078202995</v>
      </c>
      <c r="AI658" s="307">
        <v>1.08153078202995</v>
      </c>
      <c r="AJ658" s="307">
        <v>1.056910569105691</v>
      </c>
      <c r="AK658" s="307" t="e">
        <v>#N/A</v>
      </c>
      <c r="AL658" s="307">
        <v>1.056910569105691</v>
      </c>
      <c r="AM658" s="307">
        <v>1.0172143974960877</v>
      </c>
      <c r="AN658" s="307">
        <v>5.7172801418439718</v>
      </c>
      <c r="AO658" s="307">
        <v>1.2525050100200399</v>
      </c>
      <c r="AP658" s="307">
        <v>1.25</v>
      </c>
      <c r="AQ658" s="307">
        <v>1.434878587196468</v>
      </c>
      <c r="AR658" s="307">
        <v>1.4606741573033708</v>
      </c>
      <c r="AS658" s="307">
        <v>1.5046296296296295</v>
      </c>
      <c r="AT658" s="307">
        <v>1.5625</v>
      </c>
      <c r="AU658" s="307">
        <v>1.5892420537897312</v>
      </c>
      <c r="AV658" s="307">
        <f ca="1">Calc!AS56</f>
        <v>1.5892420537897312</v>
      </c>
      <c r="AX658" s="88" t="str">
        <f t="shared" ca="1" si="51"/>
        <v>MVEDDD</v>
      </c>
    </row>
    <row r="659" spans="1:50" hidden="1" x14ac:dyDescent="0.3">
      <c r="A659" s="88" t="str">
        <f t="shared" ca="1" si="50"/>
        <v>MVEDSY</v>
      </c>
      <c r="F659" s="253">
        <v>-0.46</v>
      </c>
      <c r="G659" s="253">
        <v>0.53</v>
      </c>
      <c r="H659" s="253">
        <v>0.5</v>
      </c>
      <c r="I659" s="253">
        <v>-0.05</v>
      </c>
      <c r="J659" s="253">
        <v>0.45</v>
      </c>
      <c r="K659" s="253">
        <v>0.49</v>
      </c>
      <c r="L659" s="253">
        <v>-0.15</v>
      </c>
      <c r="M659" s="253">
        <v>-0.15</v>
      </c>
      <c r="N659" s="253">
        <v>-3.91</v>
      </c>
      <c r="O659" s="253">
        <v>-0.52</v>
      </c>
      <c r="P659" s="253">
        <v>-0.28000000000000003</v>
      </c>
      <c r="Q659" s="253">
        <v>-0.44</v>
      </c>
      <c r="R659" s="253">
        <v>0.02</v>
      </c>
      <c r="S659" s="253">
        <v>-0.32</v>
      </c>
      <c r="T659" s="253">
        <v>-0.06</v>
      </c>
      <c r="U659" s="253">
        <v>-0.72</v>
      </c>
      <c r="V659" s="253">
        <v>0.08</v>
      </c>
      <c r="W659" s="253">
        <v>-0.24</v>
      </c>
      <c r="X659" s="253">
        <v>-0.01</v>
      </c>
      <c r="Y659" s="253">
        <v>0.2</v>
      </c>
      <c r="Z659" s="245">
        <f ca="1">[1]ExtEntry!$L57</f>
        <v>0.2</v>
      </c>
      <c r="AB659" s="307">
        <v>1.2544582010582011</v>
      </c>
      <c r="AC659" s="307">
        <v>1.2314366343490306</v>
      </c>
      <c r="AD659" s="307">
        <v>1.2104795779441797</v>
      </c>
      <c r="AE659" s="307">
        <v>1.2125431299011251</v>
      </c>
      <c r="AF659" s="307">
        <v>1.1942206178643384</v>
      </c>
      <c r="AG659" s="307">
        <v>1.1748889990089197</v>
      </c>
      <c r="AH659" s="307">
        <v>1.1807400398406374</v>
      </c>
      <c r="AI659" s="307">
        <v>1.1737310756972112</v>
      </c>
      <c r="AJ659" s="307">
        <v>1.3488279282716522</v>
      </c>
      <c r="AK659" s="307" t="e">
        <v>#N/A</v>
      </c>
      <c r="AL659" s="307">
        <v>1.3996021251475796</v>
      </c>
      <c r="AM659" s="307">
        <v>1.4242647176611936</v>
      </c>
      <c r="AN659" s="307">
        <v>25.509164969450101</v>
      </c>
      <c r="AO659" s="307">
        <v>1.3260307820299502</v>
      </c>
      <c r="AP659" s="307">
        <v>1.3293486238532111</v>
      </c>
      <c r="AQ659" s="307">
        <v>1.3704978503869303</v>
      </c>
      <c r="AR659" s="307">
        <v>1.3658003427592118</v>
      </c>
      <c r="AS659" s="307">
        <v>1.3287944977073782</v>
      </c>
      <c r="AT659" s="307">
        <v>1.3758213206732843</v>
      </c>
      <c r="AU659" s="307">
        <v>1.363463644140291</v>
      </c>
      <c r="AV659" s="307">
        <f ca="1">Calc!AS57</f>
        <v>1.363463644140291</v>
      </c>
      <c r="AX659" s="88" t="str">
        <f t="shared" ca="1" si="51"/>
        <v>MVEDSY</v>
      </c>
    </row>
    <row r="660" spans="1:50" hidden="1" x14ac:dyDescent="0.3">
      <c r="A660" s="88" t="str">
        <f t="shared" ca="1" si="50"/>
        <v>MVEEOAN</v>
      </c>
      <c r="F660" s="253">
        <v>0.11</v>
      </c>
      <c r="G660" s="253">
        <v>-0.17</v>
      </c>
      <c r="H660" s="253">
        <v>0.05</v>
      </c>
      <c r="I660" s="253">
        <v>0.02</v>
      </c>
      <c r="J660" s="253">
        <v>0.15</v>
      </c>
      <c r="K660" s="253">
        <v>-5.5E-2</v>
      </c>
      <c r="L660" s="253">
        <v>-0.26500000000000001</v>
      </c>
      <c r="M660" s="253">
        <v>-0.26500000000000001</v>
      </c>
      <c r="N660" s="253">
        <v>-0.12</v>
      </c>
      <c r="O660" s="253">
        <v>0.08</v>
      </c>
      <c r="P660" s="253">
        <v>3.5000000000000003E-2</v>
      </c>
      <c r="Q660" s="253">
        <v>0.14499999999999999</v>
      </c>
      <c r="R660" s="253">
        <v>-0.05</v>
      </c>
      <c r="S660" s="253">
        <v>-0.16500000000000001</v>
      </c>
      <c r="T660" s="253">
        <v>0.3</v>
      </c>
      <c r="U660" s="253">
        <v>0.03</v>
      </c>
      <c r="V660" s="253">
        <v>2.5000000000000001E-2</v>
      </c>
      <c r="W660" s="253">
        <v>0.02</v>
      </c>
      <c r="X660" s="253">
        <v>-0.11</v>
      </c>
      <c r="Y660" s="253">
        <v>-0.04</v>
      </c>
      <c r="Z660" s="245">
        <f ca="1">[1]ExtEntry!$L58</f>
        <v>-0.04</v>
      </c>
      <c r="AB660" s="307">
        <v>1.0316579108124617</v>
      </c>
      <c r="AC660" s="307">
        <v>1.042483950617284</v>
      </c>
      <c r="AD660" s="307">
        <v>1.0392763076923077</v>
      </c>
      <c r="AE660" s="307">
        <v>1.0379987707437002</v>
      </c>
      <c r="AF660" s="307">
        <v>1.0285164433617537</v>
      </c>
      <c r="AG660" s="307">
        <v>1.0319731133516652</v>
      </c>
      <c r="AH660" s="307">
        <v>1.04895900621118</v>
      </c>
      <c r="AI660" s="307">
        <v>1.0485931677018632</v>
      </c>
      <c r="AJ660" s="307">
        <v>1.0564674593241552</v>
      </c>
      <c r="AK660" s="307" t="e">
        <v>#N/A</v>
      </c>
      <c r="AL660" s="307">
        <v>1.0492848710779745</v>
      </c>
      <c r="AM660" s="307">
        <v>1.0399162561576356</v>
      </c>
      <c r="AN660" s="307">
        <v>0.75453706551830213</v>
      </c>
      <c r="AO660" s="307">
        <v>1.0742596825396824</v>
      </c>
      <c r="AP660" s="307">
        <v>1.0541800623052959</v>
      </c>
      <c r="AQ660" s="307">
        <v>1.0522133084577114</v>
      </c>
      <c r="AR660" s="307">
        <v>1.0505799441167338</v>
      </c>
      <c r="AS660" s="307">
        <v>1.1098451951459496</v>
      </c>
      <c r="AT660" s="307">
        <v>1.1109382797110965</v>
      </c>
      <c r="AU660" s="307">
        <v>1.1058555555555554</v>
      </c>
      <c r="AV660" s="307">
        <f ca="1">Calc!AS58</f>
        <v>1.1058555555555554</v>
      </c>
      <c r="AX660" s="88" t="str">
        <f t="shared" ca="1" si="51"/>
        <v>MVEEOAN</v>
      </c>
    </row>
    <row r="661" spans="1:50" hidden="1" x14ac:dyDescent="0.3">
      <c r="A661" s="88" t="str">
        <f t="shared" ca="1" si="50"/>
        <v>MVEENI</v>
      </c>
      <c r="F661" s="253">
        <v>-0.27200000000000002</v>
      </c>
      <c r="G661" s="253">
        <v>2.1999999999999999E-2</v>
      </c>
      <c r="H661" s="253">
        <v>4.3999999999999997E-2</v>
      </c>
      <c r="I661" s="253">
        <v>7.8E-2</v>
      </c>
      <c r="J661" s="253">
        <v>3.2000000000000001E-2</v>
      </c>
      <c r="K661" s="253">
        <v>2.4E-2</v>
      </c>
      <c r="L661" s="253">
        <v>0.22600000000000001</v>
      </c>
      <c r="M661" s="253">
        <v>0.22600000000000001</v>
      </c>
      <c r="N661" s="253">
        <v>0.46</v>
      </c>
      <c r="O661" s="253">
        <v>0.25</v>
      </c>
      <c r="P661" s="253">
        <v>0.106</v>
      </c>
      <c r="Q661" s="253">
        <v>-5.6000000000000001E-2</v>
      </c>
      <c r="R661" s="253">
        <v>-4.2000000000000003E-2</v>
      </c>
      <c r="S661" s="253">
        <v>-4.2000000000000003E-2</v>
      </c>
      <c r="T661" s="253">
        <v>5.8000000000000003E-2</v>
      </c>
      <c r="U661" s="253">
        <v>-0.02</v>
      </c>
      <c r="V661" s="253">
        <v>-1.6E-2</v>
      </c>
      <c r="W661" s="253">
        <v>1.6E-2</v>
      </c>
      <c r="X661" s="253">
        <v>0.03</v>
      </c>
      <c r="Y661" s="253">
        <v>-0.112</v>
      </c>
      <c r="Z661" s="245">
        <f ca="1">[1]ExtEntry!$L59</f>
        <v>-0.112</v>
      </c>
      <c r="AB661" s="307">
        <v>1.0544217687074831</v>
      </c>
      <c r="AC661" s="307">
        <v>1.0528460806955577</v>
      </c>
      <c r="AD661" s="307">
        <v>1.0497087904645808</v>
      </c>
      <c r="AE661" s="307">
        <v>1.0441929399083805</v>
      </c>
      <c r="AF661" s="307">
        <v>1.0419467598816887</v>
      </c>
      <c r="AG661" s="307">
        <v>1.0402684563758389</v>
      </c>
      <c r="AH661" s="307">
        <v>1.0247256379743488</v>
      </c>
      <c r="AI661" s="307">
        <v>1.030435012561153</v>
      </c>
      <c r="AJ661" s="307">
        <v>1.0000230976517388</v>
      </c>
      <c r="AK661" s="307" t="e">
        <v>#N/A</v>
      </c>
      <c r="AL661" s="307">
        <v>0.99548362815205116</v>
      </c>
      <c r="AM661" s="307">
        <v>0.99899282387007426</v>
      </c>
      <c r="AN661" s="307">
        <v>3.9811206030150754</v>
      </c>
      <c r="AO661" s="307">
        <v>1.0133708359522313</v>
      </c>
      <c r="AP661" s="307">
        <v>1.0096900050100202</v>
      </c>
      <c r="AQ661" s="307">
        <v>1.0109562327564585</v>
      </c>
      <c r="AR661" s="307">
        <v>1.0119715038915391</v>
      </c>
      <c r="AS661" s="307">
        <v>0.97867730970013356</v>
      </c>
      <c r="AT661" s="307">
        <v>0.9854969437652813</v>
      </c>
      <c r="AU661" s="307">
        <v>0.99412566284375392</v>
      </c>
      <c r="AV661" s="307">
        <f ca="1">Calc!AS59</f>
        <v>0.99412566284375392</v>
      </c>
      <c r="AX661" s="88" t="str">
        <f t="shared" ca="1" si="51"/>
        <v>MVEENI</v>
      </c>
    </row>
    <row r="662" spans="1:50" hidden="1" x14ac:dyDescent="0.3">
      <c r="A662" s="88" t="str">
        <f t="shared" ca="1" si="50"/>
        <v>MVEEPIX</v>
      </c>
      <c r="F662" s="253">
        <v>0</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t="e">
        <v>#N/A</v>
      </c>
      <c r="AL662" s="307">
        <v>0</v>
      </c>
      <c r="AM662" s="307">
        <v>0</v>
      </c>
      <c r="AN662" s="307">
        <v>1043.152833001988</v>
      </c>
      <c r="AO662" s="307">
        <v>0</v>
      </c>
      <c r="AP662" s="307">
        <v>0</v>
      </c>
      <c r="AQ662" s="307">
        <v>0</v>
      </c>
      <c r="AR662" s="307">
        <v>0</v>
      </c>
      <c r="AS662" s="307">
        <v>0</v>
      </c>
      <c r="AT662" s="307">
        <v>0</v>
      </c>
      <c r="AU662" s="307">
        <v>0</v>
      </c>
      <c r="AV662" s="307">
        <f ca="1">Calc!AS60</f>
        <v>0</v>
      </c>
      <c r="AX662" s="88" t="str">
        <f t="shared" ca="1" si="51"/>
        <v>MVEEPIX</v>
      </c>
    </row>
    <row r="663" spans="1:50" hidden="1" x14ac:dyDescent="0.3">
      <c r="A663" s="88" t="str">
        <f t="shared" ca="1" si="50"/>
        <v>MVEGLE</v>
      </c>
      <c r="F663" s="253">
        <v>1.3</v>
      </c>
      <c r="G663" s="253">
        <v>0.54</v>
      </c>
      <c r="H663" s="253">
        <v>0.96</v>
      </c>
      <c r="I663" s="253">
        <v>-2.88</v>
      </c>
      <c r="J663" s="253">
        <v>-0.64</v>
      </c>
      <c r="K663" s="253">
        <v>0.12</v>
      </c>
      <c r="L663" s="253">
        <v>-0.24</v>
      </c>
      <c r="M663" s="253">
        <v>-0.24</v>
      </c>
      <c r="N663" s="253">
        <v>0.7</v>
      </c>
      <c r="O663" s="253">
        <v>0.1</v>
      </c>
      <c r="P663" s="253">
        <v>-0.08</v>
      </c>
      <c r="Q663" s="253">
        <v>0.66</v>
      </c>
      <c r="R663" s="253">
        <v>-1.96</v>
      </c>
      <c r="S663" s="253">
        <v>-0.18</v>
      </c>
      <c r="T663" s="253">
        <v>0.06</v>
      </c>
      <c r="U663" s="253">
        <v>1.1599999999999999</v>
      </c>
      <c r="V663" s="253">
        <v>-1.1599999999999999</v>
      </c>
      <c r="W663" s="253">
        <v>-1.18</v>
      </c>
      <c r="X663" s="253">
        <v>-0.3</v>
      </c>
      <c r="Y663" s="253">
        <v>0.34</v>
      </c>
      <c r="Z663" s="245">
        <f ca="1">[1]ExtEntry!$L61</f>
        <v>0.34</v>
      </c>
      <c r="AB663" s="307">
        <v>1.1232380952380951</v>
      </c>
      <c r="AC663" s="307">
        <v>1.1123210943124548</v>
      </c>
      <c r="AD663" s="307">
        <v>1.0934281670205237</v>
      </c>
      <c r="AE663" s="307">
        <v>1.1521357196122297</v>
      </c>
      <c r="AF663" s="307">
        <v>1.1660483018867924</v>
      </c>
      <c r="AG663" s="307">
        <v>1.1634141566265059</v>
      </c>
      <c r="AH663" s="307">
        <v>1.1686944024205748</v>
      </c>
      <c r="AI663" s="307">
        <v>1.1943498487140696</v>
      </c>
      <c r="AJ663" s="307">
        <v>1.1787461739455021</v>
      </c>
      <c r="AK663" s="307" t="e">
        <v>#N/A</v>
      </c>
      <c r="AL663" s="307">
        <v>1.1529955223880597</v>
      </c>
      <c r="AM663" s="307">
        <v>1.1389708809436048</v>
      </c>
      <c r="AN663" s="307">
        <v>15.124132075471698</v>
      </c>
      <c r="AO663" s="307">
        <v>1.1851614144375229</v>
      </c>
      <c r="AP663" s="307">
        <v>1.1838599926793558</v>
      </c>
      <c r="AQ663" s="307">
        <v>1.1592492831541219</v>
      </c>
      <c r="AR663" s="307">
        <v>1.1838599926793558</v>
      </c>
      <c r="AS663" s="307">
        <v>1.1156624698171784</v>
      </c>
      <c r="AT663" s="307">
        <v>1.1514081523673905</v>
      </c>
      <c r="AU663" s="307">
        <v>1.1384391059486096</v>
      </c>
      <c r="AV663" s="307">
        <f ca="1">Calc!AS61</f>
        <v>1.1384391059486096</v>
      </c>
      <c r="AX663" s="88" t="str">
        <f t="shared" ca="1" si="51"/>
        <v>MVEGLE</v>
      </c>
    </row>
    <row r="664" spans="1:50" hidden="1" x14ac:dyDescent="0.3">
      <c r="A664" s="88" t="str">
        <f t="shared" ca="1" si="50"/>
        <v>MVEORA</v>
      </c>
      <c r="F664" s="253">
        <v>0.14000000000000001</v>
      </c>
      <c r="G664" s="253">
        <v>0.44500000000000001</v>
      </c>
      <c r="H664" s="253">
        <v>7.0000000000000007E-2</v>
      </c>
      <c r="I664" s="253">
        <v>0.25</v>
      </c>
      <c r="J664" s="253">
        <v>-0.17499999999999999</v>
      </c>
      <c r="K664" s="253">
        <v>-3.5000000000000003E-2</v>
      </c>
      <c r="L664" s="253">
        <v>-5.5E-2</v>
      </c>
      <c r="M664" s="253">
        <v>-5.5E-2</v>
      </c>
      <c r="N664" s="253">
        <v>0.08</v>
      </c>
      <c r="O664" s="253">
        <v>-0.23</v>
      </c>
      <c r="P664" s="253">
        <v>-7.0000000000000007E-2</v>
      </c>
      <c r="Q664" s="253">
        <v>0.04</v>
      </c>
      <c r="R664" s="253">
        <v>0.14000000000000001</v>
      </c>
      <c r="S664" s="253">
        <v>-0.14000000000000001</v>
      </c>
      <c r="T664" s="253">
        <v>0</v>
      </c>
      <c r="U664" s="253">
        <v>0.22500000000000001</v>
      </c>
      <c r="V664" s="253">
        <v>0.22500000000000001</v>
      </c>
      <c r="W664" s="253">
        <v>-0.31</v>
      </c>
      <c r="X664" s="253">
        <v>-0.27</v>
      </c>
      <c r="Y664" s="253">
        <v>-0.18</v>
      </c>
      <c r="Z664" s="245">
        <f ca="1">[1]ExtEntry!$L62</f>
        <v>-0.18</v>
      </c>
      <c r="AB664" s="307">
        <v>1.1049697862932941</v>
      </c>
      <c r="AC664" s="307">
        <v>1.0698851230824118</v>
      </c>
      <c r="AD664" s="307">
        <v>1.0645679801206958</v>
      </c>
      <c r="AE664" s="307">
        <v>1.0460020927799094</v>
      </c>
      <c r="AF664" s="307">
        <v>1.0589293785310736</v>
      </c>
      <c r="AG664" s="307">
        <v>1.0615532743362832</v>
      </c>
      <c r="AH664" s="307">
        <v>1.0657029140014216</v>
      </c>
      <c r="AI664" s="307">
        <v>1.0866304193319118</v>
      </c>
      <c r="AJ664" s="307">
        <v>1.0804869257950529</v>
      </c>
      <c r="AK664" s="307" t="e">
        <v>#N/A</v>
      </c>
      <c r="AL664" s="307">
        <v>1.1061371841155234</v>
      </c>
      <c r="AM664" s="307">
        <v>1.1029517638588913</v>
      </c>
      <c r="AN664" s="307">
        <v>0.19246986647419703</v>
      </c>
      <c r="AO664" s="307">
        <v>1.1171870215092963</v>
      </c>
      <c r="AP664" s="307">
        <v>1.1171870215092963</v>
      </c>
      <c r="AQ664" s="307">
        <v>1.0991549497847919</v>
      </c>
      <c r="AR664" s="307">
        <v>1.0816957289092834</v>
      </c>
      <c r="AS664" s="307">
        <v>1.0928830242510699</v>
      </c>
      <c r="AT664" s="307">
        <v>1.1192271731190651</v>
      </c>
      <c r="AU664" s="307">
        <v>1.1119172714078376</v>
      </c>
      <c r="AV664" s="307">
        <f ca="1">Calc!AS62</f>
        <v>1.1119172714078376</v>
      </c>
      <c r="AX664" s="88" t="str">
        <f t="shared" ca="1" si="51"/>
        <v>MVEORA</v>
      </c>
    </row>
    <row r="665" spans="1:50" hidden="1" x14ac:dyDescent="0.3">
      <c r="A665" s="88" t="str">
        <f t="shared" ca="1" si="50"/>
        <v>MVERWE</v>
      </c>
      <c r="F665" s="253">
        <v>-0.38</v>
      </c>
      <c r="G665" s="253">
        <v>0.11</v>
      </c>
      <c r="H665" s="253">
        <v>0.61</v>
      </c>
      <c r="I665" s="253">
        <v>-0.32</v>
      </c>
      <c r="J665" s="253">
        <v>-0.14000000000000001</v>
      </c>
      <c r="K665" s="253">
        <v>-0.45</v>
      </c>
      <c r="L665" s="253">
        <v>-0.25</v>
      </c>
      <c r="M665" s="253">
        <v>-0.25</v>
      </c>
      <c r="N665" s="253">
        <v>-0.22</v>
      </c>
      <c r="O665" s="253">
        <v>0.48</v>
      </c>
      <c r="P665" s="253">
        <v>0.02</v>
      </c>
      <c r="Q665" s="253">
        <v>0.59</v>
      </c>
      <c r="R665" s="253">
        <v>0.68</v>
      </c>
      <c r="S665" s="253">
        <v>-0.46</v>
      </c>
      <c r="T665" s="253">
        <v>0.27</v>
      </c>
      <c r="U665" s="253">
        <v>0.51</v>
      </c>
      <c r="V665" s="253">
        <v>-0.18</v>
      </c>
      <c r="W665" s="253">
        <v>-0.14000000000000001</v>
      </c>
      <c r="X665" s="253">
        <v>-0.39</v>
      </c>
      <c r="Y665" s="253">
        <v>-0.94</v>
      </c>
      <c r="Z665" s="245">
        <f ca="1">[1]ExtEntry!$L63</f>
        <v>-0.94</v>
      </c>
      <c r="AB665" s="307">
        <v>1.0660423854115328</v>
      </c>
      <c r="AC665" s="307">
        <v>1.0631604816908331</v>
      </c>
      <c r="AD665" s="307">
        <v>1.0454325761237311</v>
      </c>
      <c r="AE665" s="307">
        <v>1.0535801266439355</v>
      </c>
      <c r="AF665" s="307">
        <v>1.0571847507331378</v>
      </c>
      <c r="AG665" s="307">
        <v>1.0689399555226093</v>
      </c>
      <c r="AH665" s="307">
        <v>1.0755842864246643</v>
      </c>
      <c r="AI665" s="307">
        <v>1.0935442565887619</v>
      </c>
      <c r="AJ665" s="307">
        <v>1.0995587499999999</v>
      </c>
      <c r="AK665" s="307" t="e">
        <v>#N/A</v>
      </c>
      <c r="AL665" s="307">
        <v>1.0595335802469137</v>
      </c>
      <c r="AM665" s="307">
        <v>1.0443200292041859</v>
      </c>
      <c r="AN665" s="307">
        <v>0.79277989762680334</v>
      </c>
      <c r="AO665" s="307">
        <v>1.0568507321681624</v>
      </c>
      <c r="AP665" s="307">
        <v>1.0501539544707814</v>
      </c>
      <c r="AQ665" s="307">
        <v>1.0377333024118738</v>
      </c>
      <c r="AR665" s="307">
        <v>1.0428119319505942</v>
      </c>
      <c r="AS665" s="307">
        <v>0.98714008382969332</v>
      </c>
      <c r="AT665" s="307">
        <v>1.0105478771454381</v>
      </c>
      <c r="AU665" s="307">
        <v>1.0232577178138578</v>
      </c>
      <c r="AV665" s="307">
        <f ca="1">Calc!AS63</f>
        <v>1.0232577178138578</v>
      </c>
      <c r="AX665" s="88" t="str">
        <f t="shared" ca="1" si="51"/>
        <v>MVERWE</v>
      </c>
    </row>
    <row r="666" spans="1:50" hidden="1" x14ac:dyDescent="0.3">
      <c r="A666" s="88" t="str">
        <f t="shared" ca="1" si="50"/>
        <v>MVESAP</v>
      </c>
      <c r="F666" s="253">
        <v>1.3</v>
      </c>
      <c r="G666" s="253">
        <v>1.5</v>
      </c>
      <c r="H666" s="253">
        <v>-1</v>
      </c>
      <c r="I666" s="253">
        <v>-2.25</v>
      </c>
      <c r="J666" s="253">
        <v>7.65</v>
      </c>
      <c r="K666" s="253">
        <v>1.8</v>
      </c>
      <c r="L666" s="253">
        <v>-3.55</v>
      </c>
      <c r="M666" s="253">
        <v>-3.55</v>
      </c>
      <c r="N666" s="253">
        <v>5.15</v>
      </c>
      <c r="O666" s="253">
        <v>-8.65</v>
      </c>
      <c r="P666" s="253">
        <v>2.2000000000000002</v>
      </c>
      <c r="Q666" s="253">
        <v>-1.45</v>
      </c>
      <c r="R666" s="253">
        <v>1.55</v>
      </c>
      <c r="S666" s="253">
        <v>-2.8</v>
      </c>
      <c r="T666" s="253">
        <v>1.9</v>
      </c>
      <c r="U666" s="253">
        <v>-10</v>
      </c>
      <c r="V666" s="253">
        <v>-2.2999999999999998</v>
      </c>
      <c r="W666" s="253">
        <v>-7</v>
      </c>
      <c r="X666" s="253">
        <v>0</v>
      </c>
      <c r="Y666" s="253">
        <v>0.15</v>
      </c>
      <c r="Z666" s="245">
        <f ca="1">[1]ExtEntry!$L64</f>
        <v>0.15</v>
      </c>
      <c r="AB666" s="307">
        <v>1.2544493768801033</v>
      </c>
      <c r="AC666" s="307">
        <v>1.246414901793339</v>
      </c>
      <c r="AD666" s="307">
        <v>1.2517597341337907</v>
      </c>
      <c r="AE666" s="307">
        <v>1.2639548387096775</v>
      </c>
      <c r="AF666" s="307">
        <v>1.2234298826487846</v>
      </c>
      <c r="AG666" s="307">
        <v>1.2142694259567388</v>
      </c>
      <c r="AH666" s="307">
        <v>1.2324693687988177</v>
      </c>
      <c r="AI666" s="307">
        <v>1.2142820350432766</v>
      </c>
      <c r="AJ666" s="307">
        <v>1.1884409090909092</v>
      </c>
      <c r="AK666" s="307" t="e">
        <v>#N/A</v>
      </c>
      <c r="AL666" s="307">
        <v>1.2392713648906812</v>
      </c>
      <c r="AM666" s="307">
        <v>1.246947330200769</v>
      </c>
      <c r="AN666" s="307">
        <v>2.8842404250608813</v>
      </c>
      <c r="AO666" s="307">
        <v>1.2770042026100421</v>
      </c>
      <c r="AP666" s="307">
        <v>1.2663601667032245</v>
      </c>
      <c r="AQ666" s="307">
        <v>1.3244634090387706</v>
      </c>
      <c r="AR666" s="307">
        <v>1.3385893809413403</v>
      </c>
      <c r="AS666" s="307">
        <v>1.3674410232117482</v>
      </c>
      <c r="AT666" s="307">
        <v>1.4057307036766498</v>
      </c>
      <c r="AU666" s="307">
        <v>1.4047046228710462</v>
      </c>
      <c r="AV666" s="307">
        <f ca="1">Calc!AS64</f>
        <v>1.4047046228710462</v>
      </c>
      <c r="AX666" s="88" t="str">
        <f t="shared" ca="1" si="51"/>
        <v>MVESAP</v>
      </c>
    </row>
    <row r="667" spans="1:50" hidden="1" x14ac:dyDescent="0.3">
      <c r="A667" s="88" t="str">
        <f t="shared" ca="1" si="50"/>
        <v>MVEUN0</v>
      </c>
      <c r="F667" s="253">
        <v>-0.35</v>
      </c>
      <c r="G667" s="253">
        <v>0.05</v>
      </c>
      <c r="H667" s="253">
        <v>0.15</v>
      </c>
      <c r="I667" s="253">
        <v>-0.2</v>
      </c>
      <c r="J667" s="253">
        <v>1.45</v>
      </c>
      <c r="K667" s="253">
        <v>-1.3</v>
      </c>
      <c r="L667" s="253">
        <v>0.1</v>
      </c>
      <c r="M667" s="253">
        <v>0.1</v>
      </c>
      <c r="N667" s="253">
        <v>-0.85</v>
      </c>
      <c r="O667" s="253">
        <v>-0.8</v>
      </c>
      <c r="P667" s="253">
        <v>0.7</v>
      </c>
      <c r="Q667" s="253">
        <v>-0.6</v>
      </c>
      <c r="R667" s="253">
        <v>-0.45</v>
      </c>
      <c r="S667" s="253">
        <v>0.05</v>
      </c>
      <c r="T667" s="253">
        <v>-0.1</v>
      </c>
      <c r="U667" s="253">
        <v>-1.55</v>
      </c>
      <c r="V667" s="253">
        <v>0.55000000000000004</v>
      </c>
      <c r="W667" s="253">
        <v>-0.05</v>
      </c>
      <c r="X667" s="253">
        <v>-0.9</v>
      </c>
      <c r="Y667" s="253">
        <v>-0.2</v>
      </c>
      <c r="Z667" s="245">
        <f ca="1">[1]ExtEntry!$L65</f>
        <v>-0.2</v>
      </c>
      <c r="AB667" s="307">
        <v>0</v>
      </c>
      <c r="AC667" s="307">
        <v>0</v>
      </c>
      <c r="AD667" s="307">
        <v>0</v>
      </c>
      <c r="AE667" s="307">
        <v>0</v>
      </c>
      <c r="AF667" s="307">
        <v>0</v>
      </c>
      <c r="AG667" s="307">
        <v>0</v>
      </c>
      <c r="AH667" s="307">
        <v>0</v>
      </c>
      <c r="AI667" s="307">
        <v>0</v>
      </c>
      <c r="AJ667" s="307">
        <v>0</v>
      </c>
      <c r="AK667" s="307" t="e">
        <v>#N/A</v>
      </c>
      <c r="AL667" s="307">
        <v>0</v>
      </c>
      <c r="AM667" s="307">
        <v>0</v>
      </c>
      <c r="AN667" s="307">
        <v>0.43963760399334439</v>
      </c>
      <c r="AO667" s="307">
        <v>0</v>
      </c>
      <c r="AP667" s="307">
        <v>0</v>
      </c>
      <c r="AQ667" s="307">
        <v>0</v>
      </c>
      <c r="AR667" s="307">
        <v>0</v>
      </c>
      <c r="AS667" s="307">
        <v>0</v>
      </c>
      <c r="AT667" s="307">
        <v>0</v>
      </c>
      <c r="AU667" s="307">
        <v>0</v>
      </c>
      <c r="AV667" s="307">
        <f ca="1">Calc!AS65</f>
        <v>0</v>
      </c>
      <c r="AX667" s="88" t="str">
        <f t="shared" ca="1" si="51"/>
        <v>MVEUN0</v>
      </c>
    </row>
    <row r="668" spans="1:50" hidden="1" x14ac:dyDescent="0.3">
      <c r="A668" s="88" t="str">
        <f t="shared" ca="1" si="50"/>
        <v>SAFAAPL</v>
      </c>
      <c r="F668" s="253">
        <v>0.11</v>
      </c>
      <c r="G668" s="253">
        <v>1.63</v>
      </c>
      <c r="H668" s="253">
        <v>-1.89</v>
      </c>
      <c r="I668" s="253">
        <v>4.84</v>
      </c>
      <c r="J668" s="253">
        <v>9.9499999999999993</v>
      </c>
      <c r="K668" s="253">
        <v>0.53</v>
      </c>
      <c r="L668" s="253">
        <v>-4.32</v>
      </c>
      <c r="M668" s="253">
        <v>-4.32</v>
      </c>
      <c r="N668" s="253">
        <v>1.1299999999999999</v>
      </c>
      <c r="O668" s="253">
        <v>3.24</v>
      </c>
      <c r="P668" s="253">
        <v>5.99</v>
      </c>
      <c r="Q668" s="253">
        <v>0.19</v>
      </c>
      <c r="R668" s="253">
        <v>1.7</v>
      </c>
      <c r="S668" s="253">
        <v>0.98</v>
      </c>
      <c r="T668" s="253">
        <v>0.1</v>
      </c>
      <c r="U668" s="253">
        <v>0.36</v>
      </c>
      <c r="V668" s="253">
        <v>-1.7729999999999999</v>
      </c>
      <c r="W668" s="253">
        <v>-0.54</v>
      </c>
      <c r="X668" s="253">
        <v>-0.02</v>
      </c>
      <c r="Y668" s="253">
        <v>2.59</v>
      </c>
      <c r="Z668" s="245">
        <f ca="1">[1]ExtEntry!$L66</f>
        <v>2.59</v>
      </c>
      <c r="AB668" s="307">
        <v>0.95058130524276541</v>
      </c>
      <c r="AC668" s="307">
        <v>0.94436860465116279</v>
      </c>
      <c r="AD668" s="307">
        <v>0.95181058799757534</v>
      </c>
      <c r="AE668" s="307">
        <v>0.93355079472036151</v>
      </c>
      <c r="AF668" s="307">
        <v>0.89812969035997559</v>
      </c>
      <c r="AG668" s="307">
        <v>0.89631818700764931</v>
      </c>
      <c r="AH668" s="307">
        <v>0.91130017411491593</v>
      </c>
      <c r="AI668" s="307">
        <v>0.96022936738247244</v>
      </c>
      <c r="AJ668" s="307">
        <v>0.95604931042453201</v>
      </c>
      <c r="AK668" s="307" t="e">
        <v>#N/A</v>
      </c>
      <c r="AL668" s="307">
        <v>0.87617845318254528</v>
      </c>
      <c r="AM668" s="307">
        <v>0.87555959107806691</v>
      </c>
      <c r="AN668" s="307">
        <v>0.45929992630803246</v>
      </c>
      <c r="AO668" s="307">
        <v>1.0237046624449135</v>
      </c>
      <c r="AP668" s="307">
        <v>1.023287813726216</v>
      </c>
      <c r="AQ668" s="307">
        <v>1.0219259519408503</v>
      </c>
      <c r="AR668" s="307">
        <v>1.0314703895939132</v>
      </c>
      <c r="AS668" s="307">
        <v>1.0147607283139384</v>
      </c>
      <c r="AT668" s="307">
        <v>1.0336186434340413</v>
      </c>
      <c r="AU668" s="307">
        <v>1.0237046624449135</v>
      </c>
      <c r="AV668" s="307">
        <f ca="1">Calc!AS66</f>
        <v>1.0237046624449135</v>
      </c>
      <c r="AX668" s="88" t="str">
        <f t="shared" ca="1" si="51"/>
        <v>SAFAAPL</v>
      </c>
    </row>
    <row r="669" spans="1:50" hidden="1" x14ac:dyDescent="0.3">
      <c r="A669" s="88" t="str">
        <f t="shared" ca="1" si="50"/>
        <v>SAFAMZN</v>
      </c>
      <c r="F669" s="253">
        <v>-3.68</v>
      </c>
      <c r="G669" s="253">
        <v>-1.23</v>
      </c>
      <c r="H669" s="253">
        <v>-1.1000000000000001</v>
      </c>
      <c r="I669" s="253">
        <v>-1.43</v>
      </c>
      <c r="J669" s="253">
        <v>3.44</v>
      </c>
      <c r="K669" s="253">
        <v>5.55</v>
      </c>
      <c r="L669" s="253">
        <v>-4.08</v>
      </c>
      <c r="M669" s="253">
        <v>-4.08</v>
      </c>
      <c r="N669" s="253">
        <v>3.14</v>
      </c>
      <c r="O669" s="253">
        <v>3.12</v>
      </c>
      <c r="P669" s="253">
        <v>2.76</v>
      </c>
      <c r="Q669" s="253">
        <v>2.2799999999999998</v>
      </c>
      <c r="R669" s="253">
        <v>-7.44</v>
      </c>
      <c r="S669" s="253">
        <v>-5.18</v>
      </c>
      <c r="T669" s="253">
        <v>0.88</v>
      </c>
      <c r="U669" s="253">
        <v>-6.3936000000000002</v>
      </c>
      <c r="V669" s="253">
        <v>1.52</v>
      </c>
      <c r="W669" s="253">
        <v>-2.89</v>
      </c>
      <c r="X669" s="253">
        <v>-10.32</v>
      </c>
      <c r="Y669" s="253">
        <v>-1.3680000000000001</v>
      </c>
      <c r="Z669" s="245">
        <f ca="1">[1]ExtEntry!$L67</f>
        <v>-1.3680000000000001</v>
      </c>
      <c r="AB669" s="306">
        <v>1.2162314801977911</v>
      </c>
      <c r="AC669" s="306">
        <v>1.2231842814649565</v>
      </c>
      <c r="AD669" s="306">
        <v>1.2271195505198864</v>
      </c>
      <c r="AE669" s="306">
        <v>1.2353564119414195</v>
      </c>
      <c r="AF669" s="306">
        <v>1.2157258407243166</v>
      </c>
      <c r="AG669" s="306">
        <v>1.1853368013331533</v>
      </c>
      <c r="AH669" s="306">
        <v>1.2075261757283782</v>
      </c>
      <c r="AI669" s="306">
        <v>1.2230534526267494</v>
      </c>
      <c r="AJ669" s="306">
        <v>1.2056832059342351</v>
      </c>
      <c r="AK669" s="306" t="e">
        <v>#N/A</v>
      </c>
      <c r="AL669" s="306">
        <v>1.1595379565581356</v>
      </c>
      <c r="AM669" s="306">
        <v>1.1480058015267176</v>
      </c>
      <c r="AN669" s="306">
        <v>6.8752669837566185E-2</v>
      </c>
      <c r="AO669" s="306">
        <v>1.1591676714090509</v>
      </c>
      <c r="AP669" s="306">
        <v>1.1527741806554757</v>
      </c>
      <c r="AQ669" s="306">
        <v>1.1830046299030708</v>
      </c>
      <c r="AR669" s="306">
        <v>1.1793592574419365</v>
      </c>
      <c r="AS669" s="306">
        <v>1.2289577740849631</v>
      </c>
      <c r="AT669" s="306">
        <v>1.2959968546394069</v>
      </c>
      <c r="AU669" s="306">
        <v>1.3040125326654068</v>
      </c>
      <c r="AV669" s="307">
        <f ca="1">Calc!AS67</f>
        <v>1.3040125326654068</v>
      </c>
      <c r="AX669" s="88" t="str">
        <f t="shared" ca="1" si="51"/>
        <v>SAFAMZN</v>
      </c>
    </row>
    <row r="670" spans="1:50" hidden="1" x14ac:dyDescent="0.3">
      <c r="A670" s="88" t="str">
        <f t="shared" ref="A670:A698" ca="1" si="52">A70</f>
        <v>SAFASML</v>
      </c>
      <c r="F670" s="253">
        <v>2.6</v>
      </c>
      <c r="G670" s="253">
        <v>26.4</v>
      </c>
      <c r="H670" s="253">
        <v>4.4000000000000004</v>
      </c>
      <c r="I670" s="253">
        <v>-1.7</v>
      </c>
      <c r="J670" s="253">
        <v>23.3</v>
      </c>
      <c r="K670" s="253">
        <v>-9.1999999999999993</v>
      </c>
      <c r="L670" s="253">
        <v>-19.7</v>
      </c>
      <c r="M670" s="253">
        <v>-19.7</v>
      </c>
      <c r="N670" s="253">
        <v>17.600000000000001</v>
      </c>
      <c r="O670" s="253">
        <v>6.7</v>
      </c>
      <c r="P670" s="253">
        <v>13.7</v>
      </c>
      <c r="Q670" s="253">
        <v>0.9</v>
      </c>
      <c r="R670" s="253">
        <v>18.100000000000001</v>
      </c>
      <c r="S670" s="253">
        <v>-8.5</v>
      </c>
      <c r="T670" s="253">
        <v>-11.4</v>
      </c>
      <c r="U670" s="253">
        <v>-11.3</v>
      </c>
      <c r="V670" s="253">
        <v>-24.5</v>
      </c>
      <c r="W670" s="253">
        <v>-7.4</v>
      </c>
      <c r="X670" s="253">
        <v>-6.2</v>
      </c>
      <c r="Y670" s="253">
        <v>21</v>
      </c>
      <c r="Z670" s="245">
        <f ca="1">[1]ExtEntry!$L68</f>
        <v>21</v>
      </c>
      <c r="AB670" s="307">
        <v>0.89534609024332623</v>
      </c>
      <c r="AC670" s="307">
        <v>0.86827033218785798</v>
      </c>
      <c r="AD670" s="307">
        <v>0.86391611579667205</v>
      </c>
      <c r="AE670" s="307">
        <v>0.86559323969395907</v>
      </c>
      <c r="AF670" s="307">
        <v>0.84315906562847609</v>
      </c>
      <c r="AG670" s="307">
        <v>0.85187682625309058</v>
      </c>
      <c r="AH670" s="307">
        <v>0.87116423399609233</v>
      </c>
      <c r="AI670" s="307">
        <v>1.0043710607976095</v>
      </c>
      <c r="AJ670" s="307">
        <v>0.98445787991438549</v>
      </c>
      <c r="AK670" s="307" t="e">
        <v>#N/A</v>
      </c>
      <c r="AL670" s="307">
        <v>1.0324303490804976</v>
      </c>
      <c r="AM670" s="307">
        <v>1.0332268018514437</v>
      </c>
      <c r="AN670" s="307">
        <v>5.3240576000000005E-2</v>
      </c>
      <c r="AO670" s="307">
        <v>1.0260384095860566</v>
      </c>
      <c r="AP670" s="307">
        <v>1.0389402823737039</v>
      </c>
      <c r="AQ670" s="307">
        <v>1.0520532335529991</v>
      </c>
      <c r="AR670" s="307">
        <v>1.08165280202113</v>
      </c>
      <c r="AS670" s="307">
        <v>1.0775692254890745</v>
      </c>
      <c r="AT670" s="307">
        <v>1.0960010006981615</v>
      </c>
      <c r="AU670" s="307">
        <v>1.0623767877284007</v>
      </c>
      <c r="AV670" s="307">
        <f ca="1">Calc!AS68</f>
        <v>1.0623767877284007</v>
      </c>
      <c r="AX670" s="88" t="str">
        <f t="shared" ref="AX670:AX698" ca="1" si="53">A70</f>
        <v>SAFASML</v>
      </c>
    </row>
    <row r="671" spans="1:50" hidden="1" x14ac:dyDescent="0.3">
      <c r="A671" s="88" t="str">
        <f t="shared" ca="1" si="52"/>
        <v>SAFDDD</v>
      </c>
      <c r="F671" s="253">
        <v>-0.03</v>
      </c>
      <c r="G671" s="253">
        <v>0.17</v>
      </c>
      <c r="H671" s="253">
        <v>-0.01</v>
      </c>
      <c r="I671" s="253">
        <v>-0.15</v>
      </c>
      <c r="J671" s="253">
        <v>0.67500000000000004</v>
      </c>
      <c r="K671" s="253">
        <v>-0.41</v>
      </c>
      <c r="L671" s="253">
        <v>-0.375</v>
      </c>
      <c r="M671" s="253">
        <v>-0.375</v>
      </c>
      <c r="N671" s="253">
        <v>6.5000000000000002E-2</v>
      </c>
      <c r="O671" s="253">
        <v>4.4999999999999998E-2</v>
      </c>
      <c r="P671" s="253">
        <v>-5.5E-2</v>
      </c>
      <c r="Q671" s="253">
        <v>0.125</v>
      </c>
      <c r="R671" s="253">
        <v>-0.21</v>
      </c>
      <c r="S671" s="253">
        <v>-0.16520000000000001</v>
      </c>
      <c r="T671" s="253">
        <v>-0.02</v>
      </c>
      <c r="U671" s="253">
        <v>-0.33500000000000002</v>
      </c>
      <c r="V671" s="253">
        <v>-2.5000000000000001E-2</v>
      </c>
      <c r="W671" s="253">
        <v>0</v>
      </c>
      <c r="X671" s="253">
        <v>0</v>
      </c>
      <c r="Y671" s="253">
        <v>-3.5000000000000003E-2</v>
      </c>
      <c r="Z671" s="245">
        <f ca="1">[1]ExtEntry!$L69</f>
        <v>-3.5000000000000003E-2</v>
      </c>
      <c r="AB671" s="307">
        <v>1.0551948051948052</v>
      </c>
      <c r="AC671" s="307">
        <v>1</v>
      </c>
      <c r="AD671" s="307">
        <v>0.99693251533742333</v>
      </c>
      <c r="AE671" s="307">
        <v>1.045016077170418</v>
      </c>
      <c r="AF671" s="307">
        <v>0.85865257595772781</v>
      </c>
      <c r="AG671" s="307">
        <v>0.96439169139465875</v>
      </c>
      <c r="AH671" s="307">
        <v>1.08153078202995</v>
      </c>
      <c r="AI671" s="307">
        <v>1.08153078202995</v>
      </c>
      <c r="AJ671" s="307">
        <v>1.056910569105691</v>
      </c>
      <c r="AK671" s="307" t="e">
        <v>#N/A</v>
      </c>
      <c r="AL671" s="307">
        <v>1.056910569105691</v>
      </c>
      <c r="AM671" s="307">
        <v>1.0172143974960877</v>
      </c>
      <c r="AN671" s="307">
        <v>10.215829787234043</v>
      </c>
      <c r="AO671" s="307">
        <v>1.2525050100200399</v>
      </c>
      <c r="AP671" s="307">
        <v>1.25</v>
      </c>
      <c r="AQ671" s="307">
        <v>1.434878587196468</v>
      </c>
      <c r="AR671" s="307">
        <v>1.4606741573033708</v>
      </c>
      <c r="AS671" s="307">
        <v>1.5046296296296295</v>
      </c>
      <c r="AT671" s="307">
        <v>1.5625</v>
      </c>
      <c r="AU671" s="307">
        <v>1.5892420537897312</v>
      </c>
      <c r="AV671" s="307">
        <f ca="1">Calc!AS69</f>
        <v>1.5892420537897312</v>
      </c>
      <c r="AX671" s="88" t="str">
        <f t="shared" ca="1" si="53"/>
        <v>SAFDDD</v>
      </c>
    </row>
    <row r="672" spans="1:50" hidden="1" x14ac:dyDescent="0.3">
      <c r="A672" s="88" t="str">
        <f t="shared" ca="1" si="52"/>
        <v>SAFDIS</v>
      </c>
      <c r="F672" s="253">
        <v>0.89500000000000002</v>
      </c>
      <c r="G672" s="253">
        <v>0.83499999999999996</v>
      </c>
      <c r="H672" s="253">
        <v>-1.8149999999999999</v>
      </c>
      <c r="I672" s="253">
        <v>0.79</v>
      </c>
      <c r="J672" s="253">
        <v>1.31</v>
      </c>
      <c r="K672" s="253">
        <v>2.35</v>
      </c>
      <c r="L672" s="253">
        <v>-1.2</v>
      </c>
      <c r="M672" s="253">
        <v>-1.2</v>
      </c>
      <c r="N672" s="253">
        <v>-0.06</v>
      </c>
      <c r="O672" s="253">
        <v>-1.36</v>
      </c>
      <c r="P672" s="253">
        <v>0.63</v>
      </c>
      <c r="Q672" s="253">
        <v>-0.67500000000000004</v>
      </c>
      <c r="R672" s="253">
        <v>1.6</v>
      </c>
      <c r="S672" s="253">
        <v>-0.78</v>
      </c>
      <c r="T672" s="253">
        <v>-0.13</v>
      </c>
      <c r="U672" s="253">
        <v>-1.2</v>
      </c>
      <c r="V672" s="253">
        <v>0.24</v>
      </c>
      <c r="W672" s="253">
        <v>-1.81</v>
      </c>
      <c r="X672" s="253">
        <v>0.59</v>
      </c>
      <c r="Y672" s="253">
        <v>-0.98</v>
      </c>
      <c r="Z672" s="245">
        <f ca="1">[1]ExtEntry!$L70</f>
        <v>-0.98</v>
      </c>
      <c r="AB672" s="307">
        <v>1.1894565735618225</v>
      </c>
      <c r="AC672" s="307">
        <v>1.1805360474978797</v>
      </c>
      <c r="AD672" s="307">
        <v>1.203202511488239</v>
      </c>
      <c r="AE672" s="307">
        <v>1.194776723592663</v>
      </c>
      <c r="AF672" s="307">
        <v>1.1807996070726916</v>
      </c>
      <c r="AG672" s="307">
        <v>1.1567311696264544</v>
      </c>
      <c r="AH672" s="307">
        <v>1.1691064544650753</v>
      </c>
      <c r="AI672" s="307">
        <v>1.1845177718832893</v>
      </c>
      <c r="AJ672" s="307">
        <v>1.1853562201380288</v>
      </c>
      <c r="AK672" s="307" t="e">
        <v>#N/A</v>
      </c>
      <c r="AL672" s="307">
        <v>1.177330068560235</v>
      </c>
      <c r="AM672" s="307">
        <v>1.1841305691129718</v>
      </c>
      <c r="AN672" s="307">
        <v>3.5008762517882687E-2</v>
      </c>
      <c r="AO672" s="307">
        <v>1.2041710077240881</v>
      </c>
      <c r="AP672" s="307">
        <v>1.2041710077240881</v>
      </c>
      <c r="AQ672" s="307">
        <v>1.2170697167755991</v>
      </c>
      <c r="AR672" s="307">
        <v>1.2108046599837441</v>
      </c>
      <c r="AS672" s="307">
        <v>1.2672249527410206</v>
      </c>
      <c r="AT672" s="307">
        <v>1.2615016936394428</v>
      </c>
      <c r="AU672" s="307">
        <v>1.2732421652421653</v>
      </c>
      <c r="AV672" s="307">
        <f ca="1">Calc!AS70</f>
        <v>1.2732421652421653</v>
      </c>
      <c r="AX672" s="88" t="str">
        <f t="shared" ca="1" si="53"/>
        <v>SAFDIS</v>
      </c>
    </row>
    <row r="673" spans="1:50" hidden="1" x14ac:dyDescent="0.3">
      <c r="A673" s="88" t="str">
        <f t="shared" ca="1" si="52"/>
        <v>SAFGM</v>
      </c>
      <c r="F673" s="253">
        <v>1.53</v>
      </c>
      <c r="G673" s="253">
        <v>0.76990000000000003</v>
      </c>
      <c r="H673" s="253">
        <v>-0.46</v>
      </c>
      <c r="I673" s="253">
        <v>1.04</v>
      </c>
      <c r="J673" s="253">
        <v>-0.36</v>
      </c>
      <c r="K673" s="253">
        <v>8.61</v>
      </c>
      <c r="L673" s="253">
        <v>0.7</v>
      </c>
      <c r="M673" s="253">
        <v>0.7</v>
      </c>
      <c r="N673" s="253">
        <v>-0.47499999999999998</v>
      </c>
      <c r="O673" s="253">
        <v>2.82</v>
      </c>
      <c r="P673" s="253">
        <v>-0.30499999999999999</v>
      </c>
      <c r="Q673" s="253">
        <v>0.49</v>
      </c>
      <c r="R673" s="253">
        <v>-0.47</v>
      </c>
      <c r="S673" s="253">
        <v>-1.26</v>
      </c>
      <c r="T673" s="253">
        <v>1.91</v>
      </c>
      <c r="U673" s="253">
        <v>0.15</v>
      </c>
      <c r="V673" s="253">
        <v>1.82</v>
      </c>
      <c r="W673" s="253">
        <v>-1.37</v>
      </c>
      <c r="X673" s="253">
        <v>0.03</v>
      </c>
      <c r="Y673" s="253">
        <v>1.1850000000000001</v>
      </c>
      <c r="Z673" s="245">
        <f ca="1">[1]ExtEntry!$L71</f>
        <v>1.1850000000000001</v>
      </c>
      <c r="AB673" s="307">
        <v>1.0008748906386702</v>
      </c>
      <c r="AC673" s="307">
        <v>0.98757076583350467</v>
      </c>
      <c r="AD673" s="307">
        <v>0.99755842343913492</v>
      </c>
      <c r="AE673" s="307">
        <v>0.97978759849263442</v>
      </c>
      <c r="AF673" s="307">
        <v>0.98586694243364359</v>
      </c>
      <c r="AG673" s="307">
        <v>0.85872992043236751</v>
      </c>
      <c r="AH673" s="307">
        <v>0.84967320261437917</v>
      </c>
      <c r="AI673" s="307">
        <v>0.94771241830065367</v>
      </c>
      <c r="AJ673" s="307">
        <v>0.95458966110570809</v>
      </c>
      <c r="AK673" s="307" t="e">
        <v>#N/A</v>
      </c>
      <c r="AL673" s="307">
        <v>0.82474226804123707</v>
      </c>
      <c r="AM673" s="307">
        <v>0.81866323171604405</v>
      </c>
      <c r="AN673" s="307">
        <v>0.60380250509758226</v>
      </c>
      <c r="AO673" s="307">
        <v>1.0925007467144565</v>
      </c>
      <c r="AP673" s="307">
        <v>1.0635918871765049</v>
      </c>
      <c r="AQ673" s="307">
        <v>1.0614313697040048</v>
      </c>
      <c r="AR673" s="307">
        <v>1.0352936597792246</v>
      </c>
      <c r="AS673" s="307">
        <v>1.0373489790130461</v>
      </c>
      <c r="AT673" s="307">
        <v>1.0767419782160732</v>
      </c>
      <c r="AU673" s="307">
        <v>1.058436663531795</v>
      </c>
      <c r="AV673" s="307">
        <f ca="1">Calc!AS71</f>
        <v>1.058436663531795</v>
      </c>
      <c r="AX673" s="88" t="str">
        <f t="shared" ca="1" si="53"/>
        <v>SAFGM</v>
      </c>
    </row>
    <row r="674" spans="1:50" hidden="1" x14ac:dyDescent="0.3">
      <c r="A674" s="88" t="str">
        <f t="shared" ca="1" si="52"/>
        <v>SAFIAG</v>
      </c>
      <c r="F674" s="253">
        <v>-0.2</v>
      </c>
      <c r="G674" s="253">
        <v>-0.5</v>
      </c>
      <c r="H674" s="253">
        <v>-1.2</v>
      </c>
      <c r="I674" s="253">
        <v>-15.1</v>
      </c>
      <c r="J674" s="253">
        <v>4.8</v>
      </c>
      <c r="K674" s="253">
        <v>-2.2000000000000002</v>
      </c>
      <c r="L674" s="253">
        <v>8.8000000000000007</v>
      </c>
      <c r="M674" s="253">
        <v>8.8000000000000007</v>
      </c>
      <c r="N674" s="253">
        <v>0.9</v>
      </c>
      <c r="O674" s="253">
        <v>6.5</v>
      </c>
      <c r="P674" s="253">
        <v>-0.7</v>
      </c>
      <c r="Q674" s="253">
        <v>3</v>
      </c>
      <c r="R674" s="253">
        <v>6.8</v>
      </c>
      <c r="S674" s="253">
        <v>-5</v>
      </c>
      <c r="T674" s="253">
        <v>2.6</v>
      </c>
      <c r="U674" s="253">
        <v>-11.1</v>
      </c>
      <c r="V674" s="253">
        <v>-47.9</v>
      </c>
      <c r="W674" s="253">
        <v>-8.3000000000000007</v>
      </c>
      <c r="X674" s="253">
        <v>-0.91100000000000003</v>
      </c>
      <c r="Y674" s="253">
        <v>6.3</v>
      </c>
      <c r="Z674" s="245">
        <f ca="1">[1]ExtEntry!$L72</f>
        <v>6.3</v>
      </c>
      <c r="AB674" s="307">
        <v>1.0682301470588236</v>
      </c>
      <c r="AC674" s="307">
        <v>1.0695408588957056</v>
      </c>
      <c r="AD674" s="307">
        <v>1.0726997292640905</v>
      </c>
      <c r="AE674" s="307">
        <v>1.1141050613496932</v>
      </c>
      <c r="AF674" s="307">
        <v>1.1006007575757575</v>
      </c>
      <c r="AG674" s="307">
        <v>1.1067493651599796</v>
      </c>
      <c r="AH674" s="307">
        <v>1.0825581222056631</v>
      </c>
      <c r="AI674" s="307">
        <v>1.0890614008941877</v>
      </c>
      <c r="AJ674" s="307">
        <v>1.0866322676579925</v>
      </c>
      <c r="AK674" s="307" t="e">
        <v>#N/A</v>
      </c>
      <c r="AL674" s="307">
        <v>1.1282433422917175</v>
      </c>
      <c r="AM674" s="307">
        <v>1.1200339558573855</v>
      </c>
      <c r="AN674" s="307">
        <v>0.21352294330518698</v>
      </c>
      <c r="AO674" s="307">
        <v>1.0981878845243729</v>
      </c>
      <c r="AP674" s="307">
        <v>1.0914727187206021</v>
      </c>
      <c r="AQ674" s="307">
        <v>1.1207297754165659</v>
      </c>
      <c r="AR674" s="307">
        <v>1.2673244128891317</v>
      </c>
      <c r="AS674" s="307">
        <v>1.1976624516129033</v>
      </c>
      <c r="AT674" s="307">
        <v>1.2529913145368787</v>
      </c>
      <c r="AU674" s="307">
        <v>1.2290630296610168</v>
      </c>
      <c r="AV674" s="307">
        <f ca="1">Calc!AS72</f>
        <v>1.2290630296610168</v>
      </c>
      <c r="AX674" s="88" t="str">
        <f t="shared" ca="1" si="53"/>
        <v>SAFIAG</v>
      </c>
    </row>
    <row r="675" spans="1:50" hidden="1" x14ac:dyDescent="0.3">
      <c r="A675" s="88" t="str">
        <f t="shared" ca="1" si="52"/>
        <v>SAFMRNA</v>
      </c>
      <c r="F675" s="253">
        <v>-0.49</v>
      </c>
      <c r="G675" s="253">
        <v>1.5049999999999999</v>
      </c>
      <c r="H675" s="253">
        <v>-0.57999999999999996</v>
      </c>
      <c r="I675" s="253">
        <v>-1.1299999999999999</v>
      </c>
      <c r="J675" s="253">
        <v>1.23</v>
      </c>
      <c r="K675" s="253">
        <v>0.25</v>
      </c>
      <c r="L675" s="253">
        <v>-0.64</v>
      </c>
      <c r="M675" s="253">
        <v>-0.64</v>
      </c>
      <c r="N675" s="253">
        <v>-0.6</v>
      </c>
      <c r="O675" s="253">
        <v>0.49</v>
      </c>
      <c r="P675" s="253">
        <v>-0.08</v>
      </c>
      <c r="Q675" s="253">
        <v>-1.31</v>
      </c>
      <c r="R675" s="253">
        <v>3.44</v>
      </c>
      <c r="S675" s="253">
        <v>-1.135</v>
      </c>
      <c r="T675" s="253">
        <v>-0.19</v>
      </c>
      <c r="U675" s="253">
        <v>0.54500000000000004</v>
      </c>
      <c r="V675" s="253">
        <v>0.19500000000000001</v>
      </c>
      <c r="W675" s="253">
        <v>-0.19</v>
      </c>
      <c r="X675" s="253">
        <v>0.16</v>
      </c>
      <c r="Y675" s="253">
        <v>-0.64</v>
      </c>
      <c r="Z675" s="245">
        <f ca="1">[1]ExtEntry!$L73</f>
        <v>-0.64</v>
      </c>
      <c r="AB675" s="307">
        <v>1.6857142857142857</v>
      </c>
      <c r="AC675" s="307">
        <v>1.5943073320122501</v>
      </c>
      <c r="AD675" s="307">
        <v>1.6304347826086956</v>
      </c>
      <c r="AE675" s="307">
        <v>1.7012687427912341</v>
      </c>
      <c r="AF675" s="307">
        <v>1.6244493392070485</v>
      </c>
      <c r="AG675" s="307">
        <v>1.6096762459076028</v>
      </c>
      <c r="AH675" s="307">
        <v>1.6480446927374302</v>
      </c>
      <c r="AI675" s="307">
        <v>1.6499068901303535</v>
      </c>
      <c r="AJ675" s="307">
        <v>1.6876190476190476</v>
      </c>
      <c r="AK675" s="307" t="e">
        <v>#N/A</v>
      </c>
      <c r="AL675" s="307">
        <v>1.6597899474868718</v>
      </c>
      <c r="AM675" s="307">
        <v>1.7455621301775146</v>
      </c>
      <c r="AN675" s="307">
        <v>8.1175753375977262</v>
      </c>
      <c r="AO675" s="307">
        <v>1.6950578338590956</v>
      </c>
      <c r="AP675" s="307">
        <v>1.7105263157894737</v>
      </c>
      <c r="AQ675" s="307">
        <v>1.6718523127981746</v>
      </c>
      <c r="AR675" s="307">
        <v>1.6432212028542303</v>
      </c>
      <c r="AS675" s="307">
        <v>1.6269681065805408</v>
      </c>
      <c r="AT675" s="307">
        <v>1.6171749598715888</v>
      </c>
      <c r="AU675" s="307">
        <v>1.6598023064250409</v>
      </c>
      <c r="AV675" s="307">
        <f ca="1">Calc!AS73</f>
        <v>1.6598023064250409</v>
      </c>
      <c r="AX675" s="88" t="str">
        <f t="shared" ca="1" si="53"/>
        <v>SAFMRNA</v>
      </c>
    </row>
    <row r="676" spans="1:50" hidden="1" x14ac:dyDescent="0.3">
      <c r="A676" s="88" t="str">
        <f t="shared" ca="1" si="52"/>
        <v>BLNK</v>
      </c>
      <c r="F676" s="253">
        <v>0.04</v>
      </c>
      <c r="G676" s="253">
        <v>-0.105</v>
      </c>
      <c r="H676" s="253">
        <v>-0.25</v>
      </c>
      <c r="I676" s="253">
        <v>-0.09</v>
      </c>
      <c r="J676" s="253">
        <v>7.0000000000000007E-2</v>
      </c>
      <c r="K676" s="253">
        <v>-0.12</v>
      </c>
      <c r="L676" s="253">
        <v>0.02</v>
      </c>
      <c r="M676" s="253">
        <v>0.02</v>
      </c>
      <c r="N676" s="253">
        <v>0</v>
      </c>
      <c r="O676" s="253">
        <v>0.14000000000000001</v>
      </c>
      <c r="P676" s="253">
        <v>-0.11</v>
      </c>
      <c r="Q676" s="253">
        <v>-0.1</v>
      </c>
      <c r="R676" s="253">
        <v>-0.08</v>
      </c>
      <c r="S676" s="253">
        <v>-6.3899999999999998E-2</v>
      </c>
      <c r="T676" s="253">
        <v>0.16</v>
      </c>
      <c r="U676" s="253">
        <v>-0.13500000000000001</v>
      </c>
      <c r="V676" s="253">
        <v>7.9899999999999999E-2</v>
      </c>
      <c r="W676" s="253">
        <v>-0.05</v>
      </c>
      <c r="X676" s="253">
        <v>0.01</v>
      </c>
      <c r="Y676" s="253">
        <v>-4.4999999999999998E-2</v>
      </c>
      <c r="Z676" s="245">
        <f ca="1">[1]ExtEntry!$L74</f>
        <v>-4.4999999999999998E-2</v>
      </c>
      <c r="AB676" s="307">
        <v>1.0572687224669604</v>
      </c>
      <c r="AC676" s="307">
        <v>1.1085450346420322</v>
      </c>
      <c r="AD676" s="307">
        <v>1.256544502617801</v>
      </c>
      <c r="AE676" s="307">
        <v>1.3186813186813187</v>
      </c>
      <c r="AF676" s="307">
        <v>1.2698412698412698</v>
      </c>
      <c r="AG676" s="307">
        <v>1.3559322033898304</v>
      </c>
      <c r="AH676" s="307">
        <v>1.3407821229050279</v>
      </c>
      <c r="AI676" s="307">
        <v>1.3407821229050279</v>
      </c>
      <c r="AJ676" s="307">
        <v>1.3407821229050279</v>
      </c>
      <c r="AK676" s="307" t="e">
        <v>#N/A</v>
      </c>
      <c r="AL676" s="307">
        <v>1.3186813186813187</v>
      </c>
      <c r="AM676" s="307">
        <v>1.3953488372093024</v>
      </c>
      <c r="AN676" s="307">
        <v>0</v>
      </c>
      <c r="AO676" s="307">
        <v>1.6041708441949067</v>
      </c>
      <c r="AP676" s="307">
        <v>1.4634146341463414</v>
      </c>
      <c r="AQ676" s="307">
        <v>1.5946843853820598</v>
      </c>
      <c r="AR676" s="307">
        <v>1.5095289011887538</v>
      </c>
      <c r="AS676" s="307">
        <v>1.7021276595744681</v>
      </c>
      <c r="AT676" s="307">
        <v>1.7021276595744681</v>
      </c>
      <c r="AU676" s="307">
        <v>1.7582417582417582</v>
      </c>
      <c r="AV676" s="307">
        <f ca="1">Calc!AS74</f>
        <v>1.7582417582417582</v>
      </c>
      <c r="AX676" s="88" t="str">
        <f t="shared" ca="1" si="53"/>
        <v>BLNK</v>
      </c>
    </row>
    <row r="677" spans="1:50" hidden="1" x14ac:dyDescent="0.3">
      <c r="A677" s="88" t="str">
        <f t="shared" ca="1" si="52"/>
        <v>ENI</v>
      </c>
      <c r="F677" s="253">
        <v>-0.27200000000000002</v>
      </c>
      <c r="G677" s="253">
        <v>2.1999999999999999E-2</v>
      </c>
      <c r="H677" s="253">
        <v>4.3999999999999997E-2</v>
      </c>
      <c r="I677" s="253">
        <v>7.8E-2</v>
      </c>
      <c r="J677" s="253">
        <v>3.2000000000000001E-2</v>
      </c>
      <c r="K677" s="253">
        <v>2.4E-2</v>
      </c>
      <c r="L677" s="253">
        <v>0.22600000000000001</v>
      </c>
      <c r="M677" s="253">
        <v>0.22600000000000001</v>
      </c>
      <c r="N677" s="253">
        <v>0.46</v>
      </c>
      <c r="O677" s="253">
        <v>0.25</v>
      </c>
      <c r="P677" s="253">
        <v>0.106</v>
      </c>
      <c r="Q677" s="253">
        <v>-5.6000000000000001E-2</v>
      </c>
      <c r="R677" s="253">
        <v>-4.2000000000000003E-2</v>
      </c>
      <c r="S677" s="253">
        <v>-4.2000000000000003E-2</v>
      </c>
      <c r="T677" s="253">
        <v>5.8000000000000003E-2</v>
      </c>
      <c r="U677" s="253">
        <v>-0.02</v>
      </c>
      <c r="V677" s="253">
        <v>-1.6E-2</v>
      </c>
      <c r="W677" s="253">
        <v>1.6E-2</v>
      </c>
      <c r="X677" s="253">
        <v>0.03</v>
      </c>
      <c r="Y677" s="253">
        <v>-0.112</v>
      </c>
      <c r="Z677" s="245">
        <f ca="1">[1]ExtEntry!$L75</f>
        <v>-0.112</v>
      </c>
      <c r="AB677" s="307">
        <v>1.0544217687074831</v>
      </c>
      <c r="AC677" s="307">
        <v>1.0528460806955577</v>
      </c>
      <c r="AD677" s="307">
        <v>1.0497087904645808</v>
      </c>
      <c r="AE677" s="307">
        <v>1.0441929399083805</v>
      </c>
      <c r="AF677" s="307">
        <v>1.0419467598816887</v>
      </c>
      <c r="AG677" s="307">
        <v>1.0402684563758389</v>
      </c>
      <c r="AH677" s="307">
        <v>1.0247256379743488</v>
      </c>
      <c r="AI677" s="307">
        <v>1.030435012561153</v>
      </c>
      <c r="AJ677" s="307">
        <v>1.0000230976517388</v>
      </c>
      <c r="AK677" s="307" t="e">
        <v>#N/A</v>
      </c>
      <c r="AL677" s="307">
        <v>0.99548362815205116</v>
      </c>
      <c r="AM677" s="307">
        <v>0.99899282387007426</v>
      </c>
      <c r="AN677" s="307">
        <v>0</v>
      </c>
      <c r="AO677" s="307">
        <v>1.0133708359522313</v>
      </c>
      <c r="AP677" s="307">
        <v>1.0096900050100202</v>
      </c>
      <c r="AQ677" s="307">
        <v>1.0109562327564585</v>
      </c>
      <c r="AR677" s="307">
        <v>1.0119715038915391</v>
      </c>
      <c r="AS677" s="307">
        <v>0.97867730970013356</v>
      </c>
      <c r="AT677" s="307">
        <v>0.9854969437652813</v>
      </c>
      <c r="AU677" s="307">
        <v>0.99412566284375392</v>
      </c>
      <c r="AV677" s="307">
        <f ca="1">Calc!AS75</f>
        <v>0.99412566284375392</v>
      </c>
      <c r="AX677" s="88" t="str">
        <f t="shared" ca="1" si="53"/>
        <v>ENI</v>
      </c>
    </row>
    <row r="678" spans="1:50" hidden="1" x14ac:dyDescent="0.3">
      <c r="A678" s="88" t="str">
        <f t="shared" ca="1" si="52"/>
        <v>EZJ</v>
      </c>
      <c r="F678" s="253">
        <v>37.200000000000003</v>
      </c>
      <c r="G678" s="253">
        <v>-20.5</v>
      </c>
      <c r="H678" s="253">
        <v>9</v>
      </c>
      <c r="I678" s="253">
        <v>-1.8</v>
      </c>
      <c r="J678" s="253">
        <v>-1.9</v>
      </c>
      <c r="K678" s="253">
        <v>-5.7</v>
      </c>
      <c r="L678" s="253">
        <v>13</v>
      </c>
      <c r="M678" s="253">
        <v>13</v>
      </c>
      <c r="N678" s="253">
        <v>-13.8</v>
      </c>
      <c r="O678" s="253">
        <v>6.6</v>
      </c>
      <c r="P678" s="253">
        <v>-0.1</v>
      </c>
      <c r="Q678" s="253">
        <v>-3.9</v>
      </c>
      <c r="R678" s="253">
        <v>3.6</v>
      </c>
      <c r="S678" s="253">
        <v>-10.5</v>
      </c>
      <c r="T678" s="253">
        <v>3.8</v>
      </c>
      <c r="U678" s="253">
        <v>-5.6</v>
      </c>
      <c r="V678" s="253">
        <v>-7.1</v>
      </c>
      <c r="W678" s="253">
        <v>-7.8</v>
      </c>
      <c r="X678" s="253">
        <v>-2</v>
      </c>
      <c r="Y678" s="253">
        <v>6.3</v>
      </c>
      <c r="Z678" s="245">
        <f ca="1">[1]ExtEntry!$L76</f>
        <v>6.3</v>
      </c>
      <c r="AB678" s="307">
        <v>1.3142138866719872</v>
      </c>
      <c r="AC678" s="307">
        <v>1.3702600374453922</v>
      </c>
      <c r="AD678" s="307">
        <v>1.3450765774964264</v>
      </c>
      <c r="AE678" s="307">
        <v>1.3500389424062307</v>
      </c>
      <c r="AF678" s="307">
        <v>1.3553168724279834</v>
      </c>
      <c r="AG678" s="307">
        <v>1.3714012075785966</v>
      </c>
      <c r="AH678" s="307">
        <v>1.3352604905736873</v>
      </c>
      <c r="AI678" s="307">
        <v>1.3048530306101762</v>
      </c>
      <c r="AJ678" s="307">
        <v>1.3424066736183524</v>
      </c>
      <c r="AK678" s="307" t="e">
        <v>#N/A</v>
      </c>
      <c r="AL678" s="307">
        <v>1.3553168724279834</v>
      </c>
      <c r="AM678" s="307">
        <v>1.3662808545944825</v>
      </c>
      <c r="AN678" s="307">
        <v>1.3044157467194335</v>
      </c>
      <c r="AO678" s="307">
        <v>1.3038725796377264</v>
      </c>
      <c r="AP678" s="307">
        <v>1.2936376781656682</v>
      </c>
      <c r="AQ678" s="307">
        <v>1.3087774294670846</v>
      </c>
      <c r="AR678" s="307">
        <v>1.3284896054306323</v>
      </c>
      <c r="AS678" s="307">
        <v>1.3347186700767264</v>
      </c>
      <c r="AT678" s="307">
        <v>1.380013221683561</v>
      </c>
      <c r="AU678" s="307">
        <v>1.3552261415278077</v>
      </c>
      <c r="AV678" s="307">
        <f ca="1">Calc!AS76</f>
        <v>1.3552261415278077</v>
      </c>
      <c r="AX678" s="88" t="str">
        <f t="shared" ca="1" si="53"/>
        <v>EZJ</v>
      </c>
    </row>
    <row r="679" spans="1:50" hidden="1" x14ac:dyDescent="0.3">
      <c r="A679" s="88" t="str">
        <f t="shared" ca="1" si="52"/>
        <v>F</v>
      </c>
      <c r="F679" s="253">
        <v>0.125</v>
      </c>
      <c r="G679" s="253">
        <v>8.5000000000000006E-2</v>
      </c>
      <c r="H679" s="253">
        <v>-1.4999999999999999E-2</v>
      </c>
      <c r="I679" s="253">
        <v>0.18</v>
      </c>
      <c r="J679" s="253">
        <v>8.5000000000000006E-2</v>
      </c>
      <c r="K679" s="253">
        <v>0.57999999999999996</v>
      </c>
      <c r="L679" s="253">
        <v>-0.105</v>
      </c>
      <c r="M679" s="253">
        <v>-0.105</v>
      </c>
      <c r="N679" s="253">
        <v>-0.12</v>
      </c>
      <c r="O679" s="253">
        <v>1.49</v>
      </c>
      <c r="P679" s="253">
        <v>-0.61</v>
      </c>
      <c r="Q679" s="253">
        <v>-0.125</v>
      </c>
      <c r="R679" s="253">
        <v>-0.17499999999999999</v>
      </c>
      <c r="S679" s="253">
        <v>-0.185</v>
      </c>
      <c r="T679" s="253">
        <v>0.34499999999999997</v>
      </c>
      <c r="U679" s="253">
        <v>4.5600000000000002E-2</v>
      </c>
      <c r="V679" s="253">
        <v>0.23499999999999999</v>
      </c>
      <c r="W679" s="253">
        <v>-8.5000000000000006E-2</v>
      </c>
      <c r="X679" s="253">
        <v>0.14000000000000001</v>
      </c>
      <c r="Y679" s="253">
        <v>-2.5000000000000001E-2</v>
      </c>
      <c r="Z679" s="245">
        <f ca="1">[1]ExtEntry!$L77</f>
        <v>-2.5000000000000001E-2</v>
      </c>
      <c r="AB679" s="307">
        <v>0.92584654950707257</v>
      </c>
      <c r="AC679" s="307">
        <v>0.92032381763953997</v>
      </c>
      <c r="AD679" s="307">
        <v>0.91954022988505757</v>
      </c>
      <c r="AE679" s="307">
        <v>0.90604026845637586</v>
      </c>
      <c r="AF679" s="307">
        <v>0.899625156184923</v>
      </c>
      <c r="AG679" s="307">
        <v>0.8591885441527447</v>
      </c>
      <c r="AH679" s="307">
        <v>0.86712163789642716</v>
      </c>
      <c r="AI679" s="307">
        <v>0.9213167402649538</v>
      </c>
      <c r="AJ679" s="307">
        <v>0.93216896831844021</v>
      </c>
      <c r="AK679" s="307" t="e">
        <v>#N/A</v>
      </c>
      <c r="AL679" s="307">
        <v>0.81632653061224492</v>
      </c>
      <c r="AM679" s="307">
        <v>0.82223068138561106</v>
      </c>
      <c r="AN679" s="307">
        <v>0.93876769996172993</v>
      </c>
      <c r="AO679" s="307">
        <v>0.95633528265107226</v>
      </c>
      <c r="AP679" s="307">
        <v>0.93376475066615916</v>
      </c>
      <c r="AQ679" s="307">
        <v>0.93230259357231904</v>
      </c>
      <c r="AR679" s="307">
        <v>0.92881484286255211</v>
      </c>
      <c r="AS679" s="307">
        <v>0.92951875710496401</v>
      </c>
      <c r="AT679" s="307">
        <v>0.94201228878648235</v>
      </c>
      <c r="AU679" s="307">
        <v>0.94382454790303971</v>
      </c>
      <c r="AV679" s="307">
        <f ca="1">Calc!AS77</f>
        <v>0.94382454790303971</v>
      </c>
      <c r="AX679" s="88" t="str">
        <f t="shared" ca="1" si="53"/>
        <v>F</v>
      </c>
    </row>
    <row r="680" spans="1:50" hidden="1" x14ac:dyDescent="0.3">
      <c r="A680" s="88" t="str">
        <f t="shared" ca="1" si="52"/>
        <v>GLE</v>
      </c>
      <c r="F680" s="253">
        <v>1.3</v>
      </c>
      <c r="G680" s="253">
        <v>0.54</v>
      </c>
      <c r="H680" s="253">
        <v>0.96</v>
      </c>
      <c r="I680" s="253">
        <v>-2.88</v>
      </c>
      <c r="J680" s="253">
        <v>-0.64</v>
      </c>
      <c r="K680" s="253">
        <v>0.12</v>
      </c>
      <c r="L680" s="253">
        <v>-0.24</v>
      </c>
      <c r="M680" s="253">
        <v>-0.24</v>
      </c>
      <c r="N680" s="253">
        <v>0.7</v>
      </c>
      <c r="O680" s="253">
        <v>0.1</v>
      </c>
      <c r="P680" s="253">
        <v>-0.08</v>
      </c>
      <c r="Q680" s="253">
        <v>0.66</v>
      </c>
      <c r="R680" s="253">
        <v>-1.96</v>
      </c>
      <c r="S680" s="253">
        <v>-0.18</v>
      </c>
      <c r="T680" s="253">
        <v>0.06</v>
      </c>
      <c r="U680" s="253">
        <v>1.1599999999999999</v>
      </c>
      <c r="V680" s="253">
        <v>-1.1599999999999999</v>
      </c>
      <c r="W680" s="253">
        <v>-1.18</v>
      </c>
      <c r="X680" s="253">
        <v>-0.3</v>
      </c>
      <c r="Y680" s="253">
        <v>0.34</v>
      </c>
      <c r="Z680" s="245">
        <f ca="1">[1]ExtEntry!$L78</f>
        <v>0.34</v>
      </c>
      <c r="AB680" s="307">
        <v>1.1232380952380951</v>
      </c>
      <c r="AC680" s="307">
        <v>1.1123210943124548</v>
      </c>
      <c r="AD680" s="307">
        <v>1.0934281670205237</v>
      </c>
      <c r="AE680" s="307">
        <v>1.1521357196122297</v>
      </c>
      <c r="AF680" s="307">
        <v>1.1660483018867924</v>
      </c>
      <c r="AG680" s="307">
        <v>1.1634141566265059</v>
      </c>
      <c r="AH680" s="307">
        <v>1.1686944024205748</v>
      </c>
      <c r="AI680" s="307">
        <v>1.1943498487140696</v>
      </c>
      <c r="AJ680" s="307">
        <v>1.1787461739455021</v>
      </c>
      <c r="AK680" s="307" t="e">
        <v>#N/A</v>
      </c>
      <c r="AL680" s="307">
        <v>1.1529955223880597</v>
      </c>
      <c r="AM680" s="307">
        <v>1.1389708809436048</v>
      </c>
      <c r="AN680" s="307">
        <v>1.1958384905660377</v>
      </c>
      <c r="AO680" s="307">
        <v>1.1851614144375229</v>
      </c>
      <c r="AP680" s="307">
        <v>1.1838599926793558</v>
      </c>
      <c r="AQ680" s="307">
        <v>1.1592492831541219</v>
      </c>
      <c r="AR680" s="307">
        <v>1.1838599926793558</v>
      </c>
      <c r="AS680" s="307">
        <v>1.1156624698171784</v>
      </c>
      <c r="AT680" s="307">
        <v>1.1514081523673905</v>
      </c>
      <c r="AU680" s="307">
        <v>1.1384391059486096</v>
      </c>
      <c r="AV680" s="307">
        <f ca="1">Calc!AS78</f>
        <v>1.1384391059486096</v>
      </c>
      <c r="AX680" s="88" t="str">
        <f t="shared" ca="1" si="53"/>
        <v>GLE</v>
      </c>
    </row>
    <row r="681" spans="1:50" hidden="1" x14ac:dyDescent="0.3">
      <c r="A681" s="88" t="str">
        <f t="shared" ca="1" si="52"/>
        <v>GNRC</v>
      </c>
      <c r="F681" s="253">
        <v>9.8049999999999997</v>
      </c>
      <c r="G681" s="253">
        <v>9.4749999999999996</v>
      </c>
      <c r="H681" s="253">
        <v>0.98499999999999999</v>
      </c>
      <c r="I681" s="253">
        <v>-2.15</v>
      </c>
      <c r="J681" s="253">
        <v>5.28</v>
      </c>
      <c r="K681" s="253">
        <v>-3.25</v>
      </c>
      <c r="L681" s="253">
        <v>-9.41</v>
      </c>
      <c r="M681" s="253">
        <v>-9.41</v>
      </c>
      <c r="N681" s="253">
        <v>5.95</v>
      </c>
      <c r="O681" s="253">
        <v>2.97</v>
      </c>
      <c r="P681" s="253">
        <v>-1.49</v>
      </c>
      <c r="Q681" s="253">
        <v>-0.27</v>
      </c>
      <c r="R681" s="253">
        <v>-15.09</v>
      </c>
      <c r="S681" s="253">
        <v>-6.67</v>
      </c>
      <c r="T681" s="253">
        <v>2.59</v>
      </c>
      <c r="U681" s="253">
        <v>-5.65</v>
      </c>
      <c r="V681" s="253">
        <v>0.83</v>
      </c>
      <c r="W681" s="253">
        <v>-3.52</v>
      </c>
      <c r="X681" s="253">
        <v>1.95</v>
      </c>
      <c r="Y681" s="253">
        <v>4.43</v>
      </c>
      <c r="Z681" s="245">
        <f ca="1">[1]ExtEntry!$L79</f>
        <v>4.43</v>
      </c>
      <c r="AB681" s="307">
        <v>1.1118662498300937</v>
      </c>
      <c r="AC681" s="307">
        <v>1.0579683902842805</v>
      </c>
      <c r="AD681" s="307">
        <v>1.0614829617710415</v>
      </c>
      <c r="AE681" s="307">
        <v>1.0735471678303323</v>
      </c>
      <c r="AF681" s="307">
        <v>1.0445931450171118</v>
      </c>
      <c r="AG681" s="307">
        <v>1.0622273010596301</v>
      </c>
      <c r="AH681" s="307">
        <v>1.1169370255065814</v>
      </c>
      <c r="AI681" s="307">
        <v>1.1107925064176087</v>
      </c>
      <c r="AJ681" s="307">
        <v>1.0758305120609395</v>
      </c>
      <c r="AK681" s="307" t="e">
        <v>#N/A</v>
      </c>
      <c r="AL681" s="307">
        <v>1.0737162658826001</v>
      </c>
      <c r="AM681" s="307">
        <v>1.075523298622068</v>
      </c>
      <c r="AN681" s="307">
        <v>1.2661057489292393</v>
      </c>
      <c r="AO681" s="307">
        <v>1.3207957728545963</v>
      </c>
      <c r="AP681" s="307">
        <v>1.303371026510868</v>
      </c>
      <c r="AQ681" s="307">
        <v>1.3513358952647689</v>
      </c>
      <c r="AR681" s="307">
        <v>1.341809597723451</v>
      </c>
      <c r="AS681" s="307">
        <v>1.3729773013036859</v>
      </c>
      <c r="AT681" s="307">
        <v>1.4563428330759509</v>
      </c>
      <c r="AU681" s="307">
        <v>1.4124215399278373</v>
      </c>
      <c r="AV681" s="307">
        <f ca="1">Calc!AS79</f>
        <v>1.4124215399278373</v>
      </c>
      <c r="AX681" s="88" t="str">
        <f t="shared" ca="1" si="53"/>
        <v>GNRC</v>
      </c>
    </row>
    <row r="682" spans="1:50" hidden="1" x14ac:dyDescent="0.3">
      <c r="A682" s="88" t="str">
        <f t="shared" ca="1" si="52"/>
        <v>GS</v>
      </c>
      <c r="F682" s="253">
        <v>-15.64</v>
      </c>
      <c r="G682" s="253">
        <v>-6.6</v>
      </c>
      <c r="H682" s="253">
        <v>-9.61</v>
      </c>
      <c r="I682" s="253">
        <v>-7.32</v>
      </c>
      <c r="J682" s="253">
        <v>12.32</v>
      </c>
      <c r="K682" s="253">
        <v>-4.25</v>
      </c>
      <c r="L682" s="253">
        <v>-14.4</v>
      </c>
      <c r="M682" s="253">
        <v>-14.4</v>
      </c>
      <c r="N682" s="253">
        <v>6.41</v>
      </c>
      <c r="O682" s="253">
        <v>33.090000000000003</v>
      </c>
      <c r="P682" s="253">
        <v>6.02</v>
      </c>
      <c r="Q682" s="253">
        <v>2.29</v>
      </c>
      <c r="R682" s="253">
        <v>6.7</v>
      </c>
      <c r="S682" s="253">
        <v>6.3</v>
      </c>
      <c r="T682" s="253">
        <v>2.2799999999999998</v>
      </c>
      <c r="U682" s="253">
        <v>-5.72</v>
      </c>
      <c r="V682" s="253">
        <v>-2.2250000000000001</v>
      </c>
      <c r="W682" s="253">
        <v>-15.02</v>
      </c>
      <c r="X682" s="253">
        <v>1.34</v>
      </c>
      <c r="Y682" s="253">
        <v>4.59</v>
      </c>
      <c r="Z682" s="245">
        <f ca="1">[1]ExtEntry!$L80</f>
        <v>4.59</v>
      </c>
      <c r="AB682" s="307">
        <v>0.92146562232538831</v>
      </c>
      <c r="AC682" s="307">
        <v>0.92988248534338358</v>
      </c>
      <c r="AD682" s="307">
        <v>0.9370437282413755</v>
      </c>
      <c r="AE682" s="307">
        <v>0.94646696058713053</v>
      </c>
      <c r="AF682" s="307">
        <v>0.93118636071760852</v>
      </c>
      <c r="AG682" s="307">
        <v>0.93611788109133531</v>
      </c>
      <c r="AH682" s="307">
        <v>0.95433532998468928</v>
      </c>
      <c r="AI682" s="307">
        <v>1.0270007252410756</v>
      </c>
      <c r="AJ682" s="307">
        <v>1.0182077469008401</v>
      </c>
      <c r="AK682" s="307" t="e">
        <v>#N/A</v>
      </c>
      <c r="AL682" s="307">
        <v>0.89958095961514117</v>
      </c>
      <c r="AM682" s="307">
        <v>0.89687862876760738</v>
      </c>
      <c r="AN682" s="307">
        <v>1.0149653059157211</v>
      </c>
      <c r="AO682" s="307">
        <v>1.0126570432674091</v>
      </c>
      <c r="AP682" s="307">
        <v>1.0110099481786889</v>
      </c>
      <c r="AQ682" s="307">
        <v>1.0183803040501924</v>
      </c>
      <c r="AR682" s="307">
        <v>1.0209931814275073</v>
      </c>
      <c r="AS682" s="307">
        <v>1.0143736716931484</v>
      </c>
      <c r="AT682" s="307">
        <v>1.0321046466726733</v>
      </c>
      <c r="AU682" s="307">
        <v>1.0268310517486456</v>
      </c>
      <c r="AV682" s="307">
        <f ca="1">Calc!AS80</f>
        <v>1.0268310517486456</v>
      </c>
      <c r="AX682" s="88" t="str">
        <f t="shared" ca="1" si="53"/>
        <v>GS</v>
      </c>
    </row>
    <row r="683" spans="1:50" hidden="1" x14ac:dyDescent="0.3">
      <c r="A683" s="88" t="str">
        <f t="shared" ca="1" si="52"/>
        <v>LAZR</v>
      </c>
      <c r="F683" s="253">
        <v>-0.01</v>
      </c>
      <c r="G683" s="253">
        <v>-8.5000000000000006E-2</v>
      </c>
      <c r="H683" s="253">
        <v>-0.13</v>
      </c>
      <c r="I683" s="253">
        <v>0.05</v>
      </c>
      <c r="J683" s="253">
        <v>0.06</v>
      </c>
      <c r="K683" s="253">
        <v>-0.185</v>
      </c>
      <c r="L683" s="253">
        <v>-9.5000000000000001E-2</v>
      </c>
      <c r="M683" s="253">
        <v>-9.5000000000000001E-2</v>
      </c>
      <c r="N683" s="253">
        <v>-0.03</v>
      </c>
      <c r="O683" s="253">
        <v>0.53</v>
      </c>
      <c r="P683" s="253">
        <v>0.1</v>
      </c>
      <c r="Q683" s="253">
        <v>-0.26</v>
      </c>
      <c r="R683" s="253">
        <v>0.02</v>
      </c>
      <c r="S683" s="253">
        <v>1.4999999999999999E-2</v>
      </c>
      <c r="T683" s="253">
        <v>-0.11</v>
      </c>
      <c r="U683" s="253">
        <v>-5.1700000000000003E-2</v>
      </c>
      <c r="V683" s="253">
        <v>9.5000000000000001E-2</v>
      </c>
      <c r="W683" s="253">
        <v>-0.05</v>
      </c>
      <c r="X683" s="253">
        <v>-4.1300000000000003E-2</v>
      </c>
      <c r="Y683" s="253">
        <v>1.9699999999999999E-2</v>
      </c>
      <c r="Z683" s="245">
        <f ca="1">[1]ExtEntry!$L81</f>
        <v>1.9699999999999999E-2</v>
      </c>
      <c r="AB683" s="307">
        <v>1.2759186602870813</v>
      </c>
      <c r="AC683" s="307">
        <v>1.3300099750623442</v>
      </c>
      <c r="AD683" s="307">
        <v>1.4109365079365079</v>
      </c>
      <c r="AE683" s="307">
        <v>1.3745721649484537</v>
      </c>
      <c r="AF683" s="307">
        <v>1.3333349999999999</v>
      </c>
      <c r="AG683" s="307">
        <v>1.4692396694214875</v>
      </c>
      <c r="AH683" s="307">
        <v>1.5503895348837209</v>
      </c>
      <c r="AI683" s="307">
        <v>1.5503895348837209</v>
      </c>
      <c r="AJ683" s="307">
        <v>1.5779112426035502</v>
      </c>
      <c r="AK683" s="307" t="e">
        <v>#N/A</v>
      </c>
      <c r="AL683" s="307">
        <v>1.149426724137931</v>
      </c>
      <c r="AM683" s="307">
        <v>1.2945</v>
      </c>
      <c r="AN683" s="307">
        <v>1.263824644549763</v>
      </c>
      <c r="AO683" s="307">
        <v>1.8181818181818181</v>
      </c>
      <c r="AP683" s="307">
        <v>2.0161290322580645</v>
      </c>
      <c r="AQ683" s="307">
        <v>2.1038458301775647</v>
      </c>
      <c r="AR683" s="307">
        <v>2.0080321285140559</v>
      </c>
      <c r="AS683" s="307">
        <v>2.4752475247524752</v>
      </c>
      <c r="AT683" s="307">
        <v>2.8865027133125505</v>
      </c>
      <c r="AU683" s="307">
        <v>2.8223075186272295</v>
      </c>
      <c r="AV683" s="307">
        <f ca="1">Calc!AS81</f>
        <v>2.8223075186272295</v>
      </c>
      <c r="AX683" s="88" t="str">
        <f t="shared" ca="1" si="53"/>
        <v>LAZR</v>
      </c>
    </row>
    <row r="684" spans="1:50" hidden="1" x14ac:dyDescent="0.3">
      <c r="A684" s="88" t="str">
        <f t="shared" ca="1" si="52"/>
        <v>LUV</v>
      </c>
      <c r="F684" s="253">
        <v>1.5049999999999999</v>
      </c>
      <c r="G684" s="253">
        <v>0.35</v>
      </c>
      <c r="H684" s="253">
        <v>-0.27</v>
      </c>
      <c r="I684" s="253">
        <v>0.23</v>
      </c>
      <c r="J684" s="253">
        <v>0.88500000000000001</v>
      </c>
      <c r="K684" s="253">
        <v>0.255</v>
      </c>
      <c r="L684" s="253">
        <v>-0.96</v>
      </c>
      <c r="M684" s="253">
        <v>-0.96</v>
      </c>
      <c r="N684" s="253">
        <v>-2.11</v>
      </c>
      <c r="O684" s="253">
        <v>0.54</v>
      </c>
      <c r="P684" s="253">
        <v>4.4999999999999998E-2</v>
      </c>
      <c r="Q684" s="253">
        <v>-1.1599999999999999</v>
      </c>
      <c r="R684" s="253">
        <v>-0.57499999999999996</v>
      </c>
      <c r="S684" s="253">
        <v>-0.79500000000000004</v>
      </c>
      <c r="T684" s="253">
        <v>1.9450000000000001</v>
      </c>
      <c r="U684" s="253">
        <v>-0.17</v>
      </c>
      <c r="V684" s="253">
        <v>0.85499999999999998</v>
      </c>
      <c r="W684" s="253">
        <v>-0.20499999999999999</v>
      </c>
      <c r="X684" s="253">
        <v>0.11</v>
      </c>
      <c r="Y684" s="253">
        <v>-0.14000000000000001</v>
      </c>
      <c r="Z684" s="245">
        <f ca="1">[1]ExtEntry!$L82</f>
        <v>-0.14000000000000001</v>
      </c>
      <c r="AB684" s="307">
        <v>0.95973656638227811</v>
      </c>
      <c r="AC684" s="307">
        <v>0.9493633402428191</v>
      </c>
      <c r="AD684" s="307">
        <v>0.96305196755782529</v>
      </c>
      <c r="AE684" s="307">
        <v>0.9564439140811456</v>
      </c>
      <c r="AF684" s="307">
        <v>0.93184130213631744</v>
      </c>
      <c r="AG684" s="307">
        <v>0.92431886982845612</v>
      </c>
      <c r="AH684" s="307">
        <v>0.95077105575326226</v>
      </c>
      <c r="AI684" s="307">
        <v>0.98042704626334531</v>
      </c>
      <c r="AJ684" s="307">
        <v>1.0445497630331755</v>
      </c>
      <c r="AK684" s="307" t="e">
        <v>#N/A</v>
      </c>
      <c r="AL684" s="307">
        <v>0.99426267638393562</v>
      </c>
      <c r="AM684" s="307">
        <v>1.0311997426825346</v>
      </c>
      <c r="AN684" s="307">
        <v>1.1325803556589664</v>
      </c>
      <c r="AO684" s="307">
        <v>1.1497783026826389</v>
      </c>
      <c r="AP684" s="307">
        <v>1.0777694132532027</v>
      </c>
      <c r="AQ684" s="307">
        <v>1.0834238473767888</v>
      </c>
      <c r="AR684" s="307">
        <v>1.0527940676656882</v>
      </c>
      <c r="AS684" s="307">
        <v>1.0377243794731232</v>
      </c>
      <c r="AT684" s="307">
        <v>1.0661351689612015</v>
      </c>
      <c r="AU684" s="307">
        <v>1.0708258956631052</v>
      </c>
      <c r="AV684" s="307">
        <f ca="1">Calc!AS82</f>
        <v>1.0708258956631052</v>
      </c>
      <c r="AX684" s="88" t="str">
        <f t="shared" ca="1" si="53"/>
        <v>LUV</v>
      </c>
    </row>
    <row r="685" spans="1:50" hidden="1" x14ac:dyDescent="0.3">
      <c r="A685" s="88" t="str">
        <f t="shared" ca="1" si="52"/>
        <v>MA</v>
      </c>
      <c r="F685" s="253">
        <v>8.4600000000000009</v>
      </c>
      <c r="G685" s="253">
        <v>-4.2350000000000003</v>
      </c>
      <c r="H685" s="253">
        <v>-12.73</v>
      </c>
      <c r="I685" s="253">
        <v>11.09</v>
      </c>
      <c r="J685" s="253">
        <v>5.7</v>
      </c>
      <c r="K685" s="253">
        <v>5.61</v>
      </c>
      <c r="L685" s="253">
        <v>-0.76</v>
      </c>
      <c r="M685" s="253">
        <v>-0.76</v>
      </c>
      <c r="N685" s="253">
        <v>2.4900000000000002</v>
      </c>
      <c r="O685" s="253">
        <v>0.46</v>
      </c>
      <c r="P685" s="253">
        <v>-1.51</v>
      </c>
      <c r="Q685" s="253">
        <v>-6.16</v>
      </c>
      <c r="R685" s="253">
        <v>-1.06</v>
      </c>
      <c r="S685" s="253">
        <v>8.8699999999999992</v>
      </c>
      <c r="T685" s="253">
        <v>1.01</v>
      </c>
      <c r="U685" s="253">
        <v>-0.98</v>
      </c>
      <c r="V685" s="253">
        <v>-1.98</v>
      </c>
      <c r="W685" s="253">
        <v>-9.84</v>
      </c>
      <c r="X685" s="253">
        <v>-9.75</v>
      </c>
      <c r="Y685" s="253">
        <v>-1.4975000000000001</v>
      </c>
      <c r="Z685" s="245">
        <f ca="1">[1]ExtEntry!$L83</f>
        <v>-1.4975000000000001</v>
      </c>
      <c r="AB685" s="307">
        <v>1.1353734366742998</v>
      </c>
      <c r="AC685" s="307">
        <v>1.1434604433327127</v>
      </c>
      <c r="AD685" s="307">
        <v>1.1717413830715533</v>
      </c>
      <c r="AE685" s="307">
        <v>1.1489945986416386</v>
      </c>
      <c r="AF685" s="307">
        <v>1.1374371327227488</v>
      </c>
      <c r="AG685" s="307">
        <v>1.1268973897232373</v>
      </c>
      <c r="AH685" s="307">
        <v>1.1282782222066625</v>
      </c>
      <c r="AI685" s="307">
        <v>1.1350680063717682</v>
      </c>
      <c r="AJ685" s="307">
        <v>1.1299647991635444</v>
      </c>
      <c r="AK685" s="307" t="e">
        <v>#N/A</v>
      </c>
      <c r="AL685" s="307">
        <v>1.1265231753355707</v>
      </c>
      <c r="AM685" s="307">
        <v>1.1383813140233132</v>
      </c>
      <c r="AN685" s="307">
        <v>1.1768422098569158</v>
      </c>
      <c r="AO685" s="307">
        <v>1.1849489998914891</v>
      </c>
      <c r="AP685" s="307">
        <v>1.1831943441201964</v>
      </c>
      <c r="AQ685" s="307">
        <v>1.1862576720438867</v>
      </c>
      <c r="AR685" s="307">
        <v>1.1884739706149103</v>
      </c>
      <c r="AS685" s="307">
        <v>1.2006041449068219</v>
      </c>
      <c r="AT685" s="307">
        <v>1.243038702333523</v>
      </c>
      <c r="AU685" s="307">
        <v>1.2454428725532591</v>
      </c>
      <c r="AV685" s="307">
        <f ca="1">Calc!AS83</f>
        <v>1.2454428725532591</v>
      </c>
      <c r="AX685" s="88" t="str">
        <f t="shared" ca="1" si="53"/>
        <v>MA</v>
      </c>
    </row>
    <row r="686" spans="1:50" hidden="1" x14ac:dyDescent="0.3">
      <c r="A686" s="88" t="str">
        <f t="shared" ca="1" si="52"/>
        <v>NVAX</v>
      </c>
      <c r="F686" s="253">
        <v>0.27</v>
      </c>
      <c r="G686" s="253">
        <v>0.125</v>
      </c>
      <c r="H686" s="253">
        <v>-0.43</v>
      </c>
      <c r="I686" s="253">
        <v>-0.38</v>
      </c>
      <c r="J686" s="253">
        <v>0.69</v>
      </c>
      <c r="K686" s="253">
        <v>-0.2</v>
      </c>
      <c r="L686" s="253">
        <v>-0.13</v>
      </c>
      <c r="M686" s="253">
        <v>-0.13</v>
      </c>
      <c r="N686" s="253">
        <v>-0.1</v>
      </c>
      <c r="O686" s="253">
        <v>0.16</v>
      </c>
      <c r="P686" s="253">
        <v>0.18</v>
      </c>
      <c r="Q686" s="253">
        <v>-0.18</v>
      </c>
      <c r="R686" s="253">
        <v>0.05</v>
      </c>
      <c r="S686" s="253">
        <v>-0.375</v>
      </c>
      <c r="T686" s="253">
        <v>0.18</v>
      </c>
      <c r="U686" s="253">
        <v>1.01E-2</v>
      </c>
      <c r="V686" s="253">
        <v>-0.18099999999999999</v>
      </c>
      <c r="W686" s="253">
        <v>-0.09</v>
      </c>
      <c r="X686" s="253">
        <v>-0.23</v>
      </c>
      <c r="Y686" s="253">
        <v>-0.17499999999999999</v>
      </c>
      <c r="Z686" s="245">
        <f ca="1">[1]ExtEntry!$L84</f>
        <v>-0.17499999999999999</v>
      </c>
      <c r="AB686" s="307">
        <v>1.4060742407199098</v>
      </c>
      <c r="AC686" s="307">
        <v>1.3865779256794231</v>
      </c>
      <c r="AD686" s="307">
        <v>1.4740566037735849</v>
      </c>
      <c r="AE686" s="307">
        <v>1.5432098765432098</v>
      </c>
      <c r="AF686" s="307">
        <v>1.4220705346985212</v>
      </c>
      <c r="AG686" s="307">
        <v>1.4551804423748544</v>
      </c>
      <c r="AH686" s="307">
        <v>1.4775413711583922</v>
      </c>
      <c r="AI686" s="307">
        <v>1.4775413711583922</v>
      </c>
      <c r="AJ686" s="307">
        <v>1.4952153110047848</v>
      </c>
      <c r="AK686" s="307" t="e">
        <v>#N/A</v>
      </c>
      <c r="AL686" s="307">
        <v>1.4367816091954024</v>
      </c>
      <c r="AM686" s="307">
        <v>1.4671361502347418</v>
      </c>
      <c r="AN686" s="307">
        <v>1.5671542111506525</v>
      </c>
      <c r="AO686" s="307">
        <v>1.6738553417385535</v>
      </c>
      <c r="AP686" s="307">
        <v>1.6401170351105332</v>
      </c>
      <c r="AQ686" s="307">
        <v>1.6379657407046664</v>
      </c>
      <c r="AR686" s="307">
        <v>1.7023215008773116</v>
      </c>
      <c r="AS686" s="307">
        <v>1.8095408895265426</v>
      </c>
      <c r="AT686" s="307">
        <v>1.919710806697108</v>
      </c>
      <c r="AU686" s="307">
        <v>1.9722439405785772</v>
      </c>
      <c r="AV686" s="307">
        <f ca="1">Calc!AS84</f>
        <v>1.9722439405785772</v>
      </c>
      <c r="AX686" s="88" t="str">
        <f t="shared" ca="1" si="53"/>
        <v>NVAX</v>
      </c>
    </row>
    <row r="687" spans="1:50" hidden="1" x14ac:dyDescent="0.3">
      <c r="A687" s="88" t="str">
        <f t="shared" ca="1" si="52"/>
        <v>NVS</v>
      </c>
      <c r="F687" s="253">
        <v>1.18</v>
      </c>
      <c r="G687" s="253">
        <v>-0.30499999999999999</v>
      </c>
      <c r="H687" s="253">
        <v>0.75</v>
      </c>
      <c r="I687" s="253">
        <v>0.66</v>
      </c>
      <c r="J687" s="253">
        <v>0.36</v>
      </c>
      <c r="K687" s="253">
        <v>-0.45</v>
      </c>
      <c r="L687" s="253">
        <v>0.09</v>
      </c>
      <c r="M687" s="253">
        <v>0.09</v>
      </c>
      <c r="N687" s="253">
        <v>0.21</v>
      </c>
      <c r="O687" s="253">
        <v>-1.26</v>
      </c>
      <c r="P687" s="253">
        <v>-1.42</v>
      </c>
      <c r="Q687" s="253">
        <v>-5.75</v>
      </c>
      <c r="R687" s="253">
        <v>0.81</v>
      </c>
      <c r="S687" s="253">
        <v>1.05</v>
      </c>
      <c r="T687" s="253">
        <v>0.49</v>
      </c>
      <c r="U687" s="253">
        <v>1.2050000000000001</v>
      </c>
      <c r="V687" s="253">
        <v>-0.12</v>
      </c>
      <c r="W687" s="253">
        <v>-0.65</v>
      </c>
      <c r="X687" s="253">
        <v>-3.57</v>
      </c>
      <c r="Y687" s="253">
        <v>-1.17</v>
      </c>
      <c r="Z687" s="245">
        <f ca="1">[1]ExtEntry!$L85</f>
        <v>-1.17</v>
      </c>
      <c r="AB687" s="307">
        <v>0.90978511128165762</v>
      </c>
      <c r="AC687" s="307">
        <v>0.91220037705359536</v>
      </c>
      <c r="AD687" s="307">
        <v>0.9068619951040392</v>
      </c>
      <c r="AE687" s="307">
        <v>0.90196302214106361</v>
      </c>
      <c r="AF687" s="307">
        <v>0.89949920327794219</v>
      </c>
      <c r="AG687" s="307">
        <v>0.90258108725445407</v>
      </c>
      <c r="AH687" s="307">
        <v>0.90196302214106361</v>
      </c>
      <c r="AI687" s="307">
        <v>0.92866164498211967</v>
      </c>
      <c r="AJ687" s="307">
        <v>0.92718018839258598</v>
      </c>
      <c r="AK687" s="307" t="e">
        <v>#N/A</v>
      </c>
      <c r="AL687" s="307">
        <v>0.91938110749185675</v>
      </c>
      <c r="AM687" s="307">
        <v>0.96073425723316319</v>
      </c>
      <c r="AN687" s="307">
        <v>1.0166707446374683</v>
      </c>
      <c r="AO687" s="307">
        <v>1.0203666639980786</v>
      </c>
      <c r="AP687" s="307">
        <v>1.0155697211155379</v>
      </c>
      <c r="AQ687" s="307">
        <v>1.0059113689278245</v>
      </c>
      <c r="AR687" s="307">
        <v>1.0079398971925662</v>
      </c>
      <c r="AS687" s="307">
        <v>0.97100411397226882</v>
      </c>
      <c r="AT687" s="307">
        <v>0.995889982809814</v>
      </c>
      <c r="AU687" s="307">
        <v>1.0048407442447176</v>
      </c>
      <c r="AV687" s="307">
        <f ca="1">Calc!AS85</f>
        <v>1.0048407442447176</v>
      </c>
      <c r="AX687" s="88" t="str">
        <f t="shared" ca="1" si="53"/>
        <v>NVS</v>
      </c>
    </row>
    <row r="688" spans="1:50" hidden="1" x14ac:dyDescent="0.3">
      <c r="A688" s="88" t="str">
        <f t="shared" ca="1" si="52"/>
        <v>ORA</v>
      </c>
      <c r="F688" s="253">
        <v>0.14000000000000001</v>
      </c>
      <c r="G688" s="253">
        <v>0.44500000000000001</v>
      </c>
      <c r="H688" s="253">
        <v>7.0000000000000007E-2</v>
      </c>
      <c r="I688" s="253">
        <v>0.25</v>
      </c>
      <c r="J688" s="253">
        <v>-0.17499999999999999</v>
      </c>
      <c r="K688" s="253">
        <v>-3.5000000000000003E-2</v>
      </c>
      <c r="L688" s="253">
        <v>-5.5E-2</v>
      </c>
      <c r="M688" s="253">
        <v>-5.5E-2</v>
      </c>
      <c r="N688" s="253">
        <v>0.08</v>
      </c>
      <c r="O688" s="253">
        <v>-0.23</v>
      </c>
      <c r="P688" s="253">
        <v>-7.0000000000000007E-2</v>
      </c>
      <c r="Q688" s="253">
        <v>0.04</v>
      </c>
      <c r="R688" s="253">
        <v>0.14000000000000001</v>
      </c>
      <c r="S688" s="253">
        <v>-0.14000000000000001</v>
      </c>
      <c r="T688" s="253">
        <v>0</v>
      </c>
      <c r="U688" s="253">
        <v>0.22500000000000001</v>
      </c>
      <c r="V688" s="253">
        <v>0.22500000000000001</v>
      </c>
      <c r="W688" s="253">
        <v>-0.31</v>
      </c>
      <c r="X688" s="253">
        <v>-0.27</v>
      </c>
      <c r="Y688" s="253">
        <v>-0.18</v>
      </c>
      <c r="Z688" s="245">
        <f ca="1">[1]ExtEntry!$L86</f>
        <v>-0.18</v>
      </c>
      <c r="AB688" s="307">
        <v>1.1049697862932941</v>
      </c>
      <c r="AC688" s="307">
        <v>1.0698851230824118</v>
      </c>
      <c r="AD688" s="307">
        <v>1.0645679801206958</v>
      </c>
      <c r="AE688" s="307">
        <v>1.0460020927799094</v>
      </c>
      <c r="AF688" s="307">
        <v>1.0589293785310736</v>
      </c>
      <c r="AG688" s="307">
        <v>1.0615532743362832</v>
      </c>
      <c r="AH688" s="307">
        <v>1.0657029140014216</v>
      </c>
      <c r="AI688" s="307">
        <v>1.0866304193319118</v>
      </c>
      <c r="AJ688" s="307">
        <v>1.0804869257950529</v>
      </c>
      <c r="AK688" s="307" t="e">
        <v>#N/A</v>
      </c>
      <c r="AL688" s="307">
        <v>1.1061371841155234</v>
      </c>
      <c r="AM688" s="307">
        <v>1.1029517638588913</v>
      </c>
      <c r="AN688" s="307">
        <v>1.1058982316853121</v>
      </c>
      <c r="AO688" s="307">
        <v>1.1171870215092963</v>
      </c>
      <c r="AP688" s="307">
        <v>1.1171870215092963</v>
      </c>
      <c r="AQ688" s="307">
        <v>1.0991549497847919</v>
      </c>
      <c r="AR688" s="307">
        <v>1.0816957289092834</v>
      </c>
      <c r="AS688" s="307">
        <v>1.0928830242510699</v>
      </c>
      <c r="AT688" s="307">
        <v>1.1192271731190651</v>
      </c>
      <c r="AU688" s="307">
        <v>1.1119172714078376</v>
      </c>
      <c r="AV688" s="307">
        <f ca="1">Calc!AS86</f>
        <v>1.1119172714078376</v>
      </c>
      <c r="AX688" s="88" t="str">
        <f t="shared" ca="1" si="53"/>
        <v>ORA</v>
      </c>
    </row>
    <row r="689" spans="1:50" hidden="1" x14ac:dyDescent="0.3">
      <c r="A689" s="88" t="str">
        <f t="shared" ca="1" si="52"/>
        <v>OXY</v>
      </c>
      <c r="F689" s="253">
        <v>-0.14000000000000001</v>
      </c>
      <c r="G689" s="253">
        <v>-0.42499999999999999</v>
      </c>
      <c r="H689" s="253">
        <v>-0.84</v>
      </c>
      <c r="I689" s="253">
        <v>-0.14000000000000001</v>
      </c>
      <c r="J689" s="253">
        <v>0.13</v>
      </c>
      <c r="K689" s="253">
        <v>-0.12</v>
      </c>
      <c r="L689" s="253">
        <v>0.82499999999999996</v>
      </c>
      <c r="M689" s="253">
        <v>0.82499999999999996</v>
      </c>
      <c r="N689" s="253">
        <v>1.1499999999999999</v>
      </c>
      <c r="O689" s="253">
        <v>-0.3</v>
      </c>
      <c r="P689" s="253">
        <v>-0.28000000000000003</v>
      </c>
      <c r="Q689" s="253">
        <v>-1.45</v>
      </c>
      <c r="R689" s="253">
        <v>0.125</v>
      </c>
      <c r="S689" s="253">
        <v>-0.82499999999999996</v>
      </c>
      <c r="T689" s="253">
        <v>-0.30499999999999999</v>
      </c>
      <c r="U689" s="253">
        <v>0.52</v>
      </c>
      <c r="V689" s="253">
        <v>0.88929999999999998</v>
      </c>
      <c r="W689" s="253">
        <v>0.75</v>
      </c>
      <c r="X689" s="253">
        <v>0.82499999999999996</v>
      </c>
      <c r="Y689" s="253">
        <v>-1.0349999999999999</v>
      </c>
      <c r="Z689" s="245">
        <f ca="1">[1]ExtEntry!$L87</f>
        <v>-1.0349999999999999</v>
      </c>
      <c r="AB689" s="307">
        <v>1.2010406811731316</v>
      </c>
      <c r="AC689" s="307">
        <v>1.2132361725002987</v>
      </c>
      <c r="AD689" s="307">
        <v>1.2373294346978558</v>
      </c>
      <c r="AE689" s="307">
        <v>1.2415647921760391</v>
      </c>
      <c r="AF689" s="307">
        <v>1.2376310017060688</v>
      </c>
      <c r="AG689" s="307">
        <v>1.2412613053043267</v>
      </c>
      <c r="AH689" s="307">
        <v>1.216724571702408</v>
      </c>
      <c r="AI689" s="307">
        <v>1.235065292919612</v>
      </c>
      <c r="AJ689" s="307">
        <v>1.2020860541044776</v>
      </c>
      <c r="AK689" s="307" t="e">
        <v>#N/A</v>
      </c>
      <c r="AL689" s="307">
        <v>1.1977339796642232</v>
      </c>
      <c r="AM689" s="307">
        <v>1.2399552019583842</v>
      </c>
      <c r="AN689" s="307">
        <v>1.2262139786267043</v>
      </c>
      <c r="AO689" s="307">
        <v>1.2448694350916574</v>
      </c>
      <c r="AP689" s="307">
        <v>1.2548847265870522</v>
      </c>
      <c r="AQ689" s="307">
        <v>1.2394596473801838</v>
      </c>
      <c r="AR689" s="307">
        <v>1.2117962674772331</v>
      </c>
      <c r="AS689" s="307">
        <v>1.1670105213935</v>
      </c>
      <c r="AT689" s="307">
        <v>1.1740101140773844</v>
      </c>
      <c r="AU689" s="307">
        <v>1.2031587320718333</v>
      </c>
      <c r="AV689" s="307">
        <f ca="1">Calc!AS87</f>
        <v>1.2031587320718333</v>
      </c>
      <c r="AX689" s="88" t="str">
        <f t="shared" ca="1" si="53"/>
        <v>OXY</v>
      </c>
    </row>
    <row r="690" spans="1:50" hidden="1" x14ac:dyDescent="0.3">
      <c r="A690" s="88" t="str">
        <f t="shared" ca="1" si="52"/>
        <v>PFE</v>
      </c>
      <c r="F690" s="253">
        <v>-0.20499999999999999</v>
      </c>
      <c r="G690" s="253">
        <v>-0.17</v>
      </c>
      <c r="H690" s="253">
        <v>-0.16</v>
      </c>
      <c r="I690" s="253">
        <v>0.28000000000000003</v>
      </c>
      <c r="J690" s="253">
        <v>0.17499999999999999</v>
      </c>
      <c r="K690" s="253">
        <v>0.13500000000000001</v>
      </c>
      <c r="L690" s="253">
        <v>-0.115</v>
      </c>
      <c r="M690" s="253">
        <v>-0.115</v>
      </c>
      <c r="N690" s="253">
        <v>-3.5000000000000003E-2</v>
      </c>
      <c r="O690" s="253">
        <v>0.11</v>
      </c>
      <c r="P690" s="253">
        <v>-5.0000000000000001E-3</v>
      </c>
      <c r="Q690" s="253">
        <v>-0.245</v>
      </c>
      <c r="R690" s="253">
        <v>0.01</v>
      </c>
      <c r="S690" s="253">
        <v>-0.33</v>
      </c>
      <c r="T690" s="253">
        <v>0.33500000000000002</v>
      </c>
      <c r="U690" s="253">
        <v>0.26500000000000001</v>
      </c>
      <c r="V690" s="253">
        <v>-4.4999999999999998E-2</v>
      </c>
      <c r="W690" s="253">
        <v>-0.70499999999999996</v>
      </c>
      <c r="X690" s="253">
        <v>0.37</v>
      </c>
      <c r="Y690" s="253">
        <v>-0.435</v>
      </c>
      <c r="Z690" s="245">
        <f ca="1">[1]ExtEntry!$L88</f>
        <v>-0.435</v>
      </c>
      <c r="AB690" s="307">
        <v>1.1766417940876657</v>
      </c>
      <c r="AC690" s="307">
        <v>1.1850981519507187</v>
      </c>
      <c r="AD690" s="307">
        <v>1.1909673957903426</v>
      </c>
      <c r="AE690" s="307">
        <v>1.1773618931048551</v>
      </c>
      <c r="AF690" s="307">
        <v>1.1690151914117886</v>
      </c>
      <c r="AG690" s="307">
        <v>1.1624225579053376</v>
      </c>
      <c r="AH690" s="307">
        <v>1.1666521123913485</v>
      </c>
      <c r="AI690" s="307">
        <v>1.1646913280776228</v>
      </c>
      <c r="AJ690" s="307">
        <v>1.167050435487138</v>
      </c>
      <c r="AK690" s="307" t="e">
        <v>#N/A</v>
      </c>
      <c r="AL690" s="307">
        <v>1.1657095536255302</v>
      </c>
      <c r="AM690" s="307">
        <v>1.1766417940876657</v>
      </c>
      <c r="AN690" s="307">
        <v>1.1855407407407408</v>
      </c>
      <c r="AO690" s="307">
        <v>1.1817468146321415</v>
      </c>
      <c r="AP690" s="307">
        <v>1.1671158920235436</v>
      </c>
      <c r="AQ690" s="307">
        <v>1.1558552763819094</v>
      </c>
      <c r="AR690" s="307">
        <v>1.1795651282051283</v>
      </c>
      <c r="AS690" s="307">
        <v>1.1461789914291409</v>
      </c>
      <c r="AT690" s="307">
        <v>1.1297406679764244</v>
      </c>
      <c r="AU690" s="307">
        <v>1.1493863681790926</v>
      </c>
      <c r="AV690" s="307">
        <f ca="1">Calc!AS88</f>
        <v>1.1493863681790926</v>
      </c>
      <c r="AX690" s="88" t="str">
        <f t="shared" ca="1" si="53"/>
        <v>PFE</v>
      </c>
    </row>
    <row r="691" spans="1:50" hidden="1" x14ac:dyDescent="0.3">
      <c r="A691" s="88" t="str">
        <f t="shared" ca="1" si="52"/>
        <v>RIG</v>
      </c>
      <c r="F691" s="253">
        <v>-8.5000000000000006E-2</v>
      </c>
      <c r="G691" s="253">
        <v>0.17</v>
      </c>
      <c r="H691" s="253">
        <v>-8.5000000000000006E-2</v>
      </c>
      <c r="I691" s="253">
        <v>0.03</v>
      </c>
      <c r="J691" s="253">
        <v>2.5000000000000001E-2</v>
      </c>
      <c r="K691" s="253">
        <v>1.4999999999999999E-2</v>
      </c>
      <c r="L691" s="253">
        <v>0.115</v>
      </c>
      <c r="M691" s="253">
        <v>0.115</v>
      </c>
      <c r="N691" s="253">
        <v>0.46500000000000002</v>
      </c>
      <c r="O691" s="253">
        <v>5.0000000000000001E-3</v>
      </c>
      <c r="P691" s="253">
        <v>-4.4999999999999998E-2</v>
      </c>
      <c r="Q691" s="253">
        <v>-0.105</v>
      </c>
      <c r="R691" s="253">
        <v>8.5000000000000006E-2</v>
      </c>
      <c r="S691" s="253">
        <v>-5.4800000000000001E-2</v>
      </c>
      <c r="T691" s="253">
        <v>-5.0000000000000001E-3</v>
      </c>
      <c r="U691" s="253">
        <v>2.5000000000000001E-2</v>
      </c>
      <c r="V691" s="253">
        <v>0.06</v>
      </c>
      <c r="W691" s="253">
        <v>0</v>
      </c>
      <c r="X691" s="253">
        <v>0.05</v>
      </c>
      <c r="Y691" s="253">
        <v>-3.5000000000000003E-2</v>
      </c>
      <c r="Z691" s="245">
        <f ca="1">[1]ExtEntry!$L89</f>
        <v>-3.5000000000000003E-2</v>
      </c>
      <c r="AB691" s="307">
        <v>1.244597110754414</v>
      </c>
      <c r="AC691" s="307">
        <v>1.1783951367781156</v>
      </c>
      <c r="AD691" s="307">
        <v>1.2021457364341086</v>
      </c>
      <c r="AE691" s="307">
        <v>1.1892392638036811</v>
      </c>
      <c r="AF691" s="307">
        <v>1.1801887366818873</v>
      </c>
      <c r="AG691" s="307">
        <v>1.1730468986384266</v>
      </c>
      <c r="AH691" s="307">
        <v>1.1319474452554745</v>
      </c>
      <c r="AI691" s="307">
        <v>1.1319474452554745</v>
      </c>
      <c r="AJ691" s="307">
        <v>0.99792020592020603</v>
      </c>
      <c r="AK691" s="307" t="e">
        <v>#N/A</v>
      </c>
      <c r="AL691" s="307">
        <v>1.005686121919585</v>
      </c>
      <c r="AM691" s="307">
        <v>1.0324687083888149</v>
      </c>
      <c r="AN691" s="307">
        <v>1.0000970625798211</v>
      </c>
      <c r="AO691" s="307">
        <v>1.0124577486428352</v>
      </c>
      <c r="AP691" s="307">
        <v>1.0151091142490372</v>
      </c>
      <c r="AQ691" s="307">
        <v>1.0073503184713377</v>
      </c>
      <c r="AR691" s="307">
        <v>0.99844696969696978</v>
      </c>
      <c r="AS691" s="307">
        <v>0.98599750623441407</v>
      </c>
      <c r="AT691" s="307">
        <v>0.95734866828087173</v>
      </c>
      <c r="AU691" s="307">
        <v>0.96553113553113556</v>
      </c>
      <c r="AV691" s="307">
        <f ca="1">Calc!AS89</f>
        <v>0.96553113553113556</v>
      </c>
      <c r="AX691" s="88" t="str">
        <f t="shared" ca="1" si="53"/>
        <v>RIG</v>
      </c>
    </row>
    <row r="692" spans="1:50" x14ac:dyDescent="0.3">
      <c r="A692" s="88" t="str">
        <f t="shared" ca="1" si="52"/>
        <v>RRC</v>
      </c>
      <c r="F692" s="253">
        <v>-0.84</v>
      </c>
      <c r="G692" s="253">
        <v>1.1100000000000001</v>
      </c>
      <c r="H692" s="253">
        <v>-1.47</v>
      </c>
      <c r="I692" s="253">
        <v>0.27</v>
      </c>
      <c r="J692" s="253">
        <v>1.1599999999999999</v>
      </c>
      <c r="K692" s="253">
        <v>-0.34</v>
      </c>
      <c r="L692" s="253">
        <v>-0.54</v>
      </c>
      <c r="M692" s="253">
        <v>-0.54</v>
      </c>
      <c r="N692" s="253">
        <v>1.25</v>
      </c>
      <c r="O692" s="253">
        <v>0.105</v>
      </c>
      <c r="P692" s="253">
        <v>-0.26</v>
      </c>
      <c r="Q692" s="253">
        <v>-0.39</v>
      </c>
      <c r="R692" s="253">
        <v>-0.4</v>
      </c>
      <c r="S692" s="253">
        <v>0.125</v>
      </c>
      <c r="T692" s="253">
        <v>0.05</v>
      </c>
      <c r="U692" s="253">
        <v>-0.26</v>
      </c>
      <c r="V692" s="253">
        <v>0.7</v>
      </c>
      <c r="W692" s="253">
        <v>0.21</v>
      </c>
      <c r="X692" s="253">
        <v>0.88</v>
      </c>
      <c r="Y692" s="253">
        <v>4.4999999999999998E-2</v>
      </c>
      <c r="Z692" s="245">
        <f ca="1">[1]ExtEntry!$L90</f>
        <v>4.4999999999999998E-2</v>
      </c>
      <c r="AB692" s="307">
        <v>1.1797675062275117</v>
      </c>
      <c r="AC692" s="307">
        <v>1.1446025778732545</v>
      </c>
      <c r="AD692" s="307">
        <v>1.1943121322499299</v>
      </c>
      <c r="AE692" s="307">
        <v>1.1850152905198776</v>
      </c>
      <c r="AF692" s="307">
        <v>1.1479935362240774</v>
      </c>
      <c r="AG692" s="307">
        <v>1.1589178901576944</v>
      </c>
      <c r="AH692" s="307">
        <v>1.1758620689655173</v>
      </c>
      <c r="AI692" s="307">
        <v>1.1655172413793105</v>
      </c>
      <c r="AJ692" s="307">
        <v>1.1266666666666667</v>
      </c>
      <c r="AK692" s="307" t="e">
        <v>#N/A</v>
      </c>
      <c r="AL692" s="307">
        <v>1.1409261241970021</v>
      </c>
      <c r="AM692" s="307">
        <v>1.1529618609683527</v>
      </c>
      <c r="AN692" s="307">
        <v>1.1985278982364844</v>
      </c>
      <c r="AO692" s="307">
        <v>1.1179759751653393</v>
      </c>
      <c r="AP692" s="307">
        <v>1.11692071197411</v>
      </c>
      <c r="AQ692" s="307">
        <v>1.1251132844335776</v>
      </c>
      <c r="AR692" s="307">
        <v>1.1064766230296552</v>
      </c>
      <c r="AS692" s="307">
        <v>1.0833225215799112</v>
      </c>
      <c r="AT692" s="307">
        <v>1.0611176018447348</v>
      </c>
      <c r="AU692" s="307">
        <v>1.0598955854126677</v>
      </c>
      <c r="AV692" s="307">
        <f ca="1">Calc!AS90</f>
        <v>1.0598955854126677</v>
      </c>
      <c r="AX692" s="88" t="str">
        <f t="shared" ca="1" si="53"/>
        <v>RRC</v>
      </c>
    </row>
    <row r="693" spans="1:50" x14ac:dyDescent="0.3">
      <c r="A693" s="88" t="str">
        <f t="shared" ca="1" si="52"/>
        <v>XYZ</v>
      </c>
      <c r="F693" s="245">
        <v>1.1599999999999999</v>
      </c>
      <c r="G693" s="245">
        <v>-0.21</v>
      </c>
      <c r="H693" s="245">
        <v>-1.58</v>
      </c>
      <c r="I693" s="245">
        <v>0.66</v>
      </c>
      <c r="J693" s="245">
        <v>1.3</v>
      </c>
      <c r="K693" s="245">
        <v>1.21</v>
      </c>
      <c r="L693" s="245">
        <v>-1.8</v>
      </c>
      <c r="M693" s="245">
        <v>-1.8</v>
      </c>
      <c r="N693" s="245">
        <v>2.63</v>
      </c>
      <c r="O693" s="245">
        <v>0.98</v>
      </c>
      <c r="P693" s="245">
        <v>0.63</v>
      </c>
      <c r="Q693" s="245">
        <v>0.04</v>
      </c>
      <c r="R693" s="245">
        <v>-2.6</v>
      </c>
      <c r="S693" s="245">
        <v>-1.64</v>
      </c>
      <c r="T693" s="245">
        <v>1.07</v>
      </c>
      <c r="U693" s="245">
        <v>-2.41</v>
      </c>
      <c r="V693" s="245">
        <v>-5.41</v>
      </c>
      <c r="W693" s="245">
        <v>-1.835</v>
      </c>
      <c r="X693" s="245">
        <v>-1.25</v>
      </c>
      <c r="Y693" s="245">
        <v>-0.14499999999999999</v>
      </c>
      <c r="Z693" s="245">
        <f ca="1">[1]ExtEntry!$L91</f>
        <v>-0.14499999999999999</v>
      </c>
      <c r="AB693" s="307">
        <v>1.1242378577054344</v>
      </c>
      <c r="AC693" s="307">
        <v>1.1273455311307095</v>
      </c>
      <c r="AD693" s="307">
        <v>1.1488187793427231</v>
      </c>
      <c r="AE693" s="307">
        <v>1.1388888297872339</v>
      </c>
      <c r="AF693" s="307">
        <v>1.1195351633986927</v>
      </c>
      <c r="AG693" s="307">
        <v>1.1021032042208212</v>
      </c>
      <c r="AH693" s="307">
        <v>1.1279394178848938</v>
      </c>
      <c r="AI693" s="307">
        <v>1.159035427367312</v>
      </c>
      <c r="AJ693" s="307">
        <v>1.1203763208147677</v>
      </c>
      <c r="AK693" s="307" t="e">
        <v>#N/A</v>
      </c>
      <c r="AL693" s="307">
        <v>1.0682853935387302</v>
      </c>
      <c r="AM693" s="307">
        <v>1.0680189549819181</v>
      </c>
      <c r="AN693" s="307">
        <v>1.1974734136111489</v>
      </c>
      <c r="AO693" s="307">
        <v>1.2180740434902286</v>
      </c>
      <c r="AP693" s="307">
        <v>1.2017007467752885</v>
      </c>
      <c r="AQ693" s="307">
        <v>1.242353453116227</v>
      </c>
      <c r="AR693" s="307">
        <v>1.3508128815628817</v>
      </c>
      <c r="AS693" s="307">
        <v>1.4637436533531796</v>
      </c>
      <c r="AT693" s="307">
        <v>1.5354833448993754</v>
      </c>
      <c r="AU693" s="307">
        <v>1.5393557700669624</v>
      </c>
      <c r="AV693" s="307">
        <f ca="1">Calc!AS91</f>
        <v>1.5393557700669624</v>
      </c>
      <c r="AX693" s="88" t="str">
        <f t="shared" ca="1" si="53"/>
        <v>XYZ</v>
      </c>
    </row>
    <row r="694" spans="1:50" x14ac:dyDescent="0.3">
      <c r="A694" s="88" t="str">
        <f t="shared" ca="1" si="52"/>
        <v>THC</v>
      </c>
      <c r="F694" s="253">
        <v>6.45</v>
      </c>
      <c r="G694" s="253">
        <v>1.67</v>
      </c>
      <c r="H694" s="253">
        <v>-0.1</v>
      </c>
      <c r="I694" s="253">
        <v>0.87</v>
      </c>
      <c r="J694" s="253">
        <v>2.0550000000000002</v>
      </c>
      <c r="K694" s="253">
        <v>0.25</v>
      </c>
      <c r="L694" s="253">
        <v>2.77</v>
      </c>
      <c r="M694" s="253">
        <v>2.77</v>
      </c>
      <c r="N694" s="253">
        <v>1.79</v>
      </c>
      <c r="O694" s="253">
        <v>3.47</v>
      </c>
      <c r="P694" s="253">
        <v>5.79</v>
      </c>
      <c r="Q694" s="253">
        <v>-11.55</v>
      </c>
      <c r="R694" s="253">
        <v>-0.51</v>
      </c>
      <c r="S694" s="253">
        <v>6.7949999999999999</v>
      </c>
      <c r="T694" s="253">
        <v>0.89</v>
      </c>
      <c r="U694" s="253">
        <v>-2.79</v>
      </c>
      <c r="V694" s="253">
        <v>0.65500000000000003</v>
      </c>
      <c r="W694" s="253">
        <v>-3.75</v>
      </c>
      <c r="X694" s="253">
        <v>0.6</v>
      </c>
      <c r="Y694" s="253">
        <v>0.57999999999999996</v>
      </c>
      <c r="Z694" s="245">
        <f ca="1">[1]ExtEntry!$L92</f>
        <v>0.57999999999999996</v>
      </c>
      <c r="AB694" s="307">
        <v>1.0253499618223467</v>
      </c>
      <c r="AC694" s="307">
        <v>1.0173232323232324</v>
      </c>
      <c r="AD694" s="307">
        <v>1.0115502435594839</v>
      </c>
      <c r="AE694" s="307">
        <v>1.00715</v>
      </c>
      <c r="AF694" s="307">
        <v>0.99690678280666156</v>
      </c>
      <c r="AG694" s="307">
        <v>0.99540423008499701</v>
      </c>
      <c r="AH694" s="307">
        <v>0.98201053042121689</v>
      </c>
      <c r="AI694" s="307">
        <v>0.99895061427457099</v>
      </c>
      <c r="AJ694" s="307">
        <v>0.99030858827509549</v>
      </c>
      <c r="AK694" s="307" t="e">
        <v>#N/A</v>
      </c>
      <c r="AL694" s="307">
        <v>0.91374288754221222</v>
      </c>
      <c r="AM694" s="307">
        <v>0.96532010556152859</v>
      </c>
      <c r="AN694" s="307">
        <v>1.0948980012462255</v>
      </c>
      <c r="AO694" s="307">
        <v>1.1029567452025841</v>
      </c>
      <c r="AP694" s="307">
        <v>1.1006569360559868</v>
      </c>
      <c r="AQ694" s="307">
        <v>1.1155762036632171</v>
      </c>
      <c r="AR694" s="307">
        <v>1.1209404671825038</v>
      </c>
      <c r="AS694" s="307">
        <v>1.190291068373853</v>
      </c>
      <c r="AT694" s="307">
        <v>1.1897360103626942</v>
      </c>
      <c r="AU694" s="307">
        <v>1.18617135034611</v>
      </c>
      <c r="AV694" s="307">
        <f ca="1">Calc!AS92</f>
        <v>1.18617135034611</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t="e">
        <v>#N/A</v>
      </c>
      <c r="AL695" s="307">
        <v>0</v>
      </c>
      <c r="AM695" s="307">
        <v>0</v>
      </c>
      <c r="AN695" s="307">
        <v>0</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-9.1999999999999998E-2</v>
      </c>
      <c r="G696" s="245">
        <v>0.14599999999999999</v>
      </c>
      <c r="H696" s="245">
        <v>2E-3</v>
      </c>
      <c r="I696" s="245">
        <v>-0.2</v>
      </c>
      <c r="J696" s="245">
        <v>9.4E-2</v>
      </c>
      <c r="K696" s="245">
        <v>0.216</v>
      </c>
      <c r="L696" s="245">
        <v>-0.112</v>
      </c>
      <c r="M696" s="245">
        <v>-0.112</v>
      </c>
      <c r="N696" s="245">
        <v>0.03</v>
      </c>
      <c r="O696" s="245">
        <v>0.20399999999999999</v>
      </c>
      <c r="P696" s="245">
        <v>4.2000000000000003E-2</v>
      </c>
      <c r="Q696" s="245">
        <v>-1.6E-2</v>
      </c>
      <c r="R696" s="245">
        <v>-4.5999999999999999E-2</v>
      </c>
      <c r="S696" s="245">
        <v>-0.17</v>
      </c>
      <c r="T696" s="245">
        <v>-8.5999999999999993E-2</v>
      </c>
      <c r="U696" s="245">
        <v>-0.11600000000000001</v>
      </c>
      <c r="V696" s="245">
        <v>-2.5999999999999999E-2</v>
      </c>
      <c r="W696" s="245">
        <v>-0.216</v>
      </c>
      <c r="X696" s="245">
        <v>9.6000000000000002E-2</v>
      </c>
      <c r="Y696" s="245">
        <v>6.5000000000000002E-2</v>
      </c>
      <c r="Z696" s="245">
        <f ca="1">[1]ExtEntry!$L94</f>
        <v>6.5000000000000002E-2</v>
      </c>
      <c r="AB696" s="377">
        <v>0</v>
      </c>
      <c r="AC696" s="377">
        <v>0</v>
      </c>
      <c r="AD696" s="377">
        <v>0</v>
      </c>
      <c r="AE696" s="377">
        <v>0</v>
      </c>
      <c r="AF696" s="377">
        <v>0</v>
      </c>
      <c r="AG696" s="377">
        <v>0</v>
      </c>
      <c r="AH696" s="377">
        <v>0</v>
      </c>
      <c r="AI696" s="377">
        <v>0</v>
      </c>
      <c r="AJ696" s="377">
        <v>0</v>
      </c>
      <c r="AK696" s="377" t="e">
        <v>#N/A</v>
      </c>
      <c r="AL696" s="377">
        <v>0</v>
      </c>
      <c r="AM696" s="377">
        <v>0</v>
      </c>
      <c r="AN696" s="377">
        <v>0</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2.6</v>
      </c>
      <c r="G697" s="245">
        <v>26.4</v>
      </c>
      <c r="H697" s="245">
        <v>4.4000000000000004</v>
      </c>
      <c r="I697" s="245">
        <v>-1.7</v>
      </c>
      <c r="J697" s="245">
        <v>23.3</v>
      </c>
      <c r="K697" s="245">
        <v>-9.1999999999999993</v>
      </c>
      <c r="L697" s="1103">
        <v>-19.7</v>
      </c>
      <c r="M697" s="1104">
        <v>-19.7</v>
      </c>
      <c r="N697" s="245">
        <v>17.600000000000001</v>
      </c>
      <c r="O697" s="245">
        <v>6.7</v>
      </c>
      <c r="P697" s="245">
        <v>13.7</v>
      </c>
      <c r="Q697" s="245">
        <v>0.9</v>
      </c>
      <c r="R697" s="1105">
        <v>18.100000000000001</v>
      </c>
      <c r="S697" s="245">
        <v>-8.5</v>
      </c>
      <c r="T697" s="245">
        <v>-11.4</v>
      </c>
      <c r="U697" s="245">
        <v>-11.3</v>
      </c>
      <c r="V697" s="245">
        <v>-24.5</v>
      </c>
      <c r="W697" s="1103">
        <v>-7.4</v>
      </c>
      <c r="X697" s="1106">
        <v>-6.2</v>
      </c>
      <c r="Y697" s="245">
        <v>21</v>
      </c>
      <c r="Z697" s="245">
        <f ca="1">[1]ExtEntry!$L95</f>
        <v>21</v>
      </c>
      <c r="AB697" s="277">
        <v>0.89534609024332623</v>
      </c>
      <c r="AC697" s="277">
        <v>0.86827033218785798</v>
      </c>
      <c r="AD697" s="277">
        <v>0.86391611579667205</v>
      </c>
      <c r="AE697" s="277">
        <v>0.86559323969395907</v>
      </c>
      <c r="AF697" s="277">
        <v>0.84315906562847609</v>
      </c>
      <c r="AG697" s="277">
        <v>0.85187682625309058</v>
      </c>
      <c r="AH697" s="277">
        <v>0.87116423399609233</v>
      </c>
      <c r="AI697" s="277">
        <v>1.0043710607976095</v>
      </c>
      <c r="AJ697" s="277">
        <v>0.98445787991438549</v>
      </c>
      <c r="AK697" s="277" t="e">
        <v>#N/A</v>
      </c>
      <c r="AL697" s="277" t="e">
        <v>#N/A</v>
      </c>
      <c r="AM697" s="277">
        <v>1.0332268018514437</v>
      </c>
      <c r="AN697" s="277">
        <v>1.0046968106666667</v>
      </c>
      <c r="AO697" s="277">
        <v>1.0260384095860566</v>
      </c>
      <c r="AP697" s="277">
        <v>1.0389402823737039</v>
      </c>
      <c r="AQ697" s="277">
        <v>1.0520532335529991</v>
      </c>
      <c r="AR697" s="277">
        <v>1.08165280202113</v>
      </c>
      <c r="AS697" s="277">
        <v>1.0775692254890745</v>
      </c>
      <c r="AT697" s="277">
        <v>1.0960010006981615</v>
      </c>
      <c r="AU697" s="306">
        <v>1.0623767877284007</v>
      </c>
      <c r="AV697" s="307">
        <f ca="1">Calc!AS95</f>
        <v>1.0623767877284007</v>
      </c>
      <c r="AX697" s="88" t="str">
        <f t="shared" ca="1" si="53"/>
        <v>JBASML</v>
      </c>
    </row>
    <row r="698" spans="1:50" x14ac:dyDescent="0.3">
      <c r="A698" s="88" t="str">
        <f t="shared" ca="1" si="52"/>
        <v>JBEOAN</v>
      </c>
      <c r="C698" s="677"/>
      <c r="D698" s="677"/>
      <c r="F698" s="245">
        <v>0.11</v>
      </c>
      <c r="G698" s="245">
        <v>-0.17</v>
      </c>
      <c r="H698" s="245">
        <v>0.05</v>
      </c>
      <c r="I698" s="245">
        <v>0.02</v>
      </c>
      <c r="J698" s="245">
        <v>0.15</v>
      </c>
      <c r="K698" s="245">
        <v>-5.5E-2</v>
      </c>
      <c r="L698" s="245">
        <v>-0.26500000000000001</v>
      </c>
      <c r="M698" s="245">
        <v>-0.26500000000000001</v>
      </c>
      <c r="N698" s="245">
        <v>-0.12</v>
      </c>
      <c r="O698" s="245">
        <v>0.08</v>
      </c>
      <c r="P698" s="245">
        <v>3.5000000000000003E-2</v>
      </c>
      <c r="Q698" s="245">
        <v>0.14499999999999999</v>
      </c>
      <c r="R698" s="245">
        <v>-0.05</v>
      </c>
      <c r="S698" s="245">
        <v>-0.16500000000000001</v>
      </c>
      <c r="T698" s="245">
        <v>0.3</v>
      </c>
      <c r="U698" s="245">
        <v>0.03</v>
      </c>
      <c r="V698" s="245">
        <v>2.5000000000000001E-2</v>
      </c>
      <c r="W698" s="245">
        <v>0.02</v>
      </c>
      <c r="X698" s="245">
        <v>-0.11</v>
      </c>
      <c r="Y698" s="245">
        <v>-0.04</v>
      </c>
      <c r="Z698" s="245">
        <f ca="1">[1]ExtEntry!$L96</f>
        <v>-0.04</v>
      </c>
      <c r="AB698" s="306">
        <v>1.0316579108124617</v>
      </c>
      <c r="AC698" s="306">
        <v>1.042483950617284</v>
      </c>
      <c r="AD698" s="306">
        <v>1.0392763076923077</v>
      </c>
      <c r="AE698" s="306">
        <v>1.0379987707437002</v>
      </c>
      <c r="AF698" s="306">
        <v>1.0285164433617537</v>
      </c>
      <c r="AG698" s="306">
        <v>1.0319731133516652</v>
      </c>
      <c r="AH698" s="306">
        <v>1.04895900621118</v>
      </c>
      <c r="AI698" s="306">
        <v>1.0485931677018632</v>
      </c>
      <c r="AJ698" s="306">
        <v>1.0564674593241552</v>
      </c>
      <c r="AK698" s="306" t="e">
        <v>#N/A</v>
      </c>
      <c r="AL698" s="306">
        <v>1.0492848710779745</v>
      </c>
      <c r="AM698" s="306">
        <v>1.0399162561576356</v>
      </c>
      <c r="AN698" s="306">
        <v>1.0408852660719778</v>
      </c>
      <c r="AO698" s="306">
        <v>1.0742596825396824</v>
      </c>
      <c r="AP698" s="306">
        <v>1.0541800623052959</v>
      </c>
      <c r="AQ698" s="306">
        <v>1.0522133084577114</v>
      </c>
      <c r="AR698" s="306">
        <v>1.0505799441167338</v>
      </c>
      <c r="AS698" s="306">
        <v>1.1098451951459496</v>
      </c>
      <c r="AT698" s="306">
        <v>1.1109382797110965</v>
      </c>
      <c r="AU698" s="306">
        <v>1.1058555555555554</v>
      </c>
      <c r="AV698" s="307">
        <f ca="1">Calc!AS96</f>
        <v>1.1058555555555554</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2681</v>
      </c>
      <c r="E701" s="1258">
        <v>1</v>
      </c>
      <c r="F701" s="1260">
        <f t="shared" ref="F701:Z701" ca="1" si="54">$E701*_xlfn.XLOOKUP(DataShiftChartTicker,$A$704:$A$797,F$704:F$797)</f>
        <v>-1.6722000000000001E-2</v>
      </c>
      <c r="G701" s="1260">
        <f t="shared" ca="1" si="54"/>
        <v>-5.6839999999999998E-3</v>
      </c>
      <c r="H701" s="1260">
        <f t="shared" ca="1" si="54"/>
        <v>-5.1029999999999999E-3</v>
      </c>
      <c r="I701" s="1260">
        <f t="shared" ca="1" si="54"/>
        <v>-6.6679999999999994E-3</v>
      </c>
      <c r="J701" s="1260">
        <f t="shared" ca="1" si="54"/>
        <v>1.6147000000000002E-2</v>
      </c>
      <c r="K701" s="1260">
        <f t="shared" ca="1" si="54"/>
        <v>2.5637E-2</v>
      </c>
      <c r="L701" s="1260">
        <f t="shared" ca="1" si="54"/>
        <v>-1.8376E-2</v>
      </c>
      <c r="M701" s="1260">
        <f t="shared" ca="1" si="54"/>
        <v>-1.8376E-2</v>
      </c>
      <c r="N701" s="1260">
        <f t="shared" ca="1" si="54"/>
        <v>1.4407000000000001E-2</v>
      </c>
      <c r="O701" s="1260">
        <f t="shared" ca="1" si="54"/>
        <v>1.4112E-2</v>
      </c>
      <c r="P701" s="1260">
        <f t="shared" ca="1" si="54"/>
        <v>1.2310000000000001E-2</v>
      </c>
      <c r="Q701" s="1260">
        <f t="shared" ca="1" si="54"/>
        <v>1.0045E-2</v>
      </c>
      <c r="R701" s="1260">
        <f t="shared" ca="1" si="54"/>
        <v>-3.2306000000000001E-2</v>
      </c>
      <c r="S701" s="1260">
        <f t="shared" ca="1" si="54"/>
        <v>-2.0394000000000002E-2</v>
      </c>
      <c r="T701" s="1260">
        <f t="shared" ca="1" si="54"/>
        <v>3.5299999999999997E-3</v>
      </c>
      <c r="U701" s="1260">
        <f t="shared" ca="1" si="54"/>
        <v>-2.5554E-2</v>
      </c>
      <c r="V701" s="1260">
        <f t="shared" ca="1" si="54"/>
        <v>6.2539999999999991E-3</v>
      </c>
      <c r="W701" s="1260">
        <f t="shared" ca="1" si="54"/>
        <v>-1.2163999999999999E-2</v>
      </c>
      <c r="X701" s="1260">
        <f t="shared" ca="1" si="54"/>
        <v>-4.4317000000000002E-2</v>
      </c>
      <c r="Y701" s="1260">
        <f t="shared" ca="1" si="54"/>
        <v>-6.1470000000000006E-3</v>
      </c>
      <c r="Z701" s="1260">
        <f t="shared" ca="1" si="54"/>
        <v>-6.1470000000000006E-3</v>
      </c>
      <c r="AX701" s="88"/>
    </row>
    <row r="702" spans="1:50" x14ac:dyDescent="0.3">
      <c r="A702" s="88"/>
      <c r="C702" s="677"/>
      <c r="D702" s="677"/>
      <c r="F702" s="117">
        <f t="shared" ref="F702:Z702" ca="1" si="55">F603</f>
        <v>45952</v>
      </c>
      <c r="G702" s="117">
        <f t="shared" ca="1" si="55"/>
        <v>45953</v>
      </c>
      <c r="H702" s="117">
        <f t="shared" ca="1" si="55"/>
        <v>45954</v>
      </c>
      <c r="I702" s="117">
        <f t="shared" ca="1" si="55"/>
        <v>45957</v>
      </c>
      <c r="J702" s="117">
        <f t="shared" ca="1" si="55"/>
        <v>45958</v>
      </c>
      <c r="K702" s="117">
        <f t="shared" ca="1" si="55"/>
        <v>45959</v>
      </c>
      <c r="L702" s="117">
        <f t="shared" ca="1" si="55"/>
        <v>45960</v>
      </c>
      <c r="M702" s="117">
        <f t="shared" ca="1" si="55"/>
        <v>45961</v>
      </c>
      <c r="N702" s="117">
        <f t="shared" ca="1" si="55"/>
        <v>45964</v>
      </c>
      <c r="O702" s="117">
        <f t="shared" ca="1" si="55"/>
        <v>45965</v>
      </c>
      <c r="P702" s="117">
        <f t="shared" ca="1" si="55"/>
        <v>45966</v>
      </c>
      <c r="Q702" s="117">
        <f t="shared" ca="1" si="55"/>
        <v>45967</v>
      </c>
      <c r="R702" s="117">
        <f t="shared" ca="1" si="55"/>
        <v>45968</v>
      </c>
      <c r="S702" s="117">
        <f t="shared" ca="1" si="55"/>
        <v>45971</v>
      </c>
      <c r="T702" s="117">
        <f t="shared" ca="1" si="55"/>
        <v>45972</v>
      </c>
      <c r="U702" s="117">
        <f t="shared" ca="1" si="55"/>
        <v>45973</v>
      </c>
      <c r="V702" s="117">
        <f t="shared" ca="1" si="55"/>
        <v>45974</v>
      </c>
      <c r="W702" s="117">
        <f t="shared" ca="1" si="55"/>
        <v>45975</v>
      </c>
      <c r="X702" s="117">
        <f t="shared" ca="1" si="55"/>
        <v>45978</v>
      </c>
      <c r="Y702" s="117">
        <f t="shared" ca="1" si="55"/>
        <v>45979</v>
      </c>
      <c r="Z702" s="117">
        <f t="shared" ca="1" si="55"/>
        <v>45980</v>
      </c>
      <c r="AB702" s="117">
        <f t="shared" ref="AB702:AV702" ca="1" si="56">F603</f>
        <v>45952</v>
      </c>
      <c r="AC702" s="117">
        <f t="shared" ca="1" si="56"/>
        <v>45953</v>
      </c>
      <c r="AD702" s="117">
        <f t="shared" ca="1" si="56"/>
        <v>45954</v>
      </c>
      <c r="AE702" s="117">
        <f t="shared" ca="1" si="56"/>
        <v>45957</v>
      </c>
      <c r="AF702" s="117">
        <f t="shared" ca="1" si="56"/>
        <v>45958</v>
      </c>
      <c r="AG702" s="117">
        <f t="shared" ca="1" si="56"/>
        <v>45959</v>
      </c>
      <c r="AH702" s="117">
        <f t="shared" ca="1" si="56"/>
        <v>45960</v>
      </c>
      <c r="AI702" s="117">
        <f t="shared" ca="1" si="56"/>
        <v>45961</v>
      </c>
      <c r="AJ702" s="117">
        <f t="shared" ca="1" si="56"/>
        <v>45964</v>
      </c>
      <c r="AK702" s="117">
        <f t="shared" ca="1" si="56"/>
        <v>45965</v>
      </c>
      <c r="AL702" s="117">
        <f t="shared" ca="1" si="56"/>
        <v>45966</v>
      </c>
      <c r="AM702" s="117">
        <f t="shared" ca="1" si="56"/>
        <v>45967</v>
      </c>
      <c r="AN702" s="117">
        <f t="shared" ca="1" si="56"/>
        <v>45968</v>
      </c>
      <c r="AO702" s="117">
        <f t="shared" ca="1" si="56"/>
        <v>45971</v>
      </c>
      <c r="AP702" s="117">
        <f t="shared" ca="1" si="56"/>
        <v>45972</v>
      </c>
      <c r="AQ702" s="117">
        <f t="shared" ca="1" si="56"/>
        <v>45973</v>
      </c>
      <c r="AR702" s="117">
        <f t="shared" ca="1" si="56"/>
        <v>45974</v>
      </c>
      <c r="AS702" s="117">
        <f t="shared" ca="1" si="56"/>
        <v>45975</v>
      </c>
      <c r="AT702" s="117">
        <f t="shared" ca="1" si="56"/>
        <v>45978</v>
      </c>
      <c r="AU702" s="117">
        <f t="shared" ca="1" si="56"/>
        <v>45979</v>
      </c>
      <c r="AV702" s="117">
        <f t="shared" ca="1" si="56"/>
        <v>45980</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4.4420000000000001E-4</v>
      </c>
      <c r="G704" s="246">
        <v>6.5790000000000006E-3</v>
      </c>
      <c r="H704" s="246">
        <v>-7.5799999999999999E-3</v>
      </c>
      <c r="I704" s="246">
        <v>1.9560000000000001E-2</v>
      </c>
      <c r="J704" s="246">
        <v>3.9439000000000002E-2</v>
      </c>
      <c r="K704" s="246">
        <v>2.0210000000000002E-3</v>
      </c>
      <c r="L704" s="246">
        <v>-1.644E-2</v>
      </c>
      <c r="M704" s="246">
        <v>-1.644E-2</v>
      </c>
      <c r="N704" s="246">
        <v>4.372E-3</v>
      </c>
      <c r="O704" s="246">
        <v>1.2482E-2</v>
      </c>
      <c r="P704" s="246">
        <v>2.2791000000000002E-2</v>
      </c>
      <c r="Q704" s="246">
        <v>7.0680000000000005E-4</v>
      </c>
      <c r="R704" s="246">
        <v>6.3029999999999996E-3</v>
      </c>
      <c r="S704" s="246">
        <v>3.6420000000000003E-3</v>
      </c>
      <c r="T704" s="246">
        <v>3.703E-4</v>
      </c>
      <c r="U704" s="246">
        <v>1.333E-3</v>
      </c>
      <c r="V704" s="246">
        <v>-6.5719999999999997E-3</v>
      </c>
      <c r="W704" s="246">
        <v>-1.9780000000000002E-3</v>
      </c>
      <c r="X704" s="246">
        <v>-7.4779999999999999E-5</v>
      </c>
      <c r="Y704" s="246">
        <v>9.6839999999999999E-3</v>
      </c>
      <c r="Z704" s="246">
        <f ca="1">[1]ExtEntry!$M3</f>
        <v>9.6839999999999999E-3</v>
      </c>
      <c r="AB704" s="251">
        <v>15</v>
      </c>
      <c r="AC704" s="251">
        <v>15</v>
      </c>
      <c r="AD704" s="251">
        <v>18</v>
      </c>
      <c r="AE704" s="286">
        <v>15</v>
      </c>
      <c r="AF704" s="286">
        <v>1</v>
      </c>
      <c r="AG704" s="286">
        <v>1</v>
      </c>
      <c r="AH704" s="286">
        <v>3</v>
      </c>
      <c r="AI704" s="286">
        <v>3</v>
      </c>
      <c r="AJ704" s="286">
        <v>3</v>
      </c>
      <c r="AK704" s="286">
        <v>1</v>
      </c>
      <c r="AL704" s="286">
        <v>1</v>
      </c>
      <c r="AM704" s="275">
        <v>1</v>
      </c>
      <c r="AN704" s="275">
        <v>1</v>
      </c>
      <c r="AO704" s="275">
        <v>2</v>
      </c>
      <c r="AP704" s="275">
        <v>2</v>
      </c>
      <c r="AQ704" s="275">
        <v>2</v>
      </c>
      <c r="AR704" s="275">
        <v>7</v>
      </c>
      <c r="AS704" s="275">
        <v>1</v>
      </c>
      <c r="AT704" s="275">
        <v>9</v>
      </c>
      <c r="AU704" s="275">
        <v>5</v>
      </c>
      <c r="AV704" s="275">
        <f t="shared" ref="AV704:AV709" si="57">_xlfn.RANK.EQ(Y205,F205:Y205)</f>
        <v>5</v>
      </c>
      <c r="AX704" s="88" t="str">
        <f t="shared" ref="AX704:AX722" ca="1" si="58">A704</f>
        <v>AAPL</v>
      </c>
    </row>
    <row r="705" spans="1:50" x14ac:dyDescent="0.3">
      <c r="A705" s="88" t="str">
        <f t="shared" ref="A705:A768" ca="1" si="59">A6</f>
        <v>ADEA</v>
      </c>
      <c r="C705" s="677"/>
      <c r="D705" s="677"/>
      <c r="F705" s="254">
        <v>5.2698000000000002E-2</v>
      </c>
      <c r="G705" s="254">
        <v>3.6187999999999998E-2</v>
      </c>
      <c r="H705" s="254">
        <v>-3.8217000000000001E-2</v>
      </c>
      <c r="I705" s="254">
        <v>-3.0100000000000001E-3</v>
      </c>
      <c r="J705" s="254">
        <v>1.3889E-2</v>
      </c>
      <c r="K705" s="254">
        <v>1.3103E-2</v>
      </c>
      <c r="L705" s="254">
        <v>-1.1169999999999999E-2</v>
      </c>
      <c r="M705" s="254">
        <v>-1.1169999999999999E-2</v>
      </c>
      <c r="N705" s="254">
        <v>-2.9729999999999999E-3</v>
      </c>
      <c r="O705" s="254">
        <v>1.9678000000000001E-2</v>
      </c>
      <c r="P705" s="254">
        <v>3.1579000000000003E-2</v>
      </c>
      <c r="Q705" s="254">
        <v>5.1019999999999998E-3</v>
      </c>
      <c r="R705" s="254">
        <v>-2.7273000000000002E-2</v>
      </c>
      <c r="S705" s="254">
        <v>-0.11013999999999999</v>
      </c>
      <c r="T705" s="254">
        <v>8.0784000000000009E-2</v>
      </c>
      <c r="U705" s="254">
        <v>1.1248000000000001E-2</v>
      </c>
      <c r="V705" s="254">
        <v>3.2140000000000003E-3</v>
      </c>
      <c r="W705" s="254">
        <v>-2.1309000000000002E-2</v>
      </c>
      <c r="X705" s="254">
        <v>-4.8349999999999999E-3</v>
      </c>
      <c r="Y705" s="254">
        <v>-7.2870000000000001E-3</v>
      </c>
      <c r="Z705" s="246">
        <f ca="1">[1]ExtEntry!$M4</f>
        <v>-7.2870000000000001E-3</v>
      </c>
      <c r="AB705" s="251">
        <v>14</v>
      </c>
      <c r="AC705" s="251">
        <v>3</v>
      </c>
      <c r="AD705" s="251">
        <v>15</v>
      </c>
      <c r="AE705" s="286">
        <v>16</v>
      </c>
      <c r="AF705" s="286">
        <v>10</v>
      </c>
      <c r="AG705" s="286">
        <v>6</v>
      </c>
      <c r="AH705" s="286">
        <v>9</v>
      </c>
      <c r="AI705" s="286">
        <v>8</v>
      </c>
      <c r="AJ705" s="286">
        <v>12</v>
      </c>
      <c r="AK705" s="286">
        <v>4</v>
      </c>
      <c r="AL705" s="286">
        <v>1</v>
      </c>
      <c r="AM705" s="275">
        <v>1</v>
      </c>
      <c r="AN705" s="275">
        <v>6</v>
      </c>
      <c r="AO705" s="275">
        <v>20</v>
      </c>
      <c r="AP705" s="275">
        <v>19</v>
      </c>
      <c r="AQ705" s="275">
        <v>18</v>
      </c>
      <c r="AR705" s="275">
        <v>17</v>
      </c>
      <c r="AS705" s="275">
        <v>19</v>
      </c>
      <c r="AT705" s="275">
        <v>20</v>
      </c>
      <c r="AU705" s="275">
        <v>20</v>
      </c>
      <c r="AV705" s="275">
        <f t="shared" si="57"/>
        <v>20</v>
      </c>
      <c r="AX705" s="88" t="str">
        <f t="shared" ca="1" si="58"/>
        <v>ADEA</v>
      </c>
    </row>
    <row r="706" spans="1:50" x14ac:dyDescent="0.3">
      <c r="A706" s="88" t="str">
        <f t="shared" ca="1" si="59"/>
        <v>AET</v>
      </c>
      <c r="C706" s="677"/>
      <c r="D706" s="677"/>
      <c r="F706" s="246">
        <v>-9.2379999999999997E-3</v>
      </c>
      <c r="G706" s="246">
        <v>-1.8648000000000001E-2</v>
      </c>
      <c r="H706" s="246">
        <v>-2.6127999999999998E-2</v>
      </c>
      <c r="I706" s="246">
        <v>2.4390000000000002E-2</v>
      </c>
      <c r="J706" s="246">
        <v>7.143E-3</v>
      </c>
      <c r="K706" s="246">
        <v>1.6548E-2</v>
      </c>
      <c r="L706" s="246">
        <v>9.3019999999999995E-3</v>
      </c>
      <c r="M706" s="246">
        <v>9.3019999999999995E-3</v>
      </c>
      <c r="N706" s="246">
        <v>2.3040999999999999E-2</v>
      </c>
      <c r="O706" s="246">
        <v>3.1531999999999998E-2</v>
      </c>
      <c r="P706" s="246">
        <v>-2.1833999999999999E-2</v>
      </c>
      <c r="Q706" s="246">
        <v>-2.2321000000000001E-2</v>
      </c>
      <c r="R706" s="246">
        <v>1.5800999999999999E-2</v>
      </c>
      <c r="S706" s="246">
        <v>-6.25E-2</v>
      </c>
      <c r="T706" s="246">
        <v>2.2221999999999999E-2</v>
      </c>
      <c r="U706" s="246">
        <v>-3.4783000000000001E-2</v>
      </c>
      <c r="V706" s="246">
        <v>6.757E-3</v>
      </c>
      <c r="W706" s="246">
        <v>-2.1644999999999998E-2</v>
      </c>
      <c r="X706" s="246">
        <v>0</v>
      </c>
      <c r="Y706" s="246">
        <v>0</v>
      </c>
      <c r="Z706" s="246">
        <f ca="1">[1]ExtEntry!$M5</f>
        <v>0</v>
      </c>
      <c r="AB706" s="251">
        <v>20</v>
      </c>
      <c r="AC706" s="251">
        <v>20</v>
      </c>
      <c r="AD706" s="251">
        <v>20</v>
      </c>
      <c r="AE706" s="286">
        <v>19</v>
      </c>
      <c r="AF706" s="286">
        <v>17</v>
      </c>
      <c r="AG706" s="286">
        <v>15</v>
      </c>
      <c r="AH706" s="286">
        <v>13</v>
      </c>
      <c r="AI706" s="286">
        <v>12</v>
      </c>
      <c r="AJ706" s="286">
        <v>11</v>
      </c>
      <c r="AK706" s="286">
        <v>8</v>
      </c>
      <c r="AL706" s="286">
        <v>10</v>
      </c>
      <c r="AM706" s="275">
        <v>11</v>
      </c>
      <c r="AN706" s="275">
        <v>8</v>
      </c>
      <c r="AO706" s="275">
        <v>7</v>
      </c>
      <c r="AP706" s="275">
        <v>3</v>
      </c>
      <c r="AQ706" s="275">
        <v>9</v>
      </c>
      <c r="AR706" s="275">
        <v>8</v>
      </c>
      <c r="AS706" s="275">
        <v>3</v>
      </c>
      <c r="AT706" s="275">
        <v>4</v>
      </c>
      <c r="AU706" s="275">
        <v>4</v>
      </c>
      <c r="AV706" s="275">
        <f t="shared" si="57"/>
        <v>4</v>
      </c>
      <c r="AX706" s="88" t="str">
        <f t="shared" ca="1" si="58"/>
        <v>AET</v>
      </c>
    </row>
    <row r="707" spans="1:50" x14ac:dyDescent="0.3">
      <c r="A707" s="88" t="str">
        <f t="shared" ca="1" si="59"/>
        <v>AMZN</v>
      </c>
      <c r="C707" s="677"/>
      <c r="D707" s="677"/>
      <c r="F707" s="254">
        <v>-1.6722000000000001E-2</v>
      </c>
      <c r="G707" s="254">
        <v>-5.6839999999999998E-3</v>
      </c>
      <c r="H707" s="254">
        <v>-5.1029999999999999E-3</v>
      </c>
      <c r="I707" s="254">
        <v>-6.6679999999999994E-3</v>
      </c>
      <c r="J707" s="254">
        <v>1.6147000000000002E-2</v>
      </c>
      <c r="K707" s="254">
        <v>2.5637E-2</v>
      </c>
      <c r="L707" s="254">
        <v>-1.8376E-2</v>
      </c>
      <c r="M707" s="254">
        <v>-1.8376E-2</v>
      </c>
      <c r="N707" s="254">
        <v>1.4407000000000001E-2</v>
      </c>
      <c r="O707" s="254">
        <v>1.4112E-2</v>
      </c>
      <c r="P707" s="254">
        <v>1.2310000000000001E-2</v>
      </c>
      <c r="Q707" s="254">
        <v>1.0045E-2</v>
      </c>
      <c r="R707" s="254">
        <v>-3.2306000000000001E-2</v>
      </c>
      <c r="S707" s="254">
        <v>-2.0394000000000002E-2</v>
      </c>
      <c r="T707" s="254">
        <v>3.5299999999999997E-3</v>
      </c>
      <c r="U707" s="254">
        <v>-2.5554E-2</v>
      </c>
      <c r="V707" s="254">
        <v>6.2539999999999991E-3</v>
      </c>
      <c r="W707" s="254">
        <v>-1.2163999999999999E-2</v>
      </c>
      <c r="X707" s="254">
        <v>-4.4317000000000002E-2</v>
      </c>
      <c r="Y707" s="254">
        <v>-6.1470000000000006E-3</v>
      </c>
      <c r="Z707" s="246">
        <f ca="1">[1]ExtEntry!$M6</f>
        <v>-6.1470000000000006E-3</v>
      </c>
      <c r="AB707" s="251">
        <v>20</v>
      </c>
      <c r="AC707" s="251">
        <v>20</v>
      </c>
      <c r="AD707" s="251">
        <v>20</v>
      </c>
      <c r="AE707" s="286">
        <v>20</v>
      </c>
      <c r="AF707" s="286">
        <v>16</v>
      </c>
      <c r="AG707" s="286">
        <v>5</v>
      </c>
      <c r="AH707" s="286">
        <v>15</v>
      </c>
      <c r="AI707" s="286">
        <v>14</v>
      </c>
      <c r="AJ707" s="286">
        <v>7</v>
      </c>
      <c r="AK707" s="286">
        <v>4</v>
      </c>
      <c r="AL707" s="286">
        <v>3</v>
      </c>
      <c r="AM707" s="275">
        <v>1</v>
      </c>
      <c r="AN707" s="275">
        <v>7</v>
      </c>
      <c r="AO707" s="275">
        <v>1</v>
      </c>
      <c r="AP707" s="275">
        <v>1</v>
      </c>
      <c r="AQ707" s="275">
        <v>3</v>
      </c>
      <c r="AR707" s="275">
        <v>3</v>
      </c>
      <c r="AS707" s="275">
        <v>5</v>
      </c>
      <c r="AT707" s="275">
        <v>10</v>
      </c>
      <c r="AU707" s="275">
        <v>12</v>
      </c>
      <c r="AV707" s="275">
        <f t="shared" si="57"/>
        <v>12</v>
      </c>
      <c r="AX707" s="88" t="str">
        <f t="shared" ca="1" si="58"/>
        <v>AMZN</v>
      </c>
    </row>
    <row r="708" spans="1:50" ht="30" customHeight="1" x14ac:dyDescent="0.3">
      <c r="A708" s="88" t="str">
        <f t="shared" ca="1" si="59"/>
        <v>ALDNE</v>
      </c>
      <c r="C708" s="677"/>
      <c r="D708" s="677"/>
      <c r="F708" s="246">
        <v>2.3869999999999998E-3</v>
      </c>
      <c r="G708" s="246">
        <v>-2.3809999999999999E-3</v>
      </c>
      <c r="H708" s="246">
        <v>-9.5469999999999999E-3</v>
      </c>
      <c r="I708" s="246">
        <v>0</v>
      </c>
      <c r="J708" s="246">
        <v>-1.2048000000000001E-2</v>
      </c>
      <c r="K708" s="246">
        <v>1.2195000000000001E-2</v>
      </c>
      <c r="L708" s="246">
        <v>1.2048000000000001E-2</v>
      </c>
      <c r="M708" s="246">
        <v>1.2048000000000001E-2</v>
      </c>
      <c r="N708" s="246">
        <v>-2.3809999999999999E-3</v>
      </c>
      <c r="O708" s="246">
        <v>-1.4319999999999999E-2</v>
      </c>
      <c r="P708" s="246">
        <v>-9.6850000000000009E-3</v>
      </c>
      <c r="Q708" s="246">
        <v>2.4450000000000001E-3</v>
      </c>
      <c r="R708" s="246">
        <v>3.0533999999999999E-2</v>
      </c>
      <c r="S708" s="246">
        <v>-2.532E-3</v>
      </c>
      <c r="T708" s="246">
        <v>2.5380000000000003E-3</v>
      </c>
      <c r="U708" s="246">
        <v>-1.0126999999999999E-2</v>
      </c>
      <c r="V708" s="246">
        <v>-2.5580000000000004E-3</v>
      </c>
      <c r="W708" s="246">
        <v>-7.4999999999999997E-2</v>
      </c>
      <c r="X708" s="246">
        <v>-1.4705999999999999E-2</v>
      </c>
      <c r="Y708" s="246">
        <v>1.1765000000000001E-2</v>
      </c>
      <c r="Z708" s="246">
        <f ca="1">[1]ExtEntry!$M7</f>
        <v>1.1765000000000001E-2</v>
      </c>
      <c r="AB708" s="251">
        <v>11</v>
      </c>
      <c r="AC708" s="251">
        <v>12</v>
      </c>
      <c r="AD708" s="251">
        <v>13</v>
      </c>
      <c r="AE708" s="286">
        <v>12</v>
      </c>
      <c r="AF708" s="286">
        <v>16</v>
      </c>
      <c r="AG708" s="286">
        <v>10</v>
      </c>
      <c r="AH708" s="286">
        <v>6</v>
      </c>
      <c r="AI708" s="286">
        <v>6</v>
      </c>
      <c r="AJ708" s="286">
        <v>10</v>
      </c>
      <c r="AK708" s="286">
        <v>16</v>
      </c>
      <c r="AL708" s="286">
        <v>20</v>
      </c>
      <c r="AM708" s="275">
        <v>18</v>
      </c>
      <c r="AN708" s="275">
        <v>20</v>
      </c>
      <c r="AO708" s="275">
        <v>20</v>
      </c>
      <c r="AP708" s="275">
        <v>19</v>
      </c>
      <c r="AQ708" s="275">
        <v>20</v>
      </c>
      <c r="AR708" s="275">
        <v>20</v>
      </c>
      <c r="AS708" s="275">
        <v>20</v>
      </c>
      <c r="AT708" s="275">
        <v>19</v>
      </c>
      <c r="AU708" s="275">
        <v>18</v>
      </c>
      <c r="AV708" s="275">
        <f t="shared" si="57"/>
        <v>18</v>
      </c>
      <c r="AX708" s="88" t="str">
        <f t="shared" ca="1" si="58"/>
        <v>ALDNE</v>
      </c>
    </row>
    <row r="709" spans="1:50" x14ac:dyDescent="0.3">
      <c r="A709" s="88" t="str">
        <f t="shared" ca="1" si="59"/>
        <v>ASML</v>
      </c>
      <c r="C709" s="677"/>
      <c r="D709" s="677"/>
      <c r="F709" s="254">
        <v>3.081E-3</v>
      </c>
      <c r="G709" s="254">
        <v>3.1184E-2</v>
      </c>
      <c r="H709" s="254">
        <v>5.0400000000000002E-3</v>
      </c>
      <c r="I709" s="254">
        <v>-1.9380000000000001E-3</v>
      </c>
      <c r="J709" s="254">
        <v>2.6606999999999999E-2</v>
      </c>
      <c r="K709" s="254">
        <v>-1.0234E-2</v>
      </c>
      <c r="L709" s="254">
        <v>-2.214E-2</v>
      </c>
      <c r="M709" s="254">
        <v>-2.214E-2</v>
      </c>
      <c r="N709" s="254">
        <v>2.0228000000000003E-2</v>
      </c>
      <c r="O709" s="254">
        <v>7.548E-3</v>
      </c>
      <c r="P709" s="254">
        <v>1.5318E-2</v>
      </c>
      <c r="Q709" s="254">
        <v>9.9279999999999985E-4</v>
      </c>
      <c r="R709" s="254">
        <v>1.9687E-2</v>
      </c>
      <c r="S709" s="254">
        <v>-9.1739999999999999E-3</v>
      </c>
      <c r="T709" s="254">
        <v>-1.2418E-2</v>
      </c>
      <c r="U709" s="254">
        <v>-1.2463999999999999E-2</v>
      </c>
      <c r="V709" s="254">
        <v>-2.7365E-2</v>
      </c>
      <c r="W709" s="254">
        <v>-8.3949999999999997E-3</v>
      </c>
      <c r="X709" s="254">
        <v>-7.1630000000000001E-3</v>
      </c>
      <c r="Y709" s="254">
        <v>2.4260999999999998E-2</v>
      </c>
      <c r="Z709" s="246">
        <f ca="1">[1]ExtEntry!$M8</f>
        <v>2.4260999999999998E-2</v>
      </c>
      <c r="AB709" s="251">
        <v>6</v>
      </c>
      <c r="AC709" s="251">
        <v>4</v>
      </c>
      <c r="AD709" s="251">
        <v>3</v>
      </c>
      <c r="AE709" s="286">
        <v>4</v>
      </c>
      <c r="AF709" s="286">
        <v>1</v>
      </c>
      <c r="AG709" s="286">
        <v>2</v>
      </c>
      <c r="AH709" s="286">
        <v>9</v>
      </c>
      <c r="AI709" s="286">
        <v>9</v>
      </c>
      <c r="AJ709" s="286">
        <v>3</v>
      </c>
      <c r="AK709" s="286">
        <v>2</v>
      </c>
      <c r="AL709" s="286">
        <v>1</v>
      </c>
      <c r="AM709" s="275">
        <v>2</v>
      </c>
      <c r="AN709" s="275">
        <v>1</v>
      </c>
      <c r="AO709" s="275">
        <v>2</v>
      </c>
      <c r="AP709" s="275">
        <v>5</v>
      </c>
      <c r="AQ709" s="275">
        <v>7</v>
      </c>
      <c r="AR709" s="275">
        <v>14</v>
      </c>
      <c r="AS709" s="275">
        <v>13</v>
      </c>
      <c r="AT709" s="275">
        <v>18</v>
      </c>
      <c r="AU709" s="275">
        <v>11</v>
      </c>
      <c r="AV709" s="275">
        <f t="shared" si="57"/>
        <v>11</v>
      </c>
      <c r="AX709" s="88" t="str">
        <f t="shared" ca="1" si="58"/>
        <v>ASML</v>
      </c>
    </row>
    <row r="710" spans="1:50" x14ac:dyDescent="0.3">
      <c r="A710" s="88" t="str">
        <f t="shared" ca="1" si="59"/>
        <v>AVGO</v>
      </c>
      <c r="C710" s="677"/>
      <c r="D710" s="677"/>
      <c r="F710" s="254">
        <v>-3.524E-2</v>
      </c>
      <c r="G710" s="254">
        <v>1.9352999999999999E-2</v>
      </c>
      <c r="H710" s="254">
        <v>8.0269999999999994E-3</v>
      </c>
      <c r="I710" s="254">
        <v>-1.3610000000000001E-2</v>
      </c>
      <c r="J710" s="254">
        <v>-2.5760000000000003E-4</v>
      </c>
      <c r="K710" s="254">
        <v>-1.8841E-2</v>
      </c>
      <c r="L710" s="254">
        <v>-6.8869999999999999E-3</v>
      </c>
      <c r="M710" s="254">
        <v>-6.8869999999999999E-3</v>
      </c>
      <c r="N710" s="254">
        <v>1.1725000000000001E-2</v>
      </c>
      <c r="O710" s="254">
        <v>2.8580999999999999E-2</v>
      </c>
      <c r="P710" s="254">
        <v>2.2364999999999999E-2</v>
      </c>
      <c r="Q710" s="254">
        <v>3.0162000000000001E-2</v>
      </c>
      <c r="R710" s="254">
        <v>-2.4639000000000001E-2</v>
      </c>
      <c r="S710" s="254">
        <v>-2.844E-2</v>
      </c>
      <c r="T710" s="254">
        <v>2.0003000000000003E-2</v>
      </c>
      <c r="U710" s="254">
        <v>-9.4160000000000008E-3</v>
      </c>
      <c r="V710" s="254">
        <v>-2.3073999999999997E-2</v>
      </c>
      <c r="W710" s="254">
        <v>7.2950000000000003E-3</v>
      </c>
      <c r="X710" s="254">
        <v>-6.2749999999999993E-3</v>
      </c>
      <c r="Y710" s="254">
        <v>2.1937999999999999E-2</v>
      </c>
      <c r="Z710" s="246">
        <f ca="1">[1]ExtEntry!$M9</f>
        <v>2.1937999999999999E-2</v>
      </c>
      <c r="AB710" s="251">
        <v>4</v>
      </c>
      <c r="AC710" s="251">
        <v>7</v>
      </c>
      <c r="AD710" s="251">
        <v>10</v>
      </c>
      <c r="AE710" s="286">
        <v>8</v>
      </c>
      <c r="AF710" s="286">
        <v>11</v>
      </c>
      <c r="AG710" s="286">
        <v>14</v>
      </c>
      <c r="AH710" s="286">
        <v>14</v>
      </c>
      <c r="AI710" s="286">
        <v>14</v>
      </c>
      <c r="AJ710" s="286">
        <v>16</v>
      </c>
      <c r="AK710" s="286">
        <v>17</v>
      </c>
      <c r="AL710" s="286">
        <v>11</v>
      </c>
      <c r="AM710" s="275">
        <v>20</v>
      </c>
      <c r="AN710" s="275">
        <v>20</v>
      </c>
      <c r="AO710" s="275">
        <v>20</v>
      </c>
      <c r="AP710" s="275">
        <v>20</v>
      </c>
      <c r="AQ710" s="275">
        <v>11</v>
      </c>
      <c r="AR710" s="275">
        <v>6</v>
      </c>
      <c r="AS710" s="275">
        <v>1</v>
      </c>
      <c r="AT710" s="275">
        <v>1</v>
      </c>
      <c r="AU710" s="275">
        <v>3</v>
      </c>
      <c r="AV710" s="275">
        <f t="shared" ref="AV710:AV748" si="60">_xlfn.RANK.EQ(Y212,F212:Y212)</f>
        <v>3</v>
      </c>
      <c r="AX710" s="88" t="str">
        <f t="shared" ca="1" si="58"/>
        <v>AVGO</v>
      </c>
    </row>
    <row r="711" spans="1:50" hidden="1" x14ac:dyDescent="0.3">
      <c r="A711" s="88" t="str">
        <f t="shared" ca="1" si="59"/>
        <v>AZN</v>
      </c>
      <c r="C711" s="677"/>
      <c r="D711" s="677"/>
      <c r="F711" s="254">
        <v>7.2179999999999996E-3</v>
      </c>
      <c r="G711" s="254">
        <v>-2.0560000000000001E-3</v>
      </c>
      <c r="H711" s="254">
        <v>-1.1788E-2</v>
      </c>
      <c r="I711" s="254">
        <v>1.0259000000000001E-2</v>
      </c>
      <c r="J711" s="254">
        <v>-9.6819999999999996E-3</v>
      </c>
      <c r="K711" s="254">
        <v>-7.7499999999999999E-3</v>
      </c>
      <c r="L711" s="254">
        <v>2.5230000000000001E-3</v>
      </c>
      <c r="M711" s="254">
        <v>2.5230000000000001E-3</v>
      </c>
      <c r="N711" s="254">
        <v>-3.5960000000000001E-4</v>
      </c>
      <c r="O711" s="254">
        <v>-1.3189999999999999E-3</v>
      </c>
      <c r="P711" s="254">
        <v>9.2449999999999997E-3</v>
      </c>
      <c r="Q711" s="254">
        <v>-1.7250000000000001E-2</v>
      </c>
      <c r="R711" s="254">
        <v>1.338E-3</v>
      </c>
      <c r="S711" s="254">
        <v>2.8770000000000002E-3</v>
      </c>
      <c r="T711" s="254">
        <v>-1.0728E-2</v>
      </c>
      <c r="U711" s="254">
        <v>3.1362000000000001E-2</v>
      </c>
      <c r="V711" s="254">
        <v>9.3710000000000009E-3</v>
      </c>
      <c r="W711" s="254">
        <v>5.5300000000000002E-3</v>
      </c>
      <c r="X711" s="254">
        <v>1.678E-3</v>
      </c>
      <c r="Y711" s="254">
        <v>-6.4759999999999991E-3</v>
      </c>
      <c r="Z711" s="246">
        <f ca="1">[1]ExtEntry!$M10</f>
        <v>-6.4759999999999991E-3</v>
      </c>
      <c r="AB711" s="251">
        <v>1</v>
      </c>
      <c r="AC711" s="251">
        <v>2</v>
      </c>
      <c r="AD711" s="251">
        <v>3</v>
      </c>
      <c r="AE711" s="286">
        <v>4</v>
      </c>
      <c r="AF711" s="286">
        <v>4</v>
      </c>
      <c r="AG711" s="286">
        <v>12</v>
      </c>
      <c r="AH711" s="286">
        <v>13</v>
      </c>
      <c r="AI711" s="286">
        <v>13</v>
      </c>
      <c r="AJ711" s="286">
        <v>13</v>
      </c>
      <c r="AK711" s="286">
        <v>12</v>
      </c>
      <c r="AL711" s="286">
        <v>13</v>
      </c>
      <c r="AM711" s="275">
        <v>12</v>
      </c>
      <c r="AN711" s="275">
        <v>12</v>
      </c>
      <c r="AO711" s="275">
        <v>16</v>
      </c>
      <c r="AP711" s="275">
        <v>4</v>
      </c>
      <c r="AQ711" s="275">
        <v>10</v>
      </c>
      <c r="AR711" s="275">
        <v>11</v>
      </c>
      <c r="AS711" s="275">
        <v>20</v>
      </c>
      <c r="AT711" s="275">
        <v>20</v>
      </c>
      <c r="AU711" s="275">
        <v>20</v>
      </c>
      <c r="AV711" s="275">
        <f t="shared" si="60"/>
        <v>20</v>
      </c>
      <c r="AX711" s="88" t="str">
        <f t="shared" ca="1" si="58"/>
        <v>AZN</v>
      </c>
    </row>
    <row r="712" spans="1:50" hidden="1" x14ac:dyDescent="0.3">
      <c r="A712" s="88" t="str">
        <f t="shared" ca="1" si="59"/>
        <v>BLDP</v>
      </c>
      <c r="C712" s="677"/>
      <c r="D712" s="677"/>
      <c r="F712" s="254">
        <v>0.140401</v>
      </c>
      <c r="G712" s="254">
        <v>-5.1508000000000005E-2</v>
      </c>
      <c r="H712" s="254">
        <v>-2.3936000000000002E-2</v>
      </c>
      <c r="I712" s="254">
        <v>-1.0899000000000001E-2</v>
      </c>
      <c r="J712" s="254">
        <v>2.7550000000000001E-3</v>
      </c>
      <c r="K712" s="254">
        <v>-8.5165000000000005E-2</v>
      </c>
      <c r="L712" s="254">
        <v>-1.5015000000000001E-2</v>
      </c>
      <c r="M712" s="254">
        <v>-1.5015000000000001E-2</v>
      </c>
      <c r="N712" s="254">
        <v>0</v>
      </c>
      <c r="O712" s="254">
        <v>4.8780000000000004E-2</v>
      </c>
      <c r="P712" s="254">
        <v>-8.7209999999999996E-3</v>
      </c>
      <c r="Q712" s="254">
        <v>8.7980000000000003E-3</v>
      </c>
      <c r="R712" s="254">
        <v>-2.8249E-2</v>
      </c>
      <c r="S712" s="254">
        <v>-4.6348E-2</v>
      </c>
      <c r="T712" s="254">
        <v>8.3086000000000007E-2</v>
      </c>
      <c r="U712" s="254">
        <v>-2.1918000000000003E-2</v>
      </c>
      <c r="V712" s="254">
        <v>-1.831E-2</v>
      </c>
      <c r="W712" s="254">
        <v>-5.0157E-2</v>
      </c>
      <c r="X712" s="254">
        <v>-6.8730000000000006E-3</v>
      </c>
      <c r="Y712" s="254">
        <v>-1.6608999999999999E-2</v>
      </c>
      <c r="Z712" s="246">
        <f ca="1">[1]ExtEntry!$M11</f>
        <v>-1.6608999999999999E-2</v>
      </c>
      <c r="AB712" s="251">
        <v>6</v>
      </c>
      <c r="AC712" s="251">
        <v>9</v>
      </c>
      <c r="AD712" s="251">
        <v>1</v>
      </c>
      <c r="AE712" s="286">
        <v>2</v>
      </c>
      <c r="AF712" s="286">
        <v>1</v>
      </c>
      <c r="AG712" s="286">
        <v>1</v>
      </c>
      <c r="AH712" s="286">
        <v>7</v>
      </c>
      <c r="AI712" s="286">
        <v>7</v>
      </c>
      <c r="AJ712" s="286">
        <v>9</v>
      </c>
      <c r="AK712" s="286">
        <v>5</v>
      </c>
      <c r="AL712" s="286">
        <v>5</v>
      </c>
      <c r="AM712" s="275">
        <v>9</v>
      </c>
      <c r="AN712" s="275">
        <v>19</v>
      </c>
      <c r="AO712" s="275">
        <v>20</v>
      </c>
      <c r="AP712" s="275">
        <v>19</v>
      </c>
      <c r="AQ712" s="275">
        <v>19</v>
      </c>
      <c r="AR712" s="275">
        <v>19</v>
      </c>
      <c r="AS712" s="275">
        <v>20</v>
      </c>
      <c r="AT712" s="275">
        <v>20</v>
      </c>
      <c r="AU712" s="275">
        <v>20</v>
      </c>
      <c r="AV712" s="275">
        <f t="shared" si="60"/>
        <v>20</v>
      </c>
      <c r="AX712" s="88" t="str">
        <f t="shared" ca="1" si="58"/>
        <v>BLDP</v>
      </c>
    </row>
    <row r="713" spans="1:50" hidden="1" x14ac:dyDescent="0.3">
      <c r="A713" s="88" t="str">
        <f t="shared" ca="1" si="59"/>
        <v>BMRA</v>
      </c>
      <c r="C713" s="677"/>
      <c r="D713" s="677"/>
      <c r="F713" s="254">
        <v>2.8570999999999999E-2</v>
      </c>
      <c r="G713" s="254">
        <v>-6.9440000000000005E-3</v>
      </c>
      <c r="H713" s="254">
        <v>5.2447999999999995E-2</v>
      </c>
      <c r="I713" s="254">
        <v>-9.9670000000000002E-3</v>
      </c>
      <c r="J713" s="254">
        <v>4.6980000000000001E-2</v>
      </c>
      <c r="K713" s="254">
        <v>2.5640999999999997E-2</v>
      </c>
      <c r="L713" s="254">
        <v>-8.4375000000000006E-2</v>
      </c>
      <c r="M713" s="254">
        <v>-7.8616000000000005E-2</v>
      </c>
      <c r="N713" s="254">
        <v>-6.8259999999999996E-3</v>
      </c>
      <c r="O713" s="254">
        <v>1.7181999999999999E-2</v>
      </c>
      <c r="P713" s="254">
        <v>0</v>
      </c>
      <c r="Q713" s="254">
        <v>-1.0135E-2</v>
      </c>
      <c r="R713" s="254">
        <v>-1.0752999999999999E-2</v>
      </c>
      <c r="S713" s="254">
        <v>-8.4871000000000002E-2</v>
      </c>
      <c r="T713" s="254">
        <v>4.0323000000000005E-2</v>
      </c>
      <c r="U713" s="254">
        <v>-1.1628000000000001E-2</v>
      </c>
      <c r="V713" s="254">
        <v>-2.0588000000000002E-2</v>
      </c>
      <c r="W713" s="254">
        <v>-3.6000000000000004E-2</v>
      </c>
      <c r="X713" s="254">
        <v>-1.7467E-2</v>
      </c>
      <c r="Y713" s="254">
        <v>-1.5556E-2</v>
      </c>
      <c r="Z713" s="246">
        <f ca="1">[1]ExtEntry!$M12</f>
        <v>-1.5556E-2</v>
      </c>
      <c r="AB713" s="251">
        <v>12</v>
      </c>
      <c r="AC713" s="251">
        <v>12</v>
      </c>
      <c r="AD713" s="251">
        <v>17</v>
      </c>
      <c r="AE713" s="286">
        <v>15</v>
      </c>
      <c r="AF713" s="286">
        <v>9</v>
      </c>
      <c r="AG713" s="286">
        <v>11</v>
      </c>
      <c r="AH713" s="286">
        <v>16</v>
      </c>
      <c r="AI713" s="286">
        <v>15</v>
      </c>
      <c r="AJ713" s="286">
        <v>14</v>
      </c>
      <c r="AK713" s="286">
        <v>6</v>
      </c>
      <c r="AL713" s="286">
        <v>2</v>
      </c>
      <c r="AM713" s="275">
        <v>1</v>
      </c>
      <c r="AN713" s="275">
        <v>3</v>
      </c>
      <c r="AO713" s="275">
        <v>3</v>
      </c>
      <c r="AP713" s="275">
        <v>1</v>
      </c>
      <c r="AQ713" s="275">
        <v>4</v>
      </c>
      <c r="AR713" s="275">
        <v>6</v>
      </c>
      <c r="AS713" s="275">
        <v>7</v>
      </c>
      <c r="AT713" s="275">
        <v>13</v>
      </c>
      <c r="AU713" s="275">
        <v>10</v>
      </c>
      <c r="AV713" s="275">
        <f t="shared" si="60"/>
        <v>10</v>
      </c>
      <c r="AX713" s="88" t="str">
        <f t="shared" ca="1" si="58"/>
        <v>BMRA</v>
      </c>
    </row>
    <row r="714" spans="1:50" hidden="1" x14ac:dyDescent="0.3">
      <c r="A714" s="88" t="str">
        <f t="shared" ca="1" si="59"/>
        <v>C</v>
      </c>
      <c r="C714" s="677"/>
      <c r="D714" s="677"/>
      <c r="F714" s="254">
        <v>3.8606000000000001E-2</v>
      </c>
      <c r="G714" s="254">
        <v>-5.94E-3</v>
      </c>
      <c r="H714" s="254">
        <v>-3.5076999999999997E-2</v>
      </c>
      <c r="I714" s="254">
        <v>8.4150000000000006E-3</v>
      </c>
      <c r="J714" s="254">
        <v>2.2869999999999998E-2</v>
      </c>
      <c r="K714" s="254">
        <v>-1.0573999999999998E-2</v>
      </c>
      <c r="L714" s="254">
        <v>-1.9643999999999998E-2</v>
      </c>
      <c r="M714" s="254">
        <v>-1.9643999999999998E-2</v>
      </c>
      <c r="N714" s="254">
        <v>3.738E-3</v>
      </c>
      <c r="O714" s="254">
        <v>2.1770999999999999E-2</v>
      </c>
      <c r="P714" s="254">
        <v>2.2676999999999999E-2</v>
      </c>
      <c r="Q714" s="254">
        <v>3.9610000000000001E-3</v>
      </c>
      <c r="R714" s="254">
        <v>1.1298999999999998E-2</v>
      </c>
      <c r="S714" s="254">
        <v>-6.3970000000000008E-3</v>
      </c>
      <c r="T714" s="254">
        <v>7.0289999999999997E-3</v>
      </c>
      <c r="U714" s="254">
        <v>-6.6869999999999994E-3</v>
      </c>
      <c r="V714" s="254">
        <v>-3.2719999999999997E-3</v>
      </c>
      <c r="W714" s="254">
        <v>-3.6749999999999999E-3</v>
      </c>
      <c r="X714" s="254">
        <v>1.3239999999999999E-3</v>
      </c>
      <c r="Y714" s="254">
        <v>1.3019000000000001E-2</v>
      </c>
      <c r="Z714" s="246">
        <f ca="1">[1]ExtEntry!$M13</f>
        <v>1.3019000000000001E-2</v>
      </c>
      <c r="AB714" s="251">
        <v>7</v>
      </c>
      <c r="AC714" s="251">
        <v>4</v>
      </c>
      <c r="AD714" s="251">
        <v>5</v>
      </c>
      <c r="AE714" s="286">
        <v>2</v>
      </c>
      <c r="AF714" s="286">
        <v>1</v>
      </c>
      <c r="AG714" s="286">
        <v>1</v>
      </c>
      <c r="AH714" s="286">
        <v>2</v>
      </c>
      <c r="AI714" s="286">
        <v>2</v>
      </c>
      <c r="AJ714" s="286">
        <v>6</v>
      </c>
      <c r="AK714" s="286">
        <v>5</v>
      </c>
      <c r="AL714" s="286">
        <v>1</v>
      </c>
      <c r="AM714" s="275">
        <v>1</v>
      </c>
      <c r="AN714" s="275">
        <v>1</v>
      </c>
      <c r="AO714" s="275">
        <v>3</v>
      </c>
      <c r="AP714" s="275">
        <v>4</v>
      </c>
      <c r="AQ714" s="275">
        <v>6</v>
      </c>
      <c r="AR714" s="275">
        <v>7</v>
      </c>
      <c r="AS714" s="275">
        <v>1</v>
      </c>
      <c r="AT714" s="275">
        <v>2</v>
      </c>
      <c r="AU714" s="275">
        <v>1</v>
      </c>
      <c r="AV714" s="275">
        <f t="shared" si="60"/>
        <v>1</v>
      </c>
      <c r="AX714" s="88" t="str">
        <f t="shared" ca="1" si="58"/>
        <v>C</v>
      </c>
    </row>
    <row r="715" spans="1:50" hidden="1" x14ac:dyDescent="0.3">
      <c r="A715" s="88" t="str">
        <f t="shared" ca="1" si="59"/>
        <v>CSCO</v>
      </c>
      <c r="C715" s="677"/>
      <c r="D715" s="677"/>
      <c r="F715" s="254">
        <v>1.7787999999999998E-2</v>
      </c>
      <c r="G715" s="254">
        <v>1.1142000000000001E-2</v>
      </c>
      <c r="H715" s="254">
        <v>-6.1850000000000004E-3</v>
      </c>
      <c r="I715" s="254">
        <v>1.5053E-2</v>
      </c>
      <c r="J715" s="254">
        <v>7.4150000000000006E-3</v>
      </c>
      <c r="K715" s="254">
        <v>9.9080000000000001E-4</v>
      </c>
      <c r="L715" s="254">
        <v>-8.4840000000000002E-4</v>
      </c>
      <c r="M715" s="254">
        <v>-8.4840000000000002E-4</v>
      </c>
      <c r="N715" s="254">
        <v>-5.5189999999999996E-3</v>
      </c>
      <c r="O715" s="254">
        <v>5.1229999999999999E-3</v>
      </c>
      <c r="P715" s="254">
        <v>1.076E-2</v>
      </c>
      <c r="Q715" s="254">
        <v>1.7229000000000001E-2</v>
      </c>
      <c r="R715" s="254">
        <v>2.2151000000000001E-2</v>
      </c>
      <c r="S715" s="254">
        <v>-2.7467999999999999E-2</v>
      </c>
      <c r="T715" s="254">
        <v>-3.0420000000000004E-3</v>
      </c>
      <c r="U715" s="254">
        <v>-1.3107000000000001E-2</v>
      </c>
      <c r="V715" s="254">
        <v>-1.6189999999999998E-3</v>
      </c>
      <c r="W715" s="254">
        <v>8.012E-3</v>
      </c>
      <c r="X715" s="254">
        <v>-5.2710000000000005E-3</v>
      </c>
      <c r="Y715" s="254">
        <v>1.1679E-2</v>
      </c>
      <c r="Z715" s="246">
        <f ca="1">[1]ExtEntry!$M14</f>
        <v>1.1679E-2</v>
      </c>
      <c r="AB715" s="251">
        <v>1</v>
      </c>
      <c r="AC715" s="251">
        <v>1</v>
      </c>
      <c r="AD715" s="251">
        <v>1</v>
      </c>
      <c r="AE715" s="286">
        <v>1</v>
      </c>
      <c r="AF715" s="286">
        <v>2</v>
      </c>
      <c r="AG715" s="286">
        <v>1</v>
      </c>
      <c r="AH715" s="286">
        <v>4</v>
      </c>
      <c r="AI715" s="286">
        <v>4</v>
      </c>
      <c r="AJ715" s="286">
        <v>8</v>
      </c>
      <c r="AK715" s="286">
        <v>6</v>
      </c>
      <c r="AL715" s="286">
        <v>4</v>
      </c>
      <c r="AM715" s="275">
        <v>5</v>
      </c>
      <c r="AN715" s="275">
        <v>20</v>
      </c>
      <c r="AO715" s="275">
        <v>14</v>
      </c>
      <c r="AP715" s="275">
        <v>13</v>
      </c>
      <c r="AQ715" s="275">
        <v>13</v>
      </c>
      <c r="AR715" s="275">
        <v>13</v>
      </c>
      <c r="AS715" s="275">
        <v>18</v>
      </c>
      <c r="AT715" s="275">
        <v>18</v>
      </c>
      <c r="AU715" s="275">
        <v>20</v>
      </c>
      <c r="AV715" s="275">
        <f t="shared" si="60"/>
        <v>20</v>
      </c>
      <c r="AX715" s="88" t="str">
        <f t="shared" ca="1" si="58"/>
        <v>CSCO</v>
      </c>
    </row>
    <row r="716" spans="1:50" hidden="1" x14ac:dyDescent="0.3">
      <c r="A716" s="88" t="str">
        <f t="shared" ca="1" si="59"/>
        <v>CVS</v>
      </c>
      <c r="C716" s="677"/>
      <c r="D716" s="677"/>
      <c r="F716" s="254">
        <v>1.5807999999999999E-2</v>
      </c>
      <c r="G716" s="254">
        <v>1.8201999999999999E-2</v>
      </c>
      <c r="H716" s="254">
        <v>9.0489999999999998E-3</v>
      </c>
      <c r="I716" s="254">
        <v>1.4133E-2</v>
      </c>
      <c r="J716" s="254">
        <v>-8.4830000000000007E-4</v>
      </c>
      <c r="K716" s="254">
        <v>6.5469999999999999E-3</v>
      </c>
      <c r="L716" s="254">
        <v>-1.2041999999999999E-2</v>
      </c>
      <c r="M716" s="254">
        <v>-1.2041999999999999E-2</v>
      </c>
      <c r="N716" s="254">
        <v>-3.3810000000000003E-3</v>
      </c>
      <c r="O716" s="254">
        <v>1.0238000000000001E-2</v>
      </c>
      <c r="P716" s="254">
        <v>6.2860000000000008E-3</v>
      </c>
      <c r="Q716" s="254">
        <v>-3.1530000000000004E-3</v>
      </c>
      <c r="R716" s="254">
        <v>-4.8510999999999999E-2</v>
      </c>
      <c r="S716" s="254">
        <v>-4.2069999999999998E-3</v>
      </c>
      <c r="T716" s="254">
        <v>6.1479999999999998E-3</v>
      </c>
      <c r="U716" s="254">
        <v>2.2919999999999998E-3</v>
      </c>
      <c r="V716" s="254">
        <v>2.2880000000000001E-3</v>
      </c>
      <c r="W716" s="254">
        <v>-1.7289000000000002E-2</v>
      </c>
      <c r="X716" s="254">
        <v>-5.9940000000000002E-3</v>
      </c>
      <c r="Y716" s="254">
        <v>-1.9501999999999999E-2</v>
      </c>
      <c r="Z716" s="246">
        <f ca="1">[1]ExtEntry!$M15</f>
        <v>-1.9501999999999999E-2</v>
      </c>
      <c r="AB716" s="251">
        <v>8</v>
      </c>
      <c r="AC716" s="251">
        <v>1</v>
      </c>
      <c r="AD716" s="251">
        <v>1</v>
      </c>
      <c r="AE716" s="286">
        <v>9</v>
      </c>
      <c r="AF716" s="286">
        <v>1</v>
      </c>
      <c r="AG716" s="286">
        <v>2</v>
      </c>
      <c r="AH716" s="286">
        <v>14</v>
      </c>
      <c r="AI716" s="286">
        <v>14</v>
      </c>
      <c r="AJ716" s="286">
        <v>14</v>
      </c>
      <c r="AK716" s="286">
        <v>9</v>
      </c>
      <c r="AL716" s="286">
        <v>14</v>
      </c>
      <c r="AM716" s="275">
        <v>6</v>
      </c>
      <c r="AN716" s="275">
        <v>20</v>
      </c>
      <c r="AO716" s="275">
        <v>20</v>
      </c>
      <c r="AP716" s="275">
        <v>19</v>
      </c>
      <c r="AQ716" s="275">
        <v>20</v>
      </c>
      <c r="AR716" s="275">
        <v>20</v>
      </c>
      <c r="AS716" s="275">
        <v>20</v>
      </c>
      <c r="AT716" s="275">
        <v>20</v>
      </c>
      <c r="AU716" s="275">
        <v>20</v>
      </c>
      <c r="AV716" s="275">
        <f t="shared" si="60"/>
        <v>20</v>
      </c>
      <c r="AX716" s="88" t="str">
        <f t="shared" ca="1" si="58"/>
        <v>CVS</v>
      </c>
    </row>
    <row r="717" spans="1:50" hidden="1" x14ac:dyDescent="0.3">
      <c r="A717" s="88" t="str">
        <f t="shared" ca="1" si="59"/>
        <v>DDD</v>
      </c>
      <c r="C717" s="677"/>
      <c r="D717" s="677"/>
      <c r="F717" s="254">
        <v>-9.6460000000000001E-3</v>
      </c>
      <c r="G717" s="254">
        <v>5.5195000000000001E-2</v>
      </c>
      <c r="H717" s="254">
        <v>-3.058E-3</v>
      </c>
      <c r="I717" s="254">
        <v>-4.6012000000000004E-2</v>
      </c>
      <c r="J717" s="254">
        <v>0.21704200000000001</v>
      </c>
      <c r="K717" s="254">
        <v>-0.10846600000000001</v>
      </c>
      <c r="L717" s="254">
        <v>-0.11094699999999999</v>
      </c>
      <c r="M717" s="254">
        <v>-0.11094699999999999</v>
      </c>
      <c r="N717" s="254">
        <v>2.1595E-2</v>
      </c>
      <c r="O717" s="254">
        <v>1.4610000000000001E-2</v>
      </c>
      <c r="P717" s="254">
        <v>-1.7572000000000001E-2</v>
      </c>
      <c r="Q717" s="254">
        <v>4.0716999999999996E-2</v>
      </c>
      <c r="R717" s="254">
        <v>-6.9306999999999994E-2</v>
      </c>
      <c r="S717" s="254">
        <v>-5.9854999999999998E-2</v>
      </c>
      <c r="T717" s="254">
        <v>-7.6339999999999993E-3</v>
      </c>
      <c r="U717" s="254">
        <v>-0.12884600000000002</v>
      </c>
      <c r="V717" s="254">
        <v>-1.1110999999999999E-2</v>
      </c>
      <c r="W717" s="254">
        <v>0</v>
      </c>
      <c r="X717" s="254">
        <v>0</v>
      </c>
      <c r="Y717" s="254">
        <v>-1.6827000000000002E-2</v>
      </c>
      <c r="Z717" s="246">
        <f ca="1">[1]ExtEntry!$M16</f>
        <v>-1.6827000000000002E-2</v>
      </c>
      <c r="AB717" s="251">
        <v>17</v>
      </c>
      <c r="AC717" s="251">
        <v>15</v>
      </c>
      <c r="AD717" s="251">
        <v>20</v>
      </c>
      <c r="AE717" s="286">
        <v>18</v>
      </c>
      <c r="AF717" s="286">
        <v>13</v>
      </c>
      <c r="AG717" s="286">
        <v>2</v>
      </c>
      <c r="AH717" s="286">
        <v>6</v>
      </c>
      <c r="AI717" s="286">
        <v>5</v>
      </c>
      <c r="AJ717" s="286">
        <v>7</v>
      </c>
      <c r="AK717" s="286">
        <v>14</v>
      </c>
      <c r="AL717" s="286">
        <v>9</v>
      </c>
      <c r="AM717" s="275">
        <v>14</v>
      </c>
      <c r="AN717" s="275">
        <v>12</v>
      </c>
      <c r="AO717" s="275">
        <v>14</v>
      </c>
      <c r="AP717" s="275">
        <v>13</v>
      </c>
      <c r="AQ717" s="275">
        <v>19</v>
      </c>
      <c r="AR717" s="275">
        <v>16</v>
      </c>
      <c r="AS717" s="275">
        <v>20</v>
      </c>
      <c r="AT717" s="275">
        <v>19</v>
      </c>
      <c r="AU717" s="275">
        <v>20</v>
      </c>
      <c r="AV717" s="275">
        <f t="shared" si="60"/>
        <v>20</v>
      </c>
      <c r="AX717" s="88" t="str">
        <f t="shared" ca="1" si="58"/>
        <v>DDD</v>
      </c>
    </row>
    <row r="718" spans="1:50" hidden="1" x14ac:dyDescent="0.3">
      <c r="A718" s="88" t="str">
        <f t="shared" ca="1" si="59"/>
        <v>DIS</v>
      </c>
      <c r="C718" s="677"/>
      <c r="D718" s="677"/>
      <c r="F718" s="254">
        <v>8.116E-3</v>
      </c>
      <c r="G718" s="254">
        <v>7.5110000000000003E-3</v>
      </c>
      <c r="H718" s="254">
        <v>-1.6247000000000001E-2</v>
      </c>
      <c r="I718" s="254">
        <v>7.1899999999999993E-3</v>
      </c>
      <c r="J718" s="254">
        <v>1.1837E-2</v>
      </c>
      <c r="K718" s="254">
        <v>2.0990000000000002E-2</v>
      </c>
      <c r="L718" s="254">
        <v>-1.0499000000000001E-2</v>
      </c>
      <c r="M718" s="254">
        <v>-1.0499000000000001E-2</v>
      </c>
      <c r="N718" s="254">
        <v>-5.306E-4</v>
      </c>
      <c r="O718" s="254">
        <v>-1.2032000000000001E-2</v>
      </c>
      <c r="P718" s="254">
        <v>5.6410000000000002E-3</v>
      </c>
      <c r="Q718" s="254">
        <v>-6.0089999999999996E-3</v>
      </c>
      <c r="R718" s="254">
        <v>1.4514000000000001E-2</v>
      </c>
      <c r="S718" s="254">
        <v>-6.9569999999999996E-3</v>
      </c>
      <c r="T718" s="254">
        <v>-1.1659999999999999E-3</v>
      </c>
      <c r="U718" s="254">
        <v>-1.0775999999999999E-2</v>
      </c>
      <c r="V718" s="254">
        <v>2.1719999999999999E-3</v>
      </c>
      <c r="W718" s="254">
        <v>-1.6819999999999998E-2</v>
      </c>
      <c r="X718" s="254">
        <v>5.5820000000000002E-3</v>
      </c>
      <c r="Y718" s="254">
        <v>-9.221E-3</v>
      </c>
      <c r="Z718" s="246">
        <f ca="1">[1]ExtEntry!$M17</f>
        <v>-9.221E-3</v>
      </c>
      <c r="AB718" s="251">
        <v>10</v>
      </c>
      <c r="AC718" s="251">
        <v>6</v>
      </c>
      <c r="AD718" s="251">
        <v>1</v>
      </c>
      <c r="AE718" s="286">
        <v>4</v>
      </c>
      <c r="AF718" s="286">
        <v>1</v>
      </c>
      <c r="AG718" s="286">
        <v>1</v>
      </c>
      <c r="AH718" s="286">
        <v>2</v>
      </c>
      <c r="AI718" s="286">
        <v>2</v>
      </c>
      <c r="AJ718" s="286">
        <v>20</v>
      </c>
      <c r="AK718" s="286">
        <v>20</v>
      </c>
      <c r="AL718" s="286">
        <v>20</v>
      </c>
      <c r="AM718" s="275">
        <v>20</v>
      </c>
      <c r="AN718" s="275">
        <v>20</v>
      </c>
      <c r="AO718" s="275">
        <v>20</v>
      </c>
      <c r="AP718" s="275">
        <v>20</v>
      </c>
      <c r="AQ718" s="275">
        <v>20</v>
      </c>
      <c r="AR718" s="275">
        <v>19</v>
      </c>
      <c r="AS718" s="275">
        <v>17</v>
      </c>
      <c r="AT718" s="275">
        <v>20</v>
      </c>
      <c r="AU718" s="275">
        <v>17</v>
      </c>
      <c r="AV718" s="275">
        <f t="shared" si="60"/>
        <v>17</v>
      </c>
      <c r="AX718" s="88" t="str">
        <f t="shared" ca="1" si="58"/>
        <v>DIS</v>
      </c>
    </row>
    <row r="719" spans="1:50" hidden="1" x14ac:dyDescent="0.3">
      <c r="A719" s="88" t="str">
        <f t="shared" ca="1" si="59"/>
        <v>DSY</v>
      </c>
      <c r="C719" s="677"/>
      <c r="D719" s="677"/>
      <c r="F719" s="254">
        <v>-1.5966999999999999E-2</v>
      </c>
      <c r="G719" s="254">
        <v>1.8695E-2</v>
      </c>
      <c r="H719" s="254">
        <v>1.7313000000000002E-2</v>
      </c>
      <c r="I719" s="254">
        <v>-1.702E-3</v>
      </c>
      <c r="J719" s="254">
        <v>1.5343000000000001E-2</v>
      </c>
      <c r="K719" s="254">
        <v>1.6454E-2</v>
      </c>
      <c r="L719" s="254">
        <v>-4.9550000000000002E-3</v>
      </c>
      <c r="M719" s="254">
        <v>-4.9550000000000002E-3</v>
      </c>
      <c r="N719" s="254">
        <v>-0.12981400000000001</v>
      </c>
      <c r="O719" s="254">
        <v>-1.984E-2</v>
      </c>
      <c r="P719" s="254">
        <v>-1.0899000000000001E-2</v>
      </c>
      <c r="Q719" s="254">
        <v>-1.7316000000000002E-2</v>
      </c>
      <c r="R719" s="254">
        <v>8.1530000000000003E-4</v>
      </c>
      <c r="S719" s="254">
        <v>-1.3136000000000002E-2</v>
      </c>
      <c r="T719" s="254">
        <v>-2.496E-3</v>
      </c>
      <c r="U719" s="254">
        <v>-3.0025E-2</v>
      </c>
      <c r="V719" s="254">
        <v>3.4389999999999998E-3</v>
      </c>
      <c r="W719" s="254">
        <v>-9.9050000000000006E-3</v>
      </c>
      <c r="X719" s="254">
        <v>-4.3139999999999997E-4</v>
      </c>
      <c r="Y719" s="254">
        <v>8.6280000000000003E-3</v>
      </c>
      <c r="Z719" s="246">
        <f ca="1">[1]ExtEntry!$M18</f>
        <v>8.6280000000000003E-3</v>
      </c>
      <c r="AB719" s="251">
        <v>17</v>
      </c>
      <c r="AC719" s="251">
        <v>16</v>
      </c>
      <c r="AD719" s="251">
        <v>19</v>
      </c>
      <c r="AE719" s="286">
        <v>18</v>
      </c>
      <c r="AF719" s="286">
        <v>12</v>
      </c>
      <c r="AG719" s="286">
        <v>11</v>
      </c>
      <c r="AH719" s="286">
        <v>10</v>
      </c>
      <c r="AI719" s="286">
        <v>9</v>
      </c>
      <c r="AJ719" s="286">
        <v>12</v>
      </c>
      <c r="AK719" s="286">
        <v>7</v>
      </c>
      <c r="AL719" s="286">
        <v>6</v>
      </c>
      <c r="AM719" s="275">
        <v>5</v>
      </c>
      <c r="AN719" s="275">
        <v>20</v>
      </c>
      <c r="AO719" s="275">
        <v>19</v>
      </c>
      <c r="AP719" s="275">
        <v>18</v>
      </c>
      <c r="AQ719" s="275">
        <v>17</v>
      </c>
      <c r="AR719" s="275">
        <v>16</v>
      </c>
      <c r="AS719" s="275">
        <v>17</v>
      </c>
      <c r="AT719" s="275">
        <v>20</v>
      </c>
      <c r="AU719" s="275">
        <v>20</v>
      </c>
      <c r="AV719" s="275">
        <f t="shared" si="60"/>
        <v>20</v>
      </c>
      <c r="AX719" s="88" t="str">
        <f t="shared" ca="1" si="58"/>
        <v>DSY</v>
      </c>
    </row>
    <row r="720" spans="1:50" hidden="1" x14ac:dyDescent="0.3">
      <c r="A720" s="88" t="str">
        <f t="shared" ca="1" si="59"/>
        <v>DVA</v>
      </c>
      <c r="C720" s="677"/>
      <c r="D720" s="677"/>
      <c r="F720" s="254">
        <v>2.1806000000000002E-2</v>
      </c>
      <c r="G720" s="254">
        <v>1.224E-3</v>
      </c>
      <c r="H720" s="254">
        <v>-5.9519999999999998E-3</v>
      </c>
      <c r="I720" s="254">
        <v>5.0299999999999997E-3</v>
      </c>
      <c r="J720" s="254">
        <v>1.7239000000000001E-2</v>
      </c>
      <c r="K720" s="254">
        <v>2.8110000000000001E-3</v>
      </c>
      <c r="L720" s="254">
        <v>5.2180000000000004E-3</v>
      </c>
      <c r="M720" s="254">
        <v>5.2180000000000004E-3</v>
      </c>
      <c r="N720" s="254">
        <v>-8.2120000000000005E-3</v>
      </c>
      <c r="O720" s="254">
        <v>9.1390000000000013E-3</v>
      </c>
      <c r="P720" s="254">
        <v>2.516E-3</v>
      </c>
      <c r="Q720" s="254">
        <v>4.6309999999999998E-4</v>
      </c>
      <c r="R720" s="254">
        <v>-6.2183999999999996E-2</v>
      </c>
      <c r="S720" s="254">
        <v>9.1559999999999992E-3</v>
      </c>
      <c r="T720" s="254">
        <v>9.9190000000000007E-3</v>
      </c>
      <c r="U720" s="254">
        <v>5.4469999999999996E-3</v>
      </c>
      <c r="V720" s="254">
        <v>1.477E-2</v>
      </c>
      <c r="W720" s="254">
        <v>-1.2109000000000002E-2</v>
      </c>
      <c r="X720" s="254">
        <v>-6.0540000000000004E-3</v>
      </c>
      <c r="Y720" s="254">
        <v>-1.2054E-2</v>
      </c>
      <c r="Z720" s="246">
        <f ca="1">[1]ExtEntry!$M19</f>
        <v>-1.2054E-2</v>
      </c>
      <c r="AB720" s="251">
        <v>17</v>
      </c>
      <c r="AC720" s="251">
        <v>20</v>
      </c>
      <c r="AD720" s="251">
        <v>20</v>
      </c>
      <c r="AE720" s="286">
        <v>19</v>
      </c>
      <c r="AF720" s="286">
        <v>18</v>
      </c>
      <c r="AG720" s="286">
        <v>14</v>
      </c>
      <c r="AH720" s="286">
        <v>14</v>
      </c>
      <c r="AI720" s="286">
        <v>13</v>
      </c>
      <c r="AJ720" s="286">
        <v>9</v>
      </c>
      <c r="AK720" s="286">
        <v>8</v>
      </c>
      <c r="AL720" s="286">
        <v>8</v>
      </c>
      <c r="AM720" s="275">
        <v>9</v>
      </c>
      <c r="AN720" s="275">
        <v>18</v>
      </c>
      <c r="AO720" s="275">
        <v>4</v>
      </c>
      <c r="AP720" s="275">
        <v>1</v>
      </c>
      <c r="AQ720" s="275">
        <v>2</v>
      </c>
      <c r="AR720" s="275">
        <v>15</v>
      </c>
      <c r="AS720" s="275">
        <v>18</v>
      </c>
      <c r="AT720" s="275">
        <v>20</v>
      </c>
      <c r="AU720" s="275">
        <v>20</v>
      </c>
      <c r="AV720" s="275">
        <f t="shared" si="60"/>
        <v>20</v>
      </c>
      <c r="AX720" s="88" t="str">
        <f t="shared" ca="1" si="58"/>
        <v>DVA</v>
      </c>
    </row>
    <row r="721" spans="1:50" hidden="1" x14ac:dyDescent="0.3">
      <c r="A721" s="88" t="str">
        <f t="shared" ca="1" si="59"/>
        <v>DXC</v>
      </c>
      <c r="C721" s="677"/>
      <c r="D721" s="677"/>
      <c r="F721" s="254">
        <v>7.1860000000000005E-3</v>
      </c>
      <c r="G721" s="254">
        <v>-1.4263999999999999E-2</v>
      </c>
      <c r="H721" s="254">
        <v>-2.1374000000000001E-2</v>
      </c>
      <c r="I721" s="254">
        <v>2.3400000000000001E-3</v>
      </c>
      <c r="J721" s="254">
        <v>1.1284000000000001E-2</v>
      </c>
      <c r="K721" s="254">
        <v>2.1940000000000001E-2</v>
      </c>
      <c r="L721" s="254">
        <v>0</v>
      </c>
      <c r="M721" s="254">
        <v>0</v>
      </c>
      <c r="N721" s="254">
        <v>7.5360000000000002E-3</v>
      </c>
      <c r="O721" s="254">
        <v>1.2715000000000001E-2</v>
      </c>
      <c r="P721" s="254">
        <v>-8.1239999999999993E-3</v>
      </c>
      <c r="Q721" s="254">
        <v>-5.2119999999999996E-3</v>
      </c>
      <c r="R721" s="254">
        <v>-1.7464E-2</v>
      </c>
      <c r="S721" s="254">
        <v>2.1477E-2</v>
      </c>
      <c r="T721" s="254">
        <v>1.9941E-2</v>
      </c>
      <c r="U721" s="254">
        <v>-5.4310000000000001E-3</v>
      </c>
      <c r="V721" s="254">
        <v>-3.4091000000000003E-2</v>
      </c>
      <c r="W721" s="254">
        <v>-3.0780999999999999E-2</v>
      </c>
      <c r="X721" s="254">
        <v>-1.9261999999999998E-2</v>
      </c>
      <c r="Y721" s="254">
        <v>-9.0019999999999996E-3</v>
      </c>
      <c r="Z721" s="246">
        <f ca="1">[1]ExtEntry!$M20</f>
        <v>-9.0019999999999996E-3</v>
      </c>
      <c r="AB721" s="251">
        <v>1</v>
      </c>
      <c r="AC721" s="251">
        <v>3</v>
      </c>
      <c r="AD721" s="251">
        <v>3</v>
      </c>
      <c r="AE721" s="286">
        <v>2</v>
      </c>
      <c r="AF721" s="286">
        <v>1</v>
      </c>
      <c r="AG721" s="286">
        <v>3</v>
      </c>
      <c r="AH721" s="286">
        <v>14</v>
      </c>
      <c r="AI721" s="286">
        <v>14</v>
      </c>
      <c r="AJ721" s="286">
        <v>19</v>
      </c>
      <c r="AK721" s="286">
        <v>17</v>
      </c>
      <c r="AL721" s="286">
        <v>16</v>
      </c>
      <c r="AM721" s="275">
        <v>7</v>
      </c>
      <c r="AN721" s="275">
        <v>6</v>
      </c>
      <c r="AO721" s="275">
        <v>20</v>
      </c>
      <c r="AP721" s="275">
        <v>18</v>
      </c>
      <c r="AQ721" s="275">
        <v>16</v>
      </c>
      <c r="AR721" s="275">
        <v>12</v>
      </c>
      <c r="AS721" s="275">
        <v>20</v>
      </c>
      <c r="AT721" s="275">
        <v>20</v>
      </c>
      <c r="AU721" s="275">
        <v>18</v>
      </c>
      <c r="AV721" s="275">
        <f t="shared" si="60"/>
        <v>18</v>
      </c>
      <c r="AX721" s="88" t="str">
        <f t="shared" ca="1" si="58"/>
        <v>DXC</v>
      </c>
    </row>
    <row r="722" spans="1:50" hidden="1" x14ac:dyDescent="0.3">
      <c r="A722" s="88" t="str">
        <f t="shared" ca="1" si="59"/>
        <v>EOAN</v>
      </c>
      <c r="C722" s="677"/>
      <c r="D722" s="677"/>
      <c r="F722" s="254">
        <v>6.7650000000000002E-3</v>
      </c>
      <c r="G722" s="254">
        <v>-1.0385E-2</v>
      </c>
      <c r="H722" s="254">
        <v>3.0859999999999998E-3</v>
      </c>
      <c r="I722" s="254">
        <v>1.2310000000000001E-3</v>
      </c>
      <c r="J722" s="254">
        <v>9.2189999999999998E-3</v>
      </c>
      <c r="K722" s="254">
        <v>-3.3500000000000001E-3</v>
      </c>
      <c r="L722" s="254">
        <v>-1.6192999999999999E-2</v>
      </c>
      <c r="M722" s="254">
        <v>-1.6192999999999999E-2</v>
      </c>
      <c r="N722" s="254">
        <v>-7.4529999999999996E-3</v>
      </c>
      <c r="O722" s="254">
        <v>5.006E-3</v>
      </c>
      <c r="P722" s="254">
        <v>2.1789999999999999E-3</v>
      </c>
      <c r="Q722" s="254">
        <v>9.0089999999999996E-3</v>
      </c>
      <c r="R722" s="254">
        <v>-3.0669999999999998E-3</v>
      </c>
      <c r="S722" s="254">
        <v>-1.0367999999999999E-2</v>
      </c>
      <c r="T722" s="254">
        <v>1.9047999999999999E-2</v>
      </c>
      <c r="U722" s="254">
        <v>1.869E-3</v>
      </c>
      <c r="V722" s="254">
        <v>1.555E-3</v>
      </c>
      <c r="W722" s="254">
        <v>1.3139999999999998E-3</v>
      </c>
      <c r="X722" s="254">
        <v>-7.1709999999999994E-3</v>
      </c>
      <c r="Y722" s="254">
        <v>-2.6079999999999996E-3</v>
      </c>
      <c r="Z722" s="246">
        <f ca="1">[1]ExtEntry!$M21</f>
        <v>-2.6079999999999996E-3</v>
      </c>
      <c r="AB722" s="251">
        <v>10</v>
      </c>
      <c r="AC722" s="251">
        <v>10</v>
      </c>
      <c r="AD722" s="251">
        <v>9</v>
      </c>
      <c r="AE722" s="286">
        <v>8</v>
      </c>
      <c r="AF722" s="286">
        <v>7</v>
      </c>
      <c r="AG722" s="286">
        <v>6</v>
      </c>
      <c r="AH722" s="286">
        <v>5</v>
      </c>
      <c r="AI722" s="286">
        <v>5</v>
      </c>
      <c r="AJ722" s="286">
        <v>5</v>
      </c>
      <c r="AK722" s="286">
        <v>5</v>
      </c>
      <c r="AL722" s="286">
        <v>5</v>
      </c>
      <c r="AM722" s="275">
        <v>5</v>
      </c>
      <c r="AN722" s="275">
        <v>4</v>
      </c>
      <c r="AO722" s="275">
        <v>3</v>
      </c>
      <c r="AP722" s="275">
        <v>2</v>
      </c>
      <c r="AQ722" s="275">
        <v>1</v>
      </c>
      <c r="AR722" s="275">
        <v>1</v>
      </c>
      <c r="AS722" s="275">
        <v>1</v>
      </c>
      <c r="AT722" s="275">
        <v>1</v>
      </c>
      <c r="AU722" s="275">
        <v>1</v>
      </c>
      <c r="AV722" s="275">
        <f t="shared" si="60"/>
        <v>1</v>
      </c>
      <c r="AX722" s="88" t="str">
        <f t="shared" ca="1" si="58"/>
        <v>EOAN</v>
      </c>
    </row>
    <row r="723" spans="1:50" hidden="1" x14ac:dyDescent="0.3">
      <c r="A723" s="88" t="str">
        <f t="shared" ca="1" si="59"/>
        <v>EPIX</v>
      </c>
      <c r="C723" s="677"/>
      <c r="D723" s="677"/>
      <c r="F723" s="254">
        <v>0</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16</v>
      </c>
      <c r="AC723" s="251">
        <v>14</v>
      </c>
      <c r="AD723" s="251">
        <v>14</v>
      </c>
      <c r="AE723" s="286">
        <v>12</v>
      </c>
      <c r="AF723" s="286">
        <v>12</v>
      </c>
      <c r="AG723" s="286">
        <v>1</v>
      </c>
      <c r="AH723" s="286">
        <v>1</v>
      </c>
      <c r="AI723" s="286">
        <v>1</v>
      </c>
      <c r="AJ723" s="286">
        <v>3</v>
      </c>
      <c r="AK723" s="286">
        <v>1</v>
      </c>
      <c r="AL723" s="286">
        <v>2</v>
      </c>
      <c r="AM723" s="275">
        <v>1</v>
      </c>
      <c r="AN723" s="275">
        <v>4</v>
      </c>
      <c r="AO723" s="275">
        <v>7</v>
      </c>
      <c r="AP723" s="275">
        <v>4</v>
      </c>
      <c r="AQ723" s="275">
        <v>4</v>
      </c>
      <c r="AR723" s="275">
        <v>1</v>
      </c>
      <c r="AS723" s="275">
        <v>2</v>
      </c>
      <c r="AT723" s="275">
        <v>9</v>
      </c>
      <c r="AU723" s="275">
        <v>6</v>
      </c>
      <c r="AV723" s="275">
        <f t="shared" si="60"/>
        <v>6</v>
      </c>
      <c r="AX723" s="88" t="str">
        <f t="shared" ref="AX723:AX786" ca="1" si="61">A723</f>
        <v>EPIX</v>
      </c>
    </row>
    <row r="724" spans="1:50" hidden="1" x14ac:dyDescent="0.3">
      <c r="A724" s="88" t="str">
        <f t="shared" ca="1" si="59"/>
        <v>GM</v>
      </c>
      <c r="C724" s="677"/>
      <c r="D724" s="677"/>
      <c r="F724" s="254">
        <v>2.7507999999999998E-2</v>
      </c>
      <c r="G724" s="254">
        <v>1.3472E-2</v>
      </c>
      <c r="H724" s="254">
        <v>-7.9579999999999998E-3</v>
      </c>
      <c r="I724" s="254">
        <v>1.8137E-2</v>
      </c>
      <c r="J724" s="254">
        <v>-6.1660000000000005E-3</v>
      </c>
      <c r="K724" s="254">
        <v>0.148448</v>
      </c>
      <c r="L724" s="254">
        <v>1.0506999999999999E-2</v>
      </c>
      <c r="M724" s="254">
        <v>1.0506999999999999E-2</v>
      </c>
      <c r="N724" s="254">
        <v>-7.0569999999999999E-3</v>
      </c>
      <c r="O724" s="254">
        <v>4.2183999999999999E-2</v>
      </c>
      <c r="P724" s="254">
        <v>-4.3779999999999999E-3</v>
      </c>
      <c r="Q724" s="254">
        <v>7.0630000000000007E-3</v>
      </c>
      <c r="R724" s="254">
        <v>-6.7989999999999995E-3</v>
      </c>
      <c r="S724" s="254">
        <v>-1.847E-2</v>
      </c>
      <c r="T724" s="254">
        <v>2.8563000000000002E-2</v>
      </c>
      <c r="U724" s="254">
        <v>2.1809999999999998E-3</v>
      </c>
      <c r="V724" s="254">
        <v>2.6438000000000003E-2</v>
      </c>
      <c r="W724" s="254">
        <v>-1.9057000000000001E-2</v>
      </c>
      <c r="X724" s="254">
        <v>4.4179999999999995E-4</v>
      </c>
      <c r="Y724" s="254">
        <v>1.7444000000000001E-2</v>
      </c>
      <c r="Z724" s="246">
        <f ca="1">[1]ExtEntry!$M23</f>
        <v>1.7444000000000001E-2</v>
      </c>
      <c r="AB724" s="251">
        <v>6</v>
      </c>
      <c r="AC724" s="251">
        <v>4</v>
      </c>
      <c r="AD724" s="251">
        <v>20</v>
      </c>
      <c r="AE724" s="286">
        <v>19</v>
      </c>
      <c r="AF724" s="286">
        <v>19</v>
      </c>
      <c r="AG724" s="286">
        <v>17</v>
      </c>
      <c r="AH724" s="286">
        <v>17</v>
      </c>
      <c r="AI724" s="286">
        <v>17</v>
      </c>
      <c r="AJ724" s="286">
        <v>15</v>
      </c>
      <c r="AK724" s="286">
        <v>13</v>
      </c>
      <c r="AL724" s="286">
        <v>12</v>
      </c>
      <c r="AM724" s="275">
        <v>11</v>
      </c>
      <c r="AN724" s="275">
        <v>10</v>
      </c>
      <c r="AO724" s="275">
        <v>12</v>
      </c>
      <c r="AP724" s="275">
        <v>11</v>
      </c>
      <c r="AQ724" s="275">
        <v>13</v>
      </c>
      <c r="AR724" s="275">
        <v>13</v>
      </c>
      <c r="AS724" s="275">
        <v>19</v>
      </c>
      <c r="AT724" s="275">
        <v>20</v>
      </c>
      <c r="AU724" s="275">
        <v>20</v>
      </c>
      <c r="AV724" s="275">
        <f t="shared" si="60"/>
        <v>20</v>
      </c>
      <c r="AX724" s="88" t="str">
        <f t="shared" ca="1" si="61"/>
        <v>GM</v>
      </c>
    </row>
    <row r="725" spans="1:50" hidden="1" x14ac:dyDescent="0.3">
      <c r="A725" s="88" t="str">
        <f t="shared" ca="1" si="59"/>
        <v>HPE</v>
      </c>
      <c r="C725" s="677"/>
      <c r="D725" s="677"/>
      <c r="F725" s="254">
        <v>7.6610000000000003E-3</v>
      </c>
      <c r="G725" s="254">
        <v>1.66E-2</v>
      </c>
      <c r="H725" s="254">
        <v>-0.10063900000000001</v>
      </c>
      <c r="I725" s="254">
        <v>2.0444E-2</v>
      </c>
      <c r="J725" s="254">
        <v>-4.3550000000000004E-3</v>
      </c>
      <c r="K725" s="254">
        <v>1.7490000000000002E-2</v>
      </c>
      <c r="L725" s="254">
        <v>-7.0909999999999992E-3</v>
      </c>
      <c r="M725" s="254">
        <v>-7.7349999999999997E-3</v>
      </c>
      <c r="N725" s="254">
        <v>4.764E-3</v>
      </c>
      <c r="O725" s="254">
        <v>1.3368E-2</v>
      </c>
      <c r="P725" s="254">
        <v>2.8511000000000002E-2</v>
      </c>
      <c r="Q725" s="254">
        <v>3.7219999999999996E-3</v>
      </c>
      <c r="R725" s="254">
        <v>5.3559999999999997E-3</v>
      </c>
      <c r="S725" s="254">
        <v>-3.9387999999999999E-2</v>
      </c>
      <c r="T725" s="254">
        <v>5.9419999999999994E-3</v>
      </c>
      <c r="U725" s="254">
        <v>-1.1176999999999999E-2</v>
      </c>
      <c r="V725" s="254">
        <v>0</v>
      </c>
      <c r="W725" s="254">
        <v>-4.3610000000000003E-3</v>
      </c>
      <c r="X725" s="254">
        <v>-1.5073000000000001E-2</v>
      </c>
      <c r="Y725" s="254">
        <v>-7.8949999999999992E-3</v>
      </c>
      <c r="Z725" s="246">
        <f ca="1">[1]ExtEntry!$M24</f>
        <v>-7.8949999999999992E-3</v>
      </c>
      <c r="AB725" s="251">
        <v>2</v>
      </c>
      <c r="AC725" s="251">
        <v>1</v>
      </c>
      <c r="AD725" s="251">
        <v>9</v>
      </c>
      <c r="AE725" s="286">
        <v>7</v>
      </c>
      <c r="AF725" s="286">
        <v>5</v>
      </c>
      <c r="AG725" s="286">
        <v>4</v>
      </c>
      <c r="AH725" s="286">
        <v>4</v>
      </c>
      <c r="AI725" s="286">
        <v>4</v>
      </c>
      <c r="AJ725" s="286">
        <v>4</v>
      </c>
      <c r="AK725" s="286">
        <v>5</v>
      </c>
      <c r="AL725" s="286">
        <v>4</v>
      </c>
      <c r="AM725" s="275">
        <v>4</v>
      </c>
      <c r="AN725" s="275">
        <v>11</v>
      </c>
      <c r="AO725" s="275">
        <v>20</v>
      </c>
      <c r="AP725" s="275">
        <v>18</v>
      </c>
      <c r="AQ725" s="275">
        <v>19</v>
      </c>
      <c r="AR725" s="275">
        <v>18</v>
      </c>
      <c r="AS725" s="275">
        <v>20</v>
      </c>
      <c r="AT725" s="275">
        <v>20</v>
      </c>
      <c r="AU725" s="275">
        <v>20</v>
      </c>
      <c r="AV725" s="275">
        <f t="shared" si="60"/>
        <v>20</v>
      </c>
      <c r="AX725" s="88" t="str">
        <f t="shared" ca="1" si="61"/>
        <v>HPE</v>
      </c>
    </row>
    <row r="726" spans="1:50" hidden="1" x14ac:dyDescent="0.3">
      <c r="A726" s="88" t="str">
        <f t="shared" ca="1" si="59"/>
        <v>HPQ</v>
      </c>
      <c r="C726" s="677"/>
      <c r="D726" s="677"/>
      <c r="F726" s="254">
        <v>4.3326999999999997E-2</v>
      </c>
      <c r="G726" s="254">
        <v>4.9049999999999996E-3</v>
      </c>
      <c r="H726" s="254">
        <v>-4.8758999999999997E-2</v>
      </c>
      <c r="I726" s="254">
        <v>6.2500000000000003E-3</v>
      </c>
      <c r="J726" s="254">
        <v>1.0412999999999999E-2</v>
      </c>
      <c r="K726" s="254">
        <v>1.8076999999999999E-2</v>
      </c>
      <c r="L726" s="254">
        <v>-1.7756000000000001E-2</v>
      </c>
      <c r="M726" s="254">
        <v>-1.7756000000000001E-2</v>
      </c>
      <c r="N726" s="254">
        <v>5.9650000000000007E-3</v>
      </c>
      <c r="O726" s="254">
        <v>-6.1089999999999998E-3</v>
      </c>
      <c r="P726" s="254">
        <v>9.2189999999999998E-3</v>
      </c>
      <c r="Q726" s="254">
        <v>5.1929999999999997E-3</v>
      </c>
      <c r="R726" s="254">
        <v>-6.8589999999999996E-3</v>
      </c>
      <c r="S726" s="254">
        <v>-3.7949000000000004E-2</v>
      </c>
      <c r="T726" s="254">
        <v>2.6985000000000002E-2</v>
      </c>
      <c r="U726" s="254">
        <v>-1.7266999999999998E-2</v>
      </c>
      <c r="V726" s="254">
        <v>1.72E-3</v>
      </c>
      <c r="W726" s="254">
        <v>-1.8695E-2</v>
      </c>
      <c r="X726" s="254">
        <v>-6.9959999999999996E-3</v>
      </c>
      <c r="Y726" s="254">
        <v>-7.4860000000000005E-3</v>
      </c>
      <c r="Z726" s="246">
        <f ca="1">[1]ExtEntry!$M25</f>
        <v>-7.4860000000000005E-3</v>
      </c>
      <c r="AB726" s="251">
        <v>4</v>
      </c>
      <c r="AC726" s="251">
        <v>5</v>
      </c>
      <c r="AD726" s="251">
        <v>6</v>
      </c>
      <c r="AE726" s="286">
        <v>8</v>
      </c>
      <c r="AF726" s="286">
        <v>8</v>
      </c>
      <c r="AG726" s="286">
        <v>9</v>
      </c>
      <c r="AH726" s="286">
        <v>7</v>
      </c>
      <c r="AI726" s="286">
        <v>7</v>
      </c>
      <c r="AJ726" s="286">
        <v>7</v>
      </c>
      <c r="AK726" s="286">
        <v>2</v>
      </c>
      <c r="AL726" s="286">
        <v>3</v>
      </c>
      <c r="AM726" s="275">
        <v>2</v>
      </c>
      <c r="AN726" s="275">
        <v>1</v>
      </c>
      <c r="AO726" s="275">
        <v>1</v>
      </c>
      <c r="AP726" s="275">
        <v>1</v>
      </c>
      <c r="AQ726" s="275">
        <v>4</v>
      </c>
      <c r="AR726" s="275">
        <v>20</v>
      </c>
      <c r="AS726" s="275">
        <v>19</v>
      </c>
      <c r="AT726" s="275">
        <v>19</v>
      </c>
      <c r="AU726" s="275">
        <v>18</v>
      </c>
      <c r="AV726" s="275">
        <f t="shared" si="60"/>
        <v>18</v>
      </c>
      <c r="AX726" s="88" t="str">
        <f t="shared" ca="1" si="61"/>
        <v>HPQ</v>
      </c>
    </row>
    <row r="727" spans="1:50" hidden="1" x14ac:dyDescent="0.3">
      <c r="A727" s="88" t="str">
        <f t="shared" ca="1" si="59"/>
        <v>IAG</v>
      </c>
      <c r="C727" s="677"/>
      <c r="D727" s="677"/>
      <c r="F727" s="254">
        <v>-4.8999999999999998E-4</v>
      </c>
      <c r="G727" s="254">
        <v>-1.225E-3</v>
      </c>
      <c r="H727" s="254">
        <v>-2.9449999999999997E-3</v>
      </c>
      <c r="I727" s="254">
        <v>-3.7164999999999997E-2</v>
      </c>
      <c r="J727" s="254">
        <v>1.2270000000000001E-2</v>
      </c>
      <c r="K727" s="254">
        <v>-5.5560000000000002E-3</v>
      </c>
      <c r="L727" s="254">
        <v>2.2345999999999998E-2</v>
      </c>
      <c r="M727" s="254">
        <v>2.2345999999999998E-2</v>
      </c>
      <c r="N727" s="254">
        <v>2.235E-3</v>
      </c>
      <c r="O727" s="254">
        <v>1.6108999999999998E-2</v>
      </c>
      <c r="P727" s="254">
        <v>-1.707E-3</v>
      </c>
      <c r="Q727" s="254">
        <v>7.3299999999999997E-3</v>
      </c>
      <c r="R727" s="254">
        <v>1.6678999999999999E-2</v>
      </c>
      <c r="S727" s="254">
        <v>-1.1693E-2</v>
      </c>
      <c r="T727" s="254">
        <v>6.1519999999999995E-3</v>
      </c>
      <c r="U727" s="254">
        <v>-2.6105E-2</v>
      </c>
      <c r="V727" s="254">
        <v>-0.115673</v>
      </c>
      <c r="W727" s="254">
        <v>-2.0969999999999999E-2</v>
      </c>
      <c r="X727" s="254">
        <v>-2.454E-3</v>
      </c>
      <c r="Y727" s="254">
        <v>1.6966999999999999E-2</v>
      </c>
      <c r="Z727" s="246">
        <f ca="1">[1]ExtEntry!$M26</f>
        <v>1.6966999999999999E-2</v>
      </c>
      <c r="AB727" s="251">
        <v>1</v>
      </c>
      <c r="AC727" s="251">
        <v>2</v>
      </c>
      <c r="AD727" s="251">
        <v>3</v>
      </c>
      <c r="AE727" s="286">
        <v>3</v>
      </c>
      <c r="AF727" s="286">
        <v>1</v>
      </c>
      <c r="AG727" s="286">
        <v>7</v>
      </c>
      <c r="AH727" s="286">
        <v>6</v>
      </c>
      <c r="AI727" s="286">
        <v>6</v>
      </c>
      <c r="AJ727" s="286">
        <v>6</v>
      </c>
      <c r="AK727" s="286">
        <v>15</v>
      </c>
      <c r="AL727" s="286">
        <v>10</v>
      </c>
      <c r="AM727" s="275">
        <v>11</v>
      </c>
      <c r="AN727" s="275">
        <v>20</v>
      </c>
      <c r="AO727" s="275">
        <v>20</v>
      </c>
      <c r="AP727" s="275">
        <v>20</v>
      </c>
      <c r="AQ727" s="275">
        <v>19</v>
      </c>
      <c r="AR727" s="275">
        <v>17</v>
      </c>
      <c r="AS727" s="275">
        <v>15</v>
      </c>
      <c r="AT727" s="275">
        <v>12</v>
      </c>
      <c r="AU727" s="275">
        <v>12</v>
      </c>
      <c r="AV727" s="275">
        <f t="shared" si="60"/>
        <v>12</v>
      </c>
      <c r="AX727" s="88" t="str">
        <f t="shared" ca="1" si="61"/>
        <v>IAG</v>
      </c>
    </row>
    <row r="728" spans="1:50" hidden="1" x14ac:dyDescent="0.3">
      <c r="A728" s="88" t="str">
        <f t="shared" ca="1" si="59"/>
        <v>KR</v>
      </c>
      <c r="C728" s="677"/>
      <c r="D728" s="677"/>
      <c r="F728" s="254">
        <v>2.9793E-2</v>
      </c>
      <c r="G728" s="254">
        <v>-3.6159999999999995E-4</v>
      </c>
      <c r="H728" s="254">
        <v>-3.039E-3</v>
      </c>
      <c r="I728" s="254">
        <v>1.5970000000000001E-3</v>
      </c>
      <c r="J728" s="254">
        <v>2.464E-3</v>
      </c>
      <c r="K728" s="254">
        <v>-2.2269999999999998E-2</v>
      </c>
      <c r="L728" s="254">
        <v>1.4940999999999999E-2</v>
      </c>
      <c r="M728" s="254">
        <v>1.4940999999999999E-2</v>
      </c>
      <c r="N728" s="254">
        <v>8.7460000000000001E-4</v>
      </c>
      <c r="O728" s="254">
        <v>-2.2721000000000002E-2</v>
      </c>
      <c r="P728" s="254">
        <v>1.3634E-2</v>
      </c>
      <c r="Q728" s="254">
        <v>-4.9979999999999998E-3</v>
      </c>
      <c r="R728" s="254">
        <v>-9.1610000000000007E-3</v>
      </c>
      <c r="S728" s="254">
        <v>4.0980000000000001E-3</v>
      </c>
      <c r="T728" s="254">
        <v>-9.5669999999999991E-3</v>
      </c>
      <c r="U728" s="254">
        <v>3.9589999999999998E-3</v>
      </c>
      <c r="V728" s="254">
        <v>2.3254E-2</v>
      </c>
      <c r="W728" s="254">
        <v>1.6687E-2</v>
      </c>
      <c r="X728" s="254">
        <v>1.9743E-2</v>
      </c>
      <c r="Y728" s="254">
        <v>2.5230000000000001E-3</v>
      </c>
      <c r="Z728" s="246">
        <f ca="1">[1]ExtEntry!$M27</f>
        <v>2.5230000000000001E-3</v>
      </c>
      <c r="AB728" s="251">
        <v>19</v>
      </c>
      <c r="AC728" s="251">
        <v>20</v>
      </c>
      <c r="AD728" s="251">
        <v>19</v>
      </c>
      <c r="AE728" s="286">
        <v>18</v>
      </c>
      <c r="AF728" s="286">
        <v>6</v>
      </c>
      <c r="AG728" s="286">
        <v>7</v>
      </c>
      <c r="AH728" s="286">
        <v>7</v>
      </c>
      <c r="AI728" s="286">
        <v>7</v>
      </c>
      <c r="AJ728" s="286">
        <v>15</v>
      </c>
      <c r="AK728" s="286">
        <v>16</v>
      </c>
      <c r="AL728" s="286">
        <v>17</v>
      </c>
      <c r="AM728" s="275">
        <v>16</v>
      </c>
      <c r="AN728" s="275">
        <v>9</v>
      </c>
      <c r="AO728" s="275">
        <v>7</v>
      </c>
      <c r="AP728" s="275">
        <v>1</v>
      </c>
      <c r="AQ728" s="275">
        <v>20</v>
      </c>
      <c r="AR728" s="275">
        <v>20</v>
      </c>
      <c r="AS728" s="275">
        <v>20</v>
      </c>
      <c r="AT728" s="275">
        <v>20</v>
      </c>
      <c r="AU728" s="275">
        <v>19</v>
      </c>
      <c r="AV728" s="275">
        <f t="shared" si="60"/>
        <v>19</v>
      </c>
      <c r="AX728" s="88" t="str">
        <f t="shared" ca="1" si="61"/>
        <v>KR</v>
      </c>
    </row>
    <row r="729" spans="1:50" hidden="1" x14ac:dyDescent="0.3">
      <c r="A729" s="88" t="str">
        <f t="shared" ca="1" si="59"/>
        <v>LNSR</v>
      </c>
      <c r="C729" s="677"/>
      <c r="D729" s="677"/>
      <c r="F729" s="254">
        <v>8.3540000000000003E-4</v>
      </c>
      <c r="G729" s="254">
        <v>-2.3372E-2</v>
      </c>
      <c r="H729" s="254">
        <v>1.8088E-2</v>
      </c>
      <c r="I729" s="254">
        <v>2.5380000000000003E-3</v>
      </c>
      <c r="J729" s="254">
        <v>3.6287E-2</v>
      </c>
      <c r="K729" s="254">
        <v>-1.6289999999999998E-3</v>
      </c>
      <c r="L729" s="254">
        <v>-3.2629999999999998E-3</v>
      </c>
      <c r="M729" s="254">
        <v>-3.2629999999999998E-3</v>
      </c>
      <c r="N729" s="254">
        <v>-1.9640000000000001E-2</v>
      </c>
      <c r="O729" s="254">
        <v>-8.3470000000000007E-4</v>
      </c>
      <c r="P729" s="254">
        <v>-9.1900000000000003E-3</v>
      </c>
      <c r="Q729" s="254">
        <v>8.4320000000000011E-4</v>
      </c>
      <c r="R729" s="254">
        <v>1.2605E-2</v>
      </c>
      <c r="S729" s="254">
        <v>-2.64E-2</v>
      </c>
      <c r="T729" s="254">
        <v>2.9605000000000003E-2</v>
      </c>
      <c r="U729" s="254">
        <v>-7.1085999999999996E-2</v>
      </c>
      <c r="V729" s="254">
        <v>-7.0804000000000006E-2</v>
      </c>
      <c r="W729" s="254">
        <v>-1.3658999999999999E-2</v>
      </c>
      <c r="X729" s="254">
        <v>1.1155999999999999E-2</v>
      </c>
      <c r="Y729" s="254">
        <v>1.2036E-2</v>
      </c>
      <c r="Z729" s="246">
        <f ca="1">[1]ExtEntry!$M28</f>
        <v>1.2036E-2</v>
      </c>
      <c r="AB729" s="251">
        <v>3</v>
      </c>
      <c r="AC729" s="251">
        <v>1</v>
      </c>
      <c r="AD729" s="251">
        <v>3</v>
      </c>
      <c r="AE729" s="286">
        <v>5</v>
      </c>
      <c r="AF729" s="286">
        <v>2</v>
      </c>
      <c r="AG729" s="286">
        <v>1</v>
      </c>
      <c r="AH729" s="286">
        <v>5</v>
      </c>
      <c r="AI729" s="286">
        <v>5</v>
      </c>
      <c r="AJ729" s="286">
        <v>1</v>
      </c>
      <c r="AK729" s="286">
        <v>1</v>
      </c>
      <c r="AL729" s="286">
        <v>1</v>
      </c>
      <c r="AM729" s="275">
        <v>1</v>
      </c>
      <c r="AN729" s="275">
        <v>1</v>
      </c>
      <c r="AO729" s="275">
        <v>1</v>
      </c>
      <c r="AP729" s="275">
        <v>1</v>
      </c>
      <c r="AQ729" s="275">
        <v>2</v>
      </c>
      <c r="AR729" s="275">
        <v>4</v>
      </c>
      <c r="AS729" s="275">
        <v>9</v>
      </c>
      <c r="AT729" s="275">
        <v>11</v>
      </c>
      <c r="AU729" s="275">
        <v>12</v>
      </c>
      <c r="AV729" s="275">
        <f t="shared" si="60"/>
        <v>12</v>
      </c>
      <c r="AX729" s="88" t="str">
        <f t="shared" ca="1" si="61"/>
        <v>LNSR</v>
      </c>
    </row>
    <row r="730" spans="1:50" hidden="1" x14ac:dyDescent="0.3">
      <c r="A730" s="88" t="str">
        <f t="shared" ca="1" si="59"/>
        <v>LUMN</v>
      </c>
      <c r="C730" s="677"/>
      <c r="D730" s="677"/>
      <c r="F730" s="254">
        <v>1.7778000000000002E-2</v>
      </c>
      <c r="G730" s="254">
        <v>4.4396000000000005E-2</v>
      </c>
      <c r="H730" s="254">
        <v>-3.3700000000000001E-2</v>
      </c>
      <c r="I730" s="254">
        <v>-1.7094000000000002E-2</v>
      </c>
      <c r="J730" s="254">
        <v>3.6956999999999997E-2</v>
      </c>
      <c r="K730" s="254">
        <v>2.0950000000000001E-3</v>
      </c>
      <c r="L730" s="254">
        <v>-1.6736000000000001E-2</v>
      </c>
      <c r="M730" s="254">
        <v>-1.6736000000000001E-2</v>
      </c>
      <c r="N730" s="254">
        <v>0.105824</v>
      </c>
      <c r="O730" s="254">
        <v>3.7869E-2</v>
      </c>
      <c r="P730" s="254">
        <v>0.15945600000000001</v>
      </c>
      <c r="Q730" s="254">
        <v>7.5320999999999999E-2</v>
      </c>
      <c r="R730" s="254">
        <v>-0.06</v>
      </c>
      <c r="S730" s="254">
        <v>-9.9746000000000001E-2</v>
      </c>
      <c r="T730" s="254">
        <v>2.9885999999999999E-2</v>
      </c>
      <c r="U730" s="254">
        <v>-3.6830000000000001E-3</v>
      </c>
      <c r="V730" s="254">
        <v>-4.1589999999999995E-2</v>
      </c>
      <c r="W730" s="254">
        <v>-1.5394000000000001E-2</v>
      </c>
      <c r="X730" s="254">
        <v>-5.4591000000000001E-2</v>
      </c>
      <c r="Y730" s="254">
        <v>-1.3779999999999999E-2</v>
      </c>
      <c r="Z730" s="246">
        <f ca="1">[1]ExtEntry!$M29</f>
        <v>-1.3779999999999999E-2</v>
      </c>
      <c r="AB730" s="251">
        <v>10</v>
      </c>
      <c r="AC730" s="251">
        <v>4</v>
      </c>
      <c r="AD730" s="251">
        <v>9</v>
      </c>
      <c r="AE730" s="286">
        <v>13</v>
      </c>
      <c r="AF730" s="286">
        <v>9</v>
      </c>
      <c r="AG730" s="286">
        <v>8</v>
      </c>
      <c r="AH730" s="286">
        <v>12</v>
      </c>
      <c r="AI730" s="286">
        <v>12</v>
      </c>
      <c r="AJ730" s="286">
        <v>15</v>
      </c>
      <c r="AK730" s="286">
        <v>14</v>
      </c>
      <c r="AL730" s="286">
        <v>16</v>
      </c>
      <c r="AM730" s="275">
        <v>20</v>
      </c>
      <c r="AN730" s="275">
        <v>3</v>
      </c>
      <c r="AO730" s="275">
        <v>20</v>
      </c>
      <c r="AP730" s="275">
        <v>20</v>
      </c>
      <c r="AQ730" s="275">
        <v>18</v>
      </c>
      <c r="AR730" s="275">
        <v>17</v>
      </c>
      <c r="AS730" s="275">
        <v>16</v>
      </c>
      <c r="AT730" s="275">
        <v>15</v>
      </c>
      <c r="AU730" s="275">
        <v>17</v>
      </c>
      <c r="AV730" s="275">
        <f t="shared" si="60"/>
        <v>17</v>
      </c>
      <c r="AX730" s="88" t="str">
        <f t="shared" ca="1" si="61"/>
        <v>LUMN</v>
      </c>
    </row>
    <row r="731" spans="1:50" hidden="1" x14ac:dyDescent="0.3">
      <c r="A731" s="88" t="str">
        <f t="shared" ca="1" si="59"/>
        <v>MRNA</v>
      </c>
      <c r="C731" s="677"/>
      <c r="D731" s="677"/>
      <c r="F731" s="254">
        <v>-1.8325000000000001E-2</v>
      </c>
      <c r="G731" s="254">
        <v>5.7332999999999995E-2</v>
      </c>
      <c r="H731" s="254">
        <v>-2.0924000000000002E-2</v>
      </c>
      <c r="I731" s="254">
        <v>-4.1635999999999999E-2</v>
      </c>
      <c r="J731" s="254">
        <v>4.7289999999999999E-2</v>
      </c>
      <c r="K731" s="254">
        <v>9.1779999999999987E-3</v>
      </c>
      <c r="L731" s="254">
        <v>-2.3281E-2</v>
      </c>
      <c r="M731" s="254">
        <v>-2.3281E-2</v>
      </c>
      <c r="N731" s="254">
        <v>-2.2345999999999998E-2</v>
      </c>
      <c r="O731" s="254">
        <v>1.8667E-2</v>
      </c>
      <c r="P731" s="254">
        <v>-2.9920000000000003E-3</v>
      </c>
      <c r="Q731" s="254">
        <v>-4.9137000000000007E-2</v>
      </c>
      <c r="R731" s="254">
        <v>0.13927100000000001</v>
      </c>
      <c r="S731" s="254">
        <v>-4.5564E-2</v>
      </c>
      <c r="T731" s="254">
        <v>-8.0000000000000002E-3</v>
      </c>
      <c r="U731" s="254">
        <v>2.3132E-2</v>
      </c>
      <c r="V731" s="254">
        <v>8.0149999999999996E-3</v>
      </c>
      <c r="W731" s="254">
        <v>-7.6119999999999998E-3</v>
      </c>
      <c r="X731" s="254">
        <v>6.4619999999999999E-3</v>
      </c>
      <c r="Y731" s="254">
        <v>-2.5682E-2</v>
      </c>
      <c r="Z731" s="246">
        <f ca="1">[1]ExtEntry!$M30</f>
        <v>-2.5682E-2</v>
      </c>
      <c r="AB731" s="251">
        <v>14</v>
      </c>
      <c r="AC731" s="251">
        <v>15</v>
      </c>
      <c r="AD731" s="251">
        <v>16</v>
      </c>
      <c r="AE731" s="286">
        <v>13</v>
      </c>
      <c r="AF731" s="286">
        <v>8</v>
      </c>
      <c r="AG731" s="286">
        <v>7</v>
      </c>
      <c r="AH731" s="286">
        <v>5</v>
      </c>
      <c r="AI731" s="286">
        <v>5</v>
      </c>
      <c r="AJ731" s="286">
        <v>5</v>
      </c>
      <c r="AK731" s="286">
        <v>3</v>
      </c>
      <c r="AL731" s="286">
        <v>1</v>
      </c>
      <c r="AM731" s="275">
        <v>1</v>
      </c>
      <c r="AN731" s="275">
        <v>3</v>
      </c>
      <c r="AO731" s="275">
        <v>15</v>
      </c>
      <c r="AP731" s="275">
        <v>20</v>
      </c>
      <c r="AQ731" s="275">
        <v>20</v>
      </c>
      <c r="AR731" s="275">
        <v>19</v>
      </c>
      <c r="AS731" s="275">
        <v>17</v>
      </c>
      <c r="AT731" s="275">
        <v>20</v>
      </c>
      <c r="AU731" s="275">
        <v>20</v>
      </c>
      <c r="AV731" s="275">
        <f t="shared" si="60"/>
        <v>20</v>
      </c>
      <c r="AX731" s="88" t="str">
        <f t="shared" ca="1" si="61"/>
        <v>MRNA</v>
      </c>
    </row>
    <row r="732" spans="1:50" hidden="1" x14ac:dyDescent="0.3">
      <c r="A732" s="88" t="str">
        <f t="shared" ca="1" si="59"/>
        <v>MSFT</v>
      </c>
      <c r="C732" s="677"/>
      <c r="D732" s="677"/>
      <c r="F732" s="254">
        <v>-9.3380000000000004E-4</v>
      </c>
      <c r="G732" s="254">
        <v>-2.1029999999999998E-3</v>
      </c>
      <c r="H732" s="254">
        <v>-3.545E-3</v>
      </c>
      <c r="I732" s="254">
        <v>3.8509999999999998E-3</v>
      </c>
      <c r="J732" s="254">
        <v>6.2500000000000003E-3</v>
      </c>
      <c r="K732" s="254">
        <v>1.683E-3</v>
      </c>
      <c r="L732" s="254">
        <v>5.5630000000000002E-3</v>
      </c>
      <c r="M732" s="254">
        <v>5.5630000000000002E-3</v>
      </c>
      <c r="N732" s="254">
        <v>3.8420000000000001E-5</v>
      </c>
      <c r="O732" s="254">
        <v>5.8589999999999996E-3</v>
      </c>
      <c r="P732" s="254">
        <v>1.5106999999999999E-2</v>
      </c>
      <c r="Q732" s="254">
        <v>1.9849000000000002E-2</v>
      </c>
      <c r="R732" s="254">
        <v>-2.9049999999999999E-2</v>
      </c>
      <c r="S732" s="254">
        <v>-5.6860000000000001E-3</v>
      </c>
      <c r="T732" s="254">
        <v>-1.3939999999999999E-2</v>
      </c>
      <c r="U732" s="254">
        <v>-1.9737000000000001E-2</v>
      </c>
      <c r="V732" s="254">
        <v>1.0660000000000001E-3</v>
      </c>
      <c r="W732" s="254">
        <v>1.3690000000000001E-2</v>
      </c>
      <c r="X732" s="254">
        <v>-2.6996000000000003E-2</v>
      </c>
      <c r="Y732" s="254">
        <v>-1.4581E-2</v>
      </c>
      <c r="Z732" s="246">
        <f ca="1">[1]ExtEntry!$M31</f>
        <v>-1.4581E-2</v>
      </c>
      <c r="AB732" s="251">
        <v>1</v>
      </c>
      <c r="AC732" s="251">
        <v>1</v>
      </c>
      <c r="AD732" s="251">
        <v>2</v>
      </c>
      <c r="AE732" s="286">
        <v>4</v>
      </c>
      <c r="AF732" s="286">
        <v>3</v>
      </c>
      <c r="AG732" s="286">
        <v>8</v>
      </c>
      <c r="AH732" s="286">
        <v>12</v>
      </c>
      <c r="AI732" s="286">
        <v>12</v>
      </c>
      <c r="AJ732" s="286">
        <v>12</v>
      </c>
      <c r="AK732" s="286">
        <v>6</v>
      </c>
      <c r="AL732" s="286">
        <v>1</v>
      </c>
      <c r="AM732" s="275">
        <v>13</v>
      </c>
      <c r="AN732" s="275">
        <v>18</v>
      </c>
      <c r="AO732" s="275">
        <v>19</v>
      </c>
      <c r="AP732" s="275">
        <v>18</v>
      </c>
      <c r="AQ732" s="275">
        <v>17</v>
      </c>
      <c r="AR732" s="275">
        <v>10</v>
      </c>
      <c r="AS732" s="275">
        <v>10</v>
      </c>
      <c r="AT732" s="275">
        <v>5</v>
      </c>
      <c r="AU732" s="275">
        <v>5</v>
      </c>
      <c r="AV732" s="275">
        <f t="shared" si="60"/>
        <v>5</v>
      </c>
      <c r="AX732" s="88" t="str">
        <f t="shared" ca="1" si="61"/>
        <v>MSFT</v>
      </c>
    </row>
    <row r="733" spans="1:50" hidden="1" x14ac:dyDescent="0.3">
      <c r="A733" s="88" t="str">
        <f t="shared" ca="1" si="59"/>
        <v>NEE</v>
      </c>
      <c r="C733" s="677"/>
      <c r="D733" s="677"/>
      <c r="F733" s="254">
        <v>3.9740000000000001E-3</v>
      </c>
      <c r="G733" s="254">
        <v>1.3587E-2</v>
      </c>
      <c r="H733" s="254">
        <v>-8.626E-3</v>
      </c>
      <c r="I733" s="254">
        <v>-6.1140000000000005E-3</v>
      </c>
      <c r="J733" s="254">
        <v>2.898E-3</v>
      </c>
      <c r="K733" s="254">
        <v>-9.2010000000000008E-3</v>
      </c>
      <c r="L733" s="254">
        <v>-1.3573E-2</v>
      </c>
      <c r="M733" s="254">
        <v>-1.3573E-2</v>
      </c>
      <c r="N733" s="254">
        <v>5.1910000000000003E-3</v>
      </c>
      <c r="O733" s="254">
        <v>1.3934E-2</v>
      </c>
      <c r="P733" s="254">
        <v>1.8837E-2</v>
      </c>
      <c r="Q733" s="254">
        <v>-2.8826999999999998E-2</v>
      </c>
      <c r="R733" s="254">
        <v>-1.712E-3</v>
      </c>
      <c r="S733" s="254">
        <v>-3.9129999999999998E-3</v>
      </c>
      <c r="T733" s="254">
        <v>5.5089999999999991E-3</v>
      </c>
      <c r="U733" s="254">
        <v>3.0439999999999998E-3</v>
      </c>
      <c r="V733" s="254">
        <v>2.0853999999999998E-2</v>
      </c>
      <c r="W733" s="254">
        <v>-1.6669999999999999E-3</v>
      </c>
      <c r="X733" s="254">
        <v>-1.2244999999999999E-2</v>
      </c>
      <c r="Y733" s="254">
        <v>8.2699999999999994E-4</v>
      </c>
      <c r="Z733" s="246">
        <f ca="1">[1]ExtEntry!$M32</f>
        <v>8.2699999999999994E-4</v>
      </c>
      <c r="AB733" s="251">
        <v>1</v>
      </c>
      <c r="AC733" s="251">
        <v>1</v>
      </c>
      <c r="AD733" s="251">
        <v>1</v>
      </c>
      <c r="AE733" s="286">
        <v>3</v>
      </c>
      <c r="AF733" s="286">
        <v>2</v>
      </c>
      <c r="AG733" s="286">
        <v>11</v>
      </c>
      <c r="AH733" s="286">
        <v>8</v>
      </c>
      <c r="AI733" s="286">
        <v>8</v>
      </c>
      <c r="AJ733" s="286">
        <v>7</v>
      </c>
      <c r="AK733" s="286">
        <v>20</v>
      </c>
      <c r="AL733" s="286">
        <v>20</v>
      </c>
      <c r="AM733" s="275">
        <v>19</v>
      </c>
      <c r="AN733" s="275">
        <v>18</v>
      </c>
      <c r="AO733" s="275">
        <v>19</v>
      </c>
      <c r="AP733" s="275">
        <v>17</v>
      </c>
      <c r="AQ733" s="275">
        <v>15</v>
      </c>
      <c r="AR733" s="275">
        <v>13</v>
      </c>
      <c r="AS733" s="275">
        <v>8</v>
      </c>
      <c r="AT733" s="275">
        <v>11</v>
      </c>
      <c r="AU733" s="275">
        <v>8</v>
      </c>
      <c r="AV733" s="275">
        <f t="shared" si="60"/>
        <v>8</v>
      </c>
      <c r="AX733" s="88" t="str">
        <f t="shared" ca="1" si="61"/>
        <v>NEE</v>
      </c>
    </row>
    <row r="734" spans="1:50" hidden="1" x14ac:dyDescent="0.3">
      <c r="A734" s="88" t="str">
        <f t="shared" ca="1" si="59"/>
        <v>NEM</v>
      </c>
      <c r="C734" s="677"/>
      <c r="D734" s="677"/>
      <c r="F734" s="254">
        <v>1.2751999999999999E-2</v>
      </c>
      <c r="G734" s="254">
        <v>3.4238999999999999E-2</v>
      </c>
      <c r="H734" s="254">
        <v>4.9904000000000004E-2</v>
      </c>
      <c r="I734" s="254">
        <v>-7.6319999999999999E-2</v>
      </c>
      <c r="J734" s="254">
        <v>4.5444999999999999E-2</v>
      </c>
      <c r="K734" s="254">
        <v>-9.0472999999999998E-2</v>
      </c>
      <c r="L734" s="254">
        <v>7.8779999999999996E-3</v>
      </c>
      <c r="M734" s="254">
        <v>7.8779999999999996E-3</v>
      </c>
      <c r="N734" s="254">
        <v>2.1262E-2</v>
      </c>
      <c r="O734" s="254">
        <v>-6.2759999999999996E-2</v>
      </c>
      <c r="P734" s="254">
        <v>-5.6974999999999998E-2</v>
      </c>
      <c r="Q734" s="254">
        <v>8.9020000000000002E-3</v>
      </c>
      <c r="R734" s="254">
        <v>3.3388000000000001E-2</v>
      </c>
      <c r="S734" s="254">
        <v>-3.2590000000000001E-2</v>
      </c>
      <c r="T734" s="254">
        <v>3.4473999999999998E-2</v>
      </c>
      <c r="U734" s="254">
        <v>1.2063999999999998E-2</v>
      </c>
      <c r="V734" s="254">
        <v>9.9360000000000004E-3</v>
      </c>
      <c r="W734" s="254">
        <v>-2.1400000000000002E-2</v>
      </c>
      <c r="X734" s="254">
        <v>-5.5120000000000004E-3</v>
      </c>
      <c r="Y734" s="254">
        <v>1.149E-2</v>
      </c>
      <c r="Z734" s="246">
        <f ca="1">[1]ExtEntry!$M33</f>
        <v>1.149E-2</v>
      </c>
      <c r="AB734" s="251">
        <v>8</v>
      </c>
      <c r="AC734" s="251">
        <v>13</v>
      </c>
      <c r="AD734" s="251">
        <v>17</v>
      </c>
      <c r="AE734" s="286">
        <v>14</v>
      </c>
      <c r="AF734" s="286">
        <v>1</v>
      </c>
      <c r="AG734" s="286">
        <v>1</v>
      </c>
      <c r="AH734" s="286">
        <v>20</v>
      </c>
      <c r="AI734" s="286">
        <v>19</v>
      </c>
      <c r="AJ734" s="286">
        <v>20</v>
      </c>
      <c r="AK734" s="286">
        <v>20</v>
      </c>
      <c r="AL734" s="286">
        <v>20</v>
      </c>
      <c r="AM734" s="275">
        <v>18</v>
      </c>
      <c r="AN734" s="275">
        <v>20</v>
      </c>
      <c r="AO734" s="275">
        <v>20</v>
      </c>
      <c r="AP734" s="275">
        <v>16</v>
      </c>
      <c r="AQ734" s="275">
        <v>18</v>
      </c>
      <c r="AR734" s="275">
        <v>14</v>
      </c>
      <c r="AS734" s="275">
        <v>12</v>
      </c>
      <c r="AT734" s="275">
        <v>20</v>
      </c>
      <c r="AU734" s="275">
        <v>20</v>
      </c>
      <c r="AV734" s="275">
        <f t="shared" si="60"/>
        <v>20</v>
      </c>
      <c r="AX734" s="88" t="str">
        <f t="shared" ca="1" si="61"/>
        <v>NEM</v>
      </c>
    </row>
    <row r="735" spans="1:50" hidden="1" x14ac:dyDescent="0.3">
      <c r="A735" s="88" t="str">
        <f t="shared" ca="1" si="59"/>
        <v>NFLX</v>
      </c>
      <c r="C735" s="677"/>
      <c r="D735" s="677"/>
      <c r="F735" s="254">
        <v>-3.019E-3</v>
      </c>
      <c r="G735" s="254">
        <v>-7.2160000000000002E-3</v>
      </c>
      <c r="H735" s="254">
        <v>-1.6372000000000001E-2</v>
      </c>
      <c r="I735" s="254">
        <v>1.3324000000000001E-2</v>
      </c>
      <c r="J735" s="254">
        <v>3.2684000000000005E-2</v>
      </c>
      <c r="K735" s="254">
        <v>2.2529999999999998E-3</v>
      </c>
      <c r="L735" s="254">
        <v>-0.10068099999999999</v>
      </c>
      <c r="M735" s="254">
        <v>-0.10068099999999999</v>
      </c>
      <c r="N735" s="254">
        <v>-2.49E-3</v>
      </c>
      <c r="O735" s="254">
        <v>-1.6972000000000001E-2</v>
      </c>
      <c r="P735" s="254">
        <v>-1.188E-4</v>
      </c>
      <c r="Q735" s="254">
        <v>7.254E-3</v>
      </c>
      <c r="R735" s="254">
        <v>-1.0369E-2</v>
      </c>
      <c r="S735" s="254">
        <v>-1.111E-2</v>
      </c>
      <c r="T735" s="254">
        <v>5.032E-3</v>
      </c>
      <c r="U735" s="254">
        <v>-3.869E-3</v>
      </c>
      <c r="V735" s="254">
        <v>2.0330000000000001E-3</v>
      </c>
      <c r="W735" s="254">
        <v>-3.644E-2</v>
      </c>
      <c r="X735" s="254">
        <v>3.4455E-2</v>
      </c>
      <c r="Y735" s="254">
        <v>-3.7776999999999998E-2</v>
      </c>
      <c r="Z735" s="246">
        <f ca="1">[1]ExtEntry!$M34</f>
        <v>-3.7776999999999998E-2</v>
      </c>
      <c r="AB735" s="251">
        <v>10</v>
      </c>
      <c r="AC735" s="251">
        <v>13</v>
      </c>
      <c r="AD735" s="251">
        <v>18</v>
      </c>
      <c r="AE735" s="286">
        <v>20</v>
      </c>
      <c r="AF735" s="286">
        <v>18</v>
      </c>
      <c r="AG735" s="286">
        <v>17</v>
      </c>
      <c r="AH735" s="286">
        <v>20</v>
      </c>
      <c r="AI735" s="286">
        <v>19</v>
      </c>
      <c r="AJ735" s="286">
        <v>15</v>
      </c>
      <c r="AK735" s="286">
        <v>17</v>
      </c>
      <c r="AL735" s="286">
        <v>17</v>
      </c>
      <c r="AM735" s="275">
        <v>20</v>
      </c>
      <c r="AN735" s="275">
        <v>20</v>
      </c>
      <c r="AO735" s="275">
        <v>20</v>
      </c>
      <c r="AP735" s="275">
        <v>20</v>
      </c>
      <c r="AQ735" s="275">
        <v>20</v>
      </c>
      <c r="AR735" s="275">
        <v>19</v>
      </c>
      <c r="AS735" s="275">
        <v>20</v>
      </c>
      <c r="AT735" s="275">
        <v>20</v>
      </c>
      <c r="AU735" s="275">
        <v>20</v>
      </c>
      <c r="AV735" s="275">
        <f t="shared" si="60"/>
        <v>20</v>
      </c>
      <c r="AX735" s="88" t="str">
        <f t="shared" ca="1" si="61"/>
        <v>NFLX</v>
      </c>
    </row>
    <row r="736" spans="1:50" hidden="1" x14ac:dyDescent="0.3">
      <c r="A736" s="88" t="str">
        <f t="shared" ca="1" si="59"/>
        <v>NOTE</v>
      </c>
      <c r="C736" s="677"/>
      <c r="D736" s="677"/>
      <c r="F736" s="254">
        <v>1.9522999999999999E-2</v>
      </c>
      <c r="G736" s="254">
        <v>-1.1838999999999999E-2</v>
      </c>
      <c r="H736" s="254">
        <v>-5.9957000000000003E-2</v>
      </c>
      <c r="I736" s="254">
        <v>-3.1890999999999996E-2</v>
      </c>
      <c r="J736" s="254">
        <v>4.7058999999999997E-2</v>
      </c>
      <c r="K736" s="254">
        <v>8.9890000000000005E-3</v>
      </c>
      <c r="L736" s="254">
        <v>-5.5678999999999999E-2</v>
      </c>
      <c r="M736" s="254">
        <v>-5.5678999999999999E-2</v>
      </c>
      <c r="N736" s="254">
        <v>4.9527999999999996E-2</v>
      </c>
      <c r="O736" s="254">
        <v>-1.7978000000000001E-2</v>
      </c>
      <c r="P736" s="254">
        <v>-1.6017999999999998E-2</v>
      </c>
      <c r="Q736" s="254">
        <v>-3.4883999999999998E-2</v>
      </c>
      <c r="R736" s="254">
        <v>-5.0000000000000001E-3</v>
      </c>
      <c r="S736" s="254">
        <v>-7.3566000000000006E-2</v>
      </c>
      <c r="T736" s="254">
        <v>-0.10781700000000001</v>
      </c>
      <c r="U736" s="254">
        <v>-0.10410899999999999</v>
      </c>
      <c r="V736" s="254">
        <v>1.6667000000000001E-2</v>
      </c>
      <c r="W736" s="254">
        <v>3.9529999999999999E-3</v>
      </c>
      <c r="X736" s="254">
        <v>-5.8823999999999994E-2</v>
      </c>
      <c r="Y736" s="254">
        <v>-4.9107000000000005E-2</v>
      </c>
      <c r="Z736" s="246">
        <f ca="1">[1]ExtEntry!$M35</f>
        <v>-4.9107000000000005E-2</v>
      </c>
      <c r="AB736" s="251">
        <v>3</v>
      </c>
      <c r="AC736" s="251">
        <v>1</v>
      </c>
      <c r="AD736" s="251">
        <v>1</v>
      </c>
      <c r="AE736" s="286">
        <v>14</v>
      </c>
      <c r="AF736" s="286">
        <v>6</v>
      </c>
      <c r="AG736" s="286">
        <v>20</v>
      </c>
      <c r="AH736" s="286">
        <v>19</v>
      </c>
      <c r="AI736" s="286">
        <v>18</v>
      </c>
      <c r="AJ736" s="286">
        <v>17</v>
      </c>
      <c r="AK736" s="286">
        <v>16</v>
      </c>
      <c r="AL736" s="286">
        <v>20</v>
      </c>
      <c r="AM736" s="275">
        <v>19</v>
      </c>
      <c r="AN736" s="275">
        <v>17</v>
      </c>
      <c r="AO736" s="275">
        <v>20</v>
      </c>
      <c r="AP736" s="275">
        <v>19</v>
      </c>
      <c r="AQ736" s="275">
        <v>19</v>
      </c>
      <c r="AR736" s="275">
        <v>17</v>
      </c>
      <c r="AS736" s="275">
        <v>7</v>
      </c>
      <c r="AT736" s="275">
        <v>8</v>
      </c>
      <c r="AU736" s="275">
        <v>6</v>
      </c>
      <c r="AV736" s="275">
        <f t="shared" si="60"/>
        <v>6</v>
      </c>
      <c r="AX736" s="88" t="str">
        <f t="shared" ca="1" si="61"/>
        <v>NOTE</v>
      </c>
    </row>
    <row r="737" spans="1:50" hidden="1" x14ac:dyDescent="0.3">
      <c r="A737" s="88" t="str">
        <f t="shared" ca="1" si="59"/>
        <v>PAAS</v>
      </c>
      <c r="C737" s="677"/>
      <c r="D737" s="677"/>
      <c r="F737" s="254">
        <v>-3.1105000000000001E-2</v>
      </c>
      <c r="G737" s="254">
        <v>3.8441999999999997E-2</v>
      </c>
      <c r="H737" s="254">
        <v>2.4872000000000002E-2</v>
      </c>
      <c r="I737" s="254">
        <v>-8.5414999999999991E-2</v>
      </c>
      <c r="J737" s="254">
        <v>2.3673000000000003E-2</v>
      </c>
      <c r="K737" s="254">
        <v>-0.10017799999999999</v>
      </c>
      <c r="L737" s="254">
        <v>1.2274E-2</v>
      </c>
      <c r="M737" s="254">
        <v>1.2274E-2</v>
      </c>
      <c r="N737" s="254">
        <v>9.1970000000000003E-3</v>
      </c>
      <c r="O737" s="254">
        <v>3.0370000000000002E-3</v>
      </c>
      <c r="P737" s="254">
        <v>-4.4028999999999999E-2</v>
      </c>
      <c r="Q737" s="254">
        <v>1.4684999999999998E-2</v>
      </c>
      <c r="R737" s="254">
        <v>1.3108999999999999E-2</v>
      </c>
      <c r="S737" s="254">
        <v>-4.0362999999999996E-2</v>
      </c>
      <c r="T737" s="254">
        <v>1.7169E-2</v>
      </c>
      <c r="U737" s="254">
        <v>-7.4029999999999994E-4</v>
      </c>
      <c r="V737" s="254">
        <v>2.6305000000000002E-2</v>
      </c>
      <c r="W737" s="254">
        <v>-1.3828E-2</v>
      </c>
      <c r="X737" s="254">
        <v>1.8186999999999998E-2</v>
      </c>
      <c r="Y737" s="254">
        <v>1.1032E-2</v>
      </c>
      <c r="Z737" s="246">
        <f ca="1">[1]ExtEntry!$M36</f>
        <v>1.1032E-2</v>
      </c>
      <c r="AB737" s="251">
        <v>6</v>
      </c>
      <c r="AC737" s="251">
        <v>8</v>
      </c>
      <c r="AD737" s="251">
        <v>9</v>
      </c>
      <c r="AE737" s="286">
        <v>10</v>
      </c>
      <c r="AF737" s="286">
        <v>7</v>
      </c>
      <c r="AG737" s="286">
        <v>6</v>
      </c>
      <c r="AH737" s="286">
        <v>13</v>
      </c>
      <c r="AI737" s="286">
        <v>13</v>
      </c>
      <c r="AJ737" s="286">
        <v>16</v>
      </c>
      <c r="AK737" s="286">
        <v>13</v>
      </c>
      <c r="AL737" s="286">
        <v>13</v>
      </c>
      <c r="AM737" s="275">
        <v>5</v>
      </c>
      <c r="AN737" s="275">
        <v>6</v>
      </c>
      <c r="AO737" s="275">
        <v>8</v>
      </c>
      <c r="AP737" s="275">
        <v>9</v>
      </c>
      <c r="AQ737" s="275">
        <v>8</v>
      </c>
      <c r="AR737" s="275">
        <v>6</v>
      </c>
      <c r="AS737" s="275">
        <v>1</v>
      </c>
      <c r="AT737" s="275">
        <v>2</v>
      </c>
      <c r="AU737" s="275">
        <v>5</v>
      </c>
      <c r="AV737" s="275">
        <f t="shared" si="60"/>
        <v>5</v>
      </c>
      <c r="AX737" s="88" t="str">
        <f t="shared" ca="1" si="61"/>
        <v>PAAS</v>
      </c>
    </row>
    <row r="738" spans="1:50" hidden="1" x14ac:dyDescent="0.3">
      <c r="A738" s="88" t="str">
        <f t="shared" ca="1" si="59"/>
        <v>PROF</v>
      </c>
      <c r="C738" s="677"/>
      <c r="D738" s="677"/>
      <c r="F738" s="254">
        <v>-2.5083999999999999E-2</v>
      </c>
      <c r="G738" s="254">
        <v>-3.9451E-2</v>
      </c>
      <c r="H738" s="254">
        <v>-3.4722000000000003E-2</v>
      </c>
      <c r="I738" s="254">
        <v>-5.3959999999999998E-3</v>
      </c>
      <c r="J738" s="254">
        <v>4.5208000000000005E-2</v>
      </c>
      <c r="K738" s="254">
        <v>1.3841000000000001E-2</v>
      </c>
      <c r="L738" s="254">
        <v>-7.5084999999999999E-2</v>
      </c>
      <c r="M738" s="254">
        <v>-7.5084999999999999E-2</v>
      </c>
      <c r="N738" s="254">
        <v>-2.1033E-2</v>
      </c>
      <c r="O738" s="254">
        <v>3.6562000000000004E-2</v>
      </c>
      <c r="P738" s="254">
        <v>0</v>
      </c>
      <c r="Q738" s="254">
        <v>0.127273</v>
      </c>
      <c r="R738" s="254">
        <v>-1.6309999999999999E-3</v>
      </c>
      <c r="S738" s="254">
        <v>-1.4261999999999999E-2</v>
      </c>
      <c r="T738" s="254">
        <v>-5.0929999999999994E-3</v>
      </c>
      <c r="U738" s="254">
        <v>0</v>
      </c>
      <c r="V738" s="254">
        <v>1.2821000000000001E-2</v>
      </c>
      <c r="W738" s="254">
        <v>7.8739999999999991E-2</v>
      </c>
      <c r="X738" s="254">
        <v>-3.5603999999999997E-2</v>
      </c>
      <c r="Y738" s="254">
        <v>-3.8523000000000002E-2</v>
      </c>
      <c r="Z738" s="246">
        <f ca="1">[1]ExtEntry!$M37</f>
        <v>-3.8523000000000002E-2</v>
      </c>
      <c r="AB738" s="251">
        <v>2</v>
      </c>
      <c r="AC738" s="251">
        <v>6</v>
      </c>
      <c r="AD738" s="251">
        <v>8</v>
      </c>
      <c r="AE738" s="286">
        <v>9</v>
      </c>
      <c r="AF738" s="286">
        <v>8</v>
      </c>
      <c r="AG738" s="286">
        <v>10</v>
      </c>
      <c r="AH738" s="286">
        <v>11</v>
      </c>
      <c r="AI738" s="286">
        <v>11</v>
      </c>
      <c r="AJ738" s="286">
        <v>13</v>
      </c>
      <c r="AK738" s="286">
        <v>7</v>
      </c>
      <c r="AL738" s="286">
        <v>12</v>
      </c>
      <c r="AM738" s="275">
        <v>16</v>
      </c>
      <c r="AN738" s="275">
        <v>19</v>
      </c>
      <c r="AO738" s="275">
        <v>20</v>
      </c>
      <c r="AP738" s="275">
        <v>19</v>
      </c>
      <c r="AQ738" s="275">
        <v>20</v>
      </c>
      <c r="AR738" s="275">
        <v>19</v>
      </c>
      <c r="AS738" s="275">
        <v>20</v>
      </c>
      <c r="AT738" s="275">
        <v>20</v>
      </c>
      <c r="AU738" s="275">
        <v>20</v>
      </c>
      <c r="AV738" s="275">
        <f t="shared" si="60"/>
        <v>20</v>
      </c>
      <c r="AX738" s="88" t="str">
        <f t="shared" ca="1" si="61"/>
        <v>PROF</v>
      </c>
    </row>
    <row r="739" spans="1:50" hidden="1" x14ac:dyDescent="0.3">
      <c r="A739" s="88" t="str">
        <f t="shared" ca="1" si="59"/>
        <v>POET</v>
      </c>
      <c r="C739" s="677"/>
      <c r="D739" s="677"/>
      <c r="F739" s="254">
        <v>7.3547000000000001E-2</v>
      </c>
      <c r="G739" s="254">
        <v>-7.3480999999999991E-2</v>
      </c>
      <c r="H739" s="254">
        <v>-9.1346000000000011E-2</v>
      </c>
      <c r="I739" s="254">
        <v>-7.1429000000000006E-2</v>
      </c>
      <c r="J739" s="254">
        <v>8.1197000000000005E-2</v>
      </c>
      <c r="K739" s="254">
        <v>-1.8445E-2</v>
      </c>
      <c r="L739" s="254">
        <v>-1.0738000000000001E-2</v>
      </c>
      <c r="M739" s="254">
        <v>-1.0738000000000001E-2</v>
      </c>
      <c r="N739" s="254">
        <v>-8.1410000000000007E-3</v>
      </c>
      <c r="O739" s="254">
        <v>0.12585499999999999</v>
      </c>
      <c r="P739" s="254">
        <v>-9.9635000000000001E-2</v>
      </c>
      <c r="Q739" s="254">
        <v>-4.5884000000000001E-2</v>
      </c>
      <c r="R739" s="254">
        <v>-3.7707000000000004E-2</v>
      </c>
      <c r="S739" s="254">
        <v>-9.7727000000000008E-2</v>
      </c>
      <c r="T739" s="254">
        <v>1.4286E-2</v>
      </c>
      <c r="U739" s="254">
        <v>-0.11433299999999999</v>
      </c>
      <c r="V739" s="254">
        <v>9.3799999999999994E-3</v>
      </c>
      <c r="W739" s="254">
        <v>-6.3829999999999998E-2</v>
      </c>
      <c r="X739" s="254">
        <v>2.8777E-2</v>
      </c>
      <c r="Y739" s="254">
        <v>-2.4615000000000001E-2</v>
      </c>
      <c r="Z739" s="246">
        <f ca="1">[1]ExtEntry!$M38</f>
        <v>-2.4615000000000001E-2</v>
      </c>
      <c r="AB739" s="251">
        <v>20</v>
      </c>
      <c r="AC739" s="251">
        <v>19</v>
      </c>
      <c r="AD739" s="251">
        <v>19</v>
      </c>
      <c r="AE739" s="286">
        <v>20</v>
      </c>
      <c r="AF739" s="286">
        <v>20</v>
      </c>
      <c r="AG739" s="286">
        <v>20</v>
      </c>
      <c r="AH739" s="286">
        <v>20</v>
      </c>
      <c r="AI739" s="286">
        <v>19</v>
      </c>
      <c r="AJ739" s="286">
        <v>20</v>
      </c>
      <c r="AK739" s="286">
        <v>17</v>
      </c>
      <c r="AL739" s="286">
        <v>14</v>
      </c>
      <c r="AM739" s="275">
        <v>16</v>
      </c>
      <c r="AN739" s="275">
        <v>19</v>
      </c>
      <c r="AO739" s="275">
        <v>16</v>
      </c>
      <c r="AP739" s="275">
        <v>15</v>
      </c>
      <c r="AQ739" s="275">
        <v>15</v>
      </c>
      <c r="AR739" s="275">
        <v>20</v>
      </c>
      <c r="AS739" s="275">
        <v>17</v>
      </c>
      <c r="AT739" s="275">
        <v>20</v>
      </c>
      <c r="AU739" s="275">
        <v>19</v>
      </c>
      <c r="AV739" s="275">
        <f t="shared" si="60"/>
        <v>19</v>
      </c>
      <c r="AX739" s="88" t="str">
        <f t="shared" ca="1" si="61"/>
        <v>POET</v>
      </c>
    </row>
    <row r="740" spans="1:50" hidden="1" x14ac:dyDescent="0.3">
      <c r="A740" s="88" t="str">
        <f t="shared" ca="1" si="59"/>
        <v>PW</v>
      </c>
      <c r="C740" s="677"/>
      <c r="D740" s="677"/>
      <c r="F740" s="254">
        <v>-4.4089000000000003E-2</v>
      </c>
      <c r="G740" s="254">
        <v>2.3424999999999998E-2</v>
      </c>
      <c r="H740" s="254">
        <v>-1.4132E-2</v>
      </c>
      <c r="I740" s="254">
        <v>-8.8343000000000005E-2</v>
      </c>
      <c r="J740" s="254">
        <v>-4.7903000000000001E-2</v>
      </c>
      <c r="K740" s="254">
        <v>-2.1764000000000002E-2</v>
      </c>
      <c r="L740" s="254">
        <v>-7.1456999999999993E-2</v>
      </c>
      <c r="M740" s="254">
        <v>-7.1456999999999993E-2</v>
      </c>
      <c r="N740" s="254">
        <v>-3.4530999999999999E-2</v>
      </c>
      <c r="O740" s="254">
        <v>7.1986999999999995E-2</v>
      </c>
      <c r="P740" s="254">
        <v>8.0291999999999988E-2</v>
      </c>
      <c r="Q740" s="254">
        <v>-7.2359000000000007E-2</v>
      </c>
      <c r="R740" s="254">
        <v>1.3768000000000001E-2</v>
      </c>
      <c r="S740" s="254">
        <v>-1.1806000000000001E-2</v>
      </c>
      <c r="T740" s="254">
        <v>7.4570999999999998E-2</v>
      </c>
      <c r="U740" s="254">
        <v>-2.0537E-2</v>
      </c>
      <c r="V740" s="254">
        <v>-3.2115999999999999E-2</v>
      </c>
      <c r="W740" s="254">
        <v>0.141152</v>
      </c>
      <c r="X740" s="254">
        <v>-9.6059000000000005E-2</v>
      </c>
      <c r="Y740" s="254">
        <v>-3.2069E-2</v>
      </c>
      <c r="Z740" s="246">
        <f ca="1">[1]ExtEntry!$M39</f>
        <v>-3.2069E-2</v>
      </c>
      <c r="AB740" s="251">
        <v>19</v>
      </c>
      <c r="AC740" s="251">
        <v>18</v>
      </c>
      <c r="AD740" s="251">
        <v>17</v>
      </c>
      <c r="AE740" s="286">
        <v>18</v>
      </c>
      <c r="AF740" s="286">
        <v>5</v>
      </c>
      <c r="AG740" s="286">
        <v>3</v>
      </c>
      <c r="AH740" s="286">
        <v>1</v>
      </c>
      <c r="AI740" s="286">
        <v>1</v>
      </c>
      <c r="AJ740" s="286">
        <v>6</v>
      </c>
      <c r="AK740" s="286">
        <v>4</v>
      </c>
      <c r="AL740" s="286">
        <v>5</v>
      </c>
      <c r="AM740" s="275">
        <v>5</v>
      </c>
      <c r="AN740" s="275">
        <v>1</v>
      </c>
      <c r="AO740" s="275">
        <v>15</v>
      </c>
      <c r="AP740" s="275">
        <v>1</v>
      </c>
      <c r="AQ740" s="275">
        <v>2</v>
      </c>
      <c r="AR740" s="275">
        <v>3</v>
      </c>
      <c r="AS740" s="275">
        <v>1</v>
      </c>
      <c r="AT740" s="275">
        <v>1</v>
      </c>
      <c r="AU740" s="275">
        <v>2</v>
      </c>
      <c r="AV740" s="275">
        <f t="shared" si="60"/>
        <v>2</v>
      </c>
      <c r="AX740" s="88" t="str">
        <f t="shared" ca="1" si="61"/>
        <v>PW</v>
      </c>
    </row>
    <row r="741" spans="1:50" hidden="1" x14ac:dyDescent="0.3">
      <c r="A741" s="88" t="str">
        <f t="shared" ca="1" si="59"/>
        <v>RIGL</v>
      </c>
      <c r="C741" s="677"/>
      <c r="D741" s="677"/>
      <c r="F741" s="254">
        <v>2.0499E-2</v>
      </c>
      <c r="G741" s="254">
        <v>2.5565999999999998E-2</v>
      </c>
      <c r="H741" s="254">
        <v>0</v>
      </c>
      <c r="I741" s="254">
        <v>-6.0480000000000004E-3</v>
      </c>
      <c r="J741" s="254">
        <v>5.4401999999999999E-2</v>
      </c>
      <c r="K741" s="254">
        <v>2.7494999999999999E-2</v>
      </c>
      <c r="L741" s="254">
        <v>1.3875E-2</v>
      </c>
      <c r="M741" s="254">
        <v>1.3875E-2</v>
      </c>
      <c r="N741" s="254">
        <v>-4.2359000000000001E-2</v>
      </c>
      <c r="O741" s="254">
        <v>1.9734999999999999E-2</v>
      </c>
      <c r="P741" s="254">
        <v>-1.3012999999999999E-2</v>
      </c>
      <c r="Q741" s="254">
        <v>3.7190000000000001E-3</v>
      </c>
      <c r="R741" s="254">
        <v>7.5510000000000008E-2</v>
      </c>
      <c r="S741" s="254">
        <v>-7.5692999999999996E-2</v>
      </c>
      <c r="T741" s="254">
        <v>0.33368599999999998</v>
      </c>
      <c r="U741" s="254">
        <v>-4.0290999999999993E-2</v>
      </c>
      <c r="V741" s="254">
        <v>-2.2425E-2</v>
      </c>
      <c r="W741" s="254">
        <v>5.1655E-2</v>
      </c>
      <c r="X741" s="254">
        <v>8.727399999999999E-2</v>
      </c>
      <c r="Y741" s="254">
        <v>-8.6974999999999997E-2</v>
      </c>
      <c r="Z741" s="246">
        <f ca="1">[1]ExtEntry!$M40</f>
        <v>-8.6974999999999997E-2</v>
      </c>
      <c r="AB741" s="251">
        <v>2</v>
      </c>
      <c r="AC741" s="251">
        <v>2</v>
      </c>
      <c r="AD741" s="251">
        <v>1</v>
      </c>
      <c r="AE741" s="286">
        <v>2</v>
      </c>
      <c r="AF741" s="286">
        <v>4</v>
      </c>
      <c r="AG741" s="286">
        <v>9</v>
      </c>
      <c r="AH741" s="286">
        <v>10</v>
      </c>
      <c r="AI741" s="286">
        <v>10</v>
      </c>
      <c r="AJ741" s="286">
        <v>13</v>
      </c>
      <c r="AK741" s="286">
        <v>9</v>
      </c>
      <c r="AL741" s="286">
        <v>8</v>
      </c>
      <c r="AM741" s="275">
        <v>2</v>
      </c>
      <c r="AN741" s="275">
        <v>1</v>
      </c>
      <c r="AO741" s="275">
        <v>2</v>
      </c>
      <c r="AP741" s="275">
        <v>2</v>
      </c>
      <c r="AQ741" s="275">
        <v>1</v>
      </c>
      <c r="AR741" s="275">
        <v>3</v>
      </c>
      <c r="AS741" s="275">
        <v>1</v>
      </c>
      <c r="AT741" s="275">
        <v>2</v>
      </c>
      <c r="AU741" s="275">
        <v>3</v>
      </c>
      <c r="AV741" s="275">
        <f t="shared" si="60"/>
        <v>3</v>
      </c>
      <c r="AX741" s="88" t="str">
        <f t="shared" ca="1" si="61"/>
        <v>RIGL</v>
      </c>
    </row>
    <row r="742" spans="1:50" hidden="1" x14ac:dyDescent="0.3">
      <c r="A742" s="88" t="str">
        <f t="shared" ca="1" si="59"/>
        <v>RWE</v>
      </c>
      <c r="C742" s="677"/>
      <c r="D742" s="677"/>
      <c r="F742" s="254">
        <v>-9.2770000000000005E-3</v>
      </c>
      <c r="G742" s="254">
        <v>2.7109999999999999E-3</v>
      </c>
      <c r="H742" s="254">
        <v>1.4962E-2</v>
      </c>
      <c r="I742" s="254">
        <v>-7.7330000000000003E-3</v>
      </c>
      <c r="J742" s="254">
        <v>-3.4100000000000003E-3</v>
      </c>
      <c r="K742" s="254">
        <v>-1.0997E-2</v>
      </c>
      <c r="L742" s="254">
        <v>-6.1770000000000002E-3</v>
      </c>
      <c r="M742" s="254">
        <v>-6.1770000000000002E-3</v>
      </c>
      <c r="N742" s="254">
        <v>-5.47E-3</v>
      </c>
      <c r="O742" s="254">
        <v>1.2E-2</v>
      </c>
      <c r="P742" s="254">
        <v>4.9410000000000003E-4</v>
      </c>
      <c r="Q742" s="254">
        <v>1.4568000000000001E-2</v>
      </c>
      <c r="R742" s="254">
        <v>1.6076E-2</v>
      </c>
      <c r="S742" s="254">
        <v>-1.0748000000000001E-2</v>
      </c>
      <c r="T742" s="254">
        <v>6.3770000000000007E-3</v>
      </c>
      <c r="U742" s="254">
        <v>1.1969E-2</v>
      </c>
      <c r="V742" s="254">
        <v>-4.1770000000000002E-3</v>
      </c>
      <c r="W742" s="254">
        <v>-3.0790000000000001E-3</v>
      </c>
      <c r="X742" s="254">
        <v>-8.7309999999999992E-3</v>
      </c>
      <c r="Y742" s="254">
        <v>-2.1042999999999999E-2</v>
      </c>
      <c r="Z742" s="246">
        <f ca="1">[1]ExtEntry!$M41</f>
        <v>-2.1042999999999999E-2</v>
      </c>
      <c r="AB742" s="251">
        <v>5</v>
      </c>
      <c r="AC742" s="251">
        <v>5</v>
      </c>
      <c r="AD742" s="251">
        <v>6</v>
      </c>
      <c r="AE742" s="286">
        <v>10</v>
      </c>
      <c r="AF742" s="286">
        <v>1</v>
      </c>
      <c r="AG742" s="286">
        <v>1</v>
      </c>
      <c r="AH742" s="286">
        <v>6</v>
      </c>
      <c r="AI742" s="286">
        <v>6</v>
      </c>
      <c r="AJ742" s="286">
        <v>1</v>
      </c>
      <c r="AK742" s="286">
        <v>11</v>
      </c>
      <c r="AL742" s="286">
        <v>9</v>
      </c>
      <c r="AM742" s="275">
        <v>12</v>
      </c>
      <c r="AN742" s="275">
        <v>20</v>
      </c>
      <c r="AO742" s="275">
        <v>19</v>
      </c>
      <c r="AP742" s="275">
        <v>18</v>
      </c>
      <c r="AQ742" s="275">
        <v>20</v>
      </c>
      <c r="AR742" s="275">
        <v>20</v>
      </c>
      <c r="AS742" s="275">
        <v>20</v>
      </c>
      <c r="AT742" s="275">
        <v>20</v>
      </c>
      <c r="AU742" s="275">
        <v>19</v>
      </c>
      <c r="AV742" s="275">
        <f t="shared" si="60"/>
        <v>19</v>
      </c>
      <c r="AX742" s="88" t="str">
        <f t="shared" ca="1" si="61"/>
        <v>RWE</v>
      </c>
    </row>
    <row r="743" spans="1:50" hidden="1" x14ac:dyDescent="0.3">
      <c r="A743" s="88" t="str">
        <f t="shared" ca="1" si="59"/>
        <v>SAP</v>
      </c>
      <c r="C743" s="677"/>
      <c r="D743" s="677"/>
      <c r="F743" s="254">
        <v>5.6179999999999997E-3</v>
      </c>
      <c r="G743" s="254">
        <v>6.4459999999999995E-3</v>
      </c>
      <c r="H743" s="254">
        <v>-4.2699999999999995E-3</v>
      </c>
      <c r="I743" s="254">
        <v>-9.6480000000000003E-3</v>
      </c>
      <c r="J743" s="254">
        <v>3.3124000000000001E-2</v>
      </c>
      <c r="K743" s="254">
        <v>7.5439999999999995E-3</v>
      </c>
      <c r="L743" s="254">
        <v>-1.4766999999999999E-2</v>
      </c>
      <c r="M743" s="254">
        <v>-1.4766999999999999E-2</v>
      </c>
      <c r="N743" s="254">
        <v>2.1743999999999999E-2</v>
      </c>
      <c r="O743" s="254">
        <v>-3.5743999999999998E-2</v>
      </c>
      <c r="P743" s="254">
        <v>9.4279999999999989E-3</v>
      </c>
      <c r="Q743" s="254">
        <v>-6.156E-3</v>
      </c>
      <c r="R743" s="254">
        <v>6.9099999999999995E-3</v>
      </c>
      <c r="S743" s="254">
        <v>-1.2235000000000001E-2</v>
      </c>
      <c r="T743" s="254">
        <v>8.405000000000001E-3</v>
      </c>
      <c r="U743" s="254">
        <v>-4.3868999999999998E-2</v>
      </c>
      <c r="V743" s="254">
        <v>-1.0553E-2</v>
      </c>
      <c r="W743" s="254">
        <v>-3.2094999999999999E-2</v>
      </c>
      <c r="X743" s="254">
        <v>0</v>
      </c>
      <c r="Y743" s="254">
        <v>7.3050000000000003E-4</v>
      </c>
      <c r="Z743" s="246">
        <f ca="1">[1]ExtEntry!$M42</f>
        <v>7.3050000000000003E-4</v>
      </c>
      <c r="AB743" s="251">
        <v>6</v>
      </c>
      <c r="AC743" s="251">
        <v>7</v>
      </c>
      <c r="AD743" s="251">
        <v>10</v>
      </c>
      <c r="AE743" s="286">
        <v>9</v>
      </c>
      <c r="AF743" s="286">
        <v>12</v>
      </c>
      <c r="AG743" s="286">
        <v>15</v>
      </c>
      <c r="AH743" s="286">
        <v>17</v>
      </c>
      <c r="AI743" s="286">
        <v>17</v>
      </c>
      <c r="AJ743" s="286">
        <v>17</v>
      </c>
      <c r="AK743" s="286">
        <v>20</v>
      </c>
      <c r="AL743" s="286">
        <v>20</v>
      </c>
      <c r="AM743" s="275">
        <v>19</v>
      </c>
      <c r="AN743" s="275">
        <v>20</v>
      </c>
      <c r="AO743" s="275">
        <v>19</v>
      </c>
      <c r="AP743" s="275">
        <v>20</v>
      </c>
      <c r="AQ743" s="275">
        <v>20</v>
      </c>
      <c r="AR743" s="275">
        <v>19</v>
      </c>
      <c r="AS743" s="275">
        <v>15</v>
      </c>
      <c r="AT743" s="275">
        <v>20</v>
      </c>
      <c r="AU743" s="275">
        <v>20</v>
      </c>
      <c r="AV743" s="275">
        <f t="shared" si="60"/>
        <v>20</v>
      </c>
      <c r="AX743" s="88" t="str">
        <f t="shared" ca="1" si="61"/>
        <v>SAP</v>
      </c>
    </row>
    <row r="744" spans="1:50" hidden="1" x14ac:dyDescent="0.3">
      <c r="A744" s="88" t="str">
        <f t="shared" ca="1" si="59"/>
        <v>SHECY</v>
      </c>
      <c r="C744" s="677"/>
      <c r="D744" s="677"/>
      <c r="F744" s="254">
        <v>1.0366E-2</v>
      </c>
      <c r="G744" s="254">
        <v>-4.0100000000000005E-3</v>
      </c>
      <c r="H744" s="254">
        <v>-5.4410000000000005E-3</v>
      </c>
      <c r="I744" s="254">
        <v>3.0399999999999997E-3</v>
      </c>
      <c r="J744" s="254">
        <v>-9.6970000000000008E-3</v>
      </c>
      <c r="K744" s="254">
        <v>-4.2839999999999996E-3</v>
      </c>
      <c r="L744" s="254">
        <v>-1.4135999999999999E-2</v>
      </c>
      <c r="M744" s="254">
        <v>-1.4135999999999999E-2</v>
      </c>
      <c r="N744" s="254">
        <v>6.8579999999999995E-3</v>
      </c>
      <c r="O744" s="254">
        <v>-2.9721000000000001E-2</v>
      </c>
      <c r="P744" s="254">
        <v>-1.9145000000000002E-2</v>
      </c>
      <c r="Q744" s="254">
        <v>3.2529999999999998E-3</v>
      </c>
      <c r="R744" s="254">
        <v>-7.3089999999999995E-3</v>
      </c>
      <c r="S744" s="254">
        <v>-8.626E-3</v>
      </c>
      <c r="T744" s="254">
        <v>-2.0089999999999999E-3</v>
      </c>
      <c r="U744" s="254">
        <v>-2.6846000000000002E-2</v>
      </c>
      <c r="V744" s="254">
        <v>1.5906E-2</v>
      </c>
      <c r="W744" s="254">
        <v>1.2838E-2</v>
      </c>
      <c r="X744" s="254">
        <v>-2.3841999999999999E-2</v>
      </c>
      <c r="Y744" s="254">
        <v>-8.0600000000000012E-3</v>
      </c>
      <c r="Z744" s="246">
        <f ca="1">[1]ExtEntry!$M43</f>
        <v>-8.0600000000000012E-3</v>
      </c>
      <c r="AB744" s="251">
        <v>15</v>
      </c>
      <c r="AC744" s="251">
        <v>9</v>
      </c>
      <c r="AD744" s="251">
        <v>9</v>
      </c>
      <c r="AE744" s="286">
        <v>16</v>
      </c>
      <c r="AF744" s="286">
        <v>1</v>
      </c>
      <c r="AG744" s="286">
        <v>2</v>
      </c>
      <c r="AH744" s="286">
        <v>15</v>
      </c>
      <c r="AI744" s="286">
        <v>14</v>
      </c>
      <c r="AJ744" s="286">
        <v>3</v>
      </c>
      <c r="AK744" s="286">
        <v>3</v>
      </c>
      <c r="AL744" s="286">
        <v>4</v>
      </c>
      <c r="AM744" s="275">
        <v>9</v>
      </c>
      <c r="AN744" s="275">
        <v>20</v>
      </c>
      <c r="AO744" s="275">
        <v>20</v>
      </c>
      <c r="AP744" s="275">
        <v>20</v>
      </c>
      <c r="AQ744" s="275">
        <v>20</v>
      </c>
      <c r="AR744" s="275">
        <v>19</v>
      </c>
      <c r="AS744" s="275">
        <v>20</v>
      </c>
      <c r="AT744" s="275">
        <v>20</v>
      </c>
      <c r="AU744" s="275">
        <v>20</v>
      </c>
      <c r="AV744" s="275">
        <f t="shared" si="60"/>
        <v>20</v>
      </c>
      <c r="AX744" s="88" t="str">
        <f t="shared" ca="1" si="61"/>
        <v>SHECY</v>
      </c>
    </row>
    <row r="745" spans="1:50" hidden="1" x14ac:dyDescent="0.3">
      <c r="A745" s="88" t="str">
        <f t="shared" ca="1" si="59"/>
        <v>SSYS</v>
      </c>
      <c r="C745" s="677"/>
      <c r="D745" s="677"/>
      <c r="F745" s="254">
        <v>-9.2000000000000003E-4</v>
      </c>
      <c r="G745" s="254">
        <v>5.6077000000000002E-2</v>
      </c>
      <c r="H745" s="254">
        <v>-5.1990000000000005E-3</v>
      </c>
      <c r="I745" s="254">
        <v>-4.8780000000000004E-2</v>
      </c>
      <c r="J745" s="254">
        <v>0.13919399999999998</v>
      </c>
      <c r="K745" s="254">
        <v>-7.2350000000000001E-3</v>
      </c>
      <c r="L745" s="254">
        <v>-8.5020000000000012E-2</v>
      </c>
      <c r="M745" s="254">
        <v>-8.5020000000000012E-2</v>
      </c>
      <c r="N745" s="254">
        <v>4.2477999999999995E-2</v>
      </c>
      <c r="O745" s="254">
        <v>1.7826999999999999E-2</v>
      </c>
      <c r="P745" s="254">
        <v>-6.672E-3</v>
      </c>
      <c r="Q745" s="254">
        <v>-3.1905999999999997E-2</v>
      </c>
      <c r="R745" s="254">
        <v>-2.8828999999999997E-2</v>
      </c>
      <c r="S745" s="254">
        <v>-6.2323000000000003E-2</v>
      </c>
      <c r="T745" s="254">
        <v>-2.026E-3</v>
      </c>
      <c r="U745" s="254">
        <v>-3.9593999999999997E-2</v>
      </c>
      <c r="V745" s="254">
        <v>0</v>
      </c>
      <c r="W745" s="254">
        <v>-4.0728999999999994E-2</v>
      </c>
      <c r="X745" s="254">
        <v>-3.5170000000000002E-3</v>
      </c>
      <c r="Y745" s="254">
        <v>-5.8819999999999992E-3</v>
      </c>
      <c r="Z745" s="246">
        <f ca="1">[1]ExtEntry!$M44</f>
        <v>-5.8819999999999992E-3</v>
      </c>
      <c r="AB745" s="251">
        <v>14</v>
      </c>
      <c r="AC745" s="251">
        <v>11</v>
      </c>
      <c r="AD745" s="251">
        <v>16</v>
      </c>
      <c r="AE745" s="286">
        <v>6</v>
      </c>
      <c r="AF745" s="286">
        <v>2</v>
      </c>
      <c r="AG745" s="286">
        <v>5</v>
      </c>
      <c r="AH745" s="286">
        <v>9</v>
      </c>
      <c r="AI745" s="286">
        <v>8</v>
      </c>
      <c r="AJ745" s="286">
        <v>2</v>
      </c>
      <c r="AK745" s="286">
        <v>15</v>
      </c>
      <c r="AL745" s="286">
        <v>2</v>
      </c>
      <c r="AM745" s="275">
        <v>1</v>
      </c>
      <c r="AN745" s="275">
        <v>6</v>
      </c>
      <c r="AO745" s="275">
        <v>5</v>
      </c>
      <c r="AP745" s="275">
        <v>1</v>
      </c>
      <c r="AQ745" s="275">
        <v>7</v>
      </c>
      <c r="AR745" s="275">
        <v>18</v>
      </c>
      <c r="AS745" s="275">
        <v>20</v>
      </c>
      <c r="AT745" s="275">
        <v>20</v>
      </c>
      <c r="AU745" s="275">
        <v>19</v>
      </c>
      <c r="AV745" s="275">
        <f t="shared" si="60"/>
        <v>19</v>
      </c>
      <c r="AX745" s="88" t="str">
        <f t="shared" ca="1" si="61"/>
        <v>SSYS</v>
      </c>
    </row>
    <row r="746" spans="1:50" hidden="1" x14ac:dyDescent="0.3">
      <c r="A746" s="88" t="str">
        <f t="shared" ca="1" si="59"/>
        <v>TSLA</v>
      </c>
      <c r="C746" s="677"/>
      <c r="D746" s="677"/>
      <c r="F746" s="254">
        <v>-1.5279000000000001E-2</v>
      </c>
      <c r="G746" s="254">
        <v>9.7850000000000003E-3</v>
      </c>
      <c r="H746" s="254">
        <v>-1.4708000000000001E-2</v>
      </c>
      <c r="I746" s="254">
        <v>2.4629999999999999E-2</v>
      </c>
      <c r="J746" s="254">
        <v>1.8484E-2</v>
      </c>
      <c r="K746" s="254">
        <v>-1.0794999999999999E-2</v>
      </c>
      <c r="L746" s="254">
        <v>-8.202000000000001E-3</v>
      </c>
      <c r="M746" s="254">
        <v>-8.202000000000001E-3</v>
      </c>
      <c r="N746" s="254">
        <v>2.2803E-2</v>
      </c>
      <c r="O746" s="254">
        <v>-3.3987999999999997E-2</v>
      </c>
      <c r="P746" s="254">
        <v>4.3114999999999994E-2</v>
      </c>
      <c r="Q746" s="254">
        <v>1.797E-2</v>
      </c>
      <c r="R746" s="254">
        <v>-4.6391000000000002E-2</v>
      </c>
      <c r="S746" s="254">
        <v>-4.5796999999999997E-2</v>
      </c>
      <c r="T746" s="254">
        <v>4.0511999999999999E-2</v>
      </c>
      <c r="U746" s="254">
        <v>-3.6921000000000002E-2</v>
      </c>
      <c r="V746" s="254">
        <v>-3.5612999999999999E-2</v>
      </c>
      <c r="W746" s="254">
        <v>5.8709999999999995E-3</v>
      </c>
      <c r="X746" s="254">
        <v>-1.8756999999999999E-2</v>
      </c>
      <c r="Y746" s="254">
        <v>2.1429999999999999E-3</v>
      </c>
      <c r="Z746" s="246">
        <f ca="1">[1]ExtEntry!$M45</f>
        <v>2.1429999999999999E-3</v>
      </c>
      <c r="AB746" s="251">
        <v>5</v>
      </c>
      <c r="AC746" s="251">
        <v>1</v>
      </c>
      <c r="AD746" s="251">
        <v>4</v>
      </c>
      <c r="AE746" s="286">
        <v>8</v>
      </c>
      <c r="AF746" s="286">
        <v>7</v>
      </c>
      <c r="AG746" s="286">
        <v>10</v>
      </c>
      <c r="AH746" s="286">
        <v>13</v>
      </c>
      <c r="AI746" s="286">
        <v>13</v>
      </c>
      <c r="AJ746" s="286">
        <v>13</v>
      </c>
      <c r="AK746" s="286">
        <v>10</v>
      </c>
      <c r="AL746" s="286">
        <v>7</v>
      </c>
      <c r="AM746" s="275">
        <v>4</v>
      </c>
      <c r="AN746" s="275">
        <v>3</v>
      </c>
      <c r="AO746" s="275">
        <v>13</v>
      </c>
      <c r="AP746" s="275">
        <v>17</v>
      </c>
      <c r="AQ746" s="275">
        <v>18</v>
      </c>
      <c r="AR746" s="275">
        <v>20</v>
      </c>
      <c r="AS746" s="275">
        <v>20</v>
      </c>
      <c r="AT746" s="275">
        <v>20</v>
      </c>
      <c r="AU746" s="275">
        <v>19</v>
      </c>
      <c r="AV746" s="275">
        <f t="shared" si="60"/>
        <v>19</v>
      </c>
      <c r="AX746" s="88" t="str">
        <f t="shared" ca="1" si="61"/>
        <v>TSLA</v>
      </c>
    </row>
    <row r="747" spans="1:50" hidden="1" x14ac:dyDescent="0.3">
      <c r="A747" s="88" t="str">
        <f t="shared" ca="1" si="59"/>
        <v>TSM</v>
      </c>
      <c r="C747" s="677"/>
      <c r="D747" s="677"/>
      <c r="F747" s="254">
        <v>-2.283E-2</v>
      </c>
      <c r="G747" s="254">
        <v>3.0834E-2</v>
      </c>
      <c r="H747" s="254">
        <v>-1.5556E-2</v>
      </c>
      <c r="I747" s="254">
        <v>-1.5875E-2</v>
      </c>
      <c r="J747" s="254">
        <v>9.1979999999999996E-3</v>
      </c>
      <c r="K747" s="254">
        <v>-1.0682000000000001E-2</v>
      </c>
      <c r="L747" s="254">
        <v>-1.9049E-2</v>
      </c>
      <c r="M747" s="254">
        <v>-1.9049E-2</v>
      </c>
      <c r="N747" s="254">
        <v>6.4390000000000003E-3</v>
      </c>
      <c r="O747" s="254">
        <v>1.4686999999999999E-2</v>
      </c>
      <c r="P747" s="254">
        <v>1.1120000000000001E-2</v>
      </c>
      <c r="Q747" s="254">
        <v>1.0964E-2</v>
      </c>
      <c r="R747" s="254">
        <v>-5.8669999999999998E-3</v>
      </c>
      <c r="S747" s="254">
        <v>-3.2195000000000001E-2</v>
      </c>
      <c r="T747" s="254">
        <v>-3.4009999999999997E-4</v>
      </c>
      <c r="U747" s="254">
        <v>-1.4336999999999999E-2</v>
      </c>
      <c r="V747" s="254">
        <v>-1.172E-2</v>
      </c>
      <c r="W747" s="254">
        <v>9.4610000000000007E-3</v>
      </c>
      <c r="X747" s="254">
        <v>-1.4184E-2</v>
      </c>
      <c r="Y747" s="254">
        <v>5.6849999999999999E-3</v>
      </c>
      <c r="Z747" s="246">
        <f ca="1">[1]ExtEntry!$M46</f>
        <v>5.6849999999999999E-3</v>
      </c>
      <c r="AB747" s="251">
        <v>20</v>
      </c>
      <c r="AC747" s="251">
        <v>19</v>
      </c>
      <c r="AD747" s="251">
        <v>18</v>
      </c>
      <c r="AE747" s="286">
        <v>19</v>
      </c>
      <c r="AF747" s="286">
        <v>11</v>
      </c>
      <c r="AG747" s="286">
        <v>17</v>
      </c>
      <c r="AH747" s="286">
        <v>15</v>
      </c>
      <c r="AI747" s="286">
        <v>14</v>
      </c>
      <c r="AJ747" s="286">
        <v>20</v>
      </c>
      <c r="AK747" s="286">
        <v>20</v>
      </c>
      <c r="AL747" s="286">
        <v>19</v>
      </c>
      <c r="AM747" s="275">
        <v>19</v>
      </c>
      <c r="AN747" s="275">
        <v>20</v>
      </c>
      <c r="AO747" s="275">
        <v>20</v>
      </c>
      <c r="AP747" s="275">
        <v>20</v>
      </c>
      <c r="AQ747" s="275">
        <v>20</v>
      </c>
      <c r="AR747" s="275">
        <v>19</v>
      </c>
      <c r="AS747" s="275">
        <v>18</v>
      </c>
      <c r="AT747" s="275">
        <v>16</v>
      </c>
      <c r="AU747" s="275">
        <v>11</v>
      </c>
      <c r="AV747" s="275">
        <f t="shared" si="60"/>
        <v>11</v>
      </c>
      <c r="AX747" s="88" t="str">
        <f t="shared" ca="1" si="61"/>
        <v>TSM</v>
      </c>
    </row>
    <row r="748" spans="1:50" hidden="1" x14ac:dyDescent="0.3">
      <c r="A748" s="88" t="str">
        <f t="shared" ca="1" si="59"/>
        <v>UN0</v>
      </c>
      <c r="C748" s="677"/>
      <c r="D748" s="677"/>
      <c r="F748" s="254">
        <v>-1.0971999999999999E-2</v>
      </c>
      <c r="G748" s="254">
        <v>1.585E-3</v>
      </c>
      <c r="H748" s="254">
        <v>4.7470000000000004E-3</v>
      </c>
      <c r="I748" s="254">
        <v>-6.2989999999999999E-3</v>
      </c>
      <c r="J748" s="254">
        <v>4.5959E-2</v>
      </c>
      <c r="K748" s="254">
        <v>-3.9393999999999998E-2</v>
      </c>
      <c r="L748" s="254">
        <v>3.1549999999999998E-3</v>
      </c>
      <c r="M748" s="254">
        <v>3.1549999999999998E-3</v>
      </c>
      <c r="N748" s="254">
        <v>-2.673E-2</v>
      </c>
      <c r="O748" s="254">
        <v>-2.5847999999999999E-2</v>
      </c>
      <c r="P748" s="254">
        <v>2.3216999999999998E-2</v>
      </c>
      <c r="Q748" s="254">
        <v>-1.9449000000000001E-2</v>
      </c>
      <c r="R748" s="254">
        <v>-1.4754E-2</v>
      </c>
      <c r="S748" s="254">
        <v>1.6919999999999999E-3</v>
      </c>
      <c r="T748" s="254">
        <v>-3.3779999999999999E-3</v>
      </c>
      <c r="U748" s="254">
        <v>-5.2541999999999998E-2</v>
      </c>
      <c r="V748" s="254">
        <v>1.9678000000000001E-2</v>
      </c>
      <c r="W748" s="254">
        <v>-1.7449999999999998E-3</v>
      </c>
      <c r="X748" s="254">
        <v>-2.9557000000000003E-2</v>
      </c>
      <c r="Y748" s="254">
        <v>-6.5680000000000009E-3</v>
      </c>
      <c r="Z748" s="246">
        <f ca="1">[1]ExtEntry!$M47</f>
        <v>-6.5680000000000009E-3</v>
      </c>
      <c r="AB748" s="251">
        <v>20</v>
      </c>
      <c r="AC748" s="251">
        <v>18</v>
      </c>
      <c r="AD748" s="251">
        <v>18</v>
      </c>
      <c r="AE748" s="286">
        <v>16</v>
      </c>
      <c r="AF748" s="286">
        <v>18</v>
      </c>
      <c r="AG748" s="286">
        <v>17</v>
      </c>
      <c r="AH748" s="286">
        <v>18</v>
      </c>
      <c r="AI748" s="286">
        <v>17</v>
      </c>
      <c r="AJ748" s="286">
        <v>10</v>
      </c>
      <c r="AK748" s="286">
        <v>8</v>
      </c>
      <c r="AL748" s="286">
        <v>1</v>
      </c>
      <c r="AM748" s="275">
        <v>4</v>
      </c>
      <c r="AN748" s="275">
        <v>9</v>
      </c>
      <c r="AO748" s="275">
        <v>2</v>
      </c>
      <c r="AP748" s="275">
        <v>1</v>
      </c>
      <c r="AQ748" s="275">
        <v>2</v>
      </c>
      <c r="AR748" s="275">
        <v>1</v>
      </c>
      <c r="AS748" s="275">
        <v>3</v>
      </c>
      <c r="AT748" s="275">
        <v>6</v>
      </c>
      <c r="AU748" s="275">
        <v>10</v>
      </c>
      <c r="AV748" s="275">
        <f t="shared" si="60"/>
        <v>10</v>
      </c>
      <c r="AX748" s="88" t="str">
        <f t="shared" ca="1" si="61"/>
        <v>UN0</v>
      </c>
    </row>
    <row r="749" spans="1:50" hidden="1" x14ac:dyDescent="0.3">
      <c r="A749" s="88" t="str">
        <f t="shared" ca="1" si="59"/>
        <v>UNIT</v>
      </c>
      <c r="C749" s="677"/>
      <c r="D749" s="677"/>
      <c r="F749" s="254">
        <v>-1.6514000000000001E-2</v>
      </c>
      <c r="G749" s="254">
        <v>4.8506999999999995E-2</v>
      </c>
      <c r="H749" s="254">
        <v>-1.9231000000000002E-2</v>
      </c>
      <c r="I749" s="254">
        <v>7.1300000000000001E-3</v>
      </c>
      <c r="J749" s="254">
        <v>-8.8500000000000002E-3</v>
      </c>
      <c r="K749" s="254">
        <v>0</v>
      </c>
      <c r="L749" s="254">
        <v>-8.9289999999999994E-3</v>
      </c>
      <c r="M749" s="254">
        <v>-8.9289999999999994E-3</v>
      </c>
      <c r="N749" s="254">
        <v>4.5045000000000002E-2</v>
      </c>
      <c r="O749" s="254">
        <v>3.4483E-2</v>
      </c>
      <c r="P749" s="254">
        <v>3.6666999999999998E-2</v>
      </c>
      <c r="Q749" s="254">
        <v>-2.8938999999999999E-2</v>
      </c>
      <c r="R749" s="254">
        <v>-5.1370000000000001E-3</v>
      </c>
      <c r="S749" s="254">
        <v>2.447E-3</v>
      </c>
      <c r="T749" s="254">
        <v>6.666699999999999E-2</v>
      </c>
      <c r="U749" s="254">
        <v>-2.5781000000000002E-2</v>
      </c>
      <c r="V749" s="254">
        <v>4.8722000000000001E-2</v>
      </c>
      <c r="W749" s="254">
        <v>4.0597000000000001E-2</v>
      </c>
      <c r="X749" s="254">
        <v>-2.2258E-2</v>
      </c>
      <c r="Y749" s="254">
        <v>-3.8211000000000002E-2</v>
      </c>
      <c r="Z749" s="246">
        <f ca="1">[1]ExtEntry!$M48</f>
        <v>-3.8211000000000002E-2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-7.1650000000000004E-3</v>
      </c>
      <c r="G750" s="254">
        <v>6.7989999999999995E-3</v>
      </c>
      <c r="H750" s="254">
        <v>1.2584999999999999E-2</v>
      </c>
      <c r="I750" s="254">
        <v>-6.3920000000000005E-2</v>
      </c>
      <c r="J750" s="254">
        <v>2.7692999999999999E-2</v>
      </c>
      <c r="K750" s="254">
        <v>8.8590000000000006E-3</v>
      </c>
      <c r="L750" s="254">
        <v>-5.4879999999999998E-3</v>
      </c>
      <c r="M750" s="254">
        <v>-5.4879999999999998E-3</v>
      </c>
      <c r="N750" s="254">
        <v>8.461999999999999E-3</v>
      </c>
      <c r="O750" s="254">
        <v>7.2970000000000005E-3</v>
      </c>
      <c r="P750" s="254">
        <v>6.1570000000000001E-3</v>
      </c>
      <c r="Q750" s="254">
        <v>-2.8799999999999997E-3</v>
      </c>
      <c r="R750" s="254">
        <v>-8.294000000000001E-3</v>
      </c>
      <c r="S750" s="254">
        <v>-1.4087000000000001E-2</v>
      </c>
      <c r="T750" s="254">
        <v>2.8359000000000002E-2</v>
      </c>
      <c r="U750" s="254">
        <v>-7.9979999999999999E-3</v>
      </c>
      <c r="V750" s="254">
        <v>5.372E-3</v>
      </c>
      <c r="W750" s="254">
        <v>-1.1632E-2</v>
      </c>
      <c r="X750" s="254">
        <v>-3.6209999999999997E-4</v>
      </c>
      <c r="Y750" s="254">
        <v>1.4306000000000001E-2</v>
      </c>
      <c r="Z750" s="246">
        <f ca="1">[1]ExtEntry!$M49</f>
        <v>1.4306000000000001E-2</v>
      </c>
      <c r="AB750" s="251">
        <v>20</v>
      </c>
      <c r="AC750" s="251">
        <v>19</v>
      </c>
      <c r="AD750" s="251">
        <v>15</v>
      </c>
      <c r="AE750" s="286">
        <v>20</v>
      </c>
      <c r="AF750" s="286">
        <v>19</v>
      </c>
      <c r="AG750" s="286">
        <v>18</v>
      </c>
      <c r="AH750" s="286">
        <v>18</v>
      </c>
      <c r="AI750" s="286">
        <v>17</v>
      </c>
      <c r="AJ750" s="286">
        <v>15</v>
      </c>
      <c r="AK750" s="286">
        <v>14</v>
      </c>
      <c r="AL750" s="286">
        <v>12</v>
      </c>
      <c r="AM750" s="275">
        <v>13</v>
      </c>
      <c r="AN750" s="275">
        <v>14</v>
      </c>
      <c r="AO750" s="275">
        <v>19</v>
      </c>
      <c r="AP750" s="275">
        <v>12</v>
      </c>
      <c r="AQ750" s="275">
        <v>14</v>
      </c>
      <c r="AR750" s="275">
        <v>12</v>
      </c>
      <c r="AS750" s="275">
        <v>2</v>
      </c>
      <c r="AT750" s="275">
        <v>8</v>
      </c>
      <c r="AU750" s="275">
        <v>3</v>
      </c>
      <c r="AV750" s="275">
        <f t="shared" ref="AV750:AV797" si="62">_xlfn.RANK.EQ(Y251,F251:Y251)</f>
        <v>3</v>
      </c>
      <c r="AX750" s="88" t="str">
        <f t="shared" ca="1" si="61"/>
        <v>VLVLY</v>
      </c>
    </row>
    <row r="751" spans="1:50" hidden="1" x14ac:dyDescent="0.3">
      <c r="A751" s="88" t="str">
        <f t="shared" ca="1" si="59"/>
        <v>VONN</v>
      </c>
      <c r="C751" s="677"/>
      <c r="D751" s="677"/>
      <c r="F751" s="254">
        <v>3.3059999999999999E-3</v>
      </c>
      <c r="G751" s="254">
        <v>-8.2369999999999995E-3</v>
      </c>
      <c r="H751" s="254">
        <v>-6.6449999999999999E-3</v>
      </c>
      <c r="I751" s="254">
        <v>-1.3378000000000001E-2</v>
      </c>
      <c r="J751" s="254">
        <v>1.6950000000000001E-3</v>
      </c>
      <c r="K751" s="254">
        <v>-6.7679999999999997E-3</v>
      </c>
      <c r="L751" s="254">
        <v>2.7256999999999997E-2</v>
      </c>
      <c r="M751" s="254">
        <v>2.7256999999999997E-2</v>
      </c>
      <c r="N751" s="254">
        <v>1.3266999999999999E-2</v>
      </c>
      <c r="O751" s="254">
        <v>3.2729999999999999E-3</v>
      </c>
      <c r="P751" s="254">
        <v>-1.6309999999999999E-3</v>
      </c>
      <c r="Q751" s="254">
        <v>-1.3071999999999999E-2</v>
      </c>
      <c r="R751" s="254">
        <v>1.1628000000000001E-2</v>
      </c>
      <c r="S751" s="254">
        <v>-1.1647000000000001E-2</v>
      </c>
      <c r="T751" s="254">
        <v>-5.0509999999999999E-3</v>
      </c>
      <c r="U751" s="254">
        <v>-1.5227999999999998E-2</v>
      </c>
      <c r="V751" s="254">
        <v>1.7180000000000001E-3</v>
      </c>
      <c r="W751" s="254">
        <v>-3.3219999999999999E-3</v>
      </c>
      <c r="X751" s="254">
        <v>-1.701E-3</v>
      </c>
      <c r="Y751" s="254">
        <v>6.803E-3</v>
      </c>
      <c r="Z751" s="246">
        <f ca="1">[1]ExtEntry!$M50</f>
        <v>6.803E-3</v>
      </c>
      <c r="AB751" s="251">
        <v>7</v>
      </c>
      <c r="AC751" s="251">
        <v>13</v>
      </c>
      <c r="AD751" s="251">
        <v>17</v>
      </c>
      <c r="AE751" s="286">
        <v>20</v>
      </c>
      <c r="AF751" s="286">
        <v>19</v>
      </c>
      <c r="AG751" s="286">
        <v>20</v>
      </c>
      <c r="AH751" s="286">
        <v>8</v>
      </c>
      <c r="AI751" s="286">
        <v>8</v>
      </c>
      <c r="AJ751" s="286">
        <v>2</v>
      </c>
      <c r="AK751" s="286">
        <v>2</v>
      </c>
      <c r="AL751" s="286">
        <v>3</v>
      </c>
      <c r="AM751" s="275">
        <v>10</v>
      </c>
      <c r="AN751" s="275">
        <v>7</v>
      </c>
      <c r="AO751" s="275">
        <v>17</v>
      </c>
      <c r="AP751" s="275">
        <v>17</v>
      </c>
      <c r="AQ751" s="275">
        <v>20</v>
      </c>
      <c r="AR751" s="275">
        <v>19</v>
      </c>
      <c r="AS751" s="275">
        <v>12</v>
      </c>
      <c r="AT751" s="275">
        <v>17</v>
      </c>
      <c r="AU751" s="275">
        <v>13</v>
      </c>
      <c r="AV751" s="275">
        <f t="shared" si="62"/>
        <v>13</v>
      </c>
      <c r="AX751" s="88" t="str">
        <f t="shared" ca="1" si="61"/>
        <v>VONN</v>
      </c>
    </row>
    <row r="752" spans="1:50" hidden="1" x14ac:dyDescent="0.3">
      <c r="A752" s="88" t="str">
        <f t="shared" ca="1" si="59"/>
        <v>VTRS</v>
      </c>
      <c r="C752" s="677"/>
      <c r="D752" s="677"/>
      <c r="F752" s="254">
        <v>7.0989999999999994E-3</v>
      </c>
      <c r="G752" s="254">
        <v>4.5319999999999996E-3</v>
      </c>
      <c r="H752" s="254">
        <v>1.2024E-2</v>
      </c>
      <c r="I752" s="254">
        <v>6.9310000000000005E-3</v>
      </c>
      <c r="J752" s="254">
        <v>1.3766E-2</v>
      </c>
      <c r="K752" s="254">
        <v>7.7590000000000003E-3</v>
      </c>
      <c r="L752" s="254">
        <v>1.9250000000000001E-3</v>
      </c>
      <c r="M752" s="254">
        <v>1.9250000000000001E-3</v>
      </c>
      <c r="N752" s="254">
        <v>-9.606E-3</v>
      </c>
      <c r="O752" s="254">
        <v>3.8800000000000002E-3</v>
      </c>
      <c r="P752" s="254">
        <v>6.7629999999999999E-3</v>
      </c>
      <c r="Q752" s="254">
        <v>-1.2476000000000001E-2</v>
      </c>
      <c r="R752" s="254">
        <v>8.763E-3</v>
      </c>
      <c r="S752" s="254">
        <v>4.7479999999999999E-4</v>
      </c>
      <c r="T752" s="254">
        <v>2.4786000000000002E-2</v>
      </c>
      <c r="U752" s="254">
        <v>-5.1628E-2</v>
      </c>
      <c r="V752" s="254">
        <v>-3.4620000000000002E-3</v>
      </c>
      <c r="W752" s="254">
        <v>-1.7415E-2</v>
      </c>
      <c r="X752" s="254">
        <v>4.6899999999999997E-3</v>
      </c>
      <c r="Y752" s="254">
        <v>-1.5406E-2</v>
      </c>
      <c r="Z752" s="246">
        <f ca="1">[1]ExtEntry!$M51</f>
        <v>-1.5406E-2</v>
      </c>
      <c r="AB752" s="251">
        <v>8</v>
      </c>
      <c r="AC752" s="251">
        <v>7</v>
      </c>
      <c r="AD752" s="251">
        <v>4</v>
      </c>
      <c r="AE752" s="286">
        <v>2</v>
      </c>
      <c r="AF752" s="286">
        <v>1</v>
      </c>
      <c r="AG752" s="286">
        <v>1</v>
      </c>
      <c r="AH752" s="286">
        <v>1</v>
      </c>
      <c r="AI752" s="286">
        <v>1</v>
      </c>
      <c r="AJ752" s="286">
        <v>4</v>
      </c>
      <c r="AK752" s="286">
        <v>4</v>
      </c>
      <c r="AL752" s="286">
        <v>1</v>
      </c>
      <c r="AM752" s="275">
        <v>8</v>
      </c>
      <c r="AN752" s="275">
        <v>5</v>
      </c>
      <c r="AO752" s="275">
        <v>1</v>
      </c>
      <c r="AP752" s="275">
        <v>1</v>
      </c>
      <c r="AQ752" s="275">
        <v>12</v>
      </c>
      <c r="AR752" s="275">
        <v>15</v>
      </c>
      <c r="AS752" s="275">
        <v>2</v>
      </c>
      <c r="AT752" s="275">
        <v>3</v>
      </c>
      <c r="AU752" s="275">
        <v>4</v>
      </c>
      <c r="AV752" s="275">
        <f t="shared" si="62"/>
        <v>4</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6.2370000000000004E-4</v>
      </c>
      <c r="G754" s="254">
        <v>-4.5859999999999998E-3</v>
      </c>
      <c r="H754" s="254">
        <v>-8.6909999999999991E-3</v>
      </c>
      <c r="I754" s="254">
        <v>1.4461E-2</v>
      </c>
      <c r="J754" s="254">
        <v>4.143E-3</v>
      </c>
      <c r="K754" s="254">
        <v>0</v>
      </c>
      <c r="L754" s="254">
        <v>1.7922E-2</v>
      </c>
      <c r="M754" s="254">
        <v>1.7922E-2</v>
      </c>
      <c r="N754" s="254">
        <v>1.081E-2</v>
      </c>
      <c r="O754" s="254">
        <v>-5.0010000000000002E-3</v>
      </c>
      <c r="P754" s="254">
        <v>4.9399999999999999E-3</v>
      </c>
      <c r="Q754" s="254">
        <v>-7.7629999999999999E-3</v>
      </c>
      <c r="R754" s="254">
        <v>-1.5114000000000001E-2</v>
      </c>
      <c r="S754" s="254">
        <v>2.9449999999999997E-3</v>
      </c>
      <c r="T754" s="254">
        <v>-3.7669999999999999E-3</v>
      </c>
      <c r="U754" s="254">
        <v>1.0644000000000001E-2</v>
      </c>
      <c r="V754" s="254">
        <v>2.5239999999999999E-2</v>
      </c>
      <c r="W754" s="254">
        <v>1.2907999999999999E-2</v>
      </c>
      <c r="X754" s="254">
        <v>1.1472E-2</v>
      </c>
      <c r="Y754" s="254">
        <v>-1.2182E-2</v>
      </c>
      <c r="Z754" s="246">
        <f ca="1">[1]ExtEntry!$M53</f>
        <v>-1.2182E-2</v>
      </c>
      <c r="AB754" s="251">
        <v>16</v>
      </c>
      <c r="AC754" s="251">
        <v>18</v>
      </c>
      <c r="AD754" s="251">
        <v>20</v>
      </c>
      <c r="AE754" s="286">
        <v>14</v>
      </c>
      <c r="AF754" s="286">
        <v>12</v>
      </c>
      <c r="AG754" s="286">
        <v>13</v>
      </c>
      <c r="AH754" s="286">
        <v>3</v>
      </c>
      <c r="AI754" s="286">
        <v>3</v>
      </c>
      <c r="AJ754" s="286">
        <v>2</v>
      </c>
      <c r="AK754" s="286">
        <v>2</v>
      </c>
      <c r="AL754" s="286">
        <v>1</v>
      </c>
      <c r="AM754" s="275">
        <v>4</v>
      </c>
      <c r="AN754" s="275">
        <v>7</v>
      </c>
      <c r="AO754" s="275">
        <v>9</v>
      </c>
      <c r="AP754" s="275">
        <v>11</v>
      </c>
      <c r="AQ754" s="275">
        <v>5</v>
      </c>
      <c r="AR754" s="275">
        <v>1</v>
      </c>
      <c r="AS754" s="275">
        <v>1</v>
      </c>
      <c r="AT754" s="275">
        <v>2</v>
      </c>
      <c r="AU754" s="275">
        <v>3</v>
      </c>
      <c r="AV754" s="275">
        <f t="shared" si="62"/>
        <v>3</v>
      </c>
      <c r="AX754" s="88" t="str">
        <f t="shared" ca="1" si="61"/>
        <v>XOM</v>
      </c>
    </row>
    <row r="755" spans="1:50" hidden="1" x14ac:dyDescent="0.3">
      <c r="A755" s="88" t="str">
        <f t="shared" ca="1" si="59"/>
        <v>XPER</v>
      </c>
      <c r="C755" s="677"/>
      <c r="D755" s="677"/>
      <c r="F755" s="254">
        <v>3.3898000000000005E-2</v>
      </c>
      <c r="G755" s="254">
        <v>8.9569999999999997E-3</v>
      </c>
      <c r="H755" s="254">
        <v>-5.9170000000000004E-3</v>
      </c>
      <c r="I755" s="254">
        <v>-1.6369000000000002E-2</v>
      </c>
      <c r="J755" s="254">
        <v>1.8154E-2</v>
      </c>
      <c r="K755" s="254">
        <v>7.4289999999999998E-3</v>
      </c>
      <c r="L755" s="254">
        <v>-3.2448000000000005E-2</v>
      </c>
      <c r="M755" s="254">
        <v>-3.3923000000000002E-2</v>
      </c>
      <c r="N755" s="254">
        <v>9.1599999999999997E-3</v>
      </c>
      <c r="O755" s="254">
        <v>1.2102999999999999E-2</v>
      </c>
      <c r="P755" s="254">
        <v>-4.4979999999999994E-3</v>
      </c>
      <c r="Q755" s="254">
        <v>1.506E-2</v>
      </c>
      <c r="R755" s="254">
        <v>-9.0229999999999998E-3</v>
      </c>
      <c r="S755" s="254">
        <v>-3.4091000000000003E-2</v>
      </c>
      <c r="T755" s="254">
        <v>5.8085000000000005E-2</v>
      </c>
      <c r="U755" s="254">
        <v>2.2254999999999997E-2</v>
      </c>
      <c r="V755" s="254">
        <v>-3.952E-2</v>
      </c>
      <c r="W755" s="254">
        <v>-1.746E-2</v>
      </c>
      <c r="X755" s="254">
        <v>-2.349E-2</v>
      </c>
      <c r="Y755" s="254">
        <v>-2.2336999999999999E-2</v>
      </c>
      <c r="Z755" s="246">
        <f ca="1">[1]ExtEntry!$M54</f>
        <v>-2.2336999999999999E-2</v>
      </c>
      <c r="AB755" s="251">
        <v>3</v>
      </c>
      <c r="AC755" s="251">
        <v>2</v>
      </c>
      <c r="AD755" s="251">
        <v>4</v>
      </c>
      <c r="AE755" s="286">
        <v>9</v>
      </c>
      <c r="AF755" s="286">
        <v>4</v>
      </c>
      <c r="AG755" s="286">
        <v>2</v>
      </c>
      <c r="AH755" s="286">
        <v>16</v>
      </c>
      <c r="AI755" s="286">
        <v>17</v>
      </c>
      <c r="AJ755" s="286">
        <v>11</v>
      </c>
      <c r="AK755" s="286">
        <v>10</v>
      </c>
      <c r="AL755" s="286">
        <v>11</v>
      </c>
      <c r="AM755" s="275">
        <v>4</v>
      </c>
      <c r="AN755" s="275">
        <v>16</v>
      </c>
      <c r="AO755" s="275">
        <v>20</v>
      </c>
      <c r="AP755" s="275">
        <v>3</v>
      </c>
      <c r="AQ755" s="275">
        <v>1</v>
      </c>
      <c r="AR755" s="275">
        <v>15</v>
      </c>
      <c r="AS755" s="275">
        <v>20</v>
      </c>
      <c r="AT755" s="275">
        <v>20</v>
      </c>
      <c r="AU755" s="275">
        <v>20</v>
      </c>
      <c r="AV755" s="275">
        <f t="shared" si="62"/>
        <v>20</v>
      </c>
      <c r="AX755" s="88" t="str">
        <f t="shared" ca="1" si="61"/>
        <v>XPER</v>
      </c>
    </row>
    <row r="756" spans="1:50" hidden="1" x14ac:dyDescent="0.3">
      <c r="A756" s="88" t="str">
        <f t="shared" ca="1" si="59"/>
        <v>MVEALDNE</v>
      </c>
      <c r="C756" s="677"/>
      <c r="D756" s="677"/>
      <c r="F756" s="254">
        <v>2.3869999999999998E-3</v>
      </c>
      <c r="G756" s="254">
        <v>-2.3809999999999999E-3</v>
      </c>
      <c r="H756" s="254">
        <v>-9.5469999999999999E-3</v>
      </c>
      <c r="I756" s="254">
        <v>0</v>
      </c>
      <c r="J756" s="254">
        <v>-1.2048000000000001E-2</v>
      </c>
      <c r="K756" s="254">
        <v>1.2195000000000001E-2</v>
      </c>
      <c r="L756" s="254">
        <v>1.2048000000000001E-2</v>
      </c>
      <c r="M756" s="254">
        <v>1.2048000000000001E-2</v>
      </c>
      <c r="N756" s="254">
        <v>-2.3809999999999999E-3</v>
      </c>
      <c r="O756" s="254">
        <v>-1.4319999999999999E-2</v>
      </c>
      <c r="P756" s="254">
        <v>-9.6850000000000009E-3</v>
      </c>
      <c r="Q756" s="254">
        <v>2.4450000000000001E-3</v>
      </c>
      <c r="R756" s="254">
        <v>3.0533999999999999E-2</v>
      </c>
      <c r="S756" s="254">
        <v>-2.532E-3</v>
      </c>
      <c r="T756" s="254">
        <v>2.5380000000000003E-3</v>
      </c>
      <c r="U756" s="254">
        <v>-1.0126999999999999E-2</v>
      </c>
      <c r="V756" s="254">
        <v>-2.5580000000000004E-3</v>
      </c>
      <c r="W756" s="254">
        <v>-7.4999999999999997E-2</v>
      </c>
      <c r="X756" s="254">
        <v>-1.4705999999999999E-2</v>
      </c>
      <c r="Y756" s="254">
        <v>1.1765000000000001E-2</v>
      </c>
      <c r="Z756" s="246">
        <f ca="1">[1]ExtEntry!$M55</f>
        <v>1.1765000000000001E-2</v>
      </c>
      <c r="AB756" s="251">
        <v>11</v>
      </c>
      <c r="AC756" s="251">
        <v>12</v>
      </c>
      <c r="AD756" s="251">
        <v>13</v>
      </c>
      <c r="AE756" s="286">
        <v>12</v>
      </c>
      <c r="AF756" s="286">
        <v>16</v>
      </c>
      <c r="AG756" s="286">
        <v>10</v>
      </c>
      <c r="AH756" s="286">
        <v>6</v>
      </c>
      <c r="AI756" s="286">
        <v>6</v>
      </c>
      <c r="AJ756" s="286">
        <v>10</v>
      </c>
      <c r="AK756" s="286">
        <v>16</v>
      </c>
      <c r="AL756" s="286">
        <v>20</v>
      </c>
      <c r="AM756" s="275">
        <v>18</v>
      </c>
      <c r="AN756" s="275">
        <v>20</v>
      </c>
      <c r="AO756" s="275">
        <v>20</v>
      </c>
      <c r="AP756" s="275">
        <v>19</v>
      </c>
      <c r="AQ756" s="275">
        <v>20</v>
      </c>
      <c r="AR756" s="275">
        <v>20</v>
      </c>
      <c r="AS756" s="275">
        <v>20</v>
      </c>
      <c r="AT756" s="275">
        <v>19</v>
      </c>
      <c r="AU756" s="275">
        <v>18</v>
      </c>
      <c r="AV756" s="275">
        <f t="shared" si="62"/>
        <v>18</v>
      </c>
      <c r="AX756" s="88" t="str">
        <f t="shared" ca="1" si="61"/>
        <v>MVEALDNE</v>
      </c>
    </row>
    <row r="757" spans="1:50" hidden="1" x14ac:dyDescent="0.3">
      <c r="A757" s="88" t="str">
        <f t="shared" ca="1" si="59"/>
        <v>MVEDDD</v>
      </c>
      <c r="C757" s="677"/>
      <c r="D757" s="677"/>
      <c r="F757" s="254">
        <v>-9.6460000000000001E-3</v>
      </c>
      <c r="G757" s="254">
        <v>5.5195000000000001E-2</v>
      </c>
      <c r="H757" s="254">
        <v>-3.058E-3</v>
      </c>
      <c r="I757" s="254">
        <v>-4.6012000000000004E-2</v>
      </c>
      <c r="J757" s="254">
        <v>0.21704200000000001</v>
      </c>
      <c r="K757" s="254">
        <v>-0.10846600000000001</v>
      </c>
      <c r="L757" s="254">
        <v>-0.11094699999999999</v>
      </c>
      <c r="M757" s="254">
        <v>-0.11094699999999999</v>
      </c>
      <c r="N757" s="254">
        <v>2.1595E-2</v>
      </c>
      <c r="O757" s="254">
        <v>1.4610000000000001E-2</v>
      </c>
      <c r="P757" s="254">
        <v>-1.7572000000000001E-2</v>
      </c>
      <c r="Q757" s="254">
        <v>4.0716999999999996E-2</v>
      </c>
      <c r="R757" s="254">
        <v>-6.9306999999999994E-2</v>
      </c>
      <c r="S757" s="254">
        <v>-5.9854999999999998E-2</v>
      </c>
      <c r="T757" s="254">
        <v>-7.6339999999999993E-3</v>
      </c>
      <c r="U757" s="254">
        <v>-0.12884600000000002</v>
      </c>
      <c r="V757" s="254">
        <v>-1.1110999999999999E-2</v>
      </c>
      <c r="W757" s="254">
        <v>0</v>
      </c>
      <c r="X757" s="254">
        <v>0</v>
      </c>
      <c r="Y757" s="254">
        <v>-1.6827000000000002E-2</v>
      </c>
      <c r="Z757" s="246">
        <f ca="1">[1]ExtEntry!$M56</f>
        <v>-1.6827000000000002E-2</v>
      </c>
      <c r="AB757" s="251">
        <v>8</v>
      </c>
      <c r="AC757" s="251">
        <v>1</v>
      </c>
      <c r="AD757" s="251">
        <v>1</v>
      </c>
      <c r="AE757" s="286">
        <v>9</v>
      </c>
      <c r="AF757" s="286">
        <v>1</v>
      </c>
      <c r="AG757" s="286">
        <v>2</v>
      </c>
      <c r="AH757" s="286">
        <v>14</v>
      </c>
      <c r="AI757" s="286">
        <v>14</v>
      </c>
      <c r="AJ757" s="286">
        <v>14</v>
      </c>
      <c r="AK757" s="286">
        <v>9</v>
      </c>
      <c r="AL757" s="286">
        <v>14</v>
      </c>
      <c r="AM757" s="275">
        <v>6</v>
      </c>
      <c r="AN757" s="275">
        <v>20</v>
      </c>
      <c r="AO757" s="275">
        <v>20</v>
      </c>
      <c r="AP757" s="275">
        <v>19</v>
      </c>
      <c r="AQ757" s="275">
        <v>20</v>
      </c>
      <c r="AR757" s="275">
        <v>20</v>
      </c>
      <c r="AS757" s="275">
        <v>20</v>
      </c>
      <c r="AT757" s="275">
        <v>20</v>
      </c>
      <c r="AU757" s="275">
        <v>20</v>
      </c>
      <c r="AV757" s="275">
        <f t="shared" si="62"/>
        <v>20</v>
      </c>
      <c r="AX757" s="88" t="str">
        <f t="shared" ca="1" si="61"/>
        <v>MVEDDD</v>
      </c>
    </row>
    <row r="758" spans="1:50" hidden="1" x14ac:dyDescent="0.3">
      <c r="A758" s="88" t="str">
        <f t="shared" ca="1" si="59"/>
        <v>MVEDSY</v>
      </c>
      <c r="C758" s="677"/>
      <c r="D758" s="677"/>
      <c r="F758" s="254">
        <v>-1.5966999999999999E-2</v>
      </c>
      <c r="G758" s="254">
        <v>1.8695E-2</v>
      </c>
      <c r="H758" s="254">
        <v>1.7313000000000002E-2</v>
      </c>
      <c r="I758" s="254">
        <v>-1.702E-3</v>
      </c>
      <c r="J758" s="254">
        <v>1.5343000000000001E-2</v>
      </c>
      <c r="K758" s="254">
        <v>1.6454E-2</v>
      </c>
      <c r="L758" s="254">
        <v>-4.9550000000000002E-3</v>
      </c>
      <c r="M758" s="254">
        <v>-4.9550000000000002E-3</v>
      </c>
      <c r="N758" s="254">
        <v>-0.12981400000000001</v>
      </c>
      <c r="O758" s="254">
        <v>-1.984E-2</v>
      </c>
      <c r="P758" s="254">
        <v>-1.0899000000000001E-2</v>
      </c>
      <c r="Q758" s="254">
        <v>-1.7316000000000002E-2</v>
      </c>
      <c r="R758" s="254">
        <v>8.1530000000000003E-4</v>
      </c>
      <c r="S758" s="254">
        <v>-1.3136000000000002E-2</v>
      </c>
      <c r="T758" s="254">
        <v>-2.496E-3</v>
      </c>
      <c r="U758" s="254">
        <v>-3.0025E-2</v>
      </c>
      <c r="V758" s="254">
        <v>3.4389999999999998E-3</v>
      </c>
      <c r="W758" s="254">
        <v>-9.9050000000000006E-3</v>
      </c>
      <c r="X758" s="254">
        <v>-4.3139999999999997E-4</v>
      </c>
      <c r="Y758" s="254">
        <v>8.6280000000000003E-3</v>
      </c>
      <c r="Z758" s="246">
        <f ca="1">[1]ExtEntry!$M57</f>
        <v>8.6280000000000003E-3</v>
      </c>
      <c r="AB758" s="251">
        <v>5</v>
      </c>
      <c r="AC758" s="251">
        <v>3</v>
      </c>
      <c r="AD758" s="251">
        <v>1</v>
      </c>
      <c r="AE758" s="286">
        <v>3</v>
      </c>
      <c r="AF758" s="286">
        <v>1</v>
      </c>
      <c r="AG758" s="286">
        <v>1</v>
      </c>
      <c r="AH758" s="286">
        <v>2</v>
      </c>
      <c r="AI758" s="286">
        <v>2</v>
      </c>
      <c r="AJ758" s="286">
        <v>15</v>
      </c>
      <c r="AK758" s="286">
        <v>15</v>
      </c>
      <c r="AL758" s="286">
        <v>15</v>
      </c>
      <c r="AM758" s="275">
        <v>16</v>
      </c>
      <c r="AN758" s="275">
        <v>17</v>
      </c>
      <c r="AO758" s="275">
        <v>18</v>
      </c>
      <c r="AP758" s="275">
        <v>19</v>
      </c>
      <c r="AQ758" s="275">
        <v>20</v>
      </c>
      <c r="AR758" s="275">
        <v>19</v>
      </c>
      <c r="AS758" s="275">
        <v>17</v>
      </c>
      <c r="AT758" s="275">
        <v>20</v>
      </c>
      <c r="AU758" s="275">
        <v>17</v>
      </c>
      <c r="AV758" s="275">
        <f t="shared" si="62"/>
        <v>17</v>
      </c>
      <c r="AX758" s="88" t="str">
        <f t="shared" ca="1" si="61"/>
        <v>MVEDSY</v>
      </c>
    </row>
    <row r="759" spans="1:50" hidden="1" x14ac:dyDescent="0.3">
      <c r="A759" s="88" t="str">
        <f t="shared" ca="1" si="59"/>
        <v>MVEEOAN</v>
      </c>
      <c r="C759" s="677"/>
      <c r="D759" s="677"/>
      <c r="F759" s="254">
        <v>6.7650000000000002E-3</v>
      </c>
      <c r="G759" s="254">
        <v>-1.0385E-2</v>
      </c>
      <c r="H759" s="254">
        <v>3.0859999999999998E-3</v>
      </c>
      <c r="I759" s="254">
        <v>1.2310000000000001E-3</v>
      </c>
      <c r="J759" s="254">
        <v>9.2189999999999998E-3</v>
      </c>
      <c r="K759" s="254">
        <v>-3.3500000000000001E-3</v>
      </c>
      <c r="L759" s="254">
        <v>-1.6192999999999999E-2</v>
      </c>
      <c r="M759" s="254">
        <v>-1.6192999999999999E-2</v>
      </c>
      <c r="N759" s="254">
        <v>-7.4529999999999996E-3</v>
      </c>
      <c r="O759" s="254">
        <v>5.006E-3</v>
      </c>
      <c r="P759" s="254">
        <v>2.1789999999999999E-3</v>
      </c>
      <c r="Q759" s="254">
        <v>9.0089999999999996E-3</v>
      </c>
      <c r="R759" s="254">
        <v>-3.0669999999999998E-3</v>
      </c>
      <c r="S759" s="254">
        <v>-1.0367999999999999E-2</v>
      </c>
      <c r="T759" s="254">
        <v>1.9047999999999999E-2</v>
      </c>
      <c r="U759" s="254">
        <v>1.869E-3</v>
      </c>
      <c r="V759" s="254">
        <v>1.555E-3</v>
      </c>
      <c r="W759" s="254">
        <v>1.3139999999999998E-3</v>
      </c>
      <c r="X759" s="254">
        <v>-7.1709999999999994E-3</v>
      </c>
      <c r="Y759" s="254">
        <v>-2.6079999999999996E-3</v>
      </c>
      <c r="Z759" s="246">
        <f ca="1">[1]ExtEntry!$M58</f>
        <v>-2.6079999999999996E-3</v>
      </c>
      <c r="AB759" s="251">
        <v>1</v>
      </c>
      <c r="AC759" s="251">
        <v>3</v>
      </c>
      <c r="AD759" s="251">
        <v>3</v>
      </c>
      <c r="AE759" s="286">
        <v>2</v>
      </c>
      <c r="AF759" s="286">
        <v>1</v>
      </c>
      <c r="AG759" s="286">
        <v>3</v>
      </c>
      <c r="AH759" s="286">
        <v>14</v>
      </c>
      <c r="AI759" s="286">
        <v>14</v>
      </c>
      <c r="AJ759" s="286">
        <v>19</v>
      </c>
      <c r="AK759" s="286">
        <v>17</v>
      </c>
      <c r="AL759" s="286">
        <v>16</v>
      </c>
      <c r="AM759" s="275">
        <v>7</v>
      </c>
      <c r="AN759" s="275">
        <v>6</v>
      </c>
      <c r="AO759" s="275">
        <v>20</v>
      </c>
      <c r="AP759" s="275">
        <v>18</v>
      </c>
      <c r="AQ759" s="275">
        <v>16</v>
      </c>
      <c r="AR759" s="275">
        <v>12</v>
      </c>
      <c r="AS759" s="275">
        <v>20</v>
      </c>
      <c r="AT759" s="275">
        <v>20</v>
      </c>
      <c r="AU759" s="275">
        <v>18</v>
      </c>
      <c r="AV759" s="275">
        <f t="shared" si="62"/>
        <v>18</v>
      </c>
      <c r="AX759" s="88" t="str">
        <f t="shared" ca="1" si="61"/>
        <v>MVEEOAN</v>
      </c>
    </row>
    <row r="760" spans="1:50" hidden="1" x14ac:dyDescent="0.3">
      <c r="A760" s="88" t="str">
        <f t="shared" ca="1" si="59"/>
        <v>MVEENI</v>
      </c>
      <c r="C760" s="677"/>
      <c r="D760" s="677"/>
      <c r="F760" s="254">
        <v>-1.8166999999999999E-2</v>
      </c>
      <c r="G760" s="254">
        <v>1.4970000000000001E-3</v>
      </c>
      <c r="H760" s="254">
        <v>2.9889999999999999E-3</v>
      </c>
      <c r="I760" s="254">
        <v>5.2820000000000002E-3</v>
      </c>
      <c r="J760" s="254">
        <v>2.1559999999999999E-3</v>
      </c>
      <c r="K760" s="254">
        <v>1.6130000000000001E-3</v>
      </c>
      <c r="L760" s="254">
        <v>1.5167999999999999E-2</v>
      </c>
      <c r="M760" s="254">
        <v>1.5167999999999999E-2</v>
      </c>
      <c r="N760" s="254">
        <v>3.0411000000000001E-2</v>
      </c>
      <c r="O760" s="254">
        <v>1.6040000000000002E-2</v>
      </c>
      <c r="P760" s="254">
        <v>6.6940000000000003E-3</v>
      </c>
      <c r="Q760" s="254">
        <v>-3.5130000000000001E-3</v>
      </c>
      <c r="R760" s="254">
        <v>-2.6310000000000001E-3</v>
      </c>
      <c r="S760" s="254">
        <v>-2.6329999999999999E-3</v>
      </c>
      <c r="T760" s="254">
        <v>3.6459999999999999E-3</v>
      </c>
      <c r="U760" s="254">
        <v>-1.253E-3</v>
      </c>
      <c r="V760" s="254">
        <v>-1.003E-3</v>
      </c>
      <c r="W760" s="254">
        <v>9.722E-4</v>
      </c>
      <c r="X760" s="254">
        <v>1.8370000000000001E-3</v>
      </c>
      <c r="Y760" s="254">
        <v>-6.8589999999999996E-3</v>
      </c>
      <c r="Z760" s="246">
        <f ca="1">[1]ExtEntry!$M59</f>
        <v>-6.8589999999999996E-3</v>
      </c>
      <c r="AB760" s="251">
        <v>19</v>
      </c>
      <c r="AC760" s="251">
        <v>18</v>
      </c>
      <c r="AD760" s="251">
        <v>17</v>
      </c>
      <c r="AE760" s="286">
        <v>14</v>
      </c>
      <c r="AF760" s="286">
        <v>12</v>
      </c>
      <c r="AG760" s="286">
        <v>12</v>
      </c>
      <c r="AH760" s="286">
        <v>7</v>
      </c>
      <c r="AI760" s="286">
        <v>7</v>
      </c>
      <c r="AJ760" s="286">
        <v>1</v>
      </c>
      <c r="AK760" s="286">
        <v>1</v>
      </c>
      <c r="AL760" s="286">
        <v>1</v>
      </c>
      <c r="AM760" s="275">
        <v>2</v>
      </c>
      <c r="AN760" s="275">
        <v>2</v>
      </c>
      <c r="AO760" s="275">
        <v>3</v>
      </c>
      <c r="AP760" s="275">
        <v>1</v>
      </c>
      <c r="AQ760" s="275">
        <v>2</v>
      </c>
      <c r="AR760" s="275">
        <v>4</v>
      </c>
      <c r="AS760" s="275">
        <v>1</v>
      </c>
      <c r="AT760" s="275">
        <v>2</v>
      </c>
      <c r="AU760" s="275">
        <v>3</v>
      </c>
      <c r="AV760" s="275">
        <f t="shared" si="62"/>
        <v>3</v>
      </c>
      <c r="AX760" s="88" t="str">
        <f t="shared" ca="1" si="61"/>
        <v>MVEENI</v>
      </c>
    </row>
    <row r="761" spans="1:50" hidden="1" x14ac:dyDescent="0.3">
      <c r="A761" s="88" t="str">
        <f t="shared" ca="1" si="59"/>
        <v>MVEEPIX</v>
      </c>
      <c r="C761" s="677"/>
      <c r="D761" s="677"/>
      <c r="F761" s="254">
        <v>0</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10</v>
      </c>
      <c r="AC761" s="251">
        <v>10</v>
      </c>
      <c r="AD761" s="251">
        <v>9</v>
      </c>
      <c r="AE761" s="286">
        <v>8</v>
      </c>
      <c r="AF761" s="286">
        <v>7</v>
      </c>
      <c r="AG761" s="286">
        <v>6</v>
      </c>
      <c r="AH761" s="286">
        <v>5</v>
      </c>
      <c r="AI761" s="286">
        <v>5</v>
      </c>
      <c r="AJ761" s="286">
        <v>5</v>
      </c>
      <c r="AK761" s="286">
        <v>5</v>
      </c>
      <c r="AL761" s="286">
        <v>5</v>
      </c>
      <c r="AM761" s="275">
        <v>5</v>
      </c>
      <c r="AN761" s="275">
        <v>4</v>
      </c>
      <c r="AO761" s="275">
        <v>3</v>
      </c>
      <c r="AP761" s="275">
        <v>2</v>
      </c>
      <c r="AQ761" s="275">
        <v>1</v>
      </c>
      <c r="AR761" s="275">
        <v>1</v>
      </c>
      <c r="AS761" s="275">
        <v>1</v>
      </c>
      <c r="AT761" s="275">
        <v>1</v>
      </c>
      <c r="AU761" s="275">
        <v>1</v>
      </c>
      <c r="AV761" s="275">
        <f t="shared" si="62"/>
        <v>1</v>
      </c>
      <c r="AX761" s="88" t="str">
        <f t="shared" ca="1" si="61"/>
        <v>MVEEPIX</v>
      </c>
    </row>
    <row r="762" spans="1:50" hidden="1" x14ac:dyDescent="0.3">
      <c r="A762" s="88" t="str">
        <f t="shared" ca="1" si="59"/>
        <v>MVEGLE</v>
      </c>
      <c r="C762" s="677"/>
      <c r="D762" s="677"/>
      <c r="F762" s="254">
        <v>2.4199999999999999E-2</v>
      </c>
      <c r="G762" s="254">
        <v>9.8150000000000008E-3</v>
      </c>
      <c r="H762" s="254">
        <v>1.7278999999999999E-2</v>
      </c>
      <c r="I762" s="254">
        <v>-5.0955E-2</v>
      </c>
      <c r="J762" s="254">
        <v>-1.1931000000000001E-2</v>
      </c>
      <c r="K762" s="254">
        <v>2.264E-3</v>
      </c>
      <c r="L762" s="254">
        <v>-4.5179999999999994E-3</v>
      </c>
      <c r="M762" s="254">
        <v>-4.5179999999999994E-3</v>
      </c>
      <c r="N762" s="254">
        <v>1.3238000000000002E-2</v>
      </c>
      <c r="O762" s="254">
        <v>1.8659999999999998E-3</v>
      </c>
      <c r="P762" s="254">
        <v>-1.49E-3</v>
      </c>
      <c r="Q762" s="254">
        <v>1.2313000000000001E-2</v>
      </c>
      <c r="R762" s="254">
        <v>-3.5661999999999999E-2</v>
      </c>
      <c r="S762" s="254">
        <v>-3.287E-3</v>
      </c>
      <c r="T762" s="254">
        <v>1.0989999999999999E-3</v>
      </c>
      <c r="U762" s="254">
        <v>2.1230000000000002E-2</v>
      </c>
      <c r="V762" s="254">
        <v>-2.0788999999999998E-2</v>
      </c>
      <c r="W762" s="254">
        <v>-1.9945999999999998E-2</v>
      </c>
      <c r="X762" s="254">
        <v>-5.3119999999999999E-3</v>
      </c>
      <c r="Y762" s="254">
        <v>6.0200000000000002E-3</v>
      </c>
      <c r="Z762" s="246">
        <f ca="1">[1]ExtEntry!$M61</f>
        <v>6.0200000000000002E-3</v>
      </c>
      <c r="AB762" s="251">
        <v>15</v>
      </c>
      <c r="AC762" s="251">
        <v>14</v>
      </c>
      <c r="AD762" s="251">
        <v>12</v>
      </c>
      <c r="AE762" s="286">
        <v>19</v>
      </c>
      <c r="AF762" s="286">
        <v>20</v>
      </c>
      <c r="AG762" s="286">
        <v>19</v>
      </c>
      <c r="AH762" s="286">
        <v>20</v>
      </c>
      <c r="AI762" s="286">
        <v>19</v>
      </c>
      <c r="AJ762" s="286">
        <v>15</v>
      </c>
      <c r="AK762" s="286">
        <v>13</v>
      </c>
      <c r="AL762" s="286">
        <v>14</v>
      </c>
      <c r="AM762" s="275">
        <v>9</v>
      </c>
      <c r="AN762" s="275">
        <v>17</v>
      </c>
      <c r="AO762" s="275">
        <v>5</v>
      </c>
      <c r="AP762" s="275">
        <v>4</v>
      </c>
      <c r="AQ762" s="275">
        <v>2</v>
      </c>
      <c r="AR762" s="275">
        <v>5</v>
      </c>
      <c r="AS762" s="275">
        <v>1</v>
      </c>
      <c r="AT762" s="275">
        <v>3</v>
      </c>
      <c r="AU762" s="275">
        <v>2</v>
      </c>
      <c r="AV762" s="275">
        <f t="shared" si="62"/>
        <v>2</v>
      </c>
      <c r="AX762" s="88" t="str">
        <f t="shared" ca="1" si="61"/>
        <v>MVEGLE</v>
      </c>
    </row>
    <row r="763" spans="1:50" hidden="1" x14ac:dyDescent="0.3">
      <c r="A763" s="88" t="str">
        <f t="shared" ca="1" si="59"/>
        <v>MVEORA</v>
      </c>
      <c r="C763" s="677"/>
      <c r="D763" s="677"/>
      <c r="F763" s="254">
        <v>1.0423999999999999E-2</v>
      </c>
      <c r="G763" s="254">
        <v>3.2793000000000003E-2</v>
      </c>
      <c r="H763" s="254">
        <v>4.9950000000000003E-3</v>
      </c>
      <c r="I763" s="254">
        <v>1.7749000000000001E-2</v>
      </c>
      <c r="J763" s="254">
        <v>-1.2208000000000002E-2</v>
      </c>
      <c r="K763" s="254">
        <v>-2.4720000000000002E-3</v>
      </c>
      <c r="L763" s="254">
        <v>-3.8940000000000003E-3</v>
      </c>
      <c r="M763" s="254">
        <v>-3.8940000000000003E-3</v>
      </c>
      <c r="N763" s="254">
        <v>5.6860000000000001E-3</v>
      </c>
      <c r="O763" s="254">
        <v>-1.6254000000000001E-2</v>
      </c>
      <c r="P763" s="254">
        <v>-5.0290000000000005E-3</v>
      </c>
      <c r="Q763" s="254">
        <v>2.8879999999999999E-3</v>
      </c>
      <c r="R763" s="254">
        <v>1.0208E-2</v>
      </c>
      <c r="S763" s="254">
        <v>-1.0104999999999999E-2</v>
      </c>
      <c r="T763" s="254">
        <v>0</v>
      </c>
      <c r="U763" s="254">
        <v>1.6404999999999999E-2</v>
      </c>
      <c r="V763" s="254">
        <v>1.6141000000000003E-2</v>
      </c>
      <c r="W763" s="254">
        <v>-2.1632999999999999E-2</v>
      </c>
      <c r="X763" s="254">
        <v>-1.9341000000000001E-2</v>
      </c>
      <c r="Y763" s="254">
        <v>-1.2894000000000001E-2</v>
      </c>
      <c r="Z763" s="246">
        <f ca="1">[1]ExtEntry!$M62</f>
        <v>-1.2894000000000001E-2</v>
      </c>
      <c r="AB763" s="251">
        <v>13</v>
      </c>
      <c r="AC763" s="251">
        <v>2</v>
      </c>
      <c r="AD763" s="251">
        <v>2</v>
      </c>
      <c r="AE763" s="286">
        <v>2</v>
      </c>
      <c r="AF763" s="286">
        <v>3</v>
      </c>
      <c r="AG763" s="286">
        <v>4</v>
      </c>
      <c r="AH763" s="286">
        <v>6</v>
      </c>
      <c r="AI763" s="286">
        <v>6</v>
      </c>
      <c r="AJ763" s="286">
        <v>4</v>
      </c>
      <c r="AK763" s="286">
        <v>10</v>
      </c>
      <c r="AL763" s="286">
        <v>11</v>
      </c>
      <c r="AM763" s="275">
        <v>10</v>
      </c>
      <c r="AN763" s="275">
        <v>11</v>
      </c>
      <c r="AO763" s="275">
        <v>13</v>
      </c>
      <c r="AP763" s="275">
        <v>13</v>
      </c>
      <c r="AQ763" s="275">
        <v>9</v>
      </c>
      <c r="AR763" s="275">
        <v>2</v>
      </c>
      <c r="AS763" s="275">
        <v>9</v>
      </c>
      <c r="AT763" s="275">
        <v>18</v>
      </c>
      <c r="AU763" s="275">
        <v>16</v>
      </c>
      <c r="AV763" s="275">
        <f t="shared" si="62"/>
        <v>16</v>
      </c>
      <c r="AX763" s="88" t="str">
        <f t="shared" ca="1" si="61"/>
        <v>MVEORA</v>
      </c>
    </row>
    <row r="764" spans="1:50" hidden="1" x14ac:dyDescent="0.3">
      <c r="A764" s="88" t="str">
        <f t="shared" ca="1" si="59"/>
        <v>MVERWE</v>
      </c>
      <c r="C764" s="677"/>
      <c r="D764" s="677"/>
      <c r="F764" s="254">
        <v>-9.2770000000000005E-3</v>
      </c>
      <c r="G764" s="254">
        <v>2.7109999999999999E-3</v>
      </c>
      <c r="H764" s="254">
        <v>1.4962E-2</v>
      </c>
      <c r="I764" s="254">
        <v>-7.7330000000000003E-3</v>
      </c>
      <c r="J764" s="254">
        <v>-3.4100000000000003E-3</v>
      </c>
      <c r="K764" s="254">
        <v>-1.0997E-2</v>
      </c>
      <c r="L764" s="254">
        <v>-6.1770000000000002E-3</v>
      </c>
      <c r="M764" s="254">
        <v>-6.1770000000000002E-3</v>
      </c>
      <c r="N764" s="254">
        <v>-5.47E-3</v>
      </c>
      <c r="O764" s="254">
        <v>1.2E-2</v>
      </c>
      <c r="P764" s="254">
        <v>4.9410000000000003E-4</v>
      </c>
      <c r="Q764" s="254">
        <v>1.4568000000000001E-2</v>
      </c>
      <c r="R764" s="254">
        <v>1.6076E-2</v>
      </c>
      <c r="S764" s="254">
        <v>-1.0748000000000001E-2</v>
      </c>
      <c r="T764" s="254">
        <v>6.3770000000000007E-3</v>
      </c>
      <c r="U764" s="254">
        <v>1.1969E-2</v>
      </c>
      <c r="V764" s="254">
        <v>-4.1770000000000002E-3</v>
      </c>
      <c r="W764" s="254">
        <v>-3.0790000000000001E-3</v>
      </c>
      <c r="X764" s="254">
        <v>-8.7309999999999992E-3</v>
      </c>
      <c r="Y764" s="254">
        <v>-2.1042999999999999E-2</v>
      </c>
      <c r="Z764" s="246">
        <f ca="1">[1]ExtEntry!$M63</f>
        <v>-2.1042999999999999E-2</v>
      </c>
      <c r="AB764" s="251">
        <v>2</v>
      </c>
      <c r="AC764" s="251">
        <v>2</v>
      </c>
      <c r="AD764" s="251">
        <v>1</v>
      </c>
      <c r="AE764" s="286">
        <v>2</v>
      </c>
      <c r="AF764" s="286">
        <v>4</v>
      </c>
      <c r="AG764" s="286">
        <v>9</v>
      </c>
      <c r="AH764" s="286">
        <v>10</v>
      </c>
      <c r="AI764" s="286">
        <v>10</v>
      </c>
      <c r="AJ764" s="286">
        <v>13</v>
      </c>
      <c r="AK764" s="286">
        <v>9</v>
      </c>
      <c r="AL764" s="286">
        <v>8</v>
      </c>
      <c r="AM764" s="275">
        <v>2</v>
      </c>
      <c r="AN764" s="275">
        <v>1</v>
      </c>
      <c r="AO764" s="275">
        <v>2</v>
      </c>
      <c r="AP764" s="275">
        <v>2</v>
      </c>
      <c r="AQ764" s="275">
        <v>1</v>
      </c>
      <c r="AR764" s="275">
        <v>3</v>
      </c>
      <c r="AS764" s="275">
        <v>1</v>
      </c>
      <c r="AT764" s="275">
        <v>2</v>
      </c>
      <c r="AU764" s="275">
        <v>3</v>
      </c>
      <c r="AV764" s="275">
        <f t="shared" si="62"/>
        <v>3</v>
      </c>
      <c r="AX764" s="88" t="str">
        <f t="shared" ca="1" si="61"/>
        <v>MVERWE</v>
      </c>
    </row>
    <row r="765" spans="1:50" hidden="1" x14ac:dyDescent="0.3">
      <c r="A765" s="88" t="str">
        <f t="shared" ca="1" si="59"/>
        <v>MVESAP</v>
      </c>
      <c r="C765" s="677"/>
      <c r="D765" s="677"/>
      <c r="F765" s="254">
        <v>5.6179999999999997E-3</v>
      </c>
      <c r="G765" s="254">
        <v>6.4459999999999995E-3</v>
      </c>
      <c r="H765" s="254">
        <v>-4.2699999999999995E-3</v>
      </c>
      <c r="I765" s="254">
        <v>-9.6480000000000003E-3</v>
      </c>
      <c r="J765" s="254">
        <v>3.3124000000000001E-2</v>
      </c>
      <c r="K765" s="254">
        <v>7.5439999999999995E-3</v>
      </c>
      <c r="L765" s="254">
        <v>-1.4766999999999999E-2</v>
      </c>
      <c r="M765" s="254">
        <v>-1.4766999999999999E-2</v>
      </c>
      <c r="N765" s="254">
        <v>2.1743999999999999E-2</v>
      </c>
      <c r="O765" s="254">
        <v>-3.5743999999999998E-2</v>
      </c>
      <c r="P765" s="254">
        <v>9.4279999999999989E-3</v>
      </c>
      <c r="Q765" s="254">
        <v>-6.156E-3</v>
      </c>
      <c r="R765" s="254">
        <v>6.9099999999999995E-3</v>
      </c>
      <c r="S765" s="254">
        <v>-1.2235000000000001E-2</v>
      </c>
      <c r="T765" s="254">
        <v>8.405000000000001E-3</v>
      </c>
      <c r="U765" s="254">
        <v>-4.3868999999999998E-2</v>
      </c>
      <c r="V765" s="254">
        <v>-1.0553E-2</v>
      </c>
      <c r="W765" s="254">
        <v>-3.2094999999999999E-2</v>
      </c>
      <c r="X765" s="254">
        <v>0</v>
      </c>
      <c r="Y765" s="254">
        <v>7.3050000000000003E-4</v>
      </c>
      <c r="Z765" s="246">
        <f ca="1">[1]ExtEntry!$M64</f>
        <v>7.3050000000000003E-4</v>
      </c>
      <c r="AB765" s="251">
        <v>5</v>
      </c>
      <c r="AC765" s="251">
        <v>5</v>
      </c>
      <c r="AD765" s="251">
        <v>6</v>
      </c>
      <c r="AE765" s="286">
        <v>10</v>
      </c>
      <c r="AF765" s="286">
        <v>1</v>
      </c>
      <c r="AG765" s="286">
        <v>1</v>
      </c>
      <c r="AH765" s="286">
        <v>6</v>
      </c>
      <c r="AI765" s="286">
        <v>6</v>
      </c>
      <c r="AJ765" s="286">
        <v>1</v>
      </c>
      <c r="AK765" s="286">
        <v>11</v>
      </c>
      <c r="AL765" s="286">
        <v>9</v>
      </c>
      <c r="AM765" s="275">
        <v>12</v>
      </c>
      <c r="AN765" s="275">
        <v>20</v>
      </c>
      <c r="AO765" s="275">
        <v>19</v>
      </c>
      <c r="AP765" s="275">
        <v>18</v>
      </c>
      <c r="AQ765" s="275">
        <v>20</v>
      </c>
      <c r="AR765" s="275">
        <v>20</v>
      </c>
      <c r="AS765" s="275">
        <v>20</v>
      </c>
      <c r="AT765" s="275">
        <v>20</v>
      </c>
      <c r="AU765" s="275">
        <v>19</v>
      </c>
      <c r="AV765" s="275">
        <f t="shared" si="62"/>
        <v>19</v>
      </c>
      <c r="AX765" s="88" t="str">
        <f t="shared" ca="1" si="61"/>
        <v>MVESAP</v>
      </c>
    </row>
    <row r="766" spans="1:50" hidden="1" x14ac:dyDescent="0.3">
      <c r="A766" s="88" t="str">
        <f t="shared" ca="1" si="59"/>
        <v>MVEUN0</v>
      </c>
      <c r="C766" s="677"/>
      <c r="D766" s="677"/>
      <c r="F766" s="254">
        <v>-1.0971999999999999E-2</v>
      </c>
      <c r="G766" s="254">
        <v>1.585E-3</v>
      </c>
      <c r="H766" s="254">
        <v>4.7470000000000004E-3</v>
      </c>
      <c r="I766" s="254">
        <v>-6.2989999999999999E-3</v>
      </c>
      <c r="J766" s="254">
        <v>4.5959E-2</v>
      </c>
      <c r="K766" s="254">
        <v>-3.9393999999999998E-2</v>
      </c>
      <c r="L766" s="254">
        <v>3.1549999999999998E-3</v>
      </c>
      <c r="M766" s="254">
        <v>3.1549999999999998E-3</v>
      </c>
      <c r="N766" s="254">
        <v>-2.673E-2</v>
      </c>
      <c r="O766" s="254">
        <v>-2.5847999999999999E-2</v>
      </c>
      <c r="P766" s="254">
        <v>2.3216999999999998E-2</v>
      </c>
      <c r="Q766" s="254">
        <v>-1.9449000000000001E-2</v>
      </c>
      <c r="R766" s="254">
        <v>-1.4754E-2</v>
      </c>
      <c r="S766" s="254">
        <v>1.6919999999999999E-3</v>
      </c>
      <c r="T766" s="254">
        <v>-3.3779999999999999E-3</v>
      </c>
      <c r="U766" s="254">
        <v>-5.2541999999999998E-2</v>
      </c>
      <c r="V766" s="254">
        <v>1.9678000000000001E-2</v>
      </c>
      <c r="W766" s="254">
        <v>-1.7449999999999998E-3</v>
      </c>
      <c r="X766" s="254">
        <v>-2.9557000000000003E-2</v>
      </c>
      <c r="Y766" s="254">
        <v>-6.5680000000000009E-3</v>
      </c>
      <c r="Z766" s="246">
        <f ca="1">[1]ExtEntry!$M65</f>
        <v>-6.5680000000000009E-3</v>
      </c>
      <c r="AB766" s="251">
        <v>20</v>
      </c>
      <c r="AC766" s="251">
        <v>19</v>
      </c>
      <c r="AD766" s="251">
        <v>18</v>
      </c>
      <c r="AE766" s="286">
        <v>19</v>
      </c>
      <c r="AF766" s="286">
        <v>11</v>
      </c>
      <c r="AG766" s="286">
        <v>17</v>
      </c>
      <c r="AH766" s="286">
        <v>15</v>
      </c>
      <c r="AI766" s="286">
        <v>14</v>
      </c>
      <c r="AJ766" s="286">
        <v>20</v>
      </c>
      <c r="AK766" s="286">
        <v>20</v>
      </c>
      <c r="AL766" s="286">
        <v>19</v>
      </c>
      <c r="AM766" s="275">
        <v>19</v>
      </c>
      <c r="AN766" s="275">
        <v>20</v>
      </c>
      <c r="AO766" s="275">
        <v>20</v>
      </c>
      <c r="AP766" s="275">
        <v>20</v>
      </c>
      <c r="AQ766" s="275">
        <v>20</v>
      </c>
      <c r="AR766" s="275">
        <v>19</v>
      </c>
      <c r="AS766" s="275">
        <v>18</v>
      </c>
      <c r="AT766" s="275">
        <v>16</v>
      </c>
      <c r="AU766" s="275">
        <v>11</v>
      </c>
      <c r="AV766" s="275">
        <f t="shared" si="62"/>
        <v>11</v>
      </c>
      <c r="AX766" s="88" t="str">
        <f t="shared" ca="1" si="61"/>
        <v>MVEUN0</v>
      </c>
    </row>
    <row r="767" spans="1:50" hidden="1" x14ac:dyDescent="0.3">
      <c r="A767" s="88" t="str">
        <f t="shared" ca="1" si="59"/>
        <v>SAFAAPL</v>
      </c>
      <c r="C767" s="677"/>
      <c r="D767" s="677"/>
      <c r="F767" s="254">
        <v>4.4420000000000001E-4</v>
      </c>
      <c r="G767" s="254">
        <v>6.5790000000000006E-3</v>
      </c>
      <c r="H767" s="254">
        <v>-7.5799999999999999E-3</v>
      </c>
      <c r="I767" s="254">
        <v>1.9560000000000001E-2</v>
      </c>
      <c r="J767" s="254">
        <v>3.9439000000000002E-2</v>
      </c>
      <c r="K767" s="254">
        <v>2.0210000000000002E-3</v>
      </c>
      <c r="L767" s="254">
        <v>-1.644E-2</v>
      </c>
      <c r="M767" s="254">
        <v>-1.644E-2</v>
      </c>
      <c r="N767" s="254">
        <v>4.372E-3</v>
      </c>
      <c r="O767" s="254">
        <v>1.2482E-2</v>
      </c>
      <c r="P767" s="254">
        <v>2.2791000000000002E-2</v>
      </c>
      <c r="Q767" s="254">
        <v>7.0680000000000005E-4</v>
      </c>
      <c r="R767" s="254">
        <v>6.3029999999999996E-3</v>
      </c>
      <c r="S767" s="254">
        <v>3.6420000000000003E-3</v>
      </c>
      <c r="T767" s="254">
        <v>3.703E-4</v>
      </c>
      <c r="U767" s="254">
        <v>1.333E-3</v>
      </c>
      <c r="V767" s="254">
        <v>-6.5719999999999997E-3</v>
      </c>
      <c r="W767" s="254">
        <v>-1.9780000000000002E-3</v>
      </c>
      <c r="X767" s="254">
        <v>-7.4779999999999999E-5</v>
      </c>
      <c r="Y767" s="254">
        <v>9.6839999999999999E-3</v>
      </c>
      <c r="Z767" s="246">
        <f ca="1">[1]ExtEntry!$M66</f>
        <v>9.6839999999999999E-3</v>
      </c>
      <c r="AB767" s="251">
        <v>15</v>
      </c>
      <c r="AC767" s="251">
        <v>15</v>
      </c>
      <c r="AD767" s="251">
        <v>18</v>
      </c>
      <c r="AE767" s="286">
        <v>15</v>
      </c>
      <c r="AF767" s="286">
        <v>1</v>
      </c>
      <c r="AG767" s="286">
        <v>1</v>
      </c>
      <c r="AH767" s="286">
        <v>3</v>
      </c>
      <c r="AI767" s="286">
        <v>3</v>
      </c>
      <c r="AJ767" s="286">
        <v>3</v>
      </c>
      <c r="AK767" s="286">
        <v>1</v>
      </c>
      <c r="AL767" s="286">
        <v>1</v>
      </c>
      <c r="AM767" s="275">
        <v>1</v>
      </c>
      <c r="AN767" s="275">
        <v>1</v>
      </c>
      <c r="AO767" s="275">
        <v>2</v>
      </c>
      <c r="AP767" s="275">
        <v>2</v>
      </c>
      <c r="AQ767" s="275">
        <v>2</v>
      </c>
      <c r="AR767" s="275">
        <v>7</v>
      </c>
      <c r="AS767" s="275">
        <v>1</v>
      </c>
      <c r="AT767" s="275">
        <v>9</v>
      </c>
      <c r="AU767" s="275">
        <v>5</v>
      </c>
      <c r="AV767" s="275">
        <f t="shared" si="62"/>
        <v>5</v>
      </c>
      <c r="AX767" s="88" t="str">
        <f t="shared" ca="1" si="61"/>
        <v>SAFAAPL</v>
      </c>
    </row>
    <row r="768" spans="1:50" hidden="1" x14ac:dyDescent="0.3">
      <c r="A768" s="88" t="str">
        <f t="shared" ca="1" si="59"/>
        <v>SAFAMZN</v>
      </c>
      <c r="C768" s="677"/>
      <c r="D768" s="677"/>
      <c r="F768" s="254">
        <v>-1.6722000000000001E-2</v>
      </c>
      <c r="G768" s="254">
        <v>-5.6839999999999998E-3</v>
      </c>
      <c r="H768" s="254">
        <v>-5.1029999999999999E-3</v>
      </c>
      <c r="I768" s="254">
        <v>-6.6679999999999994E-3</v>
      </c>
      <c r="J768" s="254">
        <v>1.6147000000000002E-2</v>
      </c>
      <c r="K768" s="254">
        <v>2.5637E-2</v>
      </c>
      <c r="L768" s="254">
        <v>-1.8376E-2</v>
      </c>
      <c r="M768" s="254">
        <v>-1.8376E-2</v>
      </c>
      <c r="N768" s="254">
        <v>1.4407000000000001E-2</v>
      </c>
      <c r="O768" s="254">
        <v>1.4112E-2</v>
      </c>
      <c r="P768" s="254">
        <v>1.2310000000000001E-2</v>
      </c>
      <c r="Q768" s="254">
        <v>1.0045E-2</v>
      </c>
      <c r="R768" s="254">
        <v>-3.2306000000000001E-2</v>
      </c>
      <c r="S768" s="254">
        <v>-2.0394000000000002E-2</v>
      </c>
      <c r="T768" s="254">
        <v>3.5299999999999997E-3</v>
      </c>
      <c r="U768" s="254">
        <v>-2.5554E-2</v>
      </c>
      <c r="V768" s="254">
        <v>6.2539999999999991E-3</v>
      </c>
      <c r="W768" s="254">
        <v>-1.2163999999999999E-2</v>
      </c>
      <c r="X768" s="254">
        <v>-4.4317000000000002E-2</v>
      </c>
      <c r="Y768" s="254">
        <v>-6.1470000000000006E-3</v>
      </c>
      <c r="Z768" s="246">
        <f ca="1">[1]ExtEntry!$M67</f>
        <v>-6.1470000000000006E-3</v>
      </c>
      <c r="AB768" s="251">
        <v>20</v>
      </c>
      <c r="AC768" s="251">
        <v>20</v>
      </c>
      <c r="AD768" s="251">
        <v>20</v>
      </c>
      <c r="AE768" s="286">
        <v>20</v>
      </c>
      <c r="AF768" s="286">
        <v>16</v>
      </c>
      <c r="AG768" s="286">
        <v>5</v>
      </c>
      <c r="AH768" s="286">
        <v>15</v>
      </c>
      <c r="AI768" s="286">
        <v>14</v>
      </c>
      <c r="AJ768" s="286">
        <v>7</v>
      </c>
      <c r="AK768" s="286">
        <v>4</v>
      </c>
      <c r="AL768" s="286">
        <v>3</v>
      </c>
      <c r="AM768" s="275">
        <v>1</v>
      </c>
      <c r="AN768" s="275">
        <v>7</v>
      </c>
      <c r="AO768" s="275">
        <v>1</v>
      </c>
      <c r="AP768" s="275">
        <v>1</v>
      </c>
      <c r="AQ768" s="275">
        <v>3</v>
      </c>
      <c r="AR768" s="275">
        <v>3</v>
      </c>
      <c r="AS768" s="275">
        <v>5</v>
      </c>
      <c r="AT768" s="275">
        <v>10</v>
      </c>
      <c r="AU768" s="275">
        <v>12</v>
      </c>
      <c r="AV768" s="275">
        <f t="shared" si="62"/>
        <v>12</v>
      </c>
      <c r="AX768" s="88" t="str">
        <f t="shared" ca="1" si="61"/>
        <v>SAFAMZN</v>
      </c>
    </row>
    <row r="769" spans="1:50" hidden="1" x14ac:dyDescent="0.3">
      <c r="A769" s="88" t="str">
        <f t="shared" ref="A769:A797" ca="1" si="63">A70</f>
        <v>SAFASML</v>
      </c>
      <c r="C769" s="677"/>
      <c r="D769" s="677"/>
      <c r="F769" s="254">
        <v>3.081E-3</v>
      </c>
      <c r="G769" s="254">
        <v>3.1184E-2</v>
      </c>
      <c r="H769" s="254">
        <v>5.0400000000000002E-3</v>
      </c>
      <c r="I769" s="254">
        <v>-1.9380000000000001E-3</v>
      </c>
      <c r="J769" s="254">
        <v>2.6606999999999999E-2</v>
      </c>
      <c r="K769" s="254">
        <v>-1.0234E-2</v>
      </c>
      <c r="L769" s="254">
        <v>-2.214E-2</v>
      </c>
      <c r="M769" s="254">
        <v>-2.214E-2</v>
      </c>
      <c r="N769" s="254">
        <v>2.0228000000000003E-2</v>
      </c>
      <c r="O769" s="254">
        <v>7.548E-3</v>
      </c>
      <c r="P769" s="254">
        <v>1.5318E-2</v>
      </c>
      <c r="Q769" s="254">
        <v>9.9279999999999985E-4</v>
      </c>
      <c r="R769" s="254">
        <v>1.9687E-2</v>
      </c>
      <c r="S769" s="254">
        <v>-9.1739999999999999E-3</v>
      </c>
      <c r="T769" s="254">
        <v>-1.2418E-2</v>
      </c>
      <c r="U769" s="254">
        <v>-1.2463999999999999E-2</v>
      </c>
      <c r="V769" s="254">
        <v>-2.7365E-2</v>
      </c>
      <c r="W769" s="254">
        <v>-8.3949999999999997E-3</v>
      </c>
      <c r="X769" s="254">
        <v>-7.1630000000000001E-3</v>
      </c>
      <c r="Y769" s="254">
        <v>2.4260999999999998E-2</v>
      </c>
      <c r="Z769" s="246">
        <f ca="1">[1]ExtEntry!$M68</f>
        <v>2.4260999999999998E-2</v>
      </c>
      <c r="AB769" s="251">
        <v>8</v>
      </c>
      <c r="AC769" s="251">
        <v>6</v>
      </c>
      <c r="AD769" s="251">
        <v>5</v>
      </c>
      <c r="AE769" s="286">
        <v>6</v>
      </c>
      <c r="AF769" s="286">
        <v>5</v>
      </c>
      <c r="AG769" s="286">
        <v>6</v>
      </c>
      <c r="AH769" s="286">
        <v>11</v>
      </c>
      <c r="AI769" s="286">
        <v>11</v>
      </c>
      <c r="AJ769" s="286">
        <v>7</v>
      </c>
      <c r="AK769" s="286">
        <v>6</v>
      </c>
      <c r="AL769" s="286">
        <v>5</v>
      </c>
      <c r="AM769" s="275">
        <v>5</v>
      </c>
      <c r="AN769" s="275">
        <v>3</v>
      </c>
      <c r="AO769" s="275">
        <v>3</v>
      </c>
      <c r="AP769" s="275">
        <v>5</v>
      </c>
      <c r="AQ769" s="275">
        <v>7</v>
      </c>
      <c r="AR769" s="275">
        <v>14</v>
      </c>
      <c r="AS769" s="275">
        <v>13</v>
      </c>
      <c r="AT769" s="275">
        <v>18</v>
      </c>
      <c r="AU769" s="275">
        <v>11</v>
      </c>
      <c r="AV769" s="275">
        <f t="shared" si="62"/>
        <v>11</v>
      </c>
      <c r="AX769" s="88" t="str">
        <f t="shared" ca="1" si="61"/>
        <v>SAFASML</v>
      </c>
    </row>
    <row r="770" spans="1:50" hidden="1" x14ac:dyDescent="0.3">
      <c r="A770" s="88" t="str">
        <f t="shared" ca="1" si="63"/>
        <v>SAFDDD</v>
      </c>
      <c r="C770" s="677"/>
      <c r="D770" s="677"/>
      <c r="F770" s="254">
        <v>-9.6460000000000001E-3</v>
      </c>
      <c r="G770" s="254">
        <v>5.5195000000000001E-2</v>
      </c>
      <c r="H770" s="254">
        <v>-3.058E-3</v>
      </c>
      <c r="I770" s="254">
        <v>-4.6012000000000004E-2</v>
      </c>
      <c r="J770" s="254">
        <v>0.21704200000000001</v>
      </c>
      <c r="K770" s="254">
        <v>-0.10846600000000001</v>
      </c>
      <c r="L770" s="254">
        <v>-0.11094699999999999</v>
      </c>
      <c r="M770" s="254">
        <v>-0.11094699999999999</v>
      </c>
      <c r="N770" s="254">
        <v>2.1595E-2</v>
      </c>
      <c r="O770" s="254">
        <v>1.4610000000000001E-2</v>
      </c>
      <c r="P770" s="254">
        <v>-1.7572000000000001E-2</v>
      </c>
      <c r="Q770" s="254">
        <v>4.0716999999999996E-2</v>
      </c>
      <c r="R770" s="254">
        <v>-6.9306999999999994E-2</v>
      </c>
      <c r="S770" s="254">
        <v>-5.9854999999999998E-2</v>
      </c>
      <c r="T770" s="254">
        <v>-7.6339999999999993E-3</v>
      </c>
      <c r="U770" s="254">
        <v>-0.12884600000000002</v>
      </c>
      <c r="V770" s="254">
        <v>-1.1110999999999999E-2</v>
      </c>
      <c r="W770" s="254">
        <v>0</v>
      </c>
      <c r="X770" s="254">
        <v>0</v>
      </c>
      <c r="Y770" s="254">
        <v>-1.6827000000000002E-2</v>
      </c>
      <c r="Z770" s="246">
        <f ca="1">[1]ExtEntry!$M69</f>
        <v>-1.6827000000000002E-2</v>
      </c>
      <c r="AB770" s="251">
        <v>8</v>
      </c>
      <c r="AC770" s="251">
        <v>1</v>
      </c>
      <c r="AD770" s="251">
        <v>1</v>
      </c>
      <c r="AE770" s="286">
        <v>9</v>
      </c>
      <c r="AF770" s="286">
        <v>1</v>
      </c>
      <c r="AG770" s="286">
        <v>2</v>
      </c>
      <c r="AH770" s="286">
        <v>14</v>
      </c>
      <c r="AI770" s="286">
        <v>14</v>
      </c>
      <c r="AJ770" s="286">
        <v>14</v>
      </c>
      <c r="AK770" s="286">
        <v>9</v>
      </c>
      <c r="AL770" s="286">
        <v>14</v>
      </c>
      <c r="AM770" s="275">
        <v>6</v>
      </c>
      <c r="AN770" s="275">
        <v>20</v>
      </c>
      <c r="AO770" s="275">
        <v>20</v>
      </c>
      <c r="AP770" s="275">
        <v>19</v>
      </c>
      <c r="AQ770" s="275">
        <v>20</v>
      </c>
      <c r="AR770" s="275">
        <v>20</v>
      </c>
      <c r="AS770" s="275">
        <v>20</v>
      </c>
      <c r="AT770" s="275">
        <v>20</v>
      </c>
      <c r="AU770" s="275">
        <v>20</v>
      </c>
      <c r="AV770" s="275">
        <f t="shared" si="62"/>
        <v>20</v>
      </c>
      <c r="AX770" s="88" t="str">
        <f t="shared" ca="1" si="61"/>
        <v>SAFDDD</v>
      </c>
    </row>
    <row r="771" spans="1:50" hidden="1" x14ac:dyDescent="0.3">
      <c r="A771" s="88" t="str">
        <f t="shared" ca="1" si="63"/>
        <v>SAFDIS</v>
      </c>
      <c r="C771" s="677"/>
      <c r="D771" s="677"/>
      <c r="F771" s="254">
        <v>8.116E-3</v>
      </c>
      <c r="G771" s="254">
        <v>7.5110000000000003E-3</v>
      </c>
      <c r="H771" s="254">
        <v>-1.6247000000000001E-2</v>
      </c>
      <c r="I771" s="254">
        <v>7.1899999999999993E-3</v>
      </c>
      <c r="J771" s="254">
        <v>1.1837E-2</v>
      </c>
      <c r="K771" s="254">
        <v>2.0990000000000002E-2</v>
      </c>
      <c r="L771" s="254">
        <v>-1.0499000000000001E-2</v>
      </c>
      <c r="M771" s="254">
        <v>-1.0499000000000001E-2</v>
      </c>
      <c r="N771" s="254">
        <v>-5.306E-4</v>
      </c>
      <c r="O771" s="254">
        <v>-1.2032000000000001E-2</v>
      </c>
      <c r="P771" s="254">
        <v>5.6410000000000002E-3</v>
      </c>
      <c r="Q771" s="254">
        <v>-6.0089999999999996E-3</v>
      </c>
      <c r="R771" s="254">
        <v>1.4514000000000001E-2</v>
      </c>
      <c r="S771" s="254">
        <v>-6.9569999999999996E-3</v>
      </c>
      <c r="T771" s="254">
        <v>-1.1659999999999999E-3</v>
      </c>
      <c r="U771" s="254">
        <v>-1.0775999999999999E-2</v>
      </c>
      <c r="V771" s="254">
        <v>2.1719999999999999E-3</v>
      </c>
      <c r="W771" s="254">
        <v>-1.6819999999999998E-2</v>
      </c>
      <c r="X771" s="254">
        <v>5.5820000000000002E-3</v>
      </c>
      <c r="Y771" s="254">
        <v>-9.221E-3</v>
      </c>
      <c r="Z771" s="246">
        <f ca="1">[1]ExtEntry!$M70</f>
        <v>-9.221E-3</v>
      </c>
      <c r="AB771" s="251">
        <v>17</v>
      </c>
      <c r="AC771" s="251">
        <v>15</v>
      </c>
      <c r="AD771" s="251">
        <v>20</v>
      </c>
      <c r="AE771" s="286">
        <v>18</v>
      </c>
      <c r="AF771" s="286">
        <v>13</v>
      </c>
      <c r="AG771" s="286">
        <v>2</v>
      </c>
      <c r="AH771" s="286">
        <v>6</v>
      </c>
      <c r="AI771" s="286">
        <v>5</v>
      </c>
      <c r="AJ771" s="286">
        <v>7</v>
      </c>
      <c r="AK771" s="286">
        <v>14</v>
      </c>
      <c r="AL771" s="286">
        <v>9</v>
      </c>
      <c r="AM771" s="275">
        <v>14</v>
      </c>
      <c r="AN771" s="275">
        <v>12</v>
      </c>
      <c r="AO771" s="275">
        <v>14</v>
      </c>
      <c r="AP771" s="275">
        <v>13</v>
      </c>
      <c r="AQ771" s="275">
        <v>19</v>
      </c>
      <c r="AR771" s="275">
        <v>16</v>
      </c>
      <c r="AS771" s="275">
        <v>20</v>
      </c>
      <c r="AT771" s="275">
        <v>19</v>
      </c>
      <c r="AU771" s="275">
        <v>20</v>
      </c>
      <c r="AV771" s="275">
        <f t="shared" si="62"/>
        <v>20</v>
      </c>
      <c r="AX771" s="88" t="str">
        <f t="shared" ca="1" si="61"/>
        <v>SAFDIS</v>
      </c>
    </row>
    <row r="772" spans="1:50" hidden="1" x14ac:dyDescent="0.3">
      <c r="A772" s="88" t="str">
        <f t="shared" ca="1" si="63"/>
        <v>SAFGM</v>
      </c>
      <c r="C772" s="677"/>
      <c r="D772" s="677"/>
      <c r="F772" s="254">
        <v>2.7507999999999998E-2</v>
      </c>
      <c r="G772" s="254">
        <v>1.3472E-2</v>
      </c>
      <c r="H772" s="254">
        <v>-7.9579999999999998E-3</v>
      </c>
      <c r="I772" s="254">
        <v>1.8137E-2</v>
      </c>
      <c r="J772" s="254">
        <v>-6.1660000000000005E-3</v>
      </c>
      <c r="K772" s="254">
        <v>0.148448</v>
      </c>
      <c r="L772" s="254">
        <v>1.0506999999999999E-2</v>
      </c>
      <c r="M772" s="254">
        <v>1.0506999999999999E-2</v>
      </c>
      <c r="N772" s="254">
        <v>-7.0569999999999999E-3</v>
      </c>
      <c r="O772" s="254">
        <v>4.2183999999999999E-2</v>
      </c>
      <c r="P772" s="254">
        <v>-4.3779999999999999E-3</v>
      </c>
      <c r="Q772" s="254">
        <v>7.0630000000000007E-3</v>
      </c>
      <c r="R772" s="254">
        <v>-6.7989999999999995E-3</v>
      </c>
      <c r="S772" s="254">
        <v>-1.847E-2</v>
      </c>
      <c r="T772" s="254">
        <v>2.8563000000000002E-2</v>
      </c>
      <c r="U772" s="254">
        <v>2.1809999999999998E-3</v>
      </c>
      <c r="V772" s="254">
        <v>2.6438000000000003E-2</v>
      </c>
      <c r="W772" s="254">
        <v>-1.9057000000000001E-2</v>
      </c>
      <c r="X772" s="254">
        <v>4.4179999999999995E-4</v>
      </c>
      <c r="Y772" s="254">
        <v>1.7444000000000001E-2</v>
      </c>
      <c r="Z772" s="246">
        <f ca="1">[1]ExtEntry!$M71</f>
        <v>1.7444000000000001E-2</v>
      </c>
      <c r="AB772" s="251">
        <v>16</v>
      </c>
      <c r="AC772" s="251">
        <v>14</v>
      </c>
      <c r="AD772" s="251">
        <v>14</v>
      </c>
      <c r="AE772" s="286">
        <v>12</v>
      </c>
      <c r="AF772" s="286">
        <v>12</v>
      </c>
      <c r="AG772" s="286">
        <v>1</v>
      </c>
      <c r="AH772" s="286">
        <v>1</v>
      </c>
      <c r="AI772" s="286">
        <v>1</v>
      </c>
      <c r="AJ772" s="286">
        <v>3</v>
      </c>
      <c r="AK772" s="286">
        <v>1</v>
      </c>
      <c r="AL772" s="286">
        <v>2</v>
      </c>
      <c r="AM772" s="275">
        <v>1</v>
      </c>
      <c r="AN772" s="275">
        <v>4</v>
      </c>
      <c r="AO772" s="275">
        <v>7</v>
      </c>
      <c r="AP772" s="275">
        <v>4</v>
      </c>
      <c r="AQ772" s="275">
        <v>4</v>
      </c>
      <c r="AR772" s="275">
        <v>1</v>
      </c>
      <c r="AS772" s="275">
        <v>2</v>
      </c>
      <c r="AT772" s="275">
        <v>9</v>
      </c>
      <c r="AU772" s="275">
        <v>6</v>
      </c>
      <c r="AV772" s="275">
        <f t="shared" si="62"/>
        <v>6</v>
      </c>
      <c r="AX772" s="88" t="str">
        <f t="shared" ca="1" si="61"/>
        <v>SAFGM</v>
      </c>
    </row>
    <row r="773" spans="1:50" hidden="1" x14ac:dyDescent="0.3">
      <c r="A773" s="88" t="str">
        <f t="shared" ca="1" si="63"/>
        <v>SAFIAG</v>
      </c>
      <c r="C773" s="677"/>
      <c r="D773" s="677"/>
      <c r="F773" s="254">
        <v>-4.8999999999999998E-4</v>
      </c>
      <c r="G773" s="254">
        <v>-1.225E-3</v>
      </c>
      <c r="H773" s="254">
        <v>-2.9449999999999997E-3</v>
      </c>
      <c r="I773" s="254">
        <v>-3.7164999999999997E-2</v>
      </c>
      <c r="J773" s="254">
        <v>1.2270000000000001E-2</v>
      </c>
      <c r="K773" s="254">
        <v>-5.5560000000000002E-3</v>
      </c>
      <c r="L773" s="254">
        <v>2.2345999999999998E-2</v>
      </c>
      <c r="M773" s="254">
        <v>2.2345999999999998E-2</v>
      </c>
      <c r="N773" s="254">
        <v>2.235E-3</v>
      </c>
      <c r="O773" s="254">
        <v>1.6108999999999998E-2</v>
      </c>
      <c r="P773" s="254">
        <v>-1.707E-3</v>
      </c>
      <c r="Q773" s="254">
        <v>7.3299999999999997E-3</v>
      </c>
      <c r="R773" s="254">
        <v>1.6678999999999999E-2</v>
      </c>
      <c r="S773" s="254">
        <v>-1.1693E-2</v>
      </c>
      <c r="T773" s="254">
        <v>6.1519999999999995E-3</v>
      </c>
      <c r="U773" s="254">
        <v>-2.6105E-2</v>
      </c>
      <c r="V773" s="254">
        <v>-0.115673</v>
      </c>
      <c r="W773" s="254">
        <v>-2.0969999999999999E-2</v>
      </c>
      <c r="X773" s="254">
        <v>-2.454E-3</v>
      </c>
      <c r="Y773" s="254">
        <v>1.6966999999999999E-2</v>
      </c>
      <c r="Z773" s="246">
        <f ca="1">[1]ExtEntry!$M72</f>
        <v>1.6966999999999999E-2</v>
      </c>
      <c r="AB773" s="251">
        <v>4</v>
      </c>
      <c r="AC773" s="251">
        <v>5</v>
      </c>
      <c r="AD773" s="251">
        <v>6</v>
      </c>
      <c r="AE773" s="286">
        <v>8</v>
      </c>
      <c r="AF773" s="286">
        <v>8</v>
      </c>
      <c r="AG773" s="286">
        <v>9</v>
      </c>
      <c r="AH773" s="286">
        <v>7</v>
      </c>
      <c r="AI773" s="286">
        <v>7</v>
      </c>
      <c r="AJ773" s="286">
        <v>7</v>
      </c>
      <c r="AK773" s="286">
        <v>2</v>
      </c>
      <c r="AL773" s="286">
        <v>3</v>
      </c>
      <c r="AM773" s="275">
        <v>2</v>
      </c>
      <c r="AN773" s="275">
        <v>1</v>
      </c>
      <c r="AO773" s="275">
        <v>1</v>
      </c>
      <c r="AP773" s="275">
        <v>1</v>
      </c>
      <c r="AQ773" s="275">
        <v>4</v>
      </c>
      <c r="AR773" s="275">
        <v>20</v>
      </c>
      <c r="AS773" s="275">
        <v>19</v>
      </c>
      <c r="AT773" s="275">
        <v>19</v>
      </c>
      <c r="AU773" s="275">
        <v>18</v>
      </c>
      <c r="AV773" s="275">
        <f t="shared" si="62"/>
        <v>18</v>
      </c>
      <c r="AX773" s="88" t="str">
        <f t="shared" ca="1" si="61"/>
        <v>SAFIAG</v>
      </c>
    </row>
    <row r="774" spans="1:50" hidden="1" x14ac:dyDescent="0.3">
      <c r="A774" s="88" t="str">
        <f t="shared" ca="1" si="63"/>
        <v>SAFMRNA</v>
      </c>
      <c r="C774" s="677"/>
      <c r="D774" s="677"/>
      <c r="F774" s="254">
        <v>-1.8325000000000001E-2</v>
      </c>
      <c r="G774" s="254">
        <v>5.7332999999999995E-2</v>
      </c>
      <c r="H774" s="254">
        <v>-2.0924000000000002E-2</v>
      </c>
      <c r="I774" s="254">
        <v>-4.1635999999999999E-2</v>
      </c>
      <c r="J774" s="254">
        <v>4.7289999999999999E-2</v>
      </c>
      <c r="K774" s="254">
        <v>9.1779999999999987E-3</v>
      </c>
      <c r="L774" s="254">
        <v>-2.3281E-2</v>
      </c>
      <c r="M774" s="254">
        <v>-2.3281E-2</v>
      </c>
      <c r="N774" s="254">
        <v>-2.2345999999999998E-2</v>
      </c>
      <c r="O774" s="254">
        <v>1.8667E-2</v>
      </c>
      <c r="P774" s="254">
        <v>-2.9920000000000003E-3</v>
      </c>
      <c r="Q774" s="254">
        <v>-4.9137000000000007E-2</v>
      </c>
      <c r="R774" s="254">
        <v>0.13927100000000001</v>
      </c>
      <c r="S774" s="254">
        <v>-4.5564E-2</v>
      </c>
      <c r="T774" s="254">
        <v>-8.0000000000000002E-3</v>
      </c>
      <c r="U774" s="254">
        <v>2.3132E-2</v>
      </c>
      <c r="V774" s="254">
        <v>8.0149999999999996E-3</v>
      </c>
      <c r="W774" s="254">
        <v>-7.6119999999999998E-3</v>
      </c>
      <c r="X774" s="254">
        <v>6.4619999999999999E-3</v>
      </c>
      <c r="Y774" s="254">
        <v>-2.5682E-2</v>
      </c>
      <c r="Z774" s="246">
        <f ca="1">[1]ExtEntry!$M73</f>
        <v>-2.5682E-2</v>
      </c>
      <c r="AB774" s="251">
        <v>10</v>
      </c>
      <c r="AC774" s="251">
        <v>4</v>
      </c>
      <c r="AD774" s="251">
        <v>9</v>
      </c>
      <c r="AE774" s="286">
        <v>13</v>
      </c>
      <c r="AF774" s="286">
        <v>9</v>
      </c>
      <c r="AG774" s="286">
        <v>8</v>
      </c>
      <c r="AH774" s="286">
        <v>12</v>
      </c>
      <c r="AI774" s="286">
        <v>12</v>
      </c>
      <c r="AJ774" s="286">
        <v>15</v>
      </c>
      <c r="AK774" s="286">
        <v>14</v>
      </c>
      <c r="AL774" s="286">
        <v>16</v>
      </c>
      <c r="AM774" s="275">
        <v>20</v>
      </c>
      <c r="AN774" s="275">
        <v>3</v>
      </c>
      <c r="AO774" s="275">
        <v>20</v>
      </c>
      <c r="AP774" s="275">
        <v>20</v>
      </c>
      <c r="AQ774" s="275">
        <v>18</v>
      </c>
      <c r="AR774" s="275">
        <v>17</v>
      </c>
      <c r="AS774" s="275">
        <v>16</v>
      </c>
      <c r="AT774" s="275">
        <v>15</v>
      </c>
      <c r="AU774" s="275">
        <v>17</v>
      </c>
      <c r="AV774" s="275">
        <f t="shared" si="62"/>
        <v>17</v>
      </c>
      <c r="AX774" s="88" t="str">
        <f t="shared" ca="1" si="61"/>
        <v>SAFMRNA</v>
      </c>
    </row>
    <row r="775" spans="1:50" hidden="1" x14ac:dyDescent="0.3">
      <c r="A775" s="88" t="str">
        <f t="shared" ca="1" si="63"/>
        <v>BLNK</v>
      </c>
      <c r="C775" s="677"/>
      <c r="D775" s="677"/>
      <c r="F775" s="254">
        <v>1.7937000000000002E-2</v>
      </c>
      <c r="G775" s="254">
        <v>-4.6256000000000005E-2</v>
      </c>
      <c r="H775" s="254">
        <v>-0.115741</v>
      </c>
      <c r="I775" s="254">
        <v>-4.7119999999999995E-2</v>
      </c>
      <c r="J775" s="254">
        <v>3.8462000000000003E-2</v>
      </c>
      <c r="K775" s="254">
        <v>-6.3491999999999993E-2</v>
      </c>
      <c r="L775" s="254">
        <v>1.1298999999999998E-2</v>
      </c>
      <c r="M775" s="254">
        <v>1.1298999999999998E-2</v>
      </c>
      <c r="N775" s="254">
        <v>0</v>
      </c>
      <c r="O775" s="254">
        <v>7.8212000000000004E-2</v>
      </c>
      <c r="P775" s="254">
        <v>-5.6994999999999997E-2</v>
      </c>
      <c r="Q775" s="254">
        <v>-5.4945000000000001E-2</v>
      </c>
      <c r="R775" s="254">
        <v>-4.7336999999999997E-2</v>
      </c>
      <c r="S775" s="254">
        <v>-4.0961999999999998E-2</v>
      </c>
      <c r="T775" s="254">
        <v>0.10810800000000001</v>
      </c>
      <c r="U775" s="254">
        <v>-8.2317000000000001E-2</v>
      </c>
      <c r="V775" s="254">
        <v>5.2914000000000003E-2</v>
      </c>
      <c r="W775" s="254">
        <v>-3.4247E-2</v>
      </c>
      <c r="X775" s="254">
        <v>7.143E-3</v>
      </c>
      <c r="Y775" s="254">
        <v>-3.1914999999999999E-2</v>
      </c>
      <c r="Z775" s="246">
        <f ca="1">[1]ExtEntry!$M74</f>
        <v>-3.1914999999999999E-2</v>
      </c>
      <c r="AB775" s="251">
        <v>3</v>
      </c>
      <c r="AC775" s="251">
        <v>7</v>
      </c>
      <c r="AD775" s="251">
        <v>9</v>
      </c>
      <c r="AE775" s="286">
        <v>10</v>
      </c>
      <c r="AF775" s="286">
        <v>10</v>
      </c>
      <c r="AG775" s="286">
        <v>13</v>
      </c>
      <c r="AH775" s="286">
        <v>13</v>
      </c>
      <c r="AI775" s="286">
        <v>13</v>
      </c>
      <c r="AJ775" s="286">
        <v>13</v>
      </c>
      <c r="AK775" s="286">
        <v>9</v>
      </c>
      <c r="AL775" s="286">
        <v>12</v>
      </c>
      <c r="AM775" s="275">
        <v>20</v>
      </c>
      <c r="AN775" s="275">
        <v>20</v>
      </c>
      <c r="AO775" s="275">
        <v>20</v>
      </c>
      <c r="AP775" s="275">
        <v>18</v>
      </c>
      <c r="AQ775" s="275">
        <v>19</v>
      </c>
      <c r="AR775" s="275">
        <v>18</v>
      </c>
      <c r="AS775" s="275">
        <v>20</v>
      </c>
      <c r="AT775" s="275">
        <v>19</v>
      </c>
      <c r="AU775" s="275">
        <v>20</v>
      </c>
      <c r="AV775" s="275">
        <f t="shared" si="62"/>
        <v>20</v>
      </c>
      <c r="AX775" s="88" t="str">
        <f t="shared" ca="1" si="61"/>
        <v>BLNK</v>
      </c>
    </row>
    <row r="776" spans="1:50" hidden="1" x14ac:dyDescent="0.3">
      <c r="A776" s="88" t="str">
        <f t="shared" ca="1" si="63"/>
        <v>ENI</v>
      </c>
      <c r="C776" s="677"/>
      <c r="D776" s="677"/>
      <c r="F776" s="254">
        <v>-1.8166999999999999E-2</v>
      </c>
      <c r="G776" s="254">
        <v>1.4970000000000001E-3</v>
      </c>
      <c r="H776" s="254">
        <v>2.9889999999999999E-3</v>
      </c>
      <c r="I776" s="254">
        <v>5.2820000000000002E-3</v>
      </c>
      <c r="J776" s="254">
        <v>2.1559999999999999E-3</v>
      </c>
      <c r="K776" s="254">
        <v>1.6130000000000001E-3</v>
      </c>
      <c r="L776" s="254">
        <v>1.5167999999999999E-2</v>
      </c>
      <c r="M776" s="254">
        <v>1.5167999999999999E-2</v>
      </c>
      <c r="N776" s="254">
        <v>3.0411000000000001E-2</v>
      </c>
      <c r="O776" s="254">
        <v>1.6040000000000002E-2</v>
      </c>
      <c r="P776" s="254">
        <v>6.6940000000000003E-3</v>
      </c>
      <c r="Q776" s="254">
        <v>-3.5130000000000001E-3</v>
      </c>
      <c r="R776" s="254">
        <v>-2.6310000000000001E-3</v>
      </c>
      <c r="S776" s="254">
        <v>-2.6329999999999999E-3</v>
      </c>
      <c r="T776" s="254">
        <v>3.6459999999999999E-3</v>
      </c>
      <c r="U776" s="254">
        <v>-1.253E-3</v>
      </c>
      <c r="V776" s="254">
        <v>-1.003E-3</v>
      </c>
      <c r="W776" s="254">
        <v>9.722E-4</v>
      </c>
      <c r="X776" s="254">
        <v>1.8370000000000001E-3</v>
      </c>
      <c r="Y776" s="254">
        <v>-6.8589999999999996E-3</v>
      </c>
      <c r="Z776" s="246">
        <f ca="1">[1]ExtEntry!$M75</f>
        <v>-6.8589999999999996E-3</v>
      </c>
      <c r="AB776" s="251">
        <v>19</v>
      </c>
      <c r="AC776" s="251">
        <v>18</v>
      </c>
      <c r="AD776" s="251">
        <v>17</v>
      </c>
      <c r="AE776" s="286">
        <v>14</v>
      </c>
      <c r="AF776" s="286">
        <v>12</v>
      </c>
      <c r="AG776" s="286">
        <v>12</v>
      </c>
      <c r="AH776" s="286">
        <v>7</v>
      </c>
      <c r="AI776" s="286">
        <v>7</v>
      </c>
      <c r="AJ776" s="286">
        <v>1</v>
      </c>
      <c r="AK776" s="286">
        <v>1</v>
      </c>
      <c r="AL776" s="286">
        <v>1</v>
      </c>
      <c r="AM776" s="275">
        <v>2</v>
      </c>
      <c r="AN776" s="275">
        <v>2</v>
      </c>
      <c r="AO776" s="275">
        <v>3</v>
      </c>
      <c r="AP776" s="275">
        <v>1</v>
      </c>
      <c r="AQ776" s="275">
        <v>2</v>
      </c>
      <c r="AR776" s="275">
        <v>4</v>
      </c>
      <c r="AS776" s="275">
        <v>1</v>
      </c>
      <c r="AT776" s="275">
        <v>2</v>
      </c>
      <c r="AU776" s="275">
        <v>3</v>
      </c>
      <c r="AV776" s="275">
        <f t="shared" si="62"/>
        <v>3</v>
      </c>
      <c r="AX776" s="88" t="str">
        <f t="shared" ca="1" si="61"/>
        <v>ENI</v>
      </c>
    </row>
    <row r="777" spans="1:50" hidden="1" x14ac:dyDescent="0.3">
      <c r="A777" s="88" t="str">
        <f t="shared" ca="1" si="63"/>
        <v>EZJ</v>
      </c>
      <c r="C777" s="677"/>
      <c r="D777" s="677"/>
      <c r="F777" s="254">
        <v>8.0172000000000007E-2</v>
      </c>
      <c r="G777" s="254">
        <v>-4.0902000000000001E-2</v>
      </c>
      <c r="H777" s="254">
        <v>1.8723E-2</v>
      </c>
      <c r="I777" s="254">
        <v>-3.676E-3</v>
      </c>
      <c r="J777" s="254">
        <v>-3.8940000000000003E-3</v>
      </c>
      <c r="K777" s="254">
        <v>-1.1728000000000001E-2</v>
      </c>
      <c r="L777" s="254">
        <v>2.7066E-2</v>
      </c>
      <c r="M777" s="254">
        <v>2.7066E-2</v>
      </c>
      <c r="N777" s="254">
        <v>-2.7975E-2</v>
      </c>
      <c r="O777" s="254">
        <v>1.3764E-2</v>
      </c>
      <c r="P777" s="254">
        <v>-2.0570000000000001E-4</v>
      </c>
      <c r="Q777" s="254">
        <v>-8.0249999999999991E-3</v>
      </c>
      <c r="R777" s="254">
        <v>7.5549999999999992E-3</v>
      </c>
      <c r="S777" s="254">
        <v>-2.1394000000000003E-2</v>
      </c>
      <c r="T777" s="254">
        <v>7.9120000000000006E-3</v>
      </c>
      <c r="U777" s="254">
        <v>-1.1568E-2</v>
      </c>
      <c r="V777" s="254">
        <v>-1.4838E-2</v>
      </c>
      <c r="W777" s="254">
        <v>-1.6351999999999998E-2</v>
      </c>
      <c r="X777" s="254">
        <v>-4.3880000000000004E-3</v>
      </c>
      <c r="Y777" s="254">
        <v>1.3822000000000001E-2</v>
      </c>
      <c r="Z777" s="246">
        <f ca="1">[1]ExtEntry!$M76</f>
        <v>1.3822000000000001E-2</v>
      </c>
      <c r="AB777" s="251">
        <v>1</v>
      </c>
      <c r="AC777" s="251">
        <v>2</v>
      </c>
      <c r="AD777" s="251">
        <v>2</v>
      </c>
      <c r="AE777" s="286">
        <v>3</v>
      </c>
      <c r="AF777" s="286">
        <v>4</v>
      </c>
      <c r="AG777" s="286">
        <v>6</v>
      </c>
      <c r="AH777" s="286">
        <v>2</v>
      </c>
      <c r="AI777" s="286">
        <v>2</v>
      </c>
      <c r="AJ777" s="286">
        <v>9</v>
      </c>
      <c r="AK777" s="286">
        <v>6</v>
      </c>
      <c r="AL777" s="286">
        <v>7</v>
      </c>
      <c r="AM777" s="275">
        <v>9</v>
      </c>
      <c r="AN777" s="275">
        <v>12</v>
      </c>
      <c r="AO777" s="275">
        <v>11</v>
      </c>
      <c r="AP777" s="275">
        <v>9</v>
      </c>
      <c r="AQ777" s="275">
        <v>16</v>
      </c>
      <c r="AR777" s="275">
        <v>18</v>
      </c>
      <c r="AS777" s="275">
        <v>19</v>
      </c>
      <c r="AT777" s="275">
        <v>20</v>
      </c>
      <c r="AU777" s="275">
        <v>19</v>
      </c>
      <c r="AV777" s="275">
        <f t="shared" si="62"/>
        <v>19</v>
      </c>
      <c r="AX777" s="88" t="str">
        <f t="shared" ca="1" si="61"/>
        <v>EZJ</v>
      </c>
    </row>
    <row r="778" spans="1:50" hidden="1" x14ac:dyDescent="0.3">
      <c r="A778" s="88" t="str">
        <f t="shared" ca="1" si="63"/>
        <v>F</v>
      </c>
      <c r="C778" s="677"/>
      <c r="D778" s="677"/>
      <c r="F778" s="254">
        <v>1.0832E-2</v>
      </c>
      <c r="G778" s="254">
        <v>7.2960000000000004E-3</v>
      </c>
      <c r="H778" s="254">
        <v>-1.276E-3</v>
      </c>
      <c r="I778" s="254">
        <v>1.5331999999999998E-2</v>
      </c>
      <c r="J778" s="254">
        <v>7.1309999999999993E-3</v>
      </c>
      <c r="K778" s="254">
        <v>4.8374E-2</v>
      </c>
      <c r="L778" s="254">
        <v>-8.3599999999999994E-3</v>
      </c>
      <c r="M778" s="254">
        <v>-8.3599999999999994E-3</v>
      </c>
      <c r="N778" s="254">
        <v>-9.6540000000000011E-3</v>
      </c>
      <c r="O778" s="254">
        <v>0.12074600000000001</v>
      </c>
      <c r="P778" s="254">
        <v>-4.4074999999999996E-2</v>
      </c>
      <c r="Q778" s="254">
        <v>-9.4269999999999996E-3</v>
      </c>
      <c r="R778" s="254">
        <v>-1.3218000000000001E-2</v>
      </c>
      <c r="S778" s="254">
        <v>-1.422E-2</v>
      </c>
      <c r="T778" s="254">
        <v>2.6974000000000001E-2</v>
      </c>
      <c r="U778" s="254">
        <v>3.4780000000000002E-3</v>
      </c>
      <c r="V778" s="254">
        <v>1.8119E-2</v>
      </c>
      <c r="W778" s="254">
        <v>-6.4010000000000004E-3</v>
      </c>
      <c r="X778" s="254">
        <v>1.0869999999999999E-2</v>
      </c>
      <c r="Y778" s="254">
        <v>-1.92E-3</v>
      </c>
      <c r="Z778" s="246">
        <f ca="1">[1]ExtEntry!$M77</f>
        <v>-1.92E-3</v>
      </c>
      <c r="AB778" s="251">
        <v>11</v>
      </c>
      <c r="AC778" s="251">
        <v>11</v>
      </c>
      <c r="AD778" s="251">
        <v>8</v>
      </c>
      <c r="AE778" s="286">
        <v>8</v>
      </c>
      <c r="AF778" s="286">
        <v>5</v>
      </c>
      <c r="AG778" s="286">
        <v>2</v>
      </c>
      <c r="AH778" s="286">
        <v>3</v>
      </c>
      <c r="AI778" s="286">
        <v>3</v>
      </c>
      <c r="AJ778" s="286">
        <v>5</v>
      </c>
      <c r="AK778" s="286">
        <v>1</v>
      </c>
      <c r="AL778" s="286">
        <v>2</v>
      </c>
      <c r="AM778" s="275">
        <v>3</v>
      </c>
      <c r="AN778" s="275">
        <v>4</v>
      </c>
      <c r="AO778" s="275">
        <v>5</v>
      </c>
      <c r="AP778" s="275">
        <v>3</v>
      </c>
      <c r="AQ778" s="275">
        <v>3</v>
      </c>
      <c r="AR778" s="275">
        <v>3</v>
      </c>
      <c r="AS778" s="275">
        <v>4</v>
      </c>
      <c r="AT778" s="275">
        <v>9</v>
      </c>
      <c r="AU778" s="275">
        <v>10</v>
      </c>
      <c r="AV778" s="275">
        <f t="shared" si="62"/>
        <v>10</v>
      </c>
      <c r="AX778" s="88" t="str">
        <f t="shared" ca="1" si="61"/>
        <v>F</v>
      </c>
    </row>
    <row r="779" spans="1:50" hidden="1" x14ac:dyDescent="0.3">
      <c r="A779" s="88" t="str">
        <f t="shared" ca="1" si="63"/>
        <v>GLE</v>
      </c>
      <c r="C779" s="677"/>
      <c r="D779" s="677"/>
      <c r="F779" s="254">
        <v>2.4199999999999999E-2</v>
      </c>
      <c r="G779" s="254">
        <v>9.8150000000000008E-3</v>
      </c>
      <c r="H779" s="254">
        <v>1.7278999999999999E-2</v>
      </c>
      <c r="I779" s="254">
        <v>-5.0955E-2</v>
      </c>
      <c r="J779" s="254">
        <v>-1.1931000000000001E-2</v>
      </c>
      <c r="K779" s="254">
        <v>2.264E-3</v>
      </c>
      <c r="L779" s="254">
        <v>-4.5179999999999994E-3</v>
      </c>
      <c r="M779" s="254">
        <v>-4.5179999999999994E-3</v>
      </c>
      <c r="N779" s="254">
        <v>1.3238000000000002E-2</v>
      </c>
      <c r="O779" s="254">
        <v>1.8659999999999998E-3</v>
      </c>
      <c r="P779" s="254">
        <v>-1.49E-3</v>
      </c>
      <c r="Q779" s="254">
        <v>1.2313000000000001E-2</v>
      </c>
      <c r="R779" s="254">
        <v>-3.5661999999999999E-2</v>
      </c>
      <c r="S779" s="254">
        <v>-3.287E-3</v>
      </c>
      <c r="T779" s="254">
        <v>1.0989999999999999E-3</v>
      </c>
      <c r="U779" s="254">
        <v>2.1230000000000002E-2</v>
      </c>
      <c r="V779" s="254">
        <v>-2.0788999999999998E-2</v>
      </c>
      <c r="W779" s="254">
        <v>-1.9945999999999998E-2</v>
      </c>
      <c r="X779" s="254">
        <v>-5.3119999999999999E-3</v>
      </c>
      <c r="Y779" s="254">
        <v>6.0200000000000002E-3</v>
      </c>
      <c r="Z779" s="246">
        <f ca="1">[1]ExtEntry!$M78</f>
        <v>6.0200000000000002E-3</v>
      </c>
      <c r="AB779" s="251">
        <v>15</v>
      </c>
      <c r="AC779" s="251">
        <v>14</v>
      </c>
      <c r="AD779" s="251">
        <v>12</v>
      </c>
      <c r="AE779" s="286">
        <v>19</v>
      </c>
      <c r="AF779" s="286">
        <v>20</v>
      </c>
      <c r="AG779" s="286">
        <v>19</v>
      </c>
      <c r="AH779" s="286">
        <v>20</v>
      </c>
      <c r="AI779" s="286">
        <v>19</v>
      </c>
      <c r="AJ779" s="286">
        <v>15</v>
      </c>
      <c r="AK779" s="286">
        <v>13</v>
      </c>
      <c r="AL779" s="286">
        <v>14</v>
      </c>
      <c r="AM779" s="275">
        <v>9</v>
      </c>
      <c r="AN779" s="275">
        <v>17</v>
      </c>
      <c r="AO779" s="275">
        <v>5</v>
      </c>
      <c r="AP779" s="275">
        <v>4</v>
      </c>
      <c r="AQ779" s="275">
        <v>2</v>
      </c>
      <c r="AR779" s="275">
        <v>5</v>
      </c>
      <c r="AS779" s="275">
        <v>1</v>
      </c>
      <c r="AT779" s="275">
        <v>3</v>
      </c>
      <c r="AU779" s="275">
        <v>2</v>
      </c>
      <c r="AV779" s="275">
        <f t="shared" si="62"/>
        <v>2</v>
      </c>
      <c r="AX779" s="88" t="str">
        <f t="shared" ca="1" si="61"/>
        <v>GLE</v>
      </c>
    </row>
    <row r="780" spans="1:50" hidden="1" x14ac:dyDescent="0.3">
      <c r="A780" s="88" t="str">
        <f t="shared" ca="1" si="63"/>
        <v>GNRC</v>
      </c>
      <c r="C780" s="677"/>
      <c r="D780" s="677"/>
      <c r="F780" s="254">
        <v>5.6312000000000001E-2</v>
      </c>
      <c r="G780" s="254">
        <v>5.1544999999999994E-2</v>
      </c>
      <c r="H780" s="254">
        <v>5.1390000000000003E-3</v>
      </c>
      <c r="I780" s="254">
        <v>-1.1161000000000001E-2</v>
      </c>
      <c r="J780" s="254">
        <v>2.7718E-2</v>
      </c>
      <c r="K780" s="254">
        <v>-1.6600999999999998E-2</v>
      </c>
      <c r="L780" s="254">
        <v>-4.8883000000000003E-2</v>
      </c>
      <c r="M780" s="254">
        <v>-4.8883000000000003E-2</v>
      </c>
      <c r="N780" s="254">
        <v>3.2497999999999999E-2</v>
      </c>
      <c r="O780" s="254">
        <v>1.5710999999999999E-2</v>
      </c>
      <c r="P780" s="254">
        <v>-7.7619999999999998E-3</v>
      </c>
      <c r="Q780" s="254">
        <v>-1.418E-3</v>
      </c>
      <c r="R780" s="254">
        <v>-8.3435000000000009E-2</v>
      </c>
      <c r="S780" s="254">
        <v>-4.0732999999999998E-2</v>
      </c>
      <c r="T780" s="254">
        <v>1.6539999999999999E-2</v>
      </c>
      <c r="U780" s="254">
        <v>-3.5493999999999998E-2</v>
      </c>
      <c r="V780" s="254">
        <v>5.3969999999999999E-3</v>
      </c>
      <c r="W780" s="254">
        <v>-2.2764000000000003E-2</v>
      </c>
      <c r="X780" s="254">
        <v>1.3878E-2</v>
      </c>
      <c r="Y780" s="254">
        <v>3.1095999999999999E-2</v>
      </c>
      <c r="Z780" s="246">
        <f ca="1">[1]ExtEntry!$M79</f>
        <v>3.1095999999999999E-2</v>
      </c>
      <c r="AB780" s="251">
        <v>2</v>
      </c>
      <c r="AC780" s="251">
        <v>1</v>
      </c>
      <c r="AD780" s="251">
        <v>2</v>
      </c>
      <c r="AE780" s="286">
        <v>3</v>
      </c>
      <c r="AF780" s="286">
        <v>1</v>
      </c>
      <c r="AG780" s="286">
        <v>4</v>
      </c>
      <c r="AH780" s="286">
        <v>7</v>
      </c>
      <c r="AI780" s="286">
        <v>7</v>
      </c>
      <c r="AJ780" s="286">
        <v>6</v>
      </c>
      <c r="AK780" s="286">
        <v>5</v>
      </c>
      <c r="AL780" s="286">
        <v>7</v>
      </c>
      <c r="AM780" s="275">
        <v>8</v>
      </c>
      <c r="AN780" s="275">
        <v>19</v>
      </c>
      <c r="AO780" s="275">
        <v>20</v>
      </c>
      <c r="AP780" s="275">
        <v>19</v>
      </c>
      <c r="AQ780" s="275">
        <v>20</v>
      </c>
      <c r="AR780" s="275">
        <v>19</v>
      </c>
      <c r="AS780" s="275">
        <v>20</v>
      </c>
      <c r="AT780" s="275">
        <v>20</v>
      </c>
      <c r="AU780" s="275">
        <v>19</v>
      </c>
      <c r="AV780" s="275">
        <f t="shared" si="62"/>
        <v>19</v>
      </c>
      <c r="AX780" s="88" t="str">
        <f t="shared" ca="1" si="61"/>
        <v>GNRC</v>
      </c>
    </row>
    <row r="781" spans="1:50" hidden="1" x14ac:dyDescent="0.3">
      <c r="A781" s="88" t="str">
        <f t="shared" ca="1" si="63"/>
        <v>GS</v>
      </c>
      <c r="C781" s="677"/>
      <c r="D781" s="677"/>
      <c r="F781" s="254">
        <v>-1.9878E-2</v>
      </c>
      <c r="G781" s="254">
        <v>-8.5629999999999994E-3</v>
      </c>
      <c r="H781" s="254">
        <v>-1.2514000000000001E-2</v>
      </c>
      <c r="I781" s="254">
        <v>-9.6559999999999997E-3</v>
      </c>
      <c r="J781" s="254">
        <v>1.6410000000000001E-2</v>
      </c>
      <c r="K781" s="254">
        <v>-5.568E-3</v>
      </c>
      <c r="L781" s="254">
        <v>-1.8973E-2</v>
      </c>
      <c r="M781" s="254">
        <v>-1.8973E-2</v>
      </c>
      <c r="N781" s="254">
        <v>8.6090000000000003E-3</v>
      </c>
      <c r="O781" s="254">
        <v>4.4074000000000002E-2</v>
      </c>
      <c r="P781" s="254">
        <v>7.6800000000000002E-3</v>
      </c>
      <c r="Q781" s="254">
        <v>2.8990000000000001E-3</v>
      </c>
      <c r="R781" s="254">
        <v>8.5560000000000011E-3</v>
      </c>
      <c r="S781" s="254">
        <v>8.0200000000000011E-3</v>
      </c>
      <c r="T781" s="254">
        <v>2.8830000000000001E-3</v>
      </c>
      <c r="U781" s="254">
        <v>-7.2119999999999997E-3</v>
      </c>
      <c r="V781" s="254">
        <v>-2.8249999999999998E-3</v>
      </c>
      <c r="W781" s="254">
        <v>-1.8647E-2</v>
      </c>
      <c r="X781" s="254">
        <v>1.7280000000000002E-3</v>
      </c>
      <c r="Y781" s="254">
        <v>5.9130000000000007E-3</v>
      </c>
      <c r="Z781" s="246">
        <f ca="1">[1]ExtEntry!$M80</f>
        <v>5.9130000000000007E-3</v>
      </c>
      <c r="AB781" s="251">
        <v>20</v>
      </c>
      <c r="AC781" s="251">
        <v>20</v>
      </c>
      <c r="AD781" s="251">
        <v>20</v>
      </c>
      <c r="AE781" s="286">
        <v>20</v>
      </c>
      <c r="AF781" s="286">
        <v>18</v>
      </c>
      <c r="AG781" s="286">
        <v>18</v>
      </c>
      <c r="AH781" s="286">
        <v>20</v>
      </c>
      <c r="AI781" s="286">
        <v>19</v>
      </c>
      <c r="AJ781" s="286">
        <v>17</v>
      </c>
      <c r="AK781" s="286">
        <v>7</v>
      </c>
      <c r="AL781" s="286">
        <v>3</v>
      </c>
      <c r="AM781" s="275">
        <v>1</v>
      </c>
      <c r="AN781" s="275">
        <v>5</v>
      </c>
      <c r="AO781" s="275">
        <v>2</v>
      </c>
      <c r="AP781" s="275">
        <v>1</v>
      </c>
      <c r="AQ781" s="275">
        <v>7</v>
      </c>
      <c r="AR781" s="275">
        <v>8</v>
      </c>
      <c r="AS781" s="275">
        <v>4</v>
      </c>
      <c r="AT781" s="275">
        <v>11</v>
      </c>
      <c r="AU781" s="275">
        <v>10</v>
      </c>
      <c r="AV781" s="275">
        <f t="shared" si="62"/>
        <v>10</v>
      </c>
      <c r="AX781" s="88" t="str">
        <f t="shared" ca="1" si="61"/>
        <v>GS</v>
      </c>
    </row>
    <row r="782" spans="1:50" hidden="1" x14ac:dyDescent="0.3">
      <c r="A782" s="88" t="str">
        <f t="shared" ca="1" si="63"/>
        <v>LAZR</v>
      </c>
      <c r="C782" s="677"/>
      <c r="D782" s="677"/>
      <c r="F782" s="254">
        <v>-4.7619999999999997E-3</v>
      </c>
      <c r="G782" s="254">
        <v>-4.0670000000000005E-2</v>
      </c>
      <c r="H782" s="254">
        <v>-6.4355999999999997E-2</v>
      </c>
      <c r="I782" s="254">
        <v>2.6455000000000003E-2</v>
      </c>
      <c r="J782" s="254">
        <v>3.0928000000000001E-2</v>
      </c>
      <c r="K782" s="254">
        <v>-9.2499999999999999E-2</v>
      </c>
      <c r="L782" s="254">
        <v>-5.2342000000000007E-2</v>
      </c>
      <c r="M782" s="254">
        <v>-5.2342000000000007E-2</v>
      </c>
      <c r="N782" s="254">
        <v>-1.7441999999999999E-2</v>
      </c>
      <c r="O782" s="254">
        <v>0.31360900000000003</v>
      </c>
      <c r="P782" s="254">
        <v>4.5045000000000002E-2</v>
      </c>
      <c r="Q782" s="254">
        <v>-0.11206899999999999</v>
      </c>
      <c r="R782" s="254">
        <v>9.5689999999999994E-3</v>
      </c>
      <c r="S782" s="254">
        <v>1.1029000000000001E-2</v>
      </c>
      <c r="T782" s="254">
        <v>-8.1480999999999998E-2</v>
      </c>
      <c r="U782" s="254">
        <v>-4.1694000000000002E-2</v>
      </c>
      <c r="V782" s="254">
        <v>8.2608999999999988E-2</v>
      </c>
      <c r="W782" s="254">
        <v>-4.7169999999999997E-2</v>
      </c>
      <c r="X782" s="254">
        <v>-4.5515E-2</v>
      </c>
      <c r="Y782" s="254">
        <v>2.2745999999999999E-2</v>
      </c>
      <c r="Z782" s="246">
        <f ca="1">[1]ExtEntry!$M81</f>
        <v>2.2745999999999999E-2</v>
      </c>
      <c r="AB782" s="251">
        <v>15</v>
      </c>
      <c r="AC782" s="251">
        <v>18</v>
      </c>
      <c r="AD782" s="251">
        <v>20</v>
      </c>
      <c r="AE782" s="286">
        <v>18</v>
      </c>
      <c r="AF782" s="286">
        <v>16</v>
      </c>
      <c r="AG782" s="286">
        <v>20</v>
      </c>
      <c r="AH782" s="286">
        <v>20</v>
      </c>
      <c r="AI782" s="286">
        <v>19</v>
      </c>
      <c r="AJ782" s="286">
        <v>20</v>
      </c>
      <c r="AK782" s="286">
        <v>2</v>
      </c>
      <c r="AL782" s="286">
        <v>2</v>
      </c>
      <c r="AM782" s="275">
        <v>10</v>
      </c>
      <c r="AN782" s="275">
        <v>6</v>
      </c>
      <c r="AO782" s="275">
        <v>20</v>
      </c>
      <c r="AP782" s="275">
        <v>20</v>
      </c>
      <c r="AQ782" s="275">
        <v>20</v>
      </c>
      <c r="AR782" s="275">
        <v>18</v>
      </c>
      <c r="AS782" s="275">
        <v>20</v>
      </c>
      <c r="AT782" s="275">
        <v>20</v>
      </c>
      <c r="AU782" s="275">
        <v>19</v>
      </c>
      <c r="AV782" s="275">
        <f t="shared" si="62"/>
        <v>19</v>
      </c>
      <c r="AX782" s="88" t="str">
        <f t="shared" ca="1" si="61"/>
        <v>LAZR</v>
      </c>
    </row>
    <row r="783" spans="1:50" hidden="1" x14ac:dyDescent="0.3">
      <c r="A783" s="88" t="str">
        <f t="shared" ca="1" si="63"/>
        <v>LUV</v>
      </c>
      <c r="C783" s="677"/>
      <c r="D783" s="677"/>
      <c r="F783" s="254">
        <v>4.7178999999999999E-2</v>
      </c>
      <c r="G783" s="254">
        <v>1.0473E-2</v>
      </c>
      <c r="H783" s="254">
        <v>-8.0450000000000001E-3</v>
      </c>
      <c r="I783" s="254">
        <v>6.9089999999999993E-3</v>
      </c>
      <c r="J783" s="254">
        <v>2.6402000000000002E-2</v>
      </c>
      <c r="K783" s="254">
        <v>7.4060000000000003E-3</v>
      </c>
      <c r="L783" s="254">
        <v>-2.7682000000000002E-2</v>
      </c>
      <c r="M783" s="254">
        <v>-2.7682000000000002E-2</v>
      </c>
      <c r="N783" s="254">
        <v>-6.25E-2</v>
      </c>
      <c r="O783" s="254">
        <v>1.7062000000000001E-2</v>
      </c>
      <c r="P783" s="254">
        <v>1.3980000000000002E-3</v>
      </c>
      <c r="Q783" s="254">
        <v>-3.5969000000000001E-2</v>
      </c>
      <c r="R783" s="254">
        <v>-1.8754E-2</v>
      </c>
      <c r="S783" s="254">
        <v>-2.6126E-2</v>
      </c>
      <c r="T783" s="254">
        <v>6.5554000000000001E-2</v>
      </c>
      <c r="U783" s="254">
        <v>-5.3759999999999997E-3</v>
      </c>
      <c r="V783" s="254">
        <v>2.7134000000000002E-2</v>
      </c>
      <c r="W783" s="254">
        <v>-6.2050000000000004E-3</v>
      </c>
      <c r="X783" s="254">
        <v>3.454E-3</v>
      </c>
      <c r="Y783" s="254">
        <v>-4.3800000000000002E-3</v>
      </c>
      <c r="Z783" s="246">
        <f ca="1">[1]ExtEntry!$M82</f>
        <v>-4.3800000000000002E-3</v>
      </c>
      <c r="AB783" s="251">
        <v>1</v>
      </c>
      <c r="AC783" s="251">
        <v>1</v>
      </c>
      <c r="AD783" s="251">
        <v>4</v>
      </c>
      <c r="AE783" s="286">
        <v>2</v>
      </c>
      <c r="AF783" s="286">
        <v>1</v>
      </c>
      <c r="AG783" s="286">
        <v>1</v>
      </c>
      <c r="AH783" s="286">
        <v>4</v>
      </c>
      <c r="AI783" s="286">
        <v>4</v>
      </c>
      <c r="AJ783" s="286">
        <v>20</v>
      </c>
      <c r="AK783" s="286">
        <v>15</v>
      </c>
      <c r="AL783" s="286">
        <v>14</v>
      </c>
      <c r="AM783" s="275">
        <v>20</v>
      </c>
      <c r="AN783" s="275">
        <v>20</v>
      </c>
      <c r="AO783" s="275">
        <v>20</v>
      </c>
      <c r="AP783" s="275">
        <v>17</v>
      </c>
      <c r="AQ783" s="275">
        <v>17</v>
      </c>
      <c r="AR783" s="275">
        <v>9</v>
      </c>
      <c r="AS783" s="275">
        <v>9</v>
      </c>
      <c r="AT783" s="275">
        <v>13</v>
      </c>
      <c r="AU783" s="275">
        <v>14</v>
      </c>
      <c r="AV783" s="275">
        <f t="shared" si="62"/>
        <v>14</v>
      </c>
      <c r="AX783" s="88" t="str">
        <f t="shared" ca="1" si="61"/>
        <v>LUV</v>
      </c>
    </row>
    <row r="784" spans="1:50" hidden="1" x14ac:dyDescent="0.3">
      <c r="A784" s="88" t="str">
        <f t="shared" ca="1" si="63"/>
        <v>MA</v>
      </c>
      <c r="C784" s="677"/>
      <c r="D784" s="677"/>
      <c r="F784" s="254">
        <v>1.5127999999999999E-2</v>
      </c>
      <c r="G784" s="254">
        <v>-7.4570000000000001E-3</v>
      </c>
      <c r="H784" s="254">
        <v>-2.2618999999999997E-2</v>
      </c>
      <c r="I784" s="254">
        <v>2.0167999999999998E-2</v>
      </c>
      <c r="J784" s="254">
        <v>1.0161E-2</v>
      </c>
      <c r="K784" s="254">
        <v>9.9050000000000006E-3</v>
      </c>
      <c r="L784" s="254">
        <v>-1.3289999999999999E-3</v>
      </c>
      <c r="M784" s="254">
        <v>-1.3289999999999999E-3</v>
      </c>
      <c r="N784" s="254">
        <v>4.3579999999999999E-3</v>
      </c>
      <c r="O784" s="254">
        <v>8.0170000000000003E-4</v>
      </c>
      <c r="P784" s="254">
        <v>-2.6319999999999998E-3</v>
      </c>
      <c r="Q784" s="254">
        <v>-1.0762000000000001E-2</v>
      </c>
      <c r="R784" s="254">
        <v>-1.9109999999999999E-3</v>
      </c>
      <c r="S784" s="254">
        <v>1.6303000000000002E-2</v>
      </c>
      <c r="T784" s="254">
        <v>1.8270000000000001E-3</v>
      </c>
      <c r="U784" s="254">
        <v>-1.771E-3</v>
      </c>
      <c r="V784" s="254">
        <v>-3.5790000000000001E-3</v>
      </c>
      <c r="W784" s="254">
        <v>-1.7712000000000002E-2</v>
      </c>
      <c r="X784" s="254">
        <v>-1.8161E-2</v>
      </c>
      <c r="Y784" s="254">
        <v>-2.8379999999999998E-3</v>
      </c>
      <c r="Z784" s="246">
        <f ca="1">[1]ExtEntry!$M83</f>
        <v>-2.8379999999999998E-3</v>
      </c>
      <c r="AB784" s="251">
        <v>14</v>
      </c>
      <c r="AC784" s="251">
        <v>19</v>
      </c>
      <c r="AD784" s="251">
        <v>20</v>
      </c>
      <c r="AE784" s="286">
        <v>18</v>
      </c>
      <c r="AF784" s="286">
        <v>13</v>
      </c>
      <c r="AG784" s="286">
        <v>6</v>
      </c>
      <c r="AH784" s="286">
        <v>7</v>
      </c>
      <c r="AI784" s="286">
        <v>7</v>
      </c>
      <c r="AJ784" s="286">
        <v>6</v>
      </c>
      <c r="AK784" s="286">
        <v>5</v>
      </c>
      <c r="AL784" s="286">
        <v>8</v>
      </c>
      <c r="AM784" s="275">
        <v>14</v>
      </c>
      <c r="AN784" s="275">
        <v>19</v>
      </c>
      <c r="AO784" s="275">
        <v>19</v>
      </c>
      <c r="AP784" s="275">
        <v>17</v>
      </c>
      <c r="AQ784" s="275">
        <v>19</v>
      </c>
      <c r="AR784" s="275">
        <v>19</v>
      </c>
      <c r="AS784" s="275">
        <v>20</v>
      </c>
      <c r="AT784" s="275">
        <v>20</v>
      </c>
      <c r="AU784" s="275">
        <v>20</v>
      </c>
      <c r="AV784" s="275">
        <f t="shared" si="62"/>
        <v>20</v>
      </c>
      <c r="AX784" s="88" t="str">
        <f t="shared" ca="1" si="61"/>
        <v>MA</v>
      </c>
    </row>
    <row r="785" spans="1:70" hidden="1" x14ac:dyDescent="0.3">
      <c r="A785" s="88" t="str">
        <f t="shared" ca="1" si="63"/>
        <v>NVAX</v>
      </c>
      <c r="C785" s="677"/>
      <c r="D785" s="677"/>
      <c r="F785" s="254">
        <v>3.1322999999999997E-2</v>
      </c>
      <c r="G785" s="254">
        <v>1.4060999999999999E-2</v>
      </c>
      <c r="H785" s="254">
        <v>-4.8259999999999997E-2</v>
      </c>
      <c r="I785" s="254">
        <v>-4.4810999999999997E-2</v>
      </c>
      <c r="J785" s="254">
        <v>8.5184999999999997E-2</v>
      </c>
      <c r="K785" s="254">
        <v>-2.2753000000000002E-2</v>
      </c>
      <c r="L785" s="254">
        <v>-1.5134000000000002E-2</v>
      </c>
      <c r="M785" s="254">
        <v>-1.5134000000000002E-2</v>
      </c>
      <c r="N785" s="254">
        <v>-1.1819999999999999E-2</v>
      </c>
      <c r="O785" s="254">
        <v>1.9139E-2</v>
      </c>
      <c r="P785" s="254">
        <v>2.1126999999999996E-2</v>
      </c>
      <c r="Q785" s="254">
        <v>-2.069E-2</v>
      </c>
      <c r="R785" s="254">
        <v>5.9670000000000001E-3</v>
      </c>
      <c r="S785" s="254">
        <v>-4.7407999999999999E-2</v>
      </c>
      <c r="T785" s="254">
        <v>2.3968E-2</v>
      </c>
      <c r="U785" s="254">
        <v>1.3129999999999999E-3</v>
      </c>
      <c r="V785" s="254">
        <v>-2.3847E-2</v>
      </c>
      <c r="W785" s="254">
        <v>-1.2747999999999999E-2</v>
      </c>
      <c r="X785" s="254">
        <v>-3.3824E-2</v>
      </c>
      <c r="Y785" s="254">
        <v>-2.6636000000000003E-2</v>
      </c>
      <c r="Z785" s="246">
        <f ca="1">[1]ExtEntry!$M84</f>
        <v>-2.6636000000000003E-2</v>
      </c>
      <c r="AB785" s="251">
        <v>6</v>
      </c>
      <c r="AC785" s="251">
        <v>5</v>
      </c>
      <c r="AD785" s="251">
        <v>19</v>
      </c>
      <c r="AE785" s="286">
        <v>20</v>
      </c>
      <c r="AF785" s="286">
        <v>9</v>
      </c>
      <c r="AG785" s="286">
        <v>13</v>
      </c>
      <c r="AH785" s="286">
        <v>18</v>
      </c>
      <c r="AI785" s="286">
        <v>17</v>
      </c>
      <c r="AJ785" s="286">
        <v>19</v>
      </c>
      <c r="AK785" s="286">
        <v>15</v>
      </c>
      <c r="AL785" s="286">
        <v>9</v>
      </c>
      <c r="AM785" s="275">
        <v>14</v>
      </c>
      <c r="AN785" s="275">
        <v>18</v>
      </c>
      <c r="AO785" s="275">
        <v>20</v>
      </c>
      <c r="AP785" s="275">
        <v>19</v>
      </c>
      <c r="AQ785" s="275">
        <v>18</v>
      </c>
      <c r="AR785" s="275">
        <v>20</v>
      </c>
      <c r="AS785" s="275">
        <v>20</v>
      </c>
      <c r="AT785" s="275">
        <v>20</v>
      </c>
      <c r="AU785" s="275">
        <v>20</v>
      </c>
      <c r="AV785" s="275">
        <f t="shared" si="62"/>
        <v>20</v>
      </c>
      <c r="AX785" s="88" t="str">
        <f t="shared" ca="1" si="61"/>
        <v>NVAX</v>
      </c>
    </row>
    <row r="786" spans="1:70" hidden="1" x14ac:dyDescent="0.3">
      <c r="A786" s="88" t="str">
        <f t="shared" ca="1" si="63"/>
        <v>NVS</v>
      </c>
      <c r="C786" s="677"/>
      <c r="D786" s="677"/>
      <c r="F786" s="254">
        <v>9.1390000000000013E-3</v>
      </c>
      <c r="G786" s="254">
        <v>-2.3410000000000002E-3</v>
      </c>
      <c r="H786" s="254">
        <v>5.7709999999999992E-3</v>
      </c>
      <c r="I786" s="254">
        <v>5.0470000000000003E-3</v>
      </c>
      <c r="J786" s="254">
        <v>2.7389999999999997E-3</v>
      </c>
      <c r="K786" s="254">
        <v>-3.4150000000000001E-3</v>
      </c>
      <c r="L786" s="254">
        <v>6.8519999999999996E-4</v>
      </c>
      <c r="M786" s="254">
        <v>6.8519999999999996E-4</v>
      </c>
      <c r="N786" s="254">
        <v>1.598E-3</v>
      </c>
      <c r="O786" s="254">
        <v>-9.5720000000000006E-3</v>
      </c>
      <c r="P786" s="254">
        <v>-1.0893E-2</v>
      </c>
      <c r="Q786" s="254">
        <v>-4.4524999999999995E-2</v>
      </c>
      <c r="R786" s="254">
        <v>6.6500000000000005E-3</v>
      </c>
      <c r="S786" s="254">
        <v>8.4770000000000002E-3</v>
      </c>
      <c r="T786" s="254">
        <v>3.9199999999999999E-3</v>
      </c>
      <c r="U786" s="254">
        <v>9.6020000000000012E-3</v>
      </c>
      <c r="V786" s="254">
        <v>-9.4810000000000001E-4</v>
      </c>
      <c r="W786" s="254">
        <v>-4.9280000000000001E-3</v>
      </c>
      <c r="X786" s="254">
        <v>-2.7137999999999999E-2</v>
      </c>
      <c r="Y786" s="254">
        <v>-9.1400000000000006E-3</v>
      </c>
      <c r="Z786" s="246">
        <f ca="1">[1]ExtEntry!$M85</f>
        <v>-9.1400000000000006E-3</v>
      </c>
      <c r="AB786" s="251">
        <v>8</v>
      </c>
      <c r="AC786" s="251">
        <v>9</v>
      </c>
      <c r="AD786" s="251">
        <v>8</v>
      </c>
      <c r="AE786" s="286">
        <v>5</v>
      </c>
      <c r="AF786" s="286">
        <v>3</v>
      </c>
      <c r="AG786" s="286">
        <v>7</v>
      </c>
      <c r="AH786" s="286">
        <v>6</v>
      </c>
      <c r="AI786" s="286">
        <v>6</v>
      </c>
      <c r="AJ786" s="286">
        <v>5</v>
      </c>
      <c r="AK786" s="286">
        <v>15</v>
      </c>
      <c r="AL786" s="286">
        <v>19</v>
      </c>
      <c r="AM786" s="275">
        <v>20</v>
      </c>
      <c r="AN786" s="275">
        <v>20</v>
      </c>
      <c r="AO786" s="275">
        <v>18</v>
      </c>
      <c r="AP786" s="275">
        <v>17</v>
      </c>
      <c r="AQ786" s="275">
        <v>16</v>
      </c>
      <c r="AR786" s="275">
        <v>16</v>
      </c>
      <c r="AS786" s="275">
        <v>7</v>
      </c>
      <c r="AT786" s="275">
        <v>14</v>
      </c>
      <c r="AU786" s="275">
        <v>14</v>
      </c>
      <c r="AV786" s="275">
        <f t="shared" si="62"/>
        <v>14</v>
      </c>
      <c r="AX786" s="88" t="str">
        <f t="shared" ca="1" si="61"/>
        <v>NVS</v>
      </c>
    </row>
    <row r="787" spans="1:70" hidden="1" x14ac:dyDescent="0.3">
      <c r="A787" s="88" t="str">
        <f t="shared" ca="1" si="63"/>
        <v>ORA</v>
      </c>
      <c r="C787" s="677"/>
      <c r="D787" s="677"/>
      <c r="F787" s="254">
        <v>1.0423999999999999E-2</v>
      </c>
      <c r="G787" s="254">
        <v>3.2793000000000003E-2</v>
      </c>
      <c r="H787" s="254">
        <v>4.9950000000000003E-3</v>
      </c>
      <c r="I787" s="254">
        <v>1.7749000000000001E-2</v>
      </c>
      <c r="J787" s="254">
        <v>-1.2208000000000002E-2</v>
      </c>
      <c r="K787" s="254">
        <v>-2.4720000000000002E-3</v>
      </c>
      <c r="L787" s="254">
        <v>-3.8940000000000003E-3</v>
      </c>
      <c r="M787" s="254">
        <v>-3.8940000000000003E-3</v>
      </c>
      <c r="N787" s="254">
        <v>5.6860000000000001E-3</v>
      </c>
      <c r="O787" s="254">
        <v>-1.6254000000000001E-2</v>
      </c>
      <c r="P787" s="254">
        <v>-5.0290000000000005E-3</v>
      </c>
      <c r="Q787" s="254">
        <v>2.8879999999999999E-3</v>
      </c>
      <c r="R787" s="254">
        <v>1.0208E-2</v>
      </c>
      <c r="S787" s="254">
        <v>-1.0104999999999999E-2</v>
      </c>
      <c r="T787" s="254">
        <v>0</v>
      </c>
      <c r="U787" s="254">
        <v>1.6404999999999999E-2</v>
      </c>
      <c r="V787" s="254">
        <v>1.6141000000000003E-2</v>
      </c>
      <c r="W787" s="254">
        <v>-2.1632999999999999E-2</v>
      </c>
      <c r="X787" s="254">
        <v>-1.9341000000000001E-2</v>
      </c>
      <c r="Y787" s="254">
        <v>-1.2894000000000001E-2</v>
      </c>
      <c r="Z787" s="246">
        <f ca="1">[1]ExtEntry!$M86</f>
        <v>-1.2894000000000001E-2</v>
      </c>
      <c r="AB787" s="251">
        <v>13</v>
      </c>
      <c r="AC787" s="251">
        <v>1</v>
      </c>
      <c r="AD787" s="251">
        <v>1</v>
      </c>
      <c r="AE787" s="286">
        <v>1</v>
      </c>
      <c r="AF787" s="286">
        <v>2</v>
      </c>
      <c r="AG787" s="286">
        <v>3</v>
      </c>
      <c r="AH787" s="286">
        <v>5</v>
      </c>
      <c r="AI787" s="286">
        <v>5</v>
      </c>
      <c r="AJ787" s="286">
        <v>3</v>
      </c>
      <c r="AK787" s="286">
        <v>9</v>
      </c>
      <c r="AL787" s="286">
        <v>10</v>
      </c>
      <c r="AM787" s="275">
        <v>10</v>
      </c>
      <c r="AN787" s="275">
        <v>11</v>
      </c>
      <c r="AO787" s="275">
        <v>13</v>
      </c>
      <c r="AP787" s="275">
        <v>13</v>
      </c>
      <c r="AQ787" s="275">
        <v>9</v>
      </c>
      <c r="AR787" s="275">
        <v>2</v>
      </c>
      <c r="AS787" s="275">
        <v>9</v>
      </c>
      <c r="AT787" s="275">
        <v>18</v>
      </c>
      <c r="AU787" s="275">
        <v>16</v>
      </c>
      <c r="AV787" s="275">
        <f t="shared" si="62"/>
        <v>16</v>
      </c>
      <c r="AX787" s="88" t="str">
        <f t="shared" ref="AX787:AX850" ca="1" si="64">A787</f>
        <v>ORA</v>
      </c>
      <c r="BQ787" t="s">
        <v>190</v>
      </c>
      <c r="BR787" t="s">
        <v>178</v>
      </c>
    </row>
    <row r="788" spans="1:70" hidden="1" x14ac:dyDescent="0.3">
      <c r="A788" s="88" t="str">
        <f t="shared" ca="1" si="63"/>
        <v>OXY</v>
      </c>
      <c r="C788" s="677"/>
      <c r="D788" s="677"/>
      <c r="F788" s="254">
        <v>-3.3E-3</v>
      </c>
      <c r="G788" s="254">
        <v>-1.0052E-2</v>
      </c>
      <c r="H788" s="254">
        <v>-2.0057000000000002E-2</v>
      </c>
      <c r="I788" s="254">
        <v>-3.411E-3</v>
      </c>
      <c r="J788" s="254">
        <v>3.1780000000000003E-3</v>
      </c>
      <c r="K788" s="254">
        <v>-2.9249999999999996E-3</v>
      </c>
      <c r="L788" s="254">
        <v>2.0166E-2</v>
      </c>
      <c r="M788" s="254">
        <v>2.0166E-2</v>
      </c>
      <c r="N788" s="254">
        <v>2.7557999999999999E-2</v>
      </c>
      <c r="O788" s="254">
        <v>-6.9959999999999996E-3</v>
      </c>
      <c r="P788" s="254">
        <v>-6.5769999999999995E-3</v>
      </c>
      <c r="Q788" s="254">
        <v>-3.4279000000000004E-2</v>
      </c>
      <c r="R788" s="254">
        <v>3.0799999999999998E-3</v>
      </c>
      <c r="S788" s="254">
        <v>-2.0160999999999998E-2</v>
      </c>
      <c r="T788" s="254">
        <v>-7.6100000000000004E-3</v>
      </c>
      <c r="U788" s="254">
        <v>1.3082E-2</v>
      </c>
      <c r="V788" s="254">
        <v>2.2067E-2</v>
      </c>
      <c r="W788" s="254">
        <v>1.7849E-2</v>
      </c>
      <c r="X788" s="254">
        <v>1.9789000000000001E-2</v>
      </c>
      <c r="Y788" s="254">
        <v>-2.4340999999999998E-2</v>
      </c>
      <c r="Z788" s="246">
        <f ca="1">[1]ExtEntry!$M87</f>
        <v>-2.4340999999999998E-2</v>
      </c>
      <c r="AB788" s="251">
        <v>20</v>
      </c>
      <c r="AC788" s="251">
        <v>20</v>
      </c>
      <c r="AD788" s="251">
        <v>20</v>
      </c>
      <c r="AE788" s="286">
        <v>20</v>
      </c>
      <c r="AF788" s="286">
        <v>19</v>
      </c>
      <c r="AG788" s="286">
        <v>19</v>
      </c>
      <c r="AH788" s="286">
        <v>16</v>
      </c>
      <c r="AI788" s="286">
        <v>15</v>
      </c>
      <c r="AJ788" s="286">
        <v>11</v>
      </c>
      <c r="AK788" s="286">
        <v>11</v>
      </c>
      <c r="AL788" s="286">
        <v>12</v>
      </c>
      <c r="AM788" s="275">
        <v>20</v>
      </c>
      <c r="AN788" s="275">
        <v>20</v>
      </c>
      <c r="AO788" s="275">
        <v>20</v>
      </c>
      <c r="AP788" s="275">
        <v>20</v>
      </c>
      <c r="AQ788" s="275">
        <v>18</v>
      </c>
      <c r="AR788" s="275">
        <v>11</v>
      </c>
      <c r="AS788" s="275">
        <v>3</v>
      </c>
      <c r="AT788" s="275">
        <v>4</v>
      </c>
      <c r="AU788" s="275">
        <v>10</v>
      </c>
      <c r="AV788" s="275">
        <f t="shared" si="62"/>
        <v>10</v>
      </c>
      <c r="AX788" s="88" t="str">
        <f t="shared" ca="1" si="64"/>
        <v>OXY</v>
      </c>
      <c r="BQ788" t="s">
        <v>191</v>
      </c>
      <c r="BR788" t="s">
        <v>2200</v>
      </c>
    </row>
    <row r="789" spans="1:70" ht="24" hidden="1" customHeight="1" x14ac:dyDescent="0.3">
      <c r="A789" s="88" t="str">
        <f t="shared" ca="1" si="63"/>
        <v>PFE</v>
      </c>
      <c r="C789" s="677"/>
      <c r="D789" s="677"/>
      <c r="F789" s="254">
        <v>-8.2899999999999988E-3</v>
      </c>
      <c r="G789" s="254">
        <v>-6.9329999999999999E-3</v>
      </c>
      <c r="H789" s="254">
        <v>-6.5599999999999999E-3</v>
      </c>
      <c r="I789" s="254">
        <v>1.1556E-2</v>
      </c>
      <c r="J789" s="254">
        <v>7.1399999999999996E-3</v>
      </c>
      <c r="K789" s="254">
        <v>5.4679999999999998E-3</v>
      </c>
      <c r="L789" s="254">
        <v>-4.6280000000000002E-3</v>
      </c>
      <c r="M789" s="254">
        <v>-4.6280000000000002E-3</v>
      </c>
      <c r="N789" s="254">
        <v>-1.4159999999999999E-3</v>
      </c>
      <c r="O789" s="254">
        <v>4.4590000000000003E-3</v>
      </c>
      <c r="P789" s="254">
        <v>-2.019E-4</v>
      </c>
      <c r="Q789" s="254">
        <v>-9.8910000000000005E-3</v>
      </c>
      <c r="R789" s="254">
        <v>4.1169999999999998E-4</v>
      </c>
      <c r="S789" s="254">
        <v>-1.3382E-2</v>
      </c>
      <c r="T789" s="254">
        <v>1.3786E-2</v>
      </c>
      <c r="U789" s="254">
        <v>1.0768E-2</v>
      </c>
      <c r="V789" s="254">
        <v>-1.843E-3</v>
      </c>
      <c r="W789" s="254">
        <v>-2.7335999999999999E-2</v>
      </c>
      <c r="X789" s="254">
        <v>1.4753E-2</v>
      </c>
      <c r="Y789" s="254">
        <v>-1.7092E-2</v>
      </c>
      <c r="Z789" s="246">
        <f ca="1">[1]ExtEntry!$M88</f>
        <v>-1.7092E-2</v>
      </c>
      <c r="AB789" s="251">
        <v>10</v>
      </c>
      <c r="AC789" s="251">
        <v>11</v>
      </c>
      <c r="AD789" s="251">
        <v>13</v>
      </c>
      <c r="AE789" s="286">
        <v>11</v>
      </c>
      <c r="AF789" s="286">
        <v>10</v>
      </c>
      <c r="AG789" s="286">
        <v>9</v>
      </c>
      <c r="AH789" s="286">
        <v>10</v>
      </c>
      <c r="AI789" s="286">
        <v>10</v>
      </c>
      <c r="AJ789" s="286">
        <v>13</v>
      </c>
      <c r="AK789" s="286">
        <v>10</v>
      </c>
      <c r="AL789" s="286">
        <v>11</v>
      </c>
      <c r="AM789" s="275">
        <v>16</v>
      </c>
      <c r="AN789" s="275">
        <v>19</v>
      </c>
      <c r="AO789" s="275">
        <v>18</v>
      </c>
      <c r="AP789" s="275">
        <v>13</v>
      </c>
      <c r="AQ789" s="275">
        <v>4</v>
      </c>
      <c r="AR789" s="275">
        <v>16</v>
      </c>
      <c r="AS789" s="275">
        <v>2</v>
      </c>
      <c r="AT789" s="275">
        <v>1</v>
      </c>
      <c r="AU789" s="275">
        <v>3</v>
      </c>
      <c r="AV789" s="275">
        <f t="shared" si="62"/>
        <v>3</v>
      </c>
      <c r="AX789" s="88" t="str">
        <f t="shared" ca="1" si="64"/>
        <v>PFE</v>
      </c>
      <c r="BQ789" t="s">
        <v>139</v>
      </c>
      <c r="BR789" t="s">
        <v>2201</v>
      </c>
    </row>
    <row r="790" spans="1:70" hidden="1" x14ac:dyDescent="0.3">
      <c r="A790" s="88" t="str">
        <f t="shared" ca="1" si="63"/>
        <v>RIG</v>
      </c>
      <c r="C790" s="677"/>
      <c r="D790" s="677"/>
      <c r="F790" s="254">
        <v>-2.6563E-2</v>
      </c>
      <c r="G790" s="254">
        <v>5.4486999999999994E-2</v>
      </c>
      <c r="H790" s="254">
        <v>-2.5680000000000001E-2</v>
      </c>
      <c r="I790" s="254">
        <v>9.2879999999999994E-3</v>
      </c>
      <c r="J790" s="254">
        <v>7.6690000000000005E-3</v>
      </c>
      <c r="K790" s="254">
        <v>4.5590000000000006E-3</v>
      </c>
      <c r="L790" s="254">
        <v>3.4742999999999996E-2</v>
      </c>
      <c r="M790" s="254">
        <v>3.4742999999999996E-2</v>
      </c>
      <c r="N790" s="254">
        <v>0.135965</v>
      </c>
      <c r="O790" s="254">
        <v>1.2850000000000001E-3</v>
      </c>
      <c r="P790" s="254">
        <v>-1.1538E-2</v>
      </c>
      <c r="Q790" s="254">
        <v>-2.7202E-2</v>
      </c>
      <c r="R790" s="254">
        <v>2.2193000000000001E-2</v>
      </c>
      <c r="S790" s="254">
        <v>-1.3838E-2</v>
      </c>
      <c r="T790" s="254">
        <v>-1.2820000000000002E-3</v>
      </c>
      <c r="U790" s="254">
        <v>6.4099999999999999E-3</v>
      </c>
      <c r="V790" s="254">
        <v>1.5384999999999999E-2</v>
      </c>
      <c r="W790" s="254">
        <v>0</v>
      </c>
      <c r="X790" s="254">
        <v>1.2255E-2</v>
      </c>
      <c r="Y790" s="254">
        <v>-8.4749999999999999E-3</v>
      </c>
      <c r="Z790" s="246">
        <f ca="1">[1]ExtEntry!$M89</f>
        <v>-8.4749999999999999E-3</v>
      </c>
      <c r="AB790" s="251">
        <v>18</v>
      </c>
      <c r="AC790" s="251">
        <v>13</v>
      </c>
      <c r="AD790" s="251">
        <v>13</v>
      </c>
      <c r="AE790" s="286">
        <v>12</v>
      </c>
      <c r="AF790" s="286">
        <v>11</v>
      </c>
      <c r="AG790" s="286">
        <v>8</v>
      </c>
      <c r="AH790" s="286">
        <v>3</v>
      </c>
      <c r="AI790" s="286">
        <v>2</v>
      </c>
      <c r="AJ790" s="286">
        <v>1</v>
      </c>
      <c r="AK790" s="286">
        <v>1</v>
      </c>
      <c r="AL790" s="286">
        <v>3</v>
      </c>
      <c r="AM790" s="275">
        <v>4</v>
      </c>
      <c r="AN790" s="275">
        <v>1</v>
      </c>
      <c r="AO790" s="275">
        <v>2</v>
      </c>
      <c r="AP790" s="275">
        <v>3</v>
      </c>
      <c r="AQ790" s="275">
        <v>1</v>
      </c>
      <c r="AR790" s="275">
        <v>1</v>
      </c>
      <c r="AS790" s="275">
        <v>1</v>
      </c>
      <c r="AT790" s="275">
        <v>1</v>
      </c>
      <c r="AU790" s="275">
        <v>2</v>
      </c>
      <c r="AV790" s="275">
        <f t="shared" si="62"/>
        <v>2</v>
      </c>
      <c r="AX790" s="88" t="str">
        <f t="shared" ca="1" si="64"/>
        <v>RIG</v>
      </c>
      <c r="BQ790" t="s">
        <v>192</v>
      </c>
      <c r="BR790" t="s">
        <v>1892</v>
      </c>
    </row>
    <row r="791" spans="1:70" x14ac:dyDescent="0.3">
      <c r="A791" s="88" t="str">
        <f t="shared" ca="1" si="63"/>
        <v>RRC</v>
      </c>
      <c r="F791" s="254">
        <v>-2.2721000000000002E-2</v>
      </c>
      <c r="G791" s="254">
        <v>3.0721999999999999E-2</v>
      </c>
      <c r="H791" s="254">
        <v>-3.9559000000000004E-2</v>
      </c>
      <c r="I791" s="254">
        <v>7.5629999999999994E-3</v>
      </c>
      <c r="J791" s="254">
        <v>3.2249E-2</v>
      </c>
      <c r="K791" s="254">
        <v>-9.1590000000000005E-3</v>
      </c>
      <c r="L791" s="254">
        <v>-1.4678E-2</v>
      </c>
      <c r="M791" s="254">
        <v>-1.4678E-2</v>
      </c>
      <c r="N791" s="254">
        <v>3.4483E-2</v>
      </c>
      <c r="O791" s="254">
        <v>2.8000000000000004E-3</v>
      </c>
      <c r="P791" s="254">
        <v>-6.9110000000000005E-3</v>
      </c>
      <c r="Q791" s="254">
        <v>-1.0439E-2</v>
      </c>
      <c r="R791" s="254">
        <v>-1.1431999999999999E-2</v>
      </c>
      <c r="S791" s="254">
        <v>3.3860000000000001E-3</v>
      </c>
      <c r="T791" s="254">
        <v>1.3500000000000001E-3</v>
      </c>
      <c r="U791" s="254">
        <v>-7.0140000000000003E-3</v>
      </c>
      <c r="V791" s="254">
        <v>1.9057999999999999E-2</v>
      </c>
      <c r="W791" s="254">
        <v>5.5230000000000001E-3</v>
      </c>
      <c r="X791" s="254">
        <v>2.3067000000000001E-2</v>
      </c>
      <c r="Y791" s="254">
        <v>1.1529999999999999E-3</v>
      </c>
      <c r="Z791" s="246">
        <f ca="1">[1]ExtEntry!$M90</f>
        <v>1.1529999999999999E-3</v>
      </c>
      <c r="AB791" s="251">
        <v>14</v>
      </c>
      <c r="AC791" s="251">
        <v>12</v>
      </c>
      <c r="AD791" s="251">
        <v>17</v>
      </c>
      <c r="AE791" s="286">
        <v>16</v>
      </c>
      <c r="AF791" s="286">
        <v>13</v>
      </c>
      <c r="AG791" s="286">
        <v>16</v>
      </c>
      <c r="AH791" s="286">
        <v>17</v>
      </c>
      <c r="AI791" s="286">
        <v>16</v>
      </c>
      <c r="AJ791" s="286">
        <v>11</v>
      </c>
      <c r="AK791" s="286">
        <v>9</v>
      </c>
      <c r="AL791" s="286">
        <v>11</v>
      </c>
      <c r="AM791" s="275">
        <v>13</v>
      </c>
      <c r="AN791" s="275">
        <v>20</v>
      </c>
      <c r="AO791" s="275">
        <v>11</v>
      </c>
      <c r="AP791" s="275">
        <v>10</v>
      </c>
      <c r="AQ791" s="275">
        <v>13</v>
      </c>
      <c r="AR791" s="275">
        <v>5</v>
      </c>
      <c r="AS791" s="275">
        <v>2</v>
      </c>
      <c r="AT791" s="275">
        <v>1</v>
      </c>
      <c r="AU791" s="275">
        <v>1</v>
      </c>
      <c r="AV791" s="275">
        <f t="shared" si="62"/>
        <v>1</v>
      </c>
      <c r="AX791" s="88" t="str">
        <f t="shared" ca="1" si="64"/>
        <v>RRC</v>
      </c>
      <c r="BQ791" t="s">
        <v>193</v>
      </c>
      <c r="BR791" t="s">
        <v>2202</v>
      </c>
    </row>
    <row r="792" spans="1:70" x14ac:dyDescent="0.3">
      <c r="A792" s="88" t="str">
        <f t="shared" ca="1" si="63"/>
        <v>XYZ</v>
      </c>
      <c r="F792" s="246">
        <v>1.5462999999999999E-2</v>
      </c>
      <c r="G792" s="246">
        <v>-2.7569999999999999E-3</v>
      </c>
      <c r="H792" s="246">
        <v>-2.0754000000000002E-2</v>
      </c>
      <c r="I792" s="246">
        <v>8.853999999999999E-3</v>
      </c>
      <c r="J792" s="246">
        <v>1.7287E-2</v>
      </c>
      <c r="K792" s="246">
        <v>1.5817000000000001E-2</v>
      </c>
      <c r="L792" s="246">
        <v>-2.3157000000000001E-2</v>
      </c>
      <c r="M792" s="246">
        <v>-2.3157000000000001E-2</v>
      </c>
      <c r="N792" s="246">
        <v>3.4641999999999999E-2</v>
      </c>
      <c r="O792" s="246">
        <v>1.2475E-2</v>
      </c>
      <c r="P792" s="246">
        <v>7.921000000000001E-3</v>
      </c>
      <c r="Q792" s="246">
        <v>4.9910000000000004E-4</v>
      </c>
      <c r="R792" s="246">
        <v>-3.3981999999999998E-2</v>
      </c>
      <c r="S792" s="246">
        <v>-2.2072999999999999E-2</v>
      </c>
      <c r="T792" s="246">
        <v>1.4742E-2</v>
      </c>
      <c r="U792" s="246">
        <v>-3.2722000000000001E-2</v>
      </c>
      <c r="V792" s="246">
        <v>-7.6272000000000006E-2</v>
      </c>
      <c r="W792" s="246">
        <v>-2.9453999999999998E-2</v>
      </c>
      <c r="X792" s="246">
        <v>-2.1225999999999998E-2</v>
      </c>
      <c r="Y792" s="246">
        <v>-2.516E-3</v>
      </c>
      <c r="Z792" s="246">
        <f ca="1">[1]ExtEntry!$M91</f>
        <v>-2.516E-3</v>
      </c>
      <c r="AB792" s="251">
        <v>12</v>
      </c>
      <c r="AC792" s="251">
        <v>13</v>
      </c>
      <c r="AD792" s="251">
        <v>16</v>
      </c>
      <c r="AE792" s="286">
        <v>14</v>
      </c>
      <c r="AF792" s="286">
        <v>9</v>
      </c>
      <c r="AG792" s="286">
        <v>5</v>
      </c>
      <c r="AH792" s="286">
        <v>12</v>
      </c>
      <c r="AI792" s="286">
        <v>11</v>
      </c>
      <c r="AJ792" s="286">
        <v>5</v>
      </c>
      <c r="AK792" s="286">
        <v>4</v>
      </c>
      <c r="AL792" s="286">
        <v>4</v>
      </c>
      <c r="AM792" s="275">
        <v>4</v>
      </c>
      <c r="AN792" s="275">
        <v>20</v>
      </c>
      <c r="AO792" s="275">
        <v>20</v>
      </c>
      <c r="AP792" s="275">
        <v>19</v>
      </c>
      <c r="AQ792" s="275">
        <v>20</v>
      </c>
      <c r="AR792" s="275">
        <v>20</v>
      </c>
      <c r="AS792" s="275">
        <v>20</v>
      </c>
      <c r="AT792" s="275">
        <v>20</v>
      </c>
      <c r="AU792" s="275">
        <v>20</v>
      </c>
      <c r="AV792" s="275">
        <f t="shared" si="62"/>
        <v>20</v>
      </c>
      <c r="AX792" s="88" t="str">
        <f t="shared" ca="1" si="64"/>
        <v>XYZ</v>
      </c>
      <c r="BQ792" t="s">
        <v>2203</v>
      </c>
      <c r="BR792" t="s">
        <v>1835</v>
      </c>
    </row>
    <row r="793" spans="1:70" x14ac:dyDescent="0.3">
      <c r="A793" s="88" t="str">
        <f t="shared" ca="1" si="63"/>
        <v>THC</v>
      </c>
      <c r="F793" s="254">
        <v>3.3946999999999998E-2</v>
      </c>
      <c r="G793" s="254">
        <v>8.5059999999999997E-3</v>
      </c>
      <c r="H793" s="254">
        <v>-5.019E-4</v>
      </c>
      <c r="I793" s="254">
        <v>4.3690000000000005E-3</v>
      </c>
      <c r="J793" s="254">
        <v>1.0275000000000001E-2</v>
      </c>
      <c r="K793" s="254">
        <v>1.237E-3</v>
      </c>
      <c r="L793" s="254">
        <v>1.3689E-2</v>
      </c>
      <c r="M793" s="254">
        <v>1.3689E-2</v>
      </c>
      <c r="N793" s="254">
        <v>8.7270000000000004E-3</v>
      </c>
      <c r="O793" s="254">
        <v>1.6771000000000001E-2</v>
      </c>
      <c r="P793" s="254">
        <v>2.7522000000000001E-2</v>
      </c>
      <c r="Q793" s="254">
        <v>-5.3429999999999998E-2</v>
      </c>
      <c r="R793" s="254">
        <v>-2.4390000000000002E-3</v>
      </c>
      <c r="S793" s="254">
        <v>3.3741E-2</v>
      </c>
      <c r="T793" s="254">
        <v>4.2839999999999996E-3</v>
      </c>
      <c r="U793" s="254">
        <v>-1.3373999999999999E-2</v>
      </c>
      <c r="V793" s="254">
        <v>3.2079999999999999E-3</v>
      </c>
      <c r="W793" s="254">
        <v>-1.9068000000000002E-2</v>
      </c>
      <c r="X793" s="254">
        <v>3.1190000000000002E-3</v>
      </c>
      <c r="Y793" s="254">
        <v>3.0049999999999999E-3</v>
      </c>
      <c r="Z793" s="246">
        <f ca="1">[1]ExtEntry!$M92</f>
        <v>3.0049999999999999E-3</v>
      </c>
      <c r="AB793" s="251">
        <v>11</v>
      </c>
      <c r="AC793" s="251">
        <v>9</v>
      </c>
      <c r="AD793" s="251">
        <v>9</v>
      </c>
      <c r="AE793" s="286">
        <v>9</v>
      </c>
      <c r="AF793" s="286">
        <v>5</v>
      </c>
      <c r="AG793" s="286">
        <v>5</v>
      </c>
      <c r="AH793" s="286">
        <v>1</v>
      </c>
      <c r="AI793" s="286">
        <v>1</v>
      </c>
      <c r="AJ793" s="286">
        <v>1</v>
      </c>
      <c r="AK793" s="286">
        <v>1</v>
      </c>
      <c r="AL793" s="286">
        <v>1</v>
      </c>
      <c r="AM793" s="275">
        <v>7</v>
      </c>
      <c r="AN793" s="275">
        <v>3</v>
      </c>
      <c r="AO793" s="275">
        <v>4</v>
      </c>
      <c r="AP793" s="275">
        <v>4</v>
      </c>
      <c r="AQ793" s="275">
        <v>7</v>
      </c>
      <c r="AR793" s="275">
        <v>10</v>
      </c>
      <c r="AS793" s="275">
        <v>19</v>
      </c>
      <c r="AT793" s="275">
        <v>18</v>
      </c>
      <c r="AU793" s="275">
        <v>18</v>
      </c>
      <c r="AV793" s="275">
        <f t="shared" si="62"/>
        <v>18</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-8.9320000000000007E-3</v>
      </c>
      <c r="G795" s="246">
        <v>1.4303E-2</v>
      </c>
      <c r="H795" s="246">
        <v>1.9320000000000001E-4</v>
      </c>
      <c r="I795" s="246">
        <v>-1.9311999999999999E-2</v>
      </c>
      <c r="J795" s="246">
        <v>9.2560000000000003E-3</v>
      </c>
      <c r="K795" s="246">
        <v>2.1072999999999998E-2</v>
      </c>
      <c r="L795" s="246">
        <v>-1.0701E-2</v>
      </c>
      <c r="M795" s="246">
        <v>-1.0701E-2</v>
      </c>
      <c r="N795" s="246">
        <v>2.8970000000000003E-3</v>
      </c>
      <c r="O795" s="246">
        <v>1.9646E-2</v>
      </c>
      <c r="P795" s="246">
        <v>3.967E-3</v>
      </c>
      <c r="Q795" s="246">
        <v>-1.505E-3</v>
      </c>
      <c r="R795" s="246">
        <v>-4.3940000000000003E-3</v>
      </c>
      <c r="S795" s="246">
        <v>-1.6080000000000001E-2</v>
      </c>
      <c r="T795" s="246">
        <v>-8.2679999999999993E-3</v>
      </c>
      <c r="U795" s="246">
        <v>-1.1245E-2</v>
      </c>
      <c r="V795" s="246">
        <v>-2.5490000000000001E-3</v>
      </c>
      <c r="W795" s="246">
        <v>-2.0967E-2</v>
      </c>
      <c r="X795" s="246">
        <v>9.8969999999999995E-3</v>
      </c>
      <c r="Y795" s="246">
        <v>6.7010000000000004E-3</v>
      </c>
      <c r="Z795" s="246">
        <f ca="1">[1]ExtEntry!$M94</f>
        <v>6.7010000000000004E-3</v>
      </c>
      <c r="AB795" s="251">
        <v>19</v>
      </c>
      <c r="AC795" s="251">
        <v>12</v>
      </c>
      <c r="AD795" s="251">
        <v>11</v>
      </c>
      <c r="AE795" s="286">
        <v>20</v>
      </c>
      <c r="AF795" s="286">
        <v>17</v>
      </c>
      <c r="AG795" s="286">
        <v>3</v>
      </c>
      <c r="AH795" s="286">
        <v>9</v>
      </c>
      <c r="AI795" s="286">
        <v>9</v>
      </c>
      <c r="AJ795" s="286">
        <v>5</v>
      </c>
      <c r="AK795" s="286">
        <v>1</v>
      </c>
      <c r="AL795" s="286">
        <v>1</v>
      </c>
      <c r="AM795" s="275">
        <v>2</v>
      </c>
      <c r="AN795" s="275">
        <v>8</v>
      </c>
      <c r="AO795" s="275">
        <v>9</v>
      </c>
      <c r="AP795" s="275">
        <v>16</v>
      </c>
      <c r="AQ795" s="275">
        <v>19</v>
      </c>
      <c r="AR795" s="275">
        <v>19</v>
      </c>
      <c r="AS795" s="275">
        <v>20</v>
      </c>
      <c r="AT795" s="275">
        <v>20</v>
      </c>
      <c r="AU795" s="275">
        <v>20</v>
      </c>
      <c r="AV795" s="275">
        <f t="shared" si="62"/>
        <v>20</v>
      </c>
      <c r="AX795" s="88" t="str">
        <f t="shared" ca="1" si="64"/>
        <v>LOCK</v>
      </c>
      <c r="BQ795" t="s">
        <v>2206</v>
      </c>
      <c r="BR795" t="s">
        <v>2207</v>
      </c>
    </row>
    <row r="796" spans="1:70" x14ac:dyDescent="0.3">
      <c r="A796" s="88" t="str">
        <f t="shared" ca="1" si="63"/>
        <v>JBASML</v>
      </c>
      <c r="F796" s="246">
        <v>3.081E-3</v>
      </c>
      <c r="G796" s="246">
        <v>3.1184E-2</v>
      </c>
      <c r="H796" s="246">
        <v>5.0400000000000002E-3</v>
      </c>
      <c r="I796" s="246">
        <v>-1.9380000000000001E-3</v>
      </c>
      <c r="J796" s="246">
        <v>2.6606999999999999E-2</v>
      </c>
      <c r="K796" s="246">
        <v>-1.0234E-2</v>
      </c>
      <c r="L796" s="246">
        <v>-2.214E-2</v>
      </c>
      <c r="M796" s="1107">
        <v>-2.214E-2</v>
      </c>
      <c r="N796" s="246">
        <v>2.0228000000000003E-2</v>
      </c>
      <c r="O796" s="246">
        <v>7.548E-3</v>
      </c>
      <c r="P796" s="246">
        <v>1.5318E-2</v>
      </c>
      <c r="Q796" s="246">
        <v>9.9279999999999985E-4</v>
      </c>
      <c r="R796" s="246">
        <v>1.9687E-2</v>
      </c>
      <c r="S796" s="246">
        <v>-9.1739999999999999E-3</v>
      </c>
      <c r="T796" s="246">
        <v>-1.2418E-2</v>
      </c>
      <c r="U796" s="246">
        <v>-1.2463999999999999E-2</v>
      </c>
      <c r="V796" s="246">
        <v>-2.7365E-2</v>
      </c>
      <c r="W796" s="246">
        <v>-8.3949999999999997E-3</v>
      </c>
      <c r="X796" s="1107">
        <v>-7.1630000000000001E-3</v>
      </c>
      <c r="Y796" s="246">
        <v>2.4260999999999998E-2</v>
      </c>
      <c r="Z796" s="246">
        <f ca="1">[1]ExtEntry!$M95</f>
        <v>2.4260999999999998E-2</v>
      </c>
      <c r="AB796" s="251">
        <v>6</v>
      </c>
      <c r="AC796" s="251">
        <v>4</v>
      </c>
      <c r="AD796" s="251">
        <v>3</v>
      </c>
      <c r="AE796" s="286">
        <v>4</v>
      </c>
      <c r="AF796" s="286">
        <v>1</v>
      </c>
      <c r="AG796" s="286">
        <v>2</v>
      </c>
      <c r="AH796" s="286">
        <v>9</v>
      </c>
      <c r="AI796" s="286">
        <v>9</v>
      </c>
      <c r="AJ796" s="286">
        <v>3</v>
      </c>
      <c r="AK796" s="286">
        <v>2</v>
      </c>
      <c r="AL796" s="286">
        <v>1</v>
      </c>
      <c r="AM796" s="275">
        <v>2</v>
      </c>
      <c r="AN796" s="275">
        <v>1</v>
      </c>
      <c r="AO796" s="275">
        <v>2</v>
      </c>
      <c r="AP796" s="275">
        <v>5</v>
      </c>
      <c r="AQ796" s="275">
        <v>7</v>
      </c>
      <c r="AR796" s="275">
        <v>14</v>
      </c>
      <c r="AS796" s="275">
        <v>13</v>
      </c>
      <c r="AT796" s="275">
        <v>18</v>
      </c>
      <c r="AU796" s="275">
        <v>11</v>
      </c>
      <c r="AV796" s="275">
        <f t="shared" si="62"/>
        <v>11</v>
      </c>
      <c r="AX796" s="88" t="str">
        <f t="shared" ca="1" si="64"/>
        <v>JBASML</v>
      </c>
    </row>
    <row r="797" spans="1:70" x14ac:dyDescent="0.3">
      <c r="A797" s="88" t="str">
        <f t="shared" ca="1" si="63"/>
        <v>JBEOAN</v>
      </c>
      <c r="F797" s="246">
        <v>6.7650000000000002E-3</v>
      </c>
      <c r="G797" s="246">
        <v>-1.0385E-2</v>
      </c>
      <c r="H797" s="246">
        <v>3.0859999999999998E-3</v>
      </c>
      <c r="I797" s="246">
        <v>1.2310000000000001E-3</v>
      </c>
      <c r="J797" s="246">
        <v>9.2189999999999998E-3</v>
      </c>
      <c r="K797" s="246">
        <v>-3.3500000000000001E-3</v>
      </c>
      <c r="L797" s="246">
        <v>-1.6192999999999999E-2</v>
      </c>
      <c r="M797" s="246">
        <v>-1.6192999999999999E-2</v>
      </c>
      <c r="N797" s="246">
        <v>-7.4529999999999996E-3</v>
      </c>
      <c r="O797" s="246">
        <v>5.006E-3</v>
      </c>
      <c r="P797" s="246">
        <v>2.1789999999999999E-3</v>
      </c>
      <c r="Q797" s="246">
        <v>9.0089999999999996E-3</v>
      </c>
      <c r="R797" s="246">
        <v>-3.0669999999999998E-3</v>
      </c>
      <c r="S797" s="246">
        <v>-1.0367999999999999E-2</v>
      </c>
      <c r="T797" s="246">
        <v>1.9047999999999999E-2</v>
      </c>
      <c r="U797" s="246">
        <v>1.869E-3</v>
      </c>
      <c r="V797" s="246">
        <v>1.555E-3</v>
      </c>
      <c r="W797" s="246">
        <v>1.3139999999999998E-3</v>
      </c>
      <c r="X797" s="246">
        <v>-7.1709999999999994E-3</v>
      </c>
      <c r="Y797" s="246">
        <v>-2.6079999999999996E-3</v>
      </c>
      <c r="Z797" s="246">
        <f ca="1">[1]ExtEntry!$M96</f>
        <v>-2.6079999999999996E-3</v>
      </c>
      <c r="AB797" s="251">
        <v>1</v>
      </c>
      <c r="AC797" s="251">
        <v>3</v>
      </c>
      <c r="AD797" s="251">
        <v>3</v>
      </c>
      <c r="AE797" s="286">
        <v>2</v>
      </c>
      <c r="AF797" s="286">
        <v>1</v>
      </c>
      <c r="AG797" s="286">
        <v>3</v>
      </c>
      <c r="AH797" s="286">
        <v>14</v>
      </c>
      <c r="AI797" s="286">
        <v>14</v>
      </c>
      <c r="AJ797" s="286">
        <v>19</v>
      </c>
      <c r="AK797" s="286">
        <v>17</v>
      </c>
      <c r="AL797" s="286">
        <v>16</v>
      </c>
      <c r="AM797" s="275">
        <v>7</v>
      </c>
      <c r="AN797" s="275">
        <v>6</v>
      </c>
      <c r="AO797" s="275">
        <v>20</v>
      </c>
      <c r="AP797" s="275">
        <v>18</v>
      </c>
      <c r="AQ797" s="275">
        <v>16</v>
      </c>
      <c r="AR797" s="275">
        <v>12</v>
      </c>
      <c r="AS797" s="275">
        <v>20</v>
      </c>
      <c r="AT797" s="275">
        <v>20</v>
      </c>
      <c r="AU797" s="275">
        <v>18</v>
      </c>
      <c r="AV797" s="275">
        <f t="shared" si="62"/>
        <v>18</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48"/>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45952</v>
      </c>
      <c r="G802" s="117">
        <f t="shared" ca="1" si="65"/>
        <v>45953</v>
      </c>
      <c r="H802" s="117">
        <f t="shared" ca="1" si="65"/>
        <v>45954</v>
      </c>
      <c r="I802" s="117">
        <f t="shared" ca="1" si="65"/>
        <v>45957</v>
      </c>
      <c r="J802" s="117">
        <f t="shared" ca="1" si="65"/>
        <v>45958</v>
      </c>
      <c r="K802" s="117">
        <f t="shared" ca="1" si="65"/>
        <v>45959</v>
      </c>
      <c r="L802" s="117">
        <f t="shared" ca="1" si="65"/>
        <v>45960</v>
      </c>
      <c r="M802" s="117">
        <f t="shared" ca="1" si="65"/>
        <v>45961</v>
      </c>
      <c r="N802" s="117">
        <f t="shared" ca="1" si="65"/>
        <v>45964</v>
      </c>
      <c r="O802" s="117">
        <f t="shared" ca="1" si="65"/>
        <v>45965</v>
      </c>
      <c r="P802" s="117">
        <f t="shared" ca="1" si="65"/>
        <v>45966</v>
      </c>
      <c r="Q802" s="117">
        <f t="shared" ca="1" si="65"/>
        <v>45967</v>
      </c>
      <c r="R802" s="117">
        <f t="shared" ca="1" si="65"/>
        <v>45968</v>
      </c>
      <c r="S802" s="117">
        <f t="shared" ca="1" si="65"/>
        <v>45971</v>
      </c>
      <c r="T802" s="117">
        <f t="shared" ca="1" si="65"/>
        <v>45972</v>
      </c>
      <c r="U802" s="117">
        <f t="shared" ca="1" si="65"/>
        <v>45973</v>
      </c>
      <c r="V802" s="117">
        <f t="shared" ca="1" si="65"/>
        <v>45974</v>
      </c>
      <c r="W802" s="117">
        <f t="shared" ca="1" si="65"/>
        <v>45975</v>
      </c>
      <c r="X802" s="117">
        <f t="shared" ca="1" si="65"/>
        <v>45978</v>
      </c>
      <c r="Y802" s="117">
        <f t="shared" ca="1" si="65"/>
        <v>45979</v>
      </c>
      <c r="Z802" s="117">
        <f t="shared" ca="1" si="65"/>
        <v>45980</v>
      </c>
      <c r="AB802" s="117">
        <f t="shared" ref="AB802:AV802" ca="1" si="66">F702</f>
        <v>45952</v>
      </c>
      <c r="AC802" s="117">
        <f t="shared" ca="1" si="66"/>
        <v>45953</v>
      </c>
      <c r="AD802" s="117">
        <f t="shared" ca="1" si="66"/>
        <v>45954</v>
      </c>
      <c r="AE802" s="117">
        <f t="shared" ca="1" si="66"/>
        <v>45957</v>
      </c>
      <c r="AF802" s="117">
        <f t="shared" ca="1" si="66"/>
        <v>45958</v>
      </c>
      <c r="AG802" s="117">
        <f t="shared" ca="1" si="66"/>
        <v>45959</v>
      </c>
      <c r="AH802" s="117">
        <f t="shared" ca="1" si="66"/>
        <v>45960</v>
      </c>
      <c r="AI802" s="117">
        <f t="shared" ca="1" si="66"/>
        <v>45961</v>
      </c>
      <c r="AJ802" s="117">
        <f t="shared" ca="1" si="66"/>
        <v>45964</v>
      </c>
      <c r="AK802" s="117">
        <f t="shared" ca="1" si="66"/>
        <v>45965</v>
      </c>
      <c r="AL802" s="117">
        <f t="shared" ca="1" si="66"/>
        <v>45966</v>
      </c>
      <c r="AM802" s="117">
        <f t="shared" ca="1" si="66"/>
        <v>45967</v>
      </c>
      <c r="AN802" s="117">
        <f t="shared" ca="1" si="66"/>
        <v>45968</v>
      </c>
      <c r="AO802" s="117">
        <f t="shared" ca="1" si="66"/>
        <v>45971</v>
      </c>
      <c r="AP802" s="117">
        <f t="shared" ca="1" si="66"/>
        <v>45972</v>
      </c>
      <c r="AQ802" s="117">
        <f t="shared" ca="1" si="66"/>
        <v>45973</v>
      </c>
      <c r="AR802" s="117">
        <f t="shared" ca="1" si="66"/>
        <v>45974</v>
      </c>
      <c r="AS802" s="117">
        <f t="shared" ca="1" si="66"/>
        <v>45975</v>
      </c>
      <c r="AT802" s="117">
        <f t="shared" ca="1" si="66"/>
        <v>45978</v>
      </c>
      <c r="AU802" s="117">
        <f t="shared" ca="1" si="66"/>
        <v>45979</v>
      </c>
      <c r="AV802" s="117">
        <f t="shared" ca="1" si="66"/>
        <v>45980</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12</v>
      </c>
      <c r="AC804" s="275">
        <v>6</v>
      </c>
      <c r="AD804" s="275">
        <v>16</v>
      </c>
      <c r="AE804" s="275">
        <v>3</v>
      </c>
      <c r="AF804" s="275">
        <v>1</v>
      </c>
      <c r="AG804" s="275">
        <v>10</v>
      </c>
      <c r="AH804" s="275">
        <v>20</v>
      </c>
      <c r="AI804" s="275">
        <v>19</v>
      </c>
      <c r="AJ804" s="275">
        <v>7</v>
      </c>
      <c r="AK804" s="275">
        <v>3</v>
      </c>
      <c r="AL804" s="275">
        <v>2</v>
      </c>
      <c r="AM804" s="275">
        <v>13</v>
      </c>
      <c r="AN804" s="275">
        <v>8</v>
      </c>
      <c r="AO804" s="275">
        <v>10</v>
      </c>
      <c r="AP804" s="275">
        <v>14</v>
      </c>
      <c r="AQ804" s="275">
        <v>12</v>
      </c>
      <c r="AR804" s="275">
        <v>15</v>
      </c>
      <c r="AS804" s="275">
        <v>15</v>
      </c>
      <c r="AT804" s="275">
        <v>15</v>
      </c>
      <c r="AU804" s="275">
        <v>5</v>
      </c>
      <c r="AV804" s="275">
        <f t="shared" ref="AV804:AV809" si="67">_xlfn.RANK.EQ(Y704,F704:Y704)</f>
        <v>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2</v>
      </c>
      <c r="AC805" s="275">
        <v>3</v>
      </c>
      <c r="AD805" s="275">
        <v>19</v>
      </c>
      <c r="AE805" s="275">
        <v>12</v>
      </c>
      <c r="AF805" s="275">
        <v>4</v>
      </c>
      <c r="AG805" s="275">
        <v>6</v>
      </c>
      <c r="AH805" s="275">
        <v>17</v>
      </c>
      <c r="AI805" s="275">
        <v>16</v>
      </c>
      <c r="AJ805" s="275">
        <v>11</v>
      </c>
      <c r="AK805" s="275">
        <v>3</v>
      </c>
      <c r="AL805" s="275">
        <v>3</v>
      </c>
      <c r="AM805" s="275">
        <v>9</v>
      </c>
      <c r="AN805" s="275">
        <v>17</v>
      </c>
      <c r="AO805" s="275">
        <v>20</v>
      </c>
      <c r="AP805" s="275">
        <v>1</v>
      </c>
      <c r="AQ805" s="275">
        <v>8</v>
      </c>
      <c r="AR805" s="275">
        <v>10</v>
      </c>
      <c r="AS805" s="275">
        <v>17</v>
      </c>
      <c r="AT805" s="275">
        <v>14</v>
      </c>
      <c r="AU805" s="275">
        <v>14</v>
      </c>
      <c r="AV805" s="275">
        <f t="shared" si="67"/>
        <v>14</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10</v>
      </c>
      <c r="AC806" s="275">
        <v>14</v>
      </c>
      <c r="AD806" s="275">
        <v>19</v>
      </c>
      <c r="AE806" s="275">
        <v>3</v>
      </c>
      <c r="AF806" s="275">
        <v>6</v>
      </c>
      <c r="AG806" s="275">
        <v>4</v>
      </c>
      <c r="AH806" s="275">
        <v>5</v>
      </c>
      <c r="AI806" s="275">
        <v>5</v>
      </c>
      <c r="AJ806" s="275">
        <v>3</v>
      </c>
      <c r="AK806" s="275">
        <v>2</v>
      </c>
      <c r="AL806" s="275">
        <v>18</v>
      </c>
      <c r="AM806" s="275">
        <v>18</v>
      </c>
      <c r="AN806" s="275">
        <v>6</v>
      </c>
      <c r="AO806" s="275">
        <v>20</v>
      </c>
      <c r="AP806" s="275">
        <v>5</v>
      </c>
      <c r="AQ806" s="275">
        <v>19</v>
      </c>
      <c r="AR806" s="275">
        <v>11</v>
      </c>
      <c r="AS806" s="275">
        <v>15</v>
      </c>
      <c r="AT806" s="275">
        <v>12</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19</v>
      </c>
      <c r="AC807" s="275">
        <v>14</v>
      </c>
      <c r="AD807" s="275">
        <v>13</v>
      </c>
      <c r="AE807" s="275">
        <v>14</v>
      </c>
      <c r="AF807" s="275">
        <v>2</v>
      </c>
      <c r="AG807" s="275">
        <v>1</v>
      </c>
      <c r="AH807" s="275">
        <v>20</v>
      </c>
      <c r="AI807" s="275">
        <v>19</v>
      </c>
      <c r="AJ807" s="275">
        <v>5</v>
      </c>
      <c r="AK807" s="275">
        <v>6</v>
      </c>
      <c r="AL807" s="275">
        <v>7</v>
      </c>
      <c r="AM807" s="275">
        <v>10</v>
      </c>
      <c r="AN807" s="275">
        <v>20</v>
      </c>
      <c r="AO807" s="275">
        <v>19</v>
      </c>
      <c r="AP807" s="275">
        <v>12</v>
      </c>
      <c r="AQ807" s="275">
        <v>19</v>
      </c>
      <c r="AR807" s="275">
        <v>10</v>
      </c>
      <c r="AS807" s="275">
        <v>14</v>
      </c>
      <c r="AT807" s="275">
        <v>20</v>
      </c>
      <c r="AU807" s="275">
        <v>11</v>
      </c>
      <c r="AV807" s="275">
        <f t="shared" si="67"/>
        <v>11</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6</v>
      </c>
      <c r="AC808" s="275">
        <v>13</v>
      </c>
      <c r="AD808" s="275">
        <v>15</v>
      </c>
      <c r="AE808" s="275">
        <v>8</v>
      </c>
      <c r="AF808" s="275">
        <v>18</v>
      </c>
      <c r="AG808" s="275">
        <v>4</v>
      </c>
      <c r="AH808" s="275">
        <v>5</v>
      </c>
      <c r="AI808" s="275">
        <v>5</v>
      </c>
      <c r="AJ808" s="275">
        <v>15</v>
      </c>
      <c r="AK808" s="275">
        <v>19</v>
      </c>
      <c r="AL808" s="275">
        <v>16</v>
      </c>
      <c r="AM808" s="275">
        <v>5</v>
      </c>
      <c r="AN808" s="275">
        <v>1</v>
      </c>
      <c r="AO808" s="275">
        <v>15</v>
      </c>
      <c r="AP808" s="275">
        <v>5</v>
      </c>
      <c r="AQ808" s="275">
        <v>17</v>
      </c>
      <c r="AR808" s="275">
        <v>15</v>
      </c>
      <c r="AS808" s="275">
        <v>20</v>
      </c>
      <c r="AT808" s="275">
        <v>19</v>
      </c>
      <c r="AU808" s="275">
        <v>5</v>
      </c>
      <c r="AV808" s="275">
        <f t="shared" si="67"/>
        <v>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11</v>
      </c>
      <c r="AC809" s="275">
        <v>4</v>
      </c>
      <c r="AD809" s="275">
        <v>8</v>
      </c>
      <c r="AE809" s="275">
        <v>15</v>
      </c>
      <c r="AF809" s="275">
        <v>4</v>
      </c>
      <c r="AG809" s="275">
        <v>17</v>
      </c>
      <c r="AH809" s="275">
        <v>18</v>
      </c>
      <c r="AI809" s="275">
        <v>17</v>
      </c>
      <c r="AJ809" s="275">
        <v>5</v>
      </c>
      <c r="AK809" s="275">
        <v>8</v>
      </c>
      <c r="AL809" s="275">
        <v>7</v>
      </c>
      <c r="AM809" s="275">
        <v>12</v>
      </c>
      <c r="AN809" s="275">
        <v>6</v>
      </c>
      <c r="AO809" s="275">
        <v>15</v>
      </c>
      <c r="AP809" s="275">
        <v>16</v>
      </c>
      <c r="AQ809" s="275">
        <v>17</v>
      </c>
      <c r="AR809" s="275">
        <v>20</v>
      </c>
      <c r="AS809" s="275">
        <v>12</v>
      </c>
      <c r="AT809" s="275">
        <v>12</v>
      </c>
      <c r="AU809" s="275">
        <v>3</v>
      </c>
      <c r="AV809" s="275">
        <f t="shared" si="67"/>
        <v>3</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5</v>
      </c>
      <c r="AC810" s="275">
        <v>10</v>
      </c>
      <c r="AD810" s="275">
        <v>18</v>
      </c>
      <c r="AE810" s="275">
        <v>5</v>
      </c>
      <c r="AF810" s="275">
        <v>17</v>
      </c>
      <c r="AG810" s="275">
        <v>14</v>
      </c>
      <c r="AH810" s="275">
        <v>9</v>
      </c>
      <c r="AI810" s="275">
        <v>9</v>
      </c>
      <c r="AJ810" s="275">
        <v>12</v>
      </c>
      <c r="AK810" s="275">
        <v>12</v>
      </c>
      <c r="AL810" s="275">
        <v>5</v>
      </c>
      <c r="AM810" s="275">
        <v>20</v>
      </c>
      <c r="AN810" s="275">
        <v>8</v>
      </c>
      <c r="AO810" s="275">
        <v>6</v>
      </c>
      <c r="AP810" s="275">
        <v>18</v>
      </c>
      <c r="AQ810" s="275">
        <v>1</v>
      </c>
      <c r="AR810" s="275">
        <v>3</v>
      </c>
      <c r="AS810" s="275">
        <v>6</v>
      </c>
      <c r="AT810" s="275">
        <v>10</v>
      </c>
      <c r="AU810" s="275">
        <v>15</v>
      </c>
      <c r="AV810" s="275">
        <f t="shared" ref="AV810:AV849" si="69">_xlfn.RANK.EQ(Y711,F711:Y711)</f>
        <v>15</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2</v>
      </c>
      <c r="AC811" s="275">
        <v>19</v>
      </c>
      <c r="AD811" s="275">
        <v>17</v>
      </c>
      <c r="AE811" s="275">
        <v>14</v>
      </c>
      <c r="AF811" s="275">
        <v>8</v>
      </c>
      <c r="AG811" s="275">
        <v>20</v>
      </c>
      <c r="AH811" s="275">
        <v>13</v>
      </c>
      <c r="AI811" s="275">
        <v>12</v>
      </c>
      <c r="AJ811" s="275">
        <v>6</v>
      </c>
      <c r="AK811" s="275">
        <v>5</v>
      </c>
      <c r="AL811" s="275">
        <v>13</v>
      </c>
      <c r="AM811" s="275">
        <v>6</v>
      </c>
      <c r="AN811" s="275">
        <v>17</v>
      </c>
      <c r="AO811" s="275">
        <v>18</v>
      </c>
      <c r="AP811" s="275">
        <v>2</v>
      </c>
      <c r="AQ811" s="275">
        <v>15</v>
      </c>
      <c r="AR811" s="275">
        <v>14</v>
      </c>
      <c r="AS811" s="275">
        <v>18</v>
      </c>
      <c r="AT811" s="275">
        <v>8</v>
      </c>
      <c r="AU811" s="275">
        <v>12</v>
      </c>
      <c r="AV811" s="275">
        <f t="shared" si="69"/>
        <v>12</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13</v>
      </c>
      <c r="AD812" s="275">
        <v>1</v>
      </c>
      <c r="AE812" s="275">
        <v>15</v>
      </c>
      <c r="AF812" s="275">
        <v>2</v>
      </c>
      <c r="AG812" s="275">
        <v>4</v>
      </c>
      <c r="AH812" s="275">
        <v>20</v>
      </c>
      <c r="AI812" s="275">
        <v>19</v>
      </c>
      <c r="AJ812" s="275">
        <v>13</v>
      </c>
      <c r="AK812" s="275">
        <v>7</v>
      </c>
      <c r="AL812" s="275">
        <v>10</v>
      </c>
      <c r="AM812" s="275">
        <v>16</v>
      </c>
      <c r="AN812" s="275">
        <v>16</v>
      </c>
      <c r="AO812" s="275">
        <v>20</v>
      </c>
      <c r="AP812" s="275">
        <v>3</v>
      </c>
      <c r="AQ812" s="275">
        <v>17</v>
      </c>
      <c r="AR812" s="275">
        <v>17</v>
      </c>
      <c r="AS812" s="275">
        <v>17</v>
      </c>
      <c r="AT812" s="275">
        <v>15</v>
      </c>
      <c r="AU812" s="275">
        <v>14</v>
      </c>
      <c r="AV812" s="275">
        <f t="shared" si="69"/>
        <v>14</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v>
      </c>
      <c r="AC813" s="275">
        <v>13</v>
      </c>
      <c r="AD813" s="275">
        <v>20</v>
      </c>
      <c r="AE813" s="275">
        <v>4</v>
      </c>
      <c r="AF813" s="275">
        <v>3</v>
      </c>
      <c r="AG813" s="275">
        <v>14</v>
      </c>
      <c r="AH813" s="275">
        <v>18</v>
      </c>
      <c r="AI813" s="275">
        <v>17</v>
      </c>
      <c r="AJ813" s="275">
        <v>7</v>
      </c>
      <c r="AK813" s="275">
        <v>4</v>
      </c>
      <c r="AL813" s="275">
        <v>4</v>
      </c>
      <c r="AM813" s="275">
        <v>7</v>
      </c>
      <c r="AN813" s="275">
        <v>6</v>
      </c>
      <c r="AO813" s="275">
        <v>13</v>
      </c>
      <c r="AP813" s="275">
        <v>8</v>
      </c>
      <c r="AQ813" s="275">
        <v>13</v>
      </c>
      <c r="AR813" s="275">
        <v>11</v>
      </c>
      <c r="AS813" s="275">
        <v>12</v>
      </c>
      <c r="AT813" s="275">
        <v>11</v>
      </c>
      <c r="AU813" s="275">
        <v>5</v>
      </c>
      <c r="AV813" s="275">
        <f t="shared" si="69"/>
        <v>5</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2</v>
      </c>
      <c r="AC814" s="275">
        <v>4</v>
      </c>
      <c r="AD814" s="275">
        <v>14</v>
      </c>
      <c r="AE814" s="275">
        <v>3</v>
      </c>
      <c r="AF814" s="275">
        <v>7</v>
      </c>
      <c r="AG814" s="275">
        <v>11</v>
      </c>
      <c r="AH814" s="275">
        <v>13</v>
      </c>
      <c r="AI814" s="275">
        <v>13</v>
      </c>
      <c r="AJ814" s="275">
        <v>16</v>
      </c>
      <c r="AK814" s="275">
        <v>7</v>
      </c>
      <c r="AL814" s="275">
        <v>5</v>
      </c>
      <c r="AM814" s="275">
        <v>3</v>
      </c>
      <c r="AN814" s="275">
        <v>1</v>
      </c>
      <c r="AO814" s="275">
        <v>20</v>
      </c>
      <c r="AP814" s="275">
        <v>14</v>
      </c>
      <c r="AQ814" s="275">
        <v>19</v>
      </c>
      <c r="AR814" s="275">
        <v>12</v>
      </c>
      <c r="AS814" s="275">
        <v>7</v>
      </c>
      <c r="AT814" s="275">
        <v>15</v>
      </c>
      <c r="AU814" s="275">
        <v>5</v>
      </c>
      <c r="AV814" s="275">
        <f t="shared" si="69"/>
        <v>5</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3</v>
      </c>
      <c r="AC815" s="275">
        <v>3</v>
      </c>
      <c r="AD815" s="275">
        <v>6</v>
      </c>
      <c r="AE815" s="275">
        <v>6</v>
      </c>
      <c r="AF815" s="275">
        <v>13</v>
      </c>
      <c r="AG815" s="275">
        <v>10</v>
      </c>
      <c r="AH815" s="275">
        <v>19</v>
      </c>
      <c r="AI815" s="275">
        <v>18</v>
      </c>
      <c r="AJ815" s="275">
        <v>18</v>
      </c>
      <c r="AK815" s="275">
        <v>5</v>
      </c>
      <c r="AL815" s="275">
        <v>10</v>
      </c>
      <c r="AM815" s="275">
        <v>17</v>
      </c>
      <c r="AN815" s="275">
        <v>20</v>
      </c>
      <c r="AO815" s="275">
        <v>17</v>
      </c>
      <c r="AP815" s="275">
        <v>9</v>
      </c>
      <c r="AQ815" s="275">
        <v>10</v>
      </c>
      <c r="AR815" s="275">
        <v>11</v>
      </c>
      <c r="AS815" s="275">
        <v>19</v>
      </c>
      <c r="AT815" s="275">
        <v>16</v>
      </c>
      <c r="AU815" s="275">
        <v>19</v>
      </c>
      <c r="AV815" s="275">
        <f t="shared" si="69"/>
        <v>19</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13</v>
      </c>
      <c r="AC816" s="275">
        <v>5</v>
      </c>
      <c r="AD816" s="275">
        <v>9</v>
      </c>
      <c r="AE816" s="275">
        <v>20</v>
      </c>
      <c r="AF816" s="275">
        <v>1</v>
      </c>
      <c r="AG816" s="275">
        <v>20</v>
      </c>
      <c r="AH816" s="275">
        <v>20</v>
      </c>
      <c r="AI816" s="275">
        <v>19</v>
      </c>
      <c r="AJ816" s="275">
        <v>8</v>
      </c>
      <c r="AK816" s="275">
        <v>8</v>
      </c>
      <c r="AL816" s="275">
        <v>15</v>
      </c>
      <c r="AM816" s="275">
        <v>6</v>
      </c>
      <c r="AN816" s="275">
        <v>17</v>
      </c>
      <c r="AO816" s="275">
        <v>16</v>
      </c>
      <c r="AP816" s="275">
        <v>9</v>
      </c>
      <c r="AQ816" s="275">
        <v>20</v>
      </c>
      <c r="AR816" s="275">
        <v>10</v>
      </c>
      <c r="AS816" s="275">
        <v>7</v>
      </c>
      <c r="AT816" s="275">
        <v>7</v>
      </c>
      <c r="AU816" s="275">
        <v>12</v>
      </c>
      <c r="AV816" s="275">
        <f t="shared" si="69"/>
        <v>12</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3</v>
      </c>
      <c r="AC817" s="275">
        <v>4</v>
      </c>
      <c r="AD817" s="275">
        <v>20</v>
      </c>
      <c r="AE817" s="275">
        <v>6</v>
      </c>
      <c r="AF817" s="275">
        <v>1</v>
      </c>
      <c r="AG817" s="275">
        <v>1</v>
      </c>
      <c r="AH817" s="275">
        <v>18</v>
      </c>
      <c r="AI817" s="275">
        <v>17</v>
      </c>
      <c r="AJ817" s="275">
        <v>10</v>
      </c>
      <c r="AK817" s="275">
        <v>18</v>
      </c>
      <c r="AL817" s="275">
        <v>7</v>
      </c>
      <c r="AM817" s="275">
        <v>12</v>
      </c>
      <c r="AN817" s="275">
        <v>2</v>
      </c>
      <c r="AO817" s="275">
        <v>14</v>
      </c>
      <c r="AP817" s="275">
        <v>10</v>
      </c>
      <c r="AQ817" s="275">
        <v>18</v>
      </c>
      <c r="AR817" s="275">
        <v>9</v>
      </c>
      <c r="AS817" s="275">
        <v>20</v>
      </c>
      <c r="AT817" s="275">
        <v>9</v>
      </c>
      <c r="AU817" s="275">
        <v>14</v>
      </c>
      <c r="AV817" s="275">
        <f t="shared" si="69"/>
        <v>14</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25.01</v>
      </c>
      <c r="O818" s="251">
        <v>25.01</v>
      </c>
      <c r="P818" s="251">
        <v>25.01</v>
      </c>
      <c r="Q818" s="251">
        <v>24.74</v>
      </c>
      <c r="R818" s="251">
        <v>24.42</v>
      </c>
      <c r="S818" s="251">
        <v>23.84</v>
      </c>
      <c r="T818" s="251">
        <v>23.75</v>
      </c>
      <c r="U818" s="251">
        <v>23.22</v>
      </c>
      <c r="V818" s="251">
        <v>23.03</v>
      </c>
      <c r="W818" s="251">
        <v>23.03</v>
      </c>
      <c r="X818" s="251">
        <v>22.96</v>
      </c>
      <c r="Y818" s="251">
        <v>22.96</v>
      </c>
      <c r="Z818" s="245">
        <f ca="1">[1]ExtEntry!$N18</f>
        <v>22.96</v>
      </c>
      <c r="AB818" s="275">
        <v>20</v>
      </c>
      <c r="AC818" s="275">
        <v>3</v>
      </c>
      <c r="AD818" s="275">
        <v>3</v>
      </c>
      <c r="AE818" s="275">
        <v>12</v>
      </c>
      <c r="AF818" s="275">
        <v>4</v>
      </c>
      <c r="AG818" s="275">
        <v>4</v>
      </c>
      <c r="AH818" s="275">
        <v>16</v>
      </c>
      <c r="AI818" s="275">
        <v>15</v>
      </c>
      <c r="AJ818" s="275">
        <v>20</v>
      </c>
      <c r="AK818" s="275">
        <v>19</v>
      </c>
      <c r="AL818" s="275">
        <v>17</v>
      </c>
      <c r="AM818" s="275">
        <v>18</v>
      </c>
      <c r="AN818" s="275">
        <v>9</v>
      </c>
      <c r="AO818" s="275">
        <v>16</v>
      </c>
      <c r="AP818" s="275">
        <v>10</v>
      </c>
      <c r="AQ818" s="275">
        <v>19</v>
      </c>
      <c r="AR818" s="275">
        <v>8</v>
      </c>
      <c r="AS818" s="275">
        <v>13</v>
      </c>
      <c r="AT818" s="275">
        <v>8</v>
      </c>
      <c r="AU818" s="275">
        <v>5</v>
      </c>
      <c r="AV818" s="275">
        <f t="shared" si="69"/>
        <v>5</v>
      </c>
      <c r="AX818" s="88" t="str">
        <f t="shared" ca="1" si="64"/>
        <v>DIS</v>
      </c>
    </row>
    <row r="819" spans="1:50" hidden="1" x14ac:dyDescent="0.3">
      <c r="A819" s="88" t="str">
        <f t="shared" ca="1" si="68"/>
        <v>DSY</v>
      </c>
      <c r="F819" s="251">
        <v>122.925</v>
      </c>
      <c r="G819" s="251">
        <v>122.925</v>
      </c>
      <c r="H819" s="251">
        <v>122.925</v>
      </c>
      <c r="I819" s="251">
        <v>122.925</v>
      </c>
      <c r="J819" s="251">
        <v>122.925</v>
      </c>
      <c r="K819" s="251">
        <v>122.925</v>
      </c>
      <c r="L819" s="251">
        <v>122.925</v>
      </c>
      <c r="M819" s="251">
        <v>122.925</v>
      </c>
      <c r="N819" s="251">
        <v>122.925</v>
      </c>
      <c r="O819" s="251">
        <v>122.925</v>
      </c>
      <c r="P819" s="251">
        <v>122.925</v>
      </c>
      <c r="Q819" s="251">
        <v>122.925</v>
      </c>
      <c r="R819" s="251">
        <v>117.73</v>
      </c>
      <c r="S819" s="251">
        <v>115.39</v>
      </c>
      <c r="T819" s="251">
        <v>115.39</v>
      </c>
      <c r="U819" s="251">
        <v>115.39</v>
      </c>
      <c r="V819" s="251">
        <v>115.39</v>
      </c>
      <c r="W819" s="251">
        <v>115.39</v>
      </c>
      <c r="X819" s="251">
        <v>115.39</v>
      </c>
      <c r="Y819" s="251">
        <v>113.97</v>
      </c>
      <c r="Z819" s="245">
        <f ca="1">[1]ExtEntry!$N19</f>
        <v>113.97</v>
      </c>
      <c r="AB819" s="275">
        <v>2</v>
      </c>
      <c r="AC819" s="275">
        <v>9</v>
      </c>
      <c r="AD819" s="275">
        <v>15</v>
      </c>
      <c r="AE819" s="275">
        <v>7</v>
      </c>
      <c r="AF819" s="275">
        <v>4</v>
      </c>
      <c r="AG819" s="275">
        <v>9</v>
      </c>
      <c r="AH819" s="275">
        <v>6</v>
      </c>
      <c r="AI819" s="275">
        <v>5</v>
      </c>
      <c r="AJ819" s="275">
        <v>17</v>
      </c>
      <c r="AK819" s="275">
        <v>5</v>
      </c>
      <c r="AL819" s="275">
        <v>10</v>
      </c>
      <c r="AM819" s="275">
        <v>11</v>
      </c>
      <c r="AN819" s="275">
        <v>20</v>
      </c>
      <c r="AO819" s="275">
        <v>4</v>
      </c>
      <c r="AP819" s="275">
        <v>4</v>
      </c>
      <c r="AQ819" s="275">
        <v>6</v>
      </c>
      <c r="AR819" s="275">
        <v>3</v>
      </c>
      <c r="AS819" s="275">
        <v>19</v>
      </c>
      <c r="AT819" s="275">
        <v>17</v>
      </c>
      <c r="AU819" s="275">
        <v>18</v>
      </c>
      <c r="AV819" s="275">
        <f t="shared" si="69"/>
        <v>18</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12.154999999999999</v>
      </c>
      <c r="Y820" s="251">
        <v>12.04</v>
      </c>
      <c r="Z820" s="245">
        <f ca="1">[1]ExtEntry!$N20</f>
        <v>12.04</v>
      </c>
      <c r="AB820" s="275">
        <v>11</v>
      </c>
      <c r="AC820" s="275">
        <v>13</v>
      </c>
      <c r="AD820" s="275">
        <v>15</v>
      </c>
      <c r="AE820" s="275">
        <v>11</v>
      </c>
      <c r="AF820" s="275">
        <v>9</v>
      </c>
      <c r="AG820" s="275">
        <v>3</v>
      </c>
      <c r="AH820" s="275">
        <v>13</v>
      </c>
      <c r="AI820" s="275">
        <v>12</v>
      </c>
      <c r="AJ820" s="275">
        <v>9</v>
      </c>
      <c r="AK820" s="275">
        <v>6</v>
      </c>
      <c r="AL820" s="275">
        <v>16</v>
      </c>
      <c r="AM820" s="275">
        <v>15</v>
      </c>
      <c r="AN820" s="275">
        <v>18</v>
      </c>
      <c r="AO820" s="275">
        <v>3</v>
      </c>
      <c r="AP820" s="275">
        <v>4</v>
      </c>
      <c r="AQ820" s="275">
        <v>16</v>
      </c>
      <c r="AR820" s="275">
        <v>20</v>
      </c>
      <c r="AS820" s="275">
        <v>19</v>
      </c>
      <c r="AT820" s="275">
        <v>17</v>
      </c>
      <c r="AU820" s="275">
        <v>14</v>
      </c>
      <c r="AV820" s="275">
        <f t="shared" si="69"/>
        <v>14</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4</v>
      </c>
      <c r="AC821" s="275">
        <v>19</v>
      </c>
      <c r="AD821" s="275">
        <v>12</v>
      </c>
      <c r="AE821" s="275">
        <v>14</v>
      </c>
      <c r="AF821" s="275">
        <v>4</v>
      </c>
      <c r="AG821" s="275">
        <v>18</v>
      </c>
      <c r="AH821" s="275">
        <v>20</v>
      </c>
      <c r="AI821" s="275">
        <v>19</v>
      </c>
      <c r="AJ821" s="275">
        <v>16</v>
      </c>
      <c r="AK821" s="275">
        <v>6</v>
      </c>
      <c r="AL821" s="275">
        <v>10</v>
      </c>
      <c r="AM821" s="275">
        <v>4</v>
      </c>
      <c r="AN821" s="275">
        <v>14</v>
      </c>
      <c r="AO821" s="275">
        <v>17</v>
      </c>
      <c r="AP821" s="275">
        <v>1</v>
      </c>
      <c r="AQ821" s="275">
        <v>10</v>
      </c>
      <c r="AR821" s="275">
        <v>10</v>
      </c>
      <c r="AS821" s="275">
        <v>11</v>
      </c>
      <c r="AT821" s="275">
        <v>15</v>
      </c>
      <c r="AU821" s="275">
        <v>12</v>
      </c>
      <c r="AV821" s="275">
        <f t="shared" si="69"/>
        <v>12</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10</v>
      </c>
      <c r="AC822" s="275">
        <v>9</v>
      </c>
      <c r="AD822" s="275">
        <v>8</v>
      </c>
      <c r="AE822" s="275">
        <v>7</v>
      </c>
      <c r="AF822" s="275">
        <v>6</v>
      </c>
      <c r="AG822" s="275">
        <v>5</v>
      </c>
      <c r="AH822" s="275">
        <v>5</v>
      </c>
      <c r="AI822" s="275">
        <v>5</v>
      </c>
      <c r="AJ822" s="275">
        <v>5</v>
      </c>
      <c r="AK822" s="275">
        <v>4</v>
      </c>
      <c r="AL822" s="275">
        <v>4</v>
      </c>
      <c r="AM822" s="275">
        <v>4</v>
      </c>
      <c r="AN822" s="275">
        <v>3</v>
      </c>
      <c r="AO822" s="275">
        <v>2</v>
      </c>
      <c r="AP822" s="275">
        <v>2</v>
      </c>
      <c r="AQ822" s="275">
        <v>1</v>
      </c>
      <c r="AR822" s="275">
        <v>1</v>
      </c>
      <c r="AS822" s="275">
        <v>1</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v>
      </c>
      <c r="AC823" s="275">
        <v>3</v>
      </c>
      <c r="AD823" s="275">
        <v>15</v>
      </c>
      <c r="AE823" s="275">
        <v>3</v>
      </c>
      <c r="AF823" s="275">
        <v>13</v>
      </c>
      <c r="AG823" s="275">
        <v>1</v>
      </c>
      <c r="AH823" s="275">
        <v>9</v>
      </c>
      <c r="AI823" s="275">
        <v>8</v>
      </c>
      <c r="AJ823" s="275">
        <v>14</v>
      </c>
      <c r="AK823" s="275">
        <v>2</v>
      </c>
      <c r="AL823" s="275">
        <v>12</v>
      </c>
      <c r="AM823" s="275">
        <v>9</v>
      </c>
      <c r="AN823" s="275">
        <v>13</v>
      </c>
      <c r="AO823" s="275">
        <v>20</v>
      </c>
      <c r="AP823" s="275">
        <v>3</v>
      </c>
      <c r="AQ823" s="275">
        <v>11</v>
      </c>
      <c r="AR823" s="275">
        <v>5</v>
      </c>
      <c r="AS823" s="275">
        <v>20</v>
      </c>
      <c r="AT823" s="275">
        <v>13</v>
      </c>
      <c r="AU823" s="275">
        <v>7</v>
      </c>
      <c r="AV823" s="275">
        <f t="shared" si="69"/>
        <v>7</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6</v>
      </c>
      <c r="AC824" s="275">
        <v>3</v>
      </c>
      <c r="AD824" s="275">
        <v>20</v>
      </c>
      <c r="AE824" s="275">
        <v>2</v>
      </c>
      <c r="AF824" s="275">
        <v>14</v>
      </c>
      <c r="AG824" s="275">
        <v>3</v>
      </c>
      <c r="AH824" s="275">
        <v>15</v>
      </c>
      <c r="AI824" s="275">
        <v>16</v>
      </c>
      <c r="AJ824" s="275">
        <v>13</v>
      </c>
      <c r="AK824" s="275">
        <v>8</v>
      </c>
      <c r="AL824" s="275">
        <v>2</v>
      </c>
      <c r="AM824" s="275">
        <v>14</v>
      </c>
      <c r="AN824" s="275">
        <v>11</v>
      </c>
      <c r="AO824" s="275">
        <v>19</v>
      </c>
      <c r="AP824" s="275">
        <v>11</v>
      </c>
      <c r="AQ824" s="275">
        <v>18</v>
      </c>
      <c r="AR824" s="275">
        <v>14</v>
      </c>
      <c r="AS824" s="275">
        <v>15</v>
      </c>
      <c r="AT824" s="275">
        <v>18</v>
      </c>
      <c r="AU824" s="275">
        <v>16</v>
      </c>
      <c r="AV824" s="275">
        <f t="shared" si="69"/>
        <v>16</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2</v>
      </c>
      <c r="AC825" s="275">
        <v>8</v>
      </c>
      <c r="AD825" s="275">
        <v>20</v>
      </c>
      <c r="AE825" s="275">
        <v>6</v>
      </c>
      <c r="AF825" s="275">
        <v>5</v>
      </c>
      <c r="AG825" s="275">
        <v>4</v>
      </c>
      <c r="AH825" s="275">
        <v>16</v>
      </c>
      <c r="AI825" s="275">
        <v>16</v>
      </c>
      <c r="AJ825" s="275">
        <v>9</v>
      </c>
      <c r="AK825" s="275">
        <v>15</v>
      </c>
      <c r="AL825" s="275">
        <v>7</v>
      </c>
      <c r="AM825" s="275">
        <v>10</v>
      </c>
      <c r="AN825" s="275">
        <v>16</v>
      </c>
      <c r="AO825" s="275">
        <v>19</v>
      </c>
      <c r="AP825" s="275">
        <v>3</v>
      </c>
      <c r="AQ825" s="275">
        <v>16</v>
      </c>
      <c r="AR825" s="275">
        <v>11</v>
      </c>
      <c r="AS825" s="275">
        <v>18</v>
      </c>
      <c r="AT825" s="275">
        <v>14</v>
      </c>
      <c r="AU825" s="275">
        <v>14</v>
      </c>
      <c r="AV825" s="275">
        <f t="shared" si="69"/>
        <v>14</v>
      </c>
      <c r="AX825" s="88" t="str">
        <f t="shared" ca="1" si="64"/>
        <v>HPE</v>
      </c>
    </row>
    <row r="826" spans="1:50" hidden="1" x14ac:dyDescent="0.3">
      <c r="A826" s="88" t="str">
        <f t="shared" ca="1" si="68"/>
        <v>HPQ</v>
      </c>
      <c r="F826" s="251">
        <v>195.738</v>
      </c>
      <c r="G826" s="251">
        <v>195.738</v>
      </c>
      <c r="H826" s="251">
        <v>195.738</v>
      </c>
      <c r="I826" s="251">
        <v>195.738</v>
      </c>
      <c r="J826" s="251">
        <v>207.2</v>
      </c>
      <c r="K826" s="251">
        <v>207.2</v>
      </c>
      <c r="L826" s="251">
        <v>207.2</v>
      </c>
      <c r="M826" s="251">
        <v>207.2</v>
      </c>
      <c r="N826" s="251">
        <v>207.2</v>
      </c>
      <c r="O826" s="251">
        <v>207.2</v>
      </c>
      <c r="P826" s="251">
        <v>207.2</v>
      </c>
      <c r="Q826" s="251">
        <v>207.2</v>
      </c>
      <c r="R826" s="251">
        <v>207.2</v>
      </c>
      <c r="S826" s="251">
        <v>207.6</v>
      </c>
      <c r="T826" s="251">
        <v>207.6</v>
      </c>
      <c r="U826" s="251">
        <v>207.6</v>
      </c>
      <c r="V826" s="251">
        <v>207.6</v>
      </c>
      <c r="W826" s="251">
        <v>210</v>
      </c>
      <c r="X826" s="251">
        <v>210</v>
      </c>
      <c r="Y826" s="251">
        <v>210</v>
      </c>
      <c r="Z826" s="245">
        <f ca="1">[1]ExtEntry!$N26</f>
        <v>210</v>
      </c>
      <c r="AB826" s="275">
        <v>10</v>
      </c>
      <c r="AC826" s="275">
        <v>11</v>
      </c>
      <c r="AD826" s="275">
        <v>16</v>
      </c>
      <c r="AE826" s="275">
        <v>20</v>
      </c>
      <c r="AF826" s="275">
        <v>4</v>
      </c>
      <c r="AG826" s="275">
        <v>17</v>
      </c>
      <c r="AH826" s="275">
        <v>3</v>
      </c>
      <c r="AI826" s="275">
        <v>3</v>
      </c>
      <c r="AJ826" s="275">
        <v>10</v>
      </c>
      <c r="AK826" s="275">
        <v>6</v>
      </c>
      <c r="AL826" s="275">
        <v>14</v>
      </c>
      <c r="AM826" s="275">
        <v>8</v>
      </c>
      <c r="AN826" s="275">
        <v>6</v>
      </c>
      <c r="AO826" s="275">
        <v>19</v>
      </c>
      <c r="AP826" s="275">
        <v>9</v>
      </c>
      <c r="AQ826" s="275">
        <v>19</v>
      </c>
      <c r="AR826" s="275">
        <v>20</v>
      </c>
      <c r="AS826" s="275">
        <v>17</v>
      </c>
      <c r="AT826" s="275">
        <v>13</v>
      </c>
      <c r="AU826" s="275">
        <v>3</v>
      </c>
      <c r="AV826" s="275">
        <f t="shared" si="69"/>
        <v>3</v>
      </c>
      <c r="AX826" s="88" t="str">
        <f t="shared" ca="1" si="64"/>
        <v>HPQ</v>
      </c>
    </row>
    <row r="827" spans="1:50" hidden="1" x14ac:dyDescent="0.3">
      <c r="A827" s="88" t="str">
        <f t="shared" ca="1" si="68"/>
        <v>IAG</v>
      </c>
      <c r="F827" s="251">
        <v>54.88</v>
      </c>
      <c r="G827" s="251">
        <v>55.19</v>
      </c>
      <c r="H827" s="251">
        <v>55.6</v>
      </c>
      <c r="I827" s="251">
        <v>55.6</v>
      </c>
      <c r="J827" s="251">
        <v>55.6</v>
      </c>
      <c r="K827" s="251">
        <v>55.6</v>
      </c>
      <c r="L827" s="251">
        <v>55.6</v>
      </c>
      <c r="M827" s="251">
        <v>55.6</v>
      </c>
      <c r="N827" s="251">
        <v>55.6</v>
      </c>
      <c r="O827" s="251">
        <v>55.6</v>
      </c>
      <c r="P827" s="251">
        <v>55.6</v>
      </c>
      <c r="Q827" s="251">
        <v>55.6</v>
      </c>
      <c r="R827" s="251">
        <v>55.6</v>
      </c>
      <c r="S827" s="251">
        <v>56.174999999999997</v>
      </c>
      <c r="T827" s="251">
        <v>56.25</v>
      </c>
      <c r="U827" s="251">
        <v>57.08</v>
      </c>
      <c r="V827" s="251">
        <v>57.08</v>
      </c>
      <c r="W827" s="251">
        <v>57.08</v>
      </c>
      <c r="X827" s="251">
        <v>57.08</v>
      </c>
      <c r="Y827" s="251">
        <v>57.08</v>
      </c>
      <c r="Z827" s="245">
        <f ca="1">[1]ExtEntry!$N27</f>
        <v>57.08</v>
      </c>
      <c r="AB827" s="275">
        <v>2</v>
      </c>
      <c r="AC827" s="275">
        <v>8</v>
      </c>
      <c r="AD827" s="275">
        <v>13</v>
      </c>
      <c r="AE827" s="275">
        <v>8</v>
      </c>
      <c r="AF827" s="275">
        <v>8</v>
      </c>
      <c r="AG827" s="275">
        <v>20</v>
      </c>
      <c r="AH827" s="275">
        <v>4</v>
      </c>
      <c r="AI827" s="275">
        <v>4</v>
      </c>
      <c r="AJ827" s="275">
        <v>10</v>
      </c>
      <c r="AK827" s="275">
        <v>20</v>
      </c>
      <c r="AL827" s="275">
        <v>7</v>
      </c>
      <c r="AM827" s="275">
        <v>14</v>
      </c>
      <c r="AN827" s="275">
        <v>17</v>
      </c>
      <c r="AO827" s="275">
        <v>7</v>
      </c>
      <c r="AP827" s="275">
        <v>17</v>
      </c>
      <c r="AQ827" s="275">
        <v>7</v>
      </c>
      <c r="AR827" s="275">
        <v>2</v>
      </c>
      <c r="AS827" s="275">
        <v>3</v>
      </c>
      <c r="AT827" s="275">
        <v>3</v>
      </c>
      <c r="AU827" s="275">
        <v>10</v>
      </c>
      <c r="AV827" s="275">
        <f t="shared" si="69"/>
        <v>10</v>
      </c>
      <c r="AX827" s="88" t="str">
        <f t="shared" ca="1" si="64"/>
        <v>IAG</v>
      </c>
    </row>
    <row r="828" spans="1:50" hidden="1" x14ac:dyDescent="0.3">
      <c r="A828" s="88" t="str">
        <f t="shared" ca="1" si="68"/>
        <v>KR</v>
      </c>
      <c r="F828" s="251">
        <v>4.7859999999999996</v>
      </c>
      <c r="G828" s="251">
        <v>5.16</v>
      </c>
      <c r="H828" s="251">
        <v>5.25</v>
      </c>
      <c r="I828" s="251">
        <v>5.25</v>
      </c>
      <c r="J828" s="251">
        <v>5.25</v>
      </c>
      <c r="K828" s="251">
        <v>5.25</v>
      </c>
      <c r="L828" s="251">
        <v>5.25</v>
      </c>
      <c r="M828" s="251">
        <v>5.25</v>
      </c>
      <c r="N828" s="251">
        <v>5.25</v>
      </c>
      <c r="O828" s="251">
        <v>5.25</v>
      </c>
      <c r="P828" s="251">
        <v>5.28</v>
      </c>
      <c r="Q828" s="251">
        <v>5.28</v>
      </c>
      <c r="R828" s="251">
        <v>5.28</v>
      </c>
      <c r="S828" s="251">
        <v>5.52</v>
      </c>
      <c r="T828" s="251">
        <v>5.52</v>
      </c>
      <c r="U828" s="251">
        <v>5.52</v>
      </c>
      <c r="V828" s="251">
        <v>6.4</v>
      </c>
      <c r="W828" s="251">
        <v>7</v>
      </c>
      <c r="X828" s="251">
        <v>7</v>
      </c>
      <c r="Y828" s="251">
        <v>7</v>
      </c>
      <c r="Z828" s="245">
        <f ca="1">[1]ExtEntry!$N28</f>
        <v>7</v>
      </c>
      <c r="AB828" s="275">
        <v>7</v>
      </c>
      <c r="AC828" s="275">
        <v>20</v>
      </c>
      <c r="AD828" s="275">
        <v>2</v>
      </c>
      <c r="AE828" s="275">
        <v>8</v>
      </c>
      <c r="AF828" s="275">
        <v>1</v>
      </c>
      <c r="AG828" s="275">
        <v>10</v>
      </c>
      <c r="AH828" s="275">
        <v>12</v>
      </c>
      <c r="AI828" s="275">
        <v>12</v>
      </c>
      <c r="AJ828" s="275">
        <v>19</v>
      </c>
      <c r="AK828" s="275">
        <v>9</v>
      </c>
      <c r="AL828" s="275">
        <v>15</v>
      </c>
      <c r="AM828" s="275">
        <v>7</v>
      </c>
      <c r="AN828" s="275">
        <v>4</v>
      </c>
      <c r="AO828" s="275">
        <v>20</v>
      </c>
      <c r="AP828" s="275">
        <v>2</v>
      </c>
      <c r="AQ828" s="275">
        <v>20</v>
      </c>
      <c r="AR828" s="275">
        <v>19</v>
      </c>
      <c r="AS828" s="275">
        <v>14</v>
      </c>
      <c r="AT828" s="275">
        <v>5</v>
      </c>
      <c r="AU828" s="275">
        <v>5</v>
      </c>
      <c r="AV828" s="275">
        <f t="shared" si="69"/>
        <v>5</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9</v>
      </c>
      <c r="AC829" s="275">
        <v>4</v>
      </c>
      <c r="AD829" s="275">
        <v>18</v>
      </c>
      <c r="AE829" s="275">
        <v>14</v>
      </c>
      <c r="AF829" s="275">
        <v>6</v>
      </c>
      <c r="AG829" s="275">
        <v>10</v>
      </c>
      <c r="AH829" s="275">
        <v>14</v>
      </c>
      <c r="AI829" s="275">
        <v>14</v>
      </c>
      <c r="AJ829" s="275">
        <v>1</v>
      </c>
      <c r="AK829" s="275">
        <v>5</v>
      </c>
      <c r="AL829" s="275">
        <v>1</v>
      </c>
      <c r="AM829" s="275">
        <v>3</v>
      </c>
      <c r="AN829" s="275">
        <v>20</v>
      </c>
      <c r="AO829" s="275">
        <v>20</v>
      </c>
      <c r="AP829" s="275">
        <v>7</v>
      </c>
      <c r="AQ829" s="275">
        <v>12</v>
      </c>
      <c r="AR829" s="275">
        <v>18</v>
      </c>
      <c r="AS829" s="275">
        <v>12</v>
      </c>
      <c r="AT829" s="275">
        <v>18</v>
      </c>
      <c r="AU829" s="275">
        <v>11</v>
      </c>
      <c r="AV829" s="275">
        <f t="shared" si="69"/>
        <v>11</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23.04</v>
      </c>
      <c r="X830" s="251">
        <v>23.04</v>
      </c>
      <c r="Y830" s="251">
        <v>23.04</v>
      </c>
      <c r="Z830" s="245">
        <f ca="1">[1]ExtEntry!$N30</f>
        <v>23.04</v>
      </c>
      <c r="AB830" s="275">
        <v>18</v>
      </c>
      <c r="AC830" s="275">
        <v>3</v>
      </c>
      <c r="AD830" s="275">
        <v>18</v>
      </c>
      <c r="AE830" s="275">
        <v>19</v>
      </c>
      <c r="AF830" s="275">
        <v>4</v>
      </c>
      <c r="AG830" s="275">
        <v>8</v>
      </c>
      <c r="AH830" s="275">
        <v>18</v>
      </c>
      <c r="AI830" s="275">
        <v>17</v>
      </c>
      <c r="AJ830" s="275">
        <v>17</v>
      </c>
      <c r="AK830" s="275">
        <v>8</v>
      </c>
      <c r="AL830" s="275">
        <v>10</v>
      </c>
      <c r="AM830" s="275">
        <v>20</v>
      </c>
      <c r="AN830" s="275">
        <v>1</v>
      </c>
      <c r="AO830" s="275">
        <v>19</v>
      </c>
      <c r="AP830" s="275">
        <v>10</v>
      </c>
      <c r="AQ830" s="275">
        <v>4</v>
      </c>
      <c r="AR830" s="275">
        <v>7</v>
      </c>
      <c r="AS830" s="275">
        <v>10</v>
      </c>
      <c r="AT830" s="275">
        <v>8</v>
      </c>
      <c r="AU830" s="275">
        <v>17</v>
      </c>
      <c r="AV830" s="275">
        <f t="shared" si="69"/>
        <v>17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11</v>
      </c>
      <c r="AC831" s="275">
        <v>12</v>
      </c>
      <c r="AD831" s="275">
        <v>13</v>
      </c>
      <c r="AE831" s="275">
        <v>6</v>
      </c>
      <c r="AF831" s="275">
        <v>4</v>
      </c>
      <c r="AG831" s="275">
        <v>10</v>
      </c>
      <c r="AH831" s="275">
        <v>6</v>
      </c>
      <c r="AI831" s="275">
        <v>6</v>
      </c>
      <c r="AJ831" s="275">
        <v>13</v>
      </c>
      <c r="AK831" s="275">
        <v>5</v>
      </c>
      <c r="AL831" s="275">
        <v>1</v>
      </c>
      <c r="AM831" s="275">
        <v>1</v>
      </c>
      <c r="AN831" s="275">
        <v>20</v>
      </c>
      <c r="AO831" s="275">
        <v>18</v>
      </c>
      <c r="AP831" s="275">
        <v>19</v>
      </c>
      <c r="AQ831" s="275">
        <v>19</v>
      </c>
      <c r="AR831" s="275">
        <v>10</v>
      </c>
      <c r="AS831" s="275">
        <v>3</v>
      </c>
      <c r="AT831" s="275">
        <v>19</v>
      </c>
      <c r="AU831" s="275">
        <v>17</v>
      </c>
      <c r="AV831" s="275">
        <f t="shared" si="69"/>
        <v>17</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11</v>
      </c>
      <c r="AC832" s="275">
        <v>7</v>
      </c>
      <c r="AD832" s="275">
        <v>19</v>
      </c>
      <c r="AE832" s="275">
        <v>17</v>
      </c>
      <c r="AF832" s="275">
        <v>12</v>
      </c>
      <c r="AG832" s="275">
        <v>19</v>
      </c>
      <c r="AH832" s="275">
        <v>20</v>
      </c>
      <c r="AI832" s="275">
        <v>19</v>
      </c>
      <c r="AJ832" s="275">
        <v>8</v>
      </c>
      <c r="AK832" s="275">
        <v>4</v>
      </c>
      <c r="AL832" s="275">
        <v>3</v>
      </c>
      <c r="AM832" s="275">
        <v>20</v>
      </c>
      <c r="AN832" s="275">
        <v>11</v>
      </c>
      <c r="AO832" s="275">
        <v>12</v>
      </c>
      <c r="AP832" s="275">
        <v>7</v>
      </c>
      <c r="AQ832" s="275">
        <v>9</v>
      </c>
      <c r="AR832" s="275">
        <v>1</v>
      </c>
      <c r="AS832" s="275">
        <v>11</v>
      </c>
      <c r="AT832" s="275">
        <v>17</v>
      </c>
      <c r="AU832" s="275">
        <v>10</v>
      </c>
      <c r="AV832" s="275">
        <f t="shared" si="69"/>
        <v>10</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8</v>
      </c>
      <c r="AC833" s="275">
        <v>4</v>
      </c>
      <c r="AD833" s="275">
        <v>2</v>
      </c>
      <c r="AE833" s="275">
        <v>20</v>
      </c>
      <c r="AF833" s="275">
        <v>3</v>
      </c>
      <c r="AG833" s="275">
        <v>20</v>
      </c>
      <c r="AH833" s="275">
        <v>9</v>
      </c>
      <c r="AI833" s="275">
        <v>9</v>
      </c>
      <c r="AJ833" s="275">
        <v>5</v>
      </c>
      <c r="AK833" s="275">
        <v>18</v>
      </c>
      <c r="AL833" s="275">
        <v>17</v>
      </c>
      <c r="AM833" s="275">
        <v>9</v>
      </c>
      <c r="AN833" s="275">
        <v>5</v>
      </c>
      <c r="AO833" s="275">
        <v>14</v>
      </c>
      <c r="AP833" s="275">
        <v>4</v>
      </c>
      <c r="AQ833" s="275">
        <v>10</v>
      </c>
      <c r="AR833" s="275">
        <v>10</v>
      </c>
      <c r="AS833" s="275">
        <v>14</v>
      </c>
      <c r="AT833" s="275">
        <v>14</v>
      </c>
      <c r="AU833" s="275">
        <v>9</v>
      </c>
      <c r="AV833" s="275">
        <f t="shared" si="69"/>
        <v>9</v>
      </c>
      <c r="AX833" s="88" t="str">
        <f t="shared" ca="1" si="64"/>
        <v>NEE</v>
      </c>
    </row>
    <row r="834" spans="1:50" hidden="1" x14ac:dyDescent="0.3">
      <c r="A834" s="88" t="str">
        <f t="shared" ca="1" si="68"/>
        <v>NEM</v>
      </c>
      <c r="F834" s="251">
        <v>677.88</v>
      </c>
      <c r="G834" s="251">
        <v>677.88</v>
      </c>
      <c r="H834" s="251">
        <v>677.88</v>
      </c>
      <c r="I834" s="251">
        <v>677.88</v>
      </c>
      <c r="J834" s="251">
        <v>744.26</v>
      </c>
      <c r="K834" s="251">
        <v>744.26</v>
      </c>
      <c r="L834" s="251">
        <v>744.26</v>
      </c>
      <c r="M834" s="251">
        <v>744.26</v>
      </c>
      <c r="N834" s="251">
        <v>744.26</v>
      </c>
      <c r="O834" s="251">
        <v>746.25</v>
      </c>
      <c r="P834" s="251">
        <v>747.77</v>
      </c>
      <c r="Q834" s="251">
        <v>747.77</v>
      </c>
      <c r="R834" s="251">
        <v>747.77</v>
      </c>
      <c r="S834" s="251">
        <v>749.69</v>
      </c>
      <c r="T834" s="251">
        <v>756.27</v>
      </c>
      <c r="U834" s="251">
        <v>757.38</v>
      </c>
      <c r="V834" s="251">
        <v>779.94</v>
      </c>
      <c r="W834" s="251">
        <v>809.33010000000002</v>
      </c>
      <c r="X834" s="251">
        <v>82.11</v>
      </c>
      <c r="Y834" s="251">
        <v>82.11</v>
      </c>
      <c r="Z834" s="245">
        <f ca="1">[1]ExtEntry!$N34</f>
        <v>82.11</v>
      </c>
      <c r="AB834" s="275">
        <v>12</v>
      </c>
      <c r="AC834" s="275">
        <v>15</v>
      </c>
      <c r="AD834" s="275">
        <v>19</v>
      </c>
      <c r="AE834" s="275">
        <v>6</v>
      </c>
      <c r="AF834" s="275">
        <v>1</v>
      </c>
      <c r="AG834" s="275">
        <v>8</v>
      </c>
      <c r="AH834" s="275">
        <v>20</v>
      </c>
      <c r="AI834" s="275">
        <v>19</v>
      </c>
      <c r="AJ834" s="275">
        <v>10</v>
      </c>
      <c r="AK834" s="275">
        <v>17</v>
      </c>
      <c r="AL834" s="275">
        <v>8</v>
      </c>
      <c r="AM834" s="275">
        <v>7</v>
      </c>
      <c r="AN834" s="275">
        <v>16</v>
      </c>
      <c r="AO834" s="275">
        <v>16</v>
      </c>
      <c r="AP834" s="275">
        <v>8</v>
      </c>
      <c r="AQ834" s="275">
        <v>13</v>
      </c>
      <c r="AR834" s="275">
        <v>8</v>
      </c>
      <c r="AS834" s="275">
        <v>18</v>
      </c>
      <c r="AT834" s="275">
        <v>1</v>
      </c>
      <c r="AU834" s="275">
        <v>18</v>
      </c>
      <c r="AV834" s="275">
        <f t="shared" si="69"/>
        <v>18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3.59</v>
      </c>
      <c r="T835" s="251">
        <v>3.2210000000000001</v>
      </c>
      <c r="U835" s="251">
        <v>2.9550000000000001</v>
      </c>
      <c r="V835" s="251">
        <v>2.5</v>
      </c>
      <c r="W835" s="251">
        <v>2.42</v>
      </c>
      <c r="X835" s="251">
        <v>2.0499999999999998</v>
      </c>
      <c r="Y835" s="251">
        <v>2.0499999999999998</v>
      </c>
      <c r="Z835" s="245">
        <f ca="1">[1]ExtEntry!$N35</f>
        <v>2.0499999999999998</v>
      </c>
      <c r="AB835" s="275">
        <v>6</v>
      </c>
      <c r="AC835" s="275">
        <v>11</v>
      </c>
      <c r="AD835" s="275">
        <v>18</v>
      </c>
      <c r="AE835" s="275">
        <v>16</v>
      </c>
      <c r="AF835" s="275">
        <v>3</v>
      </c>
      <c r="AG835" s="275">
        <v>8</v>
      </c>
      <c r="AH835" s="275">
        <v>17</v>
      </c>
      <c r="AI835" s="275">
        <v>16</v>
      </c>
      <c r="AJ835" s="275">
        <v>2</v>
      </c>
      <c r="AK835" s="275">
        <v>14</v>
      </c>
      <c r="AL835" s="275">
        <v>12</v>
      </c>
      <c r="AM835" s="275">
        <v>15</v>
      </c>
      <c r="AN835" s="275">
        <v>8</v>
      </c>
      <c r="AO835" s="275">
        <v>20</v>
      </c>
      <c r="AP835" s="275">
        <v>20</v>
      </c>
      <c r="AQ835" s="275">
        <v>19</v>
      </c>
      <c r="AR835" s="275">
        <v>4</v>
      </c>
      <c r="AS835" s="275">
        <v>6</v>
      </c>
      <c r="AT835" s="275">
        <v>16</v>
      </c>
      <c r="AU835" s="275">
        <v>13</v>
      </c>
      <c r="AV835" s="275">
        <f t="shared" si="69"/>
        <v>13</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18</v>
      </c>
      <c r="AC836" s="275">
        <v>3</v>
      </c>
      <c r="AD836" s="275">
        <v>7</v>
      </c>
      <c r="AE836" s="275">
        <v>20</v>
      </c>
      <c r="AF836" s="275">
        <v>7</v>
      </c>
      <c r="AG836" s="275">
        <v>20</v>
      </c>
      <c r="AH836" s="275">
        <v>8</v>
      </c>
      <c r="AI836" s="275">
        <v>8</v>
      </c>
      <c r="AJ836" s="275">
        <v>11</v>
      </c>
      <c r="AK836" s="275">
        <v>11</v>
      </c>
      <c r="AL836" s="275">
        <v>18</v>
      </c>
      <c r="AM836" s="275">
        <v>6</v>
      </c>
      <c r="AN836" s="275">
        <v>6</v>
      </c>
      <c r="AO836" s="275">
        <v>17</v>
      </c>
      <c r="AP836" s="275">
        <v>5</v>
      </c>
      <c r="AQ836" s="275">
        <v>13</v>
      </c>
      <c r="AR836" s="275">
        <v>3</v>
      </c>
      <c r="AS836" s="275">
        <v>14</v>
      </c>
      <c r="AT836" s="275">
        <v>6</v>
      </c>
      <c r="AU836" s="275">
        <v>11</v>
      </c>
      <c r="AV836" s="275">
        <f t="shared" si="69"/>
        <v>11</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17</v>
      </c>
      <c r="AC837" s="275">
        <v>18</v>
      </c>
      <c r="AD837" s="275">
        <v>17</v>
      </c>
      <c r="AE837" s="275">
        <v>12</v>
      </c>
      <c r="AF837" s="275">
        <v>6</v>
      </c>
      <c r="AG837" s="275">
        <v>10</v>
      </c>
      <c r="AH837" s="275">
        <v>20</v>
      </c>
      <c r="AI837" s="275">
        <v>19</v>
      </c>
      <c r="AJ837" s="275">
        <v>13</v>
      </c>
      <c r="AK837" s="275">
        <v>6</v>
      </c>
      <c r="AL837" s="275">
        <v>10</v>
      </c>
      <c r="AM837" s="275">
        <v>1</v>
      </c>
      <c r="AN837" s="275">
        <v>11</v>
      </c>
      <c r="AO837" s="275">
        <v>12</v>
      </c>
      <c r="AP837" s="275">
        <v>10</v>
      </c>
      <c r="AQ837" s="275">
        <v>7</v>
      </c>
      <c r="AR837" s="275">
        <v>6</v>
      </c>
      <c r="AS837" s="275">
        <v>2</v>
      </c>
      <c r="AT837" s="275">
        <v>17</v>
      </c>
      <c r="AU837" s="275">
        <v>17</v>
      </c>
      <c r="AV837" s="275">
        <f t="shared" si="69"/>
        <v>17</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6</v>
      </c>
      <c r="AC838" s="275">
        <v>20</v>
      </c>
      <c r="AD838" s="275">
        <v>20</v>
      </c>
      <c r="AE838" s="275">
        <v>18</v>
      </c>
      <c r="AF838" s="275">
        <v>6</v>
      </c>
      <c r="AG838" s="275">
        <v>12</v>
      </c>
      <c r="AH838" s="275">
        <v>11</v>
      </c>
      <c r="AI838" s="275">
        <v>10</v>
      </c>
      <c r="AJ838" s="275">
        <v>9</v>
      </c>
      <c r="AK838" s="275">
        <v>3</v>
      </c>
      <c r="AL838" s="275">
        <v>20</v>
      </c>
      <c r="AM838" s="275">
        <v>16</v>
      </c>
      <c r="AN838" s="275">
        <v>12</v>
      </c>
      <c r="AO838" s="275">
        <v>19</v>
      </c>
      <c r="AP838" s="275">
        <v>7</v>
      </c>
      <c r="AQ838" s="275">
        <v>20</v>
      </c>
      <c r="AR838" s="275">
        <v>6</v>
      </c>
      <c r="AS838" s="275">
        <v>14</v>
      </c>
      <c r="AT838" s="275">
        <v>5</v>
      </c>
      <c r="AU838" s="275">
        <v>11</v>
      </c>
      <c r="AV838" s="275">
        <f t="shared" si="69"/>
        <v>11</v>
      </c>
      <c r="AX838" s="88" t="str">
        <f t="shared" ca="1" si="64"/>
        <v>PROF</v>
      </c>
    </row>
    <row r="839" spans="1:50" hidden="1" x14ac:dyDescent="0.3">
      <c r="A839" s="88" t="str">
        <f t="shared" ca="1" si="68"/>
        <v>POET</v>
      </c>
      <c r="F839" s="251">
        <v>0.82420000000000004</v>
      </c>
      <c r="G839" s="251">
        <v>0.82420000000000004</v>
      </c>
      <c r="H839" s="251">
        <v>0.82420000000000004</v>
      </c>
      <c r="I839" s="251">
        <v>0.80249999999999999</v>
      </c>
      <c r="J839" s="251">
        <v>0.78110000000000002</v>
      </c>
      <c r="K839" s="251">
        <v>0.73309999999999997</v>
      </c>
      <c r="L839" s="251">
        <v>0.69079999999999997</v>
      </c>
      <c r="M839" s="251">
        <v>0.69079999999999997</v>
      </c>
      <c r="N839" s="251">
        <v>0.66600000000000004</v>
      </c>
      <c r="O839" s="251">
        <v>0.66600000000000004</v>
      </c>
      <c r="P839" s="251">
        <v>0.66600000000000004</v>
      </c>
      <c r="Q839" s="251">
        <v>0.66600000000000004</v>
      </c>
      <c r="R839" s="251">
        <v>0.62429999999999997</v>
      </c>
      <c r="S839" s="251">
        <v>0.62429999999999997</v>
      </c>
      <c r="T839" s="251">
        <v>0.62429999999999997</v>
      </c>
      <c r="U839" s="251">
        <v>0.62429999999999997</v>
      </c>
      <c r="V839" s="251">
        <v>0.62429999999999997</v>
      </c>
      <c r="W839" s="251">
        <v>0.59409999999999996</v>
      </c>
      <c r="X839" s="251">
        <v>0.59409999999999996</v>
      </c>
      <c r="Y839" s="251">
        <v>0.59409999999999996</v>
      </c>
      <c r="Z839" s="245">
        <f ca="1">[1]ExtEntry!$N39</f>
        <v>0.59409999999999996</v>
      </c>
      <c r="AB839" s="275">
        <v>14</v>
      </c>
      <c r="AC839" s="275">
        <v>6</v>
      </c>
      <c r="AD839" s="275">
        <v>11</v>
      </c>
      <c r="AE839" s="275">
        <v>20</v>
      </c>
      <c r="AF839" s="275">
        <v>18</v>
      </c>
      <c r="AG839" s="275">
        <v>11</v>
      </c>
      <c r="AH839" s="275">
        <v>19</v>
      </c>
      <c r="AI839" s="275">
        <v>18</v>
      </c>
      <c r="AJ839" s="275">
        <v>11</v>
      </c>
      <c r="AK839" s="275">
        <v>2</v>
      </c>
      <c r="AL839" s="275">
        <v>1</v>
      </c>
      <c r="AM839" s="275">
        <v>19</v>
      </c>
      <c r="AN839" s="275">
        <v>5</v>
      </c>
      <c r="AO839" s="275">
        <v>6</v>
      </c>
      <c r="AP839" s="275">
        <v>2</v>
      </c>
      <c r="AQ839" s="275">
        <v>8</v>
      </c>
      <c r="AR839" s="275">
        <v>11</v>
      </c>
      <c r="AS839" s="275">
        <v>1</v>
      </c>
      <c r="AT839" s="275">
        <v>20</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13.91</v>
      </c>
      <c r="T840" s="251">
        <v>13.91</v>
      </c>
      <c r="U840" s="251">
        <v>14.47</v>
      </c>
      <c r="V840" s="251">
        <v>14.63</v>
      </c>
      <c r="W840" s="251">
        <v>14.63</v>
      </c>
      <c r="X840" s="251">
        <v>14.63</v>
      </c>
      <c r="Y840" s="251">
        <v>14.63</v>
      </c>
      <c r="Z840" s="245">
        <f ca="1">[1]ExtEntry!$N40</f>
        <v>14.63</v>
      </c>
      <c r="AB840" s="275">
        <v>3</v>
      </c>
      <c r="AC840" s="275">
        <v>2</v>
      </c>
      <c r="AD840" s="275">
        <v>7</v>
      </c>
      <c r="AE840" s="275">
        <v>11</v>
      </c>
      <c r="AF840" s="275">
        <v>1</v>
      </c>
      <c r="AG840" s="275">
        <v>2</v>
      </c>
      <c r="AH840" s="275">
        <v>7</v>
      </c>
      <c r="AI840" s="275">
        <v>7</v>
      </c>
      <c r="AJ840" s="275">
        <v>19</v>
      </c>
      <c r="AK840" s="275">
        <v>6</v>
      </c>
      <c r="AL840" s="275">
        <v>16</v>
      </c>
      <c r="AM840" s="275">
        <v>10</v>
      </c>
      <c r="AN840" s="275">
        <v>1</v>
      </c>
      <c r="AO840" s="275">
        <v>20</v>
      </c>
      <c r="AP840" s="275">
        <v>1</v>
      </c>
      <c r="AQ840" s="275">
        <v>17</v>
      </c>
      <c r="AR840" s="275">
        <v>16</v>
      </c>
      <c r="AS840" s="275">
        <v>4</v>
      </c>
      <c r="AT840" s="275">
        <v>2</v>
      </c>
      <c r="AU840" s="275">
        <v>20</v>
      </c>
      <c r="AV840" s="275">
        <f t="shared" si="69"/>
        <v>20</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18</v>
      </c>
      <c r="AC841" s="275">
        <v>14</v>
      </c>
      <c r="AD841" s="275">
        <v>6</v>
      </c>
      <c r="AE841" s="275">
        <v>19</v>
      </c>
      <c r="AF841" s="275">
        <v>16</v>
      </c>
      <c r="AG841" s="275">
        <v>20</v>
      </c>
      <c r="AH841" s="275">
        <v>16</v>
      </c>
      <c r="AI841" s="275">
        <v>15</v>
      </c>
      <c r="AJ841" s="275">
        <v>14</v>
      </c>
      <c r="AK841" s="275">
        <v>5</v>
      </c>
      <c r="AL841" s="275">
        <v>10</v>
      </c>
      <c r="AM841" s="275">
        <v>5</v>
      </c>
      <c r="AN841" s="275">
        <v>2</v>
      </c>
      <c r="AO841" s="275">
        <v>19</v>
      </c>
      <c r="AP841" s="275">
        <v>8</v>
      </c>
      <c r="AQ841" s="275">
        <v>7</v>
      </c>
      <c r="AR841" s="275">
        <v>12</v>
      </c>
      <c r="AS841" s="275">
        <v>11</v>
      </c>
      <c r="AT841" s="275">
        <v>17</v>
      </c>
      <c r="AU841" s="275">
        <v>20</v>
      </c>
      <c r="AV841" s="275">
        <f t="shared" si="69"/>
        <v>20</v>
      </c>
      <c r="AX841" s="88" t="str">
        <f t="shared" ca="1" si="64"/>
        <v>RIGL</v>
      </c>
    </row>
    <row r="842" spans="1:50" hidden="1" x14ac:dyDescent="0.3">
      <c r="A842" s="88" t="str">
        <f t="shared" ca="1" si="68"/>
        <v>RWE</v>
      </c>
      <c r="F842" s="251">
        <v>208.7</v>
      </c>
      <c r="G842" s="251">
        <v>208.7</v>
      </c>
      <c r="H842" s="251">
        <v>208.7</v>
      </c>
      <c r="I842" s="251">
        <v>208.7</v>
      </c>
      <c r="J842" s="251">
        <v>208.7</v>
      </c>
      <c r="K842" s="251">
        <v>209.7</v>
      </c>
      <c r="L842" s="251">
        <v>209.7</v>
      </c>
      <c r="M842" s="251">
        <v>209.7</v>
      </c>
      <c r="N842" s="251">
        <v>209.7</v>
      </c>
      <c r="O842" s="251">
        <v>209.7</v>
      </c>
      <c r="P842" s="251">
        <v>209.7</v>
      </c>
      <c r="Q842" s="251">
        <v>209.7</v>
      </c>
      <c r="R842" s="251">
        <v>209.7</v>
      </c>
      <c r="S842" s="251">
        <v>209.7</v>
      </c>
      <c r="T842" s="251">
        <v>209.7</v>
      </c>
      <c r="U842" s="251">
        <v>209.7</v>
      </c>
      <c r="V842" s="251">
        <v>209.7</v>
      </c>
      <c r="W842" s="251">
        <v>207.55</v>
      </c>
      <c r="X842" s="251">
        <v>202.5</v>
      </c>
      <c r="Y842" s="251">
        <v>202.5</v>
      </c>
      <c r="Z842" s="245">
        <f ca="1">[1]ExtEntry!$N42</f>
        <v>202.5</v>
      </c>
      <c r="AB842" s="275">
        <v>8</v>
      </c>
      <c r="AC842" s="275">
        <v>8</v>
      </c>
      <c r="AD842" s="275">
        <v>15</v>
      </c>
      <c r="AE842" s="275">
        <v>18</v>
      </c>
      <c r="AF842" s="275">
        <v>1</v>
      </c>
      <c r="AG842" s="275">
        <v>7</v>
      </c>
      <c r="AH842" s="275">
        <v>20</v>
      </c>
      <c r="AI842" s="275">
        <v>19</v>
      </c>
      <c r="AJ842" s="275">
        <v>2</v>
      </c>
      <c r="AK842" s="275">
        <v>20</v>
      </c>
      <c r="AL842" s="275">
        <v>6</v>
      </c>
      <c r="AM842" s="275">
        <v>15</v>
      </c>
      <c r="AN842" s="275">
        <v>8</v>
      </c>
      <c r="AO842" s="275">
        <v>17</v>
      </c>
      <c r="AP842" s="275">
        <v>6</v>
      </c>
      <c r="AQ842" s="275">
        <v>20</v>
      </c>
      <c r="AR842" s="275">
        <v>15</v>
      </c>
      <c r="AS842" s="275">
        <v>18</v>
      </c>
      <c r="AT842" s="275">
        <v>10</v>
      </c>
      <c r="AU842" s="275">
        <v>9</v>
      </c>
      <c r="AV842" s="275">
        <f t="shared" si="69"/>
        <v>9</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7</v>
      </c>
      <c r="AC843" s="275">
        <v>15</v>
      </c>
      <c r="AD843" s="275">
        <v>17</v>
      </c>
      <c r="AE843" s="275">
        <v>10</v>
      </c>
      <c r="AF843" s="275">
        <v>18</v>
      </c>
      <c r="AG843" s="275">
        <v>13</v>
      </c>
      <c r="AH843" s="275">
        <v>18</v>
      </c>
      <c r="AI843" s="275">
        <v>17</v>
      </c>
      <c r="AJ843" s="275">
        <v>7</v>
      </c>
      <c r="AK843" s="275">
        <v>20</v>
      </c>
      <c r="AL843" s="275">
        <v>18</v>
      </c>
      <c r="AM843" s="275">
        <v>7</v>
      </c>
      <c r="AN843" s="275">
        <v>13</v>
      </c>
      <c r="AO843" s="275">
        <v>13</v>
      </c>
      <c r="AP843" s="275">
        <v>6</v>
      </c>
      <c r="AQ843" s="275">
        <v>19</v>
      </c>
      <c r="AR843" s="275">
        <v>2</v>
      </c>
      <c r="AS843" s="275">
        <v>3</v>
      </c>
      <c r="AT843" s="275">
        <v>18</v>
      </c>
      <c r="AU843" s="275">
        <v>12</v>
      </c>
      <c r="AV843" s="275">
        <f t="shared" si="69"/>
        <v>12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7.07</v>
      </c>
      <c r="Q844" s="251">
        <v>7.07</v>
      </c>
      <c r="R844" s="251">
        <v>7.07</v>
      </c>
      <c r="S844" s="251">
        <v>7.13</v>
      </c>
      <c r="T844" s="251">
        <v>7.22</v>
      </c>
      <c r="U844" s="251">
        <v>7.62</v>
      </c>
      <c r="V844" s="251">
        <v>7.62</v>
      </c>
      <c r="W844" s="251">
        <v>8.3571000000000009</v>
      </c>
      <c r="X844" s="251">
        <v>8.3571000000000009</v>
      </c>
      <c r="Y844" s="251">
        <v>8.3571000000000009</v>
      </c>
      <c r="Z844" s="245">
        <f ca="1">[1]ExtEntry!$N44</f>
        <v>8.3571000000000009</v>
      </c>
      <c r="AB844" s="275">
        <v>9</v>
      </c>
      <c r="AC844" s="275">
        <v>4</v>
      </c>
      <c r="AD844" s="275">
        <v>12</v>
      </c>
      <c r="AE844" s="275">
        <v>20</v>
      </c>
      <c r="AF844" s="275">
        <v>1</v>
      </c>
      <c r="AG844" s="275">
        <v>15</v>
      </c>
      <c r="AH844" s="275">
        <v>20</v>
      </c>
      <c r="AI844" s="275">
        <v>19</v>
      </c>
      <c r="AJ844" s="275">
        <v>5</v>
      </c>
      <c r="AK844" s="275">
        <v>6</v>
      </c>
      <c r="AL844" s="275">
        <v>11</v>
      </c>
      <c r="AM844" s="275">
        <v>17</v>
      </c>
      <c r="AN844" s="275">
        <v>16</v>
      </c>
      <c r="AO844" s="275">
        <v>18</v>
      </c>
      <c r="AP844" s="275">
        <v>7</v>
      </c>
      <c r="AQ844" s="275">
        <v>16</v>
      </c>
      <c r="AR844" s="275">
        <v>6</v>
      </c>
      <c r="AS844" s="275">
        <v>16</v>
      </c>
      <c r="AT844" s="275">
        <v>9</v>
      </c>
      <c r="AU844" s="275">
        <v>10</v>
      </c>
      <c r="AV844" s="275">
        <f t="shared" si="69"/>
        <v>10</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214.25</v>
      </c>
      <c r="P845" s="251">
        <v>214.25</v>
      </c>
      <c r="Q845" s="251">
        <v>214.25</v>
      </c>
      <c r="R845" s="251">
        <v>214.25</v>
      </c>
      <c r="S845" s="251">
        <v>214.25</v>
      </c>
      <c r="T845" s="251">
        <v>214.25</v>
      </c>
      <c r="U845" s="251">
        <v>214.25</v>
      </c>
      <c r="V845" s="251">
        <v>214.25</v>
      </c>
      <c r="W845" s="251">
        <v>214.25</v>
      </c>
      <c r="X845" s="251">
        <v>214.25</v>
      </c>
      <c r="Y845" s="251">
        <v>214.25</v>
      </c>
      <c r="Z845" s="245">
        <f ca="1">[1]ExtEntry!$N45</f>
        <v>214.25</v>
      </c>
      <c r="AB845" s="275">
        <v>15</v>
      </c>
      <c r="AC845" s="275">
        <v>9</v>
      </c>
      <c r="AD845" s="275">
        <v>15</v>
      </c>
      <c r="AE845" s="275">
        <v>5</v>
      </c>
      <c r="AF845" s="275">
        <v>6</v>
      </c>
      <c r="AG845" s="275">
        <v>13</v>
      </c>
      <c r="AH845" s="275">
        <v>13</v>
      </c>
      <c r="AI845" s="275">
        <v>12</v>
      </c>
      <c r="AJ845" s="275">
        <v>5</v>
      </c>
      <c r="AK845" s="275">
        <v>18</v>
      </c>
      <c r="AL845" s="275">
        <v>2</v>
      </c>
      <c r="AM845" s="275">
        <v>7</v>
      </c>
      <c r="AN845" s="275">
        <v>19</v>
      </c>
      <c r="AO845" s="275">
        <v>19</v>
      </c>
      <c r="AP845" s="275">
        <v>3</v>
      </c>
      <c r="AQ845" s="275">
        <v>18</v>
      </c>
      <c r="AR845" s="275">
        <v>17</v>
      </c>
      <c r="AS845" s="275">
        <v>9</v>
      </c>
      <c r="AT845" s="275">
        <v>15</v>
      </c>
      <c r="AU845" s="275">
        <v>9</v>
      </c>
      <c r="AV845" s="275">
        <f t="shared" si="69"/>
        <v>9</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19</v>
      </c>
      <c r="AC846" s="275">
        <v>6</v>
      </c>
      <c r="AD846" s="275">
        <v>18</v>
      </c>
      <c r="AE846" s="275">
        <v>18</v>
      </c>
      <c r="AF846" s="275">
        <v>9</v>
      </c>
      <c r="AG846" s="275">
        <v>12</v>
      </c>
      <c r="AH846" s="275">
        <v>18</v>
      </c>
      <c r="AI846" s="275">
        <v>17</v>
      </c>
      <c r="AJ846" s="275">
        <v>8</v>
      </c>
      <c r="AK846" s="275">
        <v>6</v>
      </c>
      <c r="AL846" s="275">
        <v>8</v>
      </c>
      <c r="AM846" s="275">
        <v>8</v>
      </c>
      <c r="AN846" s="275">
        <v>11</v>
      </c>
      <c r="AO846" s="275">
        <v>20</v>
      </c>
      <c r="AP846" s="275">
        <v>9</v>
      </c>
      <c r="AQ846" s="275">
        <v>12</v>
      </c>
      <c r="AR846" s="275">
        <v>11</v>
      </c>
      <c r="AS846" s="275">
        <v>6</v>
      </c>
      <c r="AT846" s="275">
        <v>13</v>
      </c>
      <c r="AU846" s="275">
        <v>8</v>
      </c>
      <c r="AV846" s="275">
        <f t="shared" si="69"/>
        <v>8</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14</v>
      </c>
      <c r="AC847" s="275">
        <v>9</v>
      </c>
      <c r="AD847" s="275">
        <v>7</v>
      </c>
      <c r="AE847" s="275">
        <v>14</v>
      </c>
      <c r="AF847" s="275">
        <v>1</v>
      </c>
      <c r="AG847" s="275">
        <v>20</v>
      </c>
      <c r="AH847" s="275">
        <v>8</v>
      </c>
      <c r="AI847" s="275">
        <v>8</v>
      </c>
      <c r="AJ847" s="275">
        <v>18</v>
      </c>
      <c r="AK847" s="275">
        <v>17</v>
      </c>
      <c r="AL847" s="275">
        <v>3</v>
      </c>
      <c r="AM847" s="275">
        <v>15</v>
      </c>
      <c r="AN847" s="275">
        <v>14</v>
      </c>
      <c r="AO847" s="275">
        <v>10</v>
      </c>
      <c r="AP847" s="275">
        <v>11</v>
      </c>
      <c r="AQ847" s="275">
        <v>20</v>
      </c>
      <c r="AR847" s="275">
        <v>3</v>
      </c>
      <c r="AS847" s="275">
        <v>10</v>
      </c>
      <c r="AT847" s="275">
        <v>18</v>
      </c>
      <c r="AU847" s="275">
        <v>12</v>
      </c>
      <c r="AV847" s="275">
        <f t="shared" si="69"/>
        <v>12</v>
      </c>
      <c r="AX847" s="88" t="str">
        <f t="shared" ca="1" si="64"/>
        <v>TSM</v>
      </c>
    </row>
    <row r="848" spans="1:50" hidden="1" x14ac:dyDescent="0.3">
      <c r="A848" s="88" t="str">
        <f t="shared" ca="1" si="68"/>
        <v>UN0</v>
      </c>
      <c r="F848" s="251">
        <v>5.3018999999999998</v>
      </c>
      <c r="G848" s="251">
        <v>5.3</v>
      </c>
      <c r="H848" s="251">
        <v>5.3</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12</v>
      </c>
      <c r="AC848" s="275">
        <v>1</v>
      </c>
      <c r="AD848" s="275">
        <v>14</v>
      </c>
      <c r="AE848" s="275">
        <v>7</v>
      </c>
      <c r="AF848" s="275">
        <v>9</v>
      </c>
      <c r="AG848" s="275">
        <v>7</v>
      </c>
      <c r="AH848" s="275">
        <v>9</v>
      </c>
      <c r="AI848" s="275">
        <v>9</v>
      </c>
      <c r="AJ848" s="275">
        <v>2</v>
      </c>
      <c r="AK848" s="275">
        <v>3</v>
      </c>
      <c r="AL848" s="275">
        <v>3</v>
      </c>
      <c r="AM848" s="275">
        <v>18</v>
      </c>
      <c r="AN848" s="275">
        <v>9</v>
      </c>
      <c r="AO848" s="275">
        <v>8</v>
      </c>
      <c r="AP848" s="275">
        <v>1</v>
      </c>
      <c r="AQ848" s="275">
        <v>18</v>
      </c>
      <c r="AR848" s="275">
        <v>2</v>
      </c>
      <c r="AS848" s="275">
        <v>5</v>
      </c>
      <c r="AT848" s="275">
        <v>17</v>
      </c>
      <c r="AU848" s="275">
        <v>20</v>
      </c>
      <c r="AV848" s="275">
        <f t="shared" si="69"/>
        <v>20</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12</v>
      </c>
      <c r="AC849" s="275">
        <v>5</v>
      </c>
      <c r="AD849" s="275">
        <v>3</v>
      </c>
      <c r="AE849" s="275">
        <v>20</v>
      </c>
      <c r="AF849" s="275">
        <v>2</v>
      </c>
      <c r="AG849" s="275">
        <v>7</v>
      </c>
      <c r="AH849" s="275">
        <v>12</v>
      </c>
      <c r="AI849" s="275">
        <v>12</v>
      </c>
      <c r="AJ849" s="275">
        <v>7</v>
      </c>
      <c r="AK849" s="275">
        <v>7</v>
      </c>
      <c r="AL849" s="275">
        <v>9</v>
      </c>
      <c r="AM849" s="275">
        <v>13</v>
      </c>
      <c r="AN849" s="275">
        <v>16</v>
      </c>
      <c r="AO849" s="275">
        <v>16</v>
      </c>
      <c r="AP849" s="275">
        <v>1</v>
      </c>
      <c r="AQ849" s="275">
        <v>15</v>
      </c>
      <c r="AR849" s="275">
        <v>10</v>
      </c>
      <c r="AS849" s="275">
        <v>17</v>
      </c>
      <c r="AT849" s="275">
        <v>11</v>
      </c>
      <c r="AU849" s="275">
        <v>3</v>
      </c>
      <c r="AV849" s="275">
        <f t="shared" si="69"/>
        <v>3</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12</v>
      </c>
      <c r="AC850" s="275">
        <v>5</v>
      </c>
      <c r="AD850" s="275">
        <v>3</v>
      </c>
      <c r="AE850" s="275">
        <v>20</v>
      </c>
      <c r="AF850" s="275">
        <v>2</v>
      </c>
      <c r="AG850" s="275">
        <v>7</v>
      </c>
      <c r="AH850" s="275">
        <v>12</v>
      </c>
      <c r="AI850" s="275">
        <v>12</v>
      </c>
      <c r="AJ850" s="275">
        <v>7</v>
      </c>
      <c r="AK850" s="275">
        <v>7</v>
      </c>
      <c r="AL850" s="275">
        <v>9</v>
      </c>
      <c r="AM850" s="275">
        <v>13</v>
      </c>
      <c r="AN850" s="275">
        <v>16</v>
      </c>
      <c r="AO850" s="275">
        <v>16</v>
      </c>
      <c r="AP850" s="275">
        <v>1</v>
      </c>
      <c r="AQ850" s="275">
        <v>15</v>
      </c>
      <c r="AR850" s="275">
        <v>10</v>
      </c>
      <c r="AS850" s="275">
        <v>17</v>
      </c>
      <c r="AT850" s="275">
        <v>11</v>
      </c>
      <c r="AU850" s="275">
        <v>3</v>
      </c>
      <c r="AV850" s="275">
        <f t="shared" ref="AV850:AV897" si="70">_xlfn.RANK.EQ(Y750,F750:Y750)</f>
        <v>3</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9</v>
      </c>
      <c r="AC851" s="275">
        <v>18</v>
      </c>
      <c r="AD851" s="275">
        <v>17</v>
      </c>
      <c r="AE851" s="275">
        <v>20</v>
      </c>
      <c r="AF851" s="275">
        <v>9</v>
      </c>
      <c r="AG851" s="275">
        <v>16</v>
      </c>
      <c r="AH851" s="275">
        <v>1</v>
      </c>
      <c r="AI851" s="275">
        <v>1</v>
      </c>
      <c r="AJ851" s="275">
        <v>3</v>
      </c>
      <c r="AK851" s="275">
        <v>10</v>
      </c>
      <c r="AL851" s="275">
        <v>12</v>
      </c>
      <c r="AM851" s="275">
        <v>19</v>
      </c>
      <c r="AN851" s="275">
        <v>4</v>
      </c>
      <c r="AO851" s="275">
        <v>18</v>
      </c>
      <c r="AP851" s="275">
        <v>12</v>
      </c>
      <c r="AQ851" s="275">
        <v>20</v>
      </c>
      <c r="AR851" s="275">
        <v>8</v>
      </c>
      <c r="AS851" s="275">
        <v>10</v>
      </c>
      <c r="AT851" s="275">
        <v>10</v>
      </c>
      <c r="AU851" s="275">
        <v>5</v>
      </c>
      <c r="AV851" s="275">
        <f t="shared" si="70"/>
        <v>5</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7</v>
      </c>
      <c r="AC852" s="275">
        <v>8</v>
      </c>
      <c r="AD852" s="275">
        <v>4</v>
      </c>
      <c r="AE852" s="275">
        <v>8</v>
      </c>
      <c r="AF852" s="275">
        <v>3</v>
      </c>
      <c r="AG852" s="275">
        <v>8</v>
      </c>
      <c r="AH852" s="275">
        <v>16</v>
      </c>
      <c r="AI852" s="275">
        <v>15</v>
      </c>
      <c r="AJ852" s="275">
        <v>19</v>
      </c>
      <c r="AK852" s="275">
        <v>11</v>
      </c>
      <c r="AL852" s="275">
        <v>10</v>
      </c>
      <c r="AM852" s="275">
        <v>19</v>
      </c>
      <c r="AN852" s="275">
        <v>4</v>
      </c>
      <c r="AO852" s="275">
        <v>17</v>
      </c>
      <c r="AP852" s="275">
        <v>1</v>
      </c>
      <c r="AQ852" s="275">
        <v>20</v>
      </c>
      <c r="AR852" s="275">
        <v>17</v>
      </c>
      <c r="AS852" s="275">
        <v>19</v>
      </c>
      <c r="AT852" s="275">
        <v>10</v>
      </c>
      <c r="AU852" s="275">
        <v>18</v>
      </c>
      <c r="AV852" s="275">
        <f t="shared" si="70"/>
        <v>18</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8</v>
      </c>
      <c r="AC854" s="275">
        <v>10</v>
      </c>
      <c r="AD854" s="275">
        <v>13</v>
      </c>
      <c r="AE854" s="275">
        <v>3</v>
      </c>
      <c r="AF854" s="275">
        <v>8</v>
      </c>
      <c r="AG854" s="275">
        <v>11</v>
      </c>
      <c r="AH854" s="275">
        <v>1</v>
      </c>
      <c r="AI854" s="275">
        <v>1</v>
      </c>
      <c r="AJ854" s="275">
        <v>7</v>
      </c>
      <c r="AK854" s="275">
        <v>13</v>
      </c>
      <c r="AL854" s="275">
        <v>7</v>
      </c>
      <c r="AM854" s="275">
        <v>17</v>
      </c>
      <c r="AN854" s="275">
        <v>20</v>
      </c>
      <c r="AO854" s="275">
        <v>9</v>
      </c>
      <c r="AP854" s="275">
        <v>13</v>
      </c>
      <c r="AQ854" s="275">
        <v>6</v>
      </c>
      <c r="AR854" s="275">
        <v>1</v>
      </c>
      <c r="AS854" s="275">
        <v>6</v>
      </c>
      <c r="AT854" s="275">
        <v>7</v>
      </c>
      <c r="AU854" s="275">
        <v>19</v>
      </c>
      <c r="AV854" s="275">
        <f t="shared" si="70"/>
        <v>19</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3</v>
      </c>
      <c r="AC855" s="275">
        <v>13</v>
      </c>
      <c r="AD855" s="275">
        <v>17</v>
      </c>
      <c r="AE855" s="275">
        <v>17</v>
      </c>
      <c r="AF855" s="275">
        <v>8</v>
      </c>
      <c r="AG855" s="275">
        <v>13</v>
      </c>
      <c r="AH855" s="275">
        <v>19</v>
      </c>
      <c r="AI855" s="275">
        <v>19</v>
      </c>
      <c r="AJ855" s="275">
        <v>8</v>
      </c>
      <c r="AK855" s="275">
        <v>7</v>
      </c>
      <c r="AL855" s="275">
        <v>14</v>
      </c>
      <c r="AM855" s="275">
        <v>6</v>
      </c>
      <c r="AN855" s="275">
        <v>16</v>
      </c>
      <c r="AO855" s="275">
        <v>19</v>
      </c>
      <c r="AP855" s="275">
        <v>1</v>
      </c>
      <c r="AQ855" s="275">
        <v>4</v>
      </c>
      <c r="AR855" s="275">
        <v>20</v>
      </c>
      <c r="AS855" s="275">
        <v>16</v>
      </c>
      <c r="AT855" s="275">
        <v>16</v>
      </c>
      <c r="AU855" s="275">
        <v>15</v>
      </c>
      <c r="AV855" s="275">
        <f t="shared" si="70"/>
        <v>15</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6</v>
      </c>
      <c r="AC856" s="275">
        <v>13</v>
      </c>
      <c r="AD856" s="275">
        <v>15</v>
      </c>
      <c r="AE856" s="275">
        <v>8</v>
      </c>
      <c r="AF856" s="275">
        <v>18</v>
      </c>
      <c r="AG856" s="275">
        <v>4</v>
      </c>
      <c r="AH856" s="275">
        <v>5</v>
      </c>
      <c r="AI856" s="275">
        <v>5</v>
      </c>
      <c r="AJ856" s="275">
        <v>15</v>
      </c>
      <c r="AK856" s="275">
        <v>19</v>
      </c>
      <c r="AL856" s="275">
        <v>16</v>
      </c>
      <c r="AM856" s="275">
        <v>5</v>
      </c>
      <c r="AN856" s="275">
        <v>1</v>
      </c>
      <c r="AO856" s="275">
        <v>15</v>
      </c>
      <c r="AP856" s="275">
        <v>5</v>
      </c>
      <c r="AQ856" s="275">
        <v>17</v>
      </c>
      <c r="AR856" s="275">
        <v>15</v>
      </c>
      <c r="AS856" s="275">
        <v>20</v>
      </c>
      <c r="AT856" s="275">
        <v>19</v>
      </c>
      <c r="AU856" s="275">
        <v>5</v>
      </c>
      <c r="AV856" s="275">
        <f t="shared" si="70"/>
        <v>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25.01</v>
      </c>
      <c r="O857" s="251">
        <v>25.01</v>
      </c>
      <c r="P857" s="251">
        <v>25.01</v>
      </c>
      <c r="Q857" s="251">
        <v>24.74</v>
      </c>
      <c r="R857" s="251">
        <v>24.42</v>
      </c>
      <c r="S857" s="251">
        <v>23.84</v>
      </c>
      <c r="T857" s="251">
        <v>23.75</v>
      </c>
      <c r="U857" s="251">
        <v>23.22</v>
      </c>
      <c r="V857" s="251">
        <v>23.03</v>
      </c>
      <c r="W857" s="251">
        <v>23.03</v>
      </c>
      <c r="X857" s="251">
        <v>22.96</v>
      </c>
      <c r="Y857" s="251">
        <v>22.96</v>
      </c>
      <c r="Z857" s="245">
        <f ca="1">[1]ExtEntry!$N57</f>
        <v>22.96</v>
      </c>
      <c r="AB857" s="275">
        <v>13</v>
      </c>
      <c r="AC857" s="275">
        <v>5</v>
      </c>
      <c r="AD857" s="275">
        <v>9</v>
      </c>
      <c r="AE857" s="275">
        <v>20</v>
      </c>
      <c r="AF857" s="275">
        <v>1</v>
      </c>
      <c r="AG857" s="275">
        <v>20</v>
      </c>
      <c r="AH857" s="275">
        <v>20</v>
      </c>
      <c r="AI857" s="275">
        <v>19</v>
      </c>
      <c r="AJ857" s="275">
        <v>8</v>
      </c>
      <c r="AK857" s="275">
        <v>8</v>
      </c>
      <c r="AL857" s="275">
        <v>15</v>
      </c>
      <c r="AM857" s="275">
        <v>6</v>
      </c>
      <c r="AN857" s="275">
        <v>17</v>
      </c>
      <c r="AO857" s="275">
        <v>16</v>
      </c>
      <c r="AP857" s="275">
        <v>9</v>
      </c>
      <c r="AQ857" s="275">
        <v>20</v>
      </c>
      <c r="AR857" s="275">
        <v>10</v>
      </c>
      <c r="AS857" s="275">
        <v>7</v>
      </c>
      <c r="AT857" s="275">
        <v>7</v>
      </c>
      <c r="AU857" s="275">
        <v>12</v>
      </c>
      <c r="AV857" s="275">
        <f t="shared" si="70"/>
        <v>12</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18</v>
      </c>
      <c r="AC858" s="275">
        <v>3</v>
      </c>
      <c r="AD858" s="275">
        <v>3</v>
      </c>
      <c r="AE858" s="275">
        <v>12</v>
      </c>
      <c r="AF858" s="275">
        <v>4</v>
      </c>
      <c r="AG858" s="275">
        <v>4</v>
      </c>
      <c r="AH858" s="275">
        <v>15</v>
      </c>
      <c r="AI858" s="275">
        <v>14</v>
      </c>
      <c r="AJ858" s="275">
        <v>19</v>
      </c>
      <c r="AK858" s="275">
        <v>17</v>
      </c>
      <c r="AL858" s="275">
        <v>15</v>
      </c>
      <c r="AM858" s="275">
        <v>17</v>
      </c>
      <c r="AN858" s="275">
        <v>10</v>
      </c>
      <c r="AO858" s="275">
        <v>15</v>
      </c>
      <c r="AP858" s="275">
        <v>10</v>
      </c>
      <c r="AQ858" s="275">
        <v>19</v>
      </c>
      <c r="AR858" s="275">
        <v>8</v>
      </c>
      <c r="AS858" s="275">
        <v>13</v>
      </c>
      <c r="AT858" s="275">
        <v>8</v>
      </c>
      <c r="AU858" s="275">
        <v>5</v>
      </c>
      <c r="AV858" s="275">
        <f t="shared" si="70"/>
        <v>5</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4</v>
      </c>
      <c r="AC859" s="275">
        <v>19</v>
      </c>
      <c r="AD859" s="275">
        <v>12</v>
      </c>
      <c r="AE859" s="275">
        <v>14</v>
      </c>
      <c r="AF859" s="275">
        <v>4</v>
      </c>
      <c r="AG859" s="275">
        <v>18</v>
      </c>
      <c r="AH859" s="275">
        <v>20</v>
      </c>
      <c r="AI859" s="275">
        <v>19</v>
      </c>
      <c r="AJ859" s="275">
        <v>16</v>
      </c>
      <c r="AK859" s="275">
        <v>6</v>
      </c>
      <c r="AL859" s="275">
        <v>10</v>
      </c>
      <c r="AM859" s="275">
        <v>4</v>
      </c>
      <c r="AN859" s="275">
        <v>14</v>
      </c>
      <c r="AO859" s="275">
        <v>17</v>
      </c>
      <c r="AP859" s="275">
        <v>1</v>
      </c>
      <c r="AQ859" s="275">
        <v>10</v>
      </c>
      <c r="AR859" s="275">
        <v>10</v>
      </c>
      <c r="AS859" s="275">
        <v>11</v>
      </c>
      <c r="AT859" s="275">
        <v>15</v>
      </c>
      <c r="AU859" s="275">
        <v>12</v>
      </c>
      <c r="AV859" s="275">
        <f t="shared" si="70"/>
        <v>12</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20</v>
      </c>
      <c r="AC860" s="275">
        <v>12</v>
      </c>
      <c r="AD860" s="275">
        <v>10</v>
      </c>
      <c r="AE860" s="275">
        <v>7</v>
      </c>
      <c r="AF860" s="275">
        <v>12</v>
      </c>
      <c r="AG860" s="275">
        <v>13</v>
      </c>
      <c r="AH860" s="275">
        <v>2</v>
      </c>
      <c r="AI860" s="275">
        <v>1</v>
      </c>
      <c r="AJ860" s="275">
        <v>1</v>
      </c>
      <c r="AK860" s="275">
        <v>2</v>
      </c>
      <c r="AL860" s="275">
        <v>7</v>
      </c>
      <c r="AM860" s="275">
        <v>17</v>
      </c>
      <c r="AN860" s="275">
        <v>16</v>
      </c>
      <c r="AO860" s="275">
        <v>17</v>
      </c>
      <c r="AP860" s="275">
        <v>10</v>
      </c>
      <c r="AQ860" s="275">
        <v>15</v>
      </c>
      <c r="AR860" s="275">
        <v>14</v>
      </c>
      <c r="AS860" s="275">
        <v>13</v>
      </c>
      <c r="AT860" s="275">
        <v>10</v>
      </c>
      <c r="AU860" s="275">
        <v>19</v>
      </c>
      <c r="AV860" s="275">
        <f t="shared" si="70"/>
        <v>19</v>
      </c>
      <c r="AX860" s="88" t="str">
        <f t="shared" ca="1" si="71"/>
        <v>MVEENI</v>
      </c>
    </row>
    <row r="861" spans="1:50" hidden="1" x14ac:dyDescent="0.3">
      <c r="A861" s="88" t="str">
        <f t="shared" ca="1" si="68"/>
        <v>MVEEPIX</v>
      </c>
      <c r="F861" s="251">
        <v>22.87</v>
      </c>
      <c r="G861" s="251">
        <v>22.87</v>
      </c>
      <c r="H861" s="251">
        <v>22.87</v>
      </c>
      <c r="I861" s="251">
        <v>22.87</v>
      </c>
      <c r="J861" s="251">
        <v>22.87</v>
      </c>
      <c r="K861" s="251">
        <v>23.35</v>
      </c>
      <c r="L861" s="251">
        <v>23.35</v>
      </c>
      <c r="M861" s="251">
        <v>23.35</v>
      </c>
      <c r="N861" s="251">
        <v>23.35</v>
      </c>
      <c r="O861" s="251">
        <v>23.35</v>
      </c>
      <c r="P861" s="251">
        <v>23.35</v>
      </c>
      <c r="Q861" s="251">
        <v>23.35</v>
      </c>
      <c r="R861" s="251">
        <v>23.35</v>
      </c>
      <c r="S861" s="251">
        <v>24.03</v>
      </c>
      <c r="T861" s="251">
        <v>24.03</v>
      </c>
      <c r="U861" s="251">
        <v>24.03</v>
      </c>
      <c r="V861" s="251">
        <v>24.03</v>
      </c>
      <c r="W861" s="251">
        <v>24.03</v>
      </c>
      <c r="X861" s="251">
        <v>24.03</v>
      </c>
      <c r="Y861" s="251">
        <v>24.03</v>
      </c>
      <c r="Z861" s="245">
        <f ca="1">[1]ExtEntry!$N61</f>
        <v>24.03</v>
      </c>
      <c r="AB861" s="275">
        <v>10</v>
      </c>
      <c r="AC861" s="275">
        <v>9</v>
      </c>
      <c r="AD861" s="275">
        <v>8</v>
      </c>
      <c r="AE861" s="275">
        <v>7</v>
      </c>
      <c r="AF861" s="275">
        <v>6</v>
      </c>
      <c r="AG861" s="275">
        <v>5</v>
      </c>
      <c r="AH861" s="275">
        <v>5</v>
      </c>
      <c r="AI861" s="275">
        <v>5</v>
      </c>
      <c r="AJ861" s="275">
        <v>5</v>
      </c>
      <c r="AK861" s="275">
        <v>4</v>
      </c>
      <c r="AL861" s="275">
        <v>4</v>
      </c>
      <c r="AM861" s="275">
        <v>4</v>
      </c>
      <c r="AN861" s="275">
        <v>3</v>
      </c>
      <c r="AO861" s="275">
        <v>2</v>
      </c>
      <c r="AP861" s="275">
        <v>2</v>
      </c>
      <c r="AQ861" s="275">
        <v>1</v>
      </c>
      <c r="AR861" s="275">
        <v>1</v>
      </c>
      <c r="AS861" s="275">
        <v>1</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v>
      </c>
      <c r="AC862" s="275">
        <v>7</v>
      </c>
      <c r="AD862" s="275">
        <v>3</v>
      </c>
      <c r="AE862" s="275">
        <v>20</v>
      </c>
      <c r="AF862" s="275">
        <v>17</v>
      </c>
      <c r="AG862" s="275">
        <v>8</v>
      </c>
      <c r="AH862" s="275">
        <v>14</v>
      </c>
      <c r="AI862" s="275">
        <v>13</v>
      </c>
      <c r="AJ862" s="275">
        <v>5</v>
      </c>
      <c r="AK862" s="275">
        <v>8</v>
      </c>
      <c r="AL862" s="275">
        <v>11</v>
      </c>
      <c r="AM862" s="275">
        <v>5</v>
      </c>
      <c r="AN862" s="275">
        <v>19</v>
      </c>
      <c r="AO862" s="275">
        <v>14</v>
      </c>
      <c r="AP862" s="275">
        <v>9</v>
      </c>
      <c r="AQ862" s="275">
        <v>2</v>
      </c>
      <c r="AR862" s="275">
        <v>18</v>
      </c>
      <c r="AS862" s="275">
        <v>17</v>
      </c>
      <c r="AT862" s="275">
        <v>15</v>
      </c>
      <c r="AU862" s="275">
        <v>7</v>
      </c>
      <c r="AV862" s="275">
        <f t="shared" si="70"/>
        <v>7</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4</v>
      </c>
      <c r="AC863" s="275">
        <v>1</v>
      </c>
      <c r="AD863" s="275">
        <v>9</v>
      </c>
      <c r="AE863" s="275">
        <v>2</v>
      </c>
      <c r="AF863" s="275">
        <v>18</v>
      </c>
      <c r="AG863" s="275">
        <v>12</v>
      </c>
      <c r="AH863" s="275">
        <v>13</v>
      </c>
      <c r="AI863" s="275">
        <v>13</v>
      </c>
      <c r="AJ863" s="275">
        <v>7</v>
      </c>
      <c r="AK863" s="275">
        <v>20</v>
      </c>
      <c r="AL863" s="275">
        <v>14</v>
      </c>
      <c r="AM863" s="275">
        <v>8</v>
      </c>
      <c r="AN863" s="275">
        <v>6</v>
      </c>
      <c r="AO863" s="275">
        <v>16</v>
      </c>
      <c r="AP863" s="275">
        <v>12</v>
      </c>
      <c r="AQ863" s="275">
        <v>3</v>
      </c>
      <c r="AR863" s="275">
        <v>4</v>
      </c>
      <c r="AS863" s="275">
        <v>20</v>
      </c>
      <c r="AT863" s="275">
        <v>19</v>
      </c>
      <c r="AU863" s="275">
        <v>17</v>
      </c>
      <c r="AV863" s="275">
        <f t="shared" si="70"/>
        <v>17</v>
      </c>
      <c r="AX863" s="88" t="str">
        <f t="shared" ca="1" si="71"/>
        <v>MVEORA</v>
      </c>
    </row>
    <row r="864" spans="1:50" hidden="1" x14ac:dyDescent="0.3">
      <c r="A864" s="88" t="str">
        <f t="shared" ca="1" si="68"/>
        <v>MVERWE</v>
      </c>
      <c r="F864" s="251">
        <v>208.7</v>
      </c>
      <c r="G864" s="251">
        <v>208.7</v>
      </c>
      <c r="H864" s="251">
        <v>208.7</v>
      </c>
      <c r="I864" s="251">
        <v>208.7</v>
      </c>
      <c r="J864" s="251">
        <v>208.7</v>
      </c>
      <c r="K864" s="251">
        <v>209.7</v>
      </c>
      <c r="L864" s="251">
        <v>209.7</v>
      </c>
      <c r="M864" s="251">
        <v>209.7</v>
      </c>
      <c r="N864" s="251">
        <v>209.7</v>
      </c>
      <c r="O864" s="251">
        <v>209.7</v>
      </c>
      <c r="P864" s="251">
        <v>209.7</v>
      </c>
      <c r="Q864" s="251">
        <v>209.7</v>
      </c>
      <c r="R864" s="251">
        <v>209.7</v>
      </c>
      <c r="S864" s="251">
        <v>209.7</v>
      </c>
      <c r="T864" s="251">
        <v>209.7</v>
      </c>
      <c r="U864" s="251">
        <v>209.7</v>
      </c>
      <c r="V864" s="251">
        <v>209.7</v>
      </c>
      <c r="W864" s="251">
        <v>207.55</v>
      </c>
      <c r="X864" s="251">
        <v>202.5</v>
      </c>
      <c r="Y864" s="251">
        <v>202.5</v>
      </c>
      <c r="Z864" s="245">
        <f ca="1">[1]ExtEntry!$N64</f>
        <v>202.5</v>
      </c>
      <c r="AB864" s="275">
        <v>18</v>
      </c>
      <c r="AC864" s="275">
        <v>14</v>
      </c>
      <c r="AD864" s="275">
        <v>6</v>
      </c>
      <c r="AE864" s="275">
        <v>19</v>
      </c>
      <c r="AF864" s="275">
        <v>16</v>
      </c>
      <c r="AG864" s="275">
        <v>20</v>
      </c>
      <c r="AH864" s="275">
        <v>16</v>
      </c>
      <c r="AI864" s="275">
        <v>15</v>
      </c>
      <c r="AJ864" s="275">
        <v>14</v>
      </c>
      <c r="AK864" s="275">
        <v>5</v>
      </c>
      <c r="AL864" s="275">
        <v>10</v>
      </c>
      <c r="AM864" s="275">
        <v>5</v>
      </c>
      <c r="AN864" s="275">
        <v>2</v>
      </c>
      <c r="AO864" s="275">
        <v>19</v>
      </c>
      <c r="AP864" s="275">
        <v>8</v>
      </c>
      <c r="AQ864" s="275">
        <v>7</v>
      </c>
      <c r="AR864" s="275">
        <v>12</v>
      </c>
      <c r="AS864" s="275">
        <v>11</v>
      </c>
      <c r="AT864" s="275">
        <v>17</v>
      </c>
      <c r="AU864" s="275">
        <v>20</v>
      </c>
      <c r="AV864" s="275">
        <f t="shared" si="70"/>
        <v>20</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8</v>
      </c>
      <c r="AC865" s="275">
        <v>8</v>
      </c>
      <c r="AD865" s="275">
        <v>15</v>
      </c>
      <c r="AE865" s="275">
        <v>18</v>
      </c>
      <c r="AF865" s="275">
        <v>1</v>
      </c>
      <c r="AG865" s="275">
        <v>7</v>
      </c>
      <c r="AH865" s="275">
        <v>20</v>
      </c>
      <c r="AI865" s="275">
        <v>19</v>
      </c>
      <c r="AJ865" s="275">
        <v>2</v>
      </c>
      <c r="AK865" s="275">
        <v>20</v>
      </c>
      <c r="AL865" s="275">
        <v>6</v>
      </c>
      <c r="AM865" s="275">
        <v>15</v>
      </c>
      <c r="AN865" s="275">
        <v>8</v>
      </c>
      <c r="AO865" s="275">
        <v>17</v>
      </c>
      <c r="AP865" s="275">
        <v>6</v>
      </c>
      <c r="AQ865" s="275">
        <v>20</v>
      </c>
      <c r="AR865" s="275">
        <v>15</v>
      </c>
      <c r="AS865" s="275">
        <v>18</v>
      </c>
      <c r="AT865" s="275">
        <v>10</v>
      </c>
      <c r="AU865" s="275">
        <v>9</v>
      </c>
      <c r="AV865" s="275">
        <f t="shared" si="70"/>
        <v>9</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14</v>
      </c>
      <c r="AC866" s="275">
        <v>9</v>
      </c>
      <c r="AD866" s="275">
        <v>7</v>
      </c>
      <c r="AE866" s="275">
        <v>14</v>
      </c>
      <c r="AF866" s="275">
        <v>1</v>
      </c>
      <c r="AG866" s="275">
        <v>20</v>
      </c>
      <c r="AH866" s="275">
        <v>8</v>
      </c>
      <c r="AI866" s="275">
        <v>8</v>
      </c>
      <c r="AJ866" s="275">
        <v>18</v>
      </c>
      <c r="AK866" s="275">
        <v>17</v>
      </c>
      <c r="AL866" s="275">
        <v>3</v>
      </c>
      <c r="AM866" s="275">
        <v>15</v>
      </c>
      <c r="AN866" s="275">
        <v>14</v>
      </c>
      <c r="AO866" s="275">
        <v>10</v>
      </c>
      <c r="AP866" s="275">
        <v>11</v>
      </c>
      <c r="AQ866" s="275">
        <v>20</v>
      </c>
      <c r="AR866" s="275">
        <v>3</v>
      </c>
      <c r="AS866" s="275">
        <v>10</v>
      </c>
      <c r="AT866" s="275">
        <v>18</v>
      </c>
      <c r="AU866" s="275">
        <v>12</v>
      </c>
      <c r="AV866" s="275">
        <f t="shared" si="70"/>
        <v>12</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12</v>
      </c>
      <c r="AC867" s="275">
        <v>6</v>
      </c>
      <c r="AD867" s="275">
        <v>16</v>
      </c>
      <c r="AE867" s="275">
        <v>3</v>
      </c>
      <c r="AF867" s="275">
        <v>1</v>
      </c>
      <c r="AG867" s="275">
        <v>10</v>
      </c>
      <c r="AH867" s="275">
        <v>20</v>
      </c>
      <c r="AI867" s="275">
        <v>19</v>
      </c>
      <c r="AJ867" s="275">
        <v>7</v>
      </c>
      <c r="AK867" s="275">
        <v>3</v>
      </c>
      <c r="AL867" s="275">
        <v>2</v>
      </c>
      <c r="AM867" s="275">
        <v>13</v>
      </c>
      <c r="AN867" s="275">
        <v>8</v>
      </c>
      <c r="AO867" s="275">
        <v>10</v>
      </c>
      <c r="AP867" s="275">
        <v>14</v>
      </c>
      <c r="AQ867" s="275">
        <v>12</v>
      </c>
      <c r="AR867" s="275">
        <v>15</v>
      </c>
      <c r="AS867" s="275">
        <v>15</v>
      </c>
      <c r="AT867" s="275">
        <v>15</v>
      </c>
      <c r="AU867" s="275">
        <v>5</v>
      </c>
      <c r="AV867" s="275">
        <f t="shared" si="70"/>
        <v>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19</v>
      </c>
      <c r="AC868" s="275">
        <v>14</v>
      </c>
      <c r="AD868" s="275">
        <v>13</v>
      </c>
      <c r="AE868" s="275">
        <v>14</v>
      </c>
      <c r="AF868" s="275">
        <v>2</v>
      </c>
      <c r="AG868" s="275">
        <v>1</v>
      </c>
      <c r="AH868" s="275">
        <v>20</v>
      </c>
      <c r="AI868" s="275">
        <v>19</v>
      </c>
      <c r="AJ868" s="275">
        <v>5</v>
      </c>
      <c r="AK868" s="275">
        <v>6</v>
      </c>
      <c r="AL868" s="275">
        <v>7</v>
      </c>
      <c r="AM868" s="275">
        <v>10</v>
      </c>
      <c r="AN868" s="275">
        <v>20</v>
      </c>
      <c r="AO868" s="275">
        <v>19</v>
      </c>
      <c r="AP868" s="275">
        <v>12</v>
      </c>
      <c r="AQ868" s="275">
        <v>19</v>
      </c>
      <c r="AR868" s="275">
        <v>10</v>
      </c>
      <c r="AS868" s="275">
        <v>14</v>
      </c>
      <c r="AT868" s="275">
        <v>20</v>
      </c>
      <c r="AU868" s="275">
        <v>11</v>
      </c>
      <c r="AV868" s="275">
        <f t="shared" si="70"/>
        <v>11</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11</v>
      </c>
      <c r="AC869" s="275">
        <v>4</v>
      </c>
      <c r="AD869" s="275">
        <v>9</v>
      </c>
      <c r="AE869" s="275">
        <v>15</v>
      </c>
      <c r="AF869" s="275">
        <v>5</v>
      </c>
      <c r="AG869" s="275">
        <v>17</v>
      </c>
      <c r="AH869" s="275">
        <v>18</v>
      </c>
      <c r="AI869" s="275">
        <v>17</v>
      </c>
      <c r="AJ869" s="275">
        <v>6</v>
      </c>
      <c r="AK869" s="275">
        <v>8</v>
      </c>
      <c r="AL869" s="275">
        <v>7</v>
      </c>
      <c r="AM869" s="275">
        <v>12</v>
      </c>
      <c r="AN869" s="275">
        <v>6</v>
      </c>
      <c r="AO869" s="275">
        <v>15</v>
      </c>
      <c r="AP869" s="275">
        <v>16</v>
      </c>
      <c r="AQ869" s="275">
        <v>17</v>
      </c>
      <c r="AR869" s="275">
        <v>20</v>
      </c>
      <c r="AS869" s="275">
        <v>12</v>
      </c>
      <c r="AT869" s="275">
        <v>12</v>
      </c>
      <c r="AU869" s="275">
        <v>3</v>
      </c>
      <c r="AV869" s="275">
        <f t="shared" si="70"/>
        <v>3</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13</v>
      </c>
      <c r="AC870" s="275">
        <v>5</v>
      </c>
      <c r="AD870" s="275">
        <v>9</v>
      </c>
      <c r="AE870" s="275">
        <v>20</v>
      </c>
      <c r="AF870" s="275">
        <v>1</v>
      </c>
      <c r="AG870" s="275">
        <v>20</v>
      </c>
      <c r="AH870" s="275">
        <v>20</v>
      </c>
      <c r="AI870" s="275">
        <v>19</v>
      </c>
      <c r="AJ870" s="275">
        <v>8</v>
      </c>
      <c r="AK870" s="275">
        <v>8</v>
      </c>
      <c r="AL870" s="275">
        <v>15</v>
      </c>
      <c r="AM870" s="275">
        <v>6</v>
      </c>
      <c r="AN870" s="275">
        <v>17</v>
      </c>
      <c r="AO870" s="275">
        <v>16</v>
      </c>
      <c r="AP870" s="275">
        <v>9</v>
      </c>
      <c r="AQ870" s="275">
        <v>20</v>
      </c>
      <c r="AR870" s="275">
        <v>10</v>
      </c>
      <c r="AS870" s="275">
        <v>7</v>
      </c>
      <c r="AT870" s="275">
        <v>7</v>
      </c>
      <c r="AU870" s="275">
        <v>12</v>
      </c>
      <c r="AV870" s="275">
        <f t="shared" si="70"/>
        <v>12</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3</v>
      </c>
      <c r="AC871" s="275">
        <v>4</v>
      </c>
      <c r="AD871" s="275">
        <v>20</v>
      </c>
      <c r="AE871" s="275">
        <v>6</v>
      </c>
      <c r="AF871" s="275">
        <v>1</v>
      </c>
      <c r="AG871" s="275">
        <v>1</v>
      </c>
      <c r="AH871" s="275">
        <v>18</v>
      </c>
      <c r="AI871" s="275">
        <v>17</v>
      </c>
      <c r="AJ871" s="275">
        <v>10</v>
      </c>
      <c r="AK871" s="275">
        <v>18</v>
      </c>
      <c r="AL871" s="275">
        <v>7</v>
      </c>
      <c r="AM871" s="275">
        <v>12</v>
      </c>
      <c r="AN871" s="275">
        <v>2</v>
      </c>
      <c r="AO871" s="275">
        <v>14</v>
      </c>
      <c r="AP871" s="275">
        <v>10</v>
      </c>
      <c r="AQ871" s="275">
        <v>18</v>
      </c>
      <c r="AR871" s="275">
        <v>9</v>
      </c>
      <c r="AS871" s="275">
        <v>20</v>
      </c>
      <c r="AT871" s="275">
        <v>9</v>
      </c>
      <c r="AU871" s="275">
        <v>14</v>
      </c>
      <c r="AV871" s="275">
        <f t="shared" si="70"/>
        <v>14</v>
      </c>
      <c r="AX871" s="88" t="str">
        <f t="shared" ca="1" si="71"/>
        <v>SAFDIS</v>
      </c>
    </row>
    <row r="872" spans="1:50" hidden="1" x14ac:dyDescent="0.3">
      <c r="A872" s="88" t="str">
        <f t="shared" ca="1" si="72"/>
        <v>SAFGM</v>
      </c>
      <c r="F872" s="251">
        <v>195.738</v>
      </c>
      <c r="G872" s="251">
        <v>195.738</v>
      </c>
      <c r="H872" s="251">
        <v>195.738</v>
      </c>
      <c r="I872" s="251">
        <v>195.738</v>
      </c>
      <c r="J872" s="251">
        <v>207.2</v>
      </c>
      <c r="K872" s="251">
        <v>207.2</v>
      </c>
      <c r="L872" s="251">
        <v>207.2</v>
      </c>
      <c r="M872" s="251">
        <v>207.2</v>
      </c>
      <c r="N872" s="251">
        <v>207.2</v>
      </c>
      <c r="O872" s="251">
        <v>207.2</v>
      </c>
      <c r="P872" s="251">
        <v>207.2</v>
      </c>
      <c r="Q872" s="251">
        <v>207.2</v>
      </c>
      <c r="R872" s="251">
        <v>207.2</v>
      </c>
      <c r="S872" s="251">
        <v>207.6</v>
      </c>
      <c r="T872" s="251">
        <v>207.6</v>
      </c>
      <c r="U872" s="251">
        <v>207.6</v>
      </c>
      <c r="V872" s="251">
        <v>207.6</v>
      </c>
      <c r="W872" s="251">
        <v>210</v>
      </c>
      <c r="X872" s="251">
        <v>210</v>
      </c>
      <c r="Y872" s="251">
        <v>210</v>
      </c>
      <c r="Z872" s="245">
        <f ca="1">[1]ExtEntry!$N72</f>
        <v>210</v>
      </c>
      <c r="AB872" s="275">
        <v>1</v>
      </c>
      <c r="AC872" s="275">
        <v>3</v>
      </c>
      <c r="AD872" s="275">
        <v>15</v>
      </c>
      <c r="AE872" s="275">
        <v>3</v>
      </c>
      <c r="AF872" s="275">
        <v>13</v>
      </c>
      <c r="AG872" s="275">
        <v>1</v>
      </c>
      <c r="AH872" s="275">
        <v>9</v>
      </c>
      <c r="AI872" s="275">
        <v>8</v>
      </c>
      <c r="AJ872" s="275">
        <v>14</v>
      </c>
      <c r="AK872" s="275">
        <v>2</v>
      </c>
      <c r="AL872" s="275">
        <v>12</v>
      </c>
      <c r="AM872" s="275">
        <v>9</v>
      </c>
      <c r="AN872" s="275">
        <v>13</v>
      </c>
      <c r="AO872" s="275">
        <v>20</v>
      </c>
      <c r="AP872" s="275">
        <v>3</v>
      </c>
      <c r="AQ872" s="275">
        <v>11</v>
      </c>
      <c r="AR872" s="275">
        <v>5</v>
      </c>
      <c r="AS872" s="275">
        <v>20</v>
      </c>
      <c r="AT872" s="275">
        <v>13</v>
      </c>
      <c r="AU872" s="275">
        <v>7</v>
      </c>
      <c r="AV872" s="275">
        <f t="shared" si="70"/>
        <v>7</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23.04</v>
      </c>
      <c r="X873" s="251">
        <v>23.04</v>
      </c>
      <c r="Y873" s="251">
        <v>23.04</v>
      </c>
      <c r="Z873" s="245">
        <f ca="1">[1]ExtEntry!$N73</f>
        <v>23.04</v>
      </c>
      <c r="AB873" s="275">
        <v>10</v>
      </c>
      <c r="AC873" s="275">
        <v>11</v>
      </c>
      <c r="AD873" s="275">
        <v>16</v>
      </c>
      <c r="AE873" s="275">
        <v>20</v>
      </c>
      <c r="AF873" s="275">
        <v>4</v>
      </c>
      <c r="AG873" s="275">
        <v>17</v>
      </c>
      <c r="AH873" s="275">
        <v>3</v>
      </c>
      <c r="AI873" s="275">
        <v>3</v>
      </c>
      <c r="AJ873" s="275">
        <v>10</v>
      </c>
      <c r="AK873" s="275">
        <v>6</v>
      </c>
      <c r="AL873" s="275">
        <v>14</v>
      </c>
      <c r="AM873" s="275">
        <v>8</v>
      </c>
      <c r="AN873" s="275">
        <v>6</v>
      </c>
      <c r="AO873" s="275">
        <v>19</v>
      </c>
      <c r="AP873" s="275">
        <v>9</v>
      </c>
      <c r="AQ873" s="275">
        <v>19</v>
      </c>
      <c r="AR873" s="275">
        <v>20</v>
      </c>
      <c r="AS873" s="275">
        <v>17</v>
      </c>
      <c r="AT873" s="275">
        <v>13</v>
      </c>
      <c r="AU873" s="275">
        <v>3</v>
      </c>
      <c r="AV873" s="275">
        <f t="shared" si="70"/>
        <v>3</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18</v>
      </c>
      <c r="AC874" s="275">
        <v>3</v>
      </c>
      <c r="AD874" s="275">
        <v>18</v>
      </c>
      <c r="AE874" s="275">
        <v>19</v>
      </c>
      <c r="AF874" s="275">
        <v>4</v>
      </c>
      <c r="AG874" s="275">
        <v>8</v>
      </c>
      <c r="AH874" s="275">
        <v>18</v>
      </c>
      <c r="AI874" s="275">
        <v>17</v>
      </c>
      <c r="AJ874" s="275">
        <v>17</v>
      </c>
      <c r="AK874" s="275">
        <v>8</v>
      </c>
      <c r="AL874" s="275">
        <v>10</v>
      </c>
      <c r="AM874" s="275">
        <v>20</v>
      </c>
      <c r="AN874" s="275">
        <v>1</v>
      </c>
      <c r="AO874" s="275">
        <v>19</v>
      </c>
      <c r="AP874" s="275">
        <v>10</v>
      </c>
      <c r="AQ874" s="275">
        <v>4</v>
      </c>
      <c r="AR874" s="275">
        <v>7</v>
      </c>
      <c r="AS874" s="275">
        <v>10</v>
      </c>
      <c r="AT874" s="275">
        <v>8</v>
      </c>
      <c r="AU874" s="275">
        <v>17</v>
      </c>
      <c r="AV874" s="275">
        <f t="shared" si="70"/>
        <v>17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9</v>
      </c>
      <c r="AC875" s="275">
        <v>18</v>
      </c>
      <c r="AD875" s="275">
        <v>20</v>
      </c>
      <c r="AE875" s="275">
        <v>17</v>
      </c>
      <c r="AF875" s="275">
        <v>6</v>
      </c>
      <c r="AG875" s="275">
        <v>19</v>
      </c>
      <c r="AH875" s="275">
        <v>7</v>
      </c>
      <c r="AI875" s="275">
        <v>7</v>
      </c>
      <c r="AJ875" s="275">
        <v>9</v>
      </c>
      <c r="AK875" s="275">
        <v>5</v>
      </c>
      <c r="AL875" s="275">
        <v>17</v>
      </c>
      <c r="AM875" s="275">
        <v>17</v>
      </c>
      <c r="AN875" s="275">
        <v>15</v>
      </c>
      <c r="AO875" s="275">
        <v>12</v>
      </c>
      <c r="AP875" s="275">
        <v>1</v>
      </c>
      <c r="AQ875" s="275">
        <v>19</v>
      </c>
      <c r="AR875" s="275">
        <v>4</v>
      </c>
      <c r="AS875" s="275">
        <v>11</v>
      </c>
      <c r="AT875" s="275">
        <v>9</v>
      </c>
      <c r="AU875" s="275">
        <v>10</v>
      </c>
      <c r="AV875" s="275">
        <f t="shared" si="70"/>
        <v>10</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20</v>
      </c>
      <c r="AC876" s="275">
        <v>12</v>
      </c>
      <c r="AD876" s="275">
        <v>10</v>
      </c>
      <c r="AE876" s="275">
        <v>7</v>
      </c>
      <c r="AF876" s="275">
        <v>12</v>
      </c>
      <c r="AG876" s="275">
        <v>13</v>
      </c>
      <c r="AH876" s="275">
        <v>2</v>
      </c>
      <c r="AI876" s="275">
        <v>1</v>
      </c>
      <c r="AJ876" s="275">
        <v>1</v>
      </c>
      <c r="AK876" s="275">
        <v>2</v>
      </c>
      <c r="AL876" s="275">
        <v>7</v>
      </c>
      <c r="AM876" s="275">
        <v>17</v>
      </c>
      <c r="AN876" s="275">
        <v>16</v>
      </c>
      <c r="AO876" s="275">
        <v>17</v>
      </c>
      <c r="AP876" s="275">
        <v>10</v>
      </c>
      <c r="AQ876" s="275">
        <v>15</v>
      </c>
      <c r="AR876" s="275">
        <v>14</v>
      </c>
      <c r="AS876" s="275">
        <v>13</v>
      </c>
      <c r="AT876" s="275">
        <v>10</v>
      </c>
      <c r="AU876" s="275">
        <v>19</v>
      </c>
      <c r="AV876" s="275">
        <f t="shared" si="70"/>
        <v>19</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v>
      </c>
      <c r="AC877" s="275">
        <v>20</v>
      </c>
      <c r="AD877" s="275">
        <v>3</v>
      </c>
      <c r="AE877" s="275">
        <v>16</v>
      </c>
      <c r="AF877" s="275">
        <v>16</v>
      </c>
      <c r="AG877" s="275">
        <v>19</v>
      </c>
      <c r="AH877" s="275">
        <v>2</v>
      </c>
      <c r="AI877" s="275">
        <v>2</v>
      </c>
      <c r="AJ877" s="275">
        <v>19</v>
      </c>
      <c r="AK877" s="275">
        <v>6</v>
      </c>
      <c r="AL877" s="275">
        <v>12</v>
      </c>
      <c r="AM877" s="275">
        <v>17</v>
      </c>
      <c r="AN877" s="275">
        <v>8</v>
      </c>
      <c r="AO877" s="275">
        <v>18</v>
      </c>
      <c r="AP877" s="275">
        <v>7</v>
      </c>
      <c r="AQ877" s="275">
        <v>16</v>
      </c>
      <c r="AR877" s="275">
        <v>17</v>
      </c>
      <c r="AS877" s="275">
        <v>17</v>
      </c>
      <c r="AT877" s="275">
        <v>12</v>
      </c>
      <c r="AU877" s="275">
        <v>5</v>
      </c>
      <c r="AV877" s="275">
        <f t="shared" si="70"/>
        <v>5</v>
      </c>
      <c r="AX877" s="88" t="str">
        <f t="shared" ca="1" si="71"/>
        <v>EZJ</v>
      </c>
    </row>
    <row r="878" spans="1:50" hidden="1" x14ac:dyDescent="0.3">
      <c r="A878" s="88" t="str">
        <f t="shared" ca="1" si="72"/>
        <v>F</v>
      </c>
      <c r="F878" s="251">
        <v>22.87</v>
      </c>
      <c r="G878" s="251">
        <v>22.87</v>
      </c>
      <c r="H878" s="251">
        <v>22.87</v>
      </c>
      <c r="I878" s="251">
        <v>22.87</v>
      </c>
      <c r="J878" s="251">
        <v>22.87</v>
      </c>
      <c r="K878" s="251">
        <v>23.35</v>
      </c>
      <c r="L878" s="251">
        <v>23.35</v>
      </c>
      <c r="M878" s="251">
        <v>23.35</v>
      </c>
      <c r="N878" s="251">
        <v>23.35</v>
      </c>
      <c r="O878" s="251">
        <v>23.35</v>
      </c>
      <c r="P878" s="251">
        <v>23.35</v>
      </c>
      <c r="Q878" s="251">
        <v>23.35</v>
      </c>
      <c r="R878" s="251">
        <v>23.35</v>
      </c>
      <c r="S878" s="251">
        <v>24.03</v>
      </c>
      <c r="T878" s="251">
        <v>24.03</v>
      </c>
      <c r="U878" s="251">
        <v>24.03</v>
      </c>
      <c r="V878" s="251">
        <v>24.03</v>
      </c>
      <c r="W878" s="251">
        <v>24.03</v>
      </c>
      <c r="X878" s="251">
        <v>24.03</v>
      </c>
      <c r="Y878" s="251">
        <v>24.03</v>
      </c>
      <c r="Z878" s="245">
        <f ca="1">[1]ExtEntry!$N78</f>
        <v>24.03</v>
      </c>
      <c r="AB878" s="275">
        <v>5</v>
      </c>
      <c r="AC878" s="275">
        <v>6</v>
      </c>
      <c r="AD878" s="275">
        <v>8</v>
      </c>
      <c r="AE878" s="275">
        <v>4</v>
      </c>
      <c r="AF878" s="275">
        <v>9</v>
      </c>
      <c r="AG878" s="275">
        <v>1</v>
      </c>
      <c r="AH878" s="275">
        <v>14</v>
      </c>
      <c r="AI878" s="275">
        <v>14</v>
      </c>
      <c r="AJ878" s="275">
        <v>15</v>
      </c>
      <c r="AK878" s="275">
        <v>1</v>
      </c>
      <c r="AL878" s="275">
        <v>19</v>
      </c>
      <c r="AM878" s="275">
        <v>14</v>
      </c>
      <c r="AN878" s="275">
        <v>15</v>
      </c>
      <c r="AO878" s="275">
        <v>15</v>
      </c>
      <c r="AP878" s="275">
        <v>3</v>
      </c>
      <c r="AQ878" s="275">
        <v>9</v>
      </c>
      <c r="AR878" s="275">
        <v>4</v>
      </c>
      <c r="AS878" s="275">
        <v>12</v>
      </c>
      <c r="AT878" s="275">
        <v>7</v>
      </c>
      <c r="AU878" s="275">
        <v>12</v>
      </c>
      <c r="AV878" s="275">
        <f t="shared" si="70"/>
        <v>12</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v>
      </c>
      <c r="AC879" s="275">
        <v>7</v>
      </c>
      <c r="AD879" s="275">
        <v>3</v>
      </c>
      <c r="AE879" s="275">
        <v>20</v>
      </c>
      <c r="AF879" s="275">
        <v>17</v>
      </c>
      <c r="AG879" s="275">
        <v>8</v>
      </c>
      <c r="AH879" s="275">
        <v>14</v>
      </c>
      <c r="AI879" s="275">
        <v>13</v>
      </c>
      <c r="AJ879" s="275">
        <v>5</v>
      </c>
      <c r="AK879" s="275">
        <v>8</v>
      </c>
      <c r="AL879" s="275">
        <v>11</v>
      </c>
      <c r="AM879" s="275">
        <v>5</v>
      </c>
      <c r="AN879" s="275">
        <v>19</v>
      </c>
      <c r="AO879" s="275">
        <v>14</v>
      </c>
      <c r="AP879" s="275">
        <v>9</v>
      </c>
      <c r="AQ879" s="275">
        <v>2</v>
      </c>
      <c r="AR879" s="275">
        <v>18</v>
      </c>
      <c r="AS879" s="275">
        <v>17</v>
      </c>
      <c r="AT879" s="275">
        <v>15</v>
      </c>
      <c r="AU879" s="275">
        <v>7</v>
      </c>
      <c r="AV879" s="275">
        <f t="shared" si="70"/>
        <v>7</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v>
      </c>
      <c r="AC880" s="275">
        <v>2</v>
      </c>
      <c r="AD880" s="275">
        <v>10</v>
      </c>
      <c r="AE880" s="275">
        <v>16</v>
      </c>
      <c r="AF880" s="275">
        <v>3</v>
      </c>
      <c r="AG880" s="275">
        <v>17</v>
      </c>
      <c r="AH880" s="275">
        <v>20</v>
      </c>
      <c r="AI880" s="275">
        <v>19</v>
      </c>
      <c r="AJ880" s="275">
        <v>3</v>
      </c>
      <c r="AK880" s="275">
        <v>8</v>
      </c>
      <c r="AL880" s="275">
        <v>15</v>
      </c>
      <c r="AM880" s="275">
        <v>14</v>
      </c>
      <c r="AN880" s="275">
        <v>20</v>
      </c>
      <c r="AO880" s="275">
        <v>17</v>
      </c>
      <c r="AP880" s="275">
        <v>8</v>
      </c>
      <c r="AQ880" s="275">
        <v>16</v>
      </c>
      <c r="AR880" s="275">
        <v>8</v>
      </c>
      <c r="AS880" s="275">
        <v>15</v>
      </c>
      <c r="AT880" s="275">
        <v>8</v>
      </c>
      <c r="AU880" s="275">
        <v>4</v>
      </c>
      <c r="AV880" s="275">
        <f t="shared" si="70"/>
        <v>4</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1.08</v>
      </c>
      <c r="T881" s="251">
        <v>1.08</v>
      </c>
      <c r="U881" s="251">
        <v>1.08</v>
      </c>
      <c r="V881" s="251">
        <v>1.08</v>
      </c>
      <c r="W881" s="251">
        <v>1.01</v>
      </c>
      <c r="X881" s="251">
        <v>0.81120000000000003</v>
      </c>
      <c r="Y881" s="251">
        <v>0.81120000000000003</v>
      </c>
      <c r="Z881" s="245">
        <f ca="1">[1]ExtEntry!$N81</f>
        <v>0.81120000000000003</v>
      </c>
      <c r="AB881" s="275">
        <v>20</v>
      </c>
      <c r="AC881" s="275">
        <v>14</v>
      </c>
      <c r="AD881" s="275">
        <v>16</v>
      </c>
      <c r="AE881" s="275">
        <v>14</v>
      </c>
      <c r="AF881" s="275">
        <v>2</v>
      </c>
      <c r="AG881" s="275">
        <v>10</v>
      </c>
      <c r="AH881" s="275">
        <v>19</v>
      </c>
      <c r="AI881" s="275">
        <v>18</v>
      </c>
      <c r="AJ881" s="275">
        <v>5</v>
      </c>
      <c r="AK881" s="275">
        <v>1</v>
      </c>
      <c r="AL881" s="275">
        <v>6</v>
      </c>
      <c r="AM881" s="275">
        <v>9</v>
      </c>
      <c r="AN881" s="275">
        <v>6</v>
      </c>
      <c r="AO881" s="275">
        <v>7</v>
      </c>
      <c r="AP881" s="275">
        <v>11</v>
      </c>
      <c r="AQ881" s="275">
        <v>13</v>
      </c>
      <c r="AR881" s="275">
        <v>12</v>
      </c>
      <c r="AS881" s="275">
        <v>17</v>
      </c>
      <c r="AT881" s="275">
        <v>10</v>
      </c>
      <c r="AU881" s="275">
        <v>7</v>
      </c>
      <c r="AV881" s="275">
        <f t="shared" si="70"/>
        <v>7</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7</v>
      </c>
      <c r="AC882" s="275">
        <v>14</v>
      </c>
      <c r="AD882" s="275">
        <v>19</v>
      </c>
      <c r="AE882" s="275">
        <v>7</v>
      </c>
      <c r="AF882" s="275">
        <v>6</v>
      </c>
      <c r="AG882" s="275">
        <v>20</v>
      </c>
      <c r="AH882" s="275">
        <v>17</v>
      </c>
      <c r="AI882" s="275">
        <v>16</v>
      </c>
      <c r="AJ882" s="275">
        <v>10</v>
      </c>
      <c r="AK882" s="275">
        <v>1</v>
      </c>
      <c r="AL882" s="275">
        <v>6</v>
      </c>
      <c r="AM882" s="275">
        <v>20</v>
      </c>
      <c r="AN882" s="275">
        <v>9</v>
      </c>
      <c r="AO882" s="275">
        <v>8</v>
      </c>
      <c r="AP882" s="275">
        <v>17</v>
      </c>
      <c r="AQ882" s="275">
        <v>12</v>
      </c>
      <c r="AR882" s="275">
        <v>2</v>
      </c>
      <c r="AS882" s="275">
        <v>13</v>
      </c>
      <c r="AT882" s="275">
        <v>13</v>
      </c>
      <c r="AU882" s="275">
        <v>6</v>
      </c>
      <c r="AV882" s="275">
        <f t="shared" si="70"/>
        <v>6</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v>
      </c>
      <c r="AC883" s="275">
        <v>6</v>
      </c>
      <c r="AD883" s="275">
        <v>14</v>
      </c>
      <c r="AE883" s="275">
        <v>8</v>
      </c>
      <c r="AF883" s="275">
        <v>3</v>
      </c>
      <c r="AG883" s="275">
        <v>8</v>
      </c>
      <c r="AH883" s="275">
        <v>19</v>
      </c>
      <c r="AI883" s="275">
        <v>18</v>
      </c>
      <c r="AJ883" s="275">
        <v>20</v>
      </c>
      <c r="AK883" s="275">
        <v>4</v>
      </c>
      <c r="AL883" s="275">
        <v>11</v>
      </c>
      <c r="AM883" s="275">
        <v>19</v>
      </c>
      <c r="AN883" s="275">
        <v>14</v>
      </c>
      <c r="AO883" s="275">
        <v>16</v>
      </c>
      <c r="AP883" s="275">
        <v>1</v>
      </c>
      <c r="AQ883" s="275">
        <v>11</v>
      </c>
      <c r="AR883" s="275">
        <v>3</v>
      </c>
      <c r="AS883" s="275">
        <v>12</v>
      </c>
      <c r="AT883" s="275">
        <v>10</v>
      </c>
      <c r="AU883" s="275">
        <v>11</v>
      </c>
      <c r="AV883" s="275">
        <f t="shared" si="70"/>
        <v>11</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v>
      </c>
      <c r="AC884" s="275">
        <v>16</v>
      </c>
      <c r="AD884" s="275">
        <v>19</v>
      </c>
      <c r="AE884" s="275">
        <v>1</v>
      </c>
      <c r="AF884" s="275">
        <v>3</v>
      </c>
      <c r="AG884" s="275">
        <v>4</v>
      </c>
      <c r="AH884" s="275">
        <v>12</v>
      </c>
      <c r="AI884" s="275">
        <v>12</v>
      </c>
      <c r="AJ884" s="275">
        <v>8</v>
      </c>
      <c r="AK884" s="275">
        <v>13</v>
      </c>
      <c r="AL884" s="275">
        <v>15</v>
      </c>
      <c r="AM884" s="275">
        <v>17</v>
      </c>
      <c r="AN884" s="275">
        <v>13</v>
      </c>
      <c r="AO884" s="275">
        <v>2</v>
      </c>
      <c r="AP884" s="275">
        <v>8</v>
      </c>
      <c r="AQ884" s="275">
        <v>12</v>
      </c>
      <c r="AR884" s="275">
        <v>15</v>
      </c>
      <c r="AS884" s="275">
        <v>18</v>
      </c>
      <c r="AT884" s="275">
        <v>19</v>
      </c>
      <c r="AU884" s="275">
        <v>14</v>
      </c>
      <c r="AV884" s="275">
        <f t="shared" si="70"/>
        <v>14</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4</v>
      </c>
      <c r="AC885" s="275">
        <v>10</v>
      </c>
      <c r="AD885" s="275">
        <v>20</v>
      </c>
      <c r="AE885" s="275">
        <v>19</v>
      </c>
      <c r="AF885" s="275">
        <v>2</v>
      </c>
      <c r="AG885" s="275">
        <v>14</v>
      </c>
      <c r="AH885" s="275">
        <v>13</v>
      </c>
      <c r="AI885" s="275">
        <v>12</v>
      </c>
      <c r="AJ885" s="275">
        <v>12</v>
      </c>
      <c r="AK885" s="275">
        <v>5</v>
      </c>
      <c r="AL885" s="275">
        <v>5</v>
      </c>
      <c r="AM885" s="275">
        <v>14</v>
      </c>
      <c r="AN885" s="275">
        <v>8</v>
      </c>
      <c r="AO885" s="275">
        <v>19</v>
      </c>
      <c r="AP885" s="275">
        <v>4</v>
      </c>
      <c r="AQ885" s="275">
        <v>9</v>
      </c>
      <c r="AR885" s="275">
        <v>15</v>
      </c>
      <c r="AS885" s="275">
        <v>11</v>
      </c>
      <c r="AT885" s="275">
        <v>17</v>
      </c>
      <c r="AU885" s="275">
        <v>16</v>
      </c>
      <c r="AV885" s="275">
        <f t="shared" si="70"/>
        <v>16</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5</v>
      </c>
      <c r="AC886" s="275">
        <v>13</v>
      </c>
      <c r="AD886" s="275">
        <v>8</v>
      </c>
      <c r="AE886" s="275">
        <v>10</v>
      </c>
      <c r="AF886" s="275">
        <v>10</v>
      </c>
      <c r="AG886" s="275">
        <v>13</v>
      </c>
      <c r="AH886" s="275">
        <v>12</v>
      </c>
      <c r="AI886" s="275">
        <v>11</v>
      </c>
      <c r="AJ886" s="275">
        <v>11</v>
      </c>
      <c r="AK886" s="275">
        <v>20</v>
      </c>
      <c r="AL886" s="275">
        <v>20</v>
      </c>
      <c r="AM886" s="275">
        <v>20</v>
      </c>
      <c r="AN886" s="275">
        <v>3</v>
      </c>
      <c r="AO886" s="275">
        <v>3</v>
      </c>
      <c r="AP886" s="275">
        <v>7</v>
      </c>
      <c r="AQ886" s="275">
        <v>1</v>
      </c>
      <c r="AR886" s="275">
        <v>12</v>
      </c>
      <c r="AS886" s="275">
        <v>15</v>
      </c>
      <c r="AT886" s="275">
        <v>19</v>
      </c>
      <c r="AU886" s="275">
        <v>16</v>
      </c>
      <c r="AV886" s="275">
        <f t="shared" si="70"/>
        <v>16</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4</v>
      </c>
      <c r="AC887" s="275">
        <v>1</v>
      </c>
      <c r="AD887" s="275">
        <v>10</v>
      </c>
      <c r="AE887" s="275">
        <v>2</v>
      </c>
      <c r="AF887" s="275">
        <v>18</v>
      </c>
      <c r="AG887" s="275">
        <v>12</v>
      </c>
      <c r="AH887" s="275">
        <v>13</v>
      </c>
      <c r="AI887" s="275">
        <v>13</v>
      </c>
      <c r="AJ887" s="275">
        <v>8</v>
      </c>
      <c r="AK887" s="275">
        <v>20</v>
      </c>
      <c r="AL887" s="275">
        <v>14</v>
      </c>
      <c r="AM887" s="275">
        <v>8</v>
      </c>
      <c r="AN887" s="275">
        <v>6</v>
      </c>
      <c r="AO887" s="275">
        <v>16</v>
      </c>
      <c r="AP887" s="275">
        <v>12</v>
      </c>
      <c r="AQ887" s="275">
        <v>3</v>
      </c>
      <c r="AR887" s="275">
        <v>4</v>
      </c>
      <c r="AS887" s="275">
        <v>20</v>
      </c>
      <c r="AT887" s="275">
        <v>19</v>
      </c>
      <c r="AU887" s="275">
        <v>17</v>
      </c>
      <c r="AV887" s="275">
        <f t="shared" si="70"/>
        <v>17</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12</v>
      </c>
      <c r="AC888" s="275">
        <v>14</v>
      </c>
      <c r="AD888" s="275">
        <v>17</v>
      </c>
      <c r="AE888" s="275">
        <v>11</v>
      </c>
      <c r="AF888" s="275">
        <v>8</v>
      </c>
      <c r="AG888" s="275">
        <v>11</v>
      </c>
      <c r="AH888" s="275">
        <v>1</v>
      </c>
      <c r="AI888" s="275">
        <v>1</v>
      </c>
      <c r="AJ888" s="275">
        <v>1</v>
      </c>
      <c r="AK888" s="275">
        <v>14</v>
      </c>
      <c r="AL888" s="275">
        <v>13</v>
      </c>
      <c r="AM888" s="275">
        <v>19</v>
      </c>
      <c r="AN888" s="275">
        <v>7</v>
      </c>
      <c r="AO888" s="275">
        <v>19</v>
      </c>
      <c r="AP888" s="275">
        <v>14</v>
      </c>
      <c r="AQ888" s="275">
        <v>4</v>
      </c>
      <c r="AR888" s="275">
        <v>2</v>
      </c>
      <c r="AS888" s="275">
        <v>5</v>
      </c>
      <c r="AT888" s="275">
        <v>5</v>
      </c>
      <c r="AU888" s="275">
        <v>19</v>
      </c>
      <c r="AV888" s="275">
        <f t="shared" si="70"/>
        <v>19</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16</v>
      </c>
      <c r="AC889" s="275">
        <v>15</v>
      </c>
      <c r="AD889" s="275">
        <v>14</v>
      </c>
      <c r="AE889" s="275">
        <v>3</v>
      </c>
      <c r="AF889" s="275">
        <v>6</v>
      </c>
      <c r="AG889" s="275">
        <v>7</v>
      </c>
      <c r="AH889" s="275">
        <v>12</v>
      </c>
      <c r="AI889" s="275">
        <v>11</v>
      </c>
      <c r="AJ889" s="275">
        <v>9</v>
      </c>
      <c r="AK889" s="275">
        <v>7</v>
      </c>
      <c r="AL889" s="275">
        <v>8</v>
      </c>
      <c r="AM889" s="275">
        <v>17</v>
      </c>
      <c r="AN889" s="275">
        <v>6</v>
      </c>
      <c r="AO889" s="275">
        <v>17</v>
      </c>
      <c r="AP889" s="275">
        <v>1</v>
      </c>
      <c r="AQ889" s="275">
        <v>3</v>
      </c>
      <c r="AR889" s="275">
        <v>10</v>
      </c>
      <c r="AS889" s="275">
        <v>20</v>
      </c>
      <c r="AT889" s="275">
        <v>1</v>
      </c>
      <c r="AU889" s="275">
        <v>19</v>
      </c>
      <c r="AV889" s="275">
        <f t="shared" si="70"/>
        <v>19</v>
      </c>
      <c r="AX889" s="88" t="str">
        <f t="shared" ca="1" si="71"/>
        <v>PFE</v>
      </c>
    </row>
    <row r="890" spans="1:70" hidden="1" x14ac:dyDescent="0.3">
      <c r="A890" s="88" t="str">
        <f t="shared" ca="1" si="72"/>
        <v>RIG</v>
      </c>
      <c r="F890" s="251">
        <v>28.99</v>
      </c>
      <c r="G890" s="251">
        <v>28.99</v>
      </c>
      <c r="H890" s="251">
        <v>28.99</v>
      </c>
      <c r="I890" s="251">
        <v>28.99</v>
      </c>
      <c r="J890" s="251">
        <v>29.48</v>
      </c>
      <c r="K890" s="251">
        <v>29.48</v>
      </c>
      <c r="L890" s="251">
        <v>29.48</v>
      </c>
      <c r="M890" s="251">
        <v>29.48</v>
      </c>
      <c r="N890" s="251">
        <v>29.48</v>
      </c>
      <c r="O890" s="251">
        <v>29.48</v>
      </c>
      <c r="P890" s="251">
        <v>29.48</v>
      </c>
      <c r="Q890" s="251">
        <v>29.48</v>
      </c>
      <c r="R890" s="251">
        <v>29.48</v>
      </c>
      <c r="S890" s="251">
        <v>29.81</v>
      </c>
      <c r="T890" s="251">
        <v>30.32</v>
      </c>
      <c r="U890" s="251">
        <v>30.32</v>
      </c>
      <c r="V890" s="251">
        <v>30.32</v>
      </c>
      <c r="W890" s="251">
        <v>30.32</v>
      </c>
      <c r="X890" s="251">
        <v>30.32</v>
      </c>
      <c r="Y890" s="251">
        <v>30.32</v>
      </c>
      <c r="Z890" s="245">
        <f ca="1">[1]ExtEntry!$N90</f>
        <v>30.32</v>
      </c>
      <c r="AB890" s="275">
        <v>16</v>
      </c>
      <c r="AC890" s="275">
        <v>1</v>
      </c>
      <c r="AD890" s="275">
        <v>15</v>
      </c>
      <c r="AE890" s="275">
        <v>10</v>
      </c>
      <c r="AF890" s="275">
        <v>12</v>
      </c>
      <c r="AG890" s="275">
        <v>12</v>
      </c>
      <c r="AH890" s="275">
        <v>3</v>
      </c>
      <c r="AI890" s="275">
        <v>3</v>
      </c>
      <c r="AJ890" s="275">
        <v>1</v>
      </c>
      <c r="AK890" s="275">
        <v>14</v>
      </c>
      <c r="AL890" s="275">
        <v>15</v>
      </c>
      <c r="AM890" s="275">
        <v>20</v>
      </c>
      <c r="AN890" s="275">
        <v>6</v>
      </c>
      <c r="AO890" s="275">
        <v>14</v>
      </c>
      <c r="AP890" s="275">
        <v>12</v>
      </c>
      <c r="AQ890" s="275">
        <v>9</v>
      </c>
      <c r="AR890" s="275">
        <v>7</v>
      </c>
      <c r="AS890" s="275">
        <v>13</v>
      </c>
      <c r="AT890" s="275">
        <v>8</v>
      </c>
      <c r="AU890" s="275">
        <v>15</v>
      </c>
      <c r="AV890" s="275">
        <f t="shared" si="70"/>
        <v>15</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17</v>
      </c>
      <c r="AC891" s="275">
        <v>3</v>
      </c>
      <c r="AD891" s="275">
        <v>20</v>
      </c>
      <c r="AE891" s="275">
        <v>9</v>
      </c>
      <c r="AF891" s="275">
        <v>2</v>
      </c>
      <c r="AG891" s="275">
        <v>15</v>
      </c>
      <c r="AH891" s="275">
        <v>15</v>
      </c>
      <c r="AI891" s="275">
        <v>14</v>
      </c>
      <c r="AJ891" s="275">
        <v>2</v>
      </c>
      <c r="AK891" s="275">
        <v>10</v>
      </c>
      <c r="AL891" s="275">
        <v>11</v>
      </c>
      <c r="AM891" s="275">
        <v>13</v>
      </c>
      <c r="AN891" s="275">
        <v>13</v>
      </c>
      <c r="AO891" s="275">
        <v>8</v>
      </c>
      <c r="AP891" s="275">
        <v>10</v>
      </c>
      <c r="AQ891" s="275">
        <v>11</v>
      </c>
      <c r="AR891" s="275">
        <v>4</v>
      </c>
      <c r="AS891" s="275">
        <v>7</v>
      </c>
      <c r="AT891" s="275">
        <v>4</v>
      </c>
      <c r="AU891" s="275">
        <v>11</v>
      </c>
      <c r="AV891" s="275">
        <f t="shared" si="70"/>
        <v>11</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8</v>
      </c>
      <c r="AC892" s="275">
        <v>12</v>
      </c>
      <c r="AD892" s="275">
        <v>18</v>
      </c>
      <c r="AE892" s="275">
        <v>7</v>
      </c>
      <c r="AF892" s="275">
        <v>4</v>
      </c>
      <c r="AG892" s="275">
        <v>6</v>
      </c>
      <c r="AH892" s="275">
        <v>18</v>
      </c>
      <c r="AI892" s="275">
        <v>17</v>
      </c>
      <c r="AJ892" s="275">
        <v>2</v>
      </c>
      <c r="AK892" s="275">
        <v>10</v>
      </c>
      <c r="AL892" s="275">
        <v>11</v>
      </c>
      <c r="AM892" s="275">
        <v>14</v>
      </c>
      <c r="AN892" s="275">
        <v>20</v>
      </c>
      <c r="AO892" s="275">
        <v>17</v>
      </c>
      <c r="AP892" s="275">
        <v>7</v>
      </c>
      <c r="AQ892" s="275">
        <v>19</v>
      </c>
      <c r="AR892" s="275">
        <v>20</v>
      </c>
      <c r="AS892" s="275">
        <v>17</v>
      </c>
      <c r="AT892" s="275">
        <v>13</v>
      </c>
      <c r="AU892" s="275">
        <v>10</v>
      </c>
      <c r="AV892" s="275">
        <f t="shared" si="70"/>
        <v>10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2</v>
      </c>
      <c r="AC893" s="275">
        <v>8</v>
      </c>
      <c r="AD893" s="275">
        <v>11</v>
      </c>
      <c r="AE893" s="275">
        <v>9</v>
      </c>
      <c r="AF893" s="275">
        <v>6</v>
      </c>
      <c r="AG893" s="275">
        <v>11</v>
      </c>
      <c r="AH893" s="275">
        <v>5</v>
      </c>
      <c r="AI893" s="275">
        <v>4</v>
      </c>
      <c r="AJ893" s="275">
        <v>8</v>
      </c>
      <c r="AK893" s="275">
        <v>3</v>
      </c>
      <c r="AL893" s="275">
        <v>2</v>
      </c>
      <c r="AM893" s="275">
        <v>20</v>
      </c>
      <c r="AN893" s="275">
        <v>16</v>
      </c>
      <c r="AO893" s="275">
        <v>2</v>
      </c>
      <c r="AP893" s="275">
        <v>12</v>
      </c>
      <c r="AQ893" s="275">
        <v>16</v>
      </c>
      <c r="AR893" s="275">
        <v>12</v>
      </c>
      <c r="AS893" s="275">
        <v>18</v>
      </c>
      <c r="AT893" s="275">
        <v>13</v>
      </c>
      <c r="AU893" s="275">
        <v>14</v>
      </c>
      <c r="AV893" s="275">
        <f t="shared" si="70"/>
        <v>14</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099">
        <v>508.4</v>
      </c>
      <c r="K895" s="245">
        <v>508.4</v>
      </c>
      <c r="L895" s="1100">
        <v>508.4</v>
      </c>
      <c r="M895" s="241">
        <v>508.4</v>
      </c>
      <c r="N895" s="243">
        <v>508.4</v>
      </c>
      <c r="O895" s="1101">
        <v>508.4</v>
      </c>
      <c r="P895" s="1101">
        <v>508.4</v>
      </c>
      <c r="Q895" s="243">
        <v>508.4</v>
      </c>
      <c r="R895" s="247">
        <v>508.4</v>
      </c>
      <c r="S895" s="243">
        <v>508.4</v>
      </c>
      <c r="T895" s="243">
        <v>508.4</v>
      </c>
      <c r="U895" s="243">
        <v>508.4</v>
      </c>
      <c r="V895" s="243">
        <v>508.4</v>
      </c>
      <c r="W895" s="1102">
        <v>508.4</v>
      </c>
      <c r="X895" s="345">
        <v>508.4</v>
      </c>
      <c r="Y895" s="243">
        <v>508.4</v>
      </c>
      <c r="Z895" s="245">
        <f ca="1">[1]ExtEntry!$N95</f>
        <v>508.4</v>
      </c>
      <c r="AB895" s="275">
        <v>16</v>
      </c>
      <c r="AC895" s="275">
        <v>3</v>
      </c>
      <c r="AD895" s="275">
        <v>9</v>
      </c>
      <c r="AE895" s="275">
        <v>19</v>
      </c>
      <c r="AF895" s="275">
        <v>4</v>
      </c>
      <c r="AG895" s="275">
        <v>1</v>
      </c>
      <c r="AH895" s="275">
        <v>15</v>
      </c>
      <c r="AI895" s="275">
        <v>15</v>
      </c>
      <c r="AJ895" s="275">
        <v>9</v>
      </c>
      <c r="AK895" s="275">
        <v>2</v>
      </c>
      <c r="AL895" s="275">
        <v>8</v>
      </c>
      <c r="AM895" s="275">
        <v>13</v>
      </c>
      <c r="AN895" s="275">
        <v>14</v>
      </c>
      <c r="AO895" s="275">
        <v>18</v>
      </c>
      <c r="AP895" s="275">
        <v>13</v>
      </c>
      <c r="AQ895" s="275">
        <v>17</v>
      </c>
      <c r="AR895" s="275">
        <v>11</v>
      </c>
      <c r="AS895" s="275">
        <v>19</v>
      </c>
      <c r="AT895" s="275">
        <v>4</v>
      </c>
      <c r="AU895" s="275">
        <v>6</v>
      </c>
      <c r="AV895" s="275">
        <f t="shared" si="70"/>
        <v>6</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3</v>
      </c>
      <c r="AD896" s="275">
        <v>6</v>
      </c>
      <c r="AE896" s="275">
        <v>10</v>
      </c>
      <c r="AF896" s="275">
        <v>4</v>
      </c>
      <c r="AG896" s="275">
        <v>14</v>
      </c>
      <c r="AH896" s="275">
        <v>15</v>
      </c>
      <c r="AI896" s="275">
        <v>15</v>
      </c>
      <c r="AJ896" s="275">
        <v>5</v>
      </c>
      <c r="AK896" s="275">
        <v>8</v>
      </c>
      <c r="AL896" s="275">
        <v>7</v>
      </c>
      <c r="AM896" s="275">
        <v>12</v>
      </c>
      <c r="AN896" s="275">
        <v>6</v>
      </c>
      <c r="AO896" s="275">
        <v>15</v>
      </c>
      <c r="AP896" s="275">
        <v>16</v>
      </c>
      <c r="AQ896" s="275">
        <v>17</v>
      </c>
      <c r="AR896" s="275">
        <v>20</v>
      </c>
      <c r="AS896" s="275">
        <v>12</v>
      </c>
      <c r="AT896" s="275">
        <v>12</v>
      </c>
      <c r="AU896" s="275">
        <v>3</v>
      </c>
      <c r="AV896" s="275">
        <f t="shared" si="70"/>
        <v>3</v>
      </c>
      <c r="AX896" s="88" t="str">
        <f t="shared" ca="1" si="71"/>
        <v>JBASML</v>
      </c>
    </row>
    <row r="897" spans="1:70" x14ac:dyDescent="0.3">
      <c r="A897" s="88" t="str">
        <f t="shared" ca="1" si="72"/>
        <v>JBEOAN</v>
      </c>
      <c r="AB897" s="275">
        <v>4</v>
      </c>
      <c r="AC897" s="275">
        <v>19</v>
      </c>
      <c r="AD897" s="275">
        <v>12</v>
      </c>
      <c r="AE897" s="275">
        <v>14</v>
      </c>
      <c r="AF897" s="275">
        <v>4</v>
      </c>
      <c r="AG897" s="275">
        <v>18</v>
      </c>
      <c r="AH897" s="275">
        <v>20</v>
      </c>
      <c r="AI897" s="275">
        <v>19</v>
      </c>
      <c r="AJ897" s="275">
        <v>16</v>
      </c>
      <c r="AK897" s="275">
        <v>6</v>
      </c>
      <c r="AL897" s="275">
        <v>10</v>
      </c>
      <c r="AM897" s="275">
        <v>4</v>
      </c>
      <c r="AN897" s="275">
        <v>14</v>
      </c>
      <c r="AO897" s="275">
        <v>17</v>
      </c>
      <c r="AP897" s="275">
        <v>1</v>
      </c>
      <c r="AQ897" s="275">
        <v>10</v>
      </c>
      <c r="AR897" s="275">
        <v>10</v>
      </c>
      <c r="AS897" s="275">
        <v>11</v>
      </c>
      <c r="AT897" s="275">
        <v>15</v>
      </c>
      <c r="AU897" s="275">
        <v>12</v>
      </c>
      <c r="AV897" s="275">
        <f t="shared" si="70"/>
        <v>12</v>
      </c>
      <c r="AX897" s="88" t="str">
        <f t="shared" ca="1" si="71"/>
        <v>JBEOAN</v>
      </c>
    </row>
    <row r="898" spans="1:70" x14ac:dyDescent="0.3">
      <c r="A898" s="88"/>
      <c r="AX898" s="88"/>
    </row>
    <row r="899" spans="1:70" x14ac:dyDescent="0.3">
      <c r="A899" s="88"/>
      <c r="AX899" s="88"/>
    </row>
    <row r="900" spans="1:70" ht="26" x14ac:dyDescent="0.3">
      <c r="A900" s="88"/>
      <c r="E900" s="1148"/>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45952</v>
      </c>
      <c r="G901" s="117">
        <f t="shared" ca="1" si="73"/>
        <v>45953</v>
      </c>
      <c r="H901" s="117">
        <f t="shared" ca="1" si="73"/>
        <v>45954</v>
      </c>
      <c r="I901" s="117">
        <f t="shared" ca="1" si="73"/>
        <v>45957</v>
      </c>
      <c r="J901" s="117">
        <f t="shared" ca="1" si="73"/>
        <v>45958</v>
      </c>
      <c r="K901" s="117">
        <f t="shared" ca="1" si="73"/>
        <v>45959</v>
      </c>
      <c r="L901" s="117">
        <f t="shared" ca="1" si="73"/>
        <v>45960</v>
      </c>
      <c r="M901" s="117">
        <f t="shared" ca="1" si="73"/>
        <v>45961</v>
      </c>
      <c r="N901" s="117">
        <f t="shared" ca="1" si="73"/>
        <v>45964</v>
      </c>
      <c r="O901" s="117">
        <f t="shared" ca="1" si="73"/>
        <v>45965</v>
      </c>
      <c r="P901" s="117">
        <f t="shared" ca="1" si="73"/>
        <v>45966</v>
      </c>
      <c r="Q901" s="117">
        <f t="shared" ca="1" si="73"/>
        <v>45967</v>
      </c>
      <c r="R901" s="117">
        <f t="shared" ca="1" si="73"/>
        <v>45968</v>
      </c>
      <c r="S901" s="117">
        <f t="shared" ca="1" si="73"/>
        <v>45971</v>
      </c>
      <c r="T901" s="117">
        <f t="shared" ca="1" si="73"/>
        <v>45972</v>
      </c>
      <c r="U901" s="117">
        <f t="shared" ca="1" si="73"/>
        <v>45973</v>
      </c>
      <c r="V901" s="117">
        <f t="shared" ca="1" si="73"/>
        <v>45974</v>
      </c>
      <c r="W901" s="117">
        <f t="shared" ca="1" si="73"/>
        <v>45975</v>
      </c>
      <c r="X901" s="117">
        <f t="shared" ca="1" si="73"/>
        <v>45978</v>
      </c>
      <c r="Y901" s="117">
        <f t="shared" ca="1" si="73"/>
        <v>45979</v>
      </c>
      <c r="Z901" s="117">
        <f t="shared" ca="1" si="73"/>
        <v>45980</v>
      </c>
      <c r="AB901" s="117">
        <f t="shared" ref="AB901:AV901" ca="1" si="74">F802</f>
        <v>45952</v>
      </c>
      <c r="AC901" s="117">
        <f t="shared" ca="1" si="74"/>
        <v>45953</v>
      </c>
      <c r="AD901" s="117">
        <f t="shared" ca="1" si="74"/>
        <v>45954</v>
      </c>
      <c r="AE901" s="117">
        <f t="shared" ca="1" si="74"/>
        <v>45957</v>
      </c>
      <c r="AF901" s="117">
        <f t="shared" ca="1" si="74"/>
        <v>45958</v>
      </c>
      <c r="AG901" s="117">
        <f t="shared" ca="1" si="74"/>
        <v>45959</v>
      </c>
      <c r="AH901" s="117">
        <f t="shared" ca="1" si="74"/>
        <v>45960</v>
      </c>
      <c r="AI901" s="117">
        <f t="shared" ca="1" si="74"/>
        <v>45961</v>
      </c>
      <c r="AJ901" s="117">
        <f t="shared" ca="1" si="74"/>
        <v>45964</v>
      </c>
      <c r="AK901" s="117">
        <f t="shared" ca="1" si="74"/>
        <v>45965</v>
      </c>
      <c r="AL901" s="117">
        <f t="shared" ca="1" si="74"/>
        <v>45966</v>
      </c>
      <c r="AM901" s="117">
        <f t="shared" ca="1" si="74"/>
        <v>45967</v>
      </c>
      <c r="AN901" s="117">
        <f t="shared" ca="1" si="74"/>
        <v>45968</v>
      </c>
      <c r="AO901" s="117">
        <f t="shared" ca="1" si="74"/>
        <v>45971</v>
      </c>
      <c r="AP901" s="117">
        <f t="shared" ca="1" si="74"/>
        <v>45972</v>
      </c>
      <c r="AQ901" s="117">
        <f t="shared" ca="1" si="74"/>
        <v>45973</v>
      </c>
      <c r="AR901" s="117">
        <f t="shared" ca="1" si="74"/>
        <v>45974</v>
      </c>
      <c r="AS901" s="117">
        <f t="shared" ca="1" si="74"/>
        <v>45975</v>
      </c>
      <c r="AT901" s="117">
        <f t="shared" ca="1" si="74"/>
        <v>45978</v>
      </c>
      <c r="AU901" s="117">
        <f t="shared" ca="1" si="74"/>
        <v>45979</v>
      </c>
      <c r="AV901" s="117">
        <f t="shared" ca="1" si="74"/>
        <v>45980</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264.375</v>
      </c>
      <c r="K903" s="243">
        <v>265.29000000000002</v>
      </c>
      <c r="L903" s="243">
        <v>265.29000000000002</v>
      </c>
      <c r="M903" s="243">
        <v>265.29000000000002</v>
      </c>
      <c r="N903" s="243">
        <v>265.29000000000002</v>
      </c>
      <c r="O903" s="243">
        <v>265.29000000000002</v>
      </c>
      <c r="P903" s="243">
        <v>269.12</v>
      </c>
      <c r="Q903" s="243">
        <v>269.89</v>
      </c>
      <c r="R903" s="243">
        <v>274.14</v>
      </c>
      <c r="S903" s="243">
        <v>277.32</v>
      </c>
      <c r="T903" s="243">
        <v>277.32</v>
      </c>
      <c r="U903" s="243">
        <v>277.32</v>
      </c>
      <c r="V903" s="243">
        <v>277.32</v>
      </c>
      <c r="W903" s="243">
        <v>277.32</v>
      </c>
      <c r="X903" s="243">
        <v>277.32</v>
      </c>
      <c r="Y903" s="243">
        <v>277.32</v>
      </c>
      <c r="Z903" s="245">
        <f ca="1">[1]ExtEntry!$O3</f>
        <v>277.32</v>
      </c>
      <c r="AB903" s="249">
        <v>69</v>
      </c>
      <c r="AC903" s="249">
        <v>69</v>
      </c>
      <c r="AD903" s="249">
        <v>68</v>
      </c>
      <c r="AE903" s="251">
        <v>66</v>
      </c>
      <c r="AF903" s="251">
        <v>68</v>
      </c>
      <c r="AG903" s="251">
        <v>62</v>
      </c>
      <c r="AH903" s="251">
        <v>59</v>
      </c>
      <c r="AI903" s="251">
        <v>56</v>
      </c>
      <c r="AJ903" s="251">
        <v>53</v>
      </c>
      <c r="AK903" s="251">
        <v>58</v>
      </c>
      <c r="AL903" s="251">
        <v>65</v>
      </c>
      <c r="AM903" s="251">
        <v>65</v>
      </c>
      <c r="AN903" s="251">
        <v>65</v>
      </c>
      <c r="AO903" s="275">
        <v>65</v>
      </c>
      <c r="AP903" s="275">
        <v>64</v>
      </c>
      <c r="AQ903" s="275">
        <v>65</v>
      </c>
      <c r="AR903" s="275">
        <v>61</v>
      </c>
      <c r="AS903" s="275">
        <v>66</v>
      </c>
      <c r="AT903" s="275">
        <v>72</v>
      </c>
      <c r="AU903" s="275">
        <v>72</v>
      </c>
      <c r="AV903" s="275">
        <f t="shared" ref="AV903:AV908" si="75">INT(100-100/(1+SUMIF(F605:Y605,"&gt;0",F605:Y605)/ABS(SUMIF(F605:Y605,"&lt;0",F605:Y605))))</f>
        <v>72</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56</v>
      </c>
      <c r="AC904" s="275">
        <v>60</v>
      </c>
      <c r="AD904" s="275">
        <v>46</v>
      </c>
      <c r="AE904" s="251">
        <v>45</v>
      </c>
      <c r="AF904" s="251">
        <v>47</v>
      </c>
      <c r="AG904" s="251">
        <v>47</v>
      </c>
      <c r="AH904" s="251">
        <v>46</v>
      </c>
      <c r="AI904" s="251">
        <v>45</v>
      </c>
      <c r="AJ904" s="251">
        <v>46</v>
      </c>
      <c r="AK904" s="251">
        <v>48</v>
      </c>
      <c r="AL904" s="251">
        <v>53</v>
      </c>
      <c r="AM904" s="251">
        <v>54</v>
      </c>
      <c r="AN904" s="251">
        <v>48</v>
      </c>
      <c r="AO904" s="275">
        <v>36</v>
      </c>
      <c r="AP904" s="275">
        <v>44</v>
      </c>
      <c r="AQ904" s="275">
        <v>50</v>
      </c>
      <c r="AR904" s="275">
        <v>54</v>
      </c>
      <c r="AS904" s="275">
        <v>53</v>
      </c>
      <c r="AT904" s="275">
        <v>53</v>
      </c>
      <c r="AU904" s="275">
        <v>52</v>
      </c>
      <c r="AV904" s="275">
        <f t="shared" si="75"/>
        <v>52</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35</v>
      </c>
      <c r="AC905" s="275">
        <v>36</v>
      </c>
      <c r="AD905" s="275">
        <v>30</v>
      </c>
      <c r="AE905" s="251">
        <v>36</v>
      </c>
      <c r="AF905" s="251">
        <v>39</v>
      </c>
      <c r="AG905" s="251">
        <v>45</v>
      </c>
      <c r="AH905" s="251">
        <v>38</v>
      </c>
      <c r="AI905" s="251">
        <v>38</v>
      </c>
      <c r="AJ905" s="251">
        <v>42</v>
      </c>
      <c r="AK905" s="251">
        <v>47</v>
      </c>
      <c r="AL905" s="251">
        <v>47</v>
      </c>
      <c r="AM905" s="251">
        <v>44</v>
      </c>
      <c r="AN905" s="251">
        <v>52</v>
      </c>
      <c r="AO905" s="275">
        <v>42</v>
      </c>
      <c r="AP905" s="275">
        <v>47</v>
      </c>
      <c r="AQ905" s="275">
        <v>45</v>
      </c>
      <c r="AR905" s="275">
        <v>46</v>
      </c>
      <c r="AS905" s="275">
        <v>46</v>
      </c>
      <c r="AT905" s="275">
        <v>47</v>
      </c>
      <c r="AU905" s="275">
        <v>42</v>
      </c>
      <c r="AV905" s="275">
        <f t="shared" si="75"/>
        <v>42</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258.60000000000002</v>
      </c>
      <c r="T906" s="251">
        <v>258.60000000000002</v>
      </c>
      <c r="U906" s="251">
        <v>258.60000000000002</v>
      </c>
      <c r="V906" s="251">
        <v>258.60000000000002</v>
      </c>
      <c r="W906" s="251">
        <v>258.60000000000002</v>
      </c>
      <c r="X906" s="251">
        <v>258.60000000000002</v>
      </c>
      <c r="Y906" s="251">
        <v>258.60000000000002</v>
      </c>
      <c r="Z906" s="245">
        <f ca="1">[1]ExtEntry!$O6</f>
        <v>258.60000000000002</v>
      </c>
      <c r="AB906" s="275">
        <v>49</v>
      </c>
      <c r="AC906" s="275">
        <v>45</v>
      </c>
      <c r="AD906" s="275">
        <v>44</v>
      </c>
      <c r="AE906" s="251">
        <v>42</v>
      </c>
      <c r="AF906" s="251">
        <v>46</v>
      </c>
      <c r="AG906" s="251">
        <v>55</v>
      </c>
      <c r="AH906" s="251">
        <v>58</v>
      </c>
      <c r="AI906" s="251">
        <v>54</v>
      </c>
      <c r="AJ906" s="251">
        <v>59</v>
      </c>
      <c r="AK906" s="251">
        <v>60</v>
      </c>
      <c r="AL906" s="251">
        <v>61</v>
      </c>
      <c r="AM906" s="251">
        <v>66</v>
      </c>
      <c r="AN906" s="251">
        <v>57</v>
      </c>
      <c r="AO906" s="275">
        <v>51</v>
      </c>
      <c r="AP906" s="275">
        <v>54</v>
      </c>
      <c r="AQ906" s="275">
        <v>49</v>
      </c>
      <c r="AR906" s="275">
        <v>47</v>
      </c>
      <c r="AS906" s="275">
        <v>43</v>
      </c>
      <c r="AT906" s="275">
        <v>35</v>
      </c>
      <c r="AU906" s="275">
        <v>31</v>
      </c>
      <c r="AV906" s="275">
        <f t="shared" si="75"/>
        <v>31</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40</v>
      </c>
      <c r="AC907" s="275">
        <v>40</v>
      </c>
      <c r="AD907" s="275">
        <v>42</v>
      </c>
      <c r="AE907" s="251">
        <v>45</v>
      </c>
      <c r="AF907" s="251">
        <v>48</v>
      </c>
      <c r="AG907" s="251">
        <v>44</v>
      </c>
      <c r="AH907" s="251">
        <v>69</v>
      </c>
      <c r="AI907" s="251">
        <v>72</v>
      </c>
      <c r="AJ907" s="251">
        <v>67</v>
      </c>
      <c r="AK907" s="251">
        <v>61</v>
      </c>
      <c r="AL907" s="251">
        <v>38</v>
      </c>
      <c r="AM907" s="251">
        <v>38</v>
      </c>
      <c r="AN907" s="251">
        <v>44</v>
      </c>
      <c r="AO907" s="275">
        <v>47</v>
      </c>
      <c r="AP907" s="275">
        <v>49</v>
      </c>
      <c r="AQ907" s="275">
        <v>46</v>
      </c>
      <c r="AR907" s="275">
        <v>52</v>
      </c>
      <c r="AS907" s="275">
        <v>35</v>
      </c>
      <c r="AT907" s="275">
        <v>33</v>
      </c>
      <c r="AU907" s="275">
        <v>36</v>
      </c>
      <c r="AV907" s="275">
        <f t="shared" si="75"/>
        <v>36</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914.2</v>
      </c>
      <c r="Q908" s="251">
        <v>914.2</v>
      </c>
      <c r="R908" s="251">
        <v>938.6</v>
      </c>
      <c r="S908" s="251">
        <v>926.1</v>
      </c>
      <c r="T908" s="251">
        <v>913.3</v>
      </c>
      <c r="U908" s="251">
        <v>912.6</v>
      </c>
      <c r="V908" s="251">
        <v>938.6</v>
      </c>
      <c r="W908" s="251">
        <v>938.6</v>
      </c>
      <c r="X908" s="251">
        <v>938.6</v>
      </c>
      <c r="Y908" s="251">
        <v>938.6</v>
      </c>
      <c r="Z908" s="245">
        <f ca="1">[1]ExtEntry!$O8</f>
        <v>938.6</v>
      </c>
      <c r="AB908" s="275">
        <v>73</v>
      </c>
      <c r="AC908" s="275">
        <v>76</v>
      </c>
      <c r="AD908" s="275">
        <v>70</v>
      </c>
      <c r="AE908" s="251">
        <v>70</v>
      </c>
      <c r="AF908" s="251">
        <v>72</v>
      </c>
      <c r="AG908" s="251">
        <v>68</v>
      </c>
      <c r="AH908" s="251">
        <v>61</v>
      </c>
      <c r="AI908" s="251">
        <v>60</v>
      </c>
      <c r="AJ908" s="251">
        <v>62</v>
      </c>
      <c r="AK908" s="251">
        <v>62</v>
      </c>
      <c r="AL908" s="251">
        <v>63</v>
      </c>
      <c r="AM908" s="251">
        <v>62</v>
      </c>
      <c r="AN908" s="251">
        <v>63</v>
      </c>
      <c r="AO908" s="249">
        <v>56</v>
      </c>
      <c r="AP908" s="275">
        <v>53</v>
      </c>
      <c r="AQ908" s="275">
        <v>55</v>
      </c>
      <c r="AR908" s="275">
        <v>55</v>
      </c>
      <c r="AS908" s="275">
        <v>54</v>
      </c>
      <c r="AT908" s="275">
        <v>54</v>
      </c>
      <c r="AU908" s="275">
        <v>52</v>
      </c>
      <c r="AV908" s="275">
        <f t="shared" si="75"/>
        <v>52</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386.48</v>
      </c>
      <c r="S909" s="251">
        <v>386.48</v>
      </c>
      <c r="T909" s="251">
        <v>386.48</v>
      </c>
      <c r="U909" s="251">
        <v>386.48</v>
      </c>
      <c r="V909" s="251">
        <v>386.48</v>
      </c>
      <c r="W909" s="251">
        <v>386.48</v>
      </c>
      <c r="X909" s="251">
        <v>386.48</v>
      </c>
      <c r="Y909" s="251">
        <v>386.48</v>
      </c>
      <c r="Z909" s="245">
        <f ca="1">[1]ExtEntry!$O9</f>
        <v>386.48</v>
      </c>
      <c r="AB909" s="275">
        <v>62</v>
      </c>
      <c r="AC909" s="275">
        <v>63</v>
      </c>
      <c r="AD909" s="275">
        <v>62</v>
      </c>
      <c r="AE909" s="251">
        <v>66</v>
      </c>
      <c r="AF909" s="251">
        <v>66</v>
      </c>
      <c r="AG909" s="251">
        <v>62</v>
      </c>
      <c r="AH909" s="251">
        <v>67</v>
      </c>
      <c r="AI909" s="251">
        <v>69</v>
      </c>
      <c r="AJ909" s="251">
        <v>76</v>
      </c>
      <c r="AK909" s="251">
        <v>75</v>
      </c>
      <c r="AL909" s="251">
        <v>76</v>
      </c>
      <c r="AM909" s="251">
        <v>66</v>
      </c>
      <c r="AN909" s="251">
        <v>43</v>
      </c>
      <c r="AO909" s="275">
        <v>48</v>
      </c>
      <c r="AP909" s="275">
        <v>34</v>
      </c>
      <c r="AQ909" s="275">
        <v>46</v>
      </c>
      <c r="AR909" s="275">
        <v>52</v>
      </c>
      <c r="AS909" s="275">
        <v>55</v>
      </c>
      <c r="AT909" s="275">
        <v>57</v>
      </c>
      <c r="AU909" s="275">
        <v>55</v>
      </c>
      <c r="AV909" s="275">
        <f t="shared" ref="AV909:AV947" si="77">INT(100-100/(1+SUMIF(F612:Y612,"&gt;0",F612:Y612)/ABS(SUMIF(F612:Y612,"&lt;0",F612:Y612))))</f>
        <v>55</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89.43</v>
      </c>
      <c r="X910" s="251">
        <v>90.2667</v>
      </c>
      <c r="Y910" s="251">
        <v>90.2667</v>
      </c>
      <c r="Z910" s="245">
        <f ca="1">[1]ExtEntry!$O10</f>
        <v>90.2667</v>
      </c>
      <c r="AB910" s="275">
        <v>81</v>
      </c>
      <c r="AC910" s="275">
        <v>75</v>
      </c>
      <c r="AD910" s="275">
        <v>71</v>
      </c>
      <c r="AE910" s="251">
        <v>69</v>
      </c>
      <c r="AF910" s="251">
        <v>68</v>
      </c>
      <c r="AG910" s="251">
        <v>60</v>
      </c>
      <c r="AH910" s="251">
        <v>59</v>
      </c>
      <c r="AI910" s="251">
        <v>57</v>
      </c>
      <c r="AJ910" s="251">
        <v>58</v>
      </c>
      <c r="AK910" s="251">
        <v>64</v>
      </c>
      <c r="AL910" s="251">
        <v>64</v>
      </c>
      <c r="AM910" s="251">
        <v>65</v>
      </c>
      <c r="AN910" s="251">
        <v>60</v>
      </c>
      <c r="AO910" s="275">
        <v>58</v>
      </c>
      <c r="AP910" s="275">
        <v>51</v>
      </c>
      <c r="AQ910" s="275">
        <v>50</v>
      </c>
      <c r="AR910" s="275">
        <v>49</v>
      </c>
      <c r="AS910" s="275">
        <v>46</v>
      </c>
      <c r="AT910" s="275">
        <v>46</v>
      </c>
      <c r="AU910" s="275">
        <v>40</v>
      </c>
      <c r="AV910" s="275">
        <f t="shared" si="77"/>
        <v>40</v>
      </c>
      <c r="AX910" s="88" t="str">
        <f t="shared" ca="1" si="71"/>
        <v>AZN</v>
      </c>
    </row>
    <row r="911" spans="1:70" hidden="1" x14ac:dyDescent="0.3">
      <c r="A911" s="88" t="str">
        <f t="shared" ca="1" si="76"/>
        <v>BLDP</v>
      </c>
      <c r="F911" s="251">
        <v>4.0599999999999996</v>
      </c>
      <c r="G911" s="251">
        <v>4.0999999999999996</v>
      </c>
      <c r="H911" s="251">
        <v>4.0999999999999996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49</v>
      </c>
      <c r="AC911" s="275">
        <v>47</v>
      </c>
      <c r="AD911" s="275">
        <v>55</v>
      </c>
      <c r="AE911" s="251">
        <v>56</v>
      </c>
      <c r="AF911" s="251">
        <v>65</v>
      </c>
      <c r="AG911" s="251">
        <v>70</v>
      </c>
      <c r="AH911" s="251">
        <v>56</v>
      </c>
      <c r="AI911" s="251">
        <v>45</v>
      </c>
      <c r="AJ911" s="251">
        <v>47</v>
      </c>
      <c r="AK911" s="251">
        <v>49</v>
      </c>
      <c r="AL911" s="251">
        <v>49</v>
      </c>
      <c r="AM911" s="251">
        <v>48</v>
      </c>
      <c r="AN911" s="251">
        <v>48</v>
      </c>
      <c r="AO911" s="275">
        <v>43</v>
      </c>
      <c r="AP911" s="275">
        <v>45</v>
      </c>
      <c r="AQ911" s="275">
        <v>46</v>
      </c>
      <c r="AR911" s="275">
        <v>43</v>
      </c>
      <c r="AS911" s="275">
        <v>38</v>
      </c>
      <c r="AT911" s="275">
        <v>35</v>
      </c>
      <c r="AU911" s="275">
        <v>34</v>
      </c>
      <c r="AV911" s="275">
        <f t="shared" si="77"/>
        <v>34</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49</v>
      </c>
      <c r="AC912" s="275">
        <v>46</v>
      </c>
      <c r="AD912" s="275">
        <v>38</v>
      </c>
      <c r="AE912" s="251">
        <v>39</v>
      </c>
      <c r="AF912" s="251">
        <v>44</v>
      </c>
      <c r="AG912" s="251">
        <v>40</v>
      </c>
      <c r="AH912" s="251">
        <v>38</v>
      </c>
      <c r="AI912" s="251">
        <v>37</v>
      </c>
      <c r="AJ912" s="251">
        <v>37</v>
      </c>
      <c r="AK912" s="251">
        <v>39</v>
      </c>
      <c r="AL912" s="251">
        <v>44</v>
      </c>
      <c r="AM912" s="251">
        <v>47</v>
      </c>
      <c r="AN912" s="251">
        <v>53</v>
      </c>
      <c r="AO912" s="275">
        <v>55</v>
      </c>
      <c r="AP912" s="275">
        <v>55</v>
      </c>
      <c r="AQ912" s="275">
        <v>54</v>
      </c>
      <c r="AR912" s="275">
        <v>56</v>
      </c>
      <c r="AS912" s="275">
        <v>57</v>
      </c>
      <c r="AT912" s="275">
        <v>59</v>
      </c>
      <c r="AU912" s="275">
        <v>57</v>
      </c>
      <c r="AV912" s="275">
        <f t="shared" si="77"/>
        <v>57</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54</v>
      </c>
      <c r="AC913" s="275">
        <v>58</v>
      </c>
      <c r="AD913" s="275">
        <v>51</v>
      </c>
      <c r="AE913" s="251">
        <v>58</v>
      </c>
      <c r="AF913" s="251">
        <v>63</v>
      </c>
      <c r="AG913" s="251">
        <v>68</v>
      </c>
      <c r="AH913" s="251">
        <v>69</v>
      </c>
      <c r="AI913" s="251">
        <v>70</v>
      </c>
      <c r="AJ913" s="251">
        <v>66</v>
      </c>
      <c r="AK913" s="251">
        <v>72</v>
      </c>
      <c r="AL913" s="251">
        <v>73</v>
      </c>
      <c r="AM913" s="251">
        <v>74</v>
      </c>
      <c r="AN913" s="251">
        <v>77</v>
      </c>
      <c r="AO913" s="275">
        <v>68</v>
      </c>
      <c r="AP913" s="275">
        <v>66</v>
      </c>
      <c r="AQ913" s="275">
        <v>62</v>
      </c>
      <c r="AR913" s="275">
        <v>57</v>
      </c>
      <c r="AS913" s="275">
        <v>61</v>
      </c>
      <c r="AT913" s="275">
        <v>61</v>
      </c>
      <c r="AU913" s="275">
        <v>65</v>
      </c>
      <c r="AV913" s="275">
        <f t="shared" si="77"/>
        <v>65</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72.680000000000007</v>
      </c>
      <c r="R914" s="251">
        <v>73.11</v>
      </c>
      <c r="S914" s="251">
        <v>74.837999999999994</v>
      </c>
      <c r="T914" s="251">
        <v>74.837999999999994</v>
      </c>
      <c r="U914" s="251">
        <v>74.837999999999994</v>
      </c>
      <c r="V914" s="251">
        <v>74.837999999999994</v>
      </c>
      <c r="W914" s="251">
        <v>79.5</v>
      </c>
      <c r="X914" s="251">
        <v>79.5</v>
      </c>
      <c r="Y914" s="251">
        <v>79.5</v>
      </c>
      <c r="Z914" s="245">
        <f ca="1">[1]ExtEntry!$O14</f>
        <v>79.5</v>
      </c>
      <c r="AB914" s="275">
        <v>75</v>
      </c>
      <c r="AC914" s="275">
        <v>77</v>
      </c>
      <c r="AD914" s="275">
        <v>78</v>
      </c>
      <c r="AE914" s="251">
        <v>79</v>
      </c>
      <c r="AF914" s="251">
        <v>78</v>
      </c>
      <c r="AG914" s="251">
        <v>78</v>
      </c>
      <c r="AH914" s="251">
        <v>70</v>
      </c>
      <c r="AI914" s="251">
        <v>66</v>
      </c>
      <c r="AJ914" s="251">
        <v>74</v>
      </c>
      <c r="AK914" s="251">
        <v>73</v>
      </c>
      <c r="AL914" s="251">
        <v>75</v>
      </c>
      <c r="AM914" s="251">
        <v>74</v>
      </c>
      <c r="AN914" s="251">
        <v>52</v>
      </c>
      <c r="AO914" s="275">
        <v>49</v>
      </c>
      <c r="AP914" s="275">
        <v>51</v>
      </c>
      <c r="AQ914" s="275">
        <v>50</v>
      </c>
      <c r="AR914" s="275">
        <v>52</v>
      </c>
      <c r="AS914" s="275">
        <v>48</v>
      </c>
      <c r="AT914" s="275">
        <v>47</v>
      </c>
      <c r="AU914" s="275">
        <v>41</v>
      </c>
      <c r="AV914" s="275">
        <f t="shared" si="77"/>
        <v>41</v>
      </c>
      <c r="AX914" s="88" t="str">
        <f t="shared" ca="1" si="71"/>
        <v>CSCO</v>
      </c>
    </row>
    <row r="915" spans="1:50" hidden="1" x14ac:dyDescent="0.3">
      <c r="A915" s="88" t="str">
        <f t="shared" ca="1" si="76"/>
        <v>CVS</v>
      </c>
      <c r="F915" s="251">
        <v>79.94</v>
      </c>
      <c r="G915" s="251">
        <v>81.93</v>
      </c>
      <c r="H915" s="251">
        <v>81.93</v>
      </c>
      <c r="I915" s="251">
        <v>82.875</v>
      </c>
      <c r="J915" s="251">
        <v>82.875</v>
      </c>
      <c r="K915" s="251">
        <v>83.52</v>
      </c>
      <c r="L915" s="251">
        <v>83.52</v>
      </c>
      <c r="M915" s="251">
        <v>83.52</v>
      </c>
      <c r="N915" s="251">
        <v>83.52</v>
      </c>
      <c r="O915" s="251">
        <v>83.52</v>
      </c>
      <c r="P915" s="251">
        <v>83.52</v>
      </c>
      <c r="Q915" s="251">
        <v>83.74</v>
      </c>
      <c r="R915" s="251">
        <v>85.15</v>
      </c>
      <c r="S915" s="251">
        <v>85.15</v>
      </c>
      <c r="T915" s="251">
        <v>85.15</v>
      </c>
      <c r="U915" s="251">
        <v>85.15</v>
      </c>
      <c r="V915" s="251">
        <v>85.15</v>
      </c>
      <c r="W915" s="251">
        <v>85.15</v>
      </c>
      <c r="X915" s="251">
        <v>85.15</v>
      </c>
      <c r="Y915" s="251">
        <v>85.15</v>
      </c>
      <c r="Z915" s="245">
        <f ca="1">[1]ExtEntry!$O15</f>
        <v>85.15</v>
      </c>
      <c r="AB915" s="275">
        <v>74</v>
      </c>
      <c r="AC915" s="275">
        <v>76</v>
      </c>
      <c r="AD915" s="275">
        <v>73</v>
      </c>
      <c r="AE915" s="251">
        <v>68</v>
      </c>
      <c r="AF915" s="251">
        <v>76</v>
      </c>
      <c r="AG915" s="251">
        <v>67</v>
      </c>
      <c r="AH915" s="251">
        <v>56</v>
      </c>
      <c r="AI915" s="251">
        <v>48</v>
      </c>
      <c r="AJ915" s="251">
        <v>49</v>
      </c>
      <c r="AK915" s="251">
        <v>47</v>
      </c>
      <c r="AL915" s="251">
        <v>48</v>
      </c>
      <c r="AM915" s="251">
        <v>51</v>
      </c>
      <c r="AN915" s="251">
        <v>48</v>
      </c>
      <c r="AO915" s="275">
        <v>44</v>
      </c>
      <c r="AP915" s="275">
        <v>42</v>
      </c>
      <c r="AQ915" s="275">
        <v>38</v>
      </c>
      <c r="AR915" s="275">
        <v>36</v>
      </c>
      <c r="AS915" s="275">
        <v>37</v>
      </c>
      <c r="AT915" s="275">
        <v>37</v>
      </c>
      <c r="AU915" s="275">
        <v>32</v>
      </c>
      <c r="AV915" s="275">
        <f t="shared" si="77"/>
        <v>32</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29</v>
      </c>
      <c r="AC916" s="275">
        <v>34</v>
      </c>
      <c r="AD916" s="275">
        <v>32</v>
      </c>
      <c r="AE916" s="251">
        <v>38</v>
      </c>
      <c r="AF916" s="251">
        <v>45</v>
      </c>
      <c r="AG916" s="251">
        <v>56</v>
      </c>
      <c r="AH916" s="251">
        <v>53</v>
      </c>
      <c r="AI916" s="251">
        <v>47</v>
      </c>
      <c r="AJ916" s="251">
        <v>48</v>
      </c>
      <c r="AK916" s="251">
        <v>43</v>
      </c>
      <c r="AL916" s="251">
        <v>43</v>
      </c>
      <c r="AM916" s="251">
        <v>42</v>
      </c>
      <c r="AN916" s="251">
        <v>50</v>
      </c>
      <c r="AO916" s="275">
        <v>50</v>
      </c>
      <c r="AP916" s="275">
        <v>49</v>
      </c>
      <c r="AQ916" s="275">
        <v>46</v>
      </c>
      <c r="AR916" s="275">
        <v>48</v>
      </c>
      <c r="AS916" s="275">
        <v>46</v>
      </c>
      <c r="AT916" s="275">
        <v>50</v>
      </c>
      <c r="AU916" s="275">
        <v>45</v>
      </c>
      <c r="AV916" s="275">
        <f t="shared" si="77"/>
        <v>45</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62</v>
      </c>
      <c r="AC917" s="275">
        <v>64</v>
      </c>
      <c r="AD917" s="275">
        <v>62</v>
      </c>
      <c r="AE917" s="251">
        <v>66</v>
      </c>
      <c r="AF917" s="251">
        <v>74</v>
      </c>
      <c r="AG917" s="251">
        <v>76</v>
      </c>
      <c r="AH917" s="251">
        <v>74</v>
      </c>
      <c r="AI917" s="251">
        <v>73</v>
      </c>
      <c r="AJ917" s="251">
        <v>43</v>
      </c>
      <c r="AK917" s="251">
        <v>41</v>
      </c>
      <c r="AL917" s="251">
        <v>39</v>
      </c>
      <c r="AM917" s="251">
        <v>36</v>
      </c>
      <c r="AN917" s="251">
        <v>36</v>
      </c>
      <c r="AO917" s="275">
        <v>29</v>
      </c>
      <c r="AP917" s="275">
        <v>29</v>
      </c>
      <c r="AQ917" s="275">
        <v>28</v>
      </c>
      <c r="AR917" s="275">
        <v>29</v>
      </c>
      <c r="AS917" s="275">
        <v>27</v>
      </c>
      <c r="AT917" s="275">
        <v>24</v>
      </c>
      <c r="AU917" s="275">
        <v>23</v>
      </c>
      <c r="AV917" s="275">
        <f t="shared" si="77"/>
        <v>23</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51</v>
      </c>
      <c r="AC918" s="275">
        <v>53</v>
      </c>
      <c r="AD918" s="275">
        <v>47</v>
      </c>
      <c r="AE918" s="251">
        <v>49</v>
      </c>
      <c r="AF918" s="251">
        <v>53</v>
      </c>
      <c r="AG918" s="251">
        <v>52</v>
      </c>
      <c r="AH918" s="251">
        <v>50</v>
      </c>
      <c r="AI918" s="251">
        <v>50</v>
      </c>
      <c r="AJ918" s="251">
        <v>55</v>
      </c>
      <c r="AK918" s="251">
        <v>56</v>
      </c>
      <c r="AL918" s="251">
        <v>58</v>
      </c>
      <c r="AM918" s="251">
        <v>54</v>
      </c>
      <c r="AN918" s="251">
        <v>40</v>
      </c>
      <c r="AO918" s="275">
        <v>43</v>
      </c>
      <c r="AP918" s="275">
        <v>46</v>
      </c>
      <c r="AQ918" s="275">
        <v>42</v>
      </c>
      <c r="AR918" s="275">
        <v>51</v>
      </c>
      <c r="AS918" s="275">
        <v>51</v>
      </c>
      <c r="AT918" s="275">
        <v>53</v>
      </c>
      <c r="AU918" s="275">
        <v>50</v>
      </c>
      <c r="AV918" s="275">
        <f t="shared" si="77"/>
        <v>50</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51</v>
      </c>
      <c r="AC919" s="275">
        <v>48</v>
      </c>
      <c r="AD919" s="275">
        <v>43</v>
      </c>
      <c r="AE919" s="251">
        <v>47</v>
      </c>
      <c r="AF919" s="251">
        <v>53</v>
      </c>
      <c r="AG919" s="251">
        <v>52</v>
      </c>
      <c r="AH919" s="251">
        <v>59</v>
      </c>
      <c r="AI919" s="251">
        <v>57</v>
      </c>
      <c r="AJ919" s="251">
        <v>68</v>
      </c>
      <c r="AK919" s="251">
        <v>62</v>
      </c>
      <c r="AL919" s="251">
        <v>65</v>
      </c>
      <c r="AM919" s="251">
        <v>63</v>
      </c>
      <c r="AN919" s="251">
        <v>57</v>
      </c>
      <c r="AO919" s="275">
        <v>64</v>
      </c>
      <c r="AP919" s="275">
        <v>65</v>
      </c>
      <c r="AQ919" s="275">
        <v>70</v>
      </c>
      <c r="AR919" s="275">
        <v>60</v>
      </c>
      <c r="AS919" s="275">
        <v>51</v>
      </c>
      <c r="AT919" s="275">
        <v>45</v>
      </c>
      <c r="AU919" s="275">
        <v>38</v>
      </c>
      <c r="AV919" s="275">
        <f t="shared" si="77"/>
        <v>38</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23.75</v>
      </c>
      <c r="X920" s="251">
        <v>23.75</v>
      </c>
      <c r="Y920" s="251">
        <v>23.75</v>
      </c>
      <c r="Z920" s="245">
        <f ca="1">[1]ExtEntry!$O20</f>
        <v>23.75</v>
      </c>
      <c r="AB920" s="275">
        <v>71</v>
      </c>
      <c r="AC920" s="275">
        <v>70</v>
      </c>
      <c r="AD920" s="275">
        <v>76</v>
      </c>
      <c r="AE920" s="251">
        <v>75</v>
      </c>
      <c r="AF920" s="251">
        <v>76</v>
      </c>
      <c r="AG920" s="251">
        <v>73</v>
      </c>
      <c r="AH920" s="251">
        <v>62</v>
      </c>
      <c r="AI920" s="251">
        <v>54</v>
      </c>
      <c r="AJ920" s="251">
        <v>46</v>
      </c>
      <c r="AK920" s="251">
        <v>45</v>
      </c>
      <c r="AL920" s="251">
        <v>47</v>
      </c>
      <c r="AM920" s="251">
        <v>51</v>
      </c>
      <c r="AN920" s="251">
        <v>48</v>
      </c>
      <c r="AO920" s="275">
        <v>48</v>
      </c>
      <c r="AP920" s="275">
        <v>52</v>
      </c>
      <c r="AQ920" s="275">
        <v>51</v>
      </c>
      <c r="AR920" s="275">
        <v>51</v>
      </c>
      <c r="AS920" s="275">
        <v>51</v>
      </c>
      <c r="AT920" s="275">
        <v>49</v>
      </c>
      <c r="AU920" s="275">
        <v>43</v>
      </c>
      <c r="AV920" s="275">
        <f t="shared" si="77"/>
        <v>43</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45</v>
      </c>
      <c r="AC921" s="275">
        <v>44</v>
      </c>
      <c r="AD921" s="275">
        <v>40</v>
      </c>
      <c r="AE921" s="251">
        <v>39</v>
      </c>
      <c r="AF921" s="251">
        <v>38</v>
      </c>
      <c r="AG921" s="251">
        <v>35</v>
      </c>
      <c r="AH921" s="251">
        <v>41</v>
      </c>
      <c r="AI921" s="251">
        <v>44</v>
      </c>
      <c r="AJ921" s="251">
        <v>45</v>
      </c>
      <c r="AK921" s="251">
        <v>44</v>
      </c>
      <c r="AL921" s="251">
        <v>52</v>
      </c>
      <c r="AM921" s="251">
        <v>54</v>
      </c>
      <c r="AN921" s="251">
        <v>35</v>
      </c>
      <c r="AO921" s="275">
        <v>3</v>
      </c>
      <c r="AP921" s="275">
        <v>6</v>
      </c>
      <c r="AQ921" s="275">
        <v>0</v>
      </c>
      <c r="AR921" s="275">
        <v>0</v>
      </c>
      <c r="AS921" s="275">
        <v>0</v>
      </c>
      <c r="AT921" s="275" t="e">
        <v>#DIV/0!</v>
      </c>
      <c r="AU921" s="275" t="e">
        <v>#DIV/0!</v>
      </c>
      <c r="AV921" s="275" t="e">
        <f t="shared" si="77"/>
        <v>#DIV/0!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46</v>
      </c>
      <c r="AC922" s="275">
        <v>51</v>
      </c>
      <c r="AD922" s="275">
        <v>48</v>
      </c>
      <c r="AE922" s="251">
        <v>52</v>
      </c>
      <c r="AF922" s="251">
        <v>52</v>
      </c>
      <c r="AG922" s="251">
        <v>71</v>
      </c>
      <c r="AH922" s="251">
        <v>73</v>
      </c>
      <c r="AI922" s="251">
        <v>72</v>
      </c>
      <c r="AJ922" s="251">
        <v>70</v>
      </c>
      <c r="AK922" s="251">
        <v>72</v>
      </c>
      <c r="AL922" s="251">
        <v>73</v>
      </c>
      <c r="AM922" s="251">
        <v>74</v>
      </c>
      <c r="AN922" s="251">
        <v>72</v>
      </c>
      <c r="AO922" s="275">
        <v>74</v>
      </c>
      <c r="AP922" s="275">
        <v>75</v>
      </c>
      <c r="AQ922" s="275">
        <v>78</v>
      </c>
      <c r="AR922" s="275">
        <v>82</v>
      </c>
      <c r="AS922" s="275">
        <v>80</v>
      </c>
      <c r="AT922" s="275">
        <v>81</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67.55</v>
      </c>
      <c r="L923" s="251">
        <v>67.584999999999994</v>
      </c>
      <c r="M923" s="251">
        <v>67.584999999999994</v>
      </c>
      <c r="N923" s="251">
        <v>68.48</v>
      </c>
      <c r="O923" s="251">
        <v>69.7</v>
      </c>
      <c r="P923" s="251">
        <v>69.7</v>
      </c>
      <c r="Q923" s="251">
        <v>70.19</v>
      </c>
      <c r="R923" s="251">
        <v>70.239999999999995</v>
      </c>
      <c r="S923" s="251">
        <v>70.239999999999995</v>
      </c>
      <c r="T923" s="251">
        <v>70.239999999999995</v>
      </c>
      <c r="U923" s="251">
        <v>70.239999999999995</v>
      </c>
      <c r="V923" s="251">
        <v>70.734999999999999</v>
      </c>
      <c r="W923" s="251">
        <v>72.87</v>
      </c>
      <c r="X923" s="251">
        <v>72.87</v>
      </c>
      <c r="Y923" s="251">
        <v>72.87</v>
      </c>
      <c r="Z923" s="245">
        <f ca="1">[1]ExtEntry!$O23</f>
        <v>72.87</v>
      </c>
      <c r="AB923" s="275">
        <v>60</v>
      </c>
      <c r="AC923" s="275">
        <v>66</v>
      </c>
      <c r="AD923" s="275">
        <v>44</v>
      </c>
      <c r="AE923" s="251">
        <v>48</v>
      </c>
      <c r="AF923" s="251">
        <v>49</v>
      </c>
      <c r="AG923" s="251">
        <v>50</v>
      </c>
      <c r="AH923" s="251">
        <v>52</v>
      </c>
      <c r="AI923" s="251">
        <v>52</v>
      </c>
      <c r="AJ923" s="251">
        <v>55</v>
      </c>
      <c r="AK923" s="251">
        <v>58</v>
      </c>
      <c r="AL923" s="251">
        <v>60</v>
      </c>
      <c r="AM923" s="251">
        <v>59</v>
      </c>
      <c r="AN923" s="251">
        <v>57</v>
      </c>
      <c r="AO923" s="275">
        <v>54</v>
      </c>
      <c r="AP923" s="275">
        <v>55</v>
      </c>
      <c r="AQ923" s="275">
        <v>53</v>
      </c>
      <c r="AR923" s="275">
        <v>46</v>
      </c>
      <c r="AS923" s="275">
        <v>44</v>
      </c>
      <c r="AT923" s="275">
        <v>41</v>
      </c>
      <c r="AU923" s="275">
        <v>37</v>
      </c>
      <c r="AV923" s="275">
        <f t="shared" si="77"/>
        <v>37</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60</v>
      </c>
      <c r="AC924" s="275">
        <v>62</v>
      </c>
      <c r="AD924" s="275">
        <v>50</v>
      </c>
      <c r="AE924" s="251">
        <v>52</v>
      </c>
      <c r="AF924" s="251">
        <v>54</v>
      </c>
      <c r="AG924" s="251">
        <v>56</v>
      </c>
      <c r="AH924" s="251">
        <v>52</v>
      </c>
      <c r="AI924" s="251">
        <v>55</v>
      </c>
      <c r="AJ924" s="251">
        <v>60</v>
      </c>
      <c r="AK924" s="251">
        <v>60</v>
      </c>
      <c r="AL924" s="251">
        <v>60</v>
      </c>
      <c r="AM924" s="251">
        <v>60</v>
      </c>
      <c r="AN924" s="251">
        <v>62</v>
      </c>
      <c r="AO924" s="275">
        <v>57</v>
      </c>
      <c r="AP924" s="275">
        <v>59</v>
      </c>
      <c r="AQ924" s="275">
        <v>57</v>
      </c>
      <c r="AR924" s="275">
        <v>55</v>
      </c>
      <c r="AS924" s="275">
        <v>53</v>
      </c>
      <c r="AT924" s="275">
        <v>52</v>
      </c>
      <c r="AU924" s="275">
        <v>41</v>
      </c>
      <c r="AV924" s="275">
        <f t="shared" si="77"/>
        <v>41</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60</v>
      </c>
      <c r="AC925" s="275">
        <v>63</v>
      </c>
      <c r="AD925" s="275">
        <v>65</v>
      </c>
      <c r="AE925" s="251">
        <v>53</v>
      </c>
      <c r="AF925" s="251">
        <v>56</v>
      </c>
      <c r="AG925" s="251">
        <v>58</v>
      </c>
      <c r="AH925" s="251">
        <v>60</v>
      </c>
      <c r="AI925" s="251">
        <v>63</v>
      </c>
      <c r="AJ925" s="251">
        <v>65</v>
      </c>
      <c r="AK925" s="251">
        <v>67</v>
      </c>
      <c r="AL925" s="251">
        <v>66</v>
      </c>
      <c r="AM925" s="251">
        <v>67</v>
      </c>
      <c r="AN925" s="251">
        <v>73</v>
      </c>
      <c r="AO925" s="275">
        <v>68</v>
      </c>
      <c r="AP925" s="275">
        <v>69</v>
      </c>
      <c r="AQ925" s="275">
        <v>61</v>
      </c>
      <c r="AR925" s="275">
        <v>38</v>
      </c>
      <c r="AS925" s="275">
        <v>30</v>
      </c>
      <c r="AT925" s="275">
        <v>31</v>
      </c>
      <c r="AU925" s="275">
        <v>34</v>
      </c>
      <c r="AV925" s="275">
        <f t="shared" si="77"/>
        <v>34</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429.3</v>
      </c>
      <c r="T926" s="251">
        <v>429.3</v>
      </c>
      <c r="U926" s="251">
        <v>429.3</v>
      </c>
      <c r="V926" s="251">
        <v>429.3</v>
      </c>
      <c r="W926" s="251">
        <v>429.3</v>
      </c>
      <c r="X926" s="251">
        <v>429.3</v>
      </c>
      <c r="Y926" s="251">
        <v>429.3</v>
      </c>
      <c r="Z926" s="245">
        <f ca="1">[1]ExtEntry!$O26</f>
        <v>429.3</v>
      </c>
      <c r="AB926" s="275">
        <v>55</v>
      </c>
      <c r="AC926" s="275">
        <v>57</v>
      </c>
      <c r="AD926" s="275">
        <v>61</v>
      </c>
      <c r="AE926" s="251">
        <v>64</v>
      </c>
      <c r="AF926" s="251">
        <v>66</v>
      </c>
      <c r="AG926" s="251">
        <v>63</v>
      </c>
      <c r="AH926" s="251">
        <v>63</v>
      </c>
      <c r="AI926" s="251">
        <v>65</v>
      </c>
      <c r="AJ926" s="251">
        <v>66</v>
      </c>
      <c r="AK926" s="251">
        <v>59</v>
      </c>
      <c r="AL926" s="251">
        <v>60</v>
      </c>
      <c r="AM926" s="251">
        <v>56</v>
      </c>
      <c r="AN926" s="251">
        <v>57</v>
      </c>
      <c r="AO926" s="275">
        <v>59</v>
      </c>
      <c r="AP926" s="275">
        <v>57</v>
      </c>
      <c r="AQ926" s="275">
        <v>51</v>
      </c>
      <c r="AR926" s="275">
        <v>52</v>
      </c>
      <c r="AS926" s="275">
        <v>57</v>
      </c>
      <c r="AT926" s="275">
        <v>63</v>
      </c>
      <c r="AU926" s="275">
        <v>66</v>
      </c>
      <c r="AV926" s="275">
        <f t="shared" si="77"/>
        <v>66</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33</v>
      </c>
      <c r="AC927" s="275">
        <v>30</v>
      </c>
      <c r="AD927" s="275">
        <v>37</v>
      </c>
      <c r="AE927" s="251">
        <v>38</v>
      </c>
      <c r="AF927" s="251">
        <v>46</v>
      </c>
      <c r="AG927" s="251">
        <v>43</v>
      </c>
      <c r="AH927" s="251">
        <v>46</v>
      </c>
      <c r="AI927" s="251">
        <v>50</v>
      </c>
      <c r="AJ927" s="251">
        <v>47</v>
      </c>
      <c r="AK927" s="251">
        <v>42</v>
      </c>
      <c r="AL927" s="251">
        <v>44</v>
      </c>
      <c r="AM927" s="251">
        <v>41</v>
      </c>
      <c r="AN927" s="251">
        <v>46</v>
      </c>
      <c r="AO927" s="275">
        <v>37</v>
      </c>
      <c r="AP927" s="275">
        <v>48</v>
      </c>
      <c r="AQ927" s="275">
        <v>37</v>
      </c>
      <c r="AR927" s="275">
        <v>28</v>
      </c>
      <c r="AS927" s="275">
        <v>29</v>
      </c>
      <c r="AT927" s="275">
        <v>32</v>
      </c>
      <c r="AU927" s="275">
        <v>32</v>
      </c>
      <c r="AV927" s="275">
        <f t="shared" si="77"/>
        <v>32</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56</v>
      </c>
      <c r="AC928" s="275">
        <v>64</v>
      </c>
      <c r="AD928" s="275">
        <v>58</v>
      </c>
      <c r="AE928" s="251">
        <v>57</v>
      </c>
      <c r="AF928" s="251">
        <v>61</v>
      </c>
      <c r="AG928" s="251">
        <v>54</v>
      </c>
      <c r="AH928" s="251">
        <v>59</v>
      </c>
      <c r="AI928" s="251">
        <v>59</v>
      </c>
      <c r="AJ928" s="251">
        <v>64</v>
      </c>
      <c r="AK928" s="251">
        <v>67</v>
      </c>
      <c r="AL928" s="251">
        <v>76</v>
      </c>
      <c r="AM928" s="251">
        <v>77</v>
      </c>
      <c r="AN928" s="251">
        <v>70</v>
      </c>
      <c r="AO928" s="275">
        <v>57</v>
      </c>
      <c r="AP928" s="275">
        <v>58</v>
      </c>
      <c r="AQ928" s="275">
        <v>60</v>
      </c>
      <c r="AR928" s="275">
        <v>55</v>
      </c>
      <c r="AS928" s="275">
        <v>56</v>
      </c>
      <c r="AT928" s="275">
        <v>54</v>
      </c>
      <c r="AU928" s="275">
        <v>52</v>
      </c>
      <c r="AV928" s="275">
        <f t="shared" si="77"/>
        <v>52</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11.32</v>
      </c>
      <c r="S929" s="251">
        <v>11.95</v>
      </c>
      <c r="T929" s="251">
        <v>11.95</v>
      </c>
      <c r="U929" s="251">
        <v>11.95</v>
      </c>
      <c r="V929" s="251">
        <v>11.95</v>
      </c>
      <c r="W929" s="251">
        <v>11.95</v>
      </c>
      <c r="X929" s="251">
        <v>11.95</v>
      </c>
      <c r="Y929" s="251">
        <v>11.95</v>
      </c>
      <c r="Z929" s="245">
        <f ca="1">[1]ExtEntry!$O29</f>
        <v>11.95</v>
      </c>
      <c r="AB929" s="275">
        <v>64</v>
      </c>
      <c r="AC929" s="275">
        <v>66</v>
      </c>
      <c r="AD929" s="275">
        <v>62</v>
      </c>
      <c r="AE929" s="251">
        <v>57</v>
      </c>
      <c r="AF929" s="251">
        <v>62</v>
      </c>
      <c r="AG929" s="251">
        <v>57</v>
      </c>
      <c r="AH929" s="251">
        <v>58</v>
      </c>
      <c r="AI929" s="251">
        <v>55</v>
      </c>
      <c r="AJ929" s="251">
        <v>58</v>
      </c>
      <c r="AK929" s="251">
        <v>60</v>
      </c>
      <c r="AL929" s="251">
        <v>57</v>
      </c>
      <c r="AM929" s="251">
        <v>50</v>
      </c>
      <c r="AN929" s="251">
        <v>56</v>
      </c>
      <c r="AO929" s="275">
        <v>49</v>
      </c>
      <c r="AP929" s="275">
        <v>48</v>
      </c>
      <c r="AQ929" s="275">
        <v>51</v>
      </c>
      <c r="AR929" s="275">
        <v>49</v>
      </c>
      <c r="AS929" s="275">
        <v>50</v>
      </c>
      <c r="AT929" s="275">
        <v>52</v>
      </c>
      <c r="AU929" s="275">
        <v>50</v>
      </c>
      <c r="AV929" s="275">
        <f t="shared" si="77"/>
        <v>50</v>
      </c>
      <c r="AX929" s="88" t="str">
        <f t="shared" ca="1" si="78"/>
        <v>LUMN</v>
      </c>
    </row>
    <row r="930" spans="1:50" hidden="1" x14ac:dyDescent="0.3">
      <c r="A930" s="88" t="str">
        <f t="shared" ca="1" si="76"/>
        <v>MRNA</v>
      </c>
      <c r="F930" s="251">
        <v>58.96</v>
      </c>
      <c r="G930" s="251">
        <v>58.62</v>
      </c>
      <c r="H930" s="251">
        <v>58.45</v>
      </c>
      <c r="I930" s="251">
        <v>57.69</v>
      </c>
      <c r="J930" s="251">
        <v>57.69</v>
      </c>
      <c r="K930" s="251">
        <v>57.69</v>
      </c>
      <c r="L930" s="251">
        <v>57.69</v>
      </c>
      <c r="M930" s="251">
        <v>57.69</v>
      </c>
      <c r="N930" s="251">
        <v>57.69</v>
      </c>
      <c r="O930" s="251">
        <v>57.69</v>
      </c>
      <c r="P930" s="251">
        <v>57.69</v>
      </c>
      <c r="Q930" s="251">
        <v>57.69</v>
      </c>
      <c r="R930" s="251">
        <v>56.695</v>
      </c>
      <c r="S930" s="251">
        <v>56.695</v>
      </c>
      <c r="T930" s="251">
        <v>56.695</v>
      </c>
      <c r="U930" s="251">
        <v>56.695</v>
      </c>
      <c r="V930" s="251">
        <v>56.695</v>
      </c>
      <c r="W930" s="251">
        <v>48.92</v>
      </c>
      <c r="X930" s="251">
        <v>48.92</v>
      </c>
      <c r="Y930" s="251">
        <v>48.92</v>
      </c>
      <c r="Z930" s="245">
        <f ca="1">[1]ExtEntry!$O30</f>
        <v>48.92</v>
      </c>
      <c r="AB930" s="275">
        <v>53</v>
      </c>
      <c r="AC930" s="275">
        <v>57</v>
      </c>
      <c r="AD930" s="275">
        <v>57</v>
      </c>
      <c r="AE930" s="251">
        <v>52</v>
      </c>
      <c r="AF930" s="251">
        <v>46</v>
      </c>
      <c r="AG930" s="251">
        <v>50</v>
      </c>
      <c r="AH930" s="251">
        <v>58</v>
      </c>
      <c r="AI930" s="251">
        <v>60</v>
      </c>
      <c r="AJ930" s="251">
        <v>64</v>
      </c>
      <c r="AK930" s="251">
        <v>63</v>
      </c>
      <c r="AL930" s="251">
        <v>66</v>
      </c>
      <c r="AM930" s="251">
        <v>70</v>
      </c>
      <c r="AN930" s="251">
        <v>54</v>
      </c>
      <c r="AO930" s="275">
        <v>55</v>
      </c>
      <c r="AP930" s="275">
        <v>49</v>
      </c>
      <c r="AQ930" s="275">
        <v>45</v>
      </c>
      <c r="AR930" s="275">
        <v>45</v>
      </c>
      <c r="AS930" s="275">
        <v>51</v>
      </c>
      <c r="AT930" s="275">
        <v>45</v>
      </c>
      <c r="AU930" s="275">
        <v>40</v>
      </c>
      <c r="AV930" s="275">
        <f t="shared" si="77"/>
        <v>40</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78</v>
      </c>
      <c r="AC931" s="275">
        <v>87</v>
      </c>
      <c r="AD931" s="275">
        <v>83</v>
      </c>
      <c r="AE931" s="251">
        <v>80</v>
      </c>
      <c r="AF931" s="251">
        <v>80</v>
      </c>
      <c r="AG931" s="251">
        <v>75</v>
      </c>
      <c r="AH931" s="251">
        <v>71</v>
      </c>
      <c r="AI931" s="251">
        <v>64</v>
      </c>
      <c r="AJ931" s="251">
        <v>63</v>
      </c>
      <c r="AK931" s="251">
        <v>63</v>
      </c>
      <c r="AL931" s="251">
        <v>67</v>
      </c>
      <c r="AM931" s="251">
        <v>61</v>
      </c>
      <c r="AN931" s="251">
        <v>54</v>
      </c>
      <c r="AO931" s="275">
        <v>55</v>
      </c>
      <c r="AP931" s="275">
        <v>51</v>
      </c>
      <c r="AQ931" s="275">
        <v>48</v>
      </c>
      <c r="AR931" s="275">
        <v>51</v>
      </c>
      <c r="AS931" s="275">
        <v>51</v>
      </c>
      <c r="AT931" s="275">
        <v>49</v>
      </c>
      <c r="AU931" s="275">
        <v>46</v>
      </c>
      <c r="AV931" s="275">
        <f t="shared" si="77"/>
        <v>46</v>
      </c>
      <c r="AX931" s="88" t="str">
        <f t="shared" ca="1" si="78"/>
        <v>MSFT</v>
      </c>
    </row>
    <row r="932" spans="1:50" hidden="1" x14ac:dyDescent="0.3">
      <c r="A932" s="88" t="str">
        <f t="shared" ca="1" si="76"/>
        <v>NEE</v>
      </c>
      <c r="F932" s="251">
        <v>86</v>
      </c>
      <c r="G932" s="251">
        <v>86.48</v>
      </c>
      <c r="H932" s="251">
        <v>86.74</v>
      </c>
      <c r="I932" s="251">
        <v>86.74</v>
      </c>
      <c r="J932" s="251">
        <v>86.74</v>
      </c>
      <c r="K932" s="251">
        <v>86.74</v>
      </c>
      <c r="L932" s="251">
        <v>86.74</v>
      </c>
      <c r="M932" s="251">
        <v>86.74</v>
      </c>
      <c r="N932" s="251">
        <v>86.74</v>
      </c>
      <c r="O932" s="251">
        <v>86.74</v>
      </c>
      <c r="P932" s="251">
        <v>87.29</v>
      </c>
      <c r="Q932" s="251">
        <v>87.53</v>
      </c>
      <c r="R932" s="251">
        <v>87.53</v>
      </c>
      <c r="S932" s="251">
        <v>87.53</v>
      </c>
      <c r="T932" s="251">
        <v>87.53</v>
      </c>
      <c r="U932" s="251">
        <v>87.53</v>
      </c>
      <c r="V932" s="251">
        <v>87.53</v>
      </c>
      <c r="W932" s="251">
        <v>87.53</v>
      </c>
      <c r="X932" s="251">
        <v>87.53</v>
      </c>
      <c r="Y932" s="251">
        <v>87.53</v>
      </c>
      <c r="Z932" s="245">
        <f ca="1">[1]ExtEntry!$O32</f>
        <v>87.53</v>
      </c>
      <c r="AB932" s="275">
        <v>66</v>
      </c>
      <c r="AC932" s="275">
        <v>70</v>
      </c>
      <c r="AD932" s="275">
        <v>74</v>
      </c>
      <c r="AE932" s="251">
        <v>59</v>
      </c>
      <c r="AF932" s="251">
        <v>59</v>
      </c>
      <c r="AG932" s="251">
        <v>48</v>
      </c>
      <c r="AH932" s="251">
        <v>47</v>
      </c>
      <c r="AI932" s="251">
        <v>49</v>
      </c>
      <c r="AJ932" s="251">
        <v>51</v>
      </c>
      <c r="AK932" s="251">
        <v>44</v>
      </c>
      <c r="AL932" s="251">
        <v>41</v>
      </c>
      <c r="AM932" s="251">
        <v>42</v>
      </c>
      <c r="AN932" s="251">
        <v>43</v>
      </c>
      <c r="AO932" s="275">
        <v>41</v>
      </c>
      <c r="AP932" s="275">
        <v>43</v>
      </c>
      <c r="AQ932" s="275">
        <v>45</v>
      </c>
      <c r="AR932" s="275">
        <v>44</v>
      </c>
      <c r="AS932" s="275">
        <v>45</v>
      </c>
      <c r="AT932" s="275">
        <v>47</v>
      </c>
      <c r="AU932" s="275">
        <v>44</v>
      </c>
      <c r="AV932" s="275">
        <f t="shared" si="77"/>
        <v>44</v>
      </c>
      <c r="AX932" s="88" t="str">
        <f t="shared" ca="1" si="78"/>
        <v>NEE</v>
      </c>
    </row>
    <row r="933" spans="1:50" hidden="1" x14ac:dyDescent="0.3">
      <c r="A933" s="88" t="str">
        <f t="shared" ca="1" si="76"/>
        <v>NEM</v>
      </c>
      <c r="F933" s="251">
        <v>91.236999999999995</v>
      </c>
      <c r="G933" s="251">
        <v>93.93</v>
      </c>
      <c r="H933" s="251">
        <v>98.578000000000003</v>
      </c>
      <c r="I933" s="251">
        <v>98.578000000000003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53</v>
      </c>
      <c r="AC933" s="275">
        <v>52</v>
      </c>
      <c r="AD933" s="275">
        <v>52</v>
      </c>
      <c r="AE933" s="251">
        <v>51</v>
      </c>
      <c r="AF933" s="251">
        <v>55</v>
      </c>
      <c r="AG933" s="251">
        <v>56</v>
      </c>
      <c r="AH933" s="251">
        <v>39</v>
      </c>
      <c r="AI933" s="251">
        <v>30</v>
      </c>
      <c r="AJ933" s="251">
        <v>29</v>
      </c>
      <c r="AK933" s="251">
        <v>28</v>
      </c>
      <c r="AL933" s="251">
        <v>28</v>
      </c>
      <c r="AM933" s="251">
        <v>30</v>
      </c>
      <c r="AN933" s="251">
        <v>31</v>
      </c>
      <c r="AO933" s="275">
        <v>30</v>
      </c>
      <c r="AP933" s="275">
        <v>32</v>
      </c>
      <c r="AQ933" s="275">
        <v>27</v>
      </c>
      <c r="AR933" s="275">
        <v>24</v>
      </c>
      <c r="AS933" s="275">
        <v>19</v>
      </c>
      <c r="AT933" s="275">
        <v>17</v>
      </c>
      <c r="AU933" s="275">
        <v>16</v>
      </c>
      <c r="AV933" s="275">
        <f t="shared" si="77"/>
        <v>16</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134.11500000000001</v>
      </c>
      <c r="Y934" s="251">
        <v>134.11500000000001</v>
      </c>
      <c r="Z934" s="245">
        <f ca="1">[1]ExtEntry!$O34</f>
        <v>134.11500000000001</v>
      </c>
      <c r="AB934" s="275">
        <v>46</v>
      </c>
      <c r="AC934" s="275">
        <v>45</v>
      </c>
      <c r="AD934" s="275">
        <v>39</v>
      </c>
      <c r="AE934" s="251">
        <v>39</v>
      </c>
      <c r="AF934" s="251">
        <v>44</v>
      </c>
      <c r="AG934" s="251">
        <v>37</v>
      </c>
      <c r="AH934" s="251">
        <v>36</v>
      </c>
      <c r="AI934" s="251">
        <v>34</v>
      </c>
      <c r="AJ934" s="251">
        <v>40</v>
      </c>
      <c r="AK934" s="251">
        <v>40</v>
      </c>
      <c r="AL934" s="251">
        <v>39</v>
      </c>
      <c r="AM934" s="251">
        <v>37</v>
      </c>
      <c r="AN934" s="251">
        <v>36</v>
      </c>
      <c r="AO934" s="275">
        <v>28</v>
      </c>
      <c r="AP934" s="275">
        <v>21</v>
      </c>
      <c r="AQ934" s="275">
        <v>19</v>
      </c>
      <c r="AR934" s="275">
        <v>16</v>
      </c>
      <c r="AS934" s="275">
        <v>17</v>
      </c>
      <c r="AT934" s="275">
        <v>19</v>
      </c>
      <c r="AU934" s="275">
        <v>18</v>
      </c>
      <c r="AV934" s="275">
        <f t="shared" si="77"/>
        <v>18</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58</v>
      </c>
      <c r="AC935" s="275">
        <v>65</v>
      </c>
      <c r="AD935" s="275">
        <v>67</v>
      </c>
      <c r="AE935" s="251">
        <v>54</v>
      </c>
      <c r="AF935" s="251">
        <v>53</v>
      </c>
      <c r="AG935" s="251">
        <v>42</v>
      </c>
      <c r="AH935" s="251">
        <v>42</v>
      </c>
      <c r="AI935" s="251">
        <v>46</v>
      </c>
      <c r="AJ935" s="251">
        <v>46</v>
      </c>
      <c r="AK935" s="251">
        <v>42</v>
      </c>
      <c r="AL935" s="251">
        <v>36</v>
      </c>
      <c r="AM935" s="251">
        <v>38</v>
      </c>
      <c r="AN935" s="251">
        <v>38</v>
      </c>
      <c r="AO935" s="275">
        <v>36</v>
      </c>
      <c r="AP935" s="275">
        <v>37</v>
      </c>
      <c r="AQ935" s="275">
        <v>38</v>
      </c>
      <c r="AR935" s="275">
        <v>40</v>
      </c>
      <c r="AS935" s="275">
        <v>41</v>
      </c>
      <c r="AT935" s="275">
        <v>45</v>
      </c>
      <c r="AU935" s="275">
        <v>40</v>
      </c>
      <c r="AV935" s="275">
        <f t="shared" si="77"/>
        <v>40</v>
      </c>
      <c r="AX935" s="88" t="str">
        <f t="shared" ca="1" si="78"/>
        <v>NOTE</v>
      </c>
    </row>
    <row r="936" spans="1:50" hidden="1" x14ac:dyDescent="0.3">
      <c r="A936" s="88" t="str">
        <f t="shared" ca="1" si="76"/>
        <v>PAAS</v>
      </c>
      <c r="F936" s="251">
        <v>41.5</v>
      </c>
      <c r="G936" s="251">
        <v>41.5</v>
      </c>
      <c r="H936" s="251">
        <v>42.57</v>
      </c>
      <c r="I936" s="251">
        <v>42.57</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77</v>
      </c>
      <c r="AC936" s="275">
        <v>75</v>
      </c>
      <c r="AD936" s="275">
        <v>71</v>
      </c>
      <c r="AE936" s="251">
        <v>69</v>
      </c>
      <c r="AF936" s="251">
        <v>70</v>
      </c>
      <c r="AG936" s="251">
        <v>70</v>
      </c>
      <c r="AH936" s="251">
        <v>58</v>
      </c>
      <c r="AI936" s="251">
        <v>49</v>
      </c>
      <c r="AJ936" s="251">
        <v>51</v>
      </c>
      <c r="AK936" s="251">
        <v>52</v>
      </c>
      <c r="AL936" s="251">
        <v>53</v>
      </c>
      <c r="AM936" s="251">
        <v>62</v>
      </c>
      <c r="AN936" s="251">
        <v>62</v>
      </c>
      <c r="AO936" s="275">
        <v>58</v>
      </c>
      <c r="AP936" s="275">
        <v>54</v>
      </c>
      <c r="AQ936" s="275">
        <v>45</v>
      </c>
      <c r="AR936" s="275">
        <v>41</v>
      </c>
      <c r="AS936" s="275">
        <v>50</v>
      </c>
      <c r="AT936" s="275">
        <v>49</v>
      </c>
      <c r="AU936" s="275">
        <v>44</v>
      </c>
      <c r="AV936" s="275">
        <f t="shared" si="77"/>
        <v>44</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8.7492999999999999</v>
      </c>
      <c r="X937" s="251">
        <v>8.7492999999999999</v>
      </c>
      <c r="Y937" s="251">
        <v>8.7492999999999999</v>
      </c>
      <c r="Z937" s="245">
        <f ca="1">[1]ExtEntry!$O37</f>
        <v>8.7492999999999999</v>
      </c>
      <c r="AB937" s="275">
        <v>75</v>
      </c>
      <c r="AC937" s="275">
        <v>70</v>
      </c>
      <c r="AD937" s="275">
        <v>64</v>
      </c>
      <c r="AE937" s="251">
        <v>61</v>
      </c>
      <c r="AF937" s="251">
        <v>63</v>
      </c>
      <c r="AG937" s="251">
        <v>63</v>
      </c>
      <c r="AH937" s="251">
        <v>60</v>
      </c>
      <c r="AI937" s="251">
        <v>59</v>
      </c>
      <c r="AJ937" s="251">
        <v>58</v>
      </c>
      <c r="AK937" s="251">
        <v>64</v>
      </c>
      <c r="AL937" s="251">
        <v>61</v>
      </c>
      <c r="AM937" s="251">
        <v>59</v>
      </c>
      <c r="AN937" s="251">
        <v>56</v>
      </c>
      <c r="AO937" s="275">
        <v>51</v>
      </c>
      <c r="AP937" s="275">
        <v>52</v>
      </c>
      <c r="AQ937" s="275">
        <v>42</v>
      </c>
      <c r="AR937" s="275">
        <v>34</v>
      </c>
      <c r="AS937" s="275">
        <v>34</v>
      </c>
      <c r="AT937" s="275">
        <v>37</v>
      </c>
      <c r="AU937" s="275">
        <v>30</v>
      </c>
      <c r="AV937" s="275">
        <f t="shared" si="77"/>
        <v>30</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33</v>
      </c>
      <c r="AC938" s="275">
        <v>37</v>
      </c>
      <c r="AD938" s="275">
        <v>39</v>
      </c>
      <c r="AE938" s="251">
        <v>37</v>
      </c>
      <c r="AF938" s="251">
        <v>37</v>
      </c>
      <c r="AG938" s="251">
        <v>34</v>
      </c>
      <c r="AH938" s="251">
        <v>28</v>
      </c>
      <c r="AI938" s="251">
        <v>26</v>
      </c>
      <c r="AJ938" s="251">
        <v>25</v>
      </c>
      <c r="AK938" s="251">
        <v>23</v>
      </c>
      <c r="AL938" s="251">
        <v>21</v>
      </c>
      <c r="AM938" s="251">
        <v>21</v>
      </c>
      <c r="AN938" s="251">
        <v>22</v>
      </c>
      <c r="AO938" s="275">
        <v>19</v>
      </c>
      <c r="AP938" s="275">
        <v>25</v>
      </c>
      <c r="AQ938" s="275">
        <v>25</v>
      </c>
      <c r="AR938" s="275">
        <v>26</v>
      </c>
      <c r="AS938" s="275">
        <v>36</v>
      </c>
      <c r="AT938" s="275">
        <v>35</v>
      </c>
      <c r="AU938" s="275">
        <v>35</v>
      </c>
      <c r="AV938" s="275">
        <f t="shared" si="77"/>
        <v>35</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19</v>
      </c>
      <c r="AC939" s="275">
        <v>26</v>
      </c>
      <c r="AD939" s="275">
        <v>21</v>
      </c>
      <c r="AE939" s="251">
        <v>21</v>
      </c>
      <c r="AF939" s="251">
        <v>31</v>
      </c>
      <c r="AG939" s="251">
        <v>33</v>
      </c>
      <c r="AH939" s="251">
        <v>36</v>
      </c>
      <c r="AI939" s="251">
        <v>51</v>
      </c>
      <c r="AJ939" s="251">
        <v>52</v>
      </c>
      <c r="AK939" s="251">
        <v>55</v>
      </c>
      <c r="AL939" s="251">
        <v>53</v>
      </c>
      <c r="AM939" s="251">
        <v>55</v>
      </c>
      <c r="AN939" s="251">
        <v>63</v>
      </c>
      <c r="AO939" s="275">
        <v>54</v>
      </c>
      <c r="AP939" s="275">
        <v>71</v>
      </c>
      <c r="AQ939" s="275">
        <v>66</v>
      </c>
      <c r="AR939" s="275">
        <v>66</v>
      </c>
      <c r="AS939" s="275">
        <v>69</v>
      </c>
      <c r="AT939" s="275">
        <v>74</v>
      </c>
      <c r="AU939" s="275">
        <v>68</v>
      </c>
      <c r="AV939" s="275">
        <f t="shared" si="77"/>
        <v>68</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46.31</v>
      </c>
      <c r="Y940" s="251">
        <v>47.264899999999997</v>
      </c>
      <c r="Z940" s="245">
        <f ca="1">[1]ExtEntry!$O40</f>
        <v>47.264899999999997</v>
      </c>
      <c r="AB940" s="275">
        <v>75</v>
      </c>
      <c r="AC940" s="275">
        <v>81</v>
      </c>
      <c r="AD940" s="275">
        <v>87</v>
      </c>
      <c r="AE940" s="251">
        <v>84</v>
      </c>
      <c r="AF940" s="251">
        <v>82</v>
      </c>
      <c r="AG940" s="251">
        <v>75</v>
      </c>
      <c r="AH940" s="251">
        <v>71</v>
      </c>
      <c r="AI940" s="251">
        <v>67</v>
      </c>
      <c r="AJ940" s="251">
        <v>64</v>
      </c>
      <c r="AK940" s="251">
        <v>63</v>
      </c>
      <c r="AL940" s="251">
        <v>64</v>
      </c>
      <c r="AM940" s="251">
        <v>66</v>
      </c>
      <c r="AN940" s="251">
        <v>64</v>
      </c>
      <c r="AO940" s="275">
        <v>61</v>
      </c>
      <c r="AP940" s="275">
        <v>61</v>
      </c>
      <c r="AQ940" s="275">
        <v>64</v>
      </c>
      <c r="AR940" s="275">
        <v>59</v>
      </c>
      <c r="AS940" s="275">
        <v>60</v>
      </c>
      <c r="AT940" s="275">
        <v>55</v>
      </c>
      <c r="AU940" s="275">
        <v>44</v>
      </c>
      <c r="AV940" s="275">
        <f t="shared" si="77"/>
        <v>44</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46.82</v>
      </c>
      <c r="X941" s="251">
        <v>46.82</v>
      </c>
      <c r="Y941" s="251">
        <v>46.82</v>
      </c>
      <c r="Z941" s="245">
        <f ca="1">[1]ExtEntry!$O41</f>
        <v>46.82</v>
      </c>
      <c r="AB941" s="275">
        <v>66</v>
      </c>
      <c r="AC941" s="275">
        <v>73</v>
      </c>
      <c r="AD941" s="275">
        <v>61</v>
      </c>
      <c r="AE941" s="251">
        <v>61</v>
      </c>
      <c r="AF941" s="251">
        <v>71</v>
      </c>
      <c r="AG941" s="251">
        <v>78</v>
      </c>
      <c r="AH941" s="251">
        <v>70</v>
      </c>
      <c r="AI941" s="251">
        <v>63</v>
      </c>
      <c r="AJ941" s="251">
        <v>71</v>
      </c>
      <c r="AK941" s="251">
        <v>60</v>
      </c>
      <c r="AL941" s="251">
        <v>61</v>
      </c>
      <c r="AM941" s="251">
        <v>58</v>
      </c>
      <c r="AN941" s="251">
        <v>59</v>
      </c>
      <c r="AO941" s="275">
        <v>52</v>
      </c>
      <c r="AP941" s="275">
        <v>56</v>
      </c>
      <c r="AQ941" s="275">
        <v>44</v>
      </c>
      <c r="AR941" s="275">
        <v>40</v>
      </c>
      <c r="AS941" s="275">
        <v>36</v>
      </c>
      <c r="AT941" s="275">
        <v>35</v>
      </c>
      <c r="AU941" s="275">
        <v>35</v>
      </c>
      <c r="AV941" s="275">
        <f t="shared" si="77"/>
        <v>35</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73</v>
      </c>
      <c r="AC942" s="275">
        <v>68</v>
      </c>
      <c r="AD942" s="275">
        <v>64</v>
      </c>
      <c r="AE942" s="251">
        <v>64</v>
      </c>
      <c r="AF942" s="251">
        <v>61</v>
      </c>
      <c r="AG942" s="251">
        <v>58</v>
      </c>
      <c r="AH942" s="251">
        <v>56</v>
      </c>
      <c r="AI942" s="251">
        <v>54</v>
      </c>
      <c r="AJ942" s="251">
        <v>57</v>
      </c>
      <c r="AK942" s="251">
        <v>48</v>
      </c>
      <c r="AL942" s="251">
        <v>41</v>
      </c>
      <c r="AM942" s="251">
        <v>41</v>
      </c>
      <c r="AN942" s="251">
        <v>37</v>
      </c>
      <c r="AO942" s="275">
        <v>35</v>
      </c>
      <c r="AP942" s="275">
        <v>23</v>
      </c>
      <c r="AQ942" s="275">
        <v>23</v>
      </c>
      <c r="AR942" s="275">
        <v>30</v>
      </c>
      <c r="AS942" s="275">
        <v>34</v>
      </c>
      <c r="AT942" s="275">
        <v>32</v>
      </c>
      <c r="AU942" s="275">
        <v>22</v>
      </c>
      <c r="AV942" s="275">
        <f t="shared" si="77"/>
        <v>22</v>
      </c>
      <c r="AX942" s="88" t="str">
        <f t="shared" ca="1" si="78"/>
        <v>SAP</v>
      </c>
    </row>
    <row r="943" spans="1:50" hidden="1" x14ac:dyDescent="0.3">
      <c r="A943" s="88" t="str">
        <f t="shared" ca="1" si="76"/>
        <v>SHECY</v>
      </c>
      <c r="F943" s="251">
        <v>20.77</v>
      </c>
      <c r="G943" s="251">
        <v>20.61</v>
      </c>
      <c r="H943" s="251">
        <v>20.61</v>
      </c>
      <c r="I943" s="251">
        <v>20.61</v>
      </c>
      <c r="J943" s="251">
        <v>20.102</v>
      </c>
      <c r="K943" s="251">
        <v>20.102</v>
      </c>
      <c r="L943" s="251">
        <v>20.102</v>
      </c>
      <c r="M943" s="251">
        <v>20.102</v>
      </c>
      <c r="N943" s="251">
        <v>20.102</v>
      </c>
      <c r="O943" s="251">
        <v>20.102</v>
      </c>
      <c r="P943" s="251">
        <v>19.86</v>
      </c>
      <c r="Q943" s="251">
        <v>19.86</v>
      </c>
      <c r="R943" s="251">
        <v>19.86</v>
      </c>
      <c r="S943" s="251">
        <v>19.86</v>
      </c>
      <c r="T943" s="251">
        <v>19.86</v>
      </c>
      <c r="U943" s="251">
        <v>19.86</v>
      </c>
      <c r="V943" s="251">
        <v>19.86</v>
      </c>
      <c r="W943" s="251">
        <v>19.38</v>
      </c>
      <c r="X943" s="251">
        <v>19.38</v>
      </c>
      <c r="Y943" s="251">
        <v>19.38</v>
      </c>
      <c r="Z943" s="245">
        <f ca="1">[1]ExtEntry!$O43</f>
        <v>19.38</v>
      </c>
      <c r="AB943" s="275">
        <v>70</v>
      </c>
      <c r="AC943" s="275">
        <v>73</v>
      </c>
      <c r="AD943" s="275">
        <v>72</v>
      </c>
      <c r="AE943" s="251">
        <v>62</v>
      </c>
      <c r="AF943" s="251">
        <v>67</v>
      </c>
      <c r="AG943" s="251">
        <v>70</v>
      </c>
      <c r="AH943" s="251">
        <v>51</v>
      </c>
      <c r="AI943" s="251">
        <v>44</v>
      </c>
      <c r="AJ943" s="251">
        <v>48</v>
      </c>
      <c r="AK943" s="251">
        <v>49</v>
      </c>
      <c r="AL943" s="251">
        <v>50</v>
      </c>
      <c r="AM943" s="251">
        <v>49</v>
      </c>
      <c r="AN943" s="251">
        <v>47</v>
      </c>
      <c r="AO943" s="275">
        <v>40</v>
      </c>
      <c r="AP943" s="275">
        <v>40</v>
      </c>
      <c r="AQ943" s="275">
        <v>40</v>
      </c>
      <c r="AR943" s="275">
        <v>40</v>
      </c>
      <c r="AS943" s="275">
        <v>38</v>
      </c>
      <c r="AT943" s="275">
        <v>39</v>
      </c>
      <c r="AU943" s="275">
        <v>35</v>
      </c>
      <c r="AV943" s="275">
        <f t="shared" si="77"/>
        <v>35</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53</v>
      </c>
      <c r="AC944" s="275">
        <v>52</v>
      </c>
      <c r="AD944" s="275">
        <v>52</v>
      </c>
      <c r="AE944" s="251">
        <v>53</v>
      </c>
      <c r="AF944" s="251">
        <v>52</v>
      </c>
      <c r="AG944" s="251">
        <v>49</v>
      </c>
      <c r="AH944" s="251">
        <v>51</v>
      </c>
      <c r="AI944" s="251">
        <v>45</v>
      </c>
      <c r="AJ944" s="251">
        <v>53</v>
      </c>
      <c r="AK944" s="251">
        <v>44</v>
      </c>
      <c r="AL944" s="251">
        <v>49</v>
      </c>
      <c r="AM944" s="251">
        <v>51</v>
      </c>
      <c r="AN944" s="251">
        <v>42</v>
      </c>
      <c r="AO944" s="275">
        <v>43</v>
      </c>
      <c r="AP944" s="275">
        <v>49</v>
      </c>
      <c r="AQ944" s="275">
        <v>49</v>
      </c>
      <c r="AR944" s="275">
        <v>44</v>
      </c>
      <c r="AS944" s="275">
        <v>46</v>
      </c>
      <c r="AT944" s="275">
        <v>45</v>
      </c>
      <c r="AU944" s="275">
        <v>39</v>
      </c>
      <c r="AV944" s="275">
        <f t="shared" si="77"/>
        <v>39</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66</v>
      </c>
      <c r="AC945" s="275">
        <v>68</v>
      </c>
      <c r="AD945" s="275">
        <v>64</v>
      </c>
      <c r="AE945" s="251">
        <v>63</v>
      </c>
      <c r="AF945" s="251">
        <v>66</v>
      </c>
      <c r="AG945" s="251">
        <v>61</v>
      </c>
      <c r="AH945" s="251">
        <v>55</v>
      </c>
      <c r="AI945" s="251">
        <v>53</v>
      </c>
      <c r="AJ945" s="251">
        <v>56</v>
      </c>
      <c r="AK945" s="251">
        <v>59</v>
      </c>
      <c r="AL945" s="251">
        <v>60</v>
      </c>
      <c r="AM945" s="251">
        <v>59</v>
      </c>
      <c r="AN945" s="251">
        <v>54</v>
      </c>
      <c r="AO945" s="275">
        <v>50</v>
      </c>
      <c r="AP945" s="275">
        <v>48</v>
      </c>
      <c r="AQ945" s="275">
        <v>50</v>
      </c>
      <c r="AR945" s="275">
        <v>44</v>
      </c>
      <c r="AS945" s="275">
        <v>47</v>
      </c>
      <c r="AT945" s="275">
        <v>47</v>
      </c>
      <c r="AU945" s="275">
        <v>34</v>
      </c>
      <c r="AV945" s="275">
        <f t="shared" si="77"/>
        <v>34</v>
      </c>
      <c r="AX945" s="88" t="str">
        <f t="shared" ca="1" si="78"/>
        <v>TSLA</v>
      </c>
    </row>
    <row r="946" spans="1:50" hidden="1" x14ac:dyDescent="0.3">
      <c r="A946" s="88" t="str">
        <f t="shared" ca="1" si="76"/>
        <v>TSM</v>
      </c>
      <c r="F946" s="251">
        <v>307.3</v>
      </c>
      <c r="G946" s="251">
        <v>307.3</v>
      </c>
      <c r="H946" s="251">
        <v>311.36849999999998</v>
      </c>
      <c r="I946" s="251">
        <v>311.36849999999998</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31</v>
      </c>
      <c r="AC946" s="275">
        <v>32</v>
      </c>
      <c r="AD946" s="275">
        <v>30</v>
      </c>
      <c r="AE946" s="251">
        <v>35</v>
      </c>
      <c r="AF946" s="251">
        <v>51</v>
      </c>
      <c r="AG946" s="251">
        <v>42</v>
      </c>
      <c r="AH946" s="251">
        <v>47</v>
      </c>
      <c r="AI946" s="251">
        <v>47</v>
      </c>
      <c r="AJ946" s="251">
        <v>42</v>
      </c>
      <c r="AK946" s="251">
        <v>40</v>
      </c>
      <c r="AL946" s="251">
        <v>39</v>
      </c>
      <c r="AM946" s="251">
        <v>41</v>
      </c>
      <c r="AN946" s="251">
        <v>39</v>
      </c>
      <c r="AO946" s="275">
        <v>40</v>
      </c>
      <c r="AP946" s="275">
        <v>39</v>
      </c>
      <c r="AQ946" s="275">
        <v>37</v>
      </c>
      <c r="AR946" s="275">
        <v>34</v>
      </c>
      <c r="AS946" s="275">
        <v>31</v>
      </c>
      <c r="AT946" s="275">
        <v>31</v>
      </c>
      <c r="AU946" s="275">
        <v>30</v>
      </c>
      <c r="AV946" s="275">
        <f t="shared" si="77"/>
        <v>30</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23</v>
      </c>
      <c r="AC947" s="275">
        <v>30</v>
      </c>
      <c r="AD947" s="275">
        <v>23</v>
      </c>
      <c r="AE947" s="251">
        <v>28</v>
      </c>
      <c r="AF947" s="251">
        <v>33</v>
      </c>
      <c r="AG947" s="251">
        <v>29</v>
      </c>
      <c r="AH947" s="251">
        <v>23</v>
      </c>
      <c r="AI947" s="251">
        <v>25</v>
      </c>
      <c r="AJ947" s="251">
        <v>36</v>
      </c>
      <c r="AK947" s="251">
        <v>42</v>
      </c>
      <c r="AL947" s="251">
        <v>49</v>
      </c>
      <c r="AM947" s="251">
        <v>44</v>
      </c>
      <c r="AN947" s="251">
        <v>45</v>
      </c>
      <c r="AO947" s="275">
        <v>50</v>
      </c>
      <c r="AP947" s="275">
        <v>57</v>
      </c>
      <c r="AQ947" s="275">
        <v>55</v>
      </c>
      <c r="AR947" s="275">
        <v>58</v>
      </c>
      <c r="AS947" s="275">
        <v>63</v>
      </c>
      <c r="AT947" s="275">
        <v>62</v>
      </c>
      <c r="AU947" s="275">
        <v>63</v>
      </c>
      <c r="AV947" s="275">
        <f t="shared" si="77"/>
        <v>63</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36</v>
      </c>
      <c r="AC949" s="275">
        <v>35</v>
      </c>
      <c r="AD949" s="275">
        <v>38</v>
      </c>
      <c r="AE949" s="251">
        <v>32</v>
      </c>
      <c r="AF949" s="251">
        <v>37</v>
      </c>
      <c r="AG949" s="251">
        <v>39</v>
      </c>
      <c r="AH949" s="251">
        <v>36</v>
      </c>
      <c r="AI949" s="251">
        <v>38</v>
      </c>
      <c r="AJ949" s="251">
        <v>43</v>
      </c>
      <c r="AK949" s="251">
        <v>36</v>
      </c>
      <c r="AL949" s="251">
        <v>42</v>
      </c>
      <c r="AM949" s="251">
        <v>40</v>
      </c>
      <c r="AN949" s="251">
        <v>38</v>
      </c>
      <c r="AO949" s="275">
        <v>34</v>
      </c>
      <c r="AP949" s="275">
        <v>37</v>
      </c>
      <c r="AQ949" s="275">
        <v>40</v>
      </c>
      <c r="AR949" s="275">
        <v>42</v>
      </c>
      <c r="AS949" s="275">
        <v>43</v>
      </c>
      <c r="AT949" s="275">
        <v>47</v>
      </c>
      <c r="AU949" s="275">
        <v>48</v>
      </c>
      <c r="AV949" s="275">
        <f t="shared" ref="AV949:AV996" si="79">INT(100-100/(1+SUMIF(F651:Y651,"&gt;0",F651:Y651)/ABS(SUMIF(F651:Y651,"&lt;0",F651:Y651))))</f>
        <v>48</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47</v>
      </c>
      <c r="AC950" s="275">
        <v>49</v>
      </c>
      <c r="AD950" s="275">
        <v>43</v>
      </c>
      <c r="AE950" s="251">
        <v>37</v>
      </c>
      <c r="AF950" s="251">
        <v>37</v>
      </c>
      <c r="AG950" s="251">
        <v>35</v>
      </c>
      <c r="AH950" s="251">
        <v>44</v>
      </c>
      <c r="AI950" s="251">
        <v>57</v>
      </c>
      <c r="AJ950" s="251">
        <v>65</v>
      </c>
      <c r="AK950" s="251">
        <v>65</v>
      </c>
      <c r="AL950" s="251">
        <v>63</v>
      </c>
      <c r="AM950" s="251">
        <v>59</v>
      </c>
      <c r="AN950" s="251">
        <v>62</v>
      </c>
      <c r="AO950" s="275">
        <v>57</v>
      </c>
      <c r="AP950" s="275">
        <v>54</v>
      </c>
      <c r="AQ950" s="275">
        <v>50</v>
      </c>
      <c r="AR950" s="275">
        <v>49</v>
      </c>
      <c r="AS950" s="275">
        <v>47</v>
      </c>
      <c r="AT950" s="275">
        <v>48</v>
      </c>
      <c r="AU950" s="275">
        <v>52</v>
      </c>
      <c r="AV950" s="275">
        <f t="shared" si="79"/>
        <v>52</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63</v>
      </c>
      <c r="AC951" s="275">
        <v>65</v>
      </c>
      <c r="AD951" s="275">
        <v>63</v>
      </c>
      <c r="AE951" s="251">
        <v>64</v>
      </c>
      <c r="AF951" s="251">
        <v>66</v>
      </c>
      <c r="AG951" s="251">
        <v>70</v>
      </c>
      <c r="AH951" s="251">
        <v>78</v>
      </c>
      <c r="AI951" s="251">
        <v>77</v>
      </c>
      <c r="AJ951" s="251">
        <v>83</v>
      </c>
      <c r="AK951" s="251">
        <v>83</v>
      </c>
      <c r="AL951" s="251">
        <v>83</v>
      </c>
      <c r="AM951" s="251">
        <v>73</v>
      </c>
      <c r="AN951" s="251">
        <v>72</v>
      </c>
      <c r="AO951" s="275">
        <v>71</v>
      </c>
      <c r="AP951" s="275">
        <v>75</v>
      </c>
      <c r="AQ951" s="275">
        <v>55</v>
      </c>
      <c r="AR951" s="275">
        <v>59</v>
      </c>
      <c r="AS951" s="275">
        <v>53</v>
      </c>
      <c r="AT951" s="275">
        <v>54</v>
      </c>
      <c r="AU951" s="275">
        <v>47</v>
      </c>
      <c r="AV951" s="275">
        <f t="shared" si="79"/>
        <v>47</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123.21</v>
      </c>
      <c r="H953" s="251">
        <v>123.21</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46</v>
      </c>
      <c r="AC953" s="275">
        <v>39</v>
      </c>
      <c r="AD953" s="275">
        <v>40</v>
      </c>
      <c r="AE953" s="251">
        <v>46</v>
      </c>
      <c r="AF953" s="251">
        <v>49</v>
      </c>
      <c r="AG953" s="251">
        <v>52</v>
      </c>
      <c r="AH953" s="251">
        <v>52</v>
      </c>
      <c r="AI953" s="251">
        <v>55</v>
      </c>
      <c r="AJ953" s="251">
        <v>55</v>
      </c>
      <c r="AK953" s="251">
        <v>51</v>
      </c>
      <c r="AL953" s="251">
        <v>60</v>
      </c>
      <c r="AM953" s="251">
        <v>62</v>
      </c>
      <c r="AN953" s="251">
        <v>59</v>
      </c>
      <c r="AO953" s="275">
        <v>62</v>
      </c>
      <c r="AP953" s="275">
        <v>56</v>
      </c>
      <c r="AQ953" s="275">
        <v>59</v>
      </c>
      <c r="AR953" s="275">
        <v>65</v>
      </c>
      <c r="AS953" s="275">
        <v>71</v>
      </c>
      <c r="AT953" s="275">
        <v>76</v>
      </c>
      <c r="AU953" s="275">
        <v>69</v>
      </c>
      <c r="AV953" s="275">
        <f t="shared" si="79"/>
        <v>69</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72</v>
      </c>
      <c r="AC954" s="275">
        <v>73</v>
      </c>
      <c r="AD954" s="275">
        <v>70</v>
      </c>
      <c r="AE954" s="251">
        <v>68</v>
      </c>
      <c r="AF954" s="251">
        <v>69</v>
      </c>
      <c r="AG954" s="251">
        <v>66</v>
      </c>
      <c r="AH954" s="251">
        <v>65</v>
      </c>
      <c r="AI954" s="251">
        <v>57</v>
      </c>
      <c r="AJ954" s="251">
        <v>58</v>
      </c>
      <c r="AK954" s="251">
        <v>57</v>
      </c>
      <c r="AL954" s="251">
        <v>56</v>
      </c>
      <c r="AM954" s="251">
        <v>61</v>
      </c>
      <c r="AN954" s="251">
        <v>58</v>
      </c>
      <c r="AO954" s="275">
        <v>50</v>
      </c>
      <c r="AP954" s="275">
        <v>54</v>
      </c>
      <c r="AQ954" s="275">
        <v>64</v>
      </c>
      <c r="AR954" s="275">
        <v>56</v>
      </c>
      <c r="AS954" s="275">
        <v>53</v>
      </c>
      <c r="AT954" s="275">
        <v>50</v>
      </c>
      <c r="AU954" s="275">
        <v>43</v>
      </c>
      <c r="AV954" s="275">
        <f t="shared" si="79"/>
        <v>43</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40</v>
      </c>
      <c r="AC955" s="275">
        <v>40</v>
      </c>
      <c r="AD955" s="275">
        <v>42</v>
      </c>
      <c r="AE955" s="251">
        <v>45</v>
      </c>
      <c r="AF955" s="251">
        <v>48</v>
      </c>
      <c r="AG955" s="251">
        <v>44</v>
      </c>
      <c r="AH955" s="251">
        <v>69</v>
      </c>
      <c r="AI955" s="251">
        <v>72</v>
      </c>
      <c r="AJ955" s="251">
        <v>67</v>
      </c>
      <c r="AK955" s="251">
        <v>61</v>
      </c>
      <c r="AL955" s="251">
        <v>38</v>
      </c>
      <c r="AM955" s="251">
        <v>38</v>
      </c>
      <c r="AN955" s="251">
        <v>44</v>
      </c>
      <c r="AO955" s="275">
        <v>47</v>
      </c>
      <c r="AP955" s="275">
        <v>49</v>
      </c>
      <c r="AQ955" s="275">
        <v>46</v>
      </c>
      <c r="AR955" s="275">
        <v>52</v>
      </c>
      <c r="AS955" s="275">
        <v>35</v>
      </c>
      <c r="AT955" s="275">
        <v>33</v>
      </c>
      <c r="AU955" s="275">
        <v>36</v>
      </c>
      <c r="AV955" s="275">
        <f t="shared" si="79"/>
        <v>36</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74</v>
      </c>
      <c r="AC956" s="275">
        <v>76</v>
      </c>
      <c r="AD956" s="275">
        <v>73</v>
      </c>
      <c r="AE956" s="251">
        <v>68</v>
      </c>
      <c r="AF956" s="251">
        <v>76</v>
      </c>
      <c r="AG956" s="251">
        <v>67</v>
      </c>
      <c r="AH956" s="251">
        <v>56</v>
      </c>
      <c r="AI956" s="251">
        <v>48</v>
      </c>
      <c r="AJ956" s="251">
        <v>49</v>
      </c>
      <c r="AK956" s="251">
        <v>47</v>
      </c>
      <c r="AL956" s="251">
        <v>48</v>
      </c>
      <c r="AM956" s="251">
        <v>51</v>
      </c>
      <c r="AN956" s="251">
        <v>48</v>
      </c>
      <c r="AO956" s="275">
        <v>44</v>
      </c>
      <c r="AP956" s="275">
        <v>42</v>
      </c>
      <c r="AQ956" s="275">
        <v>38</v>
      </c>
      <c r="AR956" s="275">
        <v>36</v>
      </c>
      <c r="AS956" s="275">
        <v>37</v>
      </c>
      <c r="AT956" s="275">
        <v>37</v>
      </c>
      <c r="AU956" s="275">
        <v>32</v>
      </c>
      <c r="AV956" s="275">
        <f t="shared" si="79"/>
        <v>32</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56</v>
      </c>
      <c r="AC957" s="275">
        <v>58</v>
      </c>
      <c r="AD957" s="275">
        <v>56</v>
      </c>
      <c r="AE957" s="251">
        <v>61</v>
      </c>
      <c r="AF957" s="251">
        <v>71</v>
      </c>
      <c r="AG957" s="251">
        <v>73</v>
      </c>
      <c r="AH957" s="251">
        <v>71</v>
      </c>
      <c r="AI957" s="251">
        <v>71</v>
      </c>
      <c r="AJ957" s="251">
        <v>37</v>
      </c>
      <c r="AK957" s="251">
        <v>35</v>
      </c>
      <c r="AL957" s="251">
        <v>32</v>
      </c>
      <c r="AM957" s="251">
        <v>31</v>
      </c>
      <c r="AN957" s="251">
        <v>31</v>
      </c>
      <c r="AO957" s="275">
        <v>30</v>
      </c>
      <c r="AP957" s="275">
        <v>29</v>
      </c>
      <c r="AQ957" s="275">
        <v>28</v>
      </c>
      <c r="AR957" s="275">
        <v>29</v>
      </c>
      <c r="AS957" s="275">
        <v>27</v>
      </c>
      <c r="AT957" s="275">
        <v>24</v>
      </c>
      <c r="AU957" s="275">
        <v>23</v>
      </c>
      <c r="AV957" s="275">
        <f t="shared" si="79"/>
        <v>23</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71</v>
      </c>
      <c r="AC958" s="275">
        <v>70</v>
      </c>
      <c r="AD958" s="275">
        <v>76</v>
      </c>
      <c r="AE958" s="251">
        <v>75</v>
      </c>
      <c r="AF958" s="251">
        <v>76</v>
      </c>
      <c r="AG958" s="251">
        <v>73</v>
      </c>
      <c r="AH958" s="251">
        <v>62</v>
      </c>
      <c r="AI958" s="251">
        <v>54</v>
      </c>
      <c r="AJ958" s="251">
        <v>46</v>
      </c>
      <c r="AK958" s="251">
        <v>45</v>
      </c>
      <c r="AL958" s="251">
        <v>47</v>
      </c>
      <c r="AM958" s="251">
        <v>51</v>
      </c>
      <c r="AN958" s="251">
        <v>48</v>
      </c>
      <c r="AO958" s="275">
        <v>48</v>
      </c>
      <c r="AP958" s="275">
        <v>52</v>
      </c>
      <c r="AQ958" s="275">
        <v>51</v>
      </c>
      <c r="AR958" s="275">
        <v>51</v>
      </c>
      <c r="AS958" s="275">
        <v>51</v>
      </c>
      <c r="AT958" s="275">
        <v>49</v>
      </c>
      <c r="AU958" s="275">
        <v>43</v>
      </c>
      <c r="AV958" s="275">
        <f t="shared" si="79"/>
        <v>43</v>
      </c>
      <c r="AX958" s="88" t="str">
        <f t="shared" ca="1" si="78"/>
        <v>MVEEOAN</v>
      </c>
    </row>
    <row r="959" spans="1:50" hidden="1" x14ac:dyDescent="0.3">
      <c r="A959" s="88" t="str">
        <f t="shared" ca="1" si="76"/>
        <v>MVEENI</v>
      </c>
      <c r="F959" s="251">
        <v>15.53</v>
      </c>
      <c r="G959" s="251">
        <v>15.53</v>
      </c>
      <c r="H959" s="251">
        <v>15.53</v>
      </c>
      <c r="I959" s="251">
        <v>15.53</v>
      </c>
      <c r="J959" s="251">
        <v>15.53</v>
      </c>
      <c r="K959" s="251">
        <v>15.53</v>
      </c>
      <c r="L959" s="251">
        <v>15.53</v>
      </c>
      <c r="M959" s="251">
        <v>15.53</v>
      </c>
      <c r="N959" s="251">
        <v>15.63</v>
      </c>
      <c r="O959" s="251">
        <v>16.032</v>
      </c>
      <c r="P959" s="251">
        <v>16.03</v>
      </c>
      <c r="Q959" s="251">
        <v>16.03</v>
      </c>
      <c r="R959" s="251">
        <v>16.03</v>
      </c>
      <c r="S959" s="251">
        <v>16.11</v>
      </c>
      <c r="T959" s="251">
        <v>16.11</v>
      </c>
      <c r="U959" s="251">
        <v>16.11</v>
      </c>
      <c r="V959" s="251">
        <v>16.11</v>
      </c>
      <c r="W959" s="251">
        <v>16.55</v>
      </c>
      <c r="X959" s="251">
        <v>16.61</v>
      </c>
      <c r="Y959" s="251">
        <v>16.61</v>
      </c>
      <c r="Z959" s="245">
        <f ca="1">[1]ExtEntry!$O59</f>
        <v>16.61</v>
      </c>
      <c r="AB959" s="275">
        <v>52</v>
      </c>
      <c r="AC959" s="275">
        <v>51</v>
      </c>
      <c r="AD959" s="275">
        <v>51</v>
      </c>
      <c r="AE959" s="251">
        <v>54</v>
      </c>
      <c r="AF959" s="251">
        <v>58</v>
      </c>
      <c r="AG959" s="251">
        <v>57</v>
      </c>
      <c r="AH959" s="251">
        <v>56</v>
      </c>
      <c r="AI959" s="251">
        <v>56</v>
      </c>
      <c r="AJ959" s="251">
        <v>62</v>
      </c>
      <c r="AK959" s="251">
        <v>63</v>
      </c>
      <c r="AL959" s="251">
        <v>71</v>
      </c>
      <c r="AM959" s="251">
        <v>75</v>
      </c>
      <c r="AN959" s="251">
        <v>73</v>
      </c>
      <c r="AO959" s="275">
        <v>75</v>
      </c>
      <c r="AP959" s="275">
        <v>75</v>
      </c>
      <c r="AQ959" s="275">
        <v>74</v>
      </c>
      <c r="AR959" s="275">
        <v>72</v>
      </c>
      <c r="AS959" s="275">
        <v>71</v>
      </c>
      <c r="AT959" s="275">
        <v>78</v>
      </c>
      <c r="AU959" s="275">
        <v>73</v>
      </c>
      <c r="AV959" s="275">
        <f t="shared" si="79"/>
        <v>73</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45</v>
      </c>
      <c r="AC960" s="275">
        <v>44</v>
      </c>
      <c r="AD960" s="275">
        <v>40</v>
      </c>
      <c r="AE960" s="251">
        <v>39</v>
      </c>
      <c r="AF960" s="251">
        <v>38</v>
      </c>
      <c r="AG960" s="251">
        <v>35</v>
      </c>
      <c r="AH960" s="251">
        <v>41</v>
      </c>
      <c r="AI960" s="251">
        <v>44</v>
      </c>
      <c r="AJ960" s="251">
        <v>45</v>
      </c>
      <c r="AK960" s="251">
        <v>44</v>
      </c>
      <c r="AL960" s="251">
        <v>52</v>
      </c>
      <c r="AM960" s="251">
        <v>54</v>
      </c>
      <c r="AN960" s="251">
        <v>35</v>
      </c>
      <c r="AO960" s="275">
        <v>3</v>
      </c>
      <c r="AP960" s="275">
        <v>6</v>
      </c>
      <c r="AQ960" s="275">
        <v>0</v>
      </c>
      <c r="AR960" s="275">
        <v>0</v>
      </c>
      <c r="AS960" s="275">
        <v>0</v>
      </c>
      <c r="AT960" s="275" t="e">
        <v>#DIV/0!</v>
      </c>
      <c r="AU960" s="275" t="e">
        <v>#DIV/0!</v>
      </c>
      <c r="AV960" s="275" t="e">
        <f t="shared" si="79"/>
        <v>#DIV/0!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59.9</v>
      </c>
      <c r="X961" s="251">
        <v>59.9</v>
      </c>
      <c r="Y961" s="251">
        <v>59.9</v>
      </c>
      <c r="Z961" s="245">
        <f ca="1">[1]ExtEntry!$O61</f>
        <v>59.9</v>
      </c>
      <c r="AB961" s="275">
        <v>51</v>
      </c>
      <c r="AC961" s="275">
        <v>64</v>
      </c>
      <c r="AD961" s="275">
        <v>65</v>
      </c>
      <c r="AE961" s="251">
        <v>48</v>
      </c>
      <c r="AF961" s="251">
        <v>43</v>
      </c>
      <c r="AG961" s="251">
        <v>46</v>
      </c>
      <c r="AH961" s="251">
        <v>47</v>
      </c>
      <c r="AI961" s="251">
        <v>44</v>
      </c>
      <c r="AJ961" s="251">
        <v>50</v>
      </c>
      <c r="AK961" s="251">
        <v>47</v>
      </c>
      <c r="AL961" s="251">
        <v>50</v>
      </c>
      <c r="AM961" s="251">
        <v>54</v>
      </c>
      <c r="AN961" s="251">
        <v>44</v>
      </c>
      <c r="AO961" s="275">
        <v>44</v>
      </c>
      <c r="AP961" s="275">
        <v>44</v>
      </c>
      <c r="AQ961" s="275">
        <v>50</v>
      </c>
      <c r="AR961" s="275">
        <v>42</v>
      </c>
      <c r="AS961" s="275">
        <v>38</v>
      </c>
      <c r="AT961" s="275">
        <v>38</v>
      </c>
      <c r="AU961" s="275">
        <v>40</v>
      </c>
      <c r="AV961" s="275">
        <f t="shared" si="79"/>
        <v>40</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46</v>
      </c>
      <c r="AC962" s="275">
        <v>58</v>
      </c>
      <c r="AD962" s="275">
        <v>61</v>
      </c>
      <c r="AE962" s="251">
        <v>63</v>
      </c>
      <c r="AF962" s="251">
        <v>58</v>
      </c>
      <c r="AG962" s="251">
        <v>57</v>
      </c>
      <c r="AH962" s="251">
        <v>58</v>
      </c>
      <c r="AI962" s="251">
        <v>60</v>
      </c>
      <c r="AJ962" s="251">
        <v>59</v>
      </c>
      <c r="AK962" s="251">
        <v>52</v>
      </c>
      <c r="AL962" s="251">
        <v>52</v>
      </c>
      <c r="AM962" s="251">
        <v>52</v>
      </c>
      <c r="AN962" s="251">
        <v>57</v>
      </c>
      <c r="AO962" s="275">
        <v>57</v>
      </c>
      <c r="AP962" s="275">
        <v>62</v>
      </c>
      <c r="AQ962" s="275">
        <v>65</v>
      </c>
      <c r="AR962" s="275">
        <v>66</v>
      </c>
      <c r="AS962" s="275">
        <v>57</v>
      </c>
      <c r="AT962" s="275">
        <v>51</v>
      </c>
      <c r="AU962" s="275">
        <v>51</v>
      </c>
      <c r="AV962" s="275">
        <f t="shared" si="79"/>
        <v>51</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46.82</v>
      </c>
      <c r="X963" s="251">
        <v>46.82</v>
      </c>
      <c r="Y963" s="251">
        <v>46.82</v>
      </c>
      <c r="Z963" s="245">
        <f ca="1">[1]ExtEntry!$O63</f>
        <v>46.82</v>
      </c>
      <c r="AB963" s="275">
        <v>75</v>
      </c>
      <c r="AC963" s="275">
        <v>81</v>
      </c>
      <c r="AD963" s="275">
        <v>87</v>
      </c>
      <c r="AE963" s="251">
        <v>84</v>
      </c>
      <c r="AF963" s="251">
        <v>82</v>
      </c>
      <c r="AG963" s="251">
        <v>75</v>
      </c>
      <c r="AH963" s="251">
        <v>71</v>
      </c>
      <c r="AI963" s="251">
        <v>67</v>
      </c>
      <c r="AJ963" s="251">
        <v>64</v>
      </c>
      <c r="AK963" s="251">
        <v>63</v>
      </c>
      <c r="AL963" s="251">
        <v>64</v>
      </c>
      <c r="AM963" s="251">
        <v>66</v>
      </c>
      <c r="AN963" s="251">
        <v>64</v>
      </c>
      <c r="AO963" s="275">
        <v>61</v>
      </c>
      <c r="AP963" s="275">
        <v>61</v>
      </c>
      <c r="AQ963" s="275">
        <v>64</v>
      </c>
      <c r="AR963" s="275">
        <v>59</v>
      </c>
      <c r="AS963" s="275">
        <v>60</v>
      </c>
      <c r="AT963" s="275">
        <v>55</v>
      </c>
      <c r="AU963" s="275">
        <v>44</v>
      </c>
      <c r="AV963" s="275">
        <f t="shared" si="79"/>
        <v>44</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66</v>
      </c>
      <c r="AC964" s="275">
        <v>73</v>
      </c>
      <c r="AD964" s="275">
        <v>61</v>
      </c>
      <c r="AE964" s="251">
        <v>61</v>
      </c>
      <c r="AF964" s="251">
        <v>71</v>
      </c>
      <c r="AG964" s="251">
        <v>78</v>
      </c>
      <c r="AH964" s="251">
        <v>70</v>
      </c>
      <c r="AI964" s="251">
        <v>63</v>
      </c>
      <c r="AJ964" s="251">
        <v>71</v>
      </c>
      <c r="AK964" s="251">
        <v>60</v>
      </c>
      <c r="AL964" s="251">
        <v>61</v>
      </c>
      <c r="AM964" s="251">
        <v>58</v>
      </c>
      <c r="AN964" s="251">
        <v>59</v>
      </c>
      <c r="AO964" s="275">
        <v>52</v>
      </c>
      <c r="AP964" s="275">
        <v>56</v>
      </c>
      <c r="AQ964" s="275">
        <v>44</v>
      </c>
      <c r="AR964" s="275">
        <v>40</v>
      </c>
      <c r="AS964" s="275">
        <v>36</v>
      </c>
      <c r="AT964" s="275">
        <v>35</v>
      </c>
      <c r="AU964" s="275">
        <v>35</v>
      </c>
      <c r="AV964" s="275">
        <f t="shared" si="79"/>
        <v>35</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31</v>
      </c>
      <c r="AC965" s="275">
        <v>32</v>
      </c>
      <c r="AD965" s="275">
        <v>30</v>
      </c>
      <c r="AE965" s="251">
        <v>35</v>
      </c>
      <c r="AF965" s="251">
        <v>51</v>
      </c>
      <c r="AG965" s="251">
        <v>42</v>
      </c>
      <c r="AH965" s="251">
        <v>47</v>
      </c>
      <c r="AI965" s="251">
        <v>47</v>
      </c>
      <c r="AJ965" s="251">
        <v>42</v>
      </c>
      <c r="AK965" s="251">
        <v>40</v>
      </c>
      <c r="AL965" s="251">
        <v>39</v>
      </c>
      <c r="AM965" s="251">
        <v>41</v>
      </c>
      <c r="AN965" s="251">
        <v>39</v>
      </c>
      <c r="AO965" s="275">
        <v>40</v>
      </c>
      <c r="AP965" s="275">
        <v>39</v>
      </c>
      <c r="AQ965" s="275">
        <v>37</v>
      </c>
      <c r="AR965" s="275">
        <v>34</v>
      </c>
      <c r="AS965" s="275">
        <v>31</v>
      </c>
      <c r="AT965" s="275">
        <v>31</v>
      </c>
      <c r="AU965" s="275">
        <v>30</v>
      </c>
      <c r="AV965" s="275">
        <f t="shared" si="79"/>
        <v>30</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264.375</v>
      </c>
      <c r="K966" s="251">
        <v>265.29000000000002</v>
      </c>
      <c r="L966" s="251">
        <v>265.29000000000002</v>
      </c>
      <c r="M966" s="251">
        <v>265.29000000000002</v>
      </c>
      <c r="N966" s="251">
        <v>265.29000000000002</v>
      </c>
      <c r="O966" s="251">
        <v>265.29000000000002</v>
      </c>
      <c r="P966" s="251">
        <v>269.12</v>
      </c>
      <c r="Q966" s="251">
        <v>269.89</v>
      </c>
      <c r="R966" s="251">
        <v>274.14</v>
      </c>
      <c r="S966" s="251">
        <v>277.32</v>
      </c>
      <c r="T966" s="251">
        <v>277.32</v>
      </c>
      <c r="U966" s="251">
        <v>277.32</v>
      </c>
      <c r="V966" s="251">
        <v>277.32</v>
      </c>
      <c r="W966" s="251">
        <v>277.32</v>
      </c>
      <c r="X966" s="251">
        <v>277.32</v>
      </c>
      <c r="Y966" s="251">
        <v>277.32</v>
      </c>
      <c r="Z966" s="245">
        <f ca="1">[1]ExtEntry!$O66</f>
        <v>277.32</v>
      </c>
      <c r="AB966" s="275">
        <v>69</v>
      </c>
      <c r="AC966" s="275">
        <v>69</v>
      </c>
      <c r="AD966" s="275">
        <v>68</v>
      </c>
      <c r="AE966" s="251">
        <v>66</v>
      </c>
      <c r="AF966" s="251">
        <v>68</v>
      </c>
      <c r="AG966" s="251">
        <v>62</v>
      </c>
      <c r="AH966" s="251">
        <v>59</v>
      </c>
      <c r="AI966" s="251">
        <v>56</v>
      </c>
      <c r="AJ966" s="251">
        <v>53</v>
      </c>
      <c r="AK966" s="251">
        <v>58</v>
      </c>
      <c r="AL966" s="251">
        <v>65</v>
      </c>
      <c r="AM966" s="251">
        <v>65</v>
      </c>
      <c r="AN966" s="251">
        <v>65</v>
      </c>
      <c r="AO966" s="275">
        <v>65</v>
      </c>
      <c r="AP966" s="275">
        <v>64</v>
      </c>
      <c r="AQ966" s="275">
        <v>65</v>
      </c>
      <c r="AR966" s="275">
        <v>61</v>
      </c>
      <c r="AS966" s="275">
        <v>66</v>
      </c>
      <c r="AT966" s="275">
        <v>72</v>
      </c>
      <c r="AU966" s="275">
        <v>72</v>
      </c>
      <c r="AV966" s="275">
        <f t="shared" si="79"/>
        <v>72</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258.60000000000002</v>
      </c>
      <c r="T967" s="251">
        <v>258.60000000000002</v>
      </c>
      <c r="U967" s="251">
        <v>258.60000000000002</v>
      </c>
      <c r="V967" s="251">
        <v>258.60000000000002</v>
      </c>
      <c r="W967" s="251">
        <v>258.60000000000002</v>
      </c>
      <c r="X967" s="251">
        <v>258.60000000000002</v>
      </c>
      <c r="Y967" s="251">
        <v>258.60000000000002</v>
      </c>
      <c r="Z967" s="245">
        <f ca="1">[1]ExtEntry!$O67</f>
        <v>258.60000000000002</v>
      </c>
      <c r="AB967" s="275">
        <v>49</v>
      </c>
      <c r="AC967" s="275">
        <v>45</v>
      </c>
      <c r="AD967" s="275">
        <v>44</v>
      </c>
      <c r="AE967" s="251">
        <v>42</v>
      </c>
      <c r="AF967" s="251">
        <v>46</v>
      </c>
      <c r="AG967" s="251">
        <v>55</v>
      </c>
      <c r="AH967" s="251">
        <v>58</v>
      </c>
      <c r="AI967" s="251">
        <v>54</v>
      </c>
      <c r="AJ967" s="251">
        <v>59</v>
      </c>
      <c r="AK967" s="251">
        <v>60</v>
      </c>
      <c r="AL967" s="251">
        <v>61</v>
      </c>
      <c r="AM967" s="251">
        <v>66</v>
      </c>
      <c r="AN967" s="251">
        <v>57</v>
      </c>
      <c r="AO967" s="275">
        <v>51</v>
      </c>
      <c r="AP967" s="275">
        <v>54</v>
      </c>
      <c r="AQ967" s="275">
        <v>49</v>
      </c>
      <c r="AR967" s="275">
        <v>47</v>
      </c>
      <c r="AS967" s="275">
        <v>43</v>
      </c>
      <c r="AT967" s="275">
        <v>35</v>
      </c>
      <c r="AU967" s="275">
        <v>31</v>
      </c>
      <c r="AV967" s="275">
        <f t="shared" si="79"/>
        <v>31</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914.2</v>
      </c>
      <c r="Q968" s="251">
        <v>914.2</v>
      </c>
      <c r="R968" s="251">
        <v>938.6</v>
      </c>
      <c r="S968" s="251">
        <v>926.1</v>
      </c>
      <c r="T968" s="251">
        <v>913.3</v>
      </c>
      <c r="U968" s="251">
        <v>912.6</v>
      </c>
      <c r="V968" s="251">
        <v>938.6</v>
      </c>
      <c r="W968" s="251">
        <v>938.6</v>
      </c>
      <c r="X968" s="251">
        <v>938.6</v>
      </c>
      <c r="Y968" s="251">
        <v>938.6</v>
      </c>
      <c r="Z968" s="245">
        <f ca="1">[1]ExtEntry!$O68</f>
        <v>938.6</v>
      </c>
      <c r="AB968" s="275">
        <v>75</v>
      </c>
      <c r="AC968" s="275">
        <v>77</v>
      </c>
      <c r="AD968" s="275">
        <v>72</v>
      </c>
      <c r="AE968" s="251">
        <v>71</v>
      </c>
      <c r="AF968" s="251">
        <v>74</v>
      </c>
      <c r="AG968" s="251">
        <v>70</v>
      </c>
      <c r="AH968" s="251">
        <v>64</v>
      </c>
      <c r="AI968" s="251">
        <v>62</v>
      </c>
      <c r="AJ968" s="251">
        <v>64</v>
      </c>
      <c r="AK968" s="251">
        <v>64</v>
      </c>
      <c r="AL968" s="251">
        <v>64</v>
      </c>
      <c r="AM968" s="251">
        <v>64</v>
      </c>
      <c r="AN968" s="251">
        <v>62</v>
      </c>
      <c r="AO968" s="275">
        <v>56</v>
      </c>
      <c r="AP968" s="275">
        <v>53</v>
      </c>
      <c r="AQ968" s="275">
        <v>55</v>
      </c>
      <c r="AR968" s="275">
        <v>55</v>
      </c>
      <c r="AS968" s="275">
        <v>54</v>
      </c>
      <c r="AT968" s="275">
        <v>54</v>
      </c>
      <c r="AU968" s="275">
        <v>52</v>
      </c>
      <c r="AV968" s="275">
        <f t="shared" si="79"/>
        <v>52</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74</v>
      </c>
      <c r="AC969" s="275">
        <v>76</v>
      </c>
      <c r="AD969" s="275">
        <v>73</v>
      </c>
      <c r="AE969" s="251">
        <v>68</v>
      </c>
      <c r="AF969" s="251">
        <v>76</v>
      </c>
      <c r="AG969" s="251">
        <v>67</v>
      </c>
      <c r="AH969" s="251">
        <v>56</v>
      </c>
      <c r="AI969" s="251">
        <v>48</v>
      </c>
      <c r="AJ969" s="251">
        <v>49</v>
      </c>
      <c r="AK969" s="251">
        <v>47</v>
      </c>
      <c r="AL969" s="251">
        <v>48</v>
      </c>
      <c r="AM969" s="251">
        <v>51</v>
      </c>
      <c r="AN969" s="251">
        <v>48</v>
      </c>
      <c r="AO969" s="275">
        <v>44</v>
      </c>
      <c r="AP969" s="275">
        <v>42</v>
      </c>
      <c r="AQ969" s="275">
        <v>38</v>
      </c>
      <c r="AR969" s="275">
        <v>36</v>
      </c>
      <c r="AS969" s="275">
        <v>37</v>
      </c>
      <c r="AT969" s="275">
        <v>37</v>
      </c>
      <c r="AU969" s="275">
        <v>32</v>
      </c>
      <c r="AV969" s="275">
        <f t="shared" si="79"/>
        <v>32</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29</v>
      </c>
      <c r="AC970" s="275">
        <v>34</v>
      </c>
      <c r="AD970" s="275">
        <v>32</v>
      </c>
      <c r="AE970" s="251">
        <v>38</v>
      </c>
      <c r="AF970" s="251">
        <v>45</v>
      </c>
      <c r="AG970" s="251">
        <v>56</v>
      </c>
      <c r="AH970" s="251">
        <v>53</v>
      </c>
      <c r="AI970" s="251">
        <v>47</v>
      </c>
      <c r="AJ970" s="251">
        <v>48</v>
      </c>
      <c r="AK970" s="251">
        <v>43</v>
      </c>
      <c r="AL970" s="251">
        <v>43</v>
      </c>
      <c r="AM970" s="251">
        <v>42</v>
      </c>
      <c r="AN970" s="251">
        <v>50</v>
      </c>
      <c r="AO970" s="275">
        <v>50</v>
      </c>
      <c r="AP970" s="275">
        <v>49</v>
      </c>
      <c r="AQ970" s="275">
        <v>46</v>
      </c>
      <c r="AR970" s="275">
        <v>48</v>
      </c>
      <c r="AS970" s="275">
        <v>46</v>
      </c>
      <c r="AT970" s="275">
        <v>50</v>
      </c>
      <c r="AU970" s="275">
        <v>45</v>
      </c>
      <c r="AV970" s="275">
        <f t="shared" si="79"/>
        <v>45</v>
      </c>
      <c r="AX970" s="88" t="str">
        <f t="shared" ca="1" si="78"/>
        <v>SAFDIS</v>
      </c>
    </row>
    <row r="971" spans="1:50" hidden="1" x14ac:dyDescent="0.3">
      <c r="A971" s="88" t="str">
        <f t="shared" ca="1" si="80"/>
        <v>SAFGM</v>
      </c>
      <c r="F971" s="251">
        <v>62.14</v>
      </c>
      <c r="G971" s="251">
        <v>62.14</v>
      </c>
      <c r="H971" s="251">
        <v>62.14</v>
      </c>
      <c r="I971" s="251">
        <v>62.14</v>
      </c>
      <c r="J971" s="251">
        <v>62.14</v>
      </c>
      <c r="K971" s="251">
        <v>67.55</v>
      </c>
      <c r="L971" s="251">
        <v>67.584999999999994</v>
      </c>
      <c r="M971" s="251">
        <v>67.584999999999994</v>
      </c>
      <c r="N971" s="251">
        <v>68.48</v>
      </c>
      <c r="O971" s="251">
        <v>69.7</v>
      </c>
      <c r="P971" s="251">
        <v>69.7</v>
      </c>
      <c r="Q971" s="251">
        <v>70.19</v>
      </c>
      <c r="R971" s="251">
        <v>70.239999999999995</v>
      </c>
      <c r="S971" s="251">
        <v>70.239999999999995</v>
      </c>
      <c r="T971" s="251">
        <v>70.239999999999995</v>
      </c>
      <c r="U971" s="251">
        <v>70.239999999999995</v>
      </c>
      <c r="V971" s="251">
        <v>70.734999999999999</v>
      </c>
      <c r="W971" s="251">
        <v>72.87</v>
      </c>
      <c r="X971" s="251">
        <v>72.87</v>
      </c>
      <c r="Y971" s="251">
        <v>72.87</v>
      </c>
      <c r="Z971" s="245">
        <f ca="1">[1]ExtEntry!$O71</f>
        <v>72.87</v>
      </c>
      <c r="AB971" s="275">
        <v>46</v>
      </c>
      <c r="AC971" s="275">
        <v>51</v>
      </c>
      <c r="AD971" s="275">
        <v>48</v>
      </c>
      <c r="AE971" s="251">
        <v>52</v>
      </c>
      <c r="AF971" s="251">
        <v>52</v>
      </c>
      <c r="AG971" s="251">
        <v>71</v>
      </c>
      <c r="AH971" s="251">
        <v>73</v>
      </c>
      <c r="AI971" s="251">
        <v>72</v>
      </c>
      <c r="AJ971" s="251">
        <v>70</v>
      </c>
      <c r="AK971" s="251">
        <v>72</v>
      </c>
      <c r="AL971" s="251">
        <v>73</v>
      </c>
      <c r="AM971" s="251">
        <v>74</v>
      </c>
      <c r="AN971" s="251">
        <v>72</v>
      </c>
      <c r="AO971" s="275">
        <v>74</v>
      </c>
      <c r="AP971" s="275">
        <v>75</v>
      </c>
      <c r="AQ971" s="275">
        <v>78</v>
      </c>
      <c r="AR971" s="275">
        <v>82</v>
      </c>
      <c r="AS971" s="275">
        <v>80</v>
      </c>
      <c r="AT971" s="275">
        <v>81</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429.3</v>
      </c>
      <c r="T972" s="251">
        <v>429.3</v>
      </c>
      <c r="U972" s="251">
        <v>429.3</v>
      </c>
      <c r="V972" s="251">
        <v>429.3</v>
      </c>
      <c r="W972" s="251">
        <v>429.3</v>
      </c>
      <c r="X972" s="251">
        <v>429.3</v>
      </c>
      <c r="Y972" s="251">
        <v>429.3</v>
      </c>
      <c r="Z972" s="245">
        <f ca="1">[1]ExtEntry!$O72</f>
        <v>429.3</v>
      </c>
      <c r="AB972" s="275">
        <v>60</v>
      </c>
      <c r="AC972" s="275">
        <v>63</v>
      </c>
      <c r="AD972" s="275">
        <v>65</v>
      </c>
      <c r="AE972" s="251">
        <v>53</v>
      </c>
      <c r="AF972" s="251">
        <v>56</v>
      </c>
      <c r="AG972" s="251">
        <v>58</v>
      </c>
      <c r="AH972" s="251">
        <v>60</v>
      </c>
      <c r="AI972" s="251">
        <v>63</v>
      </c>
      <c r="AJ972" s="251">
        <v>65</v>
      </c>
      <c r="AK972" s="251">
        <v>67</v>
      </c>
      <c r="AL972" s="251">
        <v>66</v>
      </c>
      <c r="AM972" s="251">
        <v>67</v>
      </c>
      <c r="AN972" s="251">
        <v>73</v>
      </c>
      <c r="AO972" s="275">
        <v>68</v>
      </c>
      <c r="AP972" s="275">
        <v>69</v>
      </c>
      <c r="AQ972" s="275">
        <v>61</v>
      </c>
      <c r="AR972" s="275">
        <v>38</v>
      </c>
      <c r="AS972" s="275">
        <v>30</v>
      </c>
      <c r="AT972" s="275">
        <v>31</v>
      </c>
      <c r="AU972" s="275">
        <v>34</v>
      </c>
      <c r="AV972" s="275">
        <f t="shared" si="79"/>
        <v>34</v>
      </c>
      <c r="AX972" s="88" t="str">
        <f t="shared" ca="1" si="78"/>
        <v>SAFIAG</v>
      </c>
    </row>
    <row r="973" spans="1:50" hidden="1" x14ac:dyDescent="0.3">
      <c r="A973" s="88" t="str">
        <f t="shared" ca="1" si="80"/>
        <v>SAFMRNA</v>
      </c>
      <c r="F973" s="251">
        <v>58.96</v>
      </c>
      <c r="G973" s="251">
        <v>58.62</v>
      </c>
      <c r="H973" s="251">
        <v>58.45</v>
      </c>
      <c r="I973" s="251">
        <v>57.69</v>
      </c>
      <c r="J973" s="251">
        <v>57.69</v>
      </c>
      <c r="K973" s="251">
        <v>57.69</v>
      </c>
      <c r="L973" s="251">
        <v>57.69</v>
      </c>
      <c r="M973" s="251">
        <v>57.69</v>
      </c>
      <c r="N973" s="251">
        <v>57.69</v>
      </c>
      <c r="O973" s="251">
        <v>57.69</v>
      </c>
      <c r="P973" s="251">
        <v>57.69</v>
      </c>
      <c r="Q973" s="251">
        <v>57.69</v>
      </c>
      <c r="R973" s="251">
        <v>56.695</v>
      </c>
      <c r="S973" s="251">
        <v>56.695</v>
      </c>
      <c r="T973" s="251">
        <v>56.695</v>
      </c>
      <c r="U973" s="251">
        <v>56.695</v>
      </c>
      <c r="V973" s="251">
        <v>56.695</v>
      </c>
      <c r="W973" s="251">
        <v>48.92</v>
      </c>
      <c r="X973" s="251">
        <v>48.92</v>
      </c>
      <c r="Y973" s="251">
        <v>48.92</v>
      </c>
      <c r="Z973" s="245">
        <f ca="1">[1]ExtEntry!$O73</f>
        <v>48.92</v>
      </c>
      <c r="AB973" s="275">
        <v>64</v>
      </c>
      <c r="AC973" s="275">
        <v>66</v>
      </c>
      <c r="AD973" s="275">
        <v>62</v>
      </c>
      <c r="AE973" s="251">
        <v>57</v>
      </c>
      <c r="AF973" s="251">
        <v>62</v>
      </c>
      <c r="AG973" s="251">
        <v>57</v>
      </c>
      <c r="AH973" s="251">
        <v>58</v>
      </c>
      <c r="AI973" s="251">
        <v>55</v>
      </c>
      <c r="AJ973" s="251">
        <v>58</v>
      </c>
      <c r="AK973" s="251">
        <v>60</v>
      </c>
      <c r="AL973" s="251">
        <v>57</v>
      </c>
      <c r="AM973" s="251">
        <v>50</v>
      </c>
      <c r="AN973" s="251">
        <v>56</v>
      </c>
      <c r="AO973" s="275">
        <v>49</v>
      </c>
      <c r="AP973" s="275">
        <v>48</v>
      </c>
      <c r="AQ973" s="275">
        <v>51</v>
      </c>
      <c r="AR973" s="275">
        <v>49</v>
      </c>
      <c r="AS973" s="275">
        <v>50</v>
      </c>
      <c r="AT973" s="275">
        <v>52</v>
      </c>
      <c r="AU973" s="275">
        <v>50</v>
      </c>
      <c r="AV973" s="275">
        <f t="shared" si="79"/>
        <v>50</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66</v>
      </c>
      <c r="AC974" s="275">
        <v>63</v>
      </c>
      <c r="AD974" s="275">
        <v>54</v>
      </c>
      <c r="AE974" s="251">
        <v>49</v>
      </c>
      <c r="AF974" s="251">
        <v>49</v>
      </c>
      <c r="AG974" s="251">
        <v>44</v>
      </c>
      <c r="AH974" s="251">
        <v>45</v>
      </c>
      <c r="AI974" s="251">
        <v>46</v>
      </c>
      <c r="AJ974" s="251">
        <v>47</v>
      </c>
      <c r="AK974" s="251">
        <v>51</v>
      </c>
      <c r="AL974" s="251">
        <v>43</v>
      </c>
      <c r="AM974" s="251">
        <v>43</v>
      </c>
      <c r="AN974" s="251">
        <v>37</v>
      </c>
      <c r="AO974" s="275">
        <v>37</v>
      </c>
      <c r="AP974" s="275">
        <v>34</v>
      </c>
      <c r="AQ974" s="275">
        <v>34</v>
      </c>
      <c r="AR974" s="275">
        <v>38</v>
      </c>
      <c r="AS974" s="275">
        <v>38</v>
      </c>
      <c r="AT974" s="275">
        <v>40</v>
      </c>
      <c r="AU974" s="275">
        <v>31</v>
      </c>
      <c r="AV974" s="275">
        <f t="shared" si="79"/>
        <v>31</v>
      </c>
      <c r="AX974" s="88" t="str">
        <f t="shared" ca="1" si="78"/>
        <v>BLNK</v>
      </c>
    </row>
    <row r="975" spans="1:50" hidden="1" x14ac:dyDescent="0.3">
      <c r="A975" s="88" t="str">
        <f t="shared" ca="1" si="80"/>
        <v>ENI</v>
      </c>
      <c r="F975" s="251">
        <v>15.53</v>
      </c>
      <c r="G975" s="251">
        <v>15.53</v>
      </c>
      <c r="H975" s="251">
        <v>15.53</v>
      </c>
      <c r="I975" s="251">
        <v>15.53</v>
      </c>
      <c r="J975" s="251">
        <v>15.53</v>
      </c>
      <c r="K975" s="251">
        <v>15.53</v>
      </c>
      <c r="L975" s="251">
        <v>15.53</v>
      </c>
      <c r="M975" s="251">
        <v>15.53</v>
      </c>
      <c r="N975" s="251">
        <v>15.63</v>
      </c>
      <c r="O975" s="251">
        <v>16.032</v>
      </c>
      <c r="P975" s="251">
        <v>16.03</v>
      </c>
      <c r="Q975" s="251">
        <v>16.03</v>
      </c>
      <c r="R975" s="251">
        <v>16.03</v>
      </c>
      <c r="S975" s="251">
        <v>16.11</v>
      </c>
      <c r="T975" s="251">
        <v>16.11</v>
      </c>
      <c r="U975" s="251">
        <v>16.11</v>
      </c>
      <c r="V975" s="251">
        <v>16.11</v>
      </c>
      <c r="W975" s="251">
        <v>16.55</v>
      </c>
      <c r="X975" s="251">
        <v>16.61</v>
      </c>
      <c r="Y975" s="251">
        <v>16.61</v>
      </c>
      <c r="Z975" s="245">
        <f ca="1">[1]ExtEntry!$O75</f>
        <v>16.61</v>
      </c>
      <c r="AB975" s="275">
        <v>52</v>
      </c>
      <c r="AC975" s="275">
        <v>51</v>
      </c>
      <c r="AD975" s="275">
        <v>51</v>
      </c>
      <c r="AE975" s="251">
        <v>54</v>
      </c>
      <c r="AF975" s="251">
        <v>58</v>
      </c>
      <c r="AG975" s="251">
        <v>57</v>
      </c>
      <c r="AH975" s="251">
        <v>56</v>
      </c>
      <c r="AI975" s="251">
        <v>56</v>
      </c>
      <c r="AJ975" s="251">
        <v>62</v>
      </c>
      <c r="AK975" s="251">
        <v>63</v>
      </c>
      <c r="AL975" s="251">
        <v>71</v>
      </c>
      <c r="AM975" s="251">
        <v>75</v>
      </c>
      <c r="AN975" s="251">
        <v>73</v>
      </c>
      <c r="AO975" s="275">
        <v>75</v>
      </c>
      <c r="AP975" s="275">
        <v>75</v>
      </c>
      <c r="AQ975" s="275">
        <v>74</v>
      </c>
      <c r="AR975" s="275">
        <v>72</v>
      </c>
      <c r="AS975" s="275">
        <v>71</v>
      </c>
      <c r="AT975" s="275">
        <v>78</v>
      </c>
      <c r="AU975" s="275">
        <v>73</v>
      </c>
      <c r="AV975" s="275">
        <f t="shared" si="79"/>
        <v>73</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69</v>
      </c>
      <c r="AC976" s="275">
        <v>66</v>
      </c>
      <c r="AD976" s="275">
        <v>71</v>
      </c>
      <c r="AE976" s="251">
        <v>69</v>
      </c>
      <c r="AF976" s="251">
        <v>67</v>
      </c>
      <c r="AG976" s="251">
        <v>67</v>
      </c>
      <c r="AH976" s="251">
        <v>68</v>
      </c>
      <c r="AI976" s="251">
        <v>73</v>
      </c>
      <c r="AJ976" s="251">
        <v>67</v>
      </c>
      <c r="AK976" s="251">
        <v>67</v>
      </c>
      <c r="AL976" s="251">
        <v>66</v>
      </c>
      <c r="AM976" s="251">
        <v>64</v>
      </c>
      <c r="AN976" s="251">
        <v>65</v>
      </c>
      <c r="AO976" s="275">
        <v>61</v>
      </c>
      <c r="AP976" s="275">
        <v>60</v>
      </c>
      <c r="AQ976" s="275">
        <v>59</v>
      </c>
      <c r="AR976" s="275">
        <v>54</v>
      </c>
      <c r="AS976" s="275">
        <v>52</v>
      </c>
      <c r="AT976" s="275">
        <v>51</v>
      </c>
      <c r="AU976" s="275">
        <v>53</v>
      </c>
      <c r="AV976" s="275">
        <f t="shared" si="79"/>
        <v>53</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13.97</v>
      </c>
      <c r="P977" s="251">
        <v>13.97</v>
      </c>
      <c r="Q977" s="251">
        <v>13.97</v>
      </c>
      <c r="R977" s="251">
        <v>13.97</v>
      </c>
      <c r="S977" s="251">
        <v>13.97</v>
      </c>
      <c r="T977" s="251">
        <v>13.97</v>
      </c>
      <c r="U977" s="251">
        <v>13.97</v>
      </c>
      <c r="V977" s="251">
        <v>13.97</v>
      </c>
      <c r="W977" s="251">
        <v>13.97</v>
      </c>
      <c r="X977" s="251">
        <v>13.97</v>
      </c>
      <c r="Y977" s="251">
        <v>13.97</v>
      </c>
      <c r="Z977" s="245">
        <f ca="1">[1]ExtEntry!$O77</f>
        <v>13.97</v>
      </c>
      <c r="AB977" s="275">
        <v>43</v>
      </c>
      <c r="AC977" s="275">
        <v>45</v>
      </c>
      <c r="AD977" s="275">
        <v>43</v>
      </c>
      <c r="AE977" s="251">
        <v>47</v>
      </c>
      <c r="AF977" s="251">
        <v>50</v>
      </c>
      <c r="AG977" s="251">
        <v>57</v>
      </c>
      <c r="AH977" s="251">
        <v>55</v>
      </c>
      <c r="AI977" s="251">
        <v>55</v>
      </c>
      <c r="AJ977" s="251">
        <v>54</v>
      </c>
      <c r="AK977" s="251">
        <v>63</v>
      </c>
      <c r="AL977" s="251">
        <v>57</v>
      </c>
      <c r="AM977" s="251">
        <v>57</v>
      </c>
      <c r="AN977" s="251">
        <v>53</v>
      </c>
      <c r="AO977" s="275">
        <v>52</v>
      </c>
      <c r="AP977" s="275">
        <v>51</v>
      </c>
      <c r="AQ977" s="275">
        <v>59</v>
      </c>
      <c r="AR977" s="275">
        <v>63</v>
      </c>
      <c r="AS977" s="275">
        <v>65</v>
      </c>
      <c r="AT977" s="275">
        <v>69</v>
      </c>
      <c r="AU977" s="275">
        <v>68</v>
      </c>
      <c r="AV977" s="275">
        <f t="shared" si="79"/>
        <v>68</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59.9</v>
      </c>
      <c r="X978" s="251">
        <v>59.9</v>
      </c>
      <c r="Y978" s="251">
        <v>59.9</v>
      </c>
      <c r="Z978" s="245">
        <f ca="1">[1]ExtEntry!$O78</f>
        <v>59.9</v>
      </c>
      <c r="AB978" s="275">
        <v>51</v>
      </c>
      <c r="AC978" s="275">
        <v>64</v>
      </c>
      <c r="AD978" s="275">
        <v>65</v>
      </c>
      <c r="AE978" s="251">
        <v>48</v>
      </c>
      <c r="AF978" s="251">
        <v>43</v>
      </c>
      <c r="AG978" s="251">
        <v>46</v>
      </c>
      <c r="AH978" s="251">
        <v>47</v>
      </c>
      <c r="AI978" s="251">
        <v>44</v>
      </c>
      <c r="AJ978" s="251">
        <v>50</v>
      </c>
      <c r="AK978" s="251">
        <v>47</v>
      </c>
      <c r="AL978" s="251">
        <v>50</v>
      </c>
      <c r="AM978" s="251">
        <v>54</v>
      </c>
      <c r="AN978" s="251">
        <v>44</v>
      </c>
      <c r="AO978" s="275">
        <v>44</v>
      </c>
      <c r="AP978" s="275">
        <v>44</v>
      </c>
      <c r="AQ978" s="275">
        <v>50</v>
      </c>
      <c r="AR978" s="275">
        <v>42</v>
      </c>
      <c r="AS978" s="275">
        <v>38</v>
      </c>
      <c r="AT978" s="275">
        <v>38</v>
      </c>
      <c r="AU978" s="275">
        <v>40</v>
      </c>
      <c r="AV978" s="275">
        <f t="shared" si="79"/>
        <v>40</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50</v>
      </c>
      <c r="AC979" s="275">
        <v>57</v>
      </c>
      <c r="AD979" s="275">
        <v>57</v>
      </c>
      <c r="AE979" s="251">
        <v>56</v>
      </c>
      <c r="AF979" s="251">
        <v>60</v>
      </c>
      <c r="AG979" s="251">
        <v>57</v>
      </c>
      <c r="AH979" s="251">
        <v>65</v>
      </c>
      <c r="AI979" s="251">
        <v>57</v>
      </c>
      <c r="AJ979" s="251">
        <v>62</v>
      </c>
      <c r="AK979" s="251">
        <v>62</v>
      </c>
      <c r="AL979" s="251">
        <v>62</v>
      </c>
      <c r="AM979" s="251">
        <v>62</v>
      </c>
      <c r="AN979" s="251">
        <v>51</v>
      </c>
      <c r="AO979" s="275">
        <v>47</v>
      </c>
      <c r="AP979" s="275">
        <v>50</v>
      </c>
      <c r="AQ979" s="275">
        <v>46</v>
      </c>
      <c r="AR979" s="275">
        <v>44</v>
      </c>
      <c r="AS979" s="275">
        <v>42</v>
      </c>
      <c r="AT979" s="275">
        <v>43</v>
      </c>
      <c r="AU979" s="275">
        <v>43</v>
      </c>
      <c r="AV979" s="275">
        <f t="shared" si="79"/>
        <v>43</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841.28</v>
      </c>
      <c r="X980" s="251">
        <v>841.28</v>
      </c>
      <c r="Y980" s="251">
        <v>841.28</v>
      </c>
      <c r="Z980" s="245">
        <f ca="1">[1]ExtEntry!$O80</f>
        <v>841.28</v>
      </c>
      <c r="AB980" s="275">
        <v>46</v>
      </c>
      <c r="AC980" s="275">
        <v>44</v>
      </c>
      <c r="AD980" s="275">
        <v>37</v>
      </c>
      <c r="AE980" s="251">
        <v>35</v>
      </c>
      <c r="AF980" s="251">
        <v>40</v>
      </c>
      <c r="AG980" s="251">
        <v>39</v>
      </c>
      <c r="AH980" s="251">
        <v>35</v>
      </c>
      <c r="AI980" s="251">
        <v>35</v>
      </c>
      <c r="AJ980" s="251">
        <v>37</v>
      </c>
      <c r="AK980" s="251">
        <v>44</v>
      </c>
      <c r="AL980" s="251">
        <v>46</v>
      </c>
      <c r="AM980" s="251">
        <v>48</v>
      </c>
      <c r="AN980" s="251">
        <v>52</v>
      </c>
      <c r="AO980" s="275">
        <v>55</v>
      </c>
      <c r="AP980" s="275">
        <v>53</v>
      </c>
      <c r="AQ980" s="275">
        <v>53</v>
      </c>
      <c r="AR980" s="275">
        <v>56</v>
      </c>
      <c r="AS980" s="275">
        <v>51</v>
      </c>
      <c r="AT980" s="275">
        <v>51</v>
      </c>
      <c r="AU980" s="275">
        <v>46</v>
      </c>
      <c r="AV980" s="275">
        <f t="shared" si="79"/>
        <v>46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16.649999999999999</v>
      </c>
      <c r="X981" s="251">
        <v>12.826499999999999</v>
      </c>
      <c r="Y981" s="251">
        <v>12.826499999999999</v>
      </c>
      <c r="Z981" s="245">
        <f ca="1">[1]ExtEntry!$O81</f>
        <v>12.826499999999999</v>
      </c>
      <c r="AB981" s="275">
        <v>46</v>
      </c>
      <c r="AC981" s="275">
        <v>45</v>
      </c>
      <c r="AD981" s="275">
        <v>44</v>
      </c>
      <c r="AE981" s="251">
        <v>46</v>
      </c>
      <c r="AF981" s="251">
        <v>48</v>
      </c>
      <c r="AG981" s="251">
        <v>47</v>
      </c>
      <c r="AH981" s="251">
        <v>42</v>
      </c>
      <c r="AI981" s="251">
        <v>42</v>
      </c>
      <c r="AJ981" s="251">
        <v>43</v>
      </c>
      <c r="AK981" s="251">
        <v>56</v>
      </c>
      <c r="AL981" s="251">
        <v>58</v>
      </c>
      <c r="AM981" s="251">
        <v>55</v>
      </c>
      <c r="AN981" s="251">
        <v>54</v>
      </c>
      <c r="AO981" s="275">
        <v>51</v>
      </c>
      <c r="AP981" s="275">
        <v>43</v>
      </c>
      <c r="AQ981" s="275">
        <v>46</v>
      </c>
      <c r="AR981" s="275">
        <v>44</v>
      </c>
      <c r="AS981" s="275">
        <v>45</v>
      </c>
      <c r="AT981" s="275">
        <v>47</v>
      </c>
      <c r="AU981" s="275">
        <v>43</v>
      </c>
      <c r="AV981" s="275">
        <f t="shared" si="79"/>
        <v>43</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55</v>
      </c>
      <c r="AC982" s="275">
        <v>56</v>
      </c>
      <c r="AD982" s="275">
        <v>54</v>
      </c>
      <c r="AE982" s="251">
        <v>53</v>
      </c>
      <c r="AF982" s="251">
        <v>56</v>
      </c>
      <c r="AG982" s="251">
        <v>59</v>
      </c>
      <c r="AH982" s="251">
        <v>50</v>
      </c>
      <c r="AI982" s="251">
        <v>47</v>
      </c>
      <c r="AJ982" s="251">
        <v>43</v>
      </c>
      <c r="AK982" s="251">
        <v>43</v>
      </c>
      <c r="AL982" s="251">
        <v>42</v>
      </c>
      <c r="AM982" s="251">
        <v>41</v>
      </c>
      <c r="AN982" s="251">
        <v>37</v>
      </c>
      <c r="AO982" s="275">
        <v>35</v>
      </c>
      <c r="AP982" s="275">
        <v>42</v>
      </c>
      <c r="AQ982" s="275">
        <v>43</v>
      </c>
      <c r="AR982" s="275">
        <v>45</v>
      </c>
      <c r="AS982" s="275">
        <v>47</v>
      </c>
      <c r="AT982" s="275">
        <v>50</v>
      </c>
      <c r="AU982" s="275">
        <v>47</v>
      </c>
      <c r="AV982" s="275">
        <f t="shared" si="79"/>
        <v>47</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32</v>
      </c>
      <c r="AC983" s="275">
        <v>28</v>
      </c>
      <c r="AD983" s="275">
        <v>28</v>
      </c>
      <c r="AE983" s="251">
        <v>36</v>
      </c>
      <c r="AF983" s="251">
        <v>40</v>
      </c>
      <c r="AG983" s="251">
        <v>43</v>
      </c>
      <c r="AH983" s="251">
        <v>49</v>
      </c>
      <c r="AI983" s="251">
        <v>49</v>
      </c>
      <c r="AJ983" s="251">
        <v>52</v>
      </c>
      <c r="AK983" s="251">
        <v>53</v>
      </c>
      <c r="AL983" s="251">
        <v>52</v>
      </c>
      <c r="AM983" s="251">
        <v>48</v>
      </c>
      <c r="AN983" s="251">
        <v>45</v>
      </c>
      <c r="AO983" s="275">
        <v>47</v>
      </c>
      <c r="AP983" s="275">
        <v>46</v>
      </c>
      <c r="AQ983" s="275">
        <v>45</v>
      </c>
      <c r="AR983" s="275">
        <v>46</v>
      </c>
      <c r="AS983" s="275">
        <v>47</v>
      </c>
      <c r="AT983" s="275">
        <v>47</v>
      </c>
      <c r="AU983" s="275">
        <v>46</v>
      </c>
      <c r="AV983" s="275">
        <f t="shared" si="79"/>
        <v>46</v>
      </c>
      <c r="AX983" s="88" t="str">
        <f t="shared" ca="1" si="81"/>
        <v>MA</v>
      </c>
      <c r="BQ983" t="s">
        <v>190</v>
      </c>
      <c r="BR983" t="s">
        <v>178</v>
      </c>
    </row>
    <row r="984" spans="1:70" hidden="1" x14ac:dyDescent="0.3">
      <c r="A984" s="88" t="str">
        <f t="shared" ca="1" si="80"/>
        <v>NVAX</v>
      </c>
      <c r="F984" s="251">
        <v>13.3398</v>
      </c>
      <c r="G984" s="251">
        <v>12.86</v>
      </c>
      <c r="H984" s="251">
        <v>11.55</v>
      </c>
      <c r="I984" s="251">
        <v>11.55</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66</v>
      </c>
      <c r="AC984" s="275">
        <v>63</v>
      </c>
      <c r="AD984" s="275">
        <v>56</v>
      </c>
      <c r="AE984" s="251">
        <v>49</v>
      </c>
      <c r="AF984" s="251">
        <v>54</v>
      </c>
      <c r="AG984" s="251">
        <v>51</v>
      </c>
      <c r="AH984" s="251">
        <v>52</v>
      </c>
      <c r="AI984" s="251">
        <v>51</v>
      </c>
      <c r="AJ984" s="251">
        <v>53</v>
      </c>
      <c r="AK984" s="251">
        <v>52</v>
      </c>
      <c r="AL984" s="251">
        <v>54</v>
      </c>
      <c r="AM984" s="251">
        <v>51</v>
      </c>
      <c r="AN984" s="251">
        <v>43</v>
      </c>
      <c r="AO984" s="275">
        <v>39</v>
      </c>
      <c r="AP984" s="275">
        <v>42</v>
      </c>
      <c r="AQ984" s="275">
        <v>40</v>
      </c>
      <c r="AR984" s="275">
        <v>41</v>
      </c>
      <c r="AS984" s="275">
        <v>43</v>
      </c>
      <c r="AT984" s="275">
        <v>44</v>
      </c>
      <c r="AU984" s="275">
        <v>39</v>
      </c>
      <c r="AV984" s="275">
        <f t="shared" si="79"/>
        <v>39</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134</v>
      </c>
      <c r="X985" s="251">
        <v>134</v>
      </c>
      <c r="Y985" s="251">
        <v>134</v>
      </c>
      <c r="Z985" s="245">
        <f ca="1">[1]ExtEntry!$O85</f>
        <v>134</v>
      </c>
      <c r="AB985" s="275">
        <v>68</v>
      </c>
      <c r="AC985" s="275">
        <v>69</v>
      </c>
      <c r="AD985" s="275">
        <v>70</v>
      </c>
      <c r="AE985" s="251">
        <v>70</v>
      </c>
      <c r="AF985" s="251">
        <v>70</v>
      </c>
      <c r="AG985" s="251">
        <v>68</v>
      </c>
      <c r="AH985" s="251">
        <v>70</v>
      </c>
      <c r="AI985" s="251">
        <v>69</v>
      </c>
      <c r="AJ985" s="251">
        <v>72</v>
      </c>
      <c r="AK985" s="251">
        <v>66</v>
      </c>
      <c r="AL985" s="251">
        <v>61</v>
      </c>
      <c r="AM985" s="251">
        <v>39</v>
      </c>
      <c r="AN985" s="251">
        <v>31</v>
      </c>
      <c r="AO985" s="275">
        <v>35</v>
      </c>
      <c r="AP985" s="275">
        <v>32</v>
      </c>
      <c r="AQ985" s="275">
        <v>37</v>
      </c>
      <c r="AR985" s="275">
        <v>35</v>
      </c>
      <c r="AS985" s="275">
        <v>36</v>
      </c>
      <c r="AT985" s="275">
        <v>32</v>
      </c>
      <c r="AU985" s="275">
        <v>31</v>
      </c>
      <c r="AV985" s="275">
        <f t="shared" si="79"/>
        <v>31</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48</v>
      </c>
      <c r="AC986" s="275">
        <v>60</v>
      </c>
      <c r="AD986" s="275">
        <v>63</v>
      </c>
      <c r="AE986" s="251">
        <v>65</v>
      </c>
      <c r="AF986" s="251">
        <v>60</v>
      </c>
      <c r="AG986" s="251">
        <v>59</v>
      </c>
      <c r="AH986" s="251">
        <v>60</v>
      </c>
      <c r="AI986" s="251">
        <v>62</v>
      </c>
      <c r="AJ986" s="251">
        <v>61</v>
      </c>
      <c r="AK986" s="251">
        <v>54</v>
      </c>
      <c r="AL986" s="251">
        <v>53</v>
      </c>
      <c r="AM986" s="251">
        <v>52</v>
      </c>
      <c r="AN986" s="251">
        <v>57</v>
      </c>
      <c r="AO986" s="275">
        <v>57</v>
      </c>
      <c r="AP986" s="275">
        <v>62</v>
      </c>
      <c r="AQ986" s="275">
        <v>65</v>
      </c>
      <c r="AR986" s="275">
        <v>66</v>
      </c>
      <c r="AS986" s="275">
        <v>57</v>
      </c>
      <c r="AT986" s="275">
        <v>51</v>
      </c>
      <c r="AU986" s="275">
        <v>51</v>
      </c>
      <c r="AV986" s="275">
        <f t="shared" si="79"/>
        <v>51</v>
      </c>
      <c r="AX986" s="88" t="str">
        <f t="shared" ca="1" si="81"/>
        <v>ORA</v>
      </c>
      <c r="BQ986" t="s">
        <v>192</v>
      </c>
      <c r="BR986" t="s">
        <v>1892</v>
      </c>
    </row>
    <row r="987" spans="1:70" hidden="1" x14ac:dyDescent="0.3">
      <c r="A987" s="88" t="str">
        <f t="shared" ca="1" si="80"/>
        <v>OXY</v>
      </c>
      <c r="F987" s="251">
        <v>54.4</v>
      </c>
      <c r="G987" s="251">
        <v>53.2</v>
      </c>
      <c r="H987" s="251">
        <v>53.2</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41</v>
      </c>
      <c r="AC987" s="275">
        <v>30</v>
      </c>
      <c r="AD987" s="275">
        <v>27</v>
      </c>
      <c r="AE987" s="251">
        <v>30</v>
      </c>
      <c r="AF987" s="251">
        <v>34</v>
      </c>
      <c r="AG987" s="251">
        <v>34</v>
      </c>
      <c r="AH987" s="251">
        <v>35</v>
      </c>
      <c r="AI987" s="251">
        <v>37</v>
      </c>
      <c r="AJ987" s="251">
        <v>42</v>
      </c>
      <c r="AK987" s="251">
        <v>39</v>
      </c>
      <c r="AL987" s="251">
        <v>35</v>
      </c>
      <c r="AM987" s="251">
        <v>33</v>
      </c>
      <c r="AN987" s="251">
        <v>31</v>
      </c>
      <c r="AO987" s="275">
        <v>40</v>
      </c>
      <c r="AP987" s="275">
        <v>34</v>
      </c>
      <c r="AQ987" s="275">
        <v>38</v>
      </c>
      <c r="AR987" s="275">
        <v>44</v>
      </c>
      <c r="AS987" s="275">
        <v>50</v>
      </c>
      <c r="AT987" s="275">
        <v>56</v>
      </c>
      <c r="AU987" s="275">
        <v>50</v>
      </c>
      <c r="AV987" s="275">
        <f t="shared" si="79"/>
        <v>50</v>
      </c>
      <c r="AX987" s="88" t="str">
        <f t="shared" ca="1" si="81"/>
        <v>OXY</v>
      </c>
      <c r="BQ987" t="s">
        <v>193</v>
      </c>
      <c r="BR987" t="s">
        <v>2202</v>
      </c>
    </row>
    <row r="988" spans="1:70" hidden="1" x14ac:dyDescent="0.3">
      <c r="A988" s="88" t="str">
        <f t="shared" ca="1" si="80"/>
        <v>PFE</v>
      </c>
      <c r="F988" s="251">
        <v>29.82</v>
      </c>
      <c r="G988" s="251">
        <v>29.82</v>
      </c>
      <c r="H988" s="251">
        <v>29.82</v>
      </c>
      <c r="I988" s="251">
        <v>29.53</v>
      </c>
      <c r="J988" s="251">
        <v>29.22</v>
      </c>
      <c r="K988" s="251">
        <v>29.22</v>
      </c>
      <c r="L988" s="251">
        <v>29.17</v>
      </c>
      <c r="M988" s="251">
        <v>29.17</v>
      </c>
      <c r="N988" s="251">
        <v>29.17</v>
      </c>
      <c r="O988" s="251">
        <v>29.17</v>
      </c>
      <c r="P988" s="251">
        <v>29.17</v>
      </c>
      <c r="Q988" s="251">
        <v>29.17</v>
      </c>
      <c r="R988" s="251">
        <v>28.64</v>
      </c>
      <c r="S988" s="251">
        <v>28.14</v>
      </c>
      <c r="T988" s="251">
        <v>28</v>
      </c>
      <c r="U988" s="251">
        <v>27.99</v>
      </c>
      <c r="V988" s="251">
        <v>27.69</v>
      </c>
      <c r="W988" s="251">
        <v>27.69</v>
      </c>
      <c r="X988" s="251">
        <v>27.69</v>
      </c>
      <c r="Y988" s="251">
        <v>27.69</v>
      </c>
      <c r="Z988" s="245">
        <f ca="1">[1]ExtEntry!$O88</f>
        <v>27.69</v>
      </c>
      <c r="AB988" s="275">
        <v>59</v>
      </c>
      <c r="AC988" s="275">
        <v>58</v>
      </c>
      <c r="AD988" s="275">
        <v>56</v>
      </c>
      <c r="AE988" s="251">
        <v>59</v>
      </c>
      <c r="AF988" s="251">
        <v>61</v>
      </c>
      <c r="AG988" s="251">
        <v>60</v>
      </c>
      <c r="AH988" s="251">
        <v>59</v>
      </c>
      <c r="AI988" s="251">
        <v>58</v>
      </c>
      <c r="AJ988" s="251">
        <v>62</v>
      </c>
      <c r="AK988" s="251">
        <v>62</v>
      </c>
      <c r="AL988" s="251">
        <v>62</v>
      </c>
      <c r="AM988" s="251">
        <v>48</v>
      </c>
      <c r="AN988" s="251">
        <v>25</v>
      </c>
      <c r="AO988" s="275">
        <v>24</v>
      </c>
      <c r="AP988" s="275">
        <v>25</v>
      </c>
      <c r="AQ988" s="275">
        <v>30</v>
      </c>
      <c r="AR988" s="275">
        <v>35</v>
      </c>
      <c r="AS988" s="275">
        <v>33</v>
      </c>
      <c r="AT988" s="275">
        <v>43</v>
      </c>
      <c r="AU988" s="275">
        <v>39</v>
      </c>
      <c r="AV988" s="275">
        <f t="shared" si="79"/>
        <v>39</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4.68</v>
      </c>
      <c r="W989" s="251">
        <v>4.5199999999999996</v>
      </c>
      <c r="X989" s="251">
        <v>4.5149999999999997</v>
      </c>
      <c r="Y989" s="251">
        <v>4.5149999999999997</v>
      </c>
      <c r="Z989" s="245">
        <f ca="1">[1]ExtEntry!$O89</f>
        <v>4.5149999999999997</v>
      </c>
      <c r="AB989" s="275">
        <v>45</v>
      </c>
      <c r="AC989" s="275">
        <v>45</v>
      </c>
      <c r="AD989" s="275">
        <v>42</v>
      </c>
      <c r="AE989" s="251">
        <v>46</v>
      </c>
      <c r="AF989" s="251">
        <v>50</v>
      </c>
      <c r="AG989" s="251">
        <v>48</v>
      </c>
      <c r="AH989" s="251">
        <v>47</v>
      </c>
      <c r="AI989" s="251">
        <v>48</v>
      </c>
      <c r="AJ989" s="251">
        <v>74</v>
      </c>
      <c r="AK989" s="251">
        <v>74</v>
      </c>
      <c r="AL989" s="251">
        <v>76</v>
      </c>
      <c r="AM989" s="251">
        <v>71</v>
      </c>
      <c r="AN989" s="251">
        <v>71</v>
      </c>
      <c r="AO989" s="275">
        <v>68</v>
      </c>
      <c r="AP989" s="275">
        <v>66</v>
      </c>
      <c r="AQ989" s="275">
        <v>66</v>
      </c>
      <c r="AR989" s="275">
        <v>70</v>
      </c>
      <c r="AS989" s="275">
        <v>73</v>
      </c>
      <c r="AT989" s="275">
        <v>77</v>
      </c>
      <c r="AU989" s="275">
        <v>73</v>
      </c>
      <c r="AV989" s="275">
        <f t="shared" si="79"/>
        <v>73</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53</v>
      </c>
      <c r="AC990" s="275">
        <v>54</v>
      </c>
      <c r="AD990" s="275">
        <v>50</v>
      </c>
      <c r="AE990" s="251">
        <v>54</v>
      </c>
      <c r="AF990" s="251">
        <v>60</v>
      </c>
      <c r="AG990" s="251">
        <v>59</v>
      </c>
      <c r="AH990" s="251">
        <v>54</v>
      </c>
      <c r="AI990" s="251">
        <v>49</v>
      </c>
      <c r="AJ990" s="251">
        <v>51</v>
      </c>
      <c r="AK990" s="251">
        <v>51</v>
      </c>
      <c r="AL990" s="251">
        <v>50</v>
      </c>
      <c r="AM990" s="251">
        <v>48</v>
      </c>
      <c r="AN990" s="251">
        <v>38</v>
      </c>
      <c r="AO990" s="275">
        <v>43</v>
      </c>
      <c r="AP990" s="275">
        <v>44</v>
      </c>
      <c r="AQ990" s="275">
        <v>41</v>
      </c>
      <c r="AR990" s="275">
        <v>43</v>
      </c>
      <c r="AS990" s="275">
        <v>48</v>
      </c>
      <c r="AT990" s="275">
        <v>56</v>
      </c>
      <c r="AU990" s="275">
        <v>53</v>
      </c>
      <c r="AV990" s="275">
        <f t="shared" si="79"/>
        <v>53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60</v>
      </c>
      <c r="AC991" s="275">
        <v>57</v>
      </c>
      <c r="AD991" s="275">
        <v>50</v>
      </c>
      <c r="AE991" s="251">
        <v>52</v>
      </c>
      <c r="AF991" s="251">
        <v>56</v>
      </c>
      <c r="AG991" s="251">
        <v>61</v>
      </c>
      <c r="AH991" s="251">
        <v>59</v>
      </c>
      <c r="AI991" s="251">
        <v>55</v>
      </c>
      <c r="AJ991" s="251">
        <v>65</v>
      </c>
      <c r="AK991" s="251">
        <v>66</v>
      </c>
      <c r="AL991" s="251">
        <v>65</v>
      </c>
      <c r="AM991" s="251">
        <v>74</v>
      </c>
      <c r="AN991" s="251">
        <v>65</v>
      </c>
      <c r="AO991" s="275">
        <v>55</v>
      </c>
      <c r="AP991" s="275">
        <v>56</v>
      </c>
      <c r="AQ991" s="275">
        <v>49</v>
      </c>
      <c r="AR991" s="275">
        <v>35</v>
      </c>
      <c r="AS991" s="275">
        <v>33</v>
      </c>
      <c r="AT991" s="275">
        <v>32</v>
      </c>
      <c r="AU991" s="275">
        <v>31</v>
      </c>
      <c r="AV991" s="275">
        <f t="shared" si="79"/>
        <v>31</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208.25</v>
      </c>
      <c r="O992" s="251">
        <v>217.42500000000001</v>
      </c>
      <c r="P992" s="251">
        <v>217.42500000000001</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58</v>
      </c>
      <c r="AC992" s="275">
        <v>63</v>
      </c>
      <c r="AD992" s="275">
        <v>58</v>
      </c>
      <c r="AE992" s="251">
        <v>59</v>
      </c>
      <c r="AF992" s="251">
        <v>61</v>
      </c>
      <c r="AG992" s="251">
        <v>59</v>
      </c>
      <c r="AH992" s="251">
        <v>62</v>
      </c>
      <c r="AI992" s="251">
        <v>62</v>
      </c>
      <c r="AJ992" s="251">
        <v>63</v>
      </c>
      <c r="AK992" s="251">
        <v>62</v>
      </c>
      <c r="AL992" s="251">
        <v>67</v>
      </c>
      <c r="AM992" s="251">
        <v>54</v>
      </c>
      <c r="AN992" s="251">
        <v>55</v>
      </c>
      <c r="AO992" s="275">
        <v>58</v>
      </c>
      <c r="AP992" s="275">
        <v>59</v>
      </c>
      <c r="AQ992" s="275">
        <v>54</v>
      </c>
      <c r="AR992" s="275">
        <v>58</v>
      </c>
      <c r="AS992" s="275">
        <v>60</v>
      </c>
      <c r="AT992" s="275">
        <v>66</v>
      </c>
      <c r="AU992" s="275">
        <v>66</v>
      </c>
      <c r="AV992" s="275">
        <f t="shared" si="79"/>
        <v>66</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10.56</v>
      </c>
      <c r="G994" s="347">
        <v>10.56</v>
      </c>
      <c r="H994" s="243">
        <v>10.56</v>
      </c>
      <c r="I994" s="243">
        <v>10.56</v>
      </c>
      <c r="J994" s="243">
        <v>10.56</v>
      </c>
      <c r="K994" s="243">
        <v>10.56</v>
      </c>
      <c r="L994" s="243">
        <v>10.56</v>
      </c>
      <c r="M994" s="243">
        <v>10.56</v>
      </c>
      <c r="N994" s="243">
        <v>10.56</v>
      </c>
      <c r="O994" s="243">
        <v>10.587999999999999</v>
      </c>
      <c r="P994" s="243">
        <v>10.672000000000001</v>
      </c>
      <c r="Q994" s="243">
        <v>10.672000000000001</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41</v>
      </c>
      <c r="AC994" s="275">
        <v>47</v>
      </c>
      <c r="AD994" s="275">
        <v>42</v>
      </c>
      <c r="AE994" s="275">
        <v>38</v>
      </c>
      <c r="AF994" s="275">
        <v>42</v>
      </c>
      <c r="AG994" s="275">
        <v>48</v>
      </c>
      <c r="AH994" s="275">
        <v>45</v>
      </c>
      <c r="AI994" s="275">
        <v>45</v>
      </c>
      <c r="AJ994" s="275">
        <v>49</v>
      </c>
      <c r="AK994" s="275">
        <v>52</v>
      </c>
      <c r="AL994" s="275">
        <v>52</v>
      </c>
      <c r="AM994" s="275">
        <v>53</v>
      </c>
      <c r="AN994" s="275">
        <v>52</v>
      </c>
      <c r="AO994" s="275">
        <v>46</v>
      </c>
      <c r="AP994" s="275">
        <v>42</v>
      </c>
      <c r="AQ994" s="275">
        <v>43</v>
      </c>
      <c r="AR994" s="275">
        <v>42</v>
      </c>
      <c r="AS994" s="275">
        <v>33</v>
      </c>
      <c r="AT994" s="275">
        <v>36</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099">
        <v>905.1</v>
      </c>
      <c r="K995" s="245">
        <v>905.1</v>
      </c>
      <c r="L995" s="1100">
        <v>905.1</v>
      </c>
      <c r="M995" s="241">
        <v>905.1</v>
      </c>
      <c r="N995" s="243">
        <v>905.1</v>
      </c>
      <c r="O995" s="1101">
        <v>905.1</v>
      </c>
      <c r="P995" s="1101">
        <v>914.2</v>
      </c>
      <c r="Q995" s="243">
        <v>914.2</v>
      </c>
      <c r="R995" s="247">
        <v>938.6</v>
      </c>
      <c r="S995" s="243">
        <v>926.1</v>
      </c>
      <c r="T995" s="243">
        <v>913.3</v>
      </c>
      <c r="U995" s="243">
        <v>912.6</v>
      </c>
      <c r="V995" s="243">
        <v>938.6</v>
      </c>
      <c r="W995" s="1102">
        <v>938.6</v>
      </c>
      <c r="X995" s="345">
        <v>938.6</v>
      </c>
      <c r="Y995" s="243">
        <v>938.6</v>
      </c>
      <c r="Z995" s="245">
        <f ca="1">[1]ExtEntry!$O95</f>
        <v>938.6</v>
      </c>
      <c r="AB995" s="275">
        <v>64</v>
      </c>
      <c r="AC995" s="275">
        <v>69</v>
      </c>
      <c r="AD995" s="275">
        <v>70</v>
      </c>
      <c r="AE995" s="275">
        <v>69</v>
      </c>
      <c r="AF995" s="275">
        <v>73</v>
      </c>
      <c r="AG995" s="275">
        <v>70</v>
      </c>
      <c r="AH995" s="275">
        <v>64</v>
      </c>
      <c r="AI995" s="275">
        <v>59</v>
      </c>
      <c r="AJ995" s="275">
        <v>61</v>
      </c>
      <c r="AK995" s="275">
        <v>62</v>
      </c>
      <c r="AL995" s="275">
        <v>63</v>
      </c>
      <c r="AM995" s="275">
        <v>62</v>
      </c>
      <c r="AN995" s="275">
        <v>63</v>
      </c>
      <c r="AO995" s="275">
        <v>56</v>
      </c>
      <c r="AP995" s="275">
        <v>53</v>
      </c>
      <c r="AQ995" s="275">
        <v>55</v>
      </c>
      <c r="AR995" s="275">
        <v>55</v>
      </c>
      <c r="AS995" s="275">
        <v>54</v>
      </c>
      <c r="AT995" s="275">
        <v>54</v>
      </c>
      <c r="AU995" s="275">
        <v>52</v>
      </c>
      <c r="AV995" s="275">
        <f t="shared" si="79"/>
        <v>52</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099">
        <v>16.515000000000001</v>
      </c>
      <c r="K996" s="245">
        <v>16.515000000000001</v>
      </c>
      <c r="L996" s="1100">
        <v>16.515000000000001</v>
      </c>
      <c r="M996" s="241">
        <v>16.515000000000001</v>
      </c>
      <c r="N996" s="243">
        <v>16.515000000000001</v>
      </c>
      <c r="O996" s="1101">
        <v>16.515000000000001</v>
      </c>
      <c r="P996" s="1101">
        <v>16.515000000000001</v>
      </c>
      <c r="Q996" s="243">
        <v>16.515000000000001</v>
      </c>
      <c r="R996" s="247">
        <v>16.515000000000001</v>
      </c>
      <c r="S996" s="243">
        <v>16.515000000000001</v>
      </c>
      <c r="T996" s="243">
        <v>16.515000000000001</v>
      </c>
      <c r="U996" s="243">
        <v>16.515000000000001</v>
      </c>
      <c r="V996" s="243">
        <v>16.515000000000001</v>
      </c>
      <c r="W996" s="1102">
        <v>16.515000000000001</v>
      </c>
      <c r="X996" s="345">
        <v>16.515000000000001</v>
      </c>
      <c r="Y996" s="243">
        <v>16.515000000000001</v>
      </c>
      <c r="Z996" s="245">
        <f ca="1">[1]ExtEntry!$O96</f>
        <v>16.515000000000001</v>
      </c>
      <c r="AB996" s="275">
        <v>71</v>
      </c>
      <c r="AC996" s="275">
        <v>70</v>
      </c>
      <c r="AD996" s="275">
        <v>76</v>
      </c>
      <c r="AE996" s="275">
        <v>75</v>
      </c>
      <c r="AF996" s="275">
        <v>76</v>
      </c>
      <c r="AG996" s="275">
        <v>73</v>
      </c>
      <c r="AH996" s="275">
        <v>62</v>
      </c>
      <c r="AI996" s="275">
        <v>54</v>
      </c>
      <c r="AJ996" s="275">
        <v>46</v>
      </c>
      <c r="AK996" s="275">
        <v>45</v>
      </c>
      <c r="AL996" s="275">
        <v>47</v>
      </c>
      <c r="AM996" s="275">
        <v>51</v>
      </c>
      <c r="AN996" s="275">
        <v>48</v>
      </c>
      <c r="AO996" s="275">
        <v>48</v>
      </c>
      <c r="AP996" s="275">
        <v>52</v>
      </c>
      <c r="AQ996" s="275">
        <v>51</v>
      </c>
      <c r="AR996" s="275">
        <v>51</v>
      </c>
      <c r="AS996" s="275">
        <v>51</v>
      </c>
      <c r="AT996" s="275">
        <v>49</v>
      </c>
      <c r="AU996" s="275">
        <v>43</v>
      </c>
      <c r="AV996" s="275">
        <f t="shared" si="79"/>
        <v>43</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48"/>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45952</v>
      </c>
      <c r="G1000" s="117">
        <f t="shared" ca="1" si="82"/>
        <v>45953</v>
      </c>
      <c r="H1000" s="117">
        <f t="shared" ca="1" si="82"/>
        <v>45954</v>
      </c>
      <c r="I1000" s="117">
        <f t="shared" ca="1" si="82"/>
        <v>45957</v>
      </c>
      <c r="J1000" s="117">
        <f t="shared" ca="1" si="82"/>
        <v>45958</v>
      </c>
      <c r="K1000" s="117">
        <f t="shared" ca="1" si="82"/>
        <v>45959</v>
      </c>
      <c r="L1000" s="117">
        <f t="shared" ca="1" si="82"/>
        <v>45960</v>
      </c>
      <c r="M1000" s="117">
        <f t="shared" ca="1" si="82"/>
        <v>45961</v>
      </c>
      <c r="N1000" s="117">
        <f t="shared" ca="1" si="82"/>
        <v>45964</v>
      </c>
      <c r="O1000" s="117">
        <f t="shared" ca="1" si="82"/>
        <v>45965</v>
      </c>
      <c r="P1000" s="117">
        <f t="shared" ca="1" si="82"/>
        <v>45966</v>
      </c>
      <c r="Q1000" s="117">
        <f t="shared" ca="1" si="82"/>
        <v>45967</v>
      </c>
      <c r="R1000" s="117">
        <f t="shared" ca="1" si="82"/>
        <v>45968</v>
      </c>
      <c r="S1000" s="117">
        <f t="shared" ca="1" si="82"/>
        <v>45971</v>
      </c>
      <c r="T1000" s="117">
        <f t="shared" ca="1" si="82"/>
        <v>45972</v>
      </c>
      <c r="U1000" s="117">
        <f t="shared" ca="1" si="82"/>
        <v>45973</v>
      </c>
      <c r="V1000" s="117">
        <f t="shared" ca="1" si="82"/>
        <v>45974</v>
      </c>
      <c r="W1000" s="117">
        <f t="shared" ca="1" si="82"/>
        <v>45975</v>
      </c>
      <c r="X1000" s="117">
        <f t="shared" ca="1" si="82"/>
        <v>45978</v>
      </c>
      <c r="Y1000" s="117">
        <f t="shared" ca="1" si="82"/>
        <v>45979</v>
      </c>
      <c r="Z1000" s="117">
        <f t="shared" ca="1" si="82"/>
        <v>45980</v>
      </c>
      <c r="AB1000" s="117">
        <f t="shared" ref="AB1000:AV1000" ca="1" si="83">F901</f>
        <v>45952</v>
      </c>
      <c r="AC1000" s="117">
        <f t="shared" ca="1" si="83"/>
        <v>45953</v>
      </c>
      <c r="AD1000" s="117">
        <f t="shared" ca="1" si="83"/>
        <v>45954</v>
      </c>
      <c r="AE1000" s="117">
        <f t="shared" ca="1" si="83"/>
        <v>45957</v>
      </c>
      <c r="AF1000" s="117">
        <f t="shared" ca="1" si="83"/>
        <v>45958</v>
      </c>
      <c r="AG1000" s="117">
        <f t="shared" ca="1" si="83"/>
        <v>45959</v>
      </c>
      <c r="AH1000" s="117">
        <f t="shared" ca="1" si="83"/>
        <v>45960</v>
      </c>
      <c r="AI1000" s="117">
        <f t="shared" ca="1" si="83"/>
        <v>45961</v>
      </c>
      <c r="AJ1000" s="117">
        <f t="shared" ca="1" si="83"/>
        <v>45964</v>
      </c>
      <c r="AK1000" s="117">
        <f t="shared" ca="1" si="83"/>
        <v>45965</v>
      </c>
      <c r="AL1000" s="117">
        <f t="shared" ca="1" si="83"/>
        <v>45966</v>
      </c>
      <c r="AM1000" s="117">
        <f t="shared" ca="1" si="83"/>
        <v>45967</v>
      </c>
      <c r="AN1000" s="117">
        <f t="shared" ca="1" si="83"/>
        <v>45968</v>
      </c>
      <c r="AO1000" s="117">
        <f t="shared" ca="1" si="83"/>
        <v>45971</v>
      </c>
      <c r="AP1000" s="117">
        <f t="shared" ca="1" si="83"/>
        <v>45972</v>
      </c>
      <c r="AQ1000" s="117">
        <f t="shared" ca="1" si="83"/>
        <v>45973</v>
      </c>
      <c r="AR1000" s="117">
        <f t="shared" ca="1" si="83"/>
        <v>45974</v>
      </c>
      <c r="AS1000" s="117">
        <f t="shared" ca="1" si="83"/>
        <v>45975</v>
      </c>
      <c r="AT1000" s="117">
        <f t="shared" ca="1" si="83"/>
        <v>45978</v>
      </c>
      <c r="AU1000" s="117">
        <f t="shared" ca="1" si="83"/>
        <v>45979</v>
      </c>
      <c r="AV1000" s="117">
        <f t="shared" ca="1" si="83"/>
        <v>45980</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33863532</v>
      </c>
      <c r="G1002" s="247">
        <v>21436671</v>
      </c>
      <c r="H1002" s="247">
        <v>39640513</v>
      </c>
      <c r="I1002" s="247">
        <v>49146961</v>
      </c>
      <c r="J1002" s="247">
        <v>90216104</v>
      </c>
      <c r="K1002" s="247">
        <v>46613165</v>
      </c>
      <c r="L1002" s="247">
        <v>42920813</v>
      </c>
      <c r="M1002" s="247">
        <v>42922516</v>
      </c>
      <c r="N1002" s="247">
        <v>32635133</v>
      </c>
      <c r="O1002" s="247">
        <v>38135771</v>
      </c>
      <c r="P1002" s="247">
        <v>44619778</v>
      </c>
      <c r="Q1002" s="247">
        <v>41408229</v>
      </c>
      <c r="R1002" s="247">
        <v>56886249</v>
      </c>
      <c r="S1002" s="247">
        <v>35318913</v>
      </c>
      <c r="T1002" s="247">
        <v>43644546</v>
      </c>
      <c r="U1002" s="247">
        <v>32298934</v>
      </c>
      <c r="V1002" s="247">
        <v>36177947</v>
      </c>
      <c r="W1002" s="247">
        <v>47409237</v>
      </c>
      <c r="X1002" s="247">
        <v>13278</v>
      </c>
      <c r="Y1002" s="247">
        <v>15109120</v>
      </c>
      <c r="Z1002" s="247">
        <f ca="1">[1]ExtEntry!$P3</f>
        <v>15109120</v>
      </c>
      <c r="AB1002" s="249">
        <v>46</v>
      </c>
      <c r="AC1002" s="249">
        <v>54</v>
      </c>
      <c r="AD1002" s="249">
        <v>40</v>
      </c>
      <c r="AE1002" s="251">
        <v>53</v>
      </c>
      <c r="AF1002" s="251">
        <v>70</v>
      </c>
      <c r="AG1002" s="251">
        <v>70</v>
      </c>
      <c r="AH1002" s="251">
        <v>61</v>
      </c>
      <c r="AI1002" s="251">
        <v>53</v>
      </c>
      <c r="AJ1002" s="251">
        <v>54</v>
      </c>
      <c r="AK1002" s="251">
        <v>57</v>
      </c>
      <c r="AL1002" s="251">
        <v>61</v>
      </c>
      <c r="AM1002" s="251">
        <v>67</v>
      </c>
      <c r="AN1002" s="251">
        <v>75</v>
      </c>
      <c r="AO1002" s="275">
        <v>74</v>
      </c>
      <c r="AP1002" s="275">
        <v>74</v>
      </c>
      <c r="AQ1002" s="275">
        <v>73</v>
      </c>
      <c r="AR1002" s="275">
        <v>73</v>
      </c>
      <c r="AS1002" s="275">
        <v>68</v>
      </c>
      <c r="AT1002" s="275">
        <v>56</v>
      </c>
      <c r="AU1002" s="275">
        <v>59</v>
      </c>
      <c r="AV1002" s="275">
        <f t="shared" ref="AV1002:AV1007" si="84">INT(100-100/(1+(19*SUMIF(L605:Y605,"&gt;0",L605:Y605)+IF(Y605&gt;0,Y605,0))/ABS(19*SUMIF(L605:Y605,"&lt;0",L605:Y605)+IF(Y605&lt;0,Y605,0))))</f>
        <v>59</v>
      </c>
      <c r="AX1002" s="88" t="str">
        <f ca="1">A5</f>
        <v>AAPL</v>
      </c>
    </row>
    <row r="1003" spans="1:70" x14ac:dyDescent="0.3">
      <c r="A1003" s="88" t="str">
        <f t="shared" ref="A1003:A1066" ca="1" si="85">A6</f>
        <v>ADEA</v>
      </c>
      <c r="C1003" s="1">
        <v>4</v>
      </c>
      <c r="F1003" s="255">
        <v>750801</v>
      </c>
      <c r="G1003" s="255">
        <v>360676</v>
      </c>
      <c r="H1003" s="255">
        <v>449614</v>
      </c>
      <c r="I1003" s="255">
        <v>562960</v>
      </c>
      <c r="J1003" s="255">
        <v>327283</v>
      </c>
      <c r="K1003" s="255">
        <v>304282</v>
      </c>
      <c r="L1003" s="255">
        <v>406197</v>
      </c>
      <c r="M1003" s="255">
        <v>406197</v>
      </c>
      <c r="N1003" s="255">
        <v>316994</v>
      </c>
      <c r="O1003" s="255">
        <v>386477</v>
      </c>
      <c r="P1003" s="255">
        <v>492910</v>
      </c>
      <c r="Q1003" s="255">
        <v>491403</v>
      </c>
      <c r="R1003" s="255">
        <v>661718</v>
      </c>
      <c r="S1003" s="255">
        <v>1571884</v>
      </c>
      <c r="T1003" s="255">
        <v>1761241</v>
      </c>
      <c r="U1003" s="255">
        <v>1136474</v>
      </c>
      <c r="V1003" s="255">
        <v>1051262</v>
      </c>
      <c r="W1003" s="255">
        <v>880357</v>
      </c>
      <c r="X1003" s="255">
        <v>1041506</v>
      </c>
      <c r="Y1003" s="255">
        <v>234513</v>
      </c>
      <c r="Z1003" s="247">
        <f ca="1">[1]ExtEntry!$P4</f>
        <v>234513</v>
      </c>
      <c r="AB1003" s="275">
        <v>44</v>
      </c>
      <c r="AC1003" s="275">
        <v>51</v>
      </c>
      <c r="AD1003" s="275">
        <v>46</v>
      </c>
      <c r="AE1003" s="251">
        <v>43</v>
      </c>
      <c r="AF1003" s="251">
        <v>48</v>
      </c>
      <c r="AG1003" s="251">
        <v>50</v>
      </c>
      <c r="AH1003" s="251">
        <v>44</v>
      </c>
      <c r="AI1003" s="251">
        <v>40</v>
      </c>
      <c r="AJ1003" s="251">
        <v>40</v>
      </c>
      <c r="AK1003" s="251">
        <v>54</v>
      </c>
      <c r="AL1003" s="251">
        <v>67</v>
      </c>
      <c r="AM1003" s="251">
        <v>69</v>
      </c>
      <c r="AN1003" s="251">
        <v>63</v>
      </c>
      <c r="AO1003" s="275">
        <v>46</v>
      </c>
      <c r="AP1003" s="275">
        <v>49</v>
      </c>
      <c r="AQ1003" s="275">
        <v>44</v>
      </c>
      <c r="AR1003" s="275">
        <v>51</v>
      </c>
      <c r="AS1003" s="275">
        <v>48</v>
      </c>
      <c r="AT1003" s="275">
        <v>46</v>
      </c>
      <c r="AU1003" s="275">
        <v>42</v>
      </c>
      <c r="AV1003" s="275">
        <f t="shared" si="84"/>
        <v>42</v>
      </c>
      <c r="AX1003" s="88" t="str">
        <f t="shared" ref="AX1003:AX1066" ca="1" si="86">A6</f>
        <v>ADEA</v>
      </c>
    </row>
    <row r="1004" spans="1:70" x14ac:dyDescent="0.3">
      <c r="A1004" s="88" t="str">
        <f t="shared" ca="1" si="85"/>
        <v>AET</v>
      </c>
      <c r="C1004" s="1">
        <v>5</v>
      </c>
      <c r="F1004" s="247">
        <v>1683197</v>
      </c>
      <c r="G1004" s="247">
        <v>1194038</v>
      </c>
      <c r="H1004" s="247">
        <v>910393</v>
      </c>
      <c r="I1004" s="247">
        <v>1016534</v>
      </c>
      <c r="J1004" s="247">
        <v>465782</v>
      </c>
      <c r="K1004" s="247">
        <v>1039926</v>
      </c>
      <c r="L1004" s="247">
        <v>635027</v>
      </c>
      <c r="M1004" s="247">
        <v>635027</v>
      </c>
      <c r="N1004" s="247">
        <v>523454</v>
      </c>
      <c r="O1004" s="247">
        <v>285833</v>
      </c>
      <c r="P1004" s="247">
        <v>303560</v>
      </c>
      <c r="Q1004" s="247">
        <v>170353</v>
      </c>
      <c r="R1004" s="247">
        <v>187102</v>
      </c>
      <c r="S1004" s="247">
        <v>523285</v>
      </c>
      <c r="T1004" s="247">
        <v>93063</v>
      </c>
      <c r="U1004" s="247">
        <v>141083</v>
      </c>
      <c r="V1004" s="247">
        <v>71429</v>
      </c>
      <c r="W1004" s="247">
        <v>550943</v>
      </c>
      <c r="X1004" s="247">
        <v>127935</v>
      </c>
      <c r="Y1004" s="247">
        <v>569595</v>
      </c>
      <c r="Z1004" s="247">
        <f ca="1">[1]ExtEntry!$P5</f>
        <v>569595</v>
      </c>
      <c r="AB1004" s="275">
        <v>31</v>
      </c>
      <c r="AC1004" s="275">
        <v>25</v>
      </c>
      <c r="AD1004" s="275">
        <v>21</v>
      </c>
      <c r="AE1004" s="251">
        <v>29</v>
      </c>
      <c r="AF1004" s="251">
        <v>33</v>
      </c>
      <c r="AG1004" s="251">
        <v>36</v>
      </c>
      <c r="AH1004" s="251">
        <v>46</v>
      </c>
      <c r="AI1004" s="251">
        <v>45</v>
      </c>
      <c r="AJ1004" s="251">
        <v>55</v>
      </c>
      <c r="AK1004" s="251">
        <v>66</v>
      </c>
      <c r="AL1004" s="251">
        <v>59</v>
      </c>
      <c r="AM1004" s="251">
        <v>58</v>
      </c>
      <c r="AN1004" s="251">
        <v>63</v>
      </c>
      <c r="AO1004" s="275">
        <v>44</v>
      </c>
      <c r="AP1004" s="275">
        <v>50</v>
      </c>
      <c r="AQ1004" s="275">
        <v>46</v>
      </c>
      <c r="AR1004" s="275">
        <v>52</v>
      </c>
      <c r="AS1004" s="275">
        <v>44</v>
      </c>
      <c r="AT1004" s="275">
        <v>43</v>
      </c>
      <c r="AU1004" s="275">
        <v>40</v>
      </c>
      <c r="AV1004" s="275">
        <f t="shared" si="84"/>
        <v>40</v>
      </c>
      <c r="AX1004" s="88" t="str">
        <f t="shared" ca="1" si="86"/>
        <v>AET</v>
      </c>
    </row>
    <row r="1005" spans="1:70" x14ac:dyDescent="0.3">
      <c r="A1005" s="88" t="str">
        <f t="shared" ca="1" si="85"/>
        <v>AMZN</v>
      </c>
      <c r="C1005" s="1">
        <v>6</v>
      </c>
      <c r="F1005" s="255">
        <v>44484935</v>
      </c>
      <c r="G1005" s="255">
        <v>36401719</v>
      </c>
      <c r="H1005" s="255">
        <v>42173673</v>
      </c>
      <c r="I1005" s="255">
        <v>45986944</v>
      </c>
      <c r="J1005" s="255">
        <v>37990094</v>
      </c>
      <c r="K1005" s="255">
        <v>48555837</v>
      </c>
      <c r="L1005" s="255">
        <v>43584721</v>
      </c>
      <c r="M1005" s="255">
        <v>43592700</v>
      </c>
      <c r="N1005" s="255">
        <v>31406990</v>
      </c>
      <c r="O1005" s="255">
        <v>38542660</v>
      </c>
      <c r="P1005" s="255">
        <v>37932918</v>
      </c>
      <c r="Q1005" s="255">
        <v>46856444</v>
      </c>
      <c r="R1005" s="255">
        <v>88405636</v>
      </c>
      <c r="S1005" s="255">
        <v>40499016</v>
      </c>
      <c r="T1005" s="255">
        <v>40552606</v>
      </c>
      <c r="U1005" s="255">
        <v>33222962</v>
      </c>
      <c r="V1005" s="255">
        <v>37371756</v>
      </c>
      <c r="W1005" s="255">
        <v>38914244</v>
      </c>
      <c r="X1005" s="255">
        <v>43305</v>
      </c>
      <c r="Y1005" s="255">
        <v>29090882</v>
      </c>
      <c r="Z1005" s="247">
        <f ca="1">[1]ExtEntry!$P6</f>
        <v>29090882</v>
      </c>
      <c r="AB1005" s="275">
        <v>61</v>
      </c>
      <c r="AC1005" s="275">
        <v>59</v>
      </c>
      <c r="AD1005" s="275">
        <v>61</v>
      </c>
      <c r="AE1005" s="251">
        <v>56</v>
      </c>
      <c r="AF1005" s="251">
        <v>60</v>
      </c>
      <c r="AG1005" s="251">
        <v>70</v>
      </c>
      <c r="AH1005" s="251">
        <v>61</v>
      </c>
      <c r="AI1005" s="251">
        <v>54</v>
      </c>
      <c r="AJ1005" s="251">
        <v>61</v>
      </c>
      <c r="AK1005" s="251">
        <v>63</v>
      </c>
      <c r="AL1005" s="251">
        <v>63</v>
      </c>
      <c r="AM1005" s="251">
        <v>63</v>
      </c>
      <c r="AN1005" s="251">
        <v>50</v>
      </c>
      <c r="AO1005" s="275">
        <v>41</v>
      </c>
      <c r="AP1005" s="275">
        <v>46</v>
      </c>
      <c r="AQ1005" s="275">
        <v>41</v>
      </c>
      <c r="AR1005" s="275">
        <v>44</v>
      </c>
      <c r="AS1005" s="275">
        <v>42</v>
      </c>
      <c r="AT1005" s="275">
        <v>31</v>
      </c>
      <c r="AU1005" s="275">
        <v>24</v>
      </c>
      <c r="AV1005" s="275">
        <f t="shared" si="84"/>
        <v>24</v>
      </c>
      <c r="AX1005" s="88" t="str">
        <f t="shared" ca="1" si="86"/>
        <v>AMZN</v>
      </c>
    </row>
    <row r="1006" spans="1:70" x14ac:dyDescent="0.3">
      <c r="A1006" s="88" t="str">
        <f t="shared" ca="1" si="85"/>
        <v>ALDNE</v>
      </c>
      <c r="C1006" s="1">
        <v>7</v>
      </c>
      <c r="F1006" s="247">
        <v>563</v>
      </c>
      <c r="G1006" s="247">
        <v>3791</v>
      </c>
      <c r="H1006" s="247">
        <v>1032</v>
      </c>
      <c r="I1006" s="247">
        <v>1198</v>
      </c>
      <c r="J1006" s="247">
        <v>5482</v>
      </c>
      <c r="K1006" s="247">
        <v>35320</v>
      </c>
      <c r="L1006" s="247">
        <v>5796</v>
      </c>
      <c r="M1006" s="247">
        <v>5796</v>
      </c>
      <c r="N1006" s="247">
        <v>2266</v>
      </c>
      <c r="O1006" s="247">
        <v>10516</v>
      </c>
      <c r="P1006" s="247">
        <v>1300</v>
      </c>
      <c r="Q1006" s="247">
        <v>907</v>
      </c>
      <c r="R1006" s="247">
        <v>6835</v>
      </c>
      <c r="S1006" s="247">
        <v>9627</v>
      </c>
      <c r="T1006" s="247">
        <v>2729</v>
      </c>
      <c r="U1006" s="247">
        <v>1977</v>
      </c>
      <c r="V1006" s="247">
        <v>2114</v>
      </c>
      <c r="W1006" s="247">
        <v>12233</v>
      </c>
      <c r="X1006" s="247">
        <v>3351</v>
      </c>
      <c r="Y1006" s="247">
        <v>3776</v>
      </c>
      <c r="Z1006" s="247">
        <f ca="1">[1]ExtEntry!$P7</f>
        <v>3776</v>
      </c>
      <c r="AB1006" s="275">
        <v>75</v>
      </c>
      <c r="AC1006" s="275">
        <v>75</v>
      </c>
      <c r="AD1006" s="275">
        <v>65</v>
      </c>
      <c r="AE1006" s="251">
        <v>64</v>
      </c>
      <c r="AF1006" s="251">
        <v>24</v>
      </c>
      <c r="AG1006" s="251">
        <v>32</v>
      </c>
      <c r="AH1006" s="251">
        <v>31</v>
      </c>
      <c r="AI1006" s="251">
        <v>44</v>
      </c>
      <c r="AJ1006" s="251">
        <v>44</v>
      </c>
      <c r="AK1006" s="251">
        <v>37</v>
      </c>
      <c r="AL1006" s="251">
        <v>42</v>
      </c>
      <c r="AM1006" s="251">
        <v>44</v>
      </c>
      <c r="AN1006" s="251">
        <v>58</v>
      </c>
      <c r="AO1006" s="275">
        <v>56</v>
      </c>
      <c r="AP1006" s="275">
        <v>56</v>
      </c>
      <c r="AQ1006" s="275">
        <v>53</v>
      </c>
      <c r="AR1006" s="275">
        <v>56</v>
      </c>
      <c r="AS1006" s="275">
        <v>36</v>
      </c>
      <c r="AT1006" s="275">
        <v>37</v>
      </c>
      <c r="AU1006" s="275">
        <v>36</v>
      </c>
      <c r="AV1006" s="275">
        <f t="shared" si="84"/>
        <v>36</v>
      </c>
      <c r="AX1006" s="88" t="str">
        <f t="shared" ca="1" si="86"/>
        <v>ALDNE</v>
      </c>
    </row>
    <row r="1007" spans="1:70" x14ac:dyDescent="0.3">
      <c r="A1007" s="88" t="str">
        <f t="shared" ca="1" si="85"/>
        <v>ASML</v>
      </c>
      <c r="C1007" s="1">
        <v>8</v>
      </c>
      <c r="F1007" s="255">
        <v>706297</v>
      </c>
      <c r="G1007" s="255">
        <v>1192298</v>
      </c>
      <c r="H1007" s="255">
        <v>703225</v>
      </c>
      <c r="I1007" s="255">
        <v>859995</v>
      </c>
      <c r="J1007" s="255">
        <v>530812</v>
      </c>
      <c r="K1007" s="255">
        <v>450669</v>
      </c>
      <c r="L1007" s="255">
        <v>537993</v>
      </c>
      <c r="M1007" s="255">
        <v>537993</v>
      </c>
      <c r="N1007" s="255">
        <v>746164</v>
      </c>
      <c r="O1007" s="255">
        <v>500510</v>
      </c>
      <c r="P1007" s="255">
        <v>523496</v>
      </c>
      <c r="Q1007" s="255">
        <v>409524</v>
      </c>
      <c r="R1007" s="255">
        <v>626353</v>
      </c>
      <c r="S1007" s="255">
        <v>512236</v>
      </c>
      <c r="T1007" s="255">
        <v>663558</v>
      </c>
      <c r="U1007" s="255">
        <v>481131</v>
      </c>
      <c r="V1007" s="255">
        <v>767828</v>
      </c>
      <c r="W1007" s="255">
        <v>667623</v>
      </c>
      <c r="X1007" s="255">
        <v>43298</v>
      </c>
      <c r="Y1007" s="255">
        <v>569186</v>
      </c>
      <c r="Z1007" s="247">
        <f ca="1">[1]ExtEntry!$P8</f>
        <v>569186</v>
      </c>
      <c r="AB1007" s="275">
        <v>61</v>
      </c>
      <c r="AC1007" s="275">
        <v>70</v>
      </c>
      <c r="AD1007" s="275">
        <v>70</v>
      </c>
      <c r="AE1007" s="251">
        <v>69</v>
      </c>
      <c r="AF1007" s="251">
        <v>71</v>
      </c>
      <c r="AG1007" s="251">
        <v>67</v>
      </c>
      <c r="AH1007" s="251">
        <v>59</v>
      </c>
      <c r="AI1007" s="251">
        <v>45</v>
      </c>
      <c r="AJ1007" s="251">
        <v>50</v>
      </c>
      <c r="AK1007" s="251">
        <v>57</v>
      </c>
      <c r="AL1007" s="251">
        <v>67</v>
      </c>
      <c r="AM1007" s="251">
        <v>68</v>
      </c>
      <c r="AN1007" s="251">
        <v>74</v>
      </c>
      <c r="AO1007" s="251">
        <v>65</v>
      </c>
      <c r="AP1007" s="275">
        <v>61</v>
      </c>
      <c r="AQ1007" s="275">
        <v>50</v>
      </c>
      <c r="AR1007" s="275">
        <v>42</v>
      </c>
      <c r="AS1007" s="275">
        <v>41</v>
      </c>
      <c r="AT1007" s="275">
        <v>32</v>
      </c>
      <c r="AU1007" s="275">
        <v>42</v>
      </c>
      <c r="AV1007" s="275">
        <f t="shared" si="84"/>
        <v>42</v>
      </c>
      <c r="AX1007" s="88" t="str">
        <f t="shared" ca="1" si="86"/>
        <v>ASML</v>
      </c>
    </row>
    <row r="1008" spans="1:70" x14ac:dyDescent="0.3">
      <c r="A1008" s="88" t="str">
        <f t="shared" ca="1" si="85"/>
        <v>AVGO</v>
      </c>
      <c r="C1008" s="1">
        <v>9</v>
      </c>
      <c r="F1008" s="255">
        <v>20820936</v>
      </c>
      <c r="G1008" s="255">
        <v>14284469</v>
      </c>
      <c r="H1008" s="255">
        <v>19949439</v>
      </c>
      <c r="I1008" s="255">
        <v>20937936</v>
      </c>
      <c r="J1008" s="255">
        <v>15605119</v>
      </c>
      <c r="K1008" s="255">
        <v>15059503</v>
      </c>
      <c r="L1008" s="255">
        <v>18635672</v>
      </c>
      <c r="M1008" s="255">
        <v>18636820</v>
      </c>
      <c r="N1008" s="255">
        <v>12771711</v>
      </c>
      <c r="O1008" s="255">
        <v>16109846</v>
      </c>
      <c r="P1008" s="255">
        <v>19170983</v>
      </c>
      <c r="Q1008" s="255">
        <v>20155851</v>
      </c>
      <c r="R1008" s="255">
        <v>23920585</v>
      </c>
      <c r="S1008" s="255">
        <v>15890118</v>
      </c>
      <c r="T1008" s="255">
        <v>17071547</v>
      </c>
      <c r="U1008" s="255">
        <v>11585424</v>
      </c>
      <c r="V1008" s="255">
        <v>16935678</v>
      </c>
      <c r="W1008" s="255">
        <v>18492975</v>
      </c>
      <c r="X1008" s="255">
        <v>12438</v>
      </c>
      <c r="Y1008" s="255">
        <v>9870639</v>
      </c>
      <c r="Z1008" s="247">
        <f ca="1">[1]ExtEntry!$P9</f>
        <v>9870639</v>
      </c>
      <c r="AB1008" s="275">
        <v>75</v>
      </c>
      <c r="AC1008" s="275">
        <v>77</v>
      </c>
      <c r="AD1008" s="275">
        <v>80</v>
      </c>
      <c r="AE1008" s="251">
        <v>81</v>
      </c>
      <c r="AF1008" s="251">
        <v>77</v>
      </c>
      <c r="AG1008" s="251">
        <v>70</v>
      </c>
      <c r="AH1008" s="251">
        <v>45</v>
      </c>
      <c r="AI1008" s="251">
        <v>50</v>
      </c>
      <c r="AJ1008" s="251">
        <v>36</v>
      </c>
      <c r="AK1008" s="251">
        <v>32</v>
      </c>
      <c r="AL1008" s="251">
        <v>43</v>
      </c>
      <c r="AM1008" s="251">
        <v>36</v>
      </c>
      <c r="AN1008" s="251">
        <v>39</v>
      </c>
      <c r="AO1008" s="275">
        <v>41</v>
      </c>
      <c r="AP1008" s="275">
        <v>31</v>
      </c>
      <c r="AQ1008" s="275">
        <v>50</v>
      </c>
      <c r="AR1008" s="275">
        <v>59</v>
      </c>
      <c r="AS1008" s="275">
        <v>57</v>
      </c>
      <c r="AT1008" s="275">
        <v>63</v>
      </c>
      <c r="AU1008" s="275">
        <v>64</v>
      </c>
      <c r="AV1008" s="275">
        <f t="shared" ref="AV1008:AV1046" si="87">INT(100-100/(1+(19*SUMIF(L612:Y612,"&gt;0",L612:Y612)+IF(Y612&gt;0,Y612,0))/ABS(19*SUMIF(L612:Y612,"&lt;0",L612:Y612)+IF(Y612&lt;0,Y612,0))))</f>
        <v>64</v>
      </c>
      <c r="AX1008" s="88" t="str">
        <f t="shared" ca="1" si="86"/>
        <v>AVGO</v>
      </c>
    </row>
    <row r="1009" spans="1:50" hidden="1" x14ac:dyDescent="0.3">
      <c r="A1009" s="88" t="str">
        <f t="shared" ca="1" si="85"/>
        <v>AZN</v>
      </c>
      <c r="C1009" s="1">
        <v>10</v>
      </c>
      <c r="F1009" s="255">
        <v>4852541</v>
      </c>
      <c r="G1009" s="255">
        <v>3341398</v>
      </c>
      <c r="H1009" s="255">
        <v>4325717</v>
      </c>
      <c r="I1009" s="255">
        <v>3125960</v>
      </c>
      <c r="J1009" s="255">
        <v>5015947</v>
      </c>
      <c r="K1009" s="255">
        <v>5616576</v>
      </c>
      <c r="L1009" s="255">
        <v>3263470</v>
      </c>
      <c r="M1009" s="255">
        <v>3263470</v>
      </c>
      <c r="N1009" s="255">
        <v>2149549</v>
      </c>
      <c r="O1009" s="255">
        <v>2380327</v>
      </c>
      <c r="P1009" s="255">
        <v>6247818</v>
      </c>
      <c r="Q1009" s="255">
        <v>3661484</v>
      </c>
      <c r="R1009" s="255">
        <v>5784977</v>
      </c>
      <c r="S1009" s="255">
        <v>3590266</v>
      </c>
      <c r="T1009" s="255">
        <v>5442643</v>
      </c>
      <c r="U1009" s="255">
        <v>5618423</v>
      </c>
      <c r="V1009" s="255">
        <v>3451912</v>
      </c>
      <c r="W1009" s="255">
        <v>4090412</v>
      </c>
      <c r="X1009" s="255">
        <v>9979</v>
      </c>
      <c r="Y1009" s="255">
        <v>3728991</v>
      </c>
      <c r="Z1009" s="247">
        <f ca="1">[1]ExtEntry!$P10</f>
        <v>3728991</v>
      </c>
      <c r="AB1009" s="275">
        <v>78</v>
      </c>
      <c r="AC1009" s="275">
        <v>69</v>
      </c>
      <c r="AD1009" s="275">
        <v>69</v>
      </c>
      <c r="AE1009" s="251">
        <v>73</v>
      </c>
      <c r="AF1009" s="251">
        <v>75</v>
      </c>
      <c r="AG1009" s="251">
        <v>66</v>
      </c>
      <c r="AH1009" s="251">
        <v>61</v>
      </c>
      <c r="AI1009" s="251">
        <v>62</v>
      </c>
      <c r="AJ1009" s="251">
        <v>46</v>
      </c>
      <c r="AK1009" s="251">
        <v>52</v>
      </c>
      <c r="AL1009" s="251">
        <v>51</v>
      </c>
      <c r="AM1009" s="251">
        <v>53</v>
      </c>
      <c r="AN1009" s="251">
        <v>50</v>
      </c>
      <c r="AO1009" s="275">
        <v>39</v>
      </c>
      <c r="AP1009" s="275">
        <v>32</v>
      </c>
      <c r="AQ1009" s="275">
        <v>34</v>
      </c>
      <c r="AR1009" s="275">
        <v>34</v>
      </c>
      <c r="AS1009" s="275">
        <v>32</v>
      </c>
      <c r="AT1009" s="275">
        <v>31</v>
      </c>
      <c r="AU1009" s="275">
        <v>37</v>
      </c>
      <c r="AV1009" s="275">
        <f t="shared" si="87"/>
        <v>37</v>
      </c>
      <c r="AX1009" s="88" t="str">
        <f t="shared" ca="1" si="86"/>
        <v>AZN</v>
      </c>
    </row>
    <row r="1010" spans="1:50" hidden="1" x14ac:dyDescent="0.3">
      <c r="A1010" s="88" t="str">
        <f t="shared" ca="1" si="85"/>
        <v>BLDP</v>
      </c>
      <c r="C1010" s="1">
        <v>11</v>
      </c>
      <c r="F1010" s="255">
        <v>14190732</v>
      </c>
      <c r="G1010" s="255">
        <v>8619316</v>
      </c>
      <c r="H1010" s="255">
        <v>7238360</v>
      </c>
      <c r="I1010" s="255">
        <v>7519709</v>
      </c>
      <c r="J1010" s="255">
        <v>6469857</v>
      </c>
      <c r="K1010" s="255">
        <v>6690200</v>
      </c>
      <c r="L1010" s="255">
        <v>8904594</v>
      </c>
      <c r="M1010" s="255">
        <v>8904602</v>
      </c>
      <c r="N1010" s="255">
        <v>5301092</v>
      </c>
      <c r="O1010" s="255">
        <v>5607269</v>
      </c>
      <c r="P1010" s="255">
        <v>5144615</v>
      </c>
      <c r="Q1010" s="255">
        <v>5733886</v>
      </c>
      <c r="R1010" s="255">
        <v>5727384</v>
      </c>
      <c r="S1010" s="255">
        <v>6645827</v>
      </c>
      <c r="T1010" s="255">
        <v>6926072</v>
      </c>
      <c r="U1010" s="255">
        <v>5973196</v>
      </c>
      <c r="V1010" s="255">
        <v>5951226</v>
      </c>
      <c r="W1010" s="255">
        <v>6227306</v>
      </c>
      <c r="X1010" s="255">
        <v>1910</v>
      </c>
      <c r="Y1010" s="255">
        <v>1386305</v>
      </c>
      <c r="Z1010" s="247">
        <f ca="1">[1]ExtEntry!$P11</f>
        <v>1386305</v>
      </c>
      <c r="AB1010" s="275">
        <v>59</v>
      </c>
      <c r="AC1010" s="275">
        <v>52</v>
      </c>
      <c r="AD1010" s="275">
        <v>73</v>
      </c>
      <c r="AE1010" s="251">
        <v>69</v>
      </c>
      <c r="AF1010" s="251">
        <v>74</v>
      </c>
      <c r="AG1010" s="251">
        <v>78</v>
      </c>
      <c r="AH1010" s="251">
        <v>59</v>
      </c>
      <c r="AI1010" s="251">
        <v>51</v>
      </c>
      <c r="AJ1010" s="251">
        <v>49</v>
      </c>
      <c r="AK1010" s="251">
        <v>53</v>
      </c>
      <c r="AL1010" s="251">
        <v>52</v>
      </c>
      <c r="AM1010" s="251">
        <v>47</v>
      </c>
      <c r="AN1010" s="251">
        <v>43</v>
      </c>
      <c r="AO1010" s="275">
        <v>35</v>
      </c>
      <c r="AP1010" s="275">
        <v>37</v>
      </c>
      <c r="AQ1010" s="275">
        <v>36</v>
      </c>
      <c r="AR1010" s="275">
        <v>28</v>
      </c>
      <c r="AS1010" s="275">
        <v>26</v>
      </c>
      <c r="AT1010" s="275">
        <v>18</v>
      </c>
      <c r="AU1010" s="275">
        <v>12</v>
      </c>
      <c r="AV1010" s="275">
        <f t="shared" si="87"/>
        <v>12</v>
      </c>
      <c r="AX1010" s="88" t="str">
        <f t="shared" ca="1" si="86"/>
        <v>BLDP</v>
      </c>
    </row>
    <row r="1011" spans="1:50" hidden="1" x14ac:dyDescent="0.3">
      <c r="A1011" s="88" t="str">
        <f t="shared" ca="1" si="85"/>
        <v>BMRA</v>
      </c>
      <c r="C1011" s="1">
        <v>12</v>
      </c>
      <c r="F1011" s="255">
        <v>55903</v>
      </c>
      <c r="G1011" s="255">
        <v>16856</v>
      </c>
      <c r="H1011" s="255">
        <v>4092138</v>
      </c>
      <c r="I1011" s="255">
        <v>119957</v>
      </c>
      <c r="J1011" s="255">
        <v>124989</v>
      </c>
      <c r="K1011" s="255">
        <v>43060</v>
      </c>
      <c r="L1011" s="255">
        <v>84636</v>
      </c>
      <c r="M1011" s="255">
        <v>85227</v>
      </c>
      <c r="N1011" s="255">
        <v>19575</v>
      </c>
      <c r="O1011" s="255">
        <v>24807</v>
      </c>
      <c r="P1011" s="255">
        <v>29898</v>
      </c>
      <c r="Q1011" s="255">
        <v>15570</v>
      </c>
      <c r="R1011" s="255">
        <v>27477</v>
      </c>
      <c r="S1011" s="255">
        <v>32088</v>
      </c>
      <c r="T1011" s="255">
        <v>16669</v>
      </c>
      <c r="U1011" s="255">
        <v>26519</v>
      </c>
      <c r="V1011" s="255">
        <v>23410</v>
      </c>
      <c r="W1011" s="255">
        <v>17330</v>
      </c>
      <c r="X1011" s="255">
        <v>15955</v>
      </c>
      <c r="Y1011" s="255">
        <v>3231</v>
      </c>
      <c r="Z1011" s="247">
        <f ca="1">[1]ExtEntry!$P12</f>
        <v>3231</v>
      </c>
      <c r="AB1011" s="275">
        <v>44</v>
      </c>
      <c r="AC1011" s="275">
        <v>45</v>
      </c>
      <c r="AD1011" s="275">
        <v>36</v>
      </c>
      <c r="AE1011" s="251">
        <v>35</v>
      </c>
      <c r="AF1011" s="251">
        <v>42</v>
      </c>
      <c r="AG1011" s="251">
        <v>43</v>
      </c>
      <c r="AH1011" s="251">
        <v>44</v>
      </c>
      <c r="AI1011" s="251">
        <v>43</v>
      </c>
      <c r="AJ1011" s="251">
        <v>43</v>
      </c>
      <c r="AK1011" s="251">
        <v>49</v>
      </c>
      <c r="AL1011" s="251">
        <v>56</v>
      </c>
      <c r="AM1011" s="251">
        <v>58</v>
      </c>
      <c r="AN1011" s="251">
        <v>62</v>
      </c>
      <c r="AO1011" s="275">
        <v>57</v>
      </c>
      <c r="AP1011" s="275">
        <v>50</v>
      </c>
      <c r="AQ1011" s="275">
        <v>50</v>
      </c>
      <c r="AR1011" s="275">
        <v>60</v>
      </c>
      <c r="AS1011" s="275">
        <v>56</v>
      </c>
      <c r="AT1011" s="275">
        <v>50</v>
      </c>
      <c r="AU1011" s="275">
        <v>58</v>
      </c>
      <c r="AV1011" s="275">
        <f t="shared" si="87"/>
        <v>58</v>
      </c>
      <c r="AX1011" s="88" t="str">
        <f t="shared" ca="1" si="86"/>
        <v>BMRA</v>
      </c>
    </row>
    <row r="1012" spans="1:50" hidden="1" x14ac:dyDescent="0.3">
      <c r="A1012" s="88" t="str">
        <f t="shared" ca="1" si="85"/>
        <v>C</v>
      </c>
      <c r="C1012" s="1">
        <v>13</v>
      </c>
      <c r="F1012" s="255">
        <v>32402920</v>
      </c>
      <c r="G1012" s="255">
        <v>12378137</v>
      </c>
      <c r="H1012" s="255">
        <v>20069028</v>
      </c>
      <c r="I1012" s="255">
        <v>14007810</v>
      </c>
      <c r="J1012" s="255">
        <v>11168221</v>
      </c>
      <c r="K1012" s="255">
        <v>9095456</v>
      </c>
      <c r="L1012" s="255">
        <v>14138893</v>
      </c>
      <c r="M1012" s="255">
        <v>14138896</v>
      </c>
      <c r="N1012" s="255">
        <v>8185643</v>
      </c>
      <c r="O1012" s="255">
        <v>11738453</v>
      </c>
      <c r="P1012" s="255">
        <v>13058454</v>
      </c>
      <c r="Q1012" s="255">
        <v>8751362</v>
      </c>
      <c r="R1012" s="255">
        <v>9514861</v>
      </c>
      <c r="S1012" s="255">
        <v>10840776</v>
      </c>
      <c r="T1012" s="255">
        <v>9990774</v>
      </c>
      <c r="U1012" s="255">
        <v>6615580</v>
      </c>
      <c r="V1012" s="255">
        <v>11541881</v>
      </c>
      <c r="W1012" s="255">
        <v>10133803</v>
      </c>
      <c r="X1012" s="255">
        <v>922</v>
      </c>
      <c r="Y1012" s="255">
        <v>3598978</v>
      </c>
      <c r="Z1012" s="247">
        <f ca="1">[1]ExtEntry!$P13</f>
        <v>3598978</v>
      </c>
      <c r="AB1012" s="275">
        <v>64</v>
      </c>
      <c r="AC1012" s="275">
        <v>69</v>
      </c>
      <c r="AD1012" s="275">
        <v>63</v>
      </c>
      <c r="AE1012" s="251">
        <v>73</v>
      </c>
      <c r="AF1012" s="251">
        <v>74</v>
      </c>
      <c r="AG1012" s="251">
        <v>71</v>
      </c>
      <c r="AH1012" s="251">
        <v>70</v>
      </c>
      <c r="AI1012" s="251">
        <v>73</v>
      </c>
      <c r="AJ1012" s="251">
        <v>69</v>
      </c>
      <c r="AK1012" s="251">
        <v>71</v>
      </c>
      <c r="AL1012" s="251">
        <v>68</v>
      </c>
      <c r="AM1012" s="251">
        <v>77</v>
      </c>
      <c r="AN1012" s="251">
        <v>84</v>
      </c>
      <c r="AO1012" s="275">
        <v>70</v>
      </c>
      <c r="AP1012" s="275">
        <v>66</v>
      </c>
      <c r="AQ1012" s="275">
        <v>56</v>
      </c>
      <c r="AR1012" s="275">
        <v>59</v>
      </c>
      <c r="AS1012" s="275">
        <v>57</v>
      </c>
      <c r="AT1012" s="275">
        <v>51</v>
      </c>
      <c r="AU1012" s="275">
        <v>56</v>
      </c>
      <c r="AV1012" s="275">
        <f t="shared" si="87"/>
        <v>56</v>
      </c>
      <c r="AX1012" s="88" t="str">
        <f t="shared" ca="1" si="86"/>
        <v>C</v>
      </c>
    </row>
    <row r="1013" spans="1:50" hidden="1" x14ac:dyDescent="0.3">
      <c r="A1013" s="88" t="str">
        <f t="shared" ca="1" si="85"/>
        <v>CSCO</v>
      </c>
      <c r="C1013" s="1">
        <v>14</v>
      </c>
      <c r="F1013" s="255">
        <v>14232106</v>
      </c>
      <c r="G1013" s="255">
        <v>9555519</v>
      </c>
      <c r="H1013" s="255">
        <v>13935473</v>
      </c>
      <c r="I1013" s="255">
        <v>16286931</v>
      </c>
      <c r="J1013" s="255">
        <v>12135985</v>
      </c>
      <c r="K1013" s="255">
        <v>15700192</v>
      </c>
      <c r="L1013" s="255">
        <v>14952518</v>
      </c>
      <c r="M1013" s="255">
        <v>14953367</v>
      </c>
      <c r="N1013" s="255">
        <v>14577378</v>
      </c>
      <c r="O1013" s="255">
        <v>13068760</v>
      </c>
      <c r="P1013" s="255">
        <v>15880525</v>
      </c>
      <c r="Q1013" s="255">
        <v>19867056</v>
      </c>
      <c r="R1013" s="255">
        <v>18017356</v>
      </c>
      <c r="S1013" s="255">
        <v>13202405</v>
      </c>
      <c r="T1013" s="255">
        <v>16110965</v>
      </c>
      <c r="U1013" s="255">
        <v>10058047</v>
      </c>
      <c r="V1013" s="255">
        <v>11027746</v>
      </c>
      <c r="W1013" s="255">
        <v>38797181</v>
      </c>
      <c r="X1013" s="255">
        <v>225</v>
      </c>
      <c r="Y1013" s="255">
        <v>9165480</v>
      </c>
      <c r="Z1013" s="247">
        <f ca="1">[1]ExtEntry!$P14</f>
        <v>9165480</v>
      </c>
      <c r="AB1013" s="275">
        <v>66</v>
      </c>
      <c r="AC1013" s="275">
        <v>72</v>
      </c>
      <c r="AD1013" s="275">
        <v>89</v>
      </c>
      <c r="AE1013" s="251">
        <v>89</v>
      </c>
      <c r="AF1013" s="251">
        <v>90</v>
      </c>
      <c r="AG1013" s="251">
        <v>92</v>
      </c>
      <c r="AH1013" s="251">
        <v>79</v>
      </c>
      <c r="AI1013" s="251">
        <v>69</v>
      </c>
      <c r="AJ1013" s="251">
        <v>67</v>
      </c>
      <c r="AK1013" s="251">
        <v>69</v>
      </c>
      <c r="AL1013" s="251">
        <v>72</v>
      </c>
      <c r="AM1013" s="251">
        <v>71</v>
      </c>
      <c r="AN1013" s="251">
        <v>51</v>
      </c>
      <c r="AO1013" s="275">
        <v>48</v>
      </c>
      <c r="AP1013" s="275">
        <v>45</v>
      </c>
      <c r="AQ1013" s="275">
        <v>39</v>
      </c>
      <c r="AR1013" s="275">
        <v>36</v>
      </c>
      <c r="AS1013" s="275">
        <v>24</v>
      </c>
      <c r="AT1013" s="275">
        <v>23</v>
      </c>
      <c r="AU1013" s="275">
        <v>17</v>
      </c>
      <c r="AV1013" s="275">
        <f t="shared" si="87"/>
        <v>17</v>
      </c>
      <c r="AX1013" s="88" t="str">
        <f t="shared" ca="1" si="86"/>
        <v>CSCO</v>
      </c>
    </row>
    <row r="1014" spans="1:50" hidden="1" x14ac:dyDescent="0.3">
      <c r="A1014" s="88" t="str">
        <f t="shared" ca="1" si="85"/>
        <v>CVS</v>
      </c>
      <c r="C1014" s="1">
        <v>15</v>
      </c>
      <c r="F1014" s="255">
        <v>9190922</v>
      </c>
      <c r="G1014" s="255">
        <v>4329026</v>
      </c>
      <c r="H1014" s="255">
        <v>6750372</v>
      </c>
      <c r="I1014" s="255">
        <v>6951683</v>
      </c>
      <c r="J1014" s="255">
        <v>5694777</v>
      </c>
      <c r="K1014" s="255">
        <v>6187176</v>
      </c>
      <c r="L1014" s="255">
        <v>6356628</v>
      </c>
      <c r="M1014" s="255">
        <v>6357084</v>
      </c>
      <c r="N1014" s="255">
        <v>5992296</v>
      </c>
      <c r="O1014" s="255">
        <v>5636202</v>
      </c>
      <c r="P1014" s="255">
        <v>6072292</v>
      </c>
      <c r="Q1014" s="255">
        <v>9793006</v>
      </c>
      <c r="R1014" s="255">
        <v>14042906</v>
      </c>
      <c r="S1014" s="255">
        <v>5180813</v>
      </c>
      <c r="T1014" s="255">
        <v>6078942</v>
      </c>
      <c r="U1014" s="255">
        <v>3569548</v>
      </c>
      <c r="V1014" s="255">
        <v>2829568</v>
      </c>
      <c r="W1014" s="255">
        <v>5170865</v>
      </c>
      <c r="X1014" s="255">
        <v>106</v>
      </c>
      <c r="Y1014" s="255">
        <v>2203348</v>
      </c>
      <c r="Z1014" s="247">
        <f ca="1">[1]ExtEntry!$P15</f>
        <v>2203348</v>
      </c>
      <c r="AB1014" s="275">
        <v>68</v>
      </c>
      <c r="AC1014" s="275">
        <v>70</v>
      </c>
      <c r="AD1014" s="275">
        <v>70</v>
      </c>
      <c r="AE1014" s="251">
        <v>56</v>
      </c>
      <c r="AF1014" s="251">
        <v>77</v>
      </c>
      <c r="AG1014" s="251">
        <v>64</v>
      </c>
      <c r="AH1014" s="251">
        <v>55</v>
      </c>
      <c r="AI1014" s="251">
        <v>46</v>
      </c>
      <c r="AJ1014" s="251">
        <v>45</v>
      </c>
      <c r="AK1014" s="251">
        <v>46</v>
      </c>
      <c r="AL1014" s="251">
        <v>43</v>
      </c>
      <c r="AM1014" s="251">
        <v>47</v>
      </c>
      <c r="AN1014" s="251">
        <v>44</v>
      </c>
      <c r="AO1014" s="275">
        <v>37</v>
      </c>
      <c r="AP1014" s="275">
        <v>37</v>
      </c>
      <c r="AQ1014" s="275">
        <v>30</v>
      </c>
      <c r="AR1014" s="275">
        <v>30</v>
      </c>
      <c r="AS1014" s="275">
        <v>31</v>
      </c>
      <c r="AT1014" s="275">
        <v>10</v>
      </c>
      <c r="AU1014" s="275">
        <v>12</v>
      </c>
      <c r="AV1014" s="275">
        <f t="shared" si="87"/>
        <v>12</v>
      </c>
      <c r="AX1014" s="88" t="str">
        <f t="shared" ca="1" si="86"/>
        <v>CVS</v>
      </c>
    </row>
    <row r="1015" spans="1:50" hidden="1" x14ac:dyDescent="0.3">
      <c r="A1015" s="88" t="str">
        <f t="shared" ca="1" si="85"/>
        <v>DDD</v>
      </c>
      <c r="C1015" s="1">
        <v>16</v>
      </c>
      <c r="F1015" s="255">
        <v>2743317</v>
      </c>
      <c r="G1015" s="255">
        <v>2866750</v>
      </c>
      <c r="H1015" s="255">
        <v>4907524</v>
      </c>
      <c r="I1015" s="255">
        <v>3756199</v>
      </c>
      <c r="J1015" s="255">
        <v>7265638</v>
      </c>
      <c r="K1015" s="255">
        <v>5877521</v>
      </c>
      <c r="L1015" s="255">
        <v>4894243</v>
      </c>
      <c r="M1015" s="255">
        <v>4894281</v>
      </c>
      <c r="N1015" s="255">
        <v>2812934</v>
      </c>
      <c r="O1015" s="255">
        <v>3306967</v>
      </c>
      <c r="P1015" s="255">
        <v>4796680</v>
      </c>
      <c r="Q1015" s="255">
        <v>5958381</v>
      </c>
      <c r="R1015" s="255">
        <v>4431708</v>
      </c>
      <c r="S1015" s="255">
        <v>2805733</v>
      </c>
      <c r="T1015" s="255">
        <v>5452199</v>
      </c>
      <c r="U1015" s="255">
        <v>3698414</v>
      </c>
      <c r="V1015" s="255">
        <v>2472948</v>
      </c>
      <c r="W1015" s="255">
        <v>1688130</v>
      </c>
      <c r="X1015" s="255">
        <v>10</v>
      </c>
      <c r="Y1015" s="255">
        <v>740466</v>
      </c>
      <c r="Z1015" s="247">
        <f ca="1">[1]ExtEntry!$P16</f>
        <v>740466</v>
      </c>
      <c r="AB1015" s="275">
        <v>46</v>
      </c>
      <c r="AC1015" s="275">
        <v>44</v>
      </c>
      <c r="AD1015" s="275">
        <v>38</v>
      </c>
      <c r="AE1015" s="251">
        <v>40</v>
      </c>
      <c r="AF1015" s="251">
        <v>43</v>
      </c>
      <c r="AG1015" s="251">
        <v>53</v>
      </c>
      <c r="AH1015" s="251">
        <v>54</v>
      </c>
      <c r="AI1015" s="251">
        <v>52</v>
      </c>
      <c r="AJ1015" s="251">
        <v>51</v>
      </c>
      <c r="AK1015" s="251">
        <v>47</v>
      </c>
      <c r="AL1015" s="251">
        <v>51</v>
      </c>
      <c r="AM1015" s="251">
        <v>52</v>
      </c>
      <c r="AN1015" s="251">
        <v>60</v>
      </c>
      <c r="AO1015" s="275">
        <v>54</v>
      </c>
      <c r="AP1015" s="275">
        <v>50</v>
      </c>
      <c r="AQ1015" s="275">
        <v>44</v>
      </c>
      <c r="AR1015" s="275">
        <v>51</v>
      </c>
      <c r="AS1015" s="275">
        <v>41</v>
      </c>
      <c r="AT1015" s="275">
        <v>39</v>
      </c>
      <c r="AU1015" s="275">
        <v>24</v>
      </c>
      <c r="AV1015" s="275">
        <f t="shared" si="87"/>
        <v>24</v>
      </c>
      <c r="AX1015" s="88" t="str">
        <f t="shared" ca="1" si="86"/>
        <v>DDD</v>
      </c>
    </row>
    <row r="1016" spans="1:50" hidden="1" x14ac:dyDescent="0.3">
      <c r="A1016" s="88" t="str">
        <f t="shared" ca="1" si="85"/>
        <v>DIS</v>
      </c>
      <c r="C1016" s="1">
        <v>17</v>
      </c>
      <c r="F1016" s="255">
        <v>7487217</v>
      </c>
      <c r="G1016" s="255">
        <v>4461070</v>
      </c>
      <c r="H1016" s="255">
        <v>7497362</v>
      </c>
      <c r="I1016" s="255">
        <v>10090543</v>
      </c>
      <c r="J1016" s="255">
        <v>7852558</v>
      </c>
      <c r="K1016" s="255">
        <v>7895984</v>
      </c>
      <c r="L1016" s="255">
        <v>7089159</v>
      </c>
      <c r="M1016" s="255">
        <v>7089234</v>
      </c>
      <c r="N1016" s="255">
        <v>6941871</v>
      </c>
      <c r="O1016" s="255">
        <v>6225525</v>
      </c>
      <c r="P1016" s="255">
        <v>6025289</v>
      </c>
      <c r="Q1016" s="255">
        <v>6784106</v>
      </c>
      <c r="R1016" s="255">
        <v>8208269</v>
      </c>
      <c r="S1016" s="255">
        <v>5130359</v>
      </c>
      <c r="T1016" s="255">
        <v>5745085</v>
      </c>
      <c r="U1016" s="255">
        <v>7417653</v>
      </c>
      <c r="V1016" s="255">
        <v>6540930</v>
      </c>
      <c r="W1016" s="255">
        <v>16641122</v>
      </c>
      <c r="X1016" s="255">
        <v>1321</v>
      </c>
      <c r="Y1016" s="255">
        <v>4473165</v>
      </c>
      <c r="Z1016" s="247">
        <f ca="1">[1]ExtEntry!$P17</f>
        <v>4473165</v>
      </c>
      <c r="AB1016" s="275">
        <v>64</v>
      </c>
      <c r="AC1016" s="275">
        <v>71</v>
      </c>
      <c r="AD1016" s="275">
        <v>72</v>
      </c>
      <c r="AE1016" s="251">
        <v>73</v>
      </c>
      <c r="AF1016" s="251">
        <v>74</v>
      </c>
      <c r="AG1016" s="251">
        <v>76</v>
      </c>
      <c r="AH1016" s="251">
        <v>74</v>
      </c>
      <c r="AI1016" s="251">
        <v>66</v>
      </c>
      <c r="AJ1016" s="251">
        <v>34</v>
      </c>
      <c r="AK1016" s="251">
        <v>34</v>
      </c>
      <c r="AL1016" s="251">
        <v>34</v>
      </c>
      <c r="AM1016" s="251">
        <v>31</v>
      </c>
      <c r="AN1016" s="251">
        <v>27</v>
      </c>
      <c r="AO1016" s="275">
        <v>24</v>
      </c>
      <c r="AP1016" s="275">
        <v>25</v>
      </c>
      <c r="AQ1016" s="275">
        <v>18</v>
      </c>
      <c r="AR1016" s="275">
        <v>13</v>
      </c>
      <c r="AS1016" s="275">
        <v>13</v>
      </c>
      <c r="AT1016" s="275">
        <v>7</v>
      </c>
      <c r="AU1016" s="275">
        <v>4</v>
      </c>
      <c r="AV1016" s="275">
        <f t="shared" si="87"/>
        <v>4</v>
      </c>
      <c r="AX1016" s="88" t="str">
        <f t="shared" ca="1" si="86"/>
        <v>DIS</v>
      </c>
    </row>
    <row r="1017" spans="1:50" hidden="1" x14ac:dyDescent="0.3">
      <c r="A1017" s="88" t="str">
        <f t="shared" ca="1" si="85"/>
        <v>DSY</v>
      </c>
      <c r="C1017" s="1">
        <v>18</v>
      </c>
      <c r="F1017" s="255">
        <v>2088831</v>
      </c>
      <c r="G1017" s="255">
        <v>1779477</v>
      </c>
      <c r="H1017" s="255">
        <v>1427587</v>
      </c>
      <c r="I1017" s="255">
        <v>1746130</v>
      </c>
      <c r="J1017" s="255">
        <v>1058138</v>
      </c>
      <c r="K1017" s="255">
        <v>1430986</v>
      </c>
      <c r="L1017" s="255">
        <v>1885559</v>
      </c>
      <c r="M1017" s="255">
        <v>1885559</v>
      </c>
      <c r="N1017" s="255">
        <v>7762453</v>
      </c>
      <c r="O1017" s="255">
        <v>3353364</v>
      </c>
      <c r="P1017" s="255">
        <v>1802863</v>
      </c>
      <c r="Q1017" s="255">
        <v>2468907</v>
      </c>
      <c r="R1017" s="255">
        <v>1896156</v>
      </c>
      <c r="S1017" s="255">
        <v>1574771</v>
      </c>
      <c r="T1017" s="255">
        <v>1361709</v>
      </c>
      <c r="U1017" s="255">
        <v>1938122</v>
      </c>
      <c r="V1017" s="255">
        <v>2490088</v>
      </c>
      <c r="W1017" s="255">
        <v>2292624</v>
      </c>
      <c r="X1017" s="255">
        <v>198159</v>
      </c>
      <c r="Y1017" s="255">
        <v>2756148</v>
      </c>
      <c r="Z1017" s="247">
        <f ca="1">[1]ExtEntry!$P18</f>
        <v>2756148</v>
      </c>
      <c r="AB1017" s="275">
        <v>43</v>
      </c>
      <c r="AC1017" s="275">
        <v>41</v>
      </c>
      <c r="AD1017" s="275">
        <v>47</v>
      </c>
      <c r="AE1017" s="251">
        <v>47</v>
      </c>
      <c r="AF1017" s="251">
        <v>55</v>
      </c>
      <c r="AG1017" s="251">
        <v>50</v>
      </c>
      <c r="AH1017" s="251">
        <v>52</v>
      </c>
      <c r="AI1017" s="251">
        <v>56</v>
      </c>
      <c r="AJ1017" s="251">
        <v>55</v>
      </c>
      <c r="AK1017" s="251">
        <v>51</v>
      </c>
      <c r="AL1017" s="251">
        <v>64</v>
      </c>
      <c r="AM1017" s="251">
        <v>72</v>
      </c>
      <c r="AN1017" s="251">
        <v>46</v>
      </c>
      <c r="AO1017" s="275">
        <v>50</v>
      </c>
      <c r="AP1017" s="275">
        <v>46</v>
      </c>
      <c r="AQ1017" s="275">
        <v>48</v>
      </c>
      <c r="AR1017" s="275">
        <v>54</v>
      </c>
      <c r="AS1017" s="275">
        <v>49</v>
      </c>
      <c r="AT1017" s="275">
        <v>41</v>
      </c>
      <c r="AU1017" s="275">
        <v>37</v>
      </c>
      <c r="AV1017" s="275">
        <f t="shared" si="87"/>
        <v>37</v>
      </c>
      <c r="AX1017" s="88" t="str">
        <f t="shared" ca="1" si="86"/>
        <v>DSY</v>
      </c>
    </row>
    <row r="1018" spans="1:50" hidden="1" x14ac:dyDescent="0.3">
      <c r="A1018" s="88" t="str">
        <f t="shared" ca="1" si="85"/>
        <v>DVA</v>
      </c>
      <c r="C1018" s="1">
        <v>19</v>
      </c>
      <c r="F1018" s="255">
        <v>737291</v>
      </c>
      <c r="G1018" s="255">
        <v>485677</v>
      </c>
      <c r="H1018" s="255">
        <v>542155</v>
      </c>
      <c r="I1018" s="255">
        <v>391327</v>
      </c>
      <c r="J1018" s="255">
        <v>486972</v>
      </c>
      <c r="K1018" s="255">
        <v>372538</v>
      </c>
      <c r="L1018" s="255">
        <v>606931</v>
      </c>
      <c r="M1018" s="255">
        <v>606931</v>
      </c>
      <c r="N1018" s="255">
        <v>537022</v>
      </c>
      <c r="O1018" s="255">
        <v>699184</v>
      </c>
      <c r="P1018" s="255">
        <v>541992</v>
      </c>
      <c r="Q1018" s="255">
        <v>544291</v>
      </c>
      <c r="R1018" s="255">
        <v>2535114</v>
      </c>
      <c r="S1018" s="255">
        <v>978776</v>
      </c>
      <c r="T1018" s="255">
        <v>936632</v>
      </c>
      <c r="U1018" s="255">
        <v>660273</v>
      </c>
      <c r="V1018" s="255">
        <v>732613</v>
      </c>
      <c r="W1018" s="255">
        <v>684479</v>
      </c>
      <c r="X1018" s="255">
        <v>788396</v>
      </c>
      <c r="Y1018" s="255">
        <v>233275</v>
      </c>
      <c r="Z1018" s="247">
        <f ca="1">[1]ExtEntry!$P19</f>
        <v>233275</v>
      </c>
      <c r="AB1018" s="275">
        <v>62</v>
      </c>
      <c r="AC1018" s="275">
        <v>55</v>
      </c>
      <c r="AD1018" s="275">
        <v>62</v>
      </c>
      <c r="AE1018" s="251">
        <v>52</v>
      </c>
      <c r="AF1018" s="251">
        <v>60</v>
      </c>
      <c r="AG1018" s="251">
        <v>64</v>
      </c>
      <c r="AH1018" s="251">
        <v>62</v>
      </c>
      <c r="AI1018" s="251">
        <v>67</v>
      </c>
      <c r="AJ1018" s="251">
        <v>66</v>
      </c>
      <c r="AK1018" s="251">
        <v>78</v>
      </c>
      <c r="AL1018" s="251">
        <v>73</v>
      </c>
      <c r="AM1018" s="251">
        <v>68</v>
      </c>
      <c r="AN1018" s="251">
        <v>56</v>
      </c>
      <c r="AO1018" s="275">
        <v>56</v>
      </c>
      <c r="AP1018" s="275">
        <v>59</v>
      </c>
      <c r="AQ1018" s="275">
        <v>62</v>
      </c>
      <c r="AR1018" s="275">
        <v>56</v>
      </c>
      <c r="AS1018" s="275">
        <v>47</v>
      </c>
      <c r="AT1018" s="275">
        <v>40</v>
      </c>
      <c r="AU1018" s="275">
        <v>32</v>
      </c>
      <c r="AV1018" s="275">
        <f t="shared" si="87"/>
        <v>32</v>
      </c>
      <c r="AX1018" s="88" t="str">
        <f t="shared" ca="1" si="86"/>
        <v>DVA</v>
      </c>
    </row>
    <row r="1019" spans="1:50" hidden="1" x14ac:dyDescent="0.3">
      <c r="A1019" s="88" t="str">
        <f t="shared" ca="1" si="85"/>
        <v>DXC</v>
      </c>
      <c r="C1019" s="1">
        <v>20</v>
      </c>
      <c r="F1019" s="255">
        <v>1370809</v>
      </c>
      <c r="G1019" s="255">
        <v>856347</v>
      </c>
      <c r="H1019" s="255">
        <v>2149776</v>
      </c>
      <c r="I1019" s="255">
        <v>1136953</v>
      </c>
      <c r="J1019" s="255">
        <v>1401813</v>
      </c>
      <c r="K1019" s="255">
        <v>1469628</v>
      </c>
      <c r="L1019" s="255">
        <v>1667277</v>
      </c>
      <c r="M1019" s="255">
        <v>1667277</v>
      </c>
      <c r="N1019" s="255">
        <v>1687766</v>
      </c>
      <c r="O1019" s="255">
        <v>1384247</v>
      </c>
      <c r="P1019" s="255">
        <v>1537267</v>
      </c>
      <c r="Q1019" s="255">
        <v>2201961</v>
      </c>
      <c r="R1019" s="255">
        <v>2598238</v>
      </c>
      <c r="S1019" s="255">
        <v>1850478</v>
      </c>
      <c r="T1019" s="255">
        <v>2522383</v>
      </c>
      <c r="U1019" s="255">
        <v>1361014</v>
      </c>
      <c r="V1019" s="255">
        <v>1154850</v>
      </c>
      <c r="W1019" s="255">
        <v>2392852</v>
      </c>
      <c r="X1019" s="255">
        <v>328</v>
      </c>
      <c r="Y1019" s="255">
        <v>479280</v>
      </c>
      <c r="Z1019" s="247">
        <f ca="1">[1]ExtEntry!$P20</f>
        <v>479280</v>
      </c>
      <c r="AB1019" s="275">
        <v>80</v>
      </c>
      <c r="AC1019" s="275">
        <v>69</v>
      </c>
      <c r="AD1019" s="275">
        <v>65</v>
      </c>
      <c r="AE1019" s="251">
        <v>63</v>
      </c>
      <c r="AF1019" s="251">
        <v>70</v>
      </c>
      <c r="AG1019" s="251">
        <v>67</v>
      </c>
      <c r="AH1019" s="251">
        <v>52</v>
      </c>
      <c r="AI1019" s="251">
        <v>50</v>
      </c>
      <c r="AJ1019" s="251">
        <v>41</v>
      </c>
      <c r="AK1019" s="251">
        <v>43</v>
      </c>
      <c r="AL1019" s="251">
        <v>42</v>
      </c>
      <c r="AM1019" s="251">
        <v>47</v>
      </c>
      <c r="AN1019" s="251">
        <v>45</v>
      </c>
      <c r="AO1019" s="275">
        <v>34</v>
      </c>
      <c r="AP1019" s="275">
        <v>42</v>
      </c>
      <c r="AQ1019" s="275">
        <v>46</v>
      </c>
      <c r="AR1019" s="275">
        <v>46</v>
      </c>
      <c r="AS1019" s="275">
        <v>46</v>
      </c>
      <c r="AT1019" s="275">
        <v>38</v>
      </c>
      <c r="AU1019" s="275">
        <v>38</v>
      </c>
      <c r="AV1019" s="275">
        <f t="shared" si="87"/>
        <v>38</v>
      </c>
      <c r="AX1019" s="88" t="str">
        <f t="shared" ca="1" si="86"/>
        <v>DXC</v>
      </c>
    </row>
    <row r="1020" spans="1:50" hidden="1" x14ac:dyDescent="0.3">
      <c r="A1020" s="88" t="str">
        <f t="shared" ca="1" si="85"/>
        <v>EOAN</v>
      </c>
      <c r="C1020" s="1">
        <v>21</v>
      </c>
      <c r="F1020" s="255">
        <v>3070</v>
      </c>
      <c r="G1020" s="255">
        <v>5816</v>
      </c>
      <c r="H1020" s="255">
        <v>7915</v>
      </c>
      <c r="I1020" s="255">
        <v>4869</v>
      </c>
      <c r="J1020" s="255">
        <v>8743</v>
      </c>
      <c r="K1020" s="255">
        <v>12133</v>
      </c>
      <c r="L1020" s="255">
        <v>9346</v>
      </c>
      <c r="M1020" s="255">
        <v>9346</v>
      </c>
      <c r="N1020" s="255">
        <v>6458</v>
      </c>
      <c r="O1020" s="255">
        <v>4204</v>
      </c>
      <c r="P1020" s="255">
        <v>23578</v>
      </c>
      <c r="Q1020" s="255">
        <v>4227</v>
      </c>
      <c r="R1020" s="255">
        <v>840</v>
      </c>
      <c r="S1020" s="255">
        <v>11510</v>
      </c>
      <c r="T1020" s="255">
        <v>4253</v>
      </c>
      <c r="U1020" s="255">
        <v>3978</v>
      </c>
      <c r="V1020" s="255">
        <v>3946</v>
      </c>
      <c r="W1020" s="255">
        <v>18670</v>
      </c>
      <c r="X1020" s="255">
        <v>502</v>
      </c>
      <c r="Y1020" s="255">
        <v>1575</v>
      </c>
      <c r="Z1020" s="247">
        <f ca="1">[1]ExtEntry!$P21</f>
        <v>1575</v>
      </c>
      <c r="AB1020" s="275">
        <v>41</v>
      </c>
      <c r="AC1020" s="275">
        <v>44</v>
      </c>
      <c r="AD1020" s="275">
        <v>45</v>
      </c>
      <c r="AE1020" s="251">
        <v>44</v>
      </c>
      <c r="AF1020" s="251">
        <v>52</v>
      </c>
      <c r="AG1020" s="251">
        <v>54</v>
      </c>
      <c r="AH1020" s="251">
        <v>35</v>
      </c>
      <c r="AI1020" s="251">
        <v>3</v>
      </c>
      <c r="AJ1020" s="251">
        <v>6</v>
      </c>
      <c r="AK1020" s="251">
        <v>0</v>
      </c>
      <c r="AL1020" s="251">
        <v>0</v>
      </c>
      <c r="AM1020" s="251">
        <v>0</v>
      </c>
      <c r="AN1020" s="251" t="e">
        <v>#DIV/0!</v>
      </c>
      <c r="AO1020" s="275" t="e">
        <v>#DIV/0!</v>
      </c>
      <c r="AP1020" s="275" t="e">
        <v>#DIV/0!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51</v>
      </c>
      <c r="AC1021" s="275">
        <v>48</v>
      </c>
      <c r="AD1021" s="275">
        <v>42</v>
      </c>
      <c r="AE1021" s="251">
        <v>45</v>
      </c>
      <c r="AF1021" s="251">
        <v>45</v>
      </c>
      <c r="AG1021" s="251">
        <v>71</v>
      </c>
      <c r="AH1021" s="251">
        <v>71</v>
      </c>
      <c r="AI1021" s="251">
        <v>80</v>
      </c>
      <c r="AJ1021" s="251">
        <v>77</v>
      </c>
      <c r="AK1021" s="251">
        <v>84</v>
      </c>
      <c r="AL1021" s="251">
        <v>86</v>
      </c>
      <c r="AM1021" s="251">
        <v>89</v>
      </c>
      <c r="AN1021" s="251">
        <v>88</v>
      </c>
      <c r="AO1021" s="275">
        <v>83</v>
      </c>
      <c r="AP1021" s="275">
        <v>83</v>
      </c>
      <c r="AQ1021" s="275">
        <v>83</v>
      </c>
      <c r="AR1021" s="275">
        <v>86</v>
      </c>
      <c r="AS1021" s="275">
        <v>79</v>
      </c>
      <c r="AT1021" s="275">
        <v>81</v>
      </c>
      <c r="AU1021" s="275">
        <v>71</v>
      </c>
      <c r="AV1021" s="275">
        <f t="shared" si="87"/>
        <v>71</v>
      </c>
      <c r="AX1021" s="88" t="str">
        <f t="shared" ca="1" si="86"/>
        <v>EPIX</v>
      </c>
    </row>
    <row r="1022" spans="1:50" hidden="1" x14ac:dyDescent="0.3">
      <c r="A1022" s="88" t="str">
        <f t="shared" ca="1" si="85"/>
        <v>GM</v>
      </c>
      <c r="C1022" s="1">
        <v>23</v>
      </c>
      <c r="F1022" s="255">
        <v>8198548</v>
      </c>
      <c r="G1022" s="255">
        <v>5423339</v>
      </c>
      <c r="H1022" s="255">
        <v>6028033</v>
      </c>
      <c r="I1022" s="255">
        <v>7956170</v>
      </c>
      <c r="J1022" s="255">
        <v>10157068</v>
      </c>
      <c r="K1022" s="255">
        <v>43520902</v>
      </c>
      <c r="L1022" s="255">
        <v>18785216</v>
      </c>
      <c r="M1022" s="255">
        <v>18785740</v>
      </c>
      <c r="N1022" s="255">
        <v>12642465</v>
      </c>
      <c r="O1022" s="255">
        <v>12552438</v>
      </c>
      <c r="P1022" s="255">
        <v>9720225</v>
      </c>
      <c r="Q1022" s="255">
        <v>13069015</v>
      </c>
      <c r="R1022" s="255">
        <v>7549349</v>
      </c>
      <c r="S1022" s="255">
        <v>5765939</v>
      </c>
      <c r="T1022" s="255">
        <v>7806815</v>
      </c>
      <c r="U1022" s="255">
        <v>4247020</v>
      </c>
      <c r="V1022" s="255">
        <v>5637542</v>
      </c>
      <c r="W1022" s="255">
        <v>7099967</v>
      </c>
      <c r="X1022" s="255">
        <v>396</v>
      </c>
      <c r="Y1022" s="255">
        <v>3146190</v>
      </c>
      <c r="Z1022" s="247">
        <f ca="1">[1]ExtEntry!$P23</f>
        <v>3146190</v>
      </c>
      <c r="AB1022" s="275">
        <v>72</v>
      </c>
      <c r="AC1022" s="275">
        <v>78</v>
      </c>
      <c r="AD1022" s="275">
        <v>51</v>
      </c>
      <c r="AE1022" s="251">
        <v>57</v>
      </c>
      <c r="AF1022" s="251">
        <v>55</v>
      </c>
      <c r="AG1022" s="251">
        <v>55</v>
      </c>
      <c r="AH1022" s="251">
        <v>51</v>
      </c>
      <c r="AI1022" s="251">
        <v>53</v>
      </c>
      <c r="AJ1022" s="251">
        <v>54</v>
      </c>
      <c r="AK1022" s="251">
        <v>55</v>
      </c>
      <c r="AL1022" s="251">
        <v>52</v>
      </c>
      <c r="AM1022" s="251">
        <v>51</v>
      </c>
      <c r="AN1022" s="251">
        <v>51</v>
      </c>
      <c r="AO1022" s="275">
        <v>41</v>
      </c>
      <c r="AP1022" s="275">
        <v>41</v>
      </c>
      <c r="AQ1022" s="275">
        <v>35</v>
      </c>
      <c r="AR1022" s="275">
        <v>57</v>
      </c>
      <c r="AS1022" s="275">
        <v>50</v>
      </c>
      <c r="AT1022" s="275">
        <v>47</v>
      </c>
      <c r="AU1022" s="275">
        <v>40</v>
      </c>
      <c r="AV1022" s="275">
        <f t="shared" si="87"/>
        <v>40</v>
      </c>
      <c r="AX1022" s="88" t="str">
        <f t="shared" ca="1" si="86"/>
        <v>GM</v>
      </c>
    </row>
    <row r="1023" spans="1:50" hidden="1" x14ac:dyDescent="0.3">
      <c r="A1023" s="88" t="str">
        <f t="shared" ca="1" si="85"/>
        <v>HPE</v>
      </c>
      <c r="C1023" s="1">
        <v>24</v>
      </c>
      <c r="F1023" s="255">
        <v>34412824</v>
      </c>
      <c r="G1023" s="255">
        <v>36773333</v>
      </c>
      <c r="H1023" s="255">
        <v>78856890</v>
      </c>
      <c r="I1023" s="255">
        <v>65685507</v>
      </c>
      <c r="J1023" s="255">
        <v>60111869</v>
      </c>
      <c r="K1023" s="255">
        <v>81266299</v>
      </c>
      <c r="L1023" s="255">
        <v>50448518</v>
      </c>
      <c r="M1023" s="255">
        <v>50448477</v>
      </c>
      <c r="N1023" s="255">
        <v>30703225</v>
      </c>
      <c r="O1023" s="255">
        <v>19993319</v>
      </c>
      <c r="P1023" s="255">
        <v>35490507</v>
      </c>
      <c r="Q1023" s="255">
        <v>38272608</v>
      </c>
      <c r="R1023" s="255">
        <v>35230489</v>
      </c>
      <c r="S1023" s="255">
        <v>26325308</v>
      </c>
      <c r="T1023" s="255">
        <v>27390755</v>
      </c>
      <c r="U1023" s="255">
        <v>16486979</v>
      </c>
      <c r="V1023" s="255">
        <v>19027059</v>
      </c>
      <c r="W1023" s="255">
        <v>29806171</v>
      </c>
      <c r="X1023" s="255">
        <v>375</v>
      </c>
      <c r="Y1023" s="255">
        <v>7788506</v>
      </c>
      <c r="Z1023" s="247">
        <f ca="1">[1]ExtEntry!$P24</f>
        <v>7788506</v>
      </c>
      <c r="AB1023" s="275">
        <v>59</v>
      </c>
      <c r="AC1023" s="275">
        <v>70</v>
      </c>
      <c r="AD1023" s="275">
        <v>61</v>
      </c>
      <c r="AE1023" s="251">
        <v>64</v>
      </c>
      <c r="AF1023" s="251">
        <v>66</v>
      </c>
      <c r="AG1023" s="251">
        <v>66</v>
      </c>
      <c r="AH1023" s="251">
        <v>66</v>
      </c>
      <c r="AI1023" s="251">
        <v>64</v>
      </c>
      <c r="AJ1023" s="251">
        <v>64</v>
      </c>
      <c r="AK1023" s="251">
        <v>63</v>
      </c>
      <c r="AL1023" s="251">
        <v>62</v>
      </c>
      <c r="AM1023" s="251">
        <v>63</v>
      </c>
      <c r="AN1023" s="251">
        <v>62</v>
      </c>
      <c r="AO1023" s="275">
        <v>42</v>
      </c>
      <c r="AP1023" s="275">
        <v>38</v>
      </c>
      <c r="AQ1023" s="275">
        <v>34</v>
      </c>
      <c r="AR1023" s="275">
        <v>44</v>
      </c>
      <c r="AS1023" s="275">
        <v>38</v>
      </c>
      <c r="AT1023" s="275">
        <v>34</v>
      </c>
      <c r="AU1023" s="275">
        <v>26</v>
      </c>
      <c r="AV1023" s="275">
        <f t="shared" si="87"/>
        <v>26</v>
      </c>
      <c r="AX1023" s="88" t="str">
        <f t="shared" ca="1" si="86"/>
        <v>HPE</v>
      </c>
    </row>
    <row r="1024" spans="1:50" hidden="1" x14ac:dyDescent="0.3">
      <c r="A1024" s="88" t="str">
        <f t="shared" ca="1" si="85"/>
        <v>HPQ</v>
      </c>
      <c r="C1024" s="1">
        <v>25</v>
      </c>
      <c r="F1024" s="255">
        <v>20835127</v>
      </c>
      <c r="G1024" s="255">
        <v>14127180</v>
      </c>
      <c r="H1024" s="255">
        <v>24744489</v>
      </c>
      <c r="I1024" s="255">
        <v>10955846</v>
      </c>
      <c r="J1024" s="255">
        <v>7029899</v>
      </c>
      <c r="K1024" s="255">
        <v>8058821</v>
      </c>
      <c r="L1024" s="255">
        <v>8806728</v>
      </c>
      <c r="M1024" s="255">
        <v>8806728</v>
      </c>
      <c r="N1024" s="255">
        <v>11798705</v>
      </c>
      <c r="O1024" s="255">
        <v>8625885</v>
      </c>
      <c r="P1024" s="255">
        <v>10866719</v>
      </c>
      <c r="Q1024" s="255">
        <v>7419252</v>
      </c>
      <c r="R1024" s="255">
        <v>10347807</v>
      </c>
      <c r="S1024" s="255">
        <v>7559991</v>
      </c>
      <c r="T1024" s="255">
        <v>12247048</v>
      </c>
      <c r="U1024" s="255">
        <v>6895284</v>
      </c>
      <c r="V1024" s="255">
        <v>6260866</v>
      </c>
      <c r="W1024" s="255">
        <v>9788078</v>
      </c>
      <c r="X1024" s="255">
        <v>346</v>
      </c>
      <c r="Y1024" s="255">
        <v>3121413</v>
      </c>
      <c r="Z1024" s="247">
        <f ca="1">[1]ExtEntry!$P25</f>
        <v>3121413</v>
      </c>
      <c r="AB1024" s="275">
        <v>72</v>
      </c>
      <c r="AC1024" s="275">
        <v>70</v>
      </c>
      <c r="AD1024" s="275">
        <v>71</v>
      </c>
      <c r="AE1024" s="251">
        <v>55</v>
      </c>
      <c r="AF1024" s="251">
        <v>57</v>
      </c>
      <c r="AG1024" s="251">
        <v>54</v>
      </c>
      <c r="AH1024" s="251">
        <v>65</v>
      </c>
      <c r="AI1024" s="251">
        <v>66</v>
      </c>
      <c r="AJ1024" s="251">
        <v>67</v>
      </c>
      <c r="AK1024" s="251">
        <v>69</v>
      </c>
      <c r="AL1024" s="251">
        <v>63</v>
      </c>
      <c r="AM1024" s="251">
        <v>57</v>
      </c>
      <c r="AN1024" s="251">
        <v>66</v>
      </c>
      <c r="AO1024" s="275">
        <v>61</v>
      </c>
      <c r="AP1024" s="275">
        <v>63</v>
      </c>
      <c r="AQ1024" s="275">
        <v>54</v>
      </c>
      <c r="AR1024" s="275">
        <v>33</v>
      </c>
      <c r="AS1024" s="275">
        <v>35</v>
      </c>
      <c r="AT1024" s="275">
        <v>32</v>
      </c>
      <c r="AU1024" s="275">
        <v>37</v>
      </c>
      <c r="AV1024" s="275">
        <f t="shared" si="87"/>
        <v>37</v>
      </c>
      <c r="AX1024" s="88" t="str">
        <f t="shared" ca="1" si="86"/>
        <v>HPQ</v>
      </c>
    </row>
    <row r="1025" spans="1:50" hidden="1" x14ac:dyDescent="0.3">
      <c r="A1025" s="88" t="str">
        <f t="shared" ca="1" si="85"/>
        <v>IAG</v>
      </c>
      <c r="C1025" s="1">
        <v>26</v>
      </c>
      <c r="F1025" s="255">
        <v>11820099</v>
      </c>
      <c r="G1025" s="255">
        <v>13565027</v>
      </c>
      <c r="H1025" s="255">
        <v>9228094</v>
      </c>
      <c r="I1025" s="255">
        <v>12861926</v>
      </c>
      <c r="J1025" s="255">
        <v>8774463</v>
      </c>
      <c r="K1025" s="255">
        <v>7465571</v>
      </c>
      <c r="L1025" s="255">
        <v>12700368</v>
      </c>
      <c r="M1025" s="255">
        <v>12700368</v>
      </c>
      <c r="N1025" s="255">
        <v>9874009</v>
      </c>
      <c r="O1025" s="255">
        <v>14720617</v>
      </c>
      <c r="P1025" s="255">
        <v>8104238</v>
      </c>
      <c r="Q1025" s="255">
        <v>9665099</v>
      </c>
      <c r="R1025" s="255">
        <v>14010487</v>
      </c>
      <c r="S1025" s="255">
        <v>13976914</v>
      </c>
      <c r="T1025" s="255">
        <v>10087501</v>
      </c>
      <c r="U1025" s="255">
        <v>21023096</v>
      </c>
      <c r="V1025" s="255">
        <v>51664851</v>
      </c>
      <c r="W1025" s="255">
        <v>11225097</v>
      </c>
      <c r="X1025" s="255">
        <v>1384879</v>
      </c>
      <c r="Y1025" s="255">
        <v>17364599</v>
      </c>
      <c r="Z1025" s="247">
        <f ca="1">[1]ExtEntry!$P26</f>
        <v>17364599</v>
      </c>
      <c r="AB1025" s="275">
        <v>70</v>
      </c>
      <c r="AC1025" s="275">
        <v>69</v>
      </c>
      <c r="AD1025" s="275">
        <v>68</v>
      </c>
      <c r="AE1025" s="251">
        <v>68</v>
      </c>
      <c r="AF1025" s="251">
        <v>67</v>
      </c>
      <c r="AG1025" s="251">
        <v>54</v>
      </c>
      <c r="AH1025" s="251">
        <v>63</v>
      </c>
      <c r="AI1025" s="251">
        <v>68</v>
      </c>
      <c r="AJ1025" s="251">
        <v>68</v>
      </c>
      <c r="AK1025" s="251">
        <v>51</v>
      </c>
      <c r="AL1025" s="251">
        <v>51</v>
      </c>
      <c r="AM1025" s="251">
        <v>51</v>
      </c>
      <c r="AN1025" s="251">
        <v>51</v>
      </c>
      <c r="AO1025" s="275">
        <v>56</v>
      </c>
      <c r="AP1025" s="275">
        <v>41</v>
      </c>
      <c r="AQ1025" s="275">
        <v>43</v>
      </c>
      <c r="AR1025" s="275">
        <v>53</v>
      </c>
      <c r="AS1025" s="275">
        <v>57</v>
      </c>
      <c r="AT1025" s="275">
        <v>61</v>
      </c>
      <c r="AU1025" s="275">
        <v>70</v>
      </c>
      <c r="AV1025" s="275">
        <f t="shared" si="87"/>
        <v>70</v>
      </c>
      <c r="AX1025" s="88" t="str">
        <f t="shared" ca="1" si="86"/>
        <v>IAG</v>
      </c>
    </row>
    <row r="1026" spans="1:50" hidden="1" x14ac:dyDescent="0.3">
      <c r="A1026" s="88" t="str">
        <f t="shared" ca="1" si="85"/>
        <v>KR</v>
      </c>
      <c r="C1026" s="1">
        <v>27</v>
      </c>
      <c r="F1026" s="255">
        <v>5924743</v>
      </c>
      <c r="G1026" s="255">
        <v>3666668</v>
      </c>
      <c r="H1026" s="255">
        <v>4651473</v>
      </c>
      <c r="I1026" s="255">
        <v>5495028</v>
      </c>
      <c r="J1026" s="255">
        <v>4219077</v>
      </c>
      <c r="K1026" s="255">
        <v>5950162</v>
      </c>
      <c r="L1026" s="255">
        <v>6625625</v>
      </c>
      <c r="M1026" s="255">
        <v>6625640</v>
      </c>
      <c r="N1026" s="255">
        <v>5056900</v>
      </c>
      <c r="O1026" s="255">
        <v>6067449</v>
      </c>
      <c r="P1026" s="255">
        <v>4610339</v>
      </c>
      <c r="Q1026" s="255">
        <v>4366011</v>
      </c>
      <c r="R1026" s="255">
        <v>6441444</v>
      </c>
      <c r="S1026" s="255">
        <v>4728470</v>
      </c>
      <c r="T1026" s="255">
        <v>6734624</v>
      </c>
      <c r="U1026" s="255">
        <v>3578910</v>
      </c>
      <c r="V1026" s="255">
        <v>5363760</v>
      </c>
      <c r="W1026" s="255">
        <v>5323955</v>
      </c>
      <c r="X1026" s="255">
        <v>55</v>
      </c>
      <c r="Y1026" s="255">
        <v>2271073</v>
      </c>
      <c r="Z1026" s="247">
        <f ca="1">[1]ExtEntry!$P27</f>
        <v>2271073</v>
      </c>
      <c r="AB1026" s="275">
        <v>36</v>
      </c>
      <c r="AC1026" s="275">
        <v>36</v>
      </c>
      <c r="AD1026" s="275">
        <v>44</v>
      </c>
      <c r="AE1026" s="251">
        <v>37</v>
      </c>
      <c r="AF1026" s="251">
        <v>53</v>
      </c>
      <c r="AG1026" s="251">
        <v>50</v>
      </c>
      <c r="AH1026" s="251">
        <v>51</v>
      </c>
      <c r="AI1026" s="251">
        <v>46</v>
      </c>
      <c r="AJ1026" s="251">
        <v>46</v>
      </c>
      <c r="AK1026" s="251">
        <v>46</v>
      </c>
      <c r="AL1026" s="251">
        <v>40</v>
      </c>
      <c r="AM1026" s="251">
        <v>45</v>
      </c>
      <c r="AN1026" s="251">
        <v>55</v>
      </c>
      <c r="AO1026" s="275">
        <v>43</v>
      </c>
      <c r="AP1026" s="275">
        <v>53</v>
      </c>
      <c r="AQ1026" s="275">
        <v>40</v>
      </c>
      <c r="AR1026" s="275">
        <v>27</v>
      </c>
      <c r="AS1026" s="275">
        <v>26</v>
      </c>
      <c r="AT1026" s="275">
        <v>19</v>
      </c>
      <c r="AU1026" s="275">
        <v>22</v>
      </c>
      <c r="AV1026" s="275">
        <f t="shared" si="87"/>
        <v>22</v>
      </c>
      <c r="AX1026" s="88" t="str">
        <f t="shared" ca="1" si="86"/>
        <v>KR</v>
      </c>
    </row>
    <row r="1027" spans="1:50" hidden="1" x14ac:dyDescent="0.3">
      <c r="A1027" s="88" t="str">
        <f t="shared" ca="1" si="85"/>
        <v>LNSR</v>
      </c>
      <c r="C1027" s="1">
        <v>28</v>
      </c>
      <c r="F1027" s="255">
        <v>53653</v>
      </c>
      <c r="G1027" s="255">
        <v>38277</v>
      </c>
      <c r="H1027" s="255">
        <v>33668</v>
      </c>
      <c r="I1027" s="255">
        <v>36008</v>
      </c>
      <c r="J1027" s="255">
        <v>57996</v>
      </c>
      <c r="K1027" s="255">
        <v>61649</v>
      </c>
      <c r="L1027" s="255">
        <v>66233</v>
      </c>
      <c r="M1027" s="255">
        <v>66233</v>
      </c>
      <c r="N1027" s="255">
        <v>34351</v>
      </c>
      <c r="O1027" s="255">
        <v>46780</v>
      </c>
      <c r="P1027" s="255">
        <v>38082</v>
      </c>
      <c r="Q1027" s="255">
        <v>46903</v>
      </c>
      <c r="R1027" s="255">
        <v>31757</v>
      </c>
      <c r="S1027" s="255">
        <v>20993</v>
      </c>
      <c r="T1027" s="255">
        <v>22099</v>
      </c>
      <c r="U1027" s="255">
        <v>232288</v>
      </c>
      <c r="V1027" s="255">
        <v>146278</v>
      </c>
      <c r="W1027" s="255">
        <v>46035</v>
      </c>
      <c r="X1027" s="255">
        <v>64921</v>
      </c>
      <c r="Y1027" s="255">
        <v>16590</v>
      </c>
      <c r="Z1027" s="247">
        <f ca="1">[1]ExtEntry!$P28</f>
        <v>16590</v>
      </c>
      <c r="AB1027" s="275">
        <v>61</v>
      </c>
      <c r="AC1027" s="275">
        <v>69</v>
      </c>
      <c r="AD1027" s="275">
        <v>58</v>
      </c>
      <c r="AE1027" s="251">
        <v>56</v>
      </c>
      <c r="AF1027" s="251">
        <v>62</v>
      </c>
      <c r="AG1027" s="251">
        <v>59</v>
      </c>
      <c r="AH1027" s="251">
        <v>57</v>
      </c>
      <c r="AI1027" s="251">
        <v>48</v>
      </c>
      <c r="AJ1027" s="251">
        <v>59</v>
      </c>
      <c r="AK1027" s="251">
        <v>67</v>
      </c>
      <c r="AL1027" s="251">
        <v>76</v>
      </c>
      <c r="AM1027" s="251">
        <v>83</v>
      </c>
      <c r="AN1027" s="251">
        <v>75</v>
      </c>
      <c r="AO1027" s="275">
        <v>59</v>
      </c>
      <c r="AP1027" s="275">
        <v>61</v>
      </c>
      <c r="AQ1027" s="275">
        <v>59</v>
      </c>
      <c r="AR1027" s="275">
        <v>57</v>
      </c>
      <c r="AS1027" s="275">
        <v>57</v>
      </c>
      <c r="AT1027" s="275">
        <v>51</v>
      </c>
      <c r="AU1027" s="275">
        <v>50</v>
      </c>
      <c r="AV1027" s="275">
        <f t="shared" si="87"/>
        <v>50</v>
      </c>
      <c r="AX1027" s="88" t="str">
        <f t="shared" ca="1" si="86"/>
        <v>LNSR</v>
      </c>
    </row>
    <row r="1028" spans="1:50" hidden="1" x14ac:dyDescent="0.3">
      <c r="A1028" s="88" t="str">
        <f t="shared" ca="1" si="85"/>
        <v>LUMN</v>
      </c>
      <c r="C1028" s="1">
        <v>29</v>
      </c>
      <c r="F1028" s="255">
        <v>10913582</v>
      </c>
      <c r="G1028" s="255">
        <v>9828245</v>
      </c>
      <c r="H1028" s="255">
        <v>9487455</v>
      </c>
      <c r="I1028" s="255">
        <v>9435985</v>
      </c>
      <c r="J1028" s="255">
        <v>8436961</v>
      </c>
      <c r="K1028" s="255">
        <v>10116861</v>
      </c>
      <c r="L1028" s="255">
        <v>12508438</v>
      </c>
      <c r="M1028" s="255">
        <v>12509266</v>
      </c>
      <c r="N1028" s="255">
        <v>24052730</v>
      </c>
      <c r="O1028" s="255">
        <v>24250718</v>
      </c>
      <c r="P1028" s="255">
        <v>39230822</v>
      </c>
      <c r="Q1028" s="255">
        <v>44149518</v>
      </c>
      <c r="R1028" s="255">
        <v>42504582</v>
      </c>
      <c r="S1028" s="255">
        <v>28614916</v>
      </c>
      <c r="T1028" s="255">
        <v>17809520</v>
      </c>
      <c r="U1028" s="255">
        <v>16671690</v>
      </c>
      <c r="V1028" s="255">
        <v>17577716</v>
      </c>
      <c r="W1028" s="255">
        <v>17258817</v>
      </c>
      <c r="X1028" s="255">
        <v>41</v>
      </c>
      <c r="Y1028" s="255">
        <v>5048226</v>
      </c>
      <c r="Z1028" s="247">
        <f ca="1">[1]ExtEntry!$P29</f>
        <v>5048226</v>
      </c>
      <c r="AB1028" s="275">
        <v>59</v>
      </c>
      <c r="AC1028" s="275">
        <v>66</v>
      </c>
      <c r="AD1028" s="275">
        <v>71</v>
      </c>
      <c r="AE1028" s="251">
        <v>63</v>
      </c>
      <c r="AF1028" s="251">
        <v>66</v>
      </c>
      <c r="AG1028" s="251">
        <v>65</v>
      </c>
      <c r="AH1028" s="251">
        <v>53</v>
      </c>
      <c r="AI1028" s="251">
        <v>44</v>
      </c>
      <c r="AJ1028" s="251">
        <v>40</v>
      </c>
      <c r="AK1028" s="251">
        <v>45</v>
      </c>
      <c r="AL1028" s="251">
        <v>40</v>
      </c>
      <c r="AM1028" s="251">
        <v>36</v>
      </c>
      <c r="AN1028" s="251">
        <v>56</v>
      </c>
      <c r="AO1028" s="275">
        <v>50</v>
      </c>
      <c r="AP1028" s="275">
        <v>52</v>
      </c>
      <c r="AQ1028" s="275">
        <v>48</v>
      </c>
      <c r="AR1028" s="275">
        <v>51</v>
      </c>
      <c r="AS1028" s="275">
        <v>56</v>
      </c>
      <c r="AT1028" s="275">
        <v>51</v>
      </c>
      <c r="AU1028" s="275">
        <v>46</v>
      </c>
      <c r="AV1028" s="275">
        <f t="shared" si="87"/>
        <v>46</v>
      </c>
      <c r="AX1028" s="88" t="str">
        <f t="shared" ca="1" si="86"/>
        <v>LUMN</v>
      </c>
    </row>
    <row r="1029" spans="1:50" hidden="1" x14ac:dyDescent="0.3">
      <c r="A1029" s="88" t="str">
        <f t="shared" ca="1" si="85"/>
        <v>MRNA</v>
      </c>
      <c r="C1029" s="1">
        <v>30</v>
      </c>
      <c r="F1029" s="255">
        <v>6991828</v>
      </c>
      <c r="G1029" s="255">
        <v>6350539</v>
      </c>
      <c r="H1029" s="255">
        <v>7845862</v>
      </c>
      <c r="I1029" s="255">
        <v>10115868</v>
      </c>
      <c r="J1029" s="255">
        <v>11486556</v>
      </c>
      <c r="K1029" s="255">
        <v>6124518</v>
      </c>
      <c r="L1029" s="255">
        <v>7168288</v>
      </c>
      <c r="M1029" s="255">
        <v>7210959</v>
      </c>
      <c r="N1029" s="255">
        <v>8709351</v>
      </c>
      <c r="O1029" s="255">
        <v>6477352</v>
      </c>
      <c r="P1029" s="255">
        <v>6694554</v>
      </c>
      <c r="Q1029" s="255">
        <v>8781632</v>
      </c>
      <c r="R1029" s="255">
        <v>48525064</v>
      </c>
      <c r="S1029" s="255">
        <v>10397848</v>
      </c>
      <c r="T1029" s="255">
        <v>11126437</v>
      </c>
      <c r="U1029" s="255">
        <v>15307030</v>
      </c>
      <c r="V1029" s="255">
        <v>8648447</v>
      </c>
      <c r="W1029" s="255">
        <v>8942005</v>
      </c>
      <c r="X1029" s="255">
        <v>1941</v>
      </c>
      <c r="Y1029" s="255">
        <v>3247192</v>
      </c>
      <c r="Z1029" s="247">
        <f ca="1">[1]ExtEntry!$P30</f>
        <v>3247192</v>
      </c>
      <c r="AB1029" s="275">
        <v>53</v>
      </c>
      <c r="AC1029" s="275">
        <v>50</v>
      </c>
      <c r="AD1029" s="275">
        <v>52</v>
      </c>
      <c r="AE1029" s="251">
        <v>48</v>
      </c>
      <c r="AF1029" s="251">
        <v>48</v>
      </c>
      <c r="AG1029" s="251">
        <v>44</v>
      </c>
      <c r="AH1029" s="251">
        <v>46</v>
      </c>
      <c r="AI1029" s="251">
        <v>57</v>
      </c>
      <c r="AJ1029" s="251">
        <v>55</v>
      </c>
      <c r="AK1029" s="251">
        <v>69</v>
      </c>
      <c r="AL1029" s="251">
        <v>76</v>
      </c>
      <c r="AM1029" s="251">
        <v>86</v>
      </c>
      <c r="AN1029" s="251">
        <v>64</v>
      </c>
      <c r="AO1029" s="275">
        <v>60</v>
      </c>
      <c r="AP1029" s="275">
        <v>53</v>
      </c>
      <c r="AQ1029" s="275">
        <v>46</v>
      </c>
      <c r="AR1029" s="275">
        <v>48</v>
      </c>
      <c r="AS1029" s="275">
        <v>52</v>
      </c>
      <c r="AT1029" s="275">
        <v>41</v>
      </c>
      <c r="AU1029" s="275">
        <v>37</v>
      </c>
      <c r="AV1029" s="275">
        <f t="shared" si="87"/>
        <v>37</v>
      </c>
      <c r="AX1029" s="88" t="str">
        <f t="shared" ca="1" si="86"/>
        <v>MRNA</v>
      </c>
    </row>
    <row r="1030" spans="1:50" hidden="1" x14ac:dyDescent="0.3">
      <c r="A1030" s="88" t="str">
        <f t="shared" ca="1" si="85"/>
        <v>MSFT</v>
      </c>
      <c r="C1030" s="1">
        <v>31</v>
      </c>
      <c r="F1030" s="255">
        <v>13515274</v>
      </c>
      <c r="G1030" s="255">
        <v>9083441</v>
      </c>
      <c r="H1030" s="255">
        <v>15305950</v>
      </c>
      <c r="I1030" s="255">
        <v>19867765</v>
      </c>
      <c r="J1030" s="255">
        <v>14645576</v>
      </c>
      <c r="K1030" s="255">
        <v>15566026</v>
      </c>
      <c r="L1030" s="255">
        <v>18170937</v>
      </c>
      <c r="M1030" s="255">
        <v>18171642</v>
      </c>
      <c r="N1030" s="255">
        <v>13976747</v>
      </c>
      <c r="O1030" s="255">
        <v>15475966</v>
      </c>
      <c r="P1030" s="255">
        <v>18654910</v>
      </c>
      <c r="Q1030" s="255">
        <v>29862027</v>
      </c>
      <c r="R1030" s="255">
        <v>40190057</v>
      </c>
      <c r="S1030" s="255">
        <v>13900717</v>
      </c>
      <c r="T1030" s="255">
        <v>22992329</v>
      </c>
      <c r="U1030" s="255">
        <v>17920471</v>
      </c>
      <c r="V1030" s="255">
        <v>16615200</v>
      </c>
      <c r="W1030" s="255">
        <v>28496047</v>
      </c>
      <c r="X1030" s="255">
        <v>9606</v>
      </c>
      <c r="Y1030" s="255">
        <v>8441927</v>
      </c>
      <c r="Z1030" s="247">
        <f ca="1">[1]ExtEntry!$P31</f>
        <v>8441927</v>
      </c>
      <c r="AB1030" s="275">
        <v>84</v>
      </c>
      <c r="AC1030" s="275">
        <v>84</v>
      </c>
      <c r="AD1030" s="275">
        <v>78</v>
      </c>
      <c r="AE1030" s="251">
        <v>73</v>
      </c>
      <c r="AF1030" s="251">
        <v>75</v>
      </c>
      <c r="AG1030" s="251">
        <v>75</v>
      </c>
      <c r="AH1030" s="251">
        <v>59</v>
      </c>
      <c r="AI1030" s="251">
        <v>56</v>
      </c>
      <c r="AJ1030" s="251">
        <v>50</v>
      </c>
      <c r="AK1030" s="251">
        <v>50</v>
      </c>
      <c r="AL1030" s="251">
        <v>54</v>
      </c>
      <c r="AM1030" s="251">
        <v>44</v>
      </c>
      <c r="AN1030" s="251">
        <v>45</v>
      </c>
      <c r="AO1030" s="275">
        <v>40</v>
      </c>
      <c r="AP1030" s="275">
        <v>41</v>
      </c>
      <c r="AQ1030" s="275">
        <v>36</v>
      </c>
      <c r="AR1030" s="275">
        <v>47</v>
      </c>
      <c r="AS1030" s="275">
        <v>48</v>
      </c>
      <c r="AT1030" s="275">
        <v>43</v>
      </c>
      <c r="AU1030" s="275">
        <v>46</v>
      </c>
      <c r="AV1030" s="275">
        <f t="shared" si="87"/>
        <v>46</v>
      </c>
      <c r="AX1030" s="88" t="str">
        <f t="shared" ca="1" si="86"/>
        <v>MSFT</v>
      </c>
    </row>
    <row r="1031" spans="1:50" hidden="1" x14ac:dyDescent="0.3">
      <c r="A1031" s="88" t="str">
        <f t="shared" ca="1" si="85"/>
        <v>NEE</v>
      </c>
      <c r="C1031" s="1">
        <v>32</v>
      </c>
      <c r="F1031" s="255">
        <v>8549045</v>
      </c>
      <c r="G1031" s="255">
        <v>6543723</v>
      </c>
      <c r="H1031" s="255">
        <v>8324656</v>
      </c>
      <c r="I1031" s="255">
        <v>9142163</v>
      </c>
      <c r="J1031" s="255">
        <v>5223343</v>
      </c>
      <c r="K1031" s="255">
        <v>7279565</v>
      </c>
      <c r="L1031" s="255">
        <v>9204708</v>
      </c>
      <c r="M1031" s="255">
        <v>9204711</v>
      </c>
      <c r="N1031" s="255">
        <v>5627058</v>
      </c>
      <c r="O1031" s="255">
        <v>6243997</v>
      </c>
      <c r="P1031" s="255">
        <v>18586303</v>
      </c>
      <c r="Q1031" s="255">
        <v>13965535</v>
      </c>
      <c r="R1031" s="255">
        <v>7483574</v>
      </c>
      <c r="S1031" s="255">
        <v>4442672</v>
      </c>
      <c r="T1031" s="255">
        <v>7290654</v>
      </c>
      <c r="U1031" s="255">
        <v>3861324</v>
      </c>
      <c r="V1031" s="255">
        <v>6767531</v>
      </c>
      <c r="W1031" s="255">
        <v>8352265</v>
      </c>
      <c r="X1031" s="255">
        <v>310</v>
      </c>
      <c r="Y1031" s="255">
        <v>3576045</v>
      </c>
      <c r="Z1031" s="247">
        <f ca="1">[1]ExtEntry!$P32</f>
        <v>3576045</v>
      </c>
      <c r="AB1031" s="275">
        <v>53</v>
      </c>
      <c r="AC1031" s="275">
        <v>63</v>
      </c>
      <c r="AD1031" s="275">
        <v>69</v>
      </c>
      <c r="AE1031" s="251">
        <v>51</v>
      </c>
      <c r="AF1031" s="251">
        <v>57</v>
      </c>
      <c r="AG1031" s="251">
        <v>46</v>
      </c>
      <c r="AH1031" s="251">
        <v>45</v>
      </c>
      <c r="AI1031" s="251">
        <v>46</v>
      </c>
      <c r="AJ1031" s="251">
        <v>47</v>
      </c>
      <c r="AK1031" s="251">
        <v>43</v>
      </c>
      <c r="AL1031" s="251">
        <v>38</v>
      </c>
      <c r="AM1031" s="251">
        <v>41</v>
      </c>
      <c r="AN1031" s="251">
        <v>47</v>
      </c>
      <c r="AO1031" s="275">
        <v>40</v>
      </c>
      <c r="AP1031" s="275">
        <v>42</v>
      </c>
      <c r="AQ1031" s="275">
        <v>39</v>
      </c>
      <c r="AR1031" s="275">
        <v>34</v>
      </c>
      <c r="AS1031" s="275">
        <v>39</v>
      </c>
      <c r="AT1031" s="275">
        <v>31</v>
      </c>
      <c r="AU1031" s="275">
        <v>44</v>
      </c>
      <c r="AV1031" s="275">
        <f t="shared" si="87"/>
        <v>44</v>
      </c>
      <c r="AX1031" s="88" t="str">
        <f t="shared" ca="1" si="86"/>
        <v>NEE</v>
      </c>
    </row>
    <row r="1032" spans="1:50" hidden="1" x14ac:dyDescent="0.3">
      <c r="A1032" s="88" t="str">
        <f t="shared" ca="1" si="85"/>
        <v>NEM</v>
      </c>
      <c r="C1032" s="1">
        <v>33</v>
      </c>
      <c r="F1032" s="255">
        <v>8880879</v>
      </c>
      <c r="G1032" s="255">
        <v>6986434</v>
      </c>
      <c r="H1032" s="255">
        <v>12832182</v>
      </c>
      <c r="I1032" s="255">
        <v>19714197</v>
      </c>
      <c r="J1032" s="255">
        <v>11827971</v>
      </c>
      <c r="K1032" s="255">
        <v>16936553</v>
      </c>
      <c r="L1032" s="255">
        <v>15253288</v>
      </c>
      <c r="M1032" s="255">
        <v>15253349</v>
      </c>
      <c r="N1032" s="255">
        <v>14489558</v>
      </c>
      <c r="O1032" s="255">
        <v>21332836</v>
      </c>
      <c r="P1032" s="255">
        <v>23490657</v>
      </c>
      <c r="Q1032" s="255">
        <v>13298518</v>
      </c>
      <c r="R1032" s="255">
        <v>10466550</v>
      </c>
      <c r="S1032" s="255">
        <v>7187997</v>
      </c>
      <c r="T1032" s="255">
        <v>8681630</v>
      </c>
      <c r="U1032" s="255">
        <v>7197853</v>
      </c>
      <c r="V1032" s="255">
        <v>4841213</v>
      </c>
      <c r="W1032" s="255">
        <v>9588692</v>
      </c>
      <c r="X1032" s="255">
        <v>6080</v>
      </c>
      <c r="Y1032" s="255">
        <v>3065450</v>
      </c>
      <c r="Z1032" s="247">
        <f ca="1">[1]ExtEntry!$P33</f>
        <v>3065450</v>
      </c>
      <c r="AB1032" s="275">
        <v>53</v>
      </c>
      <c r="AC1032" s="275">
        <v>55</v>
      </c>
      <c r="AD1032" s="275">
        <v>48</v>
      </c>
      <c r="AE1032" s="251">
        <v>52</v>
      </c>
      <c r="AF1032" s="251">
        <v>62</v>
      </c>
      <c r="AG1032" s="251">
        <v>64</v>
      </c>
      <c r="AH1032" s="251">
        <v>43</v>
      </c>
      <c r="AI1032" s="251">
        <v>32</v>
      </c>
      <c r="AJ1032" s="251">
        <v>33</v>
      </c>
      <c r="AK1032" s="251">
        <v>27</v>
      </c>
      <c r="AL1032" s="251">
        <v>23</v>
      </c>
      <c r="AM1032" s="251">
        <v>21</v>
      </c>
      <c r="AN1032" s="251">
        <v>17</v>
      </c>
      <c r="AO1032" s="275">
        <v>16</v>
      </c>
      <c r="AP1032" s="275">
        <v>18</v>
      </c>
      <c r="AQ1032" s="275">
        <v>18</v>
      </c>
      <c r="AR1032" s="275">
        <v>19</v>
      </c>
      <c r="AS1032" s="275">
        <v>14</v>
      </c>
      <c r="AT1032" s="275">
        <v>6</v>
      </c>
      <c r="AU1032" s="275">
        <v>5</v>
      </c>
      <c r="AV1032" s="275">
        <f t="shared" si="87"/>
        <v>5</v>
      </c>
      <c r="AX1032" s="88" t="str">
        <f t="shared" ca="1" si="86"/>
        <v>NEM</v>
      </c>
    </row>
    <row r="1033" spans="1:50" hidden="1" x14ac:dyDescent="0.3">
      <c r="A1033" s="88" t="str">
        <f t="shared" ca="1" si="85"/>
        <v>NFLX</v>
      </c>
      <c r="C1033" s="1">
        <v>34</v>
      </c>
      <c r="F1033" s="255">
        <v>2276456</v>
      </c>
      <c r="G1033" s="255">
        <v>1390538</v>
      </c>
      <c r="H1033" s="255">
        <v>2822012</v>
      </c>
      <c r="I1033" s="255">
        <v>2957101</v>
      </c>
      <c r="J1033" s="255">
        <v>3962919</v>
      </c>
      <c r="K1033" s="255">
        <v>6010040</v>
      </c>
      <c r="L1033" s="255">
        <v>14560558</v>
      </c>
      <c r="M1033" s="255">
        <v>14562100</v>
      </c>
      <c r="N1033" s="255">
        <v>6828115</v>
      </c>
      <c r="O1033" s="255">
        <v>5992056</v>
      </c>
      <c r="P1033" s="255">
        <v>4670092</v>
      </c>
      <c r="Q1033" s="255">
        <v>4009360</v>
      </c>
      <c r="R1033" s="255">
        <v>3831565</v>
      </c>
      <c r="S1033" s="255">
        <v>2912690</v>
      </c>
      <c r="T1033" s="255">
        <v>3549693</v>
      </c>
      <c r="U1033" s="255">
        <v>2736040</v>
      </c>
      <c r="V1033" s="255">
        <v>3093411</v>
      </c>
      <c r="W1033" s="255">
        <v>4750133</v>
      </c>
      <c r="X1033" s="255">
        <v>18051</v>
      </c>
      <c r="Y1033" s="255">
        <v>14860493</v>
      </c>
      <c r="Z1033" s="247">
        <f ca="1">[1]ExtEntry!$P34</f>
        <v>14860493</v>
      </c>
      <c r="AB1033" s="275">
        <v>41</v>
      </c>
      <c r="AC1033" s="275">
        <v>41</v>
      </c>
      <c r="AD1033" s="275">
        <v>39</v>
      </c>
      <c r="AE1033" s="251">
        <v>39</v>
      </c>
      <c r="AF1033" s="251">
        <v>43</v>
      </c>
      <c r="AG1033" s="251">
        <v>44</v>
      </c>
      <c r="AH1033" s="251">
        <v>39</v>
      </c>
      <c r="AI1033" s="251">
        <v>28</v>
      </c>
      <c r="AJ1033" s="251">
        <v>29</v>
      </c>
      <c r="AK1033" s="251">
        <v>29</v>
      </c>
      <c r="AL1033" s="251">
        <v>22</v>
      </c>
      <c r="AM1033" s="251">
        <v>24</v>
      </c>
      <c r="AN1033" s="251">
        <v>28</v>
      </c>
      <c r="AO1033" s="275">
        <v>25</v>
      </c>
      <c r="AP1033" s="275">
        <v>18</v>
      </c>
      <c r="AQ1033" s="275">
        <v>16</v>
      </c>
      <c r="AR1033" s="275">
        <v>20</v>
      </c>
      <c r="AS1033" s="275">
        <v>21</v>
      </c>
      <c r="AT1033" s="275">
        <v>13</v>
      </c>
      <c r="AU1033" s="275">
        <v>11</v>
      </c>
      <c r="AV1033" s="275">
        <f t="shared" si="87"/>
        <v>11</v>
      </c>
      <c r="AX1033" s="88" t="str">
        <f t="shared" ca="1" si="86"/>
        <v>NFLX</v>
      </c>
    </row>
    <row r="1034" spans="1:50" hidden="1" x14ac:dyDescent="0.3">
      <c r="A1034" s="88" t="str">
        <f t="shared" ca="1" si="85"/>
        <v>NOTE</v>
      </c>
      <c r="C1034" s="1">
        <v>35</v>
      </c>
      <c r="F1034" s="255">
        <v>240459</v>
      </c>
      <c r="G1034" s="255">
        <v>236389</v>
      </c>
      <c r="H1034" s="255">
        <v>370100</v>
      </c>
      <c r="I1034" s="255">
        <v>252235</v>
      </c>
      <c r="J1034" s="255">
        <v>185186</v>
      </c>
      <c r="K1034" s="255">
        <v>130661</v>
      </c>
      <c r="L1034" s="255">
        <v>190659</v>
      </c>
      <c r="M1034" s="255">
        <v>190659</v>
      </c>
      <c r="N1034" s="255">
        <v>187599</v>
      </c>
      <c r="O1034" s="255">
        <v>200250</v>
      </c>
      <c r="P1034" s="255">
        <v>114807</v>
      </c>
      <c r="Q1034" s="255">
        <v>166141</v>
      </c>
      <c r="R1034" s="255">
        <v>182182</v>
      </c>
      <c r="S1034" s="255">
        <v>236651</v>
      </c>
      <c r="T1034" s="255">
        <v>455990</v>
      </c>
      <c r="U1034" s="255">
        <v>296040</v>
      </c>
      <c r="V1034" s="255">
        <v>444563</v>
      </c>
      <c r="W1034" s="255">
        <v>278839</v>
      </c>
      <c r="X1034" s="255">
        <v>20</v>
      </c>
      <c r="Y1034" s="255">
        <v>103226</v>
      </c>
      <c r="Z1034" s="247">
        <f ca="1">[1]ExtEntry!$P35</f>
        <v>103226</v>
      </c>
      <c r="AB1034" s="275">
        <v>50</v>
      </c>
      <c r="AC1034" s="275">
        <v>62</v>
      </c>
      <c r="AD1034" s="275">
        <v>63</v>
      </c>
      <c r="AE1034" s="251">
        <v>44</v>
      </c>
      <c r="AF1034" s="251">
        <v>45</v>
      </c>
      <c r="AG1034" s="251">
        <v>35</v>
      </c>
      <c r="AH1034" s="251">
        <v>35</v>
      </c>
      <c r="AI1034" s="251">
        <v>37</v>
      </c>
      <c r="AJ1034" s="251">
        <v>38</v>
      </c>
      <c r="AK1034" s="251">
        <v>40</v>
      </c>
      <c r="AL1034" s="251">
        <v>35</v>
      </c>
      <c r="AM1034" s="251">
        <v>39</v>
      </c>
      <c r="AN1034" s="251">
        <v>43</v>
      </c>
      <c r="AO1034" s="275">
        <v>32</v>
      </c>
      <c r="AP1034" s="275">
        <v>37</v>
      </c>
      <c r="AQ1034" s="275">
        <v>31</v>
      </c>
      <c r="AR1034" s="275">
        <v>30</v>
      </c>
      <c r="AS1034" s="275">
        <v>38</v>
      </c>
      <c r="AT1034" s="275">
        <v>37</v>
      </c>
      <c r="AU1034" s="275">
        <v>57</v>
      </c>
      <c r="AV1034" s="275">
        <f t="shared" si="87"/>
        <v>57</v>
      </c>
      <c r="AX1034" s="88" t="str">
        <f t="shared" ca="1" si="86"/>
        <v>NOTE</v>
      </c>
    </row>
    <row r="1035" spans="1:50" hidden="1" x14ac:dyDescent="0.3">
      <c r="A1035" s="88" t="str">
        <f t="shared" ca="1" si="85"/>
        <v>PAAS</v>
      </c>
      <c r="C1035" s="1">
        <v>36</v>
      </c>
      <c r="F1035" s="255">
        <v>7586796</v>
      </c>
      <c r="G1035" s="255">
        <v>5568718</v>
      </c>
      <c r="H1035" s="255">
        <v>7388701</v>
      </c>
      <c r="I1035" s="255">
        <v>9494958</v>
      </c>
      <c r="J1035" s="255">
        <v>5071188</v>
      </c>
      <c r="K1035" s="255">
        <v>10015121</v>
      </c>
      <c r="L1035" s="255">
        <v>6972915</v>
      </c>
      <c r="M1035" s="255">
        <v>6972990</v>
      </c>
      <c r="N1035" s="255">
        <v>3552609</v>
      </c>
      <c r="O1035" s="255">
        <v>3903358</v>
      </c>
      <c r="P1035" s="255">
        <v>6871515</v>
      </c>
      <c r="Q1035" s="255">
        <v>4948044</v>
      </c>
      <c r="R1035" s="255">
        <v>3974233</v>
      </c>
      <c r="S1035" s="255">
        <v>3538802</v>
      </c>
      <c r="T1035" s="255">
        <v>4192698</v>
      </c>
      <c r="U1035" s="255">
        <v>3290139</v>
      </c>
      <c r="V1035" s="255">
        <v>2923976</v>
      </c>
      <c r="W1035" s="255">
        <v>6310664</v>
      </c>
      <c r="X1035" s="255">
        <v>5206</v>
      </c>
      <c r="Y1035" s="255">
        <v>2447487</v>
      </c>
      <c r="Z1035" s="247">
        <f ca="1">[1]ExtEntry!$P36</f>
        <v>2447487</v>
      </c>
      <c r="AB1035" s="275">
        <v>70</v>
      </c>
      <c r="AC1035" s="275">
        <v>62</v>
      </c>
      <c r="AD1035" s="275">
        <v>63</v>
      </c>
      <c r="AE1035" s="251">
        <v>61</v>
      </c>
      <c r="AF1035" s="251">
        <v>67</v>
      </c>
      <c r="AG1035" s="251">
        <v>72</v>
      </c>
      <c r="AH1035" s="251">
        <v>62</v>
      </c>
      <c r="AI1035" s="251">
        <v>50</v>
      </c>
      <c r="AJ1035" s="251">
        <v>43</v>
      </c>
      <c r="AK1035" s="251">
        <v>33</v>
      </c>
      <c r="AL1035" s="251">
        <v>25</v>
      </c>
      <c r="AM1035" s="251">
        <v>44</v>
      </c>
      <c r="AN1035" s="251">
        <v>45</v>
      </c>
      <c r="AO1035" s="275">
        <v>41</v>
      </c>
      <c r="AP1035" s="275">
        <v>43</v>
      </c>
      <c r="AQ1035" s="275">
        <v>47</v>
      </c>
      <c r="AR1035" s="275">
        <v>53</v>
      </c>
      <c r="AS1035" s="275">
        <v>61</v>
      </c>
      <c r="AT1035" s="275">
        <v>53</v>
      </c>
      <c r="AU1035" s="275">
        <v>47</v>
      </c>
      <c r="AV1035" s="275">
        <f t="shared" si="87"/>
        <v>47</v>
      </c>
      <c r="AX1035" s="88" t="str">
        <f t="shared" ca="1" si="86"/>
        <v>PAAS</v>
      </c>
    </row>
    <row r="1036" spans="1:50" hidden="1" x14ac:dyDescent="0.3">
      <c r="A1036" s="88" t="str">
        <f t="shared" ca="1" si="85"/>
        <v>PROF</v>
      </c>
      <c r="C1036" s="1">
        <v>37</v>
      </c>
      <c r="F1036" s="255">
        <v>66018</v>
      </c>
      <c r="G1036" s="255">
        <v>34720</v>
      </c>
      <c r="H1036" s="255">
        <v>54125</v>
      </c>
      <c r="I1036" s="255">
        <v>12877</v>
      </c>
      <c r="J1036" s="255">
        <v>48591</v>
      </c>
      <c r="K1036" s="255">
        <v>21341</v>
      </c>
      <c r="L1036" s="255">
        <v>64222</v>
      </c>
      <c r="M1036" s="255">
        <v>64222</v>
      </c>
      <c r="N1036" s="255">
        <v>41970</v>
      </c>
      <c r="O1036" s="255">
        <v>102097</v>
      </c>
      <c r="P1036" s="255">
        <v>18426</v>
      </c>
      <c r="Q1036" s="255">
        <v>69615</v>
      </c>
      <c r="R1036" s="255">
        <v>56956</v>
      </c>
      <c r="S1036" s="255">
        <v>33687</v>
      </c>
      <c r="T1036" s="255">
        <v>46966</v>
      </c>
      <c r="U1036" s="255">
        <v>18611</v>
      </c>
      <c r="V1036" s="255">
        <v>32510</v>
      </c>
      <c r="W1036" s="255">
        <v>350345</v>
      </c>
      <c r="X1036" s="255">
        <v>91513</v>
      </c>
      <c r="Y1036" s="255">
        <v>17650</v>
      </c>
      <c r="Z1036" s="247">
        <f ca="1">[1]ExtEntry!$P37</f>
        <v>17650</v>
      </c>
      <c r="AB1036" s="275">
        <v>75</v>
      </c>
      <c r="AC1036" s="275">
        <v>68</v>
      </c>
      <c r="AD1036" s="275">
        <v>61</v>
      </c>
      <c r="AE1036" s="251">
        <v>60</v>
      </c>
      <c r="AF1036" s="251">
        <v>65</v>
      </c>
      <c r="AG1036" s="251">
        <v>64</v>
      </c>
      <c r="AH1036" s="251">
        <v>62</v>
      </c>
      <c r="AI1036" s="251">
        <v>59</v>
      </c>
      <c r="AJ1036" s="251">
        <v>60</v>
      </c>
      <c r="AK1036" s="251">
        <v>57</v>
      </c>
      <c r="AL1036" s="251">
        <v>42</v>
      </c>
      <c r="AM1036" s="251">
        <v>42</v>
      </c>
      <c r="AN1036" s="251">
        <v>43</v>
      </c>
      <c r="AO1036" s="275">
        <v>32</v>
      </c>
      <c r="AP1036" s="275">
        <v>26</v>
      </c>
      <c r="AQ1036" s="275">
        <v>26</v>
      </c>
      <c r="AR1036" s="275">
        <v>30</v>
      </c>
      <c r="AS1036" s="275">
        <v>32</v>
      </c>
      <c r="AT1036" s="275">
        <v>25</v>
      </c>
      <c r="AU1036" s="275">
        <v>25</v>
      </c>
      <c r="AV1036" s="275">
        <f t="shared" si="87"/>
        <v>25</v>
      </c>
      <c r="AX1036" s="88" t="str">
        <f t="shared" ca="1" si="86"/>
        <v>PROF</v>
      </c>
    </row>
    <row r="1037" spans="1:50" hidden="1" x14ac:dyDescent="0.3">
      <c r="A1037" s="88" t="str">
        <f t="shared" ca="1" si="85"/>
        <v>POET</v>
      </c>
      <c r="C1037" s="1">
        <v>38</v>
      </c>
      <c r="F1037" s="255">
        <v>19885958</v>
      </c>
      <c r="G1037" s="255">
        <v>18650859</v>
      </c>
      <c r="H1037" s="255">
        <v>12646600</v>
      </c>
      <c r="I1037" s="255">
        <v>10389874</v>
      </c>
      <c r="J1037" s="255">
        <v>12165392</v>
      </c>
      <c r="K1037" s="255">
        <v>11627678</v>
      </c>
      <c r="L1037" s="255">
        <v>24951954</v>
      </c>
      <c r="M1037" s="255">
        <v>24953211</v>
      </c>
      <c r="N1037" s="255">
        <v>11086274</v>
      </c>
      <c r="O1037" s="255">
        <v>19173926</v>
      </c>
      <c r="P1037" s="255">
        <v>20016005</v>
      </c>
      <c r="Q1037" s="255">
        <v>11943151</v>
      </c>
      <c r="R1037" s="255">
        <v>8931947</v>
      </c>
      <c r="S1037" s="255">
        <v>13626052</v>
      </c>
      <c r="T1037" s="255">
        <v>7813883</v>
      </c>
      <c r="U1037" s="255">
        <v>11945794</v>
      </c>
      <c r="V1037" s="255">
        <v>9984437</v>
      </c>
      <c r="W1037" s="255">
        <v>11068063</v>
      </c>
      <c r="X1037" s="255">
        <v>1015</v>
      </c>
      <c r="Y1037" s="255">
        <v>3530104</v>
      </c>
      <c r="Z1037" s="247">
        <f ca="1">[1]ExtEntry!$P38</f>
        <v>3530104</v>
      </c>
      <c r="AB1037" s="275">
        <v>37</v>
      </c>
      <c r="AC1037" s="275">
        <v>40</v>
      </c>
      <c r="AD1037" s="275">
        <v>39</v>
      </c>
      <c r="AE1037" s="251">
        <v>24</v>
      </c>
      <c r="AF1037" s="251">
        <v>10</v>
      </c>
      <c r="AG1037" s="251">
        <v>11</v>
      </c>
      <c r="AH1037" s="251">
        <v>10</v>
      </c>
      <c r="AI1037" s="251">
        <v>3</v>
      </c>
      <c r="AJ1037" s="251">
        <v>4</v>
      </c>
      <c r="AK1037" s="251">
        <v>13</v>
      </c>
      <c r="AL1037" s="251">
        <v>23</v>
      </c>
      <c r="AM1037" s="251">
        <v>22</v>
      </c>
      <c r="AN1037" s="251">
        <v>26</v>
      </c>
      <c r="AO1037" s="275">
        <v>26</v>
      </c>
      <c r="AP1037" s="275">
        <v>35</v>
      </c>
      <c r="AQ1037" s="275">
        <v>32</v>
      </c>
      <c r="AR1037" s="275">
        <v>31</v>
      </c>
      <c r="AS1037" s="275">
        <v>47</v>
      </c>
      <c r="AT1037" s="275">
        <v>44</v>
      </c>
      <c r="AU1037" s="275">
        <v>44</v>
      </c>
      <c r="AV1037" s="275">
        <f t="shared" si="87"/>
        <v>44</v>
      </c>
      <c r="AX1037" s="88" t="str">
        <f t="shared" ca="1" si="86"/>
        <v>POET</v>
      </c>
    </row>
    <row r="1038" spans="1:50" hidden="1" x14ac:dyDescent="0.3">
      <c r="A1038" s="88" t="str">
        <f t="shared" ca="1" si="85"/>
        <v>PW</v>
      </c>
      <c r="C1038" s="1">
        <v>39</v>
      </c>
      <c r="F1038" s="255">
        <v>78690</v>
      </c>
      <c r="G1038" s="255">
        <v>19586</v>
      </c>
      <c r="H1038" s="255">
        <v>65236</v>
      </c>
      <c r="I1038" s="255">
        <v>69860</v>
      </c>
      <c r="J1038" s="255">
        <v>20369</v>
      </c>
      <c r="K1038" s="255">
        <v>55658</v>
      </c>
      <c r="L1038" s="255">
        <v>62856</v>
      </c>
      <c r="M1038" s="255">
        <v>62856</v>
      </c>
      <c r="N1038" s="255">
        <v>176542</v>
      </c>
      <c r="O1038" s="255">
        <v>328683</v>
      </c>
      <c r="P1038" s="255">
        <v>36525</v>
      </c>
      <c r="Q1038" s="255">
        <v>47317</v>
      </c>
      <c r="R1038" s="255">
        <v>44675</v>
      </c>
      <c r="S1038" s="255">
        <v>56660</v>
      </c>
      <c r="T1038" s="255">
        <v>61947</v>
      </c>
      <c r="U1038" s="255">
        <v>35274</v>
      </c>
      <c r="V1038" s="255">
        <v>18255</v>
      </c>
      <c r="W1038" s="255">
        <v>197926</v>
      </c>
      <c r="X1038" s="255">
        <v>82529</v>
      </c>
      <c r="Y1038" s="255">
        <v>11405</v>
      </c>
      <c r="Z1038" s="247">
        <f ca="1">[1]ExtEntry!$P39</f>
        <v>11405</v>
      </c>
      <c r="AB1038" s="275">
        <v>16</v>
      </c>
      <c r="AC1038" s="275">
        <v>32</v>
      </c>
      <c r="AD1038" s="275">
        <v>40</v>
      </c>
      <c r="AE1038" s="251">
        <v>39</v>
      </c>
      <c r="AF1038" s="251">
        <v>51</v>
      </c>
      <c r="AG1038" s="251">
        <v>59</v>
      </c>
      <c r="AH1038" s="251">
        <v>62</v>
      </c>
      <c r="AI1038" s="251">
        <v>64</v>
      </c>
      <c r="AJ1038" s="251">
        <v>53</v>
      </c>
      <c r="AK1038" s="251">
        <v>54</v>
      </c>
      <c r="AL1038" s="251">
        <v>55</v>
      </c>
      <c r="AM1038" s="251">
        <v>58</v>
      </c>
      <c r="AN1038" s="251">
        <v>69</v>
      </c>
      <c r="AO1038" s="275">
        <v>63</v>
      </c>
      <c r="AP1038" s="275">
        <v>80</v>
      </c>
      <c r="AQ1038" s="275">
        <v>72</v>
      </c>
      <c r="AR1038" s="275">
        <v>70</v>
      </c>
      <c r="AS1038" s="275">
        <v>73</v>
      </c>
      <c r="AT1038" s="275">
        <v>75</v>
      </c>
      <c r="AU1038" s="275">
        <v>64</v>
      </c>
      <c r="AV1038" s="275">
        <f t="shared" si="87"/>
        <v>64</v>
      </c>
      <c r="AX1038" s="88" t="str">
        <f t="shared" ca="1" si="86"/>
        <v>PW</v>
      </c>
    </row>
    <row r="1039" spans="1:50" hidden="1" x14ac:dyDescent="0.3">
      <c r="A1039" s="88" t="str">
        <f t="shared" ca="1" si="85"/>
        <v>RIGL</v>
      </c>
      <c r="C1039" s="1">
        <v>40</v>
      </c>
      <c r="F1039" s="255">
        <v>406597</v>
      </c>
      <c r="G1039" s="255">
        <v>247944</v>
      </c>
      <c r="H1039" s="255">
        <v>342660</v>
      </c>
      <c r="I1039" s="255">
        <v>383569</v>
      </c>
      <c r="J1039" s="255">
        <v>340717</v>
      </c>
      <c r="K1039" s="255">
        <v>389074</v>
      </c>
      <c r="L1039" s="255">
        <v>600108</v>
      </c>
      <c r="M1039" s="255">
        <v>600108</v>
      </c>
      <c r="N1039" s="255">
        <v>447047</v>
      </c>
      <c r="O1039" s="255">
        <v>297481</v>
      </c>
      <c r="P1039" s="255">
        <v>419171</v>
      </c>
      <c r="Q1039" s="255">
        <v>257922</v>
      </c>
      <c r="R1039" s="255">
        <v>496764</v>
      </c>
      <c r="S1039" s="255">
        <v>612491</v>
      </c>
      <c r="T1039" s="255">
        <v>2321405</v>
      </c>
      <c r="U1039" s="255">
        <v>609151</v>
      </c>
      <c r="V1039" s="255">
        <v>467069</v>
      </c>
      <c r="W1039" s="255">
        <v>714166</v>
      </c>
      <c r="X1039" s="255">
        <v>44</v>
      </c>
      <c r="Y1039" s="255">
        <v>531091</v>
      </c>
      <c r="Z1039" s="247">
        <f ca="1">[1]ExtEntry!$P40</f>
        <v>531091</v>
      </c>
      <c r="AB1039" s="275">
        <v>82</v>
      </c>
      <c r="AC1039" s="275">
        <v>81</v>
      </c>
      <c r="AD1039" s="275">
        <v>83</v>
      </c>
      <c r="AE1039" s="251">
        <v>75</v>
      </c>
      <c r="AF1039" s="251">
        <v>75</v>
      </c>
      <c r="AG1039" s="251">
        <v>68</v>
      </c>
      <c r="AH1039" s="251">
        <v>57</v>
      </c>
      <c r="AI1039" s="251">
        <v>56</v>
      </c>
      <c r="AJ1039" s="251">
        <v>50</v>
      </c>
      <c r="AK1039" s="251">
        <v>56</v>
      </c>
      <c r="AL1039" s="251">
        <v>48</v>
      </c>
      <c r="AM1039" s="251">
        <v>58</v>
      </c>
      <c r="AN1039" s="251">
        <v>61</v>
      </c>
      <c r="AO1039" s="275">
        <v>49</v>
      </c>
      <c r="AP1039" s="275">
        <v>57</v>
      </c>
      <c r="AQ1039" s="275">
        <v>60</v>
      </c>
      <c r="AR1039" s="275">
        <v>52</v>
      </c>
      <c r="AS1039" s="275">
        <v>54</v>
      </c>
      <c r="AT1039" s="275">
        <v>51</v>
      </c>
      <c r="AU1039" s="275">
        <v>46</v>
      </c>
      <c r="AV1039" s="275">
        <f t="shared" si="87"/>
        <v>46</v>
      </c>
      <c r="AX1039" s="88" t="str">
        <f t="shared" ca="1" si="86"/>
        <v>RIGL</v>
      </c>
    </row>
    <row r="1040" spans="1:50" hidden="1" x14ac:dyDescent="0.3">
      <c r="A1040" s="88" t="str">
        <f t="shared" ca="1" si="85"/>
        <v>RWE</v>
      </c>
      <c r="C1040" s="1">
        <v>41</v>
      </c>
      <c r="F1040" s="255">
        <v>2072</v>
      </c>
      <c r="G1040" s="255">
        <v>6519</v>
      </c>
      <c r="H1040" s="255">
        <v>6785</v>
      </c>
      <c r="I1040" s="255">
        <v>4500</v>
      </c>
      <c r="J1040" s="255">
        <v>3174</v>
      </c>
      <c r="K1040" s="255">
        <v>4550</v>
      </c>
      <c r="L1040" s="255">
        <v>30266</v>
      </c>
      <c r="M1040" s="255">
        <v>30266</v>
      </c>
      <c r="N1040" s="255">
        <v>2249</v>
      </c>
      <c r="O1040" s="255">
        <v>1740</v>
      </c>
      <c r="P1040" s="255">
        <v>7991</v>
      </c>
      <c r="Q1040" s="255">
        <v>2793</v>
      </c>
      <c r="R1040" s="255">
        <v>5960</v>
      </c>
      <c r="S1040" s="255">
        <v>5730</v>
      </c>
      <c r="T1040" s="255">
        <v>5600</v>
      </c>
      <c r="U1040" s="255">
        <v>9386</v>
      </c>
      <c r="V1040" s="255">
        <v>8208</v>
      </c>
      <c r="W1040" s="255">
        <v>6308</v>
      </c>
      <c r="X1040" s="255">
        <v>4470</v>
      </c>
      <c r="Y1040" s="255">
        <v>13072</v>
      </c>
      <c r="Z1040" s="247">
        <f ca="1">[1]ExtEntry!$P41</f>
        <v>13072</v>
      </c>
      <c r="AB1040" s="275">
        <v>78</v>
      </c>
      <c r="AC1040" s="275">
        <v>77</v>
      </c>
      <c r="AD1040" s="275">
        <v>84</v>
      </c>
      <c r="AE1040" s="251">
        <v>75</v>
      </c>
      <c r="AF1040" s="251">
        <v>82</v>
      </c>
      <c r="AG1040" s="251">
        <v>81</v>
      </c>
      <c r="AH1040" s="251">
        <v>72</v>
      </c>
      <c r="AI1040" s="251">
        <v>60</v>
      </c>
      <c r="AJ1040" s="251">
        <v>70</v>
      </c>
      <c r="AK1040" s="251">
        <v>52</v>
      </c>
      <c r="AL1040" s="251">
        <v>52</v>
      </c>
      <c r="AM1040" s="251">
        <v>50</v>
      </c>
      <c r="AN1040" s="251">
        <v>51</v>
      </c>
      <c r="AO1040" s="275">
        <v>47</v>
      </c>
      <c r="AP1040" s="275">
        <v>48</v>
      </c>
      <c r="AQ1040" s="275">
        <v>37</v>
      </c>
      <c r="AR1040" s="275">
        <v>36</v>
      </c>
      <c r="AS1040" s="275">
        <v>33</v>
      </c>
      <c r="AT1040" s="275">
        <v>24</v>
      </c>
      <c r="AU1040" s="275">
        <v>21</v>
      </c>
      <c r="AV1040" s="275">
        <f t="shared" si="87"/>
        <v>21</v>
      </c>
      <c r="AX1040" s="88" t="str">
        <f t="shared" ca="1" si="86"/>
        <v>RWE</v>
      </c>
    </row>
    <row r="1041" spans="1:50" hidden="1" x14ac:dyDescent="0.3">
      <c r="A1041" s="88" t="str">
        <f t="shared" ca="1" si="85"/>
        <v>SAP</v>
      </c>
      <c r="C1041" s="1">
        <v>42</v>
      </c>
      <c r="F1041" s="255">
        <v>1319040</v>
      </c>
      <c r="G1041" s="255">
        <v>1102569</v>
      </c>
      <c r="H1041" s="255">
        <v>1149922</v>
      </c>
      <c r="I1041" s="255">
        <v>1160814</v>
      </c>
      <c r="J1041" s="255">
        <v>1404631</v>
      </c>
      <c r="K1041" s="255">
        <v>1444043</v>
      </c>
      <c r="L1041" s="255">
        <v>1752971</v>
      </c>
      <c r="M1041" s="255">
        <v>1752971</v>
      </c>
      <c r="N1041" s="255">
        <v>3172728</v>
      </c>
      <c r="O1041" s="255">
        <v>1802588</v>
      </c>
      <c r="P1041" s="255">
        <v>1155170</v>
      </c>
      <c r="Q1041" s="255">
        <v>1130651</v>
      </c>
      <c r="R1041" s="255">
        <v>1387271</v>
      </c>
      <c r="S1041" s="255">
        <v>982932</v>
      </c>
      <c r="T1041" s="255">
        <v>944453</v>
      </c>
      <c r="U1041" s="255">
        <v>1263039</v>
      </c>
      <c r="V1041" s="255">
        <v>1495029</v>
      </c>
      <c r="W1041" s="255">
        <v>2184437</v>
      </c>
      <c r="X1041" s="255">
        <v>186591</v>
      </c>
      <c r="Y1041" s="255">
        <v>1173122</v>
      </c>
      <c r="Z1041" s="247">
        <f ca="1">[1]ExtEntry!$P42</f>
        <v>1173122</v>
      </c>
      <c r="AB1041" s="275">
        <v>67</v>
      </c>
      <c r="AC1041" s="275">
        <v>67</v>
      </c>
      <c r="AD1041" s="275">
        <v>68</v>
      </c>
      <c r="AE1041" s="251">
        <v>66</v>
      </c>
      <c r="AF1041" s="251">
        <v>59</v>
      </c>
      <c r="AG1041" s="251">
        <v>56</v>
      </c>
      <c r="AH1041" s="251">
        <v>49</v>
      </c>
      <c r="AI1041" s="251">
        <v>44</v>
      </c>
      <c r="AJ1041" s="251">
        <v>32</v>
      </c>
      <c r="AK1041" s="251">
        <v>30</v>
      </c>
      <c r="AL1041" s="251">
        <v>30</v>
      </c>
      <c r="AM1041" s="251">
        <v>33</v>
      </c>
      <c r="AN1041" s="251">
        <v>32</v>
      </c>
      <c r="AO1041" s="275">
        <v>16</v>
      </c>
      <c r="AP1041" s="275">
        <v>9</v>
      </c>
      <c r="AQ1041" s="275">
        <v>8</v>
      </c>
      <c r="AR1041" s="275">
        <v>17</v>
      </c>
      <c r="AS1041" s="275">
        <v>21</v>
      </c>
      <c r="AT1041" s="275">
        <v>19</v>
      </c>
      <c r="AU1041" s="275">
        <v>19</v>
      </c>
      <c r="AV1041" s="275">
        <f t="shared" si="87"/>
        <v>19</v>
      </c>
      <c r="AX1041" s="88" t="str">
        <f t="shared" ca="1" si="86"/>
        <v>SAP</v>
      </c>
    </row>
    <row r="1042" spans="1:50" hidden="1" x14ac:dyDescent="0.3">
      <c r="A1042" s="88" t="str">
        <f t="shared" ca="1" si="85"/>
        <v>SHECY</v>
      </c>
      <c r="C1042" s="1">
        <v>43</v>
      </c>
      <c r="F1042" s="255">
        <v>291970</v>
      </c>
      <c r="G1042" s="255">
        <v>281893</v>
      </c>
      <c r="H1042" s="255">
        <v>509562</v>
      </c>
      <c r="I1042" s="255">
        <v>254478</v>
      </c>
      <c r="J1042" s="255">
        <v>338312</v>
      </c>
      <c r="K1042" s="255">
        <v>180679</v>
      </c>
      <c r="L1042" s="255">
        <v>191895</v>
      </c>
      <c r="M1042" s="255">
        <v>191895</v>
      </c>
      <c r="N1042" s="255">
        <v>208392</v>
      </c>
      <c r="O1042" s="255">
        <v>170519</v>
      </c>
      <c r="P1042" s="255">
        <v>212516</v>
      </c>
      <c r="Q1042" s="255">
        <v>248442</v>
      </c>
      <c r="R1042" s="255">
        <v>544045</v>
      </c>
      <c r="S1042" s="255">
        <v>296709</v>
      </c>
      <c r="T1042" s="255">
        <v>380683</v>
      </c>
      <c r="U1042" s="255">
        <v>355325</v>
      </c>
      <c r="V1042" s="255">
        <v>392172</v>
      </c>
      <c r="W1042" s="255">
        <v>797890</v>
      </c>
      <c r="X1042" s="255">
        <v>606341</v>
      </c>
      <c r="Y1042" s="255">
        <v>90441</v>
      </c>
      <c r="Z1042" s="247">
        <f ca="1">[1]ExtEntry!$P43</f>
        <v>90441</v>
      </c>
      <c r="AB1042" s="275">
        <v>46</v>
      </c>
      <c r="AC1042" s="275">
        <v>59</v>
      </c>
      <c r="AD1042" s="275">
        <v>59</v>
      </c>
      <c r="AE1042" s="251">
        <v>48</v>
      </c>
      <c r="AF1042" s="251">
        <v>69</v>
      </c>
      <c r="AG1042" s="251">
        <v>69</v>
      </c>
      <c r="AH1042" s="251">
        <v>56</v>
      </c>
      <c r="AI1042" s="251">
        <v>43</v>
      </c>
      <c r="AJ1042" s="251">
        <v>47</v>
      </c>
      <c r="AK1042" s="251">
        <v>51</v>
      </c>
      <c r="AL1042" s="251">
        <v>51</v>
      </c>
      <c r="AM1042" s="251">
        <v>49</v>
      </c>
      <c r="AN1042" s="251">
        <v>47</v>
      </c>
      <c r="AO1042" s="275">
        <v>39</v>
      </c>
      <c r="AP1042" s="275">
        <v>39</v>
      </c>
      <c r="AQ1042" s="275">
        <v>32</v>
      </c>
      <c r="AR1042" s="275">
        <v>32</v>
      </c>
      <c r="AS1042" s="275">
        <v>33</v>
      </c>
      <c r="AT1042" s="275">
        <v>13</v>
      </c>
      <c r="AU1042" s="275">
        <v>13</v>
      </c>
      <c r="AV1042" s="275">
        <f t="shared" si="87"/>
        <v>13</v>
      </c>
      <c r="AX1042" s="88" t="str">
        <f t="shared" ca="1" si="86"/>
        <v>SHECY</v>
      </c>
    </row>
    <row r="1043" spans="1:50" hidden="1" x14ac:dyDescent="0.3">
      <c r="A1043" s="88" t="str">
        <f t="shared" ca="1" si="85"/>
        <v>SSYS</v>
      </c>
      <c r="C1043" s="1">
        <v>44</v>
      </c>
      <c r="F1043" s="255">
        <v>671474</v>
      </c>
      <c r="G1043" s="255">
        <v>613320</v>
      </c>
      <c r="H1043" s="255">
        <v>1090816</v>
      </c>
      <c r="I1043" s="255">
        <v>656730</v>
      </c>
      <c r="J1043" s="255">
        <v>2917569</v>
      </c>
      <c r="K1043" s="255">
        <v>2415312</v>
      </c>
      <c r="L1043" s="255">
        <v>1780352</v>
      </c>
      <c r="M1043" s="255">
        <v>1780461</v>
      </c>
      <c r="N1043" s="255">
        <v>1868286</v>
      </c>
      <c r="O1043" s="255">
        <v>1028594</v>
      </c>
      <c r="P1043" s="255">
        <v>760766</v>
      </c>
      <c r="Q1043" s="255">
        <v>767584</v>
      </c>
      <c r="R1043" s="255">
        <v>597811</v>
      </c>
      <c r="S1043" s="255">
        <v>779901</v>
      </c>
      <c r="T1043" s="255">
        <v>592982</v>
      </c>
      <c r="U1043" s="255">
        <v>571818</v>
      </c>
      <c r="V1043" s="255">
        <v>524493</v>
      </c>
      <c r="W1043" s="255">
        <v>1268811</v>
      </c>
      <c r="X1043" s="255">
        <v>1</v>
      </c>
      <c r="Y1043" s="255">
        <v>202937</v>
      </c>
      <c r="Z1043" s="247">
        <f ca="1">[1]ExtEntry!$P44</f>
        <v>202937</v>
      </c>
      <c r="AB1043" s="275">
        <v>48</v>
      </c>
      <c r="AC1043" s="275">
        <v>44</v>
      </c>
      <c r="AD1043" s="275">
        <v>48</v>
      </c>
      <c r="AE1043" s="251">
        <v>46</v>
      </c>
      <c r="AF1043" s="251">
        <v>49</v>
      </c>
      <c r="AG1043" s="251">
        <v>46</v>
      </c>
      <c r="AH1043" s="251">
        <v>39</v>
      </c>
      <c r="AI1043" s="251">
        <v>46</v>
      </c>
      <c r="AJ1043" s="251">
        <v>54</v>
      </c>
      <c r="AK1043" s="251">
        <v>56</v>
      </c>
      <c r="AL1043" s="251">
        <v>61</v>
      </c>
      <c r="AM1043" s="251">
        <v>65</v>
      </c>
      <c r="AN1043" s="251">
        <v>56</v>
      </c>
      <c r="AO1043" s="275">
        <v>41</v>
      </c>
      <c r="AP1043" s="275">
        <v>50</v>
      </c>
      <c r="AQ1043" s="275">
        <v>43</v>
      </c>
      <c r="AR1043" s="275">
        <v>41</v>
      </c>
      <c r="AS1043" s="275">
        <v>38</v>
      </c>
      <c r="AT1043" s="275">
        <v>33</v>
      </c>
      <c r="AU1043" s="275">
        <v>35</v>
      </c>
      <c r="AV1043" s="275">
        <f t="shared" si="87"/>
        <v>35</v>
      </c>
      <c r="AX1043" s="88" t="str">
        <f t="shared" ca="1" si="86"/>
        <v>SSYS</v>
      </c>
    </row>
    <row r="1044" spans="1:50" hidden="1" x14ac:dyDescent="0.3">
      <c r="A1044" s="88" t="str">
        <f t="shared" ca="1" si="85"/>
        <v>TSLA</v>
      </c>
      <c r="C1044" s="1">
        <v>45</v>
      </c>
      <c r="F1044" s="255">
        <v>70873218</v>
      </c>
      <c r="G1044" s="255">
        <v>64794017</v>
      </c>
      <c r="H1044" s="255">
        <v>76558288</v>
      </c>
      <c r="I1044" s="255">
        <v>89331578</v>
      </c>
      <c r="J1044" s="255">
        <v>63276272</v>
      </c>
      <c r="K1044" s="255">
        <v>53969321</v>
      </c>
      <c r="L1044" s="255">
        <v>76964921</v>
      </c>
      <c r="M1044" s="255">
        <v>77031666</v>
      </c>
      <c r="N1044" s="255">
        <v>125994617</v>
      </c>
      <c r="O1044" s="255">
        <v>94158432</v>
      </c>
      <c r="P1044" s="255">
        <v>105200859</v>
      </c>
      <c r="Q1044" s="255">
        <v>79773148</v>
      </c>
      <c r="R1044" s="255">
        <v>71026766</v>
      </c>
      <c r="S1044" s="255">
        <v>76006546</v>
      </c>
      <c r="T1044" s="255">
        <v>85406218</v>
      </c>
      <c r="U1044" s="255">
        <v>92518948</v>
      </c>
      <c r="V1044" s="255">
        <v>94942022</v>
      </c>
      <c r="W1044" s="255">
        <v>105336865</v>
      </c>
      <c r="X1044" s="255">
        <v>99461</v>
      </c>
      <c r="Y1044" s="255">
        <v>41299931</v>
      </c>
      <c r="Z1044" s="247">
        <f ca="1">[1]ExtEntry!$P45</f>
        <v>41299931</v>
      </c>
      <c r="AB1044" s="275">
        <v>60</v>
      </c>
      <c r="AC1044" s="275">
        <v>66</v>
      </c>
      <c r="AD1044" s="275">
        <v>65</v>
      </c>
      <c r="AE1044" s="251">
        <v>64</v>
      </c>
      <c r="AF1044" s="251">
        <v>65</v>
      </c>
      <c r="AG1044" s="251">
        <v>60</v>
      </c>
      <c r="AH1044" s="251">
        <v>53</v>
      </c>
      <c r="AI1044" s="251">
        <v>50</v>
      </c>
      <c r="AJ1044" s="251">
        <v>49</v>
      </c>
      <c r="AK1044" s="251">
        <v>56</v>
      </c>
      <c r="AL1044" s="251">
        <v>52</v>
      </c>
      <c r="AM1044" s="251">
        <v>57</v>
      </c>
      <c r="AN1044" s="251">
        <v>59</v>
      </c>
      <c r="AO1044" s="275">
        <v>36</v>
      </c>
      <c r="AP1044" s="275">
        <v>40</v>
      </c>
      <c r="AQ1044" s="275">
        <v>27</v>
      </c>
      <c r="AR1044" s="275">
        <v>28</v>
      </c>
      <c r="AS1044" s="275">
        <v>35</v>
      </c>
      <c r="AT1044" s="275">
        <v>28</v>
      </c>
      <c r="AU1044" s="275">
        <v>33</v>
      </c>
      <c r="AV1044" s="275">
        <f t="shared" si="87"/>
        <v>33</v>
      </c>
      <c r="AX1044" s="88" t="str">
        <f t="shared" ca="1" si="86"/>
        <v>TSLA</v>
      </c>
    </row>
    <row r="1045" spans="1:50" hidden="1" x14ac:dyDescent="0.3">
      <c r="A1045" s="88" t="str">
        <f t="shared" ca="1" si="85"/>
        <v>TSM</v>
      </c>
      <c r="C1045" s="1">
        <v>46</v>
      </c>
      <c r="F1045" s="255">
        <v>16278621</v>
      </c>
      <c r="G1045" s="255">
        <v>16724982</v>
      </c>
      <c r="H1045" s="255">
        <v>26205504</v>
      </c>
      <c r="I1045" s="255">
        <v>17633323</v>
      </c>
      <c r="J1045" s="255">
        <v>13317469</v>
      </c>
      <c r="K1045" s="255">
        <v>11095499</v>
      </c>
      <c r="L1045" s="255">
        <v>15310550</v>
      </c>
      <c r="M1045" s="255">
        <v>15311574</v>
      </c>
      <c r="N1045" s="255">
        <v>10321352</v>
      </c>
      <c r="O1045" s="255">
        <v>8718319</v>
      </c>
      <c r="P1045" s="255">
        <v>13562447</v>
      </c>
      <c r="Q1045" s="255">
        <v>11710180</v>
      </c>
      <c r="R1045" s="255">
        <v>14384065</v>
      </c>
      <c r="S1045" s="255">
        <v>13229272</v>
      </c>
      <c r="T1045" s="255">
        <v>10491376</v>
      </c>
      <c r="U1045" s="255">
        <v>9702637</v>
      </c>
      <c r="V1045" s="255">
        <v>13720680</v>
      </c>
      <c r="W1045" s="255">
        <v>11477120</v>
      </c>
      <c r="X1045" s="255">
        <v>30473</v>
      </c>
      <c r="Y1045" s="255">
        <v>5487822</v>
      </c>
      <c r="Z1045" s="247">
        <f ca="1">[1]ExtEntry!$P46</f>
        <v>5487822</v>
      </c>
      <c r="AB1045" s="275">
        <v>43</v>
      </c>
      <c r="AC1045" s="275">
        <v>44</v>
      </c>
      <c r="AD1045" s="275">
        <v>44</v>
      </c>
      <c r="AE1045" s="251">
        <v>43</v>
      </c>
      <c r="AF1045" s="251">
        <v>49</v>
      </c>
      <c r="AG1045" s="251">
        <v>45</v>
      </c>
      <c r="AH1045" s="251">
        <v>47</v>
      </c>
      <c r="AI1045" s="251">
        <v>49</v>
      </c>
      <c r="AJ1045" s="251">
        <v>42</v>
      </c>
      <c r="AK1045" s="251">
        <v>44</v>
      </c>
      <c r="AL1045" s="251">
        <v>42</v>
      </c>
      <c r="AM1045" s="251">
        <v>35</v>
      </c>
      <c r="AN1045" s="251">
        <v>36</v>
      </c>
      <c r="AO1045" s="275">
        <v>36</v>
      </c>
      <c r="AP1045" s="275">
        <v>37</v>
      </c>
      <c r="AQ1045" s="275">
        <v>30</v>
      </c>
      <c r="AR1045" s="275">
        <v>33</v>
      </c>
      <c r="AS1045" s="275">
        <v>34</v>
      </c>
      <c r="AT1045" s="275">
        <v>18</v>
      </c>
      <c r="AU1045" s="275">
        <v>21</v>
      </c>
      <c r="AV1045" s="275">
        <f t="shared" si="87"/>
        <v>21</v>
      </c>
      <c r="AX1045" s="88" t="str">
        <f t="shared" ca="1" si="86"/>
        <v>TSM</v>
      </c>
    </row>
    <row r="1046" spans="1:50" hidden="1" x14ac:dyDescent="0.3">
      <c r="A1046" s="88" t="str">
        <f t="shared" ca="1" si="85"/>
        <v>UN0</v>
      </c>
      <c r="C1046" s="1">
        <v>47</v>
      </c>
      <c r="F1046" s="255">
        <v>30</v>
      </c>
      <c r="G1046" s="255">
        <v>322</v>
      </c>
      <c r="H1046" s="255">
        <v>70</v>
      </c>
      <c r="I1046" s="255">
        <v>188</v>
      </c>
      <c r="J1046" s="255">
        <v>7</v>
      </c>
      <c r="K1046" s="255">
        <v>111</v>
      </c>
      <c r="L1046" s="255">
        <v>536</v>
      </c>
      <c r="M1046" s="255">
        <v>536</v>
      </c>
      <c r="N1046" s="255">
        <v>118</v>
      </c>
      <c r="O1046" s="255">
        <v>186</v>
      </c>
      <c r="P1046" s="255">
        <v>302</v>
      </c>
      <c r="Q1046" s="255">
        <v>95</v>
      </c>
      <c r="R1046" s="255">
        <v>3</v>
      </c>
      <c r="S1046" s="255">
        <v>325</v>
      </c>
      <c r="T1046" s="255">
        <v>464</v>
      </c>
      <c r="U1046" s="255">
        <v>270</v>
      </c>
      <c r="V1046" s="255">
        <v>60</v>
      </c>
      <c r="W1046" s="255">
        <v>64</v>
      </c>
      <c r="X1046" s="255">
        <v>1694</v>
      </c>
      <c r="Y1046" s="255">
        <v>5</v>
      </c>
      <c r="Z1046" s="247">
        <f ca="1">[1]ExtEntry!$P47</f>
        <v>5</v>
      </c>
      <c r="AB1046" s="275">
        <v>13</v>
      </c>
      <c r="AC1046" s="275">
        <v>28</v>
      </c>
      <c r="AD1046" s="275">
        <v>29</v>
      </c>
      <c r="AE1046" s="251">
        <v>31</v>
      </c>
      <c r="AF1046" s="251">
        <v>32</v>
      </c>
      <c r="AG1046" s="251">
        <v>29</v>
      </c>
      <c r="AH1046" s="251">
        <v>29</v>
      </c>
      <c r="AI1046" s="251">
        <v>33</v>
      </c>
      <c r="AJ1046" s="251">
        <v>42</v>
      </c>
      <c r="AK1046" s="251">
        <v>52</v>
      </c>
      <c r="AL1046" s="251">
        <v>54</v>
      </c>
      <c r="AM1046" s="251">
        <v>51</v>
      </c>
      <c r="AN1046" s="251">
        <v>53</v>
      </c>
      <c r="AO1046" s="275">
        <v>63</v>
      </c>
      <c r="AP1046" s="275">
        <v>74</v>
      </c>
      <c r="AQ1046" s="275">
        <v>63</v>
      </c>
      <c r="AR1046" s="275">
        <v>73</v>
      </c>
      <c r="AS1046" s="275">
        <v>75</v>
      </c>
      <c r="AT1046" s="275">
        <v>72</v>
      </c>
      <c r="AU1046" s="275">
        <v>65</v>
      </c>
      <c r="AV1046" s="275">
        <f t="shared" si="87"/>
        <v>65</v>
      </c>
      <c r="AX1046" s="88" t="str">
        <f t="shared" ca="1" si="86"/>
        <v>UN0</v>
      </c>
    </row>
    <row r="1047" spans="1:50" hidden="1" x14ac:dyDescent="0.3">
      <c r="A1047" s="88" t="str">
        <f t="shared" ca="1" si="85"/>
        <v>UNIT</v>
      </c>
      <c r="C1047" s="1">
        <v>48</v>
      </c>
      <c r="F1047" s="255">
        <v>2236753</v>
      </c>
      <c r="G1047" s="255">
        <v>1680921</v>
      </c>
      <c r="H1047" s="255">
        <v>1972159</v>
      </c>
      <c r="I1047" s="255">
        <v>6205437</v>
      </c>
      <c r="J1047" s="255">
        <v>3025389</v>
      </c>
      <c r="K1047" s="255">
        <v>1265893</v>
      </c>
      <c r="L1047" s="255">
        <v>1541691</v>
      </c>
      <c r="M1047" s="255">
        <v>1541691</v>
      </c>
      <c r="N1047" s="255">
        <v>2509431</v>
      </c>
      <c r="O1047" s="255">
        <v>2329853</v>
      </c>
      <c r="P1047" s="255">
        <v>2428682</v>
      </c>
      <c r="Q1047" s="255">
        <v>2394151</v>
      </c>
      <c r="R1047" s="255">
        <v>2418156</v>
      </c>
      <c r="S1047" s="255">
        <v>2909142</v>
      </c>
      <c r="T1047" s="255">
        <v>4479962</v>
      </c>
      <c r="U1047" s="255">
        <v>2182606</v>
      </c>
      <c r="V1047" s="255">
        <v>2428859</v>
      </c>
      <c r="W1047" s="255">
        <v>2479441</v>
      </c>
      <c r="X1047" s="255">
        <v>2136022</v>
      </c>
      <c r="Y1047" s="255">
        <v>718508</v>
      </c>
      <c r="Z1047" s="247">
        <f ca="1">[1]ExtEntry!$P48</f>
        <v>718508</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181300</v>
      </c>
      <c r="G1048" s="255">
        <v>144720</v>
      </c>
      <c r="H1048" s="255">
        <v>61391</v>
      </c>
      <c r="I1048" s="255">
        <v>225142</v>
      </c>
      <c r="J1048" s="255">
        <v>80727</v>
      </c>
      <c r="K1048" s="255">
        <v>99054</v>
      </c>
      <c r="L1048" s="255">
        <v>44189</v>
      </c>
      <c r="M1048" s="255">
        <v>44189</v>
      </c>
      <c r="N1048" s="255">
        <v>64546</v>
      </c>
      <c r="O1048" s="255">
        <v>63080</v>
      </c>
      <c r="P1048" s="255">
        <v>82544</v>
      </c>
      <c r="Q1048" s="255">
        <v>52433</v>
      </c>
      <c r="R1048" s="255">
        <v>141918</v>
      </c>
      <c r="S1048" s="255">
        <v>84159</v>
      </c>
      <c r="T1048" s="255">
        <v>89619</v>
      </c>
      <c r="U1048" s="255">
        <v>98634</v>
      </c>
      <c r="V1048" s="255">
        <v>57199</v>
      </c>
      <c r="W1048" s="255">
        <v>76921</v>
      </c>
      <c r="X1048" s="255">
        <v>121808</v>
      </c>
      <c r="Y1048" s="255">
        <v>25290</v>
      </c>
      <c r="Z1048" s="247">
        <f ca="1">[1]ExtEntry!$P49</f>
        <v>25290</v>
      </c>
      <c r="AB1048" s="275">
        <v>32</v>
      </c>
      <c r="AC1048" s="275">
        <v>39</v>
      </c>
      <c r="AD1048" s="275">
        <v>47</v>
      </c>
      <c r="AE1048" s="251">
        <v>24</v>
      </c>
      <c r="AF1048" s="251">
        <v>36</v>
      </c>
      <c r="AG1048" s="251">
        <v>37</v>
      </c>
      <c r="AH1048" s="251">
        <v>35</v>
      </c>
      <c r="AI1048" s="251">
        <v>31</v>
      </c>
      <c r="AJ1048" s="251">
        <v>30</v>
      </c>
      <c r="AK1048" s="251">
        <v>37</v>
      </c>
      <c r="AL1048" s="251">
        <v>39</v>
      </c>
      <c r="AM1048" s="251">
        <v>43</v>
      </c>
      <c r="AN1048" s="251">
        <v>46</v>
      </c>
      <c r="AO1048" s="275">
        <v>41</v>
      </c>
      <c r="AP1048" s="275">
        <v>51</v>
      </c>
      <c r="AQ1048" s="275">
        <v>46</v>
      </c>
      <c r="AR1048" s="275">
        <v>45</v>
      </c>
      <c r="AS1048" s="275">
        <v>61</v>
      </c>
      <c r="AT1048" s="275">
        <v>52</v>
      </c>
      <c r="AU1048" s="275">
        <v>55</v>
      </c>
      <c r="AV1048" s="275">
        <f t="shared" ref="AV1048:AV1091" si="88">INT(100-100/(1+(19*SUMIF(L651:Y651,"&gt;0",L651:Y651)+IF(Y651&gt;0,Y651,0))/ABS(19*SUMIF(L651:Y651,"&lt;0",L651:Y651)+IF(Y651&lt;0,Y651,0))))</f>
        <v>55</v>
      </c>
      <c r="AX1048" s="88" t="str">
        <f t="shared" ca="1" si="86"/>
        <v>VLVLY</v>
      </c>
    </row>
    <row r="1049" spans="1:50" hidden="1" x14ac:dyDescent="0.3">
      <c r="A1049" s="88" t="str">
        <f t="shared" ca="1" si="85"/>
        <v>VONN</v>
      </c>
      <c r="C1049" s="1">
        <v>50</v>
      </c>
      <c r="F1049" s="255">
        <v>40964</v>
      </c>
      <c r="G1049" s="255">
        <v>26044</v>
      </c>
      <c r="H1049" s="255">
        <v>21698</v>
      </c>
      <c r="I1049" s="255">
        <v>30700</v>
      </c>
      <c r="J1049" s="255">
        <v>26733</v>
      </c>
      <c r="K1049" s="255">
        <v>32623</v>
      </c>
      <c r="L1049" s="255">
        <v>51976</v>
      </c>
      <c r="M1049" s="255">
        <v>51976</v>
      </c>
      <c r="N1049" s="255">
        <v>35718</v>
      </c>
      <c r="O1049" s="255">
        <v>32757</v>
      </c>
      <c r="P1049" s="255">
        <v>51486</v>
      </c>
      <c r="Q1049" s="255">
        <v>47240</v>
      </c>
      <c r="R1049" s="255">
        <v>40160</v>
      </c>
      <c r="S1049" s="255">
        <v>49860</v>
      </c>
      <c r="T1049" s="255">
        <v>29757</v>
      </c>
      <c r="U1049" s="255">
        <v>35740</v>
      </c>
      <c r="V1049" s="255">
        <v>29983</v>
      </c>
      <c r="W1049" s="255">
        <v>28125</v>
      </c>
      <c r="X1049" s="255">
        <v>14844</v>
      </c>
      <c r="Y1049" s="255">
        <v>44698</v>
      </c>
      <c r="Z1049" s="247">
        <f ca="1">[1]ExtEntry!$P50</f>
        <v>44698</v>
      </c>
      <c r="AB1049" s="275">
        <v>44</v>
      </c>
      <c r="AC1049" s="275">
        <v>46</v>
      </c>
      <c r="AD1049" s="275">
        <v>49</v>
      </c>
      <c r="AE1049" s="251">
        <v>38</v>
      </c>
      <c r="AF1049" s="251">
        <v>34</v>
      </c>
      <c r="AG1049" s="251">
        <v>33</v>
      </c>
      <c r="AH1049" s="251">
        <v>52</v>
      </c>
      <c r="AI1049" s="251">
        <v>61</v>
      </c>
      <c r="AJ1049" s="251">
        <v>63</v>
      </c>
      <c r="AK1049" s="251">
        <v>63</v>
      </c>
      <c r="AL1049" s="251">
        <v>61</v>
      </c>
      <c r="AM1049" s="251">
        <v>53</v>
      </c>
      <c r="AN1049" s="251">
        <v>60</v>
      </c>
      <c r="AO1049" s="275">
        <v>58</v>
      </c>
      <c r="AP1049" s="275">
        <v>55</v>
      </c>
      <c r="AQ1049" s="275">
        <v>52</v>
      </c>
      <c r="AR1049" s="275">
        <v>56</v>
      </c>
      <c r="AS1049" s="275">
        <v>59</v>
      </c>
      <c r="AT1049" s="275">
        <v>58</v>
      </c>
      <c r="AU1049" s="275">
        <v>63</v>
      </c>
      <c r="AV1049" s="275">
        <f t="shared" si="88"/>
        <v>63</v>
      </c>
      <c r="AX1049" s="88" t="str">
        <f t="shared" ca="1" si="86"/>
        <v>VONN</v>
      </c>
    </row>
    <row r="1050" spans="1:50" hidden="1" x14ac:dyDescent="0.3">
      <c r="A1050" s="88" t="str">
        <f t="shared" ca="1" si="85"/>
        <v>VTRS</v>
      </c>
      <c r="C1050" s="1">
        <v>51</v>
      </c>
      <c r="F1050" s="255">
        <v>6412916</v>
      </c>
      <c r="G1050" s="255">
        <v>4538172</v>
      </c>
      <c r="H1050" s="255">
        <v>6147785</v>
      </c>
      <c r="I1050" s="255">
        <v>5505693</v>
      </c>
      <c r="J1050" s="255">
        <v>6619423</v>
      </c>
      <c r="K1050" s="255">
        <v>6281833</v>
      </c>
      <c r="L1050" s="255">
        <v>7452697</v>
      </c>
      <c r="M1050" s="255">
        <v>7452697</v>
      </c>
      <c r="N1050" s="255">
        <v>5273920</v>
      </c>
      <c r="O1050" s="255">
        <v>5045521</v>
      </c>
      <c r="P1050" s="255">
        <v>6682000</v>
      </c>
      <c r="Q1050" s="255">
        <v>7206045</v>
      </c>
      <c r="R1050" s="255">
        <v>7556096</v>
      </c>
      <c r="S1050" s="255">
        <v>6711009</v>
      </c>
      <c r="T1050" s="255">
        <v>17838532</v>
      </c>
      <c r="U1050" s="255">
        <v>14226685</v>
      </c>
      <c r="V1050" s="255">
        <v>9388510</v>
      </c>
      <c r="W1050" s="255">
        <v>7397953</v>
      </c>
      <c r="X1050" s="255">
        <v>7719839</v>
      </c>
      <c r="Y1050" s="255">
        <v>2163996</v>
      </c>
      <c r="Z1050" s="247">
        <f ca="1">[1]ExtEntry!$P51</f>
        <v>2163996</v>
      </c>
      <c r="AB1050" s="275">
        <v>71</v>
      </c>
      <c r="AC1050" s="275">
        <v>69</v>
      </c>
      <c r="AD1050" s="275">
        <v>85</v>
      </c>
      <c r="AE1050" s="251">
        <v>86</v>
      </c>
      <c r="AF1050" s="251">
        <v>87</v>
      </c>
      <c r="AG1050" s="251">
        <v>85</v>
      </c>
      <c r="AH1050" s="251">
        <v>82</v>
      </c>
      <c r="AI1050" s="251">
        <v>82</v>
      </c>
      <c r="AJ1050" s="251">
        <v>72</v>
      </c>
      <c r="AK1050" s="251">
        <v>73</v>
      </c>
      <c r="AL1050" s="251">
        <v>89</v>
      </c>
      <c r="AM1050" s="251">
        <v>77</v>
      </c>
      <c r="AN1050" s="251">
        <v>79</v>
      </c>
      <c r="AO1050" s="275">
        <v>77</v>
      </c>
      <c r="AP1050" s="275">
        <v>80</v>
      </c>
      <c r="AQ1050" s="275">
        <v>52</v>
      </c>
      <c r="AR1050" s="275">
        <v>49</v>
      </c>
      <c r="AS1050" s="275">
        <v>41</v>
      </c>
      <c r="AT1050" s="275">
        <v>38</v>
      </c>
      <c r="AU1050" s="275">
        <v>31</v>
      </c>
      <c r="AV1050" s="275">
        <f t="shared" si="88"/>
        <v>31</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9851191</v>
      </c>
      <c r="G1052" s="255">
        <v>5998492</v>
      </c>
      <c r="H1052" s="255">
        <v>11765744</v>
      </c>
      <c r="I1052" s="255">
        <v>13460069</v>
      </c>
      <c r="J1052" s="255">
        <v>9521060</v>
      </c>
      <c r="K1052" s="255">
        <v>9201230</v>
      </c>
      <c r="L1052" s="255">
        <v>12150411</v>
      </c>
      <c r="M1052" s="255">
        <v>12150637</v>
      </c>
      <c r="N1052" s="255">
        <v>14996094</v>
      </c>
      <c r="O1052" s="255">
        <v>9908601</v>
      </c>
      <c r="P1052" s="255">
        <v>10970632</v>
      </c>
      <c r="Q1052" s="255">
        <v>9523993</v>
      </c>
      <c r="R1052" s="255">
        <v>16023932</v>
      </c>
      <c r="S1052" s="255">
        <v>7843868</v>
      </c>
      <c r="T1052" s="255">
        <v>12399753</v>
      </c>
      <c r="U1052" s="255">
        <v>8146065</v>
      </c>
      <c r="V1052" s="255">
        <v>10244297</v>
      </c>
      <c r="W1052" s="255">
        <v>17062862</v>
      </c>
      <c r="X1052" s="255">
        <v>241</v>
      </c>
      <c r="Y1052" s="255">
        <v>5274637</v>
      </c>
      <c r="Z1052" s="247">
        <f ca="1">[1]ExtEntry!$P53</f>
        <v>5274637</v>
      </c>
      <c r="AB1052" s="275">
        <v>44</v>
      </c>
      <c r="AC1052" s="275">
        <v>41</v>
      </c>
      <c r="AD1052" s="275">
        <v>34</v>
      </c>
      <c r="AE1052" s="251">
        <v>34</v>
      </c>
      <c r="AF1052" s="251">
        <v>45</v>
      </c>
      <c r="AG1052" s="251">
        <v>51</v>
      </c>
      <c r="AH1052" s="251">
        <v>62</v>
      </c>
      <c r="AI1052" s="251">
        <v>71</v>
      </c>
      <c r="AJ1052" s="251">
        <v>69</v>
      </c>
      <c r="AK1052" s="251">
        <v>66</v>
      </c>
      <c r="AL1052" s="251">
        <v>68</v>
      </c>
      <c r="AM1052" s="251">
        <v>69</v>
      </c>
      <c r="AN1052" s="251">
        <v>66</v>
      </c>
      <c r="AO1052" s="275">
        <v>63</v>
      </c>
      <c r="AP1052" s="275">
        <v>61</v>
      </c>
      <c r="AQ1052" s="275">
        <v>67</v>
      </c>
      <c r="AR1052" s="275">
        <v>77</v>
      </c>
      <c r="AS1052" s="275">
        <v>77</v>
      </c>
      <c r="AT1052" s="275">
        <v>78</v>
      </c>
      <c r="AU1052" s="275">
        <v>71</v>
      </c>
      <c r="AV1052" s="275">
        <f t="shared" si="88"/>
        <v>71</v>
      </c>
      <c r="AX1052" s="88" t="str">
        <f t="shared" ca="1" si="86"/>
        <v>XOM</v>
      </c>
    </row>
    <row r="1053" spans="1:50" hidden="1" x14ac:dyDescent="0.3">
      <c r="A1053" s="88" t="str">
        <f t="shared" ca="1" si="85"/>
        <v>XPER</v>
      </c>
      <c r="C1053" s="1">
        <v>54</v>
      </c>
      <c r="F1053" s="255">
        <v>515598</v>
      </c>
      <c r="G1053" s="255">
        <v>320031</v>
      </c>
      <c r="H1053" s="255">
        <v>460679</v>
      </c>
      <c r="I1053" s="255">
        <v>522482</v>
      </c>
      <c r="J1053" s="255">
        <v>478932</v>
      </c>
      <c r="K1053" s="255">
        <v>447330</v>
      </c>
      <c r="L1053" s="255">
        <v>442861</v>
      </c>
      <c r="M1053" s="255">
        <v>442861</v>
      </c>
      <c r="N1053" s="255">
        <v>418159</v>
      </c>
      <c r="O1053" s="255">
        <v>191074</v>
      </c>
      <c r="P1053" s="255">
        <v>377934</v>
      </c>
      <c r="Q1053" s="255">
        <v>419304</v>
      </c>
      <c r="R1053" s="255">
        <v>399827</v>
      </c>
      <c r="S1053" s="255">
        <v>379240</v>
      </c>
      <c r="T1053" s="255">
        <v>731648</v>
      </c>
      <c r="U1053" s="255">
        <v>795005</v>
      </c>
      <c r="V1053" s="255">
        <v>380699</v>
      </c>
      <c r="W1053" s="255">
        <v>533655</v>
      </c>
      <c r="X1053" s="255">
        <v>502313</v>
      </c>
      <c r="Y1053" s="255">
        <v>198908</v>
      </c>
      <c r="Z1053" s="247">
        <f ca="1">[1]ExtEntry!$P54</f>
        <v>198908</v>
      </c>
      <c r="AB1053" s="275">
        <v>74</v>
      </c>
      <c r="AC1053" s="275">
        <v>72</v>
      </c>
      <c r="AD1053" s="275">
        <v>71</v>
      </c>
      <c r="AE1053" s="251">
        <v>64</v>
      </c>
      <c r="AF1053" s="251">
        <v>67</v>
      </c>
      <c r="AG1053" s="251">
        <v>73</v>
      </c>
      <c r="AH1053" s="251">
        <v>63</v>
      </c>
      <c r="AI1053" s="251">
        <v>52</v>
      </c>
      <c r="AJ1053" s="251">
        <v>50</v>
      </c>
      <c r="AK1053" s="251">
        <v>62</v>
      </c>
      <c r="AL1053" s="251">
        <v>60</v>
      </c>
      <c r="AM1053" s="251">
        <v>61</v>
      </c>
      <c r="AN1053" s="251">
        <v>57</v>
      </c>
      <c r="AO1053" s="275">
        <v>42</v>
      </c>
      <c r="AP1053" s="275">
        <v>48</v>
      </c>
      <c r="AQ1053" s="275">
        <v>50</v>
      </c>
      <c r="AR1053" s="275">
        <v>44</v>
      </c>
      <c r="AS1053" s="275">
        <v>44</v>
      </c>
      <c r="AT1053" s="275">
        <v>38</v>
      </c>
      <c r="AU1053" s="275">
        <v>34</v>
      </c>
      <c r="AV1053" s="275">
        <f t="shared" si="88"/>
        <v>34</v>
      </c>
      <c r="AX1053" s="88" t="str">
        <f t="shared" ca="1" si="86"/>
        <v>XPER</v>
      </c>
    </row>
    <row r="1054" spans="1:50" hidden="1" x14ac:dyDescent="0.3">
      <c r="A1054" s="88" t="str">
        <f t="shared" ca="1" si="85"/>
        <v>MVEALDNE</v>
      </c>
      <c r="C1054" s="1">
        <v>55</v>
      </c>
      <c r="F1054" s="255">
        <v>563</v>
      </c>
      <c r="G1054" s="255">
        <v>3791</v>
      </c>
      <c r="H1054" s="255">
        <v>1032</v>
      </c>
      <c r="I1054" s="255">
        <v>1198</v>
      </c>
      <c r="J1054" s="255">
        <v>5482</v>
      </c>
      <c r="K1054" s="255">
        <v>35320</v>
      </c>
      <c r="L1054" s="255">
        <v>5796</v>
      </c>
      <c r="M1054" s="255">
        <v>5796</v>
      </c>
      <c r="N1054" s="255">
        <v>2266</v>
      </c>
      <c r="O1054" s="255">
        <v>10516</v>
      </c>
      <c r="P1054" s="255">
        <v>1300</v>
      </c>
      <c r="Q1054" s="255">
        <v>907</v>
      </c>
      <c r="R1054" s="255">
        <v>6835</v>
      </c>
      <c r="S1054" s="255">
        <v>9627</v>
      </c>
      <c r="T1054" s="255">
        <v>2729</v>
      </c>
      <c r="U1054" s="255">
        <v>1977</v>
      </c>
      <c r="V1054" s="255">
        <v>2114</v>
      </c>
      <c r="W1054" s="255">
        <v>12233</v>
      </c>
      <c r="X1054" s="255">
        <v>3351</v>
      </c>
      <c r="Y1054" s="255">
        <v>3776</v>
      </c>
      <c r="Z1054" s="247">
        <f ca="1">[1]ExtEntry!$P55</f>
        <v>3776</v>
      </c>
      <c r="AB1054" s="275">
        <v>75</v>
      </c>
      <c r="AC1054" s="275">
        <v>75</v>
      </c>
      <c r="AD1054" s="275">
        <v>65</v>
      </c>
      <c r="AE1054" s="251">
        <v>64</v>
      </c>
      <c r="AF1054" s="251">
        <v>24</v>
      </c>
      <c r="AG1054" s="251">
        <v>32</v>
      </c>
      <c r="AH1054" s="251">
        <v>31</v>
      </c>
      <c r="AI1054" s="251">
        <v>44</v>
      </c>
      <c r="AJ1054" s="251">
        <v>44</v>
      </c>
      <c r="AK1054" s="251">
        <v>37</v>
      </c>
      <c r="AL1054" s="251">
        <v>42</v>
      </c>
      <c r="AM1054" s="251">
        <v>44</v>
      </c>
      <c r="AN1054" s="251">
        <v>58</v>
      </c>
      <c r="AO1054" s="275">
        <v>56</v>
      </c>
      <c r="AP1054" s="275">
        <v>56</v>
      </c>
      <c r="AQ1054" s="275">
        <v>53</v>
      </c>
      <c r="AR1054" s="275">
        <v>56</v>
      </c>
      <c r="AS1054" s="275">
        <v>36</v>
      </c>
      <c r="AT1054" s="275">
        <v>37</v>
      </c>
      <c r="AU1054" s="275">
        <v>36</v>
      </c>
      <c r="AV1054" s="275">
        <f t="shared" si="88"/>
        <v>36</v>
      </c>
      <c r="AX1054" s="88" t="str">
        <f t="shared" ca="1" si="86"/>
        <v>MVEALDNE</v>
      </c>
    </row>
    <row r="1055" spans="1:50" hidden="1" x14ac:dyDescent="0.3">
      <c r="A1055" s="88" t="str">
        <f t="shared" ca="1" si="85"/>
        <v>MVEDDD</v>
      </c>
      <c r="C1055" s="1">
        <v>56</v>
      </c>
      <c r="F1055" s="255">
        <v>2743317</v>
      </c>
      <c r="G1055" s="255">
        <v>2866750</v>
      </c>
      <c r="H1055" s="255">
        <v>4907524</v>
      </c>
      <c r="I1055" s="255">
        <v>3756199</v>
      </c>
      <c r="J1055" s="255">
        <v>7265638</v>
      </c>
      <c r="K1055" s="255">
        <v>5877521</v>
      </c>
      <c r="L1055" s="255">
        <v>4894243</v>
      </c>
      <c r="M1055" s="255">
        <v>4894281</v>
      </c>
      <c r="N1055" s="255">
        <v>2812934</v>
      </c>
      <c r="O1055" s="255">
        <v>3306967</v>
      </c>
      <c r="P1055" s="255">
        <v>4796680</v>
      </c>
      <c r="Q1055" s="255">
        <v>5958381</v>
      </c>
      <c r="R1055" s="255">
        <v>4431708</v>
      </c>
      <c r="S1055" s="255">
        <v>2805733</v>
      </c>
      <c r="T1055" s="255">
        <v>5452199</v>
      </c>
      <c r="U1055" s="255">
        <v>3698414</v>
      </c>
      <c r="V1055" s="255">
        <v>2472948</v>
      </c>
      <c r="W1055" s="255">
        <v>1688130</v>
      </c>
      <c r="X1055" s="255">
        <v>10</v>
      </c>
      <c r="Y1055" s="255">
        <v>740466</v>
      </c>
      <c r="Z1055" s="247">
        <f ca="1">[1]ExtEntry!$P56</f>
        <v>740466</v>
      </c>
      <c r="AB1055" s="275">
        <v>68</v>
      </c>
      <c r="AC1055" s="275">
        <v>70</v>
      </c>
      <c r="AD1055" s="275">
        <v>70</v>
      </c>
      <c r="AE1055" s="251">
        <v>56</v>
      </c>
      <c r="AF1055" s="251">
        <v>77</v>
      </c>
      <c r="AG1055" s="251">
        <v>64</v>
      </c>
      <c r="AH1055" s="251">
        <v>55</v>
      </c>
      <c r="AI1055" s="251">
        <v>46</v>
      </c>
      <c r="AJ1055" s="251">
        <v>45</v>
      </c>
      <c r="AK1055" s="251">
        <v>46</v>
      </c>
      <c r="AL1055" s="251">
        <v>43</v>
      </c>
      <c r="AM1055" s="251">
        <v>47</v>
      </c>
      <c r="AN1055" s="251">
        <v>44</v>
      </c>
      <c r="AO1055" s="275">
        <v>37</v>
      </c>
      <c r="AP1055" s="275">
        <v>37</v>
      </c>
      <c r="AQ1055" s="275">
        <v>30</v>
      </c>
      <c r="AR1055" s="275">
        <v>30</v>
      </c>
      <c r="AS1055" s="275">
        <v>31</v>
      </c>
      <c r="AT1055" s="275">
        <v>10</v>
      </c>
      <c r="AU1055" s="275">
        <v>12</v>
      </c>
      <c r="AV1055" s="275">
        <f t="shared" si="88"/>
        <v>12</v>
      </c>
      <c r="AX1055" s="88" t="str">
        <f t="shared" ca="1" si="86"/>
        <v>MVEDDD</v>
      </c>
    </row>
    <row r="1056" spans="1:50" hidden="1" x14ac:dyDescent="0.3">
      <c r="A1056" s="88" t="str">
        <f t="shared" ca="1" si="85"/>
        <v>MVEDSY</v>
      </c>
      <c r="C1056" s="1">
        <v>57</v>
      </c>
      <c r="F1056" s="255">
        <v>2088831</v>
      </c>
      <c r="G1056" s="255">
        <v>1779477</v>
      </c>
      <c r="H1056" s="255">
        <v>1427587</v>
      </c>
      <c r="I1056" s="255">
        <v>1746130</v>
      </c>
      <c r="J1056" s="255">
        <v>1058138</v>
      </c>
      <c r="K1056" s="255">
        <v>1430986</v>
      </c>
      <c r="L1056" s="255">
        <v>1885559</v>
      </c>
      <c r="M1056" s="255">
        <v>1885559</v>
      </c>
      <c r="N1056" s="255">
        <v>7762453</v>
      </c>
      <c r="O1056" s="255">
        <v>3353364</v>
      </c>
      <c r="P1056" s="255">
        <v>1802863</v>
      </c>
      <c r="Q1056" s="255">
        <v>2468907</v>
      </c>
      <c r="R1056" s="255">
        <v>1896156</v>
      </c>
      <c r="S1056" s="255">
        <v>1574771</v>
      </c>
      <c r="T1056" s="255">
        <v>1361709</v>
      </c>
      <c r="U1056" s="255">
        <v>1938122</v>
      </c>
      <c r="V1056" s="255">
        <v>2490088</v>
      </c>
      <c r="W1056" s="255">
        <v>2292624</v>
      </c>
      <c r="X1056" s="255">
        <v>198159</v>
      </c>
      <c r="Y1056" s="255">
        <v>2756148</v>
      </c>
      <c r="Z1056" s="247">
        <f ca="1">[1]ExtEntry!$P57</f>
        <v>2756148</v>
      </c>
      <c r="AB1056" s="275">
        <v>55</v>
      </c>
      <c r="AC1056" s="275">
        <v>65</v>
      </c>
      <c r="AD1056" s="275">
        <v>67</v>
      </c>
      <c r="AE1056" s="251">
        <v>68</v>
      </c>
      <c r="AF1056" s="251">
        <v>70</v>
      </c>
      <c r="AG1056" s="251">
        <v>75</v>
      </c>
      <c r="AH1056" s="251">
        <v>72</v>
      </c>
      <c r="AI1056" s="251">
        <v>69</v>
      </c>
      <c r="AJ1056" s="251">
        <v>34</v>
      </c>
      <c r="AK1056" s="251">
        <v>34</v>
      </c>
      <c r="AL1056" s="251">
        <v>34</v>
      </c>
      <c r="AM1056" s="251">
        <v>31</v>
      </c>
      <c r="AN1056" s="251">
        <v>27</v>
      </c>
      <c r="AO1056" s="275">
        <v>24</v>
      </c>
      <c r="AP1056" s="275">
        <v>25</v>
      </c>
      <c r="AQ1056" s="275">
        <v>18</v>
      </c>
      <c r="AR1056" s="275">
        <v>13</v>
      </c>
      <c r="AS1056" s="275">
        <v>13</v>
      </c>
      <c r="AT1056" s="275">
        <v>7</v>
      </c>
      <c r="AU1056" s="275">
        <v>4</v>
      </c>
      <c r="AV1056" s="275">
        <f t="shared" si="88"/>
        <v>4</v>
      </c>
      <c r="AX1056" s="88" t="str">
        <f t="shared" ca="1" si="86"/>
        <v>MVEDSY</v>
      </c>
    </row>
    <row r="1057" spans="1:50" hidden="1" x14ac:dyDescent="0.3">
      <c r="A1057" s="88" t="str">
        <f t="shared" ca="1" si="85"/>
        <v>MVEEOAN</v>
      </c>
      <c r="C1057" s="1">
        <v>58</v>
      </c>
      <c r="F1057" s="255">
        <v>3070</v>
      </c>
      <c r="G1057" s="255">
        <v>5816</v>
      </c>
      <c r="H1057" s="255">
        <v>7915</v>
      </c>
      <c r="I1057" s="255">
        <v>4869</v>
      </c>
      <c r="J1057" s="255">
        <v>8743</v>
      </c>
      <c r="K1057" s="255">
        <v>12133</v>
      </c>
      <c r="L1057" s="255">
        <v>9346</v>
      </c>
      <c r="M1057" s="255">
        <v>9346</v>
      </c>
      <c r="N1057" s="255">
        <v>6458</v>
      </c>
      <c r="O1057" s="255">
        <v>4204</v>
      </c>
      <c r="P1057" s="255">
        <v>23578</v>
      </c>
      <c r="Q1057" s="255">
        <v>4227</v>
      </c>
      <c r="R1057" s="255">
        <v>840</v>
      </c>
      <c r="S1057" s="255">
        <v>11510</v>
      </c>
      <c r="T1057" s="255">
        <v>4253</v>
      </c>
      <c r="U1057" s="255">
        <v>3978</v>
      </c>
      <c r="V1057" s="255">
        <v>3946</v>
      </c>
      <c r="W1057" s="255">
        <v>18670</v>
      </c>
      <c r="X1057" s="255">
        <v>502</v>
      </c>
      <c r="Y1057" s="255">
        <v>1575</v>
      </c>
      <c r="Z1057" s="247">
        <f ca="1">[1]ExtEntry!$P58</f>
        <v>1575</v>
      </c>
      <c r="AB1057" s="275">
        <v>80</v>
      </c>
      <c r="AC1057" s="275">
        <v>69</v>
      </c>
      <c r="AD1057" s="275">
        <v>65</v>
      </c>
      <c r="AE1057" s="251">
        <v>63</v>
      </c>
      <c r="AF1057" s="251">
        <v>70</v>
      </c>
      <c r="AG1057" s="251">
        <v>67</v>
      </c>
      <c r="AH1057" s="251">
        <v>52</v>
      </c>
      <c r="AI1057" s="251">
        <v>50</v>
      </c>
      <c r="AJ1057" s="251">
        <v>41</v>
      </c>
      <c r="AK1057" s="251">
        <v>43</v>
      </c>
      <c r="AL1057" s="251">
        <v>42</v>
      </c>
      <c r="AM1057" s="251">
        <v>47</v>
      </c>
      <c r="AN1057" s="251">
        <v>45</v>
      </c>
      <c r="AO1057" s="275">
        <v>34</v>
      </c>
      <c r="AP1057" s="275">
        <v>42</v>
      </c>
      <c r="AQ1057" s="275">
        <v>46</v>
      </c>
      <c r="AR1057" s="275">
        <v>46</v>
      </c>
      <c r="AS1057" s="275">
        <v>46</v>
      </c>
      <c r="AT1057" s="275">
        <v>38</v>
      </c>
      <c r="AU1057" s="275">
        <v>38</v>
      </c>
      <c r="AV1057" s="275">
        <f t="shared" si="88"/>
        <v>38</v>
      </c>
      <c r="AX1057" s="88" t="str">
        <f t="shared" ca="1" si="86"/>
        <v>MVEEOAN</v>
      </c>
    </row>
    <row r="1058" spans="1:50" hidden="1" x14ac:dyDescent="0.3">
      <c r="A1058" s="88" t="str">
        <f t="shared" ca="1" si="85"/>
        <v>MVEENI</v>
      </c>
      <c r="C1058" s="1">
        <v>59</v>
      </c>
      <c r="F1058" s="255">
        <v>14695455</v>
      </c>
      <c r="G1058" s="255">
        <v>9345220</v>
      </c>
      <c r="H1058" s="255">
        <v>6870097</v>
      </c>
      <c r="I1058" s="255">
        <v>11973801</v>
      </c>
      <c r="J1058" s="255">
        <v>8408418</v>
      </c>
      <c r="K1058" s="255">
        <v>7832427</v>
      </c>
      <c r="L1058" s="255">
        <v>12355791</v>
      </c>
      <c r="M1058" s="255">
        <v>12355791</v>
      </c>
      <c r="N1058" s="255">
        <v>30583218</v>
      </c>
      <c r="O1058" s="255">
        <v>21544743</v>
      </c>
      <c r="P1058" s="255">
        <v>8798493</v>
      </c>
      <c r="Q1058" s="255">
        <v>8829732</v>
      </c>
      <c r="R1058" s="255">
        <v>8563486</v>
      </c>
      <c r="S1058" s="255">
        <v>10518609</v>
      </c>
      <c r="T1058" s="255">
        <v>7194438</v>
      </c>
      <c r="U1058" s="255">
        <v>7509064</v>
      </c>
      <c r="V1058" s="255">
        <v>7401986</v>
      </c>
      <c r="W1058" s="255">
        <v>7839107</v>
      </c>
      <c r="X1058" s="255">
        <v>1322075</v>
      </c>
      <c r="Y1058" s="255">
        <v>8051185</v>
      </c>
      <c r="Z1058" s="247">
        <f ca="1">[1]ExtEntry!$P59</f>
        <v>8051185</v>
      </c>
      <c r="AB1058" s="275">
        <v>47</v>
      </c>
      <c r="AC1058" s="275">
        <v>40</v>
      </c>
      <c r="AD1058" s="275">
        <v>40</v>
      </c>
      <c r="AE1058" s="251">
        <v>36</v>
      </c>
      <c r="AF1058" s="251">
        <v>44</v>
      </c>
      <c r="AG1058" s="251">
        <v>53</v>
      </c>
      <c r="AH1058" s="251">
        <v>57</v>
      </c>
      <c r="AI1058" s="251">
        <v>68</v>
      </c>
      <c r="AJ1058" s="251">
        <v>76</v>
      </c>
      <c r="AK1058" s="251">
        <v>78</v>
      </c>
      <c r="AL1058" s="251">
        <v>77</v>
      </c>
      <c r="AM1058" s="251">
        <v>74</v>
      </c>
      <c r="AN1058" s="251">
        <v>79</v>
      </c>
      <c r="AO1058" s="275">
        <v>77</v>
      </c>
      <c r="AP1058" s="275">
        <v>91</v>
      </c>
      <c r="AQ1058" s="275">
        <v>90</v>
      </c>
      <c r="AR1058" s="275">
        <v>89</v>
      </c>
      <c r="AS1058" s="275">
        <v>88</v>
      </c>
      <c r="AT1058" s="275">
        <v>88</v>
      </c>
      <c r="AU1058" s="275">
        <v>82</v>
      </c>
      <c r="AV1058" s="275">
        <f t="shared" si="88"/>
        <v>82</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41</v>
      </c>
      <c r="AC1059" s="275">
        <v>44</v>
      </c>
      <c r="AD1059" s="275">
        <v>45</v>
      </c>
      <c r="AE1059" s="251">
        <v>44</v>
      </c>
      <c r="AF1059" s="251">
        <v>52</v>
      </c>
      <c r="AG1059" s="251">
        <v>54</v>
      </c>
      <c r="AH1059" s="251">
        <v>35</v>
      </c>
      <c r="AI1059" s="251">
        <v>3</v>
      </c>
      <c r="AJ1059" s="251">
        <v>6</v>
      </c>
      <c r="AK1059" s="251">
        <v>0</v>
      </c>
      <c r="AL1059" s="251">
        <v>0</v>
      </c>
      <c r="AM1059" s="251">
        <v>0</v>
      </c>
      <c r="AN1059" s="251" t="e">
        <v>#DIV/0!</v>
      </c>
      <c r="AO1059" s="275" t="e">
        <v>#DIV/0!</v>
      </c>
      <c r="AP1059" s="275" t="e">
        <v>#DIV/0!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2227948</v>
      </c>
      <c r="G1060" s="255">
        <v>2222446</v>
      </c>
      <c r="H1060" s="255">
        <v>2290116</v>
      </c>
      <c r="I1060" s="255">
        <v>3198087</v>
      </c>
      <c r="J1060" s="255">
        <v>2671888</v>
      </c>
      <c r="K1060" s="255">
        <v>1632128</v>
      </c>
      <c r="L1060" s="255">
        <v>1421659</v>
      </c>
      <c r="M1060" s="255">
        <v>1421659</v>
      </c>
      <c r="N1060" s="255">
        <v>2134406</v>
      </c>
      <c r="O1060" s="255">
        <v>1624137</v>
      </c>
      <c r="P1060" s="255">
        <v>1355850</v>
      </c>
      <c r="Q1060" s="255">
        <v>1320384</v>
      </c>
      <c r="R1060" s="255">
        <v>4696719</v>
      </c>
      <c r="S1060" s="255">
        <v>1653376</v>
      </c>
      <c r="T1060" s="255">
        <v>1640478</v>
      </c>
      <c r="U1060" s="255">
        <v>2318629</v>
      </c>
      <c r="V1060" s="255">
        <v>1484276</v>
      </c>
      <c r="W1060" s="255">
        <v>1943311</v>
      </c>
      <c r="X1060" s="255">
        <v>253031</v>
      </c>
      <c r="Y1060" s="255">
        <v>2132855</v>
      </c>
      <c r="Z1060" s="247">
        <f ca="1">[1]ExtEntry!$P61</f>
        <v>2132855</v>
      </c>
      <c r="AB1060" s="275">
        <v>62</v>
      </c>
      <c r="AC1060" s="275">
        <v>63</v>
      </c>
      <c r="AD1060" s="275">
        <v>73</v>
      </c>
      <c r="AE1060" s="251">
        <v>47</v>
      </c>
      <c r="AF1060" s="251">
        <v>48</v>
      </c>
      <c r="AG1060" s="251">
        <v>50</v>
      </c>
      <c r="AH1060" s="251">
        <v>46</v>
      </c>
      <c r="AI1060" s="251">
        <v>45</v>
      </c>
      <c r="AJ1060" s="251">
        <v>50</v>
      </c>
      <c r="AK1060" s="251">
        <v>52</v>
      </c>
      <c r="AL1060" s="251">
        <v>45</v>
      </c>
      <c r="AM1060" s="251">
        <v>50</v>
      </c>
      <c r="AN1060" s="251">
        <v>41</v>
      </c>
      <c r="AO1060" s="275">
        <v>41</v>
      </c>
      <c r="AP1060" s="275">
        <v>33</v>
      </c>
      <c r="AQ1060" s="275">
        <v>38</v>
      </c>
      <c r="AR1060" s="275">
        <v>27</v>
      </c>
      <c r="AS1060" s="275">
        <v>32</v>
      </c>
      <c r="AT1060" s="275">
        <v>34</v>
      </c>
      <c r="AU1060" s="275">
        <v>36</v>
      </c>
      <c r="AV1060" s="275">
        <f t="shared" si="88"/>
        <v>36</v>
      </c>
      <c r="AX1060" s="88" t="str">
        <f t="shared" ca="1" si="86"/>
        <v>MVEGLE</v>
      </c>
    </row>
    <row r="1061" spans="1:50" hidden="1" x14ac:dyDescent="0.3">
      <c r="A1061" s="88" t="str">
        <f t="shared" ca="1" si="85"/>
        <v>MVEORA</v>
      </c>
      <c r="C1061" s="1">
        <v>62</v>
      </c>
      <c r="F1061" s="255">
        <v>3075263</v>
      </c>
      <c r="G1061" s="255">
        <v>9024947</v>
      </c>
      <c r="H1061" s="255">
        <v>3147289</v>
      </c>
      <c r="I1061" s="255">
        <v>5116783</v>
      </c>
      <c r="J1061" s="255">
        <v>2842966</v>
      </c>
      <c r="K1061" s="255">
        <v>3076165</v>
      </c>
      <c r="L1061" s="255">
        <v>4390773</v>
      </c>
      <c r="M1061" s="255">
        <v>4390773</v>
      </c>
      <c r="N1061" s="255">
        <v>4437686</v>
      </c>
      <c r="O1061" s="255">
        <v>3783933</v>
      </c>
      <c r="P1061" s="255">
        <v>2710207</v>
      </c>
      <c r="Q1061" s="255">
        <v>3539892</v>
      </c>
      <c r="R1061" s="255">
        <v>4055923</v>
      </c>
      <c r="S1061" s="255">
        <v>2868442</v>
      </c>
      <c r="T1061" s="255">
        <v>3380269</v>
      </c>
      <c r="U1061" s="255">
        <v>3643038</v>
      </c>
      <c r="V1061" s="255">
        <v>3771241</v>
      </c>
      <c r="W1061" s="255">
        <v>4351291</v>
      </c>
      <c r="X1061" s="255">
        <v>558000</v>
      </c>
      <c r="Y1061" s="255">
        <v>4293347</v>
      </c>
      <c r="Z1061" s="247">
        <f ca="1">[1]ExtEntry!$P62</f>
        <v>4293347</v>
      </c>
      <c r="AB1061" s="275">
        <v>49</v>
      </c>
      <c r="AC1061" s="275">
        <v>64</v>
      </c>
      <c r="AD1061" s="275">
        <v>62</v>
      </c>
      <c r="AE1061" s="251">
        <v>64</v>
      </c>
      <c r="AF1061" s="251">
        <v>60</v>
      </c>
      <c r="AG1061" s="251">
        <v>60</v>
      </c>
      <c r="AH1061" s="251">
        <v>61</v>
      </c>
      <c r="AI1061" s="251">
        <v>65</v>
      </c>
      <c r="AJ1061" s="251">
        <v>74</v>
      </c>
      <c r="AK1061" s="251">
        <v>65</v>
      </c>
      <c r="AL1061" s="251">
        <v>59</v>
      </c>
      <c r="AM1061" s="251">
        <v>57</v>
      </c>
      <c r="AN1061" s="251">
        <v>60</v>
      </c>
      <c r="AO1061" s="275">
        <v>60</v>
      </c>
      <c r="AP1061" s="275">
        <v>57</v>
      </c>
      <c r="AQ1061" s="275">
        <v>51</v>
      </c>
      <c r="AR1061" s="275">
        <v>56</v>
      </c>
      <c r="AS1061" s="275">
        <v>39</v>
      </c>
      <c r="AT1061" s="275">
        <v>37</v>
      </c>
      <c r="AU1061" s="275">
        <v>34</v>
      </c>
      <c r="AV1061" s="275">
        <f t="shared" si="88"/>
        <v>34</v>
      </c>
      <c r="AX1061" s="88" t="str">
        <f t="shared" ca="1" si="86"/>
        <v>MVEORA</v>
      </c>
    </row>
    <row r="1062" spans="1:50" hidden="1" x14ac:dyDescent="0.3">
      <c r="A1062" s="88" t="str">
        <f t="shared" ca="1" si="85"/>
        <v>MVERWE</v>
      </c>
      <c r="C1062" s="1">
        <v>63</v>
      </c>
      <c r="F1062" s="255">
        <v>2072</v>
      </c>
      <c r="G1062" s="255">
        <v>6519</v>
      </c>
      <c r="H1062" s="255">
        <v>6785</v>
      </c>
      <c r="I1062" s="255">
        <v>4500</v>
      </c>
      <c r="J1062" s="255">
        <v>3174</v>
      </c>
      <c r="K1062" s="255">
        <v>4550</v>
      </c>
      <c r="L1062" s="255">
        <v>30266</v>
      </c>
      <c r="M1062" s="255">
        <v>30266</v>
      </c>
      <c r="N1062" s="255">
        <v>2249</v>
      </c>
      <c r="O1062" s="255">
        <v>1740</v>
      </c>
      <c r="P1062" s="255">
        <v>7991</v>
      </c>
      <c r="Q1062" s="255">
        <v>2793</v>
      </c>
      <c r="R1062" s="255">
        <v>5960</v>
      </c>
      <c r="S1062" s="255">
        <v>5730</v>
      </c>
      <c r="T1062" s="255">
        <v>5600</v>
      </c>
      <c r="U1062" s="255">
        <v>9386</v>
      </c>
      <c r="V1062" s="255">
        <v>8208</v>
      </c>
      <c r="W1062" s="255">
        <v>6308</v>
      </c>
      <c r="X1062" s="255">
        <v>4470</v>
      </c>
      <c r="Y1062" s="255">
        <v>13072</v>
      </c>
      <c r="Z1062" s="247">
        <f ca="1">[1]ExtEntry!$P63</f>
        <v>13072</v>
      </c>
      <c r="AB1062" s="275">
        <v>82</v>
      </c>
      <c r="AC1062" s="275">
        <v>81</v>
      </c>
      <c r="AD1062" s="275">
        <v>83</v>
      </c>
      <c r="AE1062" s="251">
        <v>75</v>
      </c>
      <c r="AF1062" s="251">
        <v>75</v>
      </c>
      <c r="AG1062" s="251">
        <v>68</v>
      </c>
      <c r="AH1062" s="251">
        <v>57</v>
      </c>
      <c r="AI1062" s="251">
        <v>56</v>
      </c>
      <c r="AJ1062" s="251">
        <v>50</v>
      </c>
      <c r="AK1062" s="251">
        <v>56</v>
      </c>
      <c r="AL1062" s="251">
        <v>48</v>
      </c>
      <c r="AM1062" s="251">
        <v>58</v>
      </c>
      <c r="AN1062" s="251">
        <v>61</v>
      </c>
      <c r="AO1062" s="275">
        <v>49</v>
      </c>
      <c r="AP1062" s="275">
        <v>57</v>
      </c>
      <c r="AQ1062" s="275">
        <v>60</v>
      </c>
      <c r="AR1062" s="275">
        <v>52</v>
      </c>
      <c r="AS1062" s="275">
        <v>54</v>
      </c>
      <c r="AT1062" s="275">
        <v>51</v>
      </c>
      <c r="AU1062" s="275">
        <v>46</v>
      </c>
      <c r="AV1062" s="275">
        <f t="shared" si="88"/>
        <v>46</v>
      </c>
      <c r="AX1062" s="88" t="str">
        <f t="shared" ca="1" si="86"/>
        <v>MVERWE</v>
      </c>
    </row>
    <row r="1063" spans="1:50" hidden="1" x14ac:dyDescent="0.3">
      <c r="A1063" s="88" t="str">
        <f t="shared" ca="1" si="85"/>
        <v>MVESAP</v>
      </c>
      <c r="C1063" s="1">
        <v>64</v>
      </c>
      <c r="F1063" s="255">
        <v>1319040</v>
      </c>
      <c r="G1063" s="255">
        <v>1102569</v>
      </c>
      <c r="H1063" s="255">
        <v>1149922</v>
      </c>
      <c r="I1063" s="255">
        <v>1160814</v>
      </c>
      <c r="J1063" s="255">
        <v>1404631</v>
      </c>
      <c r="K1063" s="255">
        <v>1444043</v>
      </c>
      <c r="L1063" s="255">
        <v>1752971</v>
      </c>
      <c r="M1063" s="255">
        <v>1752971</v>
      </c>
      <c r="N1063" s="255">
        <v>3172728</v>
      </c>
      <c r="O1063" s="255">
        <v>1802588</v>
      </c>
      <c r="P1063" s="255">
        <v>1155170</v>
      </c>
      <c r="Q1063" s="255">
        <v>1130651</v>
      </c>
      <c r="R1063" s="255">
        <v>1387271</v>
      </c>
      <c r="S1063" s="255">
        <v>982932</v>
      </c>
      <c r="T1063" s="255">
        <v>944453</v>
      </c>
      <c r="U1063" s="255">
        <v>1263039</v>
      </c>
      <c r="V1063" s="255">
        <v>1495029</v>
      </c>
      <c r="W1063" s="255">
        <v>2184437</v>
      </c>
      <c r="X1063" s="255">
        <v>186591</v>
      </c>
      <c r="Y1063" s="255">
        <v>1173122</v>
      </c>
      <c r="Z1063" s="247">
        <f ca="1">[1]ExtEntry!$P64</f>
        <v>1173122</v>
      </c>
      <c r="AB1063" s="275">
        <v>78</v>
      </c>
      <c r="AC1063" s="275">
        <v>77</v>
      </c>
      <c r="AD1063" s="275">
        <v>84</v>
      </c>
      <c r="AE1063" s="251">
        <v>75</v>
      </c>
      <c r="AF1063" s="251">
        <v>82</v>
      </c>
      <c r="AG1063" s="251">
        <v>81</v>
      </c>
      <c r="AH1063" s="251">
        <v>72</v>
      </c>
      <c r="AI1063" s="251">
        <v>60</v>
      </c>
      <c r="AJ1063" s="251">
        <v>70</v>
      </c>
      <c r="AK1063" s="251">
        <v>52</v>
      </c>
      <c r="AL1063" s="251">
        <v>52</v>
      </c>
      <c r="AM1063" s="251">
        <v>50</v>
      </c>
      <c r="AN1063" s="251">
        <v>51</v>
      </c>
      <c r="AO1063" s="275">
        <v>47</v>
      </c>
      <c r="AP1063" s="275">
        <v>48</v>
      </c>
      <c r="AQ1063" s="275">
        <v>37</v>
      </c>
      <c r="AR1063" s="275">
        <v>36</v>
      </c>
      <c r="AS1063" s="275">
        <v>33</v>
      </c>
      <c r="AT1063" s="275">
        <v>24</v>
      </c>
      <c r="AU1063" s="275">
        <v>21</v>
      </c>
      <c r="AV1063" s="275">
        <f t="shared" si="88"/>
        <v>21</v>
      </c>
      <c r="AX1063" s="88" t="str">
        <f t="shared" ca="1" si="86"/>
        <v>MVESAP</v>
      </c>
    </row>
    <row r="1064" spans="1:50" hidden="1" x14ac:dyDescent="0.3">
      <c r="A1064" s="88" t="str">
        <f t="shared" ca="1" si="85"/>
        <v>MVEUN0</v>
      </c>
      <c r="C1064" s="1">
        <v>65</v>
      </c>
      <c r="F1064" s="255">
        <v>30</v>
      </c>
      <c r="G1064" s="255">
        <v>322</v>
      </c>
      <c r="H1064" s="255">
        <v>70</v>
      </c>
      <c r="I1064" s="255">
        <v>188</v>
      </c>
      <c r="J1064" s="255">
        <v>7</v>
      </c>
      <c r="K1064" s="255">
        <v>111</v>
      </c>
      <c r="L1064" s="255">
        <v>536</v>
      </c>
      <c r="M1064" s="255">
        <v>536</v>
      </c>
      <c r="N1064" s="255">
        <v>118</v>
      </c>
      <c r="O1064" s="255">
        <v>186</v>
      </c>
      <c r="P1064" s="255">
        <v>302</v>
      </c>
      <c r="Q1064" s="255">
        <v>95</v>
      </c>
      <c r="R1064" s="255">
        <v>3</v>
      </c>
      <c r="S1064" s="255">
        <v>325</v>
      </c>
      <c r="T1064" s="255">
        <v>464</v>
      </c>
      <c r="U1064" s="255">
        <v>270</v>
      </c>
      <c r="V1064" s="255">
        <v>60</v>
      </c>
      <c r="W1064" s="255">
        <v>64</v>
      </c>
      <c r="X1064" s="255">
        <v>1694</v>
      </c>
      <c r="Y1064" s="255">
        <v>5</v>
      </c>
      <c r="Z1064" s="247">
        <f ca="1">[1]ExtEntry!$P65</f>
        <v>5</v>
      </c>
      <c r="AB1064" s="275">
        <v>43</v>
      </c>
      <c r="AC1064" s="275">
        <v>44</v>
      </c>
      <c r="AD1064" s="275">
        <v>44</v>
      </c>
      <c r="AE1064" s="251">
        <v>43</v>
      </c>
      <c r="AF1064" s="251">
        <v>49</v>
      </c>
      <c r="AG1064" s="251">
        <v>45</v>
      </c>
      <c r="AH1064" s="251">
        <v>47</v>
      </c>
      <c r="AI1064" s="251">
        <v>49</v>
      </c>
      <c r="AJ1064" s="251">
        <v>42</v>
      </c>
      <c r="AK1064" s="251">
        <v>44</v>
      </c>
      <c r="AL1064" s="251">
        <v>42</v>
      </c>
      <c r="AM1064" s="251">
        <v>35</v>
      </c>
      <c r="AN1064" s="251">
        <v>36</v>
      </c>
      <c r="AO1064" s="275">
        <v>36</v>
      </c>
      <c r="AP1064" s="275">
        <v>37</v>
      </c>
      <c r="AQ1064" s="275">
        <v>30</v>
      </c>
      <c r="AR1064" s="275">
        <v>33</v>
      </c>
      <c r="AS1064" s="275">
        <v>34</v>
      </c>
      <c r="AT1064" s="275">
        <v>18</v>
      </c>
      <c r="AU1064" s="275">
        <v>21</v>
      </c>
      <c r="AV1064" s="275">
        <f t="shared" si="88"/>
        <v>21</v>
      </c>
      <c r="AX1064" s="88" t="str">
        <f t="shared" ca="1" si="86"/>
        <v>MVEUN0</v>
      </c>
    </row>
    <row r="1065" spans="1:50" hidden="1" x14ac:dyDescent="0.3">
      <c r="A1065" s="88" t="str">
        <f t="shared" ca="1" si="85"/>
        <v>SAFAAPL</v>
      </c>
      <c r="C1065" s="1">
        <v>66</v>
      </c>
      <c r="F1065" s="255">
        <v>33863532</v>
      </c>
      <c r="G1065" s="255">
        <v>21436671</v>
      </c>
      <c r="H1065" s="255">
        <v>39640513</v>
      </c>
      <c r="I1065" s="255">
        <v>49146961</v>
      </c>
      <c r="J1065" s="255">
        <v>90216104</v>
      </c>
      <c r="K1065" s="255">
        <v>46613165</v>
      </c>
      <c r="L1065" s="255">
        <v>42920813</v>
      </c>
      <c r="M1065" s="255">
        <v>42922516</v>
      </c>
      <c r="N1065" s="255">
        <v>32635133</v>
      </c>
      <c r="O1065" s="255">
        <v>38135771</v>
      </c>
      <c r="P1065" s="255">
        <v>44619778</v>
      </c>
      <c r="Q1065" s="255">
        <v>41408229</v>
      </c>
      <c r="R1065" s="255">
        <v>56886249</v>
      </c>
      <c r="S1065" s="255">
        <v>35318913</v>
      </c>
      <c r="T1065" s="255">
        <v>43644546</v>
      </c>
      <c r="U1065" s="255">
        <v>32298934</v>
      </c>
      <c r="V1065" s="255">
        <v>36177947</v>
      </c>
      <c r="W1065" s="255">
        <v>47409237</v>
      </c>
      <c r="X1065" s="255">
        <v>13278</v>
      </c>
      <c r="Y1065" s="255">
        <v>15109120</v>
      </c>
      <c r="Z1065" s="247">
        <f ca="1">[1]ExtEntry!$P66</f>
        <v>15109120</v>
      </c>
      <c r="AB1065" s="275">
        <v>46</v>
      </c>
      <c r="AC1065" s="275">
        <v>54</v>
      </c>
      <c r="AD1065" s="275">
        <v>40</v>
      </c>
      <c r="AE1065" s="251">
        <v>53</v>
      </c>
      <c r="AF1065" s="251">
        <v>70</v>
      </c>
      <c r="AG1065" s="251">
        <v>70</v>
      </c>
      <c r="AH1065" s="251">
        <v>61</v>
      </c>
      <c r="AI1065" s="251">
        <v>53</v>
      </c>
      <c r="AJ1065" s="251">
        <v>54</v>
      </c>
      <c r="AK1065" s="251">
        <v>57</v>
      </c>
      <c r="AL1065" s="251">
        <v>61</v>
      </c>
      <c r="AM1065" s="251">
        <v>67</v>
      </c>
      <c r="AN1065" s="251">
        <v>75</v>
      </c>
      <c r="AO1065" s="275">
        <v>74</v>
      </c>
      <c r="AP1065" s="275">
        <v>74</v>
      </c>
      <c r="AQ1065" s="275">
        <v>73</v>
      </c>
      <c r="AR1065" s="275">
        <v>73</v>
      </c>
      <c r="AS1065" s="275">
        <v>68</v>
      </c>
      <c r="AT1065" s="275">
        <v>56</v>
      </c>
      <c r="AU1065" s="275">
        <v>59</v>
      </c>
      <c r="AV1065" s="275">
        <f t="shared" si="88"/>
        <v>59</v>
      </c>
      <c r="AX1065" s="88" t="str">
        <f t="shared" ca="1" si="86"/>
        <v>SAFAAPL</v>
      </c>
    </row>
    <row r="1066" spans="1:50" hidden="1" x14ac:dyDescent="0.3">
      <c r="A1066" s="88" t="str">
        <f t="shared" ca="1" si="85"/>
        <v>SAFAMZN</v>
      </c>
      <c r="C1066" s="1">
        <v>67</v>
      </c>
      <c r="F1066" s="255">
        <v>44484935</v>
      </c>
      <c r="G1066" s="255">
        <v>36401719</v>
      </c>
      <c r="H1066" s="255">
        <v>42173673</v>
      </c>
      <c r="I1066" s="255">
        <v>45986944</v>
      </c>
      <c r="J1066" s="255">
        <v>37990094</v>
      </c>
      <c r="K1066" s="255">
        <v>48555837</v>
      </c>
      <c r="L1066" s="255">
        <v>43584721</v>
      </c>
      <c r="M1066" s="255">
        <v>43592700</v>
      </c>
      <c r="N1066" s="255">
        <v>31406990</v>
      </c>
      <c r="O1066" s="255">
        <v>38542660</v>
      </c>
      <c r="P1066" s="255">
        <v>37932918</v>
      </c>
      <c r="Q1066" s="255">
        <v>46856444</v>
      </c>
      <c r="R1066" s="255">
        <v>88405636</v>
      </c>
      <c r="S1066" s="255">
        <v>40499016</v>
      </c>
      <c r="T1066" s="255">
        <v>40552606</v>
      </c>
      <c r="U1066" s="255">
        <v>33222962</v>
      </c>
      <c r="V1066" s="255">
        <v>37371756</v>
      </c>
      <c r="W1066" s="255">
        <v>38914244</v>
      </c>
      <c r="X1066" s="255">
        <v>43305</v>
      </c>
      <c r="Y1066" s="255">
        <v>29090882</v>
      </c>
      <c r="Z1066" s="247">
        <f ca="1">[1]ExtEntry!$P67</f>
        <v>29090882</v>
      </c>
      <c r="AB1066" s="275">
        <v>61</v>
      </c>
      <c r="AC1066" s="275">
        <v>59</v>
      </c>
      <c r="AD1066" s="275">
        <v>61</v>
      </c>
      <c r="AE1066" s="251">
        <v>56</v>
      </c>
      <c r="AF1066" s="251">
        <v>60</v>
      </c>
      <c r="AG1066" s="251">
        <v>70</v>
      </c>
      <c r="AH1066" s="251">
        <v>61</v>
      </c>
      <c r="AI1066" s="251">
        <v>54</v>
      </c>
      <c r="AJ1066" s="251">
        <v>61</v>
      </c>
      <c r="AK1066" s="251">
        <v>63</v>
      </c>
      <c r="AL1066" s="251">
        <v>63</v>
      </c>
      <c r="AM1066" s="251">
        <v>63</v>
      </c>
      <c r="AN1066" s="251">
        <v>50</v>
      </c>
      <c r="AO1066" s="275">
        <v>41</v>
      </c>
      <c r="AP1066" s="275">
        <v>46</v>
      </c>
      <c r="AQ1066" s="275">
        <v>41</v>
      </c>
      <c r="AR1066" s="275">
        <v>44</v>
      </c>
      <c r="AS1066" s="275">
        <v>42</v>
      </c>
      <c r="AT1066" s="275">
        <v>31</v>
      </c>
      <c r="AU1066" s="275">
        <v>24</v>
      </c>
      <c r="AV1066" s="275">
        <f t="shared" si="88"/>
        <v>24</v>
      </c>
      <c r="AX1066" s="88" t="str">
        <f t="shared" ca="1" si="86"/>
        <v>SAFAMZN</v>
      </c>
    </row>
    <row r="1067" spans="1:50" hidden="1" x14ac:dyDescent="0.3">
      <c r="A1067" s="88" t="str">
        <f t="shared" ref="A1067:A1094" ca="1" si="89">A70</f>
        <v>SAFASML</v>
      </c>
      <c r="C1067" s="1">
        <v>68</v>
      </c>
      <c r="F1067" s="255">
        <v>706297</v>
      </c>
      <c r="G1067" s="255">
        <v>1192298</v>
      </c>
      <c r="H1067" s="255">
        <v>703225</v>
      </c>
      <c r="I1067" s="255">
        <v>859995</v>
      </c>
      <c r="J1067" s="255">
        <v>530812</v>
      </c>
      <c r="K1067" s="255">
        <v>450669</v>
      </c>
      <c r="L1067" s="255">
        <v>537993</v>
      </c>
      <c r="M1067" s="255">
        <v>537993</v>
      </c>
      <c r="N1067" s="255">
        <v>746164</v>
      </c>
      <c r="O1067" s="255">
        <v>500510</v>
      </c>
      <c r="P1067" s="255">
        <v>523496</v>
      </c>
      <c r="Q1067" s="255">
        <v>409524</v>
      </c>
      <c r="R1067" s="255">
        <v>626353</v>
      </c>
      <c r="S1067" s="255">
        <v>512236</v>
      </c>
      <c r="T1067" s="255">
        <v>663558</v>
      </c>
      <c r="U1067" s="255">
        <v>481131</v>
      </c>
      <c r="V1067" s="255">
        <v>767828</v>
      </c>
      <c r="W1067" s="255">
        <v>667623</v>
      </c>
      <c r="X1067" s="255">
        <v>43298</v>
      </c>
      <c r="Y1067" s="255">
        <v>569186</v>
      </c>
      <c r="Z1067" s="247">
        <f ca="1">[1]ExtEntry!$P68</f>
        <v>569186</v>
      </c>
      <c r="AB1067" s="275">
        <v>64</v>
      </c>
      <c r="AC1067" s="275">
        <v>72</v>
      </c>
      <c r="AD1067" s="275">
        <v>72</v>
      </c>
      <c r="AE1067" s="251">
        <v>71</v>
      </c>
      <c r="AF1067" s="251">
        <v>73</v>
      </c>
      <c r="AG1067" s="251">
        <v>69</v>
      </c>
      <c r="AH1067" s="251">
        <v>57</v>
      </c>
      <c r="AI1067" s="251">
        <v>45</v>
      </c>
      <c r="AJ1067" s="251">
        <v>50</v>
      </c>
      <c r="AK1067" s="251">
        <v>57</v>
      </c>
      <c r="AL1067" s="251">
        <v>67</v>
      </c>
      <c r="AM1067" s="251">
        <v>68</v>
      </c>
      <c r="AN1067" s="251">
        <v>74</v>
      </c>
      <c r="AO1067" s="275">
        <v>65</v>
      </c>
      <c r="AP1067" s="275">
        <v>61</v>
      </c>
      <c r="AQ1067" s="275">
        <v>50</v>
      </c>
      <c r="AR1067" s="275">
        <v>42</v>
      </c>
      <c r="AS1067" s="275">
        <v>41</v>
      </c>
      <c r="AT1067" s="275">
        <v>32</v>
      </c>
      <c r="AU1067" s="275">
        <v>42</v>
      </c>
      <c r="AV1067" s="275">
        <f t="shared" si="88"/>
        <v>42</v>
      </c>
      <c r="AX1067" s="88" t="str">
        <f t="shared" ref="AX1067:AX1095" ca="1" si="90">A70</f>
        <v>SAFASML</v>
      </c>
    </row>
    <row r="1068" spans="1:50" hidden="1" x14ac:dyDescent="0.3">
      <c r="A1068" s="88" t="str">
        <f t="shared" ca="1" si="89"/>
        <v>SAFDDD</v>
      </c>
      <c r="C1068" s="1">
        <v>69</v>
      </c>
      <c r="F1068" s="255">
        <v>2743317</v>
      </c>
      <c r="G1068" s="255">
        <v>2866750</v>
      </c>
      <c r="H1068" s="255">
        <v>4907524</v>
      </c>
      <c r="I1068" s="255">
        <v>3756199</v>
      </c>
      <c r="J1068" s="255">
        <v>7265638</v>
      </c>
      <c r="K1068" s="255">
        <v>5877521</v>
      </c>
      <c r="L1068" s="255">
        <v>4894243</v>
      </c>
      <c r="M1068" s="255">
        <v>4894281</v>
      </c>
      <c r="N1068" s="255">
        <v>2812934</v>
      </c>
      <c r="O1068" s="255">
        <v>3306967</v>
      </c>
      <c r="P1068" s="255">
        <v>4796680</v>
      </c>
      <c r="Q1068" s="255">
        <v>5958381</v>
      </c>
      <c r="R1068" s="255">
        <v>4431708</v>
      </c>
      <c r="S1068" s="255">
        <v>2805733</v>
      </c>
      <c r="T1068" s="255">
        <v>5452199</v>
      </c>
      <c r="U1068" s="255">
        <v>3698414</v>
      </c>
      <c r="V1068" s="255">
        <v>2472948</v>
      </c>
      <c r="W1068" s="255">
        <v>1688130</v>
      </c>
      <c r="X1068" s="255">
        <v>10</v>
      </c>
      <c r="Y1068" s="255">
        <v>740466</v>
      </c>
      <c r="Z1068" s="247">
        <f ca="1">[1]ExtEntry!$P69</f>
        <v>740466</v>
      </c>
      <c r="AB1068" s="275">
        <v>68</v>
      </c>
      <c r="AC1068" s="275">
        <v>70</v>
      </c>
      <c r="AD1068" s="275">
        <v>70</v>
      </c>
      <c r="AE1068" s="251">
        <v>56</v>
      </c>
      <c r="AF1068" s="251">
        <v>77</v>
      </c>
      <c r="AG1068" s="251">
        <v>64</v>
      </c>
      <c r="AH1068" s="251">
        <v>55</v>
      </c>
      <c r="AI1068" s="251">
        <v>46</v>
      </c>
      <c r="AJ1068" s="251">
        <v>45</v>
      </c>
      <c r="AK1068" s="251">
        <v>46</v>
      </c>
      <c r="AL1068" s="251">
        <v>43</v>
      </c>
      <c r="AM1068" s="251">
        <v>47</v>
      </c>
      <c r="AN1068" s="251">
        <v>44</v>
      </c>
      <c r="AO1068" s="275">
        <v>37</v>
      </c>
      <c r="AP1068" s="275">
        <v>37</v>
      </c>
      <c r="AQ1068" s="275">
        <v>30</v>
      </c>
      <c r="AR1068" s="275">
        <v>30</v>
      </c>
      <c r="AS1068" s="275">
        <v>31</v>
      </c>
      <c r="AT1068" s="275">
        <v>10</v>
      </c>
      <c r="AU1068" s="275">
        <v>12</v>
      </c>
      <c r="AV1068" s="275">
        <f t="shared" si="88"/>
        <v>12</v>
      </c>
      <c r="AX1068" s="88" t="str">
        <f t="shared" ca="1" si="90"/>
        <v>SAFDDD</v>
      </c>
    </row>
    <row r="1069" spans="1:50" hidden="1" x14ac:dyDescent="0.3">
      <c r="A1069" s="88" t="str">
        <f t="shared" ca="1" si="89"/>
        <v>SAFDIS</v>
      </c>
      <c r="C1069" s="1">
        <v>70</v>
      </c>
      <c r="F1069" s="255">
        <v>7487217</v>
      </c>
      <c r="G1069" s="255">
        <v>4461070</v>
      </c>
      <c r="H1069" s="255">
        <v>7497362</v>
      </c>
      <c r="I1069" s="255">
        <v>10090543</v>
      </c>
      <c r="J1069" s="255">
        <v>7852558</v>
      </c>
      <c r="K1069" s="255">
        <v>7895984</v>
      </c>
      <c r="L1069" s="255">
        <v>7089159</v>
      </c>
      <c r="M1069" s="255">
        <v>7089234</v>
      </c>
      <c r="N1069" s="255">
        <v>6941871</v>
      </c>
      <c r="O1069" s="255">
        <v>6225525</v>
      </c>
      <c r="P1069" s="255">
        <v>6025289</v>
      </c>
      <c r="Q1069" s="255">
        <v>6784106</v>
      </c>
      <c r="R1069" s="255">
        <v>8208269</v>
      </c>
      <c r="S1069" s="255">
        <v>5130359</v>
      </c>
      <c r="T1069" s="255">
        <v>5745085</v>
      </c>
      <c r="U1069" s="255">
        <v>7417653</v>
      </c>
      <c r="V1069" s="255">
        <v>6540930</v>
      </c>
      <c r="W1069" s="255">
        <v>16641122</v>
      </c>
      <c r="X1069" s="255">
        <v>1321</v>
      </c>
      <c r="Y1069" s="255">
        <v>4473165</v>
      </c>
      <c r="Z1069" s="247">
        <f ca="1">[1]ExtEntry!$P70</f>
        <v>4473165</v>
      </c>
      <c r="AB1069" s="275">
        <v>46</v>
      </c>
      <c r="AC1069" s="275">
        <v>44</v>
      </c>
      <c r="AD1069" s="275">
        <v>38</v>
      </c>
      <c r="AE1069" s="251">
        <v>40</v>
      </c>
      <c r="AF1069" s="251">
        <v>43</v>
      </c>
      <c r="AG1069" s="251">
        <v>53</v>
      </c>
      <c r="AH1069" s="251">
        <v>54</v>
      </c>
      <c r="AI1069" s="251">
        <v>52</v>
      </c>
      <c r="AJ1069" s="251">
        <v>51</v>
      </c>
      <c r="AK1069" s="251">
        <v>47</v>
      </c>
      <c r="AL1069" s="251">
        <v>51</v>
      </c>
      <c r="AM1069" s="251">
        <v>52</v>
      </c>
      <c r="AN1069" s="251">
        <v>60</v>
      </c>
      <c r="AO1069" s="275">
        <v>54</v>
      </c>
      <c r="AP1069" s="275">
        <v>50</v>
      </c>
      <c r="AQ1069" s="275">
        <v>44</v>
      </c>
      <c r="AR1069" s="275">
        <v>51</v>
      </c>
      <c r="AS1069" s="275">
        <v>41</v>
      </c>
      <c r="AT1069" s="275">
        <v>39</v>
      </c>
      <c r="AU1069" s="275">
        <v>24</v>
      </c>
      <c r="AV1069" s="275">
        <f t="shared" si="88"/>
        <v>24</v>
      </c>
      <c r="AX1069" s="88" t="str">
        <f t="shared" ca="1" si="90"/>
        <v>SAFDIS</v>
      </c>
    </row>
    <row r="1070" spans="1:50" hidden="1" x14ac:dyDescent="0.3">
      <c r="A1070" s="88" t="str">
        <f t="shared" ca="1" si="89"/>
        <v>SAFGM</v>
      </c>
      <c r="C1070" s="1">
        <v>71</v>
      </c>
      <c r="F1070" s="255">
        <v>8198548</v>
      </c>
      <c r="G1070" s="255">
        <v>5423339</v>
      </c>
      <c r="H1070" s="255">
        <v>6028033</v>
      </c>
      <c r="I1070" s="255">
        <v>7956170</v>
      </c>
      <c r="J1070" s="255">
        <v>10157068</v>
      </c>
      <c r="K1070" s="255">
        <v>43520902</v>
      </c>
      <c r="L1070" s="255">
        <v>18785216</v>
      </c>
      <c r="M1070" s="255">
        <v>18785740</v>
      </c>
      <c r="N1070" s="255">
        <v>12642465</v>
      </c>
      <c r="O1070" s="255">
        <v>12552438</v>
      </c>
      <c r="P1070" s="255">
        <v>9720225</v>
      </c>
      <c r="Q1070" s="255">
        <v>13069015</v>
      </c>
      <c r="R1070" s="255">
        <v>7549349</v>
      </c>
      <c r="S1070" s="255">
        <v>5765939</v>
      </c>
      <c r="T1070" s="255">
        <v>7806815</v>
      </c>
      <c r="U1070" s="255">
        <v>4247020</v>
      </c>
      <c r="V1070" s="255">
        <v>5637542</v>
      </c>
      <c r="W1070" s="255">
        <v>7099967</v>
      </c>
      <c r="X1070" s="255">
        <v>396</v>
      </c>
      <c r="Y1070" s="255">
        <v>3146190</v>
      </c>
      <c r="Z1070" s="247">
        <f ca="1">[1]ExtEntry!$P71</f>
        <v>3146190</v>
      </c>
      <c r="AB1070" s="275">
        <v>51</v>
      </c>
      <c r="AC1070" s="275">
        <v>48</v>
      </c>
      <c r="AD1070" s="275">
        <v>42</v>
      </c>
      <c r="AE1070" s="251">
        <v>45</v>
      </c>
      <c r="AF1070" s="251">
        <v>45</v>
      </c>
      <c r="AG1070" s="251">
        <v>71</v>
      </c>
      <c r="AH1070" s="251">
        <v>71</v>
      </c>
      <c r="AI1070" s="251">
        <v>80</v>
      </c>
      <c r="AJ1070" s="251">
        <v>77</v>
      </c>
      <c r="AK1070" s="251">
        <v>84</v>
      </c>
      <c r="AL1070" s="251">
        <v>86</v>
      </c>
      <c r="AM1070" s="251">
        <v>89</v>
      </c>
      <c r="AN1070" s="251">
        <v>88</v>
      </c>
      <c r="AO1070" s="275">
        <v>83</v>
      </c>
      <c r="AP1070" s="275">
        <v>83</v>
      </c>
      <c r="AQ1070" s="275">
        <v>83</v>
      </c>
      <c r="AR1070" s="275">
        <v>86</v>
      </c>
      <c r="AS1070" s="275">
        <v>79</v>
      </c>
      <c r="AT1070" s="275">
        <v>81</v>
      </c>
      <c r="AU1070" s="275">
        <v>71</v>
      </c>
      <c r="AV1070" s="275">
        <f t="shared" si="88"/>
        <v>71</v>
      </c>
      <c r="AX1070" s="88" t="str">
        <f t="shared" ca="1" si="90"/>
        <v>SAFGM</v>
      </c>
    </row>
    <row r="1071" spans="1:50" hidden="1" x14ac:dyDescent="0.3">
      <c r="A1071" s="88" t="str">
        <f t="shared" ca="1" si="89"/>
        <v>SAFIAG</v>
      </c>
      <c r="C1071" s="1">
        <v>72</v>
      </c>
      <c r="F1071" s="255">
        <v>11820099</v>
      </c>
      <c r="G1071" s="255">
        <v>13565027</v>
      </c>
      <c r="H1071" s="255">
        <v>9228094</v>
      </c>
      <c r="I1071" s="255">
        <v>12861926</v>
      </c>
      <c r="J1071" s="255">
        <v>8774463</v>
      </c>
      <c r="K1071" s="255">
        <v>7465571</v>
      </c>
      <c r="L1071" s="255">
        <v>12700368</v>
      </c>
      <c r="M1071" s="255">
        <v>12700368</v>
      </c>
      <c r="N1071" s="255">
        <v>9874009</v>
      </c>
      <c r="O1071" s="255">
        <v>14720617</v>
      </c>
      <c r="P1071" s="255">
        <v>8104238</v>
      </c>
      <c r="Q1071" s="255">
        <v>9665099</v>
      </c>
      <c r="R1071" s="255">
        <v>14010487</v>
      </c>
      <c r="S1071" s="255">
        <v>13976914</v>
      </c>
      <c r="T1071" s="255">
        <v>10087501</v>
      </c>
      <c r="U1071" s="255">
        <v>21023096</v>
      </c>
      <c r="V1071" s="255">
        <v>51664851</v>
      </c>
      <c r="W1071" s="255">
        <v>11225097</v>
      </c>
      <c r="X1071" s="255">
        <v>1384879</v>
      </c>
      <c r="Y1071" s="255">
        <v>17364599</v>
      </c>
      <c r="Z1071" s="247">
        <f ca="1">[1]ExtEntry!$P72</f>
        <v>17364599</v>
      </c>
      <c r="AB1071" s="275">
        <v>72</v>
      </c>
      <c r="AC1071" s="275">
        <v>70</v>
      </c>
      <c r="AD1071" s="275">
        <v>71</v>
      </c>
      <c r="AE1071" s="251">
        <v>55</v>
      </c>
      <c r="AF1071" s="251">
        <v>57</v>
      </c>
      <c r="AG1071" s="251">
        <v>54</v>
      </c>
      <c r="AH1071" s="251">
        <v>65</v>
      </c>
      <c r="AI1071" s="251">
        <v>66</v>
      </c>
      <c r="AJ1071" s="251">
        <v>67</v>
      </c>
      <c r="AK1071" s="251">
        <v>69</v>
      </c>
      <c r="AL1071" s="251">
        <v>63</v>
      </c>
      <c r="AM1071" s="251">
        <v>57</v>
      </c>
      <c r="AN1071" s="251">
        <v>66</v>
      </c>
      <c r="AO1071" s="275">
        <v>61</v>
      </c>
      <c r="AP1071" s="275">
        <v>63</v>
      </c>
      <c r="AQ1071" s="275">
        <v>54</v>
      </c>
      <c r="AR1071" s="275">
        <v>33</v>
      </c>
      <c r="AS1071" s="275">
        <v>35</v>
      </c>
      <c r="AT1071" s="275">
        <v>32</v>
      </c>
      <c r="AU1071" s="275">
        <v>37</v>
      </c>
      <c r="AV1071" s="275">
        <f t="shared" si="88"/>
        <v>37</v>
      </c>
      <c r="AX1071" s="88" t="str">
        <f t="shared" ca="1" si="90"/>
        <v>SAFIAG</v>
      </c>
    </row>
    <row r="1072" spans="1:50" hidden="1" x14ac:dyDescent="0.3">
      <c r="A1072" s="88" t="str">
        <f t="shared" ca="1" si="89"/>
        <v>SAFMRNA</v>
      </c>
      <c r="C1072" s="1">
        <v>73</v>
      </c>
      <c r="F1072" s="255">
        <v>6991828</v>
      </c>
      <c r="G1072" s="255">
        <v>6350539</v>
      </c>
      <c r="H1072" s="255">
        <v>7845862</v>
      </c>
      <c r="I1072" s="255">
        <v>10115868</v>
      </c>
      <c r="J1072" s="255">
        <v>11486556</v>
      </c>
      <c r="K1072" s="255">
        <v>6124518</v>
      </c>
      <c r="L1072" s="255">
        <v>7168288</v>
      </c>
      <c r="M1072" s="255">
        <v>7210959</v>
      </c>
      <c r="N1072" s="255">
        <v>8709351</v>
      </c>
      <c r="O1072" s="255">
        <v>6477352</v>
      </c>
      <c r="P1072" s="255">
        <v>6694554</v>
      </c>
      <c r="Q1072" s="255">
        <v>8781632</v>
      </c>
      <c r="R1072" s="255">
        <v>48525064</v>
      </c>
      <c r="S1072" s="255">
        <v>10397848</v>
      </c>
      <c r="T1072" s="255">
        <v>11126437</v>
      </c>
      <c r="U1072" s="255">
        <v>15307030</v>
      </c>
      <c r="V1072" s="255">
        <v>8648447</v>
      </c>
      <c r="W1072" s="255">
        <v>8942005</v>
      </c>
      <c r="X1072" s="255">
        <v>1941</v>
      </c>
      <c r="Y1072" s="255">
        <v>3247192</v>
      </c>
      <c r="Z1072" s="247">
        <f ca="1">[1]ExtEntry!$P73</f>
        <v>3247192</v>
      </c>
      <c r="AB1072" s="275">
        <v>59</v>
      </c>
      <c r="AC1072" s="275">
        <v>66</v>
      </c>
      <c r="AD1072" s="275">
        <v>71</v>
      </c>
      <c r="AE1072" s="251">
        <v>63</v>
      </c>
      <c r="AF1072" s="251">
        <v>66</v>
      </c>
      <c r="AG1072" s="251">
        <v>65</v>
      </c>
      <c r="AH1072" s="251">
        <v>53</v>
      </c>
      <c r="AI1072" s="251">
        <v>44</v>
      </c>
      <c r="AJ1072" s="251">
        <v>40</v>
      </c>
      <c r="AK1072" s="251">
        <v>45</v>
      </c>
      <c r="AL1072" s="251">
        <v>40</v>
      </c>
      <c r="AM1072" s="251">
        <v>36</v>
      </c>
      <c r="AN1072" s="251">
        <v>56</v>
      </c>
      <c r="AO1072" s="275">
        <v>50</v>
      </c>
      <c r="AP1072" s="275">
        <v>52</v>
      </c>
      <c r="AQ1072" s="275">
        <v>48</v>
      </c>
      <c r="AR1072" s="275">
        <v>51</v>
      </c>
      <c r="AS1072" s="275">
        <v>56</v>
      </c>
      <c r="AT1072" s="275">
        <v>51</v>
      </c>
      <c r="AU1072" s="275">
        <v>46</v>
      </c>
      <c r="AV1072" s="275">
        <f t="shared" si="88"/>
        <v>46</v>
      </c>
      <c r="AX1072" s="88" t="str">
        <f t="shared" ca="1" si="90"/>
        <v>SAFMRNA</v>
      </c>
    </row>
    <row r="1073" spans="1:50" hidden="1" x14ac:dyDescent="0.3">
      <c r="A1073" s="88" t="str">
        <f t="shared" ca="1" si="89"/>
        <v>BLNK</v>
      </c>
      <c r="C1073" s="1">
        <v>74</v>
      </c>
      <c r="F1073" s="255">
        <v>6103906</v>
      </c>
      <c r="G1073" s="255">
        <v>5396557</v>
      </c>
      <c r="H1073" s="255">
        <v>6619863</v>
      </c>
      <c r="I1073" s="255">
        <v>4081986</v>
      </c>
      <c r="J1073" s="255">
        <v>2791863</v>
      </c>
      <c r="K1073" s="255">
        <v>3275107</v>
      </c>
      <c r="L1073" s="255">
        <v>4258129</v>
      </c>
      <c r="M1073" s="255">
        <v>4258180</v>
      </c>
      <c r="N1073" s="255">
        <v>1741866</v>
      </c>
      <c r="O1073" s="255">
        <v>4469782</v>
      </c>
      <c r="P1073" s="255">
        <v>2909174</v>
      </c>
      <c r="Q1073" s="255">
        <v>3354312</v>
      </c>
      <c r="R1073" s="255">
        <v>2318999</v>
      </c>
      <c r="S1073" s="255">
        <v>2136620</v>
      </c>
      <c r="T1073" s="255">
        <v>2549783</v>
      </c>
      <c r="U1073" s="255">
        <v>2443346</v>
      </c>
      <c r="V1073" s="255">
        <v>2753308</v>
      </c>
      <c r="W1073" s="255">
        <v>2304377</v>
      </c>
      <c r="X1073" s="255">
        <v>500</v>
      </c>
      <c r="Y1073" s="255">
        <v>809666</v>
      </c>
      <c r="Z1073" s="247">
        <f ca="1">[1]ExtEntry!$P74</f>
        <v>809666</v>
      </c>
      <c r="AB1073" s="275">
        <v>60</v>
      </c>
      <c r="AC1073" s="275">
        <v>56</v>
      </c>
      <c r="AD1073" s="275">
        <v>49</v>
      </c>
      <c r="AE1073" s="251">
        <v>47</v>
      </c>
      <c r="AF1073" s="251">
        <v>43</v>
      </c>
      <c r="AG1073" s="251">
        <v>43</v>
      </c>
      <c r="AH1073" s="251">
        <v>37</v>
      </c>
      <c r="AI1073" s="251">
        <v>39</v>
      </c>
      <c r="AJ1073" s="251">
        <v>28</v>
      </c>
      <c r="AK1073" s="251">
        <v>39</v>
      </c>
      <c r="AL1073" s="251">
        <v>37</v>
      </c>
      <c r="AM1073" s="251">
        <v>37</v>
      </c>
      <c r="AN1073" s="251">
        <v>36</v>
      </c>
      <c r="AO1073" s="275">
        <v>23</v>
      </c>
      <c r="AP1073" s="275">
        <v>31</v>
      </c>
      <c r="AQ1073" s="275">
        <v>30</v>
      </c>
      <c r="AR1073" s="275">
        <v>41</v>
      </c>
      <c r="AS1073" s="275">
        <v>42</v>
      </c>
      <c r="AT1073" s="275">
        <v>39</v>
      </c>
      <c r="AU1073" s="275">
        <v>42</v>
      </c>
      <c r="AV1073" s="275">
        <f t="shared" si="88"/>
        <v>42</v>
      </c>
      <c r="AX1073" s="88" t="str">
        <f t="shared" ca="1" si="90"/>
        <v>BLNK</v>
      </c>
    </row>
    <row r="1074" spans="1:50" hidden="1" x14ac:dyDescent="0.3">
      <c r="A1074" s="88" t="str">
        <f t="shared" ca="1" si="89"/>
        <v>ENI</v>
      </c>
      <c r="C1074" s="1">
        <v>75</v>
      </c>
      <c r="F1074" s="255">
        <v>14695455</v>
      </c>
      <c r="G1074" s="255">
        <v>9345220</v>
      </c>
      <c r="H1074" s="255">
        <v>6870097</v>
      </c>
      <c r="I1074" s="255">
        <v>11973801</v>
      </c>
      <c r="J1074" s="255">
        <v>8408418</v>
      </c>
      <c r="K1074" s="255">
        <v>7832427</v>
      </c>
      <c r="L1074" s="255">
        <v>12355791</v>
      </c>
      <c r="M1074" s="255">
        <v>12355791</v>
      </c>
      <c r="N1074" s="255">
        <v>30583218</v>
      </c>
      <c r="O1074" s="255">
        <v>21544743</v>
      </c>
      <c r="P1074" s="255">
        <v>8798493</v>
      </c>
      <c r="Q1074" s="255">
        <v>8829732</v>
      </c>
      <c r="R1074" s="255">
        <v>8563486</v>
      </c>
      <c r="S1074" s="255">
        <v>10518609</v>
      </c>
      <c r="T1074" s="255">
        <v>7194438</v>
      </c>
      <c r="U1074" s="255">
        <v>7509064</v>
      </c>
      <c r="V1074" s="255">
        <v>7401986</v>
      </c>
      <c r="W1074" s="255">
        <v>7839107</v>
      </c>
      <c r="X1074" s="255">
        <v>1322075</v>
      </c>
      <c r="Y1074" s="255">
        <v>8051185</v>
      </c>
      <c r="Z1074" s="247">
        <f ca="1">[1]ExtEntry!$P75</f>
        <v>8051185</v>
      </c>
      <c r="AB1074" s="275">
        <v>47</v>
      </c>
      <c r="AC1074" s="275">
        <v>40</v>
      </c>
      <c r="AD1074" s="275">
        <v>40</v>
      </c>
      <c r="AE1074" s="251">
        <v>36</v>
      </c>
      <c r="AF1074" s="251">
        <v>44</v>
      </c>
      <c r="AG1074" s="251">
        <v>53</v>
      </c>
      <c r="AH1074" s="251">
        <v>57</v>
      </c>
      <c r="AI1074" s="251">
        <v>68</v>
      </c>
      <c r="AJ1074" s="251">
        <v>76</v>
      </c>
      <c r="AK1074" s="251">
        <v>78</v>
      </c>
      <c r="AL1074" s="251">
        <v>77</v>
      </c>
      <c r="AM1074" s="251">
        <v>74</v>
      </c>
      <c r="AN1074" s="251">
        <v>79</v>
      </c>
      <c r="AO1074" s="275">
        <v>77</v>
      </c>
      <c r="AP1074" s="275">
        <v>91</v>
      </c>
      <c r="AQ1074" s="275">
        <v>90</v>
      </c>
      <c r="AR1074" s="275">
        <v>89</v>
      </c>
      <c r="AS1074" s="275">
        <v>88</v>
      </c>
      <c r="AT1074" s="275">
        <v>88</v>
      </c>
      <c r="AU1074" s="275">
        <v>82</v>
      </c>
      <c r="AV1074" s="275">
        <f t="shared" si="88"/>
        <v>82</v>
      </c>
      <c r="AX1074" s="88" t="str">
        <f t="shared" ca="1" si="90"/>
        <v>ENI</v>
      </c>
    </row>
    <row r="1075" spans="1:50" hidden="1" x14ac:dyDescent="0.3">
      <c r="A1075" s="88" t="str">
        <f t="shared" ca="1" si="89"/>
        <v>EZJ</v>
      </c>
      <c r="C1075" s="1">
        <v>76</v>
      </c>
      <c r="F1075" s="255">
        <v>15866760</v>
      </c>
      <c r="G1075" s="255">
        <v>8229058</v>
      </c>
      <c r="H1075" s="255">
        <v>4237034</v>
      </c>
      <c r="I1075" s="255">
        <v>4787602</v>
      </c>
      <c r="J1075" s="255">
        <v>2672725</v>
      </c>
      <c r="K1075" s="255">
        <v>4180016</v>
      </c>
      <c r="L1075" s="255">
        <v>3584172</v>
      </c>
      <c r="M1075" s="255">
        <v>3584172</v>
      </c>
      <c r="N1075" s="255">
        <v>2637704</v>
      </c>
      <c r="O1075" s="255">
        <v>2679379</v>
      </c>
      <c r="P1075" s="255">
        <v>2994420</v>
      </c>
      <c r="Q1075" s="255">
        <v>2362801</v>
      </c>
      <c r="R1075" s="255">
        <v>2674386</v>
      </c>
      <c r="S1075" s="255">
        <v>3047373</v>
      </c>
      <c r="T1075" s="255">
        <v>2648697</v>
      </c>
      <c r="U1075" s="255">
        <v>3359223</v>
      </c>
      <c r="V1075" s="255">
        <v>3447479</v>
      </c>
      <c r="W1075" s="255">
        <v>2656522</v>
      </c>
      <c r="X1075" s="255">
        <v>223538</v>
      </c>
      <c r="Y1075" s="255">
        <v>3452670</v>
      </c>
      <c r="Z1075" s="247">
        <f ca="1">[1]ExtEntry!$P76</f>
        <v>3452670</v>
      </c>
      <c r="AB1075" s="275">
        <v>86</v>
      </c>
      <c r="AC1075" s="275">
        <v>70</v>
      </c>
      <c r="AD1075" s="275">
        <v>74</v>
      </c>
      <c r="AE1075" s="251">
        <v>72</v>
      </c>
      <c r="AF1075" s="251">
        <v>69</v>
      </c>
      <c r="AG1075" s="251">
        <v>63</v>
      </c>
      <c r="AH1075" s="251">
        <v>69</v>
      </c>
      <c r="AI1075" s="251">
        <v>72</v>
      </c>
      <c r="AJ1075" s="251">
        <v>62</v>
      </c>
      <c r="AK1075" s="251">
        <v>66</v>
      </c>
      <c r="AL1075" s="251">
        <v>64</v>
      </c>
      <c r="AM1075" s="251">
        <v>62</v>
      </c>
      <c r="AN1075" s="251">
        <v>63</v>
      </c>
      <c r="AO1075" s="275">
        <v>58</v>
      </c>
      <c r="AP1075" s="275">
        <v>45</v>
      </c>
      <c r="AQ1075" s="275">
        <v>52</v>
      </c>
      <c r="AR1075" s="275">
        <v>44</v>
      </c>
      <c r="AS1075" s="275">
        <v>41</v>
      </c>
      <c r="AT1075" s="275">
        <v>41</v>
      </c>
      <c r="AU1075" s="275">
        <v>47</v>
      </c>
      <c r="AV1075" s="275">
        <f t="shared" si="88"/>
        <v>47</v>
      </c>
      <c r="AX1075" s="88" t="str">
        <f t="shared" ca="1" si="90"/>
        <v>EZJ</v>
      </c>
    </row>
    <row r="1076" spans="1:50" hidden="1" x14ac:dyDescent="0.3">
      <c r="A1076" s="88" t="str">
        <f t="shared" ca="1" si="89"/>
        <v>F</v>
      </c>
      <c r="C1076" s="1">
        <v>77</v>
      </c>
      <c r="F1076" s="255">
        <v>88754958</v>
      </c>
      <c r="G1076" s="255">
        <v>79874693</v>
      </c>
      <c r="H1076" s="255">
        <v>107799708</v>
      </c>
      <c r="I1076" s="255">
        <v>107633522</v>
      </c>
      <c r="J1076" s="255">
        <v>77843912</v>
      </c>
      <c r="K1076" s="255">
        <v>297016254</v>
      </c>
      <c r="L1076" s="255">
        <v>413872397</v>
      </c>
      <c r="M1076" s="255">
        <v>413875106</v>
      </c>
      <c r="N1076" s="255">
        <v>478152284</v>
      </c>
      <c r="O1076" s="255">
        <v>298109399</v>
      </c>
      <c r="P1076" s="255">
        <v>140664778</v>
      </c>
      <c r="Q1076" s="255">
        <v>96662392</v>
      </c>
      <c r="R1076" s="255">
        <v>79646922</v>
      </c>
      <c r="S1076" s="255">
        <v>61592111</v>
      </c>
      <c r="T1076" s="255">
        <v>79114426</v>
      </c>
      <c r="U1076" s="255">
        <v>71310987</v>
      </c>
      <c r="V1076" s="255">
        <v>69094524</v>
      </c>
      <c r="W1076" s="255">
        <v>67913483</v>
      </c>
      <c r="X1076" s="255">
        <v>450</v>
      </c>
      <c r="Y1076" s="255">
        <v>19319093</v>
      </c>
      <c r="Z1076" s="247">
        <f ca="1">[1]ExtEntry!$P77</f>
        <v>19319093</v>
      </c>
      <c r="AB1076" s="275">
        <v>44</v>
      </c>
      <c r="AC1076" s="275">
        <v>47</v>
      </c>
      <c r="AD1076" s="275">
        <v>47</v>
      </c>
      <c r="AE1076" s="251">
        <v>43</v>
      </c>
      <c r="AF1076" s="251">
        <v>46</v>
      </c>
      <c r="AG1076" s="251">
        <v>57</v>
      </c>
      <c r="AH1076" s="251">
        <v>50</v>
      </c>
      <c r="AI1076" s="251">
        <v>49</v>
      </c>
      <c r="AJ1076" s="251">
        <v>40</v>
      </c>
      <c r="AK1076" s="251">
        <v>73</v>
      </c>
      <c r="AL1076" s="251">
        <v>64</v>
      </c>
      <c r="AM1076" s="251">
        <v>66</v>
      </c>
      <c r="AN1076" s="251">
        <v>67</v>
      </c>
      <c r="AO1076" s="275">
        <v>63</v>
      </c>
      <c r="AP1076" s="275">
        <v>65</v>
      </c>
      <c r="AQ1076" s="275">
        <v>65</v>
      </c>
      <c r="AR1076" s="275">
        <v>67</v>
      </c>
      <c r="AS1076" s="275">
        <v>64</v>
      </c>
      <c r="AT1076" s="275">
        <v>65</v>
      </c>
      <c r="AU1076" s="275">
        <v>59</v>
      </c>
      <c r="AV1076" s="275">
        <f t="shared" si="88"/>
        <v>59</v>
      </c>
      <c r="AX1076" s="88" t="str">
        <f t="shared" ca="1" si="90"/>
        <v>F</v>
      </c>
    </row>
    <row r="1077" spans="1:50" hidden="1" x14ac:dyDescent="0.3">
      <c r="A1077" s="88" t="str">
        <f t="shared" ca="1" si="89"/>
        <v>GLE</v>
      </c>
      <c r="C1077" s="1">
        <v>78</v>
      </c>
      <c r="F1077" s="255">
        <v>2227948</v>
      </c>
      <c r="G1077" s="255">
        <v>2222446</v>
      </c>
      <c r="H1077" s="255">
        <v>2290116</v>
      </c>
      <c r="I1077" s="255">
        <v>3198087</v>
      </c>
      <c r="J1077" s="255">
        <v>2671888</v>
      </c>
      <c r="K1077" s="255">
        <v>1632128</v>
      </c>
      <c r="L1077" s="255">
        <v>1421659</v>
      </c>
      <c r="M1077" s="255">
        <v>1421659</v>
      </c>
      <c r="N1077" s="255">
        <v>2134406</v>
      </c>
      <c r="O1077" s="255">
        <v>1624137</v>
      </c>
      <c r="P1077" s="255">
        <v>1355850</v>
      </c>
      <c r="Q1077" s="255">
        <v>1320384</v>
      </c>
      <c r="R1077" s="255">
        <v>4696719</v>
      </c>
      <c r="S1077" s="255">
        <v>1653376</v>
      </c>
      <c r="T1077" s="255">
        <v>1640478</v>
      </c>
      <c r="U1077" s="255">
        <v>2318629</v>
      </c>
      <c r="V1077" s="255">
        <v>1484276</v>
      </c>
      <c r="W1077" s="255">
        <v>1943311</v>
      </c>
      <c r="X1077" s="255">
        <v>253031</v>
      </c>
      <c r="Y1077" s="255">
        <v>2132855</v>
      </c>
      <c r="Z1077" s="247">
        <f ca="1">[1]ExtEntry!$P78</f>
        <v>2132855</v>
      </c>
      <c r="AB1077" s="275">
        <v>62</v>
      </c>
      <c r="AC1077" s="275">
        <v>63</v>
      </c>
      <c r="AD1077" s="275">
        <v>73</v>
      </c>
      <c r="AE1077" s="251">
        <v>47</v>
      </c>
      <c r="AF1077" s="251">
        <v>48</v>
      </c>
      <c r="AG1077" s="251">
        <v>50</v>
      </c>
      <c r="AH1077" s="251">
        <v>46</v>
      </c>
      <c r="AI1077" s="251">
        <v>45</v>
      </c>
      <c r="AJ1077" s="251">
        <v>50</v>
      </c>
      <c r="AK1077" s="251">
        <v>52</v>
      </c>
      <c r="AL1077" s="251">
        <v>45</v>
      </c>
      <c r="AM1077" s="251">
        <v>50</v>
      </c>
      <c r="AN1077" s="251">
        <v>41</v>
      </c>
      <c r="AO1077" s="275">
        <v>41</v>
      </c>
      <c r="AP1077" s="275">
        <v>33</v>
      </c>
      <c r="AQ1077" s="275">
        <v>38</v>
      </c>
      <c r="AR1077" s="275">
        <v>27</v>
      </c>
      <c r="AS1077" s="275">
        <v>32</v>
      </c>
      <c r="AT1077" s="275">
        <v>34</v>
      </c>
      <c r="AU1077" s="275">
        <v>36</v>
      </c>
      <c r="AV1077" s="275">
        <f t="shared" si="88"/>
        <v>36</v>
      </c>
      <c r="AX1077" s="88" t="str">
        <f t="shared" ca="1" si="90"/>
        <v>GLE</v>
      </c>
    </row>
    <row r="1078" spans="1:50" hidden="1" x14ac:dyDescent="0.3">
      <c r="A1078" s="88" t="str">
        <f t="shared" ca="1" si="89"/>
        <v>GNRC</v>
      </c>
      <c r="C1078" s="1">
        <v>79</v>
      </c>
      <c r="F1078" s="255">
        <v>1415046</v>
      </c>
      <c r="G1078" s="255">
        <v>1341290</v>
      </c>
      <c r="H1078" s="255">
        <v>1068213</v>
      </c>
      <c r="I1078" s="255">
        <v>703625</v>
      </c>
      <c r="J1078" s="255">
        <v>677747</v>
      </c>
      <c r="K1078" s="255">
        <v>1028697</v>
      </c>
      <c r="L1078" s="255">
        <v>1073026</v>
      </c>
      <c r="M1078" s="255">
        <v>1073026</v>
      </c>
      <c r="N1078" s="255">
        <v>807129</v>
      </c>
      <c r="O1078" s="255">
        <v>816090</v>
      </c>
      <c r="P1078" s="255">
        <v>918160</v>
      </c>
      <c r="Q1078" s="255">
        <v>1580734</v>
      </c>
      <c r="R1078" s="255">
        <v>2527677</v>
      </c>
      <c r="S1078" s="255">
        <v>1022325</v>
      </c>
      <c r="T1078" s="255">
        <v>897057</v>
      </c>
      <c r="U1078" s="255">
        <v>915974</v>
      </c>
      <c r="V1078" s="255">
        <v>952915</v>
      </c>
      <c r="W1078" s="255">
        <v>1276767</v>
      </c>
      <c r="X1078" s="255">
        <v>1574126</v>
      </c>
      <c r="Y1078" s="255">
        <v>427351</v>
      </c>
      <c r="Z1078" s="247">
        <f ca="1">[1]ExtEntry!$P79</f>
        <v>427351</v>
      </c>
      <c r="AB1078" s="275">
        <v>76</v>
      </c>
      <c r="AC1078" s="275">
        <v>80</v>
      </c>
      <c r="AD1078" s="275">
        <v>85</v>
      </c>
      <c r="AE1078" s="251">
        <v>80</v>
      </c>
      <c r="AF1078" s="251">
        <v>86</v>
      </c>
      <c r="AG1078" s="251">
        <v>80</v>
      </c>
      <c r="AH1078" s="251">
        <v>67</v>
      </c>
      <c r="AI1078" s="251">
        <v>56</v>
      </c>
      <c r="AJ1078" s="251">
        <v>64</v>
      </c>
      <c r="AK1078" s="251">
        <v>64</v>
      </c>
      <c r="AL1078" s="251">
        <v>60</v>
      </c>
      <c r="AM1078" s="251">
        <v>60</v>
      </c>
      <c r="AN1078" s="251">
        <v>47</v>
      </c>
      <c r="AO1078" s="275">
        <v>41</v>
      </c>
      <c r="AP1078" s="275">
        <v>36</v>
      </c>
      <c r="AQ1078" s="275">
        <v>24</v>
      </c>
      <c r="AR1078" s="275">
        <v>24</v>
      </c>
      <c r="AS1078" s="275">
        <v>24</v>
      </c>
      <c r="AT1078" s="275">
        <v>20</v>
      </c>
      <c r="AU1078" s="275">
        <v>26</v>
      </c>
      <c r="AV1078" s="275">
        <f t="shared" si="88"/>
        <v>26</v>
      </c>
      <c r="AX1078" s="88" t="str">
        <f t="shared" ca="1" si="90"/>
        <v>GNRC</v>
      </c>
    </row>
    <row r="1079" spans="1:50" hidden="1" x14ac:dyDescent="0.3">
      <c r="A1079" s="88" t="str">
        <f t="shared" ca="1" si="89"/>
        <v>GS</v>
      </c>
      <c r="C1079" s="1">
        <v>80</v>
      </c>
      <c r="F1079" s="255">
        <v>4659025</v>
      </c>
      <c r="G1079" s="255">
        <v>2411623</v>
      </c>
      <c r="H1079" s="255">
        <v>3157167</v>
      </c>
      <c r="I1079" s="255">
        <v>2884713</v>
      </c>
      <c r="J1079" s="255">
        <v>1916625</v>
      </c>
      <c r="K1079" s="255">
        <v>1780921</v>
      </c>
      <c r="L1079" s="255">
        <v>2070373</v>
      </c>
      <c r="M1079" s="255">
        <v>2070478</v>
      </c>
      <c r="N1079" s="255">
        <v>1613430</v>
      </c>
      <c r="O1079" s="255">
        <v>2502904</v>
      </c>
      <c r="P1079" s="255">
        <v>1642958</v>
      </c>
      <c r="Q1079" s="255">
        <v>1240638</v>
      </c>
      <c r="R1079" s="255">
        <v>1802180</v>
      </c>
      <c r="S1079" s="255">
        <v>1478150</v>
      </c>
      <c r="T1079" s="255">
        <v>1832800</v>
      </c>
      <c r="U1079" s="255">
        <v>1082754</v>
      </c>
      <c r="V1079" s="255">
        <v>1676214</v>
      </c>
      <c r="W1079" s="255">
        <v>2552271</v>
      </c>
      <c r="X1079" s="255">
        <v>25</v>
      </c>
      <c r="Y1079" s="255">
        <v>623073</v>
      </c>
      <c r="Z1079" s="247">
        <f ca="1">[1]ExtEntry!$P80</f>
        <v>623073</v>
      </c>
      <c r="AB1079" s="275">
        <v>41</v>
      </c>
      <c r="AC1079" s="275">
        <v>43</v>
      </c>
      <c r="AD1079" s="275">
        <v>39</v>
      </c>
      <c r="AE1079" s="251">
        <v>33</v>
      </c>
      <c r="AF1079" s="251">
        <v>39</v>
      </c>
      <c r="AG1079" s="251">
        <v>40</v>
      </c>
      <c r="AH1079" s="251">
        <v>39</v>
      </c>
      <c r="AI1079" s="251">
        <v>36</v>
      </c>
      <c r="AJ1079" s="251">
        <v>35</v>
      </c>
      <c r="AK1079" s="251">
        <v>49</v>
      </c>
      <c r="AL1079" s="251">
        <v>55</v>
      </c>
      <c r="AM1079" s="251">
        <v>54</v>
      </c>
      <c r="AN1079" s="251">
        <v>55</v>
      </c>
      <c r="AO1079" s="275">
        <v>50</v>
      </c>
      <c r="AP1079" s="275">
        <v>57</v>
      </c>
      <c r="AQ1079" s="275">
        <v>57</v>
      </c>
      <c r="AR1079" s="275">
        <v>60</v>
      </c>
      <c r="AS1079" s="275">
        <v>57</v>
      </c>
      <c r="AT1079" s="275">
        <v>53</v>
      </c>
      <c r="AU1079" s="275">
        <v>57</v>
      </c>
      <c r="AV1079" s="275">
        <f t="shared" si="88"/>
        <v>57</v>
      </c>
      <c r="AX1079" s="88" t="str">
        <f t="shared" ca="1" si="90"/>
        <v>GS</v>
      </c>
    </row>
    <row r="1080" spans="1:50" hidden="1" x14ac:dyDescent="0.3">
      <c r="A1080" s="88" t="str">
        <f t="shared" ca="1" si="89"/>
        <v>LAZR</v>
      </c>
      <c r="C1080" s="1">
        <v>81</v>
      </c>
      <c r="F1080" s="255">
        <v>6350700</v>
      </c>
      <c r="G1080" s="255">
        <v>5496396</v>
      </c>
      <c r="H1080" s="255">
        <v>8401284</v>
      </c>
      <c r="I1080" s="255">
        <v>7680027</v>
      </c>
      <c r="J1080" s="255">
        <v>6157708</v>
      </c>
      <c r="K1080" s="255">
        <v>10267540</v>
      </c>
      <c r="L1080" s="255">
        <v>7707363</v>
      </c>
      <c r="M1080" s="255">
        <v>7708368</v>
      </c>
      <c r="N1080" s="255">
        <v>5360866</v>
      </c>
      <c r="O1080" s="255">
        <v>26338229</v>
      </c>
      <c r="P1080" s="255">
        <v>10247471</v>
      </c>
      <c r="Q1080" s="255">
        <v>6233592</v>
      </c>
      <c r="R1080" s="255">
        <v>6424026</v>
      </c>
      <c r="S1080" s="255">
        <v>12685244</v>
      </c>
      <c r="T1080" s="255">
        <v>7163373</v>
      </c>
      <c r="U1080" s="255">
        <v>4973848</v>
      </c>
      <c r="V1080" s="255">
        <v>4135053</v>
      </c>
      <c r="W1080" s="255">
        <v>10066705</v>
      </c>
      <c r="X1080" s="255">
        <v>303</v>
      </c>
      <c r="Y1080" s="255">
        <v>3481539</v>
      </c>
      <c r="Z1080" s="247">
        <f ca="1">[1]ExtEntry!$P81</f>
        <v>3481539</v>
      </c>
      <c r="AB1080" s="275">
        <v>51</v>
      </c>
      <c r="AC1080" s="275">
        <v>51</v>
      </c>
      <c r="AD1080" s="275">
        <v>49</v>
      </c>
      <c r="AE1080" s="251">
        <v>55</v>
      </c>
      <c r="AF1080" s="251">
        <v>56</v>
      </c>
      <c r="AG1080" s="251">
        <v>53</v>
      </c>
      <c r="AH1080" s="251">
        <v>49</v>
      </c>
      <c r="AI1080" s="251">
        <v>41</v>
      </c>
      <c r="AJ1080" s="251">
        <v>29</v>
      </c>
      <c r="AK1080" s="251">
        <v>53</v>
      </c>
      <c r="AL1080" s="251">
        <v>51</v>
      </c>
      <c r="AM1080" s="251">
        <v>47</v>
      </c>
      <c r="AN1080" s="251">
        <v>50</v>
      </c>
      <c r="AO1080" s="275">
        <v>46</v>
      </c>
      <c r="AP1080" s="275">
        <v>43</v>
      </c>
      <c r="AQ1080" s="275">
        <v>44</v>
      </c>
      <c r="AR1080" s="275">
        <v>51</v>
      </c>
      <c r="AS1080" s="275">
        <v>48</v>
      </c>
      <c r="AT1080" s="275">
        <v>45</v>
      </c>
      <c r="AU1080" s="275">
        <v>51</v>
      </c>
      <c r="AV1080" s="275">
        <f t="shared" si="88"/>
        <v>51</v>
      </c>
      <c r="AX1080" s="88" t="str">
        <f t="shared" ca="1" si="90"/>
        <v>LAZR</v>
      </c>
    </row>
    <row r="1081" spans="1:50" hidden="1" x14ac:dyDescent="0.3">
      <c r="A1081" s="88" t="str">
        <f t="shared" ca="1" si="89"/>
        <v>LUV</v>
      </c>
      <c r="C1081" s="1">
        <v>82</v>
      </c>
      <c r="F1081" s="255">
        <v>10912617</v>
      </c>
      <c r="G1081" s="255">
        <v>4156379</v>
      </c>
      <c r="H1081" s="255">
        <v>11015655</v>
      </c>
      <c r="I1081" s="255">
        <v>8264447</v>
      </c>
      <c r="J1081" s="255">
        <v>7634677</v>
      </c>
      <c r="K1081" s="255">
        <v>9404262</v>
      </c>
      <c r="L1081" s="255">
        <v>10487880</v>
      </c>
      <c r="M1081" s="255">
        <v>10491791</v>
      </c>
      <c r="N1081" s="255">
        <v>27755917</v>
      </c>
      <c r="O1081" s="255">
        <v>15182742</v>
      </c>
      <c r="P1081" s="255">
        <v>9614159</v>
      </c>
      <c r="Q1081" s="255">
        <v>11368847</v>
      </c>
      <c r="R1081" s="255">
        <v>6563851</v>
      </c>
      <c r="S1081" s="255">
        <v>7455282</v>
      </c>
      <c r="T1081" s="255">
        <v>9058688</v>
      </c>
      <c r="U1081" s="255">
        <v>5309100</v>
      </c>
      <c r="V1081" s="255">
        <v>6397522</v>
      </c>
      <c r="W1081" s="255">
        <v>7673552</v>
      </c>
      <c r="X1081" s="255">
        <v>150</v>
      </c>
      <c r="Y1081" s="255">
        <v>2017435</v>
      </c>
      <c r="Z1081" s="247">
        <f ca="1">[1]ExtEntry!$P82</f>
        <v>2017435</v>
      </c>
      <c r="AB1081" s="275">
        <v>47</v>
      </c>
      <c r="AC1081" s="275">
        <v>51</v>
      </c>
      <c r="AD1081" s="275">
        <v>57</v>
      </c>
      <c r="AE1081" s="251">
        <v>55</v>
      </c>
      <c r="AF1081" s="251">
        <v>60</v>
      </c>
      <c r="AG1081" s="251">
        <v>69</v>
      </c>
      <c r="AH1081" s="251">
        <v>58</v>
      </c>
      <c r="AI1081" s="251">
        <v>51</v>
      </c>
      <c r="AJ1081" s="251">
        <v>38</v>
      </c>
      <c r="AK1081" s="251">
        <v>43</v>
      </c>
      <c r="AL1081" s="251">
        <v>43</v>
      </c>
      <c r="AM1081" s="251">
        <v>41</v>
      </c>
      <c r="AN1081" s="251">
        <v>42</v>
      </c>
      <c r="AO1081" s="275">
        <v>35</v>
      </c>
      <c r="AP1081" s="275">
        <v>38</v>
      </c>
      <c r="AQ1081" s="275">
        <v>35</v>
      </c>
      <c r="AR1081" s="275">
        <v>41</v>
      </c>
      <c r="AS1081" s="275">
        <v>39</v>
      </c>
      <c r="AT1081" s="275">
        <v>35</v>
      </c>
      <c r="AU1081" s="275">
        <v>33</v>
      </c>
      <c r="AV1081" s="275">
        <f t="shared" si="88"/>
        <v>33</v>
      </c>
      <c r="AX1081" s="88" t="str">
        <f t="shared" ca="1" si="90"/>
        <v>LUV</v>
      </c>
    </row>
    <row r="1082" spans="1:50" hidden="1" x14ac:dyDescent="0.3">
      <c r="A1082" s="88" t="str">
        <f t="shared" ca="1" si="89"/>
        <v>MA</v>
      </c>
      <c r="C1082" s="1">
        <v>83</v>
      </c>
      <c r="F1082" s="255">
        <v>2531926</v>
      </c>
      <c r="G1082" s="255">
        <v>1475751</v>
      </c>
      <c r="H1082" s="255">
        <v>3209473</v>
      </c>
      <c r="I1082" s="255">
        <v>2756782</v>
      </c>
      <c r="J1082" s="255">
        <v>2045510</v>
      </c>
      <c r="K1082" s="255">
        <v>2720779</v>
      </c>
      <c r="L1082" s="255">
        <v>1820419</v>
      </c>
      <c r="M1082" s="255">
        <v>1820420</v>
      </c>
      <c r="N1082" s="255">
        <v>2179164</v>
      </c>
      <c r="O1082" s="255">
        <v>1839224</v>
      </c>
      <c r="P1082" s="255">
        <v>2936600</v>
      </c>
      <c r="Q1082" s="255">
        <v>2914055</v>
      </c>
      <c r="R1082" s="255">
        <v>4278822</v>
      </c>
      <c r="S1082" s="255">
        <v>1882010</v>
      </c>
      <c r="T1082" s="255">
        <v>2198524</v>
      </c>
      <c r="U1082" s="255">
        <v>1542947</v>
      </c>
      <c r="V1082" s="255">
        <v>1662970</v>
      </c>
      <c r="W1082" s="255">
        <v>2567801</v>
      </c>
      <c r="X1082" s="255">
        <v>299</v>
      </c>
      <c r="Y1082" s="255">
        <v>987038</v>
      </c>
      <c r="Z1082" s="247">
        <f ca="1">[1]ExtEntry!$P83</f>
        <v>987038</v>
      </c>
      <c r="AB1082" s="275">
        <v>45</v>
      </c>
      <c r="AC1082" s="275">
        <v>43</v>
      </c>
      <c r="AD1082" s="275">
        <v>36</v>
      </c>
      <c r="AE1082" s="251">
        <v>46</v>
      </c>
      <c r="AF1082" s="251">
        <v>49</v>
      </c>
      <c r="AG1082" s="251">
        <v>51</v>
      </c>
      <c r="AH1082" s="251">
        <v>48</v>
      </c>
      <c r="AI1082" s="251">
        <v>45</v>
      </c>
      <c r="AJ1082" s="251">
        <v>45</v>
      </c>
      <c r="AK1082" s="251">
        <v>44</v>
      </c>
      <c r="AL1082" s="251">
        <v>45</v>
      </c>
      <c r="AM1082" s="251">
        <v>48</v>
      </c>
      <c r="AN1082" s="251">
        <v>56</v>
      </c>
      <c r="AO1082" s="275">
        <v>61</v>
      </c>
      <c r="AP1082" s="275">
        <v>56</v>
      </c>
      <c r="AQ1082" s="275">
        <v>59</v>
      </c>
      <c r="AR1082" s="275">
        <v>72</v>
      </c>
      <c r="AS1082" s="275">
        <v>50</v>
      </c>
      <c r="AT1082" s="275">
        <v>35</v>
      </c>
      <c r="AU1082" s="275">
        <v>27</v>
      </c>
      <c r="AV1082" s="275">
        <f t="shared" si="88"/>
        <v>27</v>
      </c>
      <c r="AX1082" s="88" t="str">
        <f t="shared" ca="1" si="90"/>
        <v>MA</v>
      </c>
    </row>
    <row r="1083" spans="1:50" hidden="1" x14ac:dyDescent="0.3">
      <c r="A1083" s="88" t="str">
        <f t="shared" ca="1" si="89"/>
        <v>NVAX</v>
      </c>
      <c r="C1083" s="1">
        <v>84</v>
      </c>
      <c r="F1083" s="255">
        <v>5472602</v>
      </c>
      <c r="G1083" s="255">
        <v>4544749</v>
      </c>
      <c r="H1083" s="255">
        <v>5183963</v>
      </c>
      <c r="I1083" s="255">
        <v>6181811</v>
      </c>
      <c r="J1083" s="255">
        <v>5907495</v>
      </c>
      <c r="K1083" s="255">
        <v>4204683</v>
      </c>
      <c r="L1083" s="255">
        <v>3935197</v>
      </c>
      <c r="M1083" s="255">
        <v>3935197</v>
      </c>
      <c r="N1083" s="255">
        <v>3002965</v>
      </c>
      <c r="O1083" s="255">
        <v>2745799</v>
      </c>
      <c r="P1083" s="255">
        <v>2661820</v>
      </c>
      <c r="Q1083" s="255">
        <v>2092246</v>
      </c>
      <c r="R1083" s="255">
        <v>3023717</v>
      </c>
      <c r="S1083" s="255">
        <v>3881995</v>
      </c>
      <c r="T1083" s="255">
        <v>5035610</v>
      </c>
      <c r="U1083" s="255">
        <v>4529726</v>
      </c>
      <c r="V1083" s="255">
        <v>3913201</v>
      </c>
      <c r="W1083" s="255">
        <v>3486845</v>
      </c>
      <c r="X1083" s="255">
        <v>334</v>
      </c>
      <c r="Y1083" s="255">
        <v>3171158</v>
      </c>
      <c r="Z1083" s="247">
        <f ca="1">[1]ExtEntry!$P84</f>
        <v>3171158</v>
      </c>
      <c r="AB1083" s="275">
        <v>58</v>
      </c>
      <c r="AC1083" s="275">
        <v>60</v>
      </c>
      <c r="AD1083" s="275">
        <v>57</v>
      </c>
      <c r="AE1083" s="251">
        <v>49</v>
      </c>
      <c r="AF1083" s="251">
        <v>57</v>
      </c>
      <c r="AG1083" s="251">
        <v>53</v>
      </c>
      <c r="AH1083" s="251">
        <v>41</v>
      </c>
      <c r="AI1083" s="251">
        <v>39</v>
      </c>
      <c r="AJ1083" s="251">
        <v>39</v>
      </c>
      <c r="AK1083" s="251">
        <v>40</v>
      </c>
      <c r="AL1083" s="251">
        <v>46</v>
      </c>
      <c r="AM1083" s="251">
        <v>47</v>
      </c>
      <c r="AN1083" s="251">
        <v>53</v>
      </c>
      <c r="AO1083" s="275">
        <v>43</v>
      </c>
      <c r="AP1083" s="275">
        <v>42</v>
      </c>
      <c r="AQ1083" s="275">
        <v>39</v>
      </c>
      <c r="AR1083" s="275">
        <v>42</v>
      </c>
      <c r="AS1083" s="275">
        <v>47</v>
      </c>
      <c r="AT1083" s="275">
        <v>26</v>
      </c>
      <c r="AU1083" s="275">
        <v>26</v>
      </c>
      <c r="AV1083" s="275">
        <f t="shared" si="88"/>
        <v>26</v>
      </c>
      <c r="AX1083" s="88" t="str">
        <f t="shared" ca="1" si="90"/>
        <v>NVAX</v>
      </c>
    </row>
    <row r="1084" spans="1:50" hidden="1" x14ac:dyDescent="0.3">
      <c r="A1084" s="88" t="str">
        <f t="shared" ca="1" si="89"/>
        <v>NVS</v>
      </c>
      <c r="C1084" s="1">
        <v>85</v>
      </c>
      <c r="F1084" s="255">
        <v>1558867</v>
      </c>
      <c r="G1084" s="255">
        <v>1207927</v>
      </c>
      <c r="H1084" s="255">
        <v>1168759</v>
      </c>
      <c r="I1084" s="255">
        <v>1326320</v>
      </c>
      <c r="J1084" s="255">
        <v>1382516</v>
      </c>
      <c r="K1084" s="255">
        <v>734615</v>
      </c>
      <c r="L1084" s="255">
        <v>1028961</v>
      </c>
      <c r="M1084" s="255">
        <v>1028961</v>
      </c>
      <c r="N1084" s="255">
        <v>1670121</v>
      </c>
      <c r="O1084" s="255">
        <v>1219967</v>
      </c>
      <c r="P1084" s="255">
        <v>2576666</v>
      </c>
      <c r="Q1084" s="255">
        <v>4630483</v>
      </c>
      <c r="R1084" s="255">
        <v>2356782</v>
      </c>
      <c r="S1084" s="255">
        <v>1120940</v>
      </c>
      <c r="T1084" s="255">
        <v>1260129</v>
      </c>
      <c r="U1084" s="255">
        <v>907529</v>
      </c>
      <c r="V1084" s="255">
        <v>1208864</v>
      </c>
      <c r="W1084" s="255">
        <v>1822789</v>
      </c>
      <c r="X1084" s="255">
        <v>3050</v>
      </c>
      <c r="Y1084" s="255">
        <v>742944</v>
      </c>
      <c r="Z1084" s="247">
        <f ca="1">[1]ExtEntry!$P85</f>
        <v>742944</v>
      </c>
      <c r="AB1084" s="275">
        <v>69</v>
      </c>
      <c r="AC1084" s="275">
        <v>68</v>
      </c>
      <c r="AD1084" s="275">
        <v>72</v>
      </c>
      <c r="AE1084" s="251">
        <v>71</v>
      </c>
      <c r="AF1084" s="251">
        <v>71</v>
      </c>
      <c r="AG1084" s="251">
        <v>60</v>
      </c>
      <c r="AH1084" s="251">
        <v>48</v>
      </c>
      <c r="AI1084" s="251">
        <v>52</v>
      </c>
      <c r="AJ1084" s="251">
        <v>46</v>
      </c>
      <c r="AK1084" s="251">
        <v>42</v>
      </c>
      <c r="AL1084" s="251">
        <v>32</v>
      </c>
      <c r="AM1084" s="251">
        <v>22</v>
      </c>
      <c r="AN1084" s="251">
        <v>29</v>
      </c>
      <c r="AO1084" s="275">
        <v>36</v>
      </c>
      <c r="AP1084" s="275">
        <v>33</v>
      </c>
      <c r="AQ1084" s="275">
        <v>39</v>
      </c>
      <c r="AR1084" s="275">
        <v>35</v>
      </c>
      <c r="AS1084" s="275">
        <v>30</v>
      </c>
      <c r="AT1084" s="275">
        <v>22</v>
      </c>
      <c r="AU1084" s="275">
        <v>21</v>
      </c>
      <c r="AV1084" s="275">
        <f t="shared" si="88"/>
        <v>21</v>
      </c>
      <c r="AX1084" s="88" t="str">
        <f t="shared" ca="1" si="90"/>
        <v>NVS</v>
      </c>
    </row>
    <row r="1085" spans="1:50" hidden="1" x14ac:dyDescent="0.3">
      <c r="A1085" s="88" t="str">
        <f t="shared" ca="1" si="89"/>
        <v>ORA</v>
      </c>
      <c r="C1085" s="1">
        <v>86</v>
      </c>
      <c r="F1085" s="255">
        <v>3075263</v>
      </c>
      <c r="G1085" s="255">
        <v>9024947</v>
      </c>
      <c r="H1085" s="255">
        <v>3147289</v>
      </c>
      <c r="I1085" s="255">
        <v>5116783</v>
      </c>
      <c r="J1085" s="255">
        <v>2842966</v>
      </c>
      <c r="K1085" s="255">
        <v>3076165</v>
      </c>
      <c r="L1085" s="255">
        <v>4390773</v>
      </c>
      <c r="M1085" s="255">
        <v>4390773</v>
      </c>
      <c r="N1085" s="255">
        <v>4437686</v>
      </c>
      <c r="O1085" s="255">
        <v>3783933</v>
      </c>
      <c r="P1085" s="255">
        <v>2710207</v>
      </c>
      <c r="Q1085" s="255">
        <v>3539892</v>
      </c>
      <c r="R1085" s="255">
        <v>4055923</v>
      </c>
      <c r="S1085" s="255">
        <v>2868442</v>
      </c>
      <c r="T1085" s="255">
        <v>3380269</v>
      </c>
      <c r="U1085" s="255">
        <v>3643038</v>
      </c>
      <c r="V1085" s="255">
        <v>3771241</v>
      </c>
      <c r="W1085" s="255">
        <v>4351291</v>
      </c>
      <c r="X1085" s="255">
        <v>558000</v>
      </c>
      <c r="Y1085" s="255">
        <v>4293347</v>
      </c>
      <c r="Z1085" s="247">
        <f ca="1">[1]ExtEntry!$P86</f>
        <v>4293347</v>
      </c>
      <c r="AB1085" s="275">
        <v>52</v>
      </c>
      <c r="AC1085" s="275">
        <v>66</v>
      </c>
      <c r="AD1085" s="275">
        <v>64</v>
      </c>
      <c r="AE1085" s="251">
        <v>66</v>
      </c>
      <c r="AF1085" s="251">
        <v>62</v>
      </c>
      <c r="AG1085" s="251">
        <v>60</v>
      </c>
      <c r="AH1085" s="251">
        <v>61</v>
      </c>
      <c r="AI1085" s="251">
        <v>65</v>
      </c>
      <c r="AJ1085" s="251">
        <v>74</v>
      </c>
      <c r="AK1085" s="251">
        <v>65</v>
      </c>
      <c r="AL1085" s="251">
        <v>59</v>
      </c>
      <c r="AM1085" s="251">
        <v>57</v>
      </c>
      <c r="AN1085" s="251">
        <v>60</v>
      </c>
      <c r="AO1085" s="275">
        <v>60</v>
      </c>
      <c r="AP1085" s="275">
        <v>57</v>
      </c>
      <c r="AQ1085" s="275">
        <v>51</v>
      </c>
      <c r="AR1085" s="275">
        <v>56</v>
      </c>
      <c r="AS1085" s="275">
        <v>39</v>
      </c>
      <c r="AT1085" s="275">
        <v>37</v>
      </c>
      <c r="AU1085" s="275">
        <v>34</v>
      </c>
      <c r="AV1085" s="275">
        <f t="shared" si="88"/>
        <v>34</v>
      </c>
      <c r="AX1085" s="88" t="str">
        <f t="shared" ca="1" si="90"/>
        <v>ORA</v>
      </c>
    </row>
    <row r="1086" spans="1:50" hidden="1" x14ac:dyDescent="0.3">
      <c r="A1086" s="88" t="str">
        <f t="shared" ca="1" si="89"/>
        <v>OXY</v>
      </c>
      <c r="C1086" s="1">
        <v>87</v>
      </c>
      <c r="F1086" s="255">
        <v>8945484</v>
      </c>
      <c r="G1086" s="255">
        <v>6263875</v>
      </c>
      <c r="H1086" s="255">
        <v>10689900</v>
      </c>
      <c r="I1086" s="255">
        <v>9536635</v>
      </c>
      <c r="J1086" s="255">
        <v>8787669</v>
      </c>
      <c r="K1086" s="255">
        <v>8550055</v>
      </c>
      <c r="L1086" s="255">
        <v>10952796</v>
      </c>
      <c r="M1086" s="255">
        <v>10955345</v>
      </c>
      <c r="N1086" s="255">
        <v>13785894</v>
      </c>
      <c r="O1086" s="255">
        <v>7202535</v>
      </c>
      <c r="P1086" s="255">
        <v>7506546</v>
      </c>
      <c r="Q1086" s="255">
        <v>13264871</v>
      </c>
      <c r="R1086" s="255">
        <v>9515561</v>
      </c>
      <c r="S1086" s="255">
        <v>6010273</v>
      </c>
      <c r="T1086" s="255">
        <v>8239909</v>
      </c>
      <c r="U1086" s="255">
        <v>7270388</v>
      </c>
      <c r="V1086" s="255">
        <v>7457657</v>
      </c>
      <c r="W1086" s="255">
        <v>8612182</v>
      </c>
      <c r="X1086" s="255">
        <v>2170</v>
      </c>
      <c r="Y1086" s="255">
        <v>3444891</v>
      </c>
      <c r="Z1086" s="247">
        <f ca="1">[1]ExtEntry!$P87</f>
        <v>3444891</v>
      </c>
      <c r="AB1086" s="275">
        <v>34</v>
      </c>
      <c r="AC1086" s="275">
        <v>29</v>
      </c>
      <c r="AD1086" s="275">
        <v>26</v>
      </c>
      <c r="AE1086" s="251">
        <v>22</v>
      </c>
      <c r="AF1086" s="251">
        <v>17</v>
      </c>
      <c r="AG1086" s="251">
        <v>18</v>
      </c>
      <c r="AH1086" s="251">
        <v>22</v>
      </c>
      <c r="AI1086" s="251">
        <v>47</v>
      </c>
      <c r="AJ1086" s="251">
        <v>51</v>
      </c>
      <c r="AK1086" s="251">
        <v>49</v>
      </c>
      <c r="AL1086" s="251">
        <v>49</v>
      </c>
      <c r="AM1086" s="251">
        <v>42</v>
      </c>
      <c r="AN1086" s="251">
        <v>47</v>
      </c>
      <c r="AO1086" s="275">
        <v>40</v>
      </c>
      <c r="AP1086" s="275">
        <v>39</v>
      </c>
      <c r="AQ1086" s="275">
        <v>45</v>
      </c>
      <c r="AR1086" s="275">
        <v>56</v>
      </c>
      <c r="AS1086" s="275">
        <v>61</v>
      </c>
      <c r="AT1086" s="275">
        <v>64</v>
      </c>
      <c r="AU1086" s="275">
        <v>58</v>
      </c>
      <c r="AV1086" s="275">
        <f t="shared" si="88"/>
        <v>58</v>
      </c>
      <c r="AX1086" s="88" t="str">
        <f t="shared" ca="1" si="90"/>
        <v>OXY</v>
      </c>
    </row>
    <row r="1087" spans="1:50" hidden="1" x14ac:dyDescent="0.3">
      <c r="A1087" s="88" t="str">
        <f t="shared" ca="1" si="89"/>
        <v>PFE</v>
      </c>
      <c r="C1087" s="1">
        <v>88</v>
      </c>
      <c r="F1087" s="255">
        <v>41506664</v>
      </c>
      <c r="G1087" s="255">
        <v>40344105</v>
      </c>
      <c r="H1087" s="255">
        <v>44217056</v>
      </c>
      <c r="I1087" s="255">
        <v>40101861</v>
      </c>
      <c r="J1087" s="255">
        <v>35806447</v>
      </c>
      <c r="K1087" s="255">
        <v>40654387</v>
      </c>
      <c r="L1087" s="255">
        <v>48182810</v>
      </c>
      <c r="M1087" s="255">
        <v>48185736</v>
      </c>
      <c r="N1087" s="255">
        <v>34133888</v>
      </c>
      <c r="O1087" s="255">
        <v>27380501</v>
      </c>
      <c r="P1087" s="255">
        <v>34756323</v>
      </c>
      <c r="Q1087" s="255">
        <v>50033569</v>
      </c>
      <c r="R1087" s="255">
        <v>157304423</v>
      </c>
      <c r="S1087" s="255">
        <v>152360432</v>
      </c>
      <c r="T1087" s="255">
        <v>107154048</v>
      </c>
      <c r="U1087" s="255">
        <v>101306071</v>
      </c>
      <c r="V1087" s="255">
        <v>105832530</v>
      </c>
      <c r="W1087" s="255">
        <v>96452447</v>
      </c>
      <c r="X1087" s="255">
        <v>20388</v>
      </c>
      <c r="Y1087" s="255">
        <v>24018212</v>
      </c>
      <c r="Z1087" s="247">
        <f ca="1">[1]ExtEntry!$P88</f>
        <v>24018212</v>
      </c>
      <c r="AB1087" s="275">
        <v>59</v>
      </c>
      <c r="AC1087" s="275">
        <v>58</v>
      </c>
      <c r="AD1087" s="275">
        <v>61</v>
      </c>
      <c r="AE1087" s="251">
        <v>62</v>
      </c>
      <c r="AF1087" s="251">
        <v>63</v>
      </c>
      <c r="AG1087" s="251">
        <v>52</v>
      </c>
      <c r="AH1087" s="251">
        <v>26</v>
      </c>
      <c r="AI1087" s="251">
        <v>26</v>
      </c>
      <c r="AJ1087" s="251">
        <v>18</v>
      </c>
      <c r="AK1087" s="251">
        <v>23</v>
      </c>
      <c r="AL1087" s="251">
        <v>28</v>
      </c>
      <c r="AM1087" s="251">
        <v>30</v>
      </c>
      <c r="AN1087" s="251">
        <v>38</v>
      </c>
      <c r="AO1087" s="275">
        <v>33</v>
      </c>
      <c r="AP1087" s="275">
        <v>47</v>
      </c>
      <c r="AQ1087" s="275">
        <v>56</v>
      </c>
      <c r="AR1087" s="275">
        <v>59</v>
      </c>
      <c r="AS1087" s="275">
        <v>38</v>
      </c>
      <c r="AT1087" s="275">
        <v>43</v>
      </c>
      <c r="AU1087" s="275">
        <v>34</v>
      </c>
      <c r="AV1087" s="275">
        <f t="shared" si="88"/>
        <v>34</v>
      </c>
      <c r="AX1087" s="88" t="str">
        <f t="shared" ca="1" si="90"/>
        <v>PFE</v>
      </c>
    </row>
    <row r="1088" spans="1:50" hidden="1" x14ac:dyDescent="0.3">
      <c r="A1088" s="88" t="str">
        <f t="shared" ca="1" si="89"/>
        <v>RIG</v>
      </c>
      <c r="C1088" s="1">
        <v>89</v>
      </c>
      <c r="F1088" s="255">
        <v>62491098</v>
      </c>
      <c r="G1088" s="255">
        <v>62114647</v>
      </c>
      <c r="H1088" s="255">
        <v>64112965</v>
      </c>
      <c r="I1088" s="255">
        <v>50271199</v>
      </c>
      <c r="J1088" s="255">
        <v>48530749</v>
      </c>
      <c r="K1088" s="255">
        <v>61263594</v>
      </c>
      <c r="L1088" s="255">
        <v>77303033</v>
      </c>
      <c r="M1088" s="255">
        <v>77312995</v>
      </c>
      <c r="N1088" s="255">
        <v>131951333</v>
      </c>
      <c r="O1088" s="255">
        <v>78258839</v>
      </c>
      <c r="P1088" s="255">
        <v>55247278</v>
      </c>
      <c r="Q1088" s="255">
        <v>53711540</v>
      </c>
      <c r="R1088" s="255">
        <v>59199572</v>
      </c>
      <c r="S1088" s="255">
        <v>33902065</v>
      </c>
      <c r="T1088" s="255">
        <v>41839795</v>
      </c>
      <c r="U1088" s="255">
        <v>35250721</v>
      </c>
      <c r="V1088" s="255">
        <v>35429579</v>
      </c>
      <c r="W1088" s="255">
        <v>29356537</v>
      </c>
      <c r="X1088" s="255">
        <v>39681509</v>
      </c>
      <c r="Y1088" s="255">
        <v>16087870</v>
      </c>
      <c r="Z1088" s="247">
        <f ca="1">[1]ExtEntry!$P89</f>
        <v>16087870</v>
      </c>
      <c r="AB1088" s="275">
        <v>37</v>
      </c>
      <c r="AC1088" s="275">
        <v>40</v>
      </c>
      <c r="AD1088" s="275">
        <v>55</v>
      </c>
      <c r="AE1088" s="251">
        <v>56</v>
      </c>
      <c r="AF1088" s="251">
        <v>62</v>
      </c>
      <c r="AG1088" s="251">
        <v>62</v>
      </c>
      <c r="AH1088" s="251">
        <v>63</v>
      </c>
      <c r="AI1088" s="251">
        <v>65</v>
      </c>
      <c r="AJ1088" s="251">
        <v>74</v>
      </c>
      <c r="AK1088" s="251">
        <v>74</v>
      </c>
      <c r="AL1088" s="251">
        <v>74</v>
      </c>
      <c r="AM1088" s="251">
        <v>72</v>
      </c>
      <c r="AN1088" s="251">
        <v>78</v>
      </c>
      <c r="AO1088" s="275">
        <v>73</v>
      </c>
      <c r="AP1088" s="275">
        <v>77</v>
      </c>
      <c r="AQ1088" s="275">
        <v>74</v>
      </c>
      <c r="AR1088" s="275">
        <v>81</v>
      </c>
      <c r="AS1088" s="275">
        <v>81</v>
      </c>
      <c r="AT1088" s="275">
        <v>81</v>
      </c>
      <c r="AU1088" s="275">
        <v>78</v>
      </c>
      <c r="AV1088" s="275">
        <f t="shared" si="88"/>
        <v>78</v>
      </c>
      <c r="AX1088" s="88" t="str">
        <f t="shared" ca="1" si="90"/>
        <v>RIG</v>
      </c>
    </row>
    <row r="1089" spans="1:50" x14ac:dyDescent="0.3">
      <c r="A1089" s="88" t="str">
        <f t="shared" ca="1" si="89"/>
        <v>RRC</v>
      </c>
      <c r="C1089" s="1">
        <v>90</v>
      </c>
      <c r="F1089" s="255">
        <v>2395590</v>
      </c>
      <c r="G1089" s="255">
        <v>1648726</v>
      </c>
      <c r="H1089" s="255">
        <v>3030986</v>
      </c>
      <c r="I1089" s="255">
        <v>2737528</v>
      </c>
      <c r="J1089" s="255">
        <v>3364206</v>
      </c>
      <c r="K1089" s="255">
        <v>2781464</v>
      </c>
      <c r="L1089" s="255">
        <v>2375132</v>
      </c>
      <c r="M1089" s="255">
        <v>2375132</v>
      </c>
      <c r="N1089" s="255">
        <v>4242003</v>
      </c>
      <c r="O1089" s="255">
        <v>2635577</v>
      </c>
      <c r="P1089" s="255">
        <v>2622232</v>
      </c>
      <c r="Q1089" s="255">
        <v>2552830</v>
      </c>
      <c r="R1089" s="255">
        <v>5214697</v>
      </c>
      <c r="S1089" s="255">
        <v>1627925</v>
      </c>
      <c r="T1089" s="255">
        <v>2583155</v>
      </c>
      <c r="U1089" s="255">
        <v>1455657</v>
      </c>
      <c r="V1089" s="255">
        <v>1497331</v>
      </c>
      <c r="W1089" s="255">
        <v>1953406</v>
      </c>
      <c r="X1089" s="255">
        <v>2781457</v>
      </c>
      <c r="Y1089" s="255">
        <v>691724</v>
      </c>
      <c r="Z1089" s="247">
        <f ca="1">[1]ExtEntry!$P90</f>
        <v>691724</v>
      </c>
      <c r="AB1089" s="275">
        <v>55</v>
      </c>
      <c r="AC1089" s="275">
        <v>56</v>
      </c>
      <c r="AD1089" s="275">
        <v>46</v>
      </c>
      <c r="AE1089" s="251">
        <v>46</v>
      </c>
      <c r="AF1089" s="251">
        <v>52</v>
      </c>
      <c r="AG1089" s="251">
        <v>49</v>
      </c>
      <c r="AH1089" s="251">
        <v>36</v>
      </c>
      <c r="AI1089" s="251">
        <v>39</v>
      </c>
      <c r="AJ1089" s="251">
        <v>47</v>
      </c>
      <c r="AK1089" s="251">
        <v>45</v>
      </c>
      <c r="AL1089" s="251">
        <v>43</v>
      </c>
      <c r="AM1089" s="251">
        <v>45</v>
      </c>
      <c r="AN1089" s="251">
        <v>48</v>
      </c>
      <c r="AO1089" s="275">
        <v>45</v>
      </c>
      <c r="AP1089" s="275">
        <v>50</v>
      </c>
      <c r="AQ1089" s="275">
        <v>41</v>
      </c>
      <c r="AR1089" s="275">
        <v>57</v>
      </c>
      <c r="AS1089" s="275">
        <v>56</v>
      </c>
      <c r="AT1089" s="275">
        <v>55</v>
      </c>
      <c r="AU1089" s="275">
        <v>58</v>
      </c>
      <c r="AV1089" s="275">
        <f t="shared" si="88"/>
        <v>58</v>
      </c>
      <c r="AX1089" s="88" t="str">
        <f t="shared" ca="1" si="90"/>
        <v>RRC</v>
      </c>
    </row>
    <row r="1090" spans="1:50" x14ac:dyDescent="0.3">
      <c r="A1090" s="88" t="str">
        <f t="shared" ca="1" si="89"/>
        <v>XYZ</v>
      </c>
      <c r="C1090" s="1">
        <v>91</v>
      </c>
      <c r="F1090" s="247">
        <v>5174012</v>
      </c>
      <c r="G1090" s="247">
        <v>2361919</v>
      </c>
      <c r="H1090" s="247">
        <v>5578128</v>
      </c>
      <c r="I1090" s="247">
        <v>4416733</v>
      </c>
      <c r="J1090" s="247">
        <v>4530722</v>
      </c>
      <c r="K1090" s="247">
        <v>4347495</v>
      </c>
      <c r="L1090" s="247">
        <v>4603435</v>
      </c>
      <c r="M1090" s="247">
        <v>4604028</v>
      </c>
      <c r="N1090" s="247">
        <v>4682675</v>
      </c>
      <c r="O1090" s="247">
        <v>3857534</v>
      </c>
      <c r="P1090" s="247">
        <v>5129875</v>
      </c>
      <c r="Q1090" s="247">
        <v>3947704</v>
      </c>
      <c r="R1090" s="247">
        <v>6238851</v>
      </c>
      <c r="S1090" s="247">
        <v>3794313</v>
      </c>
      <c r="T1090" s="247">
        <v>5305822</v>
      </c>
      <c r="U1090" s="247">
        <v>6298756</v>
      </c>
      <c r="V1090" s="247">
        <v>19040626</v>
      </c>
      <c r="W1090" s="247">
        <v>9187030</v>
      </c>
      <c r="X1090" s="247">
        <v>321</v>
      </c>
      <c r="Y1090" s="247">
        <v>4231796</v>
      </c>
      <c r="Z1090" s="247">
        <f ca="1">[1]ExtEntry!$P91</f>
        <v>4231796</v>
      </c>
      <c r="AB1090" s="275">
        <v>63</v>
      </c>
      <c r="AC1090" s="275">
        <v>63</v>
      </c>
      <c r="AD1090" s="275">
        <v>67</v>
      </c>
      <c r="AE1090" s="251">
        <v>68</v>
      </c>
      <c r="AF1090" s="251">
        <v>68</v>
      </c>
      <c r="AG1090" s="251">
        <v>84</v>
      </c>
      <c r="AH1090" s="251">
        <v>73</v>
      </c>
      <c r="AI1090" s="251">
        <v>57</v>
      </c>
      <c r="AJ1090" s="251">
        <v>64</v>
      </c>
      <c r="AK1090" s="251">
        <v>63</v>
      </c>
      <c r="AL1090" s="251">
        <v>60</v>
      </c>
      <c r="AM1090" s="251">
        <v>61</v>
      </c>
      <c r="AN1090" s="251">
        <v>52</v>
      </c>
      <c r="AO1090" s="275">
        <v>46</v>
      </c>
      <c r="AP1090" s="275">
        <v>47</v>
      </c>
      <c r="AQ1090" s="275">
        <v>41</v>
      </c>
      <c r="AR1090" s="275">
        <v>34</v>
      </c>
      <c r="AS1090" s="275">
        <v>30</v>
      </c>
      <c r="AT1090" s="275">
        <v>25</v>
      </c>
      <c r="AU1090" s="275">
        <v>22</v>
      </c>
      <c r="AV1090" s="275">
        <f t="shared" si="88"/>
        <v>22</v>
      </c>
      <c r="AX1090" s="88" t="str">
        <f t="shared" ca="1" si="90"/>
        <v>XYZ</v>
      </c>
    </row>
    <row r="1091" spans="1:50" x14ac:dyDescent="0.3">
      <c r="A1091" s="88" t="str">
        <f t="shared" ca="1" si="89"/>
        <v>THC</v>
      </c>
      <c r="C1091" s="1">
        <v>92</v>
      </c>
      <c r="F1091" s="255">
        <v>1076461</v>
      </c>
      <c r="G1091" s="255">
        <v>548812</v>
      </c>
      <c r="H1091" s="255">
        <v>733823</v>
      </c>
      <c r="I1091" s="255">
        <v>760974</v>
      </c>
      <c r="J1091" s="255">
        <v>695475</v>
      </c>
      <c r="K1091" s="255">
        <v>770828</v>
      </c>
      <c r="L1091" s="255">
        <v>991134</v>
      </c>
      <c r="M1091" s="255">
        <v>991134</v>
      </c>
      <c r="N1091" s="255">
        <v>1216056</v>
      </c>
      <c r="O1091" s="255">
        <v>1771975</v>
      </c>
      <c r="P1091" s="255">
        <v>1811068</v>
      </c>
      <c r="Q1091" s="255">
        <v>1765797</v>
      </c>
      <c r="R1091" s="255">
        <v>1233573</v>
      </c>
      <c r="S1091" s="255">
        <v>864781</v>
      </c>
      <c r="T1091" s="255">
        <v>981993</v>
      </c>
      <c r="U1091" s="255">
        <v>286103</v>
      </c>
      <c r="V1091" s="255">
        <v>362753</v>
      </c>
      <c r="W1091" s="255">
        <v>936644</v>
      </c>
      <c r="X1091" s="255">
        <v>109</v>
      </c>
      <c r="Y1091" s="255">
        <v>357504</v>
      </c>
      <c r="Z1091" s="247">
        <f ca="1">[1]ExtEntry!$P92</f>
        <v>357504</v>
      </c>
      <c r="AB1091" s="275">
        <v>56</v>
      </c>
      <c r="AC1091" s="275">
        <v>54</v>
      </c>
      <c r="AD1091" s="275">
        <v>54</v>
      </c>
      <c r="AE1091" s="251">
        <v>48</v>
      </c>
      <c r="AF1091" s="251">
        <v>53</v>
      </c>
      <c r="AG1091" s="251">
        <v>51</v>
      </c>
      <c r="AH1091" s="251">
        <v>57</v>
      </c>
      <c r="AI1091" s="251">
        <v>58</v>
      </c>
      <c r="AJ1091" s="251">
        <v>60</v>
      </c>
      <c r="AK1091" s="251">
        <v>59</v>
      </c>
      <c r="AL1091" s="251">
        <v>71</v>
      </c>
      <c r="AM1091" s="251">
        <v>61</v>
      </c>
      <c r="AN1091" s="251">
        <v>69</v>
      </c>
      <c r="AO1091" s="275">
        <v>74</v>
      </c>
      <c r="AP1091" s="275">
        <v>70</v>
      </c>
      <c r="AQ1091" s="275">
        <v>64</v>
      </c>
      <c r="AR1091" s="275">
        <v>65</v>
      </c>
      <c r="AS1091" s="275">
        <v>59</v>
      </c>
      <c r="AT1091" s="275">
        <v>58</v>
      </c>
      <c r="AU1091" s="275">
        <v>58</v>
      </c>
      <c r="AV1091" s="275">
        <f t="shared" si="88"/>
        <v>58</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5365</v>
      </c>
      <c r="G1093" s="348">
        <v>1806</v>
      </c>
      <c r="H1093" s="348">
        <v>449</v>
      </c>
      <c r="I1093" s="348">
        <v>25612</v>
      </c>
      <c r="J1093" s="348">
        <v>1165</v>
      </c>
      <c r="K1093" s="348">
        <v>14805</v>
      </c>
      <c r="L1093" s="348">
        <v>7594</v>
      </c>
      <c r="M1093" s="348">
        <v>7594</v>
      </c>
      <c r="N1093" s="348">
        <v>38</v>
      </c>
      <c r="O1093" s="348">
        <v>7225</v>
      </c>
      <c r="P1093" s="348">
        <v>13521</v>
      </c>
      <c r="Q1093" s="348">
        <v>58987</v>
      </c>
      <c r="R1093" s="348">
        <v>17613</v>
      </c>
      <c r="S1093" s="348">
        <v>41565</v>
      </c>
      <c r="T1093" s="348">
        <v>34017</v>
      </c>
      <c r="U1093" s="348">
        <v>41393</v>
      </c>
      <c r="V1093" s="348">
        <v>20677</v>
      </c>
      <c r="W1093" s="348">
        <v>5474</v>
      </c>
      <c r="X1093" s="348">
        <v>3735</v>
      </c>
      <c r="Y1093" s="348">
        <v>5775</v>
      </c>
      <c r="Z1093" s="247">
        <f ca="1">[1]ExtEntry!$P94</f>
        <v>5775</v>
      </c>
      <c r="AB1093" s="275">
        <v>37</v>
      </c>
      <c r="AC1093" s="275">
        <v>48</v>
      </c>
      <c r="AD1093" s="275">
        <v>53</v>
      </c>
      <c r="AE1093" s="275">
        <v>42</v>
      </c>
      <c r="AF1093" s="275">
        <v>44</v>
      </c>
      <c r="AG1093" s="275">
        <v>53</v>
      </c>
      <c r="AH1093" s="275">
        <v>50</v>
      </c>
      <c r="AI1093" s="275">
        <v>44</v>
      </c>
      <c r="AJ1093" s="275">
        <v>42</v>
      </c>
      <c r="AK1093" s="275">
        <v>53</v>
      </c>
      <c r="AL1093" s="275">
        <v>53</v>
      </c>
      <c r="AM1093" s="275">
        <v>47</v>
      </c>
      <c r="AN1093" s="275">
        <v>46</v>
      </c>
      <c r="AO1093" s="275">
        <v>49</v>
      </c>
      <c r="AP1093" s="275">
        <v>49</v>
      </c>
      <c r="AQ1093" s="275">
        <v>40</v>
      </c>
      <c r="AR1093" s="275">
        <v>39</v>
      </c>
      <c r="AS1093" s="275">
        <v>39</v>
      </c>
      <c r="AT1093" s="275">
        <v>39</v>
      </c>
      <c r="AU1093" s="275">
        <v>32</v>
      </c>
      <c r="AV1093" s="275">
        <f t="shared" si="91"/>
        <v>32</v>
      </c>
      <c r="AX1093" s="88" t="str">
        <f t="shared" ca="1" si="90"/>
        <v>LOCK</v>
      </c>
    </row>
    <row r="1094" spans="1:50" x14ac:dyDescent="0.3">
      <c r="A1094" s="88" t="str">
        <f t="shared" ca="1" si="89"/>
        <v>JBASML</v>
      </c>
      <c r="C1094" s="1">
        <v>95</v>
      </c>
      <c r="F1094" s="1101">
        <v>706297</v>
      </c>
      <c r="G1094" s="1101">
        <v>1192298</v>
      </c>
      <c r="H1094" s="1101">
        <v>703225</v>
      </c>
      <c r="I1094" s="1101">
        <v>859995</v>
      </c>
      <c r="J1094" s="1101">
        <v>530812</v>
      </c>
      <c r="K1094" s="1101">
        <v>450669</v>
      </c>
      <c r="L1094" s="981">
        <v>537993</v>
      </c>
      <c r="M1094" s="1094">
        <v>537993</v>
      </c>
      <c r="N1094" s="1101">
        <v>746164</v>
      </c>
      <c r="O1094" s="1101">
        <v>500510</v>
      </c>
      <c r="P1094" s="1101">
        <v>523496</v>
      </c>
      <c r="Q1094" s="1101">
        <v>409524</v>
      </c>
      <c r="R1094" s="348">
        <v>626353</v>
      </c>
      <c r="S1094" s="1101">
        <v>512236</v>
      </c>
      <c r="T1094" s="1101">
        <v>663558</v>
      </c>
      <c r="U1094" s="1101">
        <v>481131</v>
      </c>
      <c r="V1094" s="1101">
        <v>767828</v>
      </c>
      <c r="W1094" s="981">
        <v>667623</v>
      </c>
      <c r="X1094" s="1108">
        <v>43298</v>
      </c>
      <c r="Y1094" s="1101">
        <v>569186</v>
      </c>
      <c r="Z1094" s="247">
        <f ca="1">[1]ExtEntry!$P95</f>
        <v>569186</v>
      </c>
      <c r="AB1094" s="275">
        <v>64</v>
      </c>
      <c r="AC1094" s="275">
        <v>69</v>
      </c>
      <c r="AD1094" s="275">
        <v>70</v>
      </c>
      <c r="AE1094" s="275">
        <v>69</v>
      </c>
      <c r="AF1094" s="275">
        <v>71</v>
      </c>
      <c r="AG1094" s="275">
        <v>67</v>
      </c>
      <c r="AH1094" s="275">
        <v>59</v>
      </c>
      <c r="AI1094" s="275">
        <v>45</v>
      </c>
      <c r="AJ1094" s="275">
        <v>50</v>
      </c>
      <c r="AK1094" s="275">
        <v>57</v>
      </c>
      <c r="AL1094" s="275">
        <v>67</v>
      </c>
      <c r="AM1094" s="275">
        <v>68</v>
      </c>
      <c r="AN1094" s="275">
        <v>74</v>
      </c>
      <c r="AO1094" s="275">
        <v>65</v>
      </c>
      <c r="AP1094" s="275">
        <v>61</v>
      </c>
      <c r="AQ1094" s="275">
        <v>50</v>
      </c>
      <c r="AR1094" s="275">
        <v>42</v>
      </c>
      <c r="AS1094" s="275">
        <v>41</v>
      </c>
      <c r="AT1094" s="275">
        <v>32</v>
      </c>
      <c r="AU1094" s="275">
        <v>42</v>
      </c>
      <c r="AV1094" s="275">
        <f t="shared" si="91"/>
        <v>42</v>
      </c>
      <c r="AX1094" s="88" t="str">
        <f t="shared" ca="1" si="90"/>
        <v>JBASML</v>
      </c>
    </row>
    <row r="1095" spans="1:50" x14ac:dyDescent="0.3">
      <c r="A1095" s="88" t="str">
        <f ca="1">A98</f>
        <v>JBEOAN</v>
      </c>
      <c r="C1095" s="1">
        <v>96</v>
      </c>
      <c r="F1095" s="348">
        <v>3070</v>
      </c>
      <c r="G1095" s="348">
        <v>5816</v>
      </c>
      <c r="H1095" s="348">
        <v>7915</v>
      </c>
      <c r="I1095" s="348">
        <v>4869</v>
      </c>
      <c r="J1095" s="348">
        <v>8743</v>
      </c>
      <c r="K1095" s="348">
        <v>12133</v>
      </c>
      <c r="L1095" s="348">
        <v>9346</v>
      </c>
      <c r="M1095" s="348">
        <v>9346</v>
      </c>
      <c r="N1095" s="348">
        <v>6458</v>
      </c>
      <c r="O1095" s="348">
        <v>4204</v>
      </c>
      <c r="P1095" s="348">
        <v>23578</v>
      </c>
      <c r="Q1095" s="348">
        <v>4227</v>
      </c>
      <c r="R1095" s="348">
        <v>840</v>
      </c>
      <c r="S1095" s="348">
        <v>11510</v>
      </c>
      <c r="T1095" s="348">
        <v>4253</v>
      </c>
      <c r="U1095" s="348">
        <v>3978</v>
      </c>
      <c r="V1095" s="348">
        <v>3946</v>
      </c>
      <c r="W1095" s="348">
        <v>18670</v>
      </c>
      <c r="X1095" s="348">
        <v>502</v>
      </c>
      <c r="Y1095" s="348">
        <v>1575</v>
      </c>
      <c r="Z1095" s="247">
        <f ca="1">[1]ExtEntry!$P96</f>
        <v>1575</v>
      </c>
      <c r="AB1095" s="275">
        <v>80</v>
      </c>
      <c r="AC1095" s="275">
        <v>69</v>
      </c>
      <c r="AD1095" s="275">
        <v>65</v>
      </c>
      <c r="AE1095" s="275">
        <v>63</v>
      </c>
      <c r="AF1095" s="275">
        <v>70</v>
      </c>
      <c r="AG1095" s="275">
        <v>67</v>
      </c>
      <c r="AH1095" s="275">
        <v>52</v>
      </c>
      <c r="AI1095" s="275">
        <v>50</v>
      </c>
      <c r="AJ1095" s="275">
        <v>41</v>
      </c>
      <c r="AK1095" s="275">
        <v>43</v>
      </c>
      <c r="AL1095" s="275">
        <v>42</v>
      </c>
      <c r="AM1095" s="275">
        <v>47</v>
      </c>
      <c r="AN1095" s="275">
        <v>45</v>
      </c>
      <c r="AO1095" s="275">
        <v>34</v>
      </c>
      <c r="AP1095" s="275">
        <v>42</v>
      </c>
      <c r="AQ1095" s="275">
        <v>46</v>
      </c>
      <c r="AR1095" s="275">
        <v>46</v>
      </c>
      <c r="AS1095" s="275">
        <v>46</v>
      </c>
      <c r="AT1095" s="275">
        <v>38</v>
      </c>
      <c r="AU1095" s="275">
        <v>38</v>
      </c>
      <c r="AV1095" s="275">
        <f t="shared" si="91"/>
        <v>38</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48"/>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45952</v>
      </c>
      <c r="G1099" s="117">
        <f t="shared" ca="1" si="92"/>
        <v>45953</v>
      </c>
      <c r="H1099" s="117">
        <f t="shared" ca="1" si="92"/>
        <v>45954</v>
      </c>
      <c r="I1099" s="117">
        <f t="shared" ca="1" si="92"/>
        <v>45957</v>
      </c>
      <c r="J1099" s="117">
        <f t="shared" ca="1" si="92"/>
        <v>45958</v>
      </c>
      <c r="K1099" s="117">
        <f t="shared" ca="1" si="92"/>
        <v>45959</v>
      </c>
      <c r="L1099" s="117">
        <f t="shared" ca="1" si="92"/>
        <v>45960</v>
      </c>
      <c r="M1099" s="117">
        <f t="shared" ca="1" si="92"/>
        <v>45961</v>
      </c>
      <c r="N1099" s="117">
        <f t="shared" ca="1" si="92"/>
        <v>45964</v>
      </c>
      <c r="O1099" s="117">
        <f t="shared" ca="1" si="92"/>
        <v>45965</v>
      </c>
      <c r="P1099" s="117">
        <f t="shared" ca="1" si="92"/>
        <v>45966</v>
      </c>
      <c r="Q1099" s="117">
        <f t="shared" ca="1" si="92"/>
        <v>45967</v>
      </c>
      <c r="R1099" s="117">
        <f t="shared" ca="1" si="92"/>
        <v>45968</v>
      </c>
      <c r="S1099" s="117">
        <f t="shared" ca="1" si="92"/>
        <v>45971</v>
      </c>
      <c r="T1099" s="117">
        <f t="shared" ca="1" si="92"/>
        <v>45972</v>
      </c>
      <c r="U1099" s="117">
        <f t="shared" ca="1" si="92"/>
        <v>45973</v>
      </c>
      <c r="V1099" s="117">
        <f t="shared" ca="1" si="92"/>
        <v>45974</v>
      </c>
      <c r="W1099" s="117">
        <f t="shared" ca="1" si="92"/>
        <v>45975</v>
      </c>
      <c r="X1099" s="117">
        <f t="shared" ca="1" si="92"/>
        <v>45978</v>
      </c>
      <c r="Y1099" s="117">
        <f t="shared" ca="1" si="92"/>
        <v>45979</v>
      </c>
      <c r="Z1099" s="117">
        <f t="shared" ca="1" si="92"/>
        <v>45980</v>
      </c>
      <c r="AB1099" s="117">
        <f t="shared" ref="AB1099:AV1099" ca="1" si="93">F1000</f>
        <v>45952</v>
      </c>
      <c r="AC1099" s="117">
        <f t="shared" ca="1" si="93"/>
        <v>45953</v>
      </c>
      <c r="AD1099" s="117">
        <f t="shared" ca="1" si="93"/>
        <v>45954</v>
      </c>
      <c r="AE1099" s="117">
        <f t="shared" ca="1" si="93"/>
        <v>45957</v>
      </c>
      <c r="AF1099" s="117">
        <f t="shared" ca="1" si="93"/>
        <v>45958</v>
      </c>
      <c r="AG1099" s="117">
        <f t="shared" ca="1" si="93"/>
        <v>45959</v>
      </c>
      <c r="AH1099" s="117">
        <f t="shared" ca="1" si="93"/>
        <v>45960</v>
      </c>
      <c r="AI1099" s="117">
        <f t="shared" ca="1" si="93"/>
        <v>45961</v>
      </c>
      <c r="AJ1099" s="117">
        <f t="shared" ca="1" si="93"/>
        <v>45964</v>
      </c>
      <c r="AK1099" s="117">
        <f t="shared" ca="1" si="93"/>
        <v>45965</v>
      </c>
      <c r="AL1099" s="117">
        <f t="shared" ca="1" si="93"/>
        <v>45966</v>
      </c>
      <c r="AM1099" s="117">
        <f t="shared" ca="1" si="93"/>
        <v>45967</v>
      </c>
      <c r="AN1099" s="117">
        <f t="shared" ca="1" si="93"/>
        <v>45968</v>
      </c>
      <c r="AO1099" s="117">
        <f t="shared" ca="1" si="93"/>
        <v>45971</v>
      </c>
      <c r="AP1099" s="117">
        <f t="shared" ca="1" si="93"/>
        <v>45972</v>
      </c>
      <c r="AQ1099" s="117">
        <f t="shared" ca="1" si="93"/>
        <v>45973</v>
      </c>
      <c r="AR1099" s="117">
        <f t="shared" ca="1" si="93"/>
        <v>45974</v>
      </c>
      <c r="AS1099" s="117">
        <f t="shared" ca="1" si="93"/>
        <v>45975</v>
      </c>
      <c r="AT1099" s="117">
        <f t="shared" ca="1" si="93"/>
        <v>45978</v>
      </c>
      <c r="AU1099" s="117">
        <f t="shared" ca="1" si="93"/>
        <v>45979</v>
      </c>
      <c r="AV1099" s="117">
        <f t="shared" ca="1" si="93"/>
        <v>45980</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55827771</v>
      </c>
      <c r="G1101" s="247">
        <v>54594334</v>
      </c>
      <c r="H1101" s="247">
        <v>52612446</v>
      </c>
      <c r="I1101" s="247">
        <v>52195182</v>
      </c>
      <c r="J1101" s="247">
        <v>51928092</v>
      </c>
      <c r="K1101" s="247">
        <v>53839432</v>
      </c>
      <c r="L1101" s="247">
        <v>53170426</v>
      </c>
      <c r="M1101" s="247">
        <v>53170426</v>
      </c>
      <c r="N1101" s="247">
        <v>53110715</v>
      </c>
      <c r="O1101" s="247">
        <v>52650930</v>
      </c>
      <c r="P1101" s="247">
        <v>47631426</v>
      </c>
      <c r="Q1101" s="247">
        <v>45206255</v>
      </c>
      <c r="R1101" s="247">
        <v>44807959</v>
      </c>
      <c r="S1101" s="247">
        <v>47401648</v>
      </c>
      <c r="T1101" s="247">
        <v>47864472</v>
      </c>
      <c r="U1101" s="247">
        <v>47663237</v>
      </c>
      <c r="V1101" s="247">
        <v>48006189</v>
      </c>
      <c r="W1101" s="247">
        <v>49332368</v>
      </c>
      <c r="X1101" s="247">
        <v>49024670</v>
      </c>
      <c r="Y1101" s="247">
        <v>49432641</v>
      </c>
      <c r="Z1101" s="247">
        <f ca="1">[1]ExtEntry!$Q3</f>
        <v>49432641</v>
      </c>
      <c r="AB1101" s="318">
        <v>-1141000.1449999998</v>
      </c>
      <c r="AC1101" s="318">
        <v>-1141000.1449999998</v>
      </c>
      <c r="AD1101" s="318">
        <v>-1141000.1449999998</v>
      </c>
      <c r="AE1101" s="318">
        <v>-1141000.1449999998</v>
      </c>
      <c r="AF1101" s="318">
        <v>-1141000.1449999998</v>
      </c>
      <c r="AG1101" s="318">
        <v>-1009210.1449999998</v>
      </c>
      <c r="AH1101" s="318">
        <v>-1009210.1449999998</v>
      </c>
      <c r="AI1101" s="318">
        <v>-1009210.1449999998</v>
      </c>
      <c r="AJ1101" s="318">
        <v>-1009210.1449999998</v>
      </c>
      <c r="AK1101" s="318">
        <v>-1009210.1449999998</v>
      </c>
      <c r="AL1101" s="318">
        <v>-1009210.1449999998</v>
      </c>
      <c r="AM1101" s="318">
        <v>-1009210.1449999998</v>
      </c>
      <c r="AN1101" s="318">
        <v>-1009210.1449999998</v>
      </c>
      <c r="AO1101" s="318">
        <v>-874190.14499999979</v>
      </c>
      <c r="AP1101" s="318">
        <v>-874190.14499999979</v>
      </c>
      <c r="AQ1101" s="318">
        <v>-874190.14499999979</v>
      </c>
      <c r="AR1101" s="318">
        <v>-874190.14499999979</v>
      </c>
      <c r="AS1101" s="318">
        <v>-874190.14499999979</v>
      </c>
      <c r="AT1101" s="318">
        <v>-874190.14499999979</v>
      </c>
      <c r="AU1101" s="318">
        <v>-877863.65152499964</v>
      </c>
      <c r="AV1101" s="318">
        <f ca="1">Calc!BG3</f>
        <v>-877863.65152499964</v>
      </c>
      <c r="AX1101" s="88" t="str">
        <f t="shared" ref="AX1101:AX1106" ca="1" si="94">A1101</f>
        <v>AAPL</v>
      </c>
    </row>
    <row r="1102" spans="1:50" x14ac:dyDescent="0.3">
      <c r="A1102" s="88" t="str">
        <f t="shared" ref="A1102:A1165" ca="1" si="95">A6</f>
        <v>ADEA</v>
      </c>
      <c r="C1102" s="1">
        <v>4</v>
      </c>
      <c r="F1102" s="255">
        <v>574468</v>
      </c>
      <c r="G1102" s="255">
        <v>585940</v>
      </c>
      <c r="H1102" s="255">
        <v>594255</v>
      </c>
      <c r="I1102" s="255">
        <v>594062</v>
      </c>
      <c r="J1102" s="255">
        <v>595415</v>
      </c>
      <c r="K1102" s="255">
        <v>586229</v>
      </c>
      <c r="L1102" s="255">
        <v>577625</v>
      </c>
      <c r="M1102" s="255">
        <v>577625</v>
      </c>
      <c r="N1102" s="255">
        <v>574337</v>
      </c>
      <c r="O1102" s="255">
        <v>564329</v>
      </c>
      <c r="P1102" s="255">
        <v>527227</v>
      </c>
      <c r="Q1102" s="255">
        <v>527753</v>
      </c>
      <c r="R1102" s="255">
        <v>533947</v>
      </c>
      <c r="S1102" s="255">
        <v>629877</v>
      </c>
      <c r="T1102" s="255">
        <v>681700</v>
      </c>
      <c r="U1102" s="255">
        <v>730867</v>
      </c>
      <c r="V1102" s="255">
        <v>757199</v>
      </c>
      <c r="W1102" s="255">
        <v>836940</v>
      </c>
      <c r="X1102" s="255">
        <v>863526</v>
      </c>
      <c r="Y1102" s="255">
        <v>874950</v>
      </c>
      <c r="Z1102" s="247">
        <f ca="1">[1]ExtEntry!$Q4</f>
        <v>874950</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574030</v>
      </c>
      <c r="G1103" s="247">
        <v>798100</v>
      </c>
      <c r="H1103" s="247">
        <v>798100</v>
      </c>
      <c r="I1103" s="247">
        <v>1035840</v>
      </c>
      <c r="J1103" s="247">
        <v>1035840</v>
      </c>
      <c r="K1103" s="247">
        <v>1033990</v>
      </c>
      <c r="L1103" s="247">
        <v>1033990</v>
      </c>
      <c r="M1103" s="247">
        <v>1033990</v>
      </c>
      <c r="N1103" s="247">
        <v>1059800</v>
      </c>
      <c r="O1103" s="247">
        <v>1059800</v>
      </c>
      <c r="P1103" s="247">
        <v>1073800</v>
      </c>
      <c r="Q1103" s="247">
        <v>1073800</v>
      </c>
      <c r="R1103" s="247">
        <v>684700</v>
      </c>
      <c r="S1103" s="247">
        <v>390850</v>
      </c>
      <c r="T1103" s="247">
        <v>418370</v>
      </c>
      <c r="U1103" s="247">
        <v>366710</v>
      </c>
      <c r="V1103" s="247">
        <v>312510</v>
      </c>
      <c r="W1103" s="247">
        <v>318410</v>
      </c>
      <c r="X1103" s="247">
        <v>310980</v>
      </c>
      <c r="Y1103" s="247">
        <v>310980</v>
      </c>
      <c r="Z1103" s="247">
        <f ca="1">[1]ExtEntry!$Q5</f>
        <v>310980</v>
      </c>
      <c r="AB1103" s="318">
        <v>-180574.13640880003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-181465.31510189822</v>
      </c>
      <c r="AV1103" s="318">
        <f ca="1">Calc!BG5</f>
        <v>-181465.31510189822</v>
      </c>
      <c r="AX1103" s="88" t="str">
        <f t="shared" ca="1" si="94"/>
        <v>AET</v>
      </c>
    </row>
    <row r="1104" spans="1:50" x14ac:dyDescent="0.3">
      <c r="A1104" s="88" t="str">
        <f t="shared" ca="1" si="95"/>
        <v>AMZN</v>
      </c>
      <c r="C1104" s="1">
        <v>6</v>
      </c>
      <c r="F1104" s="255">
        <v>46958587</v>
      </c>
      <c r="G1104" s="255">
        <v>47703859</v>
      </c>
      <c r="H1104" s="255">
        <v>47103929</v>
      </c>
      <c r="I1104" s="255">
        <v>47301089</v>
      </c>
      <c r="J1104" s="255">
        <v>47600718</v>
      </c>
      <c r="K1104" s="255">
        <v>47826297</v>
      </c>
      <c r="L1104" s="255">
        <v>48317923</v>
      </c>
      <c r="M1104" s="255">
        <v>48317923</v>
      </c>
      <c r="N1104" s="255">
        <v>48377656</v>
      </c>
      <c r="O1104" s="255">
        <v>48121986</v>
      </c>
      <c r="P1104" s="255">
        <v>45751661</v>
      </c>
      <c r="Q1104" s="255">
        <v>45445761</v>
      </c>
      <c r="R1104" s="255">
        <v>44592599</v>
      </c>
      <c r="S1104" s="255">
        <v>53650837</v>
      </c>
      <c r="T1104" s="255">
        <v>53776835</v>
      </c>
      <c r="U1104" s="255">
        <v>53643910</v>
      </c>
      <c r="V1104" s="255">
        <v>53833734</v>
      </c>
      <c r="W1104" s="255">
        <v>52529093</v>
      </c>
      <c r="X1104" s="255">
        <v>52077035</v>
      </c>
      <c r="Y1104" s="255">
        <v>52674749</v>
      </c>
      <c r="Z1104" s="247">
        <f ca="1">[1]ExtEntry!$Q6</f>
        <v>52674749</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-904309.32697199984</v>
      </c>
      <c r="AV1104" s="318">
        <f ca="1">Calc!BG6</f>
        <v>-904309.32697199984</v>
      </c>
      <c r="AX1104" s="88" t="str">
        <f t="shared" ca="1" si="94"/>
        <v>AMZN</v>
      </c>
    </row>
    <row r="1105" spans="1:50" x14ac:dyDescent="0.3">
      <c r="A1105" s="88" t="str">
        <f t="shared" ca="1" si="95"/>
        <v>ALDNE</v>
      </c>
      <c r="C1105" s="1">
        <v>7</v>
      </c>
      <c r="F1105" s="247">
        <v>2920</v>
      </c>
      <c r="G1105" s="247">
        <v>2990</v>
      </c>
      <c r="H1105" s="247">
        <v>2690</v>
      </c>
      <c r="I1105" s="247">
        <v>2320</v>
      </c>
      <c r="J1105" s="247">
        <v>1950</v>
      </c>
      <c r="K1105" s="247">
        <v>1950</v>
      </c>
      <c r="L1105" s="247">
        <v>2260</v>
      </c>
      <c r="M1105" s="247">
        <v>2260</v>
      </c>
      <c r="N1105" s="247">
        <v>5670</v>
      </c>
      <c r="O1105" s="247">
        <v>5670</v>
      </c>
      <c r="P1105" s="247">
        <v>6030</v>
      </c>
      <c r="Q1105" s="247">
        <v>6030</v>
      </c>
      <c r="R1105" s="247">
        <v>6760</v>
      </c>
      <c r="S1105" s="247">
        <v>9340</v>
      </c>
      <c r="T1105" s="247">
        <v>6780</v>
      </c>
      <c r="U1105" s="247">
        <v>6780</v>
      </c>
      <c r="V1105" s="247">
        <v>6470</v>
      </c>
      <c r="W1105" s="247">
        <v>6080</v>
      </c>
      <c r="X1105" s="247">
        <v>6820</v>
      </c>
      <c r="Y1105" s="247">
        <v>6820</v>
      </c>
      <c r="Z1105" s="247">
        <f ca="1">[1]ExtEntry!$Q7</f>
        <v>6820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-93961.067746500019</v>
      </c>
      <c r="AV1105" s="318">
        <f ca="1">Calc!BG7</f>
        <v>-93961.067746500019</v>
      </c>
      <c r="AX1105" s="88" t="str">
        <f t="shared" ca="1" si="94"/>
        <v>ALDNE</v>
      </c>
    </row>
    <row r="1106" spans="1:50" x14ac:dyDescent="0.3">
      <c r="A1106" s="88" t="str">
        <f t="shared" ca="1" si="95"/>
        <v>ASML</v>
      </c>
      <c r="C1106" s="1">
        <v>8</v>
      </c>
      <c r="F1106" s="255">
        <v>766660</v>
      </c>
      <c r="G1106" s="255">
        <v>804760</v>
      </c>
      <c r="H1106" s="255">
        <v>804760</v>
      </c>
      <c r="I1106" s="255">
        <v>839280</v>
      </c>
      <c r="J1106" s="255">
        <v>839280</v>
      </c>
      <c r="K1106" s="255">
        <v>839280</v>
      </c>
      <c r="L1106" s="255">
        <v>812200</v>
      </c>
      <c r="M1106" s="255">
        <v>812200</v>
      </c>
      <c r="N1106" s="255">
        <v>794970</v>
      </c>
      <c r="O1106" s="255">
        <v>794970</v>
      </c>
      <c r="P1106" s="255">
        <v>743190</v>
      </c>
      <c r="Q1106" s="255">
        <v>743190</v>
      </c>
      <c r="R1106" s="255">
        <v>645470</v>
      </c>
      <c r="S1106" s="255">
        <v>558080</v>
      </c>
      <c r="T1106" s="255">
        <v>547460</v>
      </c>
      <c r="U1106" s="255">
        <v>553620</v>
      </c>
      <c r="V1106" s="255">
        <v>539670</v>
      </c>
      <c r="W1106" s="255">
        <v>546390</v>
      </c>
      <c r="X1106" s="255">
        <v>557280</v>
      </c>
      <c r="Y1106" s="255">
        <v>557280</v>
      </c>
      <c r="Z1106" s="247">
        <f ca="1">[1]ExtEntry!$Q8</f>
        <v>557280</v>
      </c>
      <c r="AB1106" s="318">
        <v>-2322244.36</v>
      </c>
      <c r="AC1106" s="318">
        <v>-2322244.36</v>
      </c>
      <c r="AD1106" s="318">
        <v>-2232924.36</v>
      </c>
      <c r="AE1106" s="318">
        <v>-2146664.2599999998</v>
      </c>
      <c r="AF1106" s="318">
        <v>-2146664.2599999998</v>
      </c>
      <c r="AG1106" s="318">
        <v>-2146664.2599999998</v>
      </c>
      <c r="AH1106" s="318">
        <v>-2146664.2599999998</v>
      </c>
      <c r="AI1106" s="318">
        <v>-2146664.2599999998</v>
      </c>
      <c r="AJ1106" s="318">
        <v>-2146664.2599999998</v>
      </c>
      <c r="AK1106" s="318">
        <v>-2057189.26</v>
      </c>
      <c r="AL1106" s="318">
        <v>-1966164.26</v>
      </c>
      <c r="AM1106" s="318">
        <v>-1966164.26</v>
      </c>
      <c r="AN1106" s="318">
        <v>-1966164.26</v>
      </c>
      <c r="AO1106" s="318">
        <v>-1966164.26</v>
      </c>
      <c r="AP1106" s="318">
        <v>-1966164.26</v>
      </c>
      <c r="AQ1106" s="318">
        <v>-1468104.26</v>
      </c>
      <c r="AR1106" s="318">
        <v>-1468104.26</v>
      </c>
      <c r="AS1106" s="318">
        <v>-1379434.26</v>
      </c>
      <c r="AT1106" s="318">
        <v>-1827484.26</v>
      </c>
      <c r="AU1106" s="318">
        <v>-1833403.6778939997</v>
      </c>
      <c r="AV1106" s="318">
        <f ca="1">Calc!BG8</f>
        <v>-1833403.6778939997</v>
      </c>
      <c r="AX1106" s="88" t="str">
        <f t="shared" ca="1" si="94"/>
        <v>ASML</v>
      </c>
    </row>
    <row r="1107" spans="1:50" x14ac:dyDescent="0.3">
      <c r="A1107" s="88" t="str">
        <f t="shared" ca="1" si="95"/>
        <v>AVGO</v>
      </c>
      <c r="C1107" s="1">
        <v>9</v>
      </c>
      <c r="F1107" s="255">
        <v>25955944</v>
      </c>
      <c r="G1107" s="255">
        <v>25760171</v>
      </c>
      <c r="H1107" s="255">
        <v>24673440</v>
      </c>
      <c r="I1107" s="255">
        <v>24308891</v>
      </c>
      <c r="J1107" s="255">
        <v>23868416</v>
      </c>
      <c r="K1107" s="255">
        <v>23622338</v>
      </c>
      <c r="L1107" s="255">
        <v>23413781</v>
      </c>
      <c r="M1107" s="255">
        <v>23413781</v>
      </c>
      <c r="N1107" s="255">
        <v>22376649</v>
      </c>
      <c r="O1107" s="255">
        <v>21904460</v>
      </c>
      <c r="P1107" s="255">
        <v>20900606</v>
      </c>
      <c r="Q1107" s="255">
        <v>20556836</v>
      </c>
      <c r="R1107" s="255">
        <v>20733231</v>
      </c>
      <c r="S1107" s="255">
        <v>20917780</v>
      </c>
      <c r="T1107" s="255">
        <v>21075301</v>
      </c>
      <c r="U1107" s="255">
        <v>20913899</v>
      </c>
      <c r="V1107" s="255">
        <v>20913068</v>
      </c>
      <c r="W1107" s="255">
        <v>20878767</v>
      </c>
      <c r="X1107" s="255">
        <v>19213773</v>
      </c>
      <c r="Y1107" s="255">
        <v>19199725</v>
      </c>
      <c r="Z1107" s="247">
        <f ca="1">[1]ExtEntry!$Q9</f>
        <v>19199725</v>
      </c>
      <c r="AB1107" s="318">
        <v>-46552.706239920037</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0</v>
      </c>
      <c r="AU1107" s="318">
        <v>0</v>
      </c>
      <c r="AV1107" s="318">
        <f ca="1">Calc!BG9</f>
        <v>0</v>
      </c>
      <c r="AX1107" s="88" t="str">
        <f t="shared" ref="AX1107:AX1170" ca="1" si="96">A1107</f>
        <v>AVGO</v>
      </c>
    </row>
    <row r="1108" spans="1:50" hidden="1" x14ac:dyDescent="0.3">
      <c r="A1108" s="88" t="str">
        <f t="shared" ca="1" si="95"/>
        <v>AZN</v>
      </c>
      <c r="C1108" s="1">
        <v>10</v>
      </c>
      <c r="F1108" s="255">
        <v>5691158</v>
      </c>
      <c r="G1108" s="255">
        <v>5792078</v>
      </c>
      <c r="H1108" s="255">
        <v>5870377</v>
      </c>
      <c r="I1108" s="255">
        <v>5930230</v>
      </c>
      <c r="J1108" s="255">
        <v>5875599</v>
      </c>
      <c r="K1108" s="255">
        <v>5898365</v>
      </c>
      <c r="L1108" s="255">
        <v>5986653</v>
      </c>
      <c r="M1108" s="255">
        <v>5986653</v>
      </c>
      <c r="N1108" s="255">
        <v>5932836</v>
      </c>
      <c r="O1108" s="255">
        <v>5836487</v>
      </c>
      <c r="P1108" s="255">
        <v>5665239</v>
      </c>
      <c r="Q1108" s="255">
        <v>5720341</v>
      </c>
      <c r="R1108" s="255">
        <v>5729379</v>
      </c>
      <c r="S1108" s="255">
        <v>5581977</v>
      </c>
      <c r="T1108" s="255">
        <v>5461602</v>
      </c>
      <c r="U1108" s="255">
        <v>5101497</v>
      </c>
      <c r="V1108" s="255">
        <v>5161133</v>
      </c>
      <c r="W1108" s="255">
        <v>4906172</v>
      </c>
      <c r="X1108" s="255">
        <v>4404108</v>
      </c>
      <c r="Y1108" s="255">
        <v>4462337</v>
      </c>
      <c r="Z1108" s="247">
        <f ca="1">[1]ExtEntry!$Q10</f>
        <v>4462337</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9146889</v>
      </c>
      <c r="G1109" s="255">
        <v>9671445</v>
      </c>
      <c r="H1109" s="255">
        <v>9789584</v>
      </c>
      <c r="I1109" s="255">
        <v>9877938</v>
      </c>
      <c r="J1109" s="255">
        <v>10020767</v>
      </c>
      <c r="K1109" s="255">
        <v>10100934</v>
      </c>
      <c r="L1109" s="255">
        <v>10190074</v>
      </c>
      <c r="M1109" s="255">
        <v>10190074</v>
      </c>
      <c r="N1109" s="255">
        <v>9973914</v>
      </c>
      <c r="O1109" s="255">
        <v>9856064</v>
      </c>
      <c r="P1109" s="255">
        <v>9741689</v>
      </c>
      <c r="Q1109" s="255">
        <v>9521175</v>
      </c>
      <c r="R1109" s="255">
        <v>9026557</v>
      </c>
      <c r="S1109" s="255">
        <v>8852416</v>
      </c>
      <c r="T1109" s="255">
        <v>8884901</v>
      </c>
      <c r="U1109" s="255">
        <v>8797877</v>
      </c>
      <c r="V1109" s="255">
        <v>8843858</v>
      </c>
      <c r="W1109" s="255">
        <v>7460161</v>
      </c>
      <c r="X1109" s="255">
        <v>7168732</v>
      </c>
      <c r="Y1109" s="255">
        <v>6790641</v>
      </c>
      <c r="Z1109" s="247">
        <f ca="1">[1]ExtEntry!$Q11</f>
        <v>6790641</v>
      </c>
      <c r="AB1109" s="318">
        <v>-4713.8750000000109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-4796.2529190000096</v>
      </c>
      <c r="AV1109" s="318">
        <f ca="1">Calc!BG11</f>
        <v>-4796.2529190000096</v>
      </c>
      <c r="AX1109" s="88" t="str">
        <f t="shared" ca="1" si="96"/>
        <v>BLDP</v>
      </c>
    </row>
    <row r="1110" spans="1:50" hidden="1" x14ac:dyDescent="0.3">
      <c r="A1110" s="88" t="str">
        <f t="shared" ca="1" si="95"/>
        <v>BMRA</v>
      </c>
      <c r="C1110" s="1">
        <v>12</v>
      </c>
      <c r="F1110" s="255">
        <v>47628</v>
      </c>
      <c r="G1110" s="255">
        <v>33953</v>
      </c>
      <c r="H1110" s="255">
        <v>33029</v>
      </c>
      <c r="I1110" s="255">
        <v>196374</v>
      </c>
      <c r="J1110" s="255">
        <v>200347</v>
      </c>
      <c r="K1110" s="255">
        <v>203768</v>
      </c>
      <c r="L1110" s="255">
        <v>204273</v>
      </c>
      <c r="M1110" s="255">
        <v>204273</v>
      </c>
      <c r="N1110" s="255">
        <v>205884</v>
      </c>
      <c r="O1110" s="255">
        <v>205622</v>
      </c>
      <c r="P1110" s="255">
        <v>204705</v>
      </c>
      <c r="Q1110" s="255">
        <v>204025</v>
      </c>
      <c r="R1110" s="255">
        <v>203988</v>
      </c>
      <c r="S1110" s="255">
        <v>204325</v>
      </c>
      <c r="T1110" s="255">
        <v>204947</v>
      </c>
      <c r="U1110" s="255">
        <v>204092</v>
      </c>
      <c r="V1110" s="255">
        <v>203830</v>
      </c>
      <c r="W1110" s="255">
        <v>198775</v>
      </c>
      <c r="X1110" s="255">
        <v>197459</v>
      </c>
      <c r="Y1110" s="255">
        <v>195851</v>
      </c>
      <c r="Z1110" s="247">
        <f ca="1">[1]ExtEntry!$Q12</f>
        <v>195851</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-158677.7752</v>
      </c>
      <c r="AP1110" s="318">
        <v>-158677.7752</v>
      </c>
      <c r="AQ1110" s="318">
        <v>-55177.775200000004</v>
      </c>
      <c r="AR1110" s="318">
        <v>-55177.775200000004</v>
      </c>
      <c r="AS1110" s="318">
        <v>-55177.775200000004</v>
      </c>
      <c r="AT1110" s="318">
        <v>-55177.775200000004</v>
      </c>
      <c r="AU1110" s="318">
        <v>-55591.162199999992</v>
      </c>
      <c r="AV1110" s="318">
        <f ca="1">Calc!BG12</f>
        <v>-55591.162199999992</v>
      </c>
      <c r="AX1110" s="88" t="str">
        <f t="shared" ca="1" si="96"/>
        <v>BMRA</v>
      </c>
    </row>
    <row r="1111" spans="1:50" hidden="1" x14ac:dyDescent="0.3">
      <c r="A1111" s="88" t="str">
        <f t="shared" ca="1" si="95"/>
        <v>C</v>
      </c>
      <c r="C1111" s="1">
        <v>13</v>
      </c>
      <c r="F1111" s="255">
        <v>13422514</v>
      </c>
      <c r="G1111" s="255">
        <v>14025034</v>
      </c>
      <c r="H1111" s="255">
        <v>14164705</v>
      </c>
      <c r="I1111" s="255">
        <v>14449006</v>
      </c>
      <c r="J1111" s="255">
        <v>14629201</v>
      </c>
      <c r="K1111" s="255">
        <v>14656506</v>
      </c>
      <c r="L1111" s="255">
        <v>14528482</v>
      </c>
      <c r="M1111" s="255">
        <v>14528482</v>
      </c>
      <c r="N1111" s="255">
        <v>14528385</v>
      </c>
      <c r="O1111" s="255">
        <v>14388843</v>
      </c>
      <c r="P1111" s="255">
        <v>13873844</v>
      </c>
      <c r="Q1111" s="255">
        <v>13943431</v>
      </c>
      <c r="R1111" s="255">
        <v>13648426</v>
      </c>
      <c r="S1111" s="255">
        <v>13581442</v>
      </c>
      <c r="T1111" s="255">
        <v>13407839</v>
      </c>
      <c r="U1111" s="255">
        <v>13255800</v>
      </c>
      <c r="V1111" s="255">
        <v>13046626</v>
      </c>
      <c r="W1111" s="255">
        <v>13435274</v>
      </c>
      <c r="X1111" s="255">
        <v>12812913</v>
      </c>
      <c r="Y1111" s="255">
        <v>11904879</v>
      </c>
      <c r="Z1111" s="247">
        <f ca="1">[1]ExtEntry!$Q13</f>
        <v>11904879</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19484166</v>
      </c>
      <c r="G1112" s="255">
        <v>19634273</v>
      </c>
      <c r="H1112" s="255">
        <v>19697116</v>
      </c>
      <c r="I1112" s="255">
        <v>19552710</v>
      </c>
      <c r="J1112" s="255">
        <v>19463020</v>
      </c>
      <c r="K1112" s="255">
        <v>19302237</v>
      </c>
      <c r="L1112" s="255">
        <v>19211998</v>
      </c>
      <c r="M1112" s="255">
        <v>19211998</v>
      </c>
      <c r="N1112" s="255">
        <v>19064603</v>
      </c>
      <c r="O1112" s="255">
        <v>18838008</v>
      </c>
      <c r="P1112" s="255">
        <v>17448130</v>
      </c>
      <c r="Q1112" s="255">
        <v>17271734</v>
      </c>
      <c r="R1112" s="255">
        <v>17201504</v>
      </c>
      <c r="S1112" s="255">
        <v>17683737</v>
      </c>
      <c r="T1112" s="255">
        <v>17757580</v>
      </c>
      <c r="U1112" s="255">
        <v>17780891</v>
      </c>
      <c r="V1112" s="255">
        <v>17811359</v>
      </c>
      <c r="W1112" s="255">
        <v>20641088</v>
      </c>
      <c r="X1112" s="255">
        <v>21939098</v>
      </c>
      <c r="Y1112" s="255">
        <v>22364036</v>
      </c>
      <c r="Z1112" s="247">
        <f ca="1">[1]ExtEntry!$Q14</f>
        <v>22364036</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7314553</v>
      </c>
      <c r="G1113" s="255">
        <v>7392735</v>
      </c>
      <c r="H1113" s="255">
        <v>7405154</v>
      </c>
      <c r="I1113" s="255">
        <v>7308885</v>
      </c>
      <c r="J1113" s="255">
        <v>7330919</v>
      </c>
      <c r="K1113" s="255">
        <v>7250927</v>
      </c>
      <c r="L1113" s="255">
        <v>7236342</v>
      </c>
      <c r="M1113" s="255">
        <v>7236342</v>
      </c>
      <c r="N1113" s="255">
        <v>7318726</v>
      </c>
      <c r="O1113" s="255">
        <v>7346773</v>
      </c>
      <c r="P1113" s="255">
        <v>7034639</v>
      </c>
      <c r="Q1113" s="255">
        <v>6990736</v>
      </c>
      <c r="R1113" s="255">
        <v>7464213</v>
      </c>
      <c r="S1113" s="255">
        <v>8010218</v>
      </c>
      <c r="T1113" s="255">
        <v>8003629</v>
      </c>
      <c r="U1113" s="255">
        <v>7802982</v>
      </c>
      <c r="V1113" s="255">
        <v>7839054</v>
      </c>
      <c r="W1113" s="255">
        <v>8043744</v>
      </c>
      <c r="X1113" s="255">
        <v>7926685</v>
      </c>
      <c r="Y1113" s="255">
        <v>7675262</v>
      </c>
      <c r="Z1113" s="247">
        <f ca="1">[1]ExtEntry!$Q15</f>
        <v>7675262</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4431335</v>
      </c>
      <c r="G1114" s="255">
        <v>4457889</v>
      </c>
      <c r="H1114" s="255">
        <v>4484637</v>
      </c>
      <c r="I1114" s="255">
        <v>4564013</v>
      </c>
      <c r="J1114" s="255">
        <v>4636118</v>
      </c>
      <c r="K1114" s="255">
        <v>4835555</v>
      </c>
      <c r="L1114" s="255">
        <v>4998183</v>
      </c>
      <c r="M1114" s="255">
        <v>4998183</v>
      </c>
      <c r="N1114" s="255">
        <v>5090282</v>
      </c>
      <c r="O1114" s="255">
        <v>4995132</v>
      </c>
      <c r="P1114" s="255">
        <v>4977308</v>
      </c>
      <c r="Q1114" s="255">
        <v>5078937</v>
      </c>
      <c r="R1114" s="255">
        <v>4752355</v>
      </c>
      <c r="S1114" s="255">
        <v>4504492</v>
      </c>
      <c r="T1114" s="255">
        <v>4450047</v>
      </c>
      <c r="U1114" s="255">
        <v>4543958</v>
      </c>
      <c r="V1114" s="255">
        <v>4513661</v>
      </c>
      <c r="W1114" s="255">
        <v>4033910</v>
      </c>
      <c r="X1114" s="255">
        <v>3760873</v>
      </c>
      <c r="Y1114" s="255">
        <v>3699877</v>
      </c>
      <c r="Z1114" s="247">
        <f ca="1">[1]ExtEntry!$Q16</f>
        <v>3699877</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-98474.870700000029</v>
      </c>
      <c r="AV1114" s="318">
        <f ca="1">Calc!BG16</f>
        <v>-98474.870700000029</v>
      </c>
      <c r="AX1114" s="88" t="str">
        <f t="shared" ca="1" si="96"/>
        <v>DDD</v>
      </c>
    </row>
    <row r="1115" spans="1:50" hidden="1" x14ac:dyDescent="0.3">
      <c r="A1115" s="88" t="str">
        <f t="shared" ca="1" si="95"/>
        <v>DIS</v>
      </c>
      <c r="C1115" s="1">
        <v>17</v>
      </c>
      <c r="F1115" s="255">
        <v>8777391</v>
      </c>
      <c r="G1115" s="255">
        <v>8875539</v>
      </c>
      <c r="H1115" s="255">
        <v>8856647</v>
      </c>
      <c r="I1115" s="255">
        <v>8821932</v>
      </c>
      <c r="J1115" s="255">
        <v>8919918</v>
      </c>
      <c r="K1115" s="255">
        <v>8955780</v>
      </c>
      <c r="L1115" s="255">
        <v>9008512</v>
      </c>
      <c r="M1115" s="255">
        <v>9008512</v>
      </c>
      <c r="N1115" s="255">
        <v>9017926</v>
      </c>
      <c r="O1115" s="255">
        <v>8917322</v>
      </c>
      <c r="P1115" s="255">
        <v>8230792</v>
      </c>
      <c r="Q1115" s="255">
        <v>7852782</v>
      </c>
      <c r="R1115" s="255">
        <v>7534228</v>
      </c>
      <c r="S1115" s="255">
        <v>7683781</v>
      </c>
      <c r="T1115" s="255">
        <v>7629637</v>
      </c>
      <c r="U1115" s="255">
        <v>7470025</v>
      </c>
      <c r="V1115" s="255">
        <v>7533891</v>
      </c>
      <c r="W1115" s="255">
        <v>9720774</v>
      </c>
      <c r="X1115" s="255">
        <v>10197474</v>
      </c>
      <c r="Y1115" s="255">
        <v>10353403</v>
      </c>
      <c r="Z1115" s="247">
        <f ca="1">[1]ExtEntry!$Q17</f>
        <v>10353403</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-32030.585557200044</v>
      </c>
      <c r="AV1115" s="318">
        <f ca="1">Calc!BG17</f>
        <v>-32030.585557200044</v>
      </c>
      <c r="AX1115" s="88" t="str">
        <f t="shared" ca="1" si="96"/>
        <v>DIS</v>
      </c>
    </row>
    <row r="1116" spans="1:50" hidden="1" x14ac:dyDescent="0.3">
      <c r="A1116" s="88" t="str">
        <f t="shared" ca="1" si="95"/>
        <v>DSY</v>
      </c>
      <c r="C1116" s="1">
        <v>18</v>
      </c>
      <c r="F1116" s="255">
        <v>1416250</v>
      </c>
      <c r="G1116" s="255">
        <v>1410550</v>
      </c>
      <c r="H1116" s="255">
        <v>1461880</v>
      </c>
      <c r="I1116" s="255">
        <v>1511630</v>
      </c>
      <c r="J1116" s="255">
        <v>1511630</v>
      </c>
      <c r="K1116" s="255">
        <v>1470740</v>
      </c>
      <c r="L1116" s="255">
        <v>1470740</v>
      </c>
      <c r="M1116" s="255">
        <v>1470740</v>
      </c>
      <c r="N1116" s="255">
        <v>1473940</v>
      </c>
      <c r="O1116" s="255">
        <v>1473940</v>
      </c>
      <c r="P1116" s="255">
        <v>1548090</v>
      </c>
      <c r="Q1116" s="255">
        <v>1548090</v>
      </c>
      <c r="R1116" s="255">
        <v>2471550</v>
      </c>
      <c r="S1116" s="255">
        <v>2551820</v>
      </c>
      <c r="T1116" s="255">
        <v>2619000</v>
      </c>
      <c r="U1116" s="255">
        <v>2619000</v>
      </c>
      <c r="V1116" s="255">
        <v>2566620</v>
      </c>
      <c r="W1116" s="255">
        <v>1854740</v>
      </c>
      <c r="X1116" s="255">
        <v>1917280</v>
      </c>
      <c r="Y1116" s="255">
        <v>1917280</v>
      </c>
      <c r="Z1116" s="247">
        <f ca="1">[1]ExtEntry!$Q18</f>
        <v>1917280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-105872.14573920006</v>
      </c>
      <c r="AV1116" s="318">
        <f ca="1">Calc!BG18</f>
        <v>-105872.14573920006</v>
      </c>
      <c r="AX1116" s="88" t="str">
        <f t="shared" ca="1" si="96"/>
        <v>DSY</v>
      </c>
    </row>
    <row r="1117" spans="1:50" hidden="1" x14ac:dyDescent="0.3">
      <c r="A1117" s="88" t="str">
        <f t="shared" ca="1" si="95"/>
        <v>DVA</v>
      </c>
      <c r="C1117" s="1">
        <v>19</v>
      </c>
      <c r="F1117" s="255">
        <v>773095</v>
      </c>
      <c r="G1117" s="255">
        <v>774050</v>
      </c>
      <c r="H1117" s="255">
        <v>782434</v>
      </c>
      <c r="I1117" s="255">
        <v>774968</v>
      </c>
      <c r="J1117" s="255">
        <v>771354</v>
      </c>
      <c r="K1117" s="255">
        <v>765597</v>
      </c>
      <c r="L1117" s="255">
        <v>750976</v>
      </c>
      <c r="M1117" s="255">
        <v>750976</v>
      </c>
      <c r="N1117" s="255">
        <v>719757</v>
      </c>
      <c r="O1117" s="255">
        <v>713056</v>
      </c>
      <c r="P1117" s="255">
        <v>615538</v>
      </c>
      <c r="Q1117" s="255">
        <v>606264</v>
      </c>
      <c r="R1117" s="255">
        <v>642396</v>
      </c>
      <c r="S1117" s="255">
        <v>791022</v>
      </c>
      <c r="T1117" s="255">
        <v>818913</v>
      </c>
      <c r="U1117" s="255">
        <v>826829</v>
      </c>
      <c r="V1117" s="255">
        <v>838102</v>
      </c>
      <c r="W1117" s="255">
        <v>880480</v>
      </c>
      <c r="X1117" s="255">
        <v>903405</v>
      </c>
      <c r="Y1117" s="255">
        <v>905387</v>
      </c>
      <c r="Z1117" s="247">
        <f ca="1">[1]ExtEntry!$Q19</f>
        <v>905387</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-253194.29000000007</v>
      </c>
      <c r="AP1117" s="318">
        <v>-253194.29000000007</v>
      </c>
      <c r="AQ1117" s="318">
        <v>-253194.29000000007</v>
      </c>
      <c r="AR1117" s="318">
        <v>-55690.290000000066</v>
      </c>
      <c r="AS1117" s="318">
        <v>-48986.290000000066</v>
      </c>
      <c r="AT1117" s="318">
        <v>-48986.290000000066</v>
      </c>
      <c r="AU1117" s="318">
        <v>-49322.716506000055</v>
      </c>
      <c r="AV1117" s="318">
        <f ca="1">Calc!BG19</f>
        <v>-49322.716506000055</v>
      </c>
      <c r="AX1117" s="88" t="str">
        <f t="shared" ca="1" si="96"/>
        <v>DVA</v>
      </c>
    </row>
    <row r="1118" spans="1:50" hidden="1" x14ac:dyDescent="0.3">
      <c r="A1118" s="88" t="str">
        <f t="shared" ca="1" si="95"/>
        <v>DXC</v>
      </c>
      <c r="C1118" s="1">
        <v>20</v>
      </c>
      <c r="F1118" s="255">
        <v>1898476</v>
      </c>
      <c r="G1118" s="255">
        <v>1889575</v>
      </c>
      <c r="H1118" s="255">
        <v>1861245</v>
      </c>
      <c r="I1118" s="255">
        <v>1874187</v>
      </c>
      <c r="J1118" s="255">
        <v>1853380</v>
      </c>
      <c r="K1118" s="255">
        <v>1857044</v>
      </c>
      <c r="L1118" s="255">
        <v>1836962</v>
      </c>
      <c r="M1118" s="255">
        <v>1836962</v>
      </c>
      <c r="N1118" s="255">
        <v>1837101</v>
      </c>
      <c r="O1118" s="255">
        <v>1841336</v>
      </c>
      <c r="P1118" s="255">
        <v>1726849</v>
      </c>
      <c r="Q1118" s="255">
        <v>1714625</v>
      </c>
      <c r="R1118" s="255">
        <v>1732067</v>
      </c>
      <c r="S1118" s="255">
        <v>1894113</v>
      </c>
      <c r="T1118" s="255">
        <v>1948566</v>
      </c>
      <c r="U1118" s="255">
        <v>1976394</v>
      </c>
      <c r="V1118" s="255">
        <v>1987627</v>
      </c>
      <c r="W1118" s="255">
        <v>1999441</v>
      </c>
      <c r="X1118" s="255">
        <v>2056058</v>
      </c>
      <c r="Y1118" s="255">
        <v>2090201</v>
      </c>
      <c r="Z1118" s="247">
        <f ca="1">[1]ExtEntry!$Q20</f>
        <v>2090201</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-39622.217614199966</v>
      </c>
      <c r="AV1118" s="318">
        <f ca="1">Calc!BG20</f>
        <v>-39622.217614199966</v>
      </c>
      <c r="AX1118" s="88" t="str">
        <f t="shared" ca="1" si="96"/>
        <v>DXC</v>
      </c>
    </row>
    <row r="1119" spans="1:50" hidden="1" x14ac:dyDescent="0.3">
      <c r="A1119" s="88" t="str">
        <f t="shared" ca="1" si="95"/>
        <v>EOAN</v>
      </c>
      <c r="C1119" s="1">
        <v>21</v>
      </c>
      <c r="F1119" s="255">
        <v>3003030</v>
      </c>
      <c r="G1119" s="255">
        <v>3101550</v>
      </c>
      <c r="H1119" s="255">
        <v>3019760</v>
      </c>
      <c r="I1119" s="255">
        <v>2873040</v>
      </c>
      <c r="J1119" s="255">
        <v>3038990</v>
      </c>
      <c r="K1119" s="255">
        <v>3038990</v>
      </c>
      <c r="L1119" s="255">
        <v>3152510</v>
      </c>
      <c r="M1119" s="255">
        <v>3152510</v>
      </c>
      <c r="N1119" s="255">
        <v>3081430</v>
      </c>
      <c r="O1119" s="255">
        <v>3081430</v>
      </c>
      <c r="P1119" s="255">
        <v>3151380</v>
      </c>
      <c r="Q1119" s="255">
        <v>3151380</v>
      </c>
      <c r="R1119" s="255">
        <v>3076200</v>
      </c>
      <c r="S1119" s="255">
        <v>2941920</v>
      </c>
      <c r="T1119" s="255">
        <v>2907640</v>
      </c>
      <c r="U1119" s="255">
        <v>2964880</v>
      </c>
      <c r="V1119" s="255">
        <v>2864900</v>
      </c>
      <c r="W1119" s="255">
        <v>4392490</v>
      </c>
      <c r="X1119" s="255">
        <v>4593700</v>
      </c>
      <c r="Y1119" s="255">
        <v>4593700</v>
      </c>
      <c r="Z1119" s="247">
        <f ca="1">[1]ExtEntry!$Q21</f>
        <v>4593700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7786338</v>
      </c>
      <c r="G1121" s="255">
        <v>7961865</v>
      </c>
      <c r="H1121" s="255">
        <v>7992644</v>
      </c>
      <c r="I1121" s="255">
        <v>8002754</v>
      </c>
      <c r="J1121" s="255">
        <v>7840178</v>
      </c>
      <c r="K1121" s="255">
        <v>8056621</v>
      </c>
      <c r="L1121" s="255">
        <v>9533405</v>
      </c>
      <c r="M1121" s="255">
        <v>9533405</v>
      </c>
      <c r="N1121" s="255">
        <v>10036558</v>
      </c>
      <c r="O1121" s="255">
        <v>10305534</v>
      </c>
      <c r="P1121" s="255">
        <v>10281990</v>
      </c>
      <c r="Q1121" s="255">
        <v>10365613</v>
      </c>
      <c r="R1121" s="255">
        <v>10645332</v>
      </c>
      <c r="S1121" s="255">
        <v>10590751</v>
      </c>
      <c r="T1121" s="255">
        <v>10651288</v>
      </c>
      <c r="U1121" s="255">
        <v>10639792</v>
      </c>
      <c r="V1121" s="255">
        <v>10498677</v>
      </c>
      <c r="W1121" s="255">
        <v>10411022</v>
      </c>
      <c r="X1121" s="255">
        <v>10638421</v>
      </c>
      <c r="Y1121" s="255">
        <v>10521927</v>
      </c>
      <c r="Z1121" s="247">
        <f ca="1">[1]ExtEntry!$Q23</f>
        <v>10521927</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23939441</v>
      </c>
      <c r="G1122" s="255">
        <v>24645844</v>
      </c>
      <c r="H1122" s="255">
        <v>25805295</v>
      </c>
      <c r="I1122" s="255">
        <v>28127066</v>
      </c>
      <c r="J1122" s="255">
        <v>29926789</v>
      </c>
      <c r="K1122" s="255">
        <v>31599649</v>
      </c>
      <c r="L1122" s="255">
        <v>33992977</v>
      </c>
      <c r="M1122" s="255">
        <v>33992977</v>
      </c>
      <c r="N1122" s="255">
        <v>34999770</v>
      </c>
      <c r="O1122" s="255">
        <v>35346638</v>
      </c>
      <c r="P1122" s="255">
        <v>34827382</v>
      </c>
      <c r="Q1122" s="255">
        <v>35125390</v>
      </c>
      <c r="R1122" s="255">
        <v>36047873</v>
      </c>
      <c r="S1122" s="255">
        <v>37178494</v>
      </c>
      <c r="T1122" s="255">
        <v>37677726</v>
      </c>
      <c r="U1122" s="255">
        <v>37657140</v>
      </c>
      <c r="V1122" s="255">
        <v>37867308</v>
      </c>
      <c r="W1122" s="255">
        <v>40139437</v>
      </c>
      <c r="X1122" s="255">
        <v>40503688</v>
      </c>
      <c r="Y1122" s="255">
        <v>40852455</v>
      </c>
      <c r="Z1122" s="247">
        <f ca="1">[1]ExtEntry!$Q24</f>
        <v>40852455</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10481974</v>
      </c>
      <c r="G1123" s="255">
        <v>10948183</v>
      </c>
      <c r="H1123" s="255">
        <v>11318802</v>
      </c>
      <c r="I1123" s="255">
        <v>11986472</v>
      </c>
      <c r="J1123" s="255">
        <v>12100651</v>
      </c>
      <c r="K1123" s="255">
        <v>12031028</v>
      </c>
      <c r="L1123" s="255">
        <v>12099984</v>
      </c>
      <c r="M1123" s="255">
        <v>12099984</v>
      </c>
      <c r="N1123" s="255">
        <v>11942687</v>
      </c>
      <c r="O1123" s="255">
        <v>12133780</v>
      </c>
      <c r="P1123" s="255">
        <v>11970923</v>
      </c>
      <c r="Q1123" s="255">
        <v>12115691</v>
      </c>
      <c r="R1123" s="255">
        <v>12066589</v>
      </c>
      <c r="S1123" s="255">
        <v>12367211</v>
      </c>
      <c r="T1123" s="255">
        <v>12451001</v>
      </c>
      <c r="U1123" s="255">
        <v>12365290</v>
      </c>
      <c r="V1123" s="255">
        <v>12289307</v>
      </c>
      <c r="W1123" s="255">
        <v>12233776</v>
      </c>
      <c r="X1123" s="255">
        <v>12223223</v>
      </c>
      <c r="Y1123" s="255">
        <v>11835083</v>
      </c>
      <c r="Z1123" s="247">
        <f ca="1">[1]ExtEntry!$Q25</f>
        <v>11835083</v>
      </c>
      <c r="AB1123" s="318">
        <v>-69624.971999999951</v>
      </c>
      <c r="AC1123" s="318">
        <v>-40684.971999999958</v>
      </c>
      <c r="AD1123" s="318">
        <v>-68214.971999999951</v>
      </c>
      <c r="AE1123" s="318">
        <v>-68214.971999999951</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-68433.257059199939</v>
      </c>
      <c r="AV1123" s="318">
        <f ca="1">Calc!BG25</f>
        <v>-68433.257059199939</v>
      </c>
      <c r="AX1123" s="88" t="str">
        <f t="shared" ca="1" si="96"/>
        <v>HPQ</v>
      </c>
    </row>
    <row r="1124" spans="1:50" hidden="1" x14ac:dyDescent="0.3">
      <c r="A1124" s="88" t="str">
        <f t="shared" ca="1" si="95"/>
        <v>IAG</v>
      </c>
      <c r="C1124" s="1">
        <v>26</v>
      </c>
      <c r="F1124" s="255">
        <v>13829740</v>
      </c>
      <c r="G1124" s="255">
        <v>13923050</v>
      </c>
      <c r="H1124" s="255">
        <v>13923050</v>
      </c>
      <c r="I1124" s="255">
        <v>14152510</v>
      </c>
      <c r="J1124" s="255">
        <v>14152510</v>
      </c>
      <c r="K1124" s="255">
        <v>14152510</v>
      </c>
      <c r="L1124" s="255">
        <v>14374030</v>
      </c>
      <c r="M1124" s="255">
        <v>14374030</v>
      </c>
      <c r="N1124" s="255">
        <v>13633200</v>
      </c>
      <c r="O1124" s="255">
        <v>13633200</v>
      </c>
      <c r="P1124" s="255">
        <v>12139610</v>
      </c>
      <c r="Q1124" s="255">
        <v>10911480</v>
      </c>
      <c r="R1124" s="255">
        <v>10695980</v>
      </c>
      <c r="S1124" s="255">
        <v>10605660</v>
      </c>
      <c r="T1124" s="255">
        <v>11911510</v>
      </c>
      <c r="U1124" s="255">
        <v>12562640</v>
      </c>
      <c r="V1124" s="255">
        <v>13416260</v>
      </c>
      <c r="W1124" s="255">
        <v>19125750</v>
      </c>
      <c r="X1124" s="255">
        <v>20721960</v>
      </c>
      <c r="Y1124" s="255">
        <v>20721960</v>
      </c>
      <c r="Z1124" s="247">
        <f ca="1">[1]ExtEntry!$Q26</f>
        <v>20721960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8018750</v>
      </c>
      <c r="G1125" s="255">
        <v>7961539</v>
      </c>
      <c r="H1125" s="255">
        <v>7836690</v>
      </c>
      <c r="I1125" s="255">
        <v>7460370</v>
      </c>
      <c r="J1125" s="255">
        <v>7347677</v>
      </c>
      <c r="K1125" s="255">
        <v>7214170</v>
      </c>
      <c r="L1125" s="255">
        <v>7031541</v>
      </c>
      <c r="M1125" s="255">
        <v>7031541</v>
      </c>
      <c r="N1125" s="255">
        <v>6931531</v>
      </c>
      <c r="O1125" s="255">
        <v>6707301</v>
      </c>
      <c r="P1125" s="255">
        <v>6293791</v>
      </c>
      <c r="Q1125" s="255">
        <v>6120650</v>
      </c>
      <c r="R1125" s="255">
        <v>5889456</v>
      </c>
      <c r="S1125" s="255">
        <v>6288266</v>
      </c>
      <c r="T1125" s="255">
        <v>6243449</v>
      </c>
      <c r="U1125" s="255">
        <v>6199306</v>
      </c>
      <c r="V1125" s="255">
        <v>6237663</v>
      </c>
      <c r="W1125" s="255">
        <v>6004714</v>
      </c>
      <c r="X1125" s="255">
        <v>5909189</v>
      </c>
      <c r="Y1125" s="255">
        <v>5986728</v>
      </c>
      <c r="Z1125" s="247">
        <f ca="1">[1]ExtEntry!$Q27</f>
        <v>5986728</v>
      </c>
      <c r="AB1125" s="318">
        <v>0</v>
      </c>
      <c r="AC1125" s="318">
        <v>0</v>
      </c>
      <c r="AD1125" s="318">
        <v>0</v>
      </c>
      <c r="AE1125" s="318">
        <v>0</v>
      </c>
      <c r="AF1125" s="318">
        <v>0</v>
      </c>
      <c r="AG1125" s="318">
        <v>0</v>
      </c>
      <c r="AH1125" s="318">
        <v>0</v>
      </c>
      <c r="AI1125" s="318">
        <v>0</v>
      </c>
      <c r="AJ1125" s="318">
        <v>0</v>
      </c>
      <c r="AK1125" s="318">
        <v>-48069.99000000002</v>
      </c>
      <c r="AL1125" s="318">
        <v>-48069.99000000002</v>
      </c>
      <c r="AM1125" s="318">
        <v>-48069.99000000002</v>
      </c>
      <c r="AN1125" s="318">
        <v>-48069.99000000002</v>
      </c>
      <c r="AO1125" s="318">
        <v>-175449.99000000002</v>
      </c>
      <c r="AP1125" s="318">
        <v>-175449.99000000002</v>
      </c>
      <c r="AQ1125" s="318">
        <v>-175449.99000000002</v>
      </c>
      <c r="AR1125" s="318">
        <v>-110549.99000000002</v>
      </c>
      <c r="AS1125" s="318">
        <v>-110549.99000000002</v>
      </c>
      <c r="AT1125" s="318">
        <v>-110549.99000000002</v>
      </c>
      <c r="AU1125" s="318">
        <v>-111300.64122600001</v>
      </c>
      <c r="AV1125" s="318">
        <f ca="1">Calc!BG27</f>
        <v>-111300.64122600001</v>
      </c>
      <c r="AX1125" s="88" t="str">
        <f t="shared" ca="1" si="96"/>
        <v>KR</v>
      </c>
    </row>
    <row r="1126" spans="1:50" hidden="1" x14ac:dyDescent="0.3">
      <c r="A1126" s="88" t="str">
        <f t="shared" ca="1" si="95"/>
        <v>LNSR</v>
      </c>
      <c r="C1126" s="1">
        <v>28</v>
      </c>
      <c r="F1126" s="255">
        <v>52902</v>
      </c>
      <c r="G1126" s="255">
        <v>52233</v>
      </c>
      <c r="H1126" s="255">
        <v>51005</v>
      </c>
      <c r="I1126" s="255">
        <v>46838</v>
      </c>
      <c r="J1126" s="255">
        <v>45937</v>
      </c>
      <c r="K1126" s="255">
        <v>47413</v>
      </c>
      <c r="L1126" s="255">
        <v>48981</v>
      </c>
      <c r="M1126" s="255">
        <v>48981</v>
      </c>
      <c r="N1126" s="255">
        <v>48423</v>
      </c>
      <c r="O1126" s="255">
        <v>46880</v>
      </c>
      <c r="P1126" s="255">
        <v>43738</v>
      </c>
      <c r="Q1126" s="255">
        <v>42241</v>
      </c>
      <c r="R1126" s="255">
        <v>42440</v>
      </c>
      <c r="S1126" s="255">
        <v>43485</v>
      </c>
      <c r="T1126" s="255">
        <v>44007</v>
      </c>
      <c r="U1126" s="255">
        <v>43311</v>
      </c>
      <c r="V1126" s="255">
        <v>52953</v>
      </c>
      <c r="W1126" s="255">
        <v>68392</v>
      </c>
      <c r="X1126" s="255">
        <v>70594</v>
      </c>
      <c r="Y1126" s="255">
        <v>71039</v>
      </c>
      <c r="Z1126" s="247">
        <f ca="1">[1]ExtEntry!$Q28</f>
        <v>71039</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18111890</v>
      </c>
      <c r="G1127" s="255">
        <v>17597312</v>
      </c>
      <c r="H1127" s="255">
        <v>17045008</v>
      </c>
      <c r="I1127" s="255">
        <v>16466348</v>
      </c>
      <c r="J1127" s="255">
        <v>16262898</v>
      </c>
      <c r="K1127" s="255">
        <v>15947728</v>
      </c>
      <c r="L1127" s="255">
        <v>15730929</v>
      </c>
      <c r="M1127" s="255">
        <v>15730929</v>
      </c>
      <c r="N1127" s="255">
        <v>15456859</v>
      </c>
      <c r="O1127" s="255">
        <v>15771135</v>
      </c>
      <c r="P1127" s="255">
        <v>14743707</v>
      </c>
      <c r="Q1127" s="255">
        <v>14902618</v>
      </c>
      <c r="R1127" s="255">
        <v>17549832</v>
      </c>
      <c r="S1127" s="255">
        <v>21577849</v>
      </c>
      <c r="T1127" s="255">
        <v>22271874</v>
      </c>
      <c r="U1127" s="255">
        <v>22492332</v>
      </c>
      <c r="V1127" s="255">
        <v>22671701</v>
      </c>
      <c r="W1127" s="255">
        <v>24277563</v>
      </c>
      <c r="X1127" s="255">
        <v>24568482</v>
      </c>
      <c r="Y1127" s="255">
        <v>24955017</v>
      </c>
      <c r="Z1127" s="247">
        <f ca="1">[1]ExtEntry!$Q29</f>
        <v>24955017</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11617642</v>
      </c>
      <c r="G1128" s="255">
        <v>11508127</v>
      </c>
      <c r="H1128" s="255">
        <v>11519986</v>
      </c>
      <c r="I1128" s="255">
        <v>11364771</v>
      </c>
      <c r="J1128" s="255">
        <v>10517979</v>
      </c>
      <c r="K1128" s="255">
        <v>10498504</v>
      </c>
      <c r="L1128" s="255">
        <v>10118535</v>
      </c>
      <c r="M1128" s="255">
        <v>10118535</v>
      </c>
      <c r="N1128" s="255">
        <v>9899919</v>
      </c>
      <c r="O1128" s="255">
        <v>9835193</v>
      </c>
      <c r="P1128" s="255">
        <v>9361600</v>
      </c>
      <c r="Q1128" s="255">
        <v>8988701</v>
      </c>
      <c r="R1128" s="255">
        <v>9033562</v>
      </c>
      <c r="S1128" s="255">
        <v>11042407</v>
      </c>
      <c r="T1128" s="255">
        <v>11157159</v>
      </c>
      <c r="U1128" s="255">
        <v>10899842</v>
      </c>
      <c r="V1128" s="255">
        <v>11202589</v>
      </c>
      <c r="W1128" s="255">
        <v>11556520</v>
      </c>
      <c r="X1128" s="255">
        <v>11472975</v>
      </c>
      <c r="Y1128" s="255">
        <v>11525715</v>
      </c>
      <c r="Z1128" s="247">
        <f ca="1">[1]ExtEntry!$Q30</f>
        <v>11525715</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-790220.14433999988</v>
      </c>
      <c r="AV1128" s="318">
        <f ca="1">Calc!BG30</f>
        <v>-790220.14433999988</v>
      </c>
      <c r="AX1128" s="88" t="str">
        <f t="shared" ca="1" si="96"/>
        <v>MRNA</v>
      </c>
    </row>
    <row r="1129" spans="1:50" hidden="1" x14ac:dyDescent="0.3">
      <c r="A1129" s="88" t="str">
        <f t="shared" ca="1" si="95"/>
        <v>MSFT</v>
      </c>
      <c r="C1129" s="1">
        <v>31</v>
      </c>
      <c r="F1129" s="255">
        <v>19614944</v>
      </c>
      <c r="G1129" s="255">
        <v>19625894</v>
      </c>
      <c r="H1129" s="255">
        <v>19349208</v>
      </c>
      <c r="I1129" s="255">
        <v>19216326</v>
      </c>
      <c r="J1129" s="255">
        <v>19066041</v>
      </c>
      <c r="K1129" s="255">
        <v>18966915</v>
      </c>
      <c r="L1129" s="255">
        <v>18801886</v>
      </c>
      <c r="M1129" s="255">
        <v>18801886</v>
      </c>
      <c r="N1129" s="255">
        <v>18927730</v>
      </c>
      <c r="O1129" s="255">
        <v>18732124</v>
      </c>
      <c r="P1129" s="255">
        <v>17254454</v>
      </c>
      <c r="Q1129" s="255">
        <v>17203470</v>
      </c>
      <c r="R1129" s="255">
        <v>18510526</v>
      </c>
      <c r="S1129" s="255">
        <v>20422002</v>
      </c>
      <c r="T1129" s="255">
        <v>20471219</v>
      </c>
      <c r="U1129" s="255">
        <v>20486899</v>
      </c>
      <c r="V1129" s="255">
        <v>20734244</v>
      </c>
      <c r="W1129" s="255">
        <v>22219286</v>
      </c>
      <c r="X1129" s="255">
        <v>22586503</v>
      </c>
      <c r="Y1129" s="255">
        <v>23351736</v>
      </c>
      <c r="Z1129" s="247">
        <f ca="1">[1]ExtEntry!$Q31</f>
        <v>23351736</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10556288</v>
      </c>
      <c r="G1130" s="255">
        <v>10621024</v>
      </c>
      <c r="H1130" s="255">
        <v>10621592</v>
      </c>
      <c r="I1130" s="255">
        <v>10658211</v>
      </c>
      <c r="J1130" s="255">
        <v>10650074</v>
      </c>
      <c r="K1130" s="255">
        <v>10443139</v>
      </c>
      <c r="L1130" s="255">
        <v>10417218</v>
      </c>
      <c r="M1130" s="255">
        <v>10417218</v>
      </c>
      <c r="N1130" s="255">
        <v>10353590</v>
      </c>
      <c r="O1130" s="255">
        <v>10239283</v>
      </c>
      <c r="P1130" s="255">
        <v>9896511</v>
      </c>
      <c r="Q1130" s="255">
        <v>10251883</v>
      </c>
      <c r="R1130" s="255">
        <v>10515961</v>
      </c>
      <c r="S1130" s="255">
        <v>10275226</v>
      </c>
      <c r="T1130" s="255">
        <v>10158500</v>
      </c>
      <c r="U1130" s="255">
        <v>9848349</v>
      </c>
      <c r="V1130" s="255">
        <v>9726195</v>
      </c>
      <c r="W1130" s="255">
        <v>9198639</v>
      </c>
      <c r="X1130" s="255">
        <v>9248660</v>
      </c>
      <c r="Y1130" s="255">
        <v>9334594</v>
      </c>
      <c r="Z1130" s="247">
        <f ca="1">[1]ExtEntry!$Q32</f>
        <v>9334594</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12064067</v>
      </c>
      <c r="G1131" s="255">
        <v>12007886</v>
      </c>
      <c r="H1131" s="255">
        <v>11881721</v>
      </c>
      <c r="I1131" s="255">
        <v>12028917</v>
      </c>
      <c r="J1131" s="255">
        <v>12486025</v>
      </c>
      <c r="K1131" s="255">
        <v>12475504</v>
      </c>
      <c r="L1131" s="255">
        <v>12726107</v>
      </c>
      <c r="M1131" s="255">
        <v>12726107</v>
      </c>
      <c r="N1131" s="255">
        <v>12944738</v>
      </c>
      <c r="O1131" s="255">
        <v>13112848</v>
      </c>
      <c r="P1131" s="255">
        <v>12266404</v>
      </c>
      <c r="Q1131" s="255">
        <v>12647951</v>
      </c>
      <c r="R1131" s="255">
        <v>12497564</v>
      </c>
      <c r="S1131" s="255">
        <v>12359279</v>
      </c>
      <c r="T1131" s="255">
        <v>12229601</v>
      </c>
      <c r="U1131" s="255">
        <v>12124628</v>
      </c>
      <c r="V1131" s="255">
        <v>12027100</v>
      </c>
      <c r="W1131" s="255">
        <v>12075417</v>
      </c>
      <c r="X1131" s="255">
        <v>12061107</v>
      </c>
      <c r="Y1131" s="255">
        <v>12009695</v>
      </c>
      <c r="Z1131" s="247">
        <f ca="1">[1]ExtEntry!$Q33</f>
        <v>12009695</v>
      </c>
      <c r="AB1131" s="318">
        <v>0</v>
      </c>
      <c r="AC1131" s="318">
        <v>0</v>
      </c>
      <c r="AD1131" s="318">
        <v>0</v>
      </c>
      <c r="AE1131" s="318">
        <v>0</v>
      </c>
      <c r="AF1131" s="318">
        <v>0</v>
      </c>
      <c r="AG1131" s="318">
        <v>0</v>
      </c>
      <c r="AH1131" s="318">
        <v>0</v>
      </c>
      <c r="AI1131" s="318">
        <v>0</v>
      </c>
      <c r="AJ1131" s="318">
        <v>0</v>
      </c>
      <c r="AK1131" s="318">
        <v>0</v>
      </c>
      <c r="AL1131" s="318">
        <v>0</v>
      </c>
      <c r="AM1131" s="318">
        <v>-38688.584359999862</v>
      </c>
      <c r="AN1131" s="318">
        <v>-38688.584359999862</v>
      </c>
      <c r="AO1131" s="318">
        <v>-357208.58435999986</v>
      </c>
      <c r="AP1131" s="318">
        <v>-194268.58435999986</v>
      </c>
      <c r="AQ1131" s="318">
        <v>-194268.58435999986</v>
      </c>
      <c r="AR1131" s="318">
        <v>-194268.58435999986</v>
      </c>
      <c r="AS1131" s="318">
        <v>-194268.58435999986</v>
      </c>
      <c r="AT1131" s="318">
        <v>-194268.58435999986</v>
      </c>
      <c r="AU1131" s="318">
        <v>-195520.70554199984</v>
      </c>
      <c r="AV1131" s="318">
        <f ca="1">Calc!BG33</f>
        <v>-195520.70554199984</v>
      </c>
      <c r="AX1131" s="88" t="str">
        <f t="shared" ca="1" si="96"/>
        <v>NEM</v>
      </c>
    </row>
    <row r="1132" spans="1:50" hidden="1" x14ac:dyDescent="0.3">
      <c r="A1132" s="88" t="str">
        <f t="shared" ca="1" si="95"/>
        <v>NFLX</v>
      </c>
      <c r="C1132" s="1">
        <v>34</v>
      </c>
      <c r="F1132" s="255">
        <v>3221216</v>
      </c>
      <c r="G1132" s="255">
        <v>3226927</v>
      </c>
      <c r="H1132" s="255">
        <v>3199894</v>
      </c>
      <c r="I1132" s="255">
        <v>3085908</v>
      </c>
      <c r="J1132" s="255">
        <v>3052794</v>
      </c>
      <c r="K1132" s="255">
        <v>3095872</v>
      </c>
      <c r="L1132" s="255">
        <v>3260014</v>
      </c>
      <c r="M1132" s="255">
        <v>3260014</v>
      </c>
      <c r="N1132" s="255">
        <v>3713183</v>
      </c>
      <c r="O1132" s="255">
        <v>3860408</v>
      </c>
      <c r="P1132" s="255">
        <v>3903626</v>
      </c>
      <c r="Q1132" s="255">
        <v>3989398</v>
      </c>
      <c r="R1132" s="255">
        <v>4075322</v>
      </c>
      <c r="S1132" s="255">
        <v>4471807</v>
      </c>
      <c r="T1132" s="255">
        <v>4473466</v>
      </c>
      <c r="U1132" s="255">
        <v>4451214</v>
      </c>
      <c r="V1132" s="255">
        <v>4409922</v>
      </c>
      <c r="W1132" s="255">
        <v>4559840</v>
      </c>
      <c r="X1132" s="255">
        <v>45849775</v>
      </c>
      <c r="Y1132" s="255">
        <v>46642419</v>
      </c>
      <c r="Z1132" s="247">
        <f ca="1">[1]ExtEntry!$Q34</f>
        <v>46642419</v>
      </c>
      <c r="AB1132" s="318">
        <v>0</v>
      </c>
      <c r="AC1132" s="318">
        <v>0</v>
      </c>
      <c r="AD1132" s="318">
        <v>0</v>
      </c>
      <c r="AE1132" s="318">
        <v>0</v>
      </c>
      <c r="AF1132" s="318">
        <v>0</v>
      </c>
      <c r="AG1132" s="318">
        <v>0</v>
      </c>
      <c r="AH1132" s="318">
        <v>0</v>
      </c>
      <c r="AI1132" s="318">
        <v>0</v>
      </c>
      <c r="AJ1132" s="318">
        <v>0</v>
      </c>
      <c r="AK1132" s="318">
        <v>-258382.25</v>
      </c>
      <c r="AL1132" s="318">
        <v>-258382.25</v>
      </c>
      <c r="AM1132" s="318">
        <v>-258382.25</v>
      </c>
      <c r="AN1132" s="318">
        <v>-258382.25</v>
      </c>
      <c r="AO1132" s="318">
        <v>-258382.25</v>
      </c>
      <c r="AP1132" s="318">
        <v>-258382.25</v>
      </c>
      <c r="AQ1132" s="318">
        <v>-258382.25</v>
      </c>
      <c r="AR1132" s="318">
        <v>-258382.25</v>
      </c>
      <c r="AS1132" s="318">
        <v>-258382.25</v>
      </c>
      <c r="AT1132" s="318">
        <v>-258382.24999999977</v>
      </c>
      <c r="AU1132" s="318">
        <v>-263153.43462599954</v>
      </c>
      <c r="AV1132" s="318">
        <f ca="1">Calc!BG34</f>
        <v>-263153.43462599954</v>
      </c>
      <c r="AX1132" s="88" t="str">
        <f t="shared" ca="1" si="96"/>
        <v>NFLX</v>
      </c>
    </row>
    <row r="1133" spans="1:50" hidden="1" x14ac:dyDescent="0.3">
      <c r="A1133" s="88" t="str">
        <f t="shared" ca="1" si="95"/>
        <v>NOTE</v>
      </c>
      <c r="C1133" s="1">
        <v>35</v>
      </c>
      <c r="F1133" s="255">
        <v>292602</v>
      </c>
      <c r="G1133" s="255">
        <v>290320</v>
      </c>
      <c r="H1133" s="255">
        <v>278476</v>
      </c>
      <c r="I1133" s="255">
        <v>283083</v>
      </c>
      <c r="J1133" s="255">
        <v>278056</v>
      </c>
      <c r="K1133" s="255">
        <v>273428</v>
      </c>
      <c r="L1133" s="255">
        <v>274011</v>
      </c>
      <c r="M1133" s="255">
        <v>274011</v>
      </c>
      <c r="N1133" s="255">
        <v>275085</v>
      </c>
      <c r="O1133" s="255">
        <v>271828</v>
      </c>
      <c r="P1133" s="255">
        <v>266666</v>
      </c>
      <c r="Q1133" s="255">
        <v>249748</v>
      </c>
      <c r="R1133" s="255">
        <v>238836</v>
      </c>
      <c r="S1133" s="255">
        <v>236407</v>
      </c>
      <c r="T1133" s="255">
        <v>240977</v>
      </c>
      <c r="U1133" s="255">
        <v>253936</v>
      </c>
      <c r="V1133" s="255">
        <v>258326</v>
      </c>
      <c r="W1133" s="255">
        <v>243597</v>
      </c>
      <c r="X1133" s="255">
        <v>239510</v>
      </c>
      <c r="Y1133" s="255">
        <v>248951</v>
      </c>
      <c r="Z1133" s="247">
        <f ca="1">[1]ExtEntry!$Q35</f>
        <v>248951</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-225011.62749999997</v>
      </c>
      <c r="AT1133" s="318">
        <v>-225011.62749999997</v>
      </c>
      <c r="AU1133" s="318">
        <v>-225689.71906349994</v>
      </c>
      <c r="AV1133" s="318">
        <f ca="1">Calc!BG35</f>
        <v>-225689.71906349994</v>
      </c>
      <c r="AX1133" s="88" t="str">
        <f t="shared" ca="1" si="96"/>
        <v>NOTE</v>
      </c>
    </row>
    <row r="1134" spans="1:50" hidden="1" x14ac:dyDescent="0.3">
      <c r="A1134" s="88" t="str">
        <f t="shared" ca="1" si="95"/>
        <v>PAAS</v>
      </c>
      <c r="C1134" s="1">
        <v>36</v>
      </c>
      <c r="F1134" s="255">
        <v>7282344</v>
      </c>
      <c r="G1134" s="255">
        <v>7261604</v>
      </c>
      <c r="H1134" s="255">
        <v>7235041</v>
      </c>
      <c r="I1134" s="255">
        <v>7348940</v>
      </c>
      <c r="J1134" s="255">
        <v>7450885</v>
      </c>
      <c r="K1134" s="255">
        <v>7383054</v>
      </c>
      <c r="L1134" s="255">
        <v>7532119</v>
      </c>
      <c r="M1134" s="255">
        <v>7532119</v>
      </c>
      <c r="N1134" s="255">
        <v>7546484</v>
      </c>
      <c r="O1134" s="255">
        <v>7461996</v>
      </c>
      <c r="P1134" s="255">
        <v>6809237</v>
      </c>
      <c r="Q1134" s="255">
        <v>6641142</v>
      </c>
      <c r="R1134" s="255">
        <v>6577923</v>
      </c>
      <c r="S1134" s="255">
        <v>6372800</v>
      </c>
      <c r="T1134" s="255">
        <v>6293308</v>
      </c>
      <c r="U1134" s="255">
        <v>6216462</v>
      </c>
      <c r="V1134" s="255">
        <v>6119969</v>
      </c>
      <c r="W1134" s="255">
        <v>6238119</v>
      </c>
      <c r="X1134" s="255">
        <v>6117687</v>
      </c>
      <c r="Y1134" s="255">
        <v>5954868</v>
      </c>
      <c r="Z1134" s="247">
        <f ca="1">[1]ExtEntry!$Q36</f>
        <v>5954868</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153248</v>
      </c>
      <c r="G1135" s="255">
        <v>153876</v>
      </c>
      <c r="H1135" s="255">
        <v>153206</v>
      </c>
      <c r="I1135" s="255">
        <v>150926</v>
      </c>
      <c r="J1135" s="255">
        <v>148965</v>
      </c>
      <c r="K1135" s="255">
        <v>148409</v>
      </c>
      <c r="L1135" s="255">
        <v>147040</v>
      </c>
      <c r="M1135" s="255">
        <v>147040</v>
      </c>
      <c r="N1135" s="255">
        <v>147943</v>
      </c>
      <c r="O1135" s="255">
        <v>145129</v>
      </c>
      <c r="P1135" s="255">
        <v>144970</v>
      </c>
      <c r="Q1135" s="255">
        <v>88288</v>
      </c>
      <c r="R1135" s="255">
        <v>74147</v>
      </c>
      <c r="S1135" s="255">
        <v>73658</v>
      </c>
      <c r="T1135" s="255">
        <v>73240</v>
      </c>
      <c r="U1135" s="255">
        <v>73206</v>
      </c>
      <c r="V1135" s="255">
        <v>70048</v>
      </c>
      <c r="W1135" s="255">
        <v>57673</v>
      </c>
      <c r="X1135" s="255">
        <v>73893</v>
      </c>
      <c r="Y1135" s="255">
        <v>74913</v>
      </c>
      <c r="Z1135" s="247">
        <f ca="1">[1]ExtEntry!$Q37</f>
        <v>74913</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9967110</v>
      </c>
      <c r="G1136" s="255">
        <v>10749664</v>
      </c>
      <c r="H1136" s="255">
        <v>11535939</v>
      </c>
      <c r="I1136" s="255">
        <v>11981892</v>
      </c>
      <c r="J1136" s="255">
        <v>12355170</v>
      </c>
      <c r="K1136" s="255">
        <v>12788617</v>
      </c>
      <c r="L1136" s="255">
        <v>13219367</v>
      </c>
      <c r="M1136" s="255">
        <v>13219367</v>
      </c>
      <c r="N1136" s="255">
        <v>14172675</v>
      </c>
      <c r="O1136" s="255">
        <v>14576529</v>
      </c>
      <c r="P1136" s="255">
        <v>15279110</v>
      </c>
      <c r="Q1136" s="255">
        <v>16032623</v>
      </c>
      <c r="R1136" s="255">
        <v>16611328</v>
      </c>
      <c r="S1136" s="255">
        <v>17308830</v>
      </c>
      <c r="T1136" s="255">
        <v>17757191</v>
      </c>
      <c r="U1136" s="255">
        <v>17892776</v>
      </c>
      <c r="V1136" s="255">
        <v>18205429</v>
      </c>
      <c r="W1136" s="255">
        <v>14505830</v>
      </c>
      <c r="X1136" s="255">
        <v>13263993</v>
      </c>
      <c r="Y1136" s="255">
        <v>12743854</v>
      </c>
      <c r="Z1136" s="247">
        <f ca="1">[1]ExtEntry!$Q38</f>
        <v>12743854</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199386</v>
      </c>
      <c r="G1137" s="255">
        <v>200979</v>
      </c>
      <c r="H1137" s="255">
        <v>200020</v>
      </c>
      <c r="I1137" s="255">
        <v>199773</v>
      </c>
      <c r="J1137" s="255">
        <v>201906</v>
      </c>
      <c r="K1137" s="255">
        <v>201073</v>
      </c>
      <c r="L1137" s="255">
        <v>202422</v>
      </c>
      <c r="M1137" s="255">
        <v>202422</v>
      </c>
      <c r="N1137" s="255">
        <v>66451</v>
      </c>
      <c r="O1137" s="255">
        <v>71766</v>
      </c>
      <c r="P1137" s="255">
        <v>83223</v>
      </c>
      <c r="Q1137" s="255">
        <v>77526</v>
      </c>
      <c r="R1137" s="255">
        <v>81809</v>
      </c>
      <c r="S1137" s="255">
        <v>88425</v>
      </c>
      <c r="T1137" s="255">
        <v>89296</v>
      </c>
      <c r="U1137" s="255">
        <v>89784</v>
      </c>
      <c r="V1137" s="255">
        <v>88719</v>
      </c>
      <c r="W1137" s="255">
        <v>86138</v>
      </c>
      <c r="X1137" s="255">
        <v>100655</v>
      </c>
      <c r="Y1137" s="255">
        <v>100784</v>
      </c>
      <c r="Z1137" s="247">
        <f ca="1">[1]ExtEntry!$Q39</f>
        <v>100784</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-5022.317161799996</v>
      </c>
      <c r="AV1137" s="318">
        <f ca="1">Calc!BG39</f>
        <v>-5022.317161799996</v>
      </c>
      <c r="AX1137" s="88" t="str">
        <f t="shared" ca="1" si="96"/>
        <v>PW</v>
      </c>
    </row>
    <row r="1138" spans="1:50" hidden="1" x14ac:dyDescent="0.3">
      <c r="A1138" s="88" t="str">
        <f t="shared" ca="1" si="95"/>
        <v>RIGL</v>
      </c>
      <c r="C1138" s="1">
        <v>40</v>
      </c>
      <c r="F1138" s="255">
        <v>678889</v>
      </c>
      <c r="G1138" s="255">
        <v>656194</v>
      </c>
      <c r="H1138" s="255">
        <v>644319</v>
      </c>
      <c r="I1138" s="255">
        <v>631780</v>
      </c>
      <c r="J1138" s="255">
        <v>631929</v>
      </c>
      <c r="K1138" s="255">
        <v>615916</v>
      </c>
      <c r="L1138" s="255">
        <v>615263</v>
      </c>
      <c r="M1138" s="255">
        <v>615263</v>
      </c>
      <c r="N1138" s="255">
        <v>621368</v>
      </c>
      <c r="O1138" s="255">
        <v>608918</v>
      </c>
      <c r="P1138" s="255">
        <v>574100</v>
      </c>
      <c r="Q1138" s="255">
        <v>551085</v>
      </c>
      <c r="R1138" s="255">
        <v>494202</v>
      </c>
      <c r="S1138" s="255">
        <v>480135</v>
      </c>
      <c r="T1138" s="255">
        <v>490204</v>
      </c>
      <c r="U1138" s="255">
        <v>565303</v>
      </c>
      <c r="V1138" s="255">
        <v>576881</v>
      </c>
      <c r="W1138" s="255">
        <v>597328</v>
      </c>
      <c r="X1138" s="255">
        <v>606637</v>
      </c>
      <c r="Y1138" s="255">
        <v>628696</v>
      </c>
      <c r="Z1138" s="247">
        <f ca="1">[1]ExtEntry!$Q40</f>
        <v>628696</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1957330</v>
      </c>
      <c r="G1139" s="255">
        <v>1956480</v>
      </c>
      <c r="H1139" s="255">
        <v>1950430</v>
      </c>
      <c r="I1139" s="255">
        <v>1694940</v>
      </c>
      <c r="J1139" s="255">
        <v>1744310</v>
      </c>
      <c r="K1139" s="255">
        <v>1744310</v>
      </c>
      <c r="L1139" s="255">
        <v>1721090</v>
      </c>
      <c r="M1139" s="255">
        <v>1721090</v>
      </c>
      <c r="N1139" s="255">
        <v>1718010</v>
      </c>
      <c r="O1139" s="255">
        <v>1718010</v>
      </c>
      <c r="P1139" s="255">
        <v>1616820</v>
      </c>
      <c r="Q1139" s="255">
        <v>1616820</v>
      </c>
      <c r="R1139" s="255">
        <v>1687800</v>
      </c>
      <c r="S1139" s="255">
        <v>1810130</v>
      </c>
      <c r="T1139" s="255">
        <v>1735050</v>
      </c>
      <c r="U1139" s="255">
        <v>1790580</v>
      </c>
      <c r="V1139" s="255">
        <v>1843470</v>
      </c>
      <c r="W1139" s="255">
        <v>2210040</v>
      </c>
      <c r="X1139" s="255">
        <v>2359920</v>
      </c>
      <c r="Y1139" s="255">
        <v>2359920</v>
      </c>
      <c r="Z1139" s="247">
        <f ca="1">[1]ExtEntry!$Q41</f>
        <v>2359920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1106630</v>
      </c>
      <c r="G1140" s="255">
        <v>1126030</v>
      </c>
      <c r="H1140" s="255">
        <v>1110590</v>
      </c>
      <c r="I1140" s="255">
        <v>1105790</v>
      </c>
      <c r="J1140" s="255">
        <v>1114650</v>
      </c>
      <c r="K1140" s="255">
        <v>1181580</v>
      </c>
      <c r="L1140" s="255">
        <v>1181580</v>
      </c>
      <c r="M1140" s="255">
        <v>1181580</v>
      </c>
      <c r="N1140" s="255">
        <v>1190530</v>
      </c>
      <c r="O1140" s="255">
        <v>1190530</v>
      </c>
      <c r="P1140" s="255">
        <v>1230040</v>
      </c>
      <c r="Q1140" s="255">
        <v>1546450</v>
      </c>
      <c r="R1140" s="255">
        <v>1610790</v>
      </c>
      <c r="S1140" s="255">
        <v>1607000</v>
      </c>
      <c r="T1140" s="255">
        <v>1560890</v>
      </c>
      <c r="U1140" s="255">
        <v>1480040</v>
      </c>
      <c r="V1140" s="255">
        <v>1289070</v>
      </c>
      <c r="W1140" s="255">
        <v>1128920</v>
      </c>
      <c r="X1140" s="255">
        <v>1251770</v>
      </c>
      <c r="Y1140" s="255">
        <v>1251770</v>
      </c>
      <c r="Z1140" s="247">
        <f ca="1">[1]ExtEntry!$Q42</f>
        <v>1251770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-690583.83673500014</v>
      </c>
      <c r="AV1140" s="318">
        <f ca="1">Calc!BG42</f>
        <v>-690583.83673500014</v>
      </c>
      <c r="AX1140" s="88" t="str">
        <f t="shared" ca="1" si="96"/>
        <v>SAP</v>
      </c>
    </row>
    <row r="1141" spans="1:50" hidden="1" x14ac:dyDescent="0.3">
      <c r="A1141" s="88" t="str">
        <f t="shared" ca="1" si="95"/>
        <v>SHECY</v>
      </c>
      <c r="C1141" s="1">
        <v>43</v>
      </c>
      <c r="F1141" s="255">
        <v>7972880</v>
      </c>
      <c r="G1141" s="255">
        <v>7972880</v>
      </c>
      <c r="H1141" s="255">
        <v>8342700</v>
      </c>
      <c r="I1141" s="255">
        <v>7854140</v>
      </c>
      <c r="J1141" s="255">
        <v>7691590</v>
      </c>
      <c r="K1141" s="255">
        <v>7691590</v>
      </c>
      <c r="L1141" s="255">
        <v>7193820</v>
      </c>
      <c r="M1141" s="255">
        <v>7193820</v>
      </c>
      <c r="N1141" s="255">
        <v>6728060</v>
      </c>
      <c r="O1141" s="255">
        <v>6346040</v>
      </c>
      <c r="P1141" s="255">
        <v>6346040</v>
      </c>
      <c r="Q1141" s="255">
        <v>6346040</v>
      </c>
      <c r="R1141" s="255">
        <v>6458500</v>
      </c>
      <c r="S1141" s="255">
        <v>7234540</v>
      </c>
      <c r="T1141" s="255">
        <v>7234540</v>
      </c>
      <c r="U1141" s="255">
        <v>7448330</v>
      </c>
      <c r="V1141" s="255">
        <v>7897470</v>
      </c>
      <c r="W1141" s="255">
        <v>6821190</v>
      </c>
      <c r="X1141" s="255">
        <v>5702700</v>
      </c>
      <c r="Y1141" s="255">
        <v>5702700</v>
      </c>
      <c r="Z1141" s="247">
        <f ca="1">[1]ExtEntry!$Q43</f>
        <v>5702700</v>
      </c>
      <c r="AB1141" s="318">
        <v>-136266.75420400006</v>
      </c>
      <c r="AC1141" s="318">
        <v>-133802.29420400003</v>
      </c>
      <c r="AD1141" s="318">
        <v>-125813.47420400003</v>
      </c>
      <c r="AE1141" s="318">
        <v>-125813.47420400003</v>
      </c>
      <c r="AF1141" s="318">
        <v>-125813.47420400003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-165819.87420400005</v>
      </c>
      <c r="AO1141" s="318">
        <v>-165819.87420400005</v>
      </c>
      <c r="AP1141" s="318">
        <v>-165819.87420400005</v>
      </c>
      <c r="AQ1141" s="318">
        <v>-165819.87420400005</v>
      </c>
      <c r="AR1141" s="318">
        <v>-165819.87420400005</v>
      </c>
      <c r="AS1141" s="318">
        <v>-165819.87420400005</v>
      </c>
      <c r="AT1141" s="318">
        <v>-165819.87420400005</v>
      </c>
      <c r="AU1141" s="318">
        <v>-166616.39923200005</v>
      </c>
      <c r="AV1141" s="318">
        <f ca="1">Calc!BG43</f>
        <v>-166616.39923200005</v>
      </c>
      <c r="AX1141" s="88" t="str">
        <f t="shared" ca="1" si="96"/>
        <v>SHECY</v>
      </c>
    </row>
    <row r="1142" spans="1:50" hidden="1" x14ac:dyDescent="0.3">
      <c r="A1142" s="88" t="str">
        <f t="shared" ca="1" si="95"/>
        <v>SSYS</v>
      </c>
      <c r="C1142" s="1">
        <v>44</v>
      </c>
      <c r="F1142" s="255">
        <v>1010041</v>
      </c>
      <c r="G1142" s="255">
        <v>1003805</v>
      </c>
      <c r="H1142" s="255">
        <v>980928</v>
      </c>
      <c r="I1142" s="255">
        <v>1001411</v>
      </c>
      <c r="J1142" s="255">
        <v>1002479</v>
      </c>
      <c r="K1142" s="255">
        <v>1098613</v>
      </c>
      <c r="L1142" s="255">
        <v>1171903</v>
      </c>
      <c r="M1142" s="255">
        <v>1171903</v>
      </c>
      <c r="N1142" s="255">
        <v>1204972</v>
      </c>
      <c r="O1142" s="255">
        <v>1241446</v>
      </c>
      <c r="P1142" s="255">
        <v>1148835</v>
      </c>
      <c r="Q1142" s="255">
        <v>1133226</v>
      </c>
      <c r="R1142" s="255">
        <v>1002509</v>
      </c>
      <c r="S1142" s="255">
        <v>960821</v>
      </c>
      <c r="T1142" s="255">
        <v>974898</v>
      </c>
      <c r="U1142" s="255">
        <v>976227</v>
      </c>
      <c r="V1142" s="255">
        <v>975678</v>
      </c>
      <c r="W1142" s="255">
        <v>991203</v>
      </c>
      <c r="X1142" s="255">
        <v>1019105</v>
      </c>
      <c r="Y1142" s="255">
        <v>1018400</v>
      </c>
      <c r="Z1142" s="247">
        <f ca="1">[1]ExtEntry!$Q44</f>
        <v>1018400</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98788029</v>
      </c>
      <c r="G1143" s="255">
        <v>99542166</v>
      </c>
      <c r="H1143" s="255">
        <v>99519627</v>
      </c>
      <c r="I1143" s="255">
        <v>98456982</v>
      </c>
      <c r="J1143" s="255">
        <v>95303989</v>
      </c>
      <c r="K1143" s="255">
        <v>91299801</v>
      </c>
      <c r="L1143" s="255">
        <v>89304859</v>
      </c>
      <c r="M1143" s="255">
        <v>89304859</v>
      </c>
      <c r="N1143" s="255">
        <v>88420456</v>
      </c>
      <c r="O1143" s="255">
        <v>89870669</v>
      </c>
      <c r="P1143" s="255">
        <v>89934539</v>
      </c>
      <c r="Q1143" s="255">
        <v>90284890</v>
      </c>
      <c r="R1143" s="255">
        <v>89149408</v>
      </c>
      <c r="S1143" s="255">
        <v>87641923</v>
      </c>
      <c r="T1143" s="255">
        <v>88177870</v>
      </c>
      <c r="U1143" s="255">
        <v>87675899</v>
      </c>
      <c r="V1143" s="255">
        <v>86580458</v>
      </c>
      <c r="W1143" s="255">
        <v>84846097</v>
      </c>
      <c r="X1143" s="255">
        <v>85488509</v>
      </c>
      <c r="Y1143" s="255">
        <v>85809277</v>
      </c>
      <c r="Z1143" s="247">
        <f ca="1">[1]ExtEntry!$Q45</f>
        <v>85809277</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13109295</v>
      </c>
      <c r="G1144" s="255">
        <v>13234273</v>
      </c>
      <c r="H1144" s="255">
        <v>13312896</v>
      </c>
      <c r="I1144" s="255">
        <v>13966356</v>
      </c>
      <c r="J1144" s="255">
        <v>14331825</v>
      </c>
      <c r="K1144" s="255">
        <v>14541580</v>
      </c>
      <c r="L1144" s="255">
        <v>14573926</v>
      </c>
      <c r="M1144" s="255">
        <v>14573926</v>
      </c>
      <c r="N1144" s="255">
        <v>14773409</v>
      </c>
      <c r="O1144" s="255">
        <v>14511912</v>
      </c>
      <c r="P1144" s="255">
        <v>14156182</v>
      </c>
      <c r="Q1144" s="255">
        <v>14075572</v>
      </c>
      <c r="R1144" s="255">
        <v>14072380</v>
      </c>
      <c r="S1144" s="255">
        <v>14443583</v>
      </c>
      <c r="T1144" s="255">
        <v>14758602</v>
      </c>
      <c r="U1144" s="255">
        <v>14593897</v>
      </c>
      <c r="V1144" s="255">
        <v>14646653</v>
      </c>
      <c r="W1144" s="255">
        <v>14537657</v>
      </c>
      <c r="X1144" s="255">
        <v>13657565</v>
      </c>
      <c r="Y1144" s="255">
        <v>13468865</v>
      </c>
      <c r="Z1144" s="247">
        <f ca="1">[1]ExtEntry!$Q46</f>
        <v>13468865</v>
      </c>
      <c r="AB1144" s="318">
        <v>-388627.07279999997</v>
      </c>
      <c r="AC1144" s="318">
        <v>-388627.07279999997</v>
      </c>
      <c r="AD1144" s="318">
        <v>-388627.07279999997</v>
      </c>
      <c r="AE1144" s="318">
        <v>-240427.07279999997</v>
      </c>
      <c r="AF1144" s="318">
        <v>-240427.07279999997</v>
      </c>
      <c r="AG1144" s="318">
        <v>-240427.07279999997</v>
      </c>
      <c r="AH1144" s="318">
        <v>-469549.07279999997</v>
      </c>
      <c r="AI1144" s="318">
        <v>-469549.07279999997</v>
      </c>
      <c r="AJ1144" s="318">
        <v>-469549.07279999997</v>
      </c>
      <c r="AK1144" s="318">
        <v>-469549.07279999997</v>
      </c>
      <c r="AL1144" s="318">
        <v>-469549.07279999997</v>
      </c>
      <c r="AM1144" s="318">
        <v>-469549.07279999997</v>
      </c>
      <c r="AN1144" s="318">
        <v>-469549.07279999997</v>
      </c>
      <c r="AO1144" s="318">
        <v>-269031.07799999998</v>
      </c>
      <c r="AP1144" s="318">
        <v>-269031.07799999998</v>
      </c>
      <c r="AQ1144" s="318">
        <v>-182376.07799999998</v>
      </c>
      <c r="AR1144" s="318">
        <v>-182376.07799999998</v>
      </c>
      <c r="AS1144" s="318">
        <v>-182376.07799999998</v>
      </c>
      <c r="AT1144" s="318">
        <v>-182376.07799999998</v>
      </c>
      <c r="AU1144" s="318">
        <v>-183371.60780279996</v>
      </c>
      <c r="AV1144" s="318">
        <f ca="1">Calc!BG46</f>
        <v>-183371.60780279996</v>
      </c>
      <c r="AX1144" s="88" t="str">
        <f t="shared" ca="1" si="96"/>
        <v>TSM</v>
      </c>
    </row>
    <row r="1145" spans="1:50" hidden="1" x14ac:dyDescent="0.3">
      <c r="A1145" s="88" t="str">
        <f t="shared" ca="1" si="95"/>
        <v>UN0</v>
      </c>
      <c r="C1145" s="1">
        <v>47</v>
      </c>
      <c r="F1145" s="255">
        <v>5290</v>
      </c>
      <c r="G1145" s="255">
        <v>5240</v>
      </c>
      <c r="H1145" s="255">
        <v>5500</v>
      </c>
      <c r="I1145" s="255">
        <v>5950</v>
      </c>
      <c r="J1145" s="255">
        <v>5590</v>
      </c>
      <c r="K1145" s="255">
        <v>5590</v>
      </c>
      <c r="L1145" s="255">
        <v>5250</v>
      </c>
      <c r="M1145" s="255">
        <v>5250</v>
      </c>
      <c r="N1145" s="255">
        <v>4760</v>
      </c>
      <c r="O1145" s="255">
        <v>4760</v>
      </c>
      <c r="P1145" s="255">
        <v>4610</v>
      </c>
      <c r="Q1145" s="255">
        <v>4610</v>
      </c>
      <c r="R1145" s="255">
        <v>6010</v>
      </c>
      <c r="S1145" s="255">
        <v>5720</v>
      </c>
      <c r="T1145" s="255">
        <v>5390</v>
      </c>
      <c r="U1145" s="255">
        <v>5390</v>
      </c>
      <c r="V1145" s="255">
        <v>5290</v>
      </c>
      <c r="W1145" s="255">
        <v>4260</v>
      </c>
      <c r="X1145" s="255">
        <v>4450</v>
      </c>
      <c r="Y1145" s="255">
        <v>4450</v>
      </c>
      <c r="Z1145" s="247">
        <f ca="1">[1]ExtEntry!$Q47</f>
        <v>4450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-105060.64430700001</v>
      </c>
      <c r="AV1145" s="318">
        <f ca="1">Calc!BG47</f>
        <v>-105060.64430700001</v>
      </c>
      <c r="AX1145" s="88" t="str">
        <f t="shared" ca="1" si="96"/>
        <v>UN0</v>
      </c>
    </row>
    <row r="1146" spans="1:50" hidden="1" x14ac:dyDescent="0.3">
      <c r="A1146" s="88" t="str">
        <f t="shared" ca="1" si="95"/>
        <v>UNIT</v>
      </c>
      <c r="C1146" s="1">
        <v>48</v>
      </c>
      <c r="F1146" s="255">
        <v>2995200</v>
      </c>
      <c r="G1146" s="255">
        <v>2961819</v>
      </c>
      <c r="H1146" s="255">
        <v>2892229</v>
      </c>
      <c r="I1146" s="255">
        <v>2858794</v>
      </c>
      <c r="J1146" s="255">
        <v>3036197</v>
      </c>
      <c r="K1146" s="255">
        <v>3060322</v>
      </c>
      <c r="L1146" s="255">
        <v>3027820</v>
      </c>
      <c r="M1146" s="255">
        <v>3027820</v>
      </c>
      <c r="N1146" s="255">
        <v>2992338</v>
      </c>
      <c r="O1146" s="255">
        <v>2993997</v>
      </c>
      <c r="P1146" s="255">
        <v>2472929</v>
      </c>
      <c r="Q1146" s="255">
        <v>2474054</v>
      </c>
      <c r="R1146" s="255">
        <v>2419499</v>
      </c>
      <c r="S1146" s="255">
        <v>2528759</v>
      </c>
      <c r="T1146" s="255">
        <v>2533146</v>
      </c>
      <c r="U1146" s="255">
        <v>2631658</v>
      </c>
      <c r="V1146" s="255">
        <v>2656875</v>
      </c>
      <c r="W1146" s="255">
        <v>2760223</v>
      </c>
      <c r="X1146" s="255">
        <v>2735779</v>
      </c>
      <c r="Y1146" s="255">
        <v>2731638</v>
      </c>
      <c r="Z1146" s="247">
        <f ca="1">[1]ExtEntry!$Q48</f>
        <v>2731638</v>
      </c>
      <c r="AB1146" s="318">
        <v>-96385.804000000004</v>
      </c>
      <c r="AC1146" s="318">
        <v>-96385.804000000004</v>
      </c>
      <c r="AD1146" s="318">
        <v>-96385.804000000004</v>
      </c>
      <c r="AE1146" s="318">
        <v>-96385.804000000004</v>
      </c>
      <c r="AF1146" s="318">
        <v>-6487.836000000003</v>
      </c>
      <c r="AG1146" s="318">
        <v>-6487.836000000003</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-6662.7782999999981</v>
      </c>
      <c r="AV1146" s="318">
        <f ca="1">Calc!BG48</f>
        <v>-6662.7782999999981</v>
      </c>
      <c r="AX1146" s="88" t="str">
        <f t="shared" ca="1" si="96"/>
        <v>UNIT</v>
      </c>
    </row>
    <row r="1147" spans="1:50" hidden="1" x14ac:dyDescent="0.3">
      <c r="A1147" s="88" t="str">
        <f t="shared" ca="1" si="95"/>
        <v>VLVLY</v>
      </c>
      <c r="C1147" s="1">
        <v>49</v>
      </c>
      <c r="F1147" s="255">
        <v>3238720</v>
      </c>
      <c r="G1147" s="255">
        <v>3227530</v>
      </c>
      <c r="H1147" s="255">
        <v>3223610</v>
      </c>
      <c r="I1147" s="255">
        <v>3285740</v>
      </c>
      <c r="J1147" s="255">
        <v>4677130</v>
      </c>
      <c r="K1147" s="255">
        <v>4677130</v>
      </c>
      <c r="L1147" s="255">
        <v>4887390</v>
      </c>
      <c r="M1147" s="255">
        <v>4887390</v>
      </c>
      <c r="N1147" s="255">
        <v>4868410</v>
      </c>
      <c r="O1147" s="255">
        <v>4868410</v>
      </c>
      <c r="P1147" s="255">
        <v>4779760</v>
      </c>
      <c r="Q1147" s="255">
        <v>4779760</v>
      </c>
      <c r="R1147" s="255">
        <v>4371410</v>
      </c>
      <c r="S1147" s="255">
        <v>2527100</v>
      </c>
      <c r="T1147" s="255">
        <v>2301540</v>
      </c>
      <c r="U1147" s="255">
        <v>2147170</v>
      </c>
      <c r="V1147" s="255">
        <v>2092400</v>
      </c>
      <c r="W1147" s="255">
        <v>2324080</v>
      </c>
      <c r="X1147" s="255">
        <v>2501110</v>
      </c>
      <c r="Y1147" s="255">
        <v>2501110</v>
      </c>
      <c r="Z1147" s="247">
        <f ca="1">[1]ExtEntry!$Q49</f>
        <v>2501110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36260</v>
      </c>
      <c r="G1148" s="255">
        <v>36260</v>
      </c>
      <c r="H1148" s="255">
        <v>36860</v>
      </c>
      <c r="I1148" s="255">
        <v>33210</v>
      </c>
      <c r="J1148" s="255">
        <v>33210</v>
      </c>
      <c r="K1148" s="255">
        <v>33210</v>
      </c>
      <c r="L1148" s="255">
        <v>31790</v>
      </c>
      <c r="M1148" s="255">
        <v>31790</v>
      </c>
      <c r="N1148" s="255">
        <v>31990</v>
      </c>
      <c r="O1148" s="255">
        <v>31990</v>
      </c>
      <c r="P1148" s="255">
        <v>34070</v>
      </c>
      <c r="Q1148" s="255">
        <v>34070</v>
      </c>
      <c r="R1148" s="255">
        <v>36640</v>
      </c>
      <c r="S1148" s="255">
        <v>38170</v>
      </c>
      <c r="T1148" s="255">
        <v>41580</v>
      </c>
      <c r="U1148" s="255">
        <v>41580</v>
      </c>
      <c r="V1148" s="255">
        <v>39360</v>
      </c>
      <c r="W1148" s="255">
        <v>38430</v>
      </c>
      <c r="X1148" s="255">
        <v>36500</v>
      </c>
      <c r="Y1148" s="255">
        <v>36500</v>
      </c>
      <c r="Z1148" s="247">
        <f ca="1">[1]ExtEntry!$Q50</f>
        <v>36500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10707290</v>
      </c>
      <c r="G1149" s="255">
        <v>10718338</v>
      </c>
      <c r="H1149" s="255">
        <v>10787470</v>
      </c>
      <c r="I1149" s="255">
        <v>10225225</v>
      </c>
      <c r="J1149" s="255">
        <v>9958716</v>
      </c>
      <c r="K1149" s="255">
        <v>9511750</v>
      </c>
      <c r="L1149" s="255">
        <v>9358773</v>
      </c>
      <c r="M1149" s="255">
        <v>9358773</v>
      </c>
      <c r="N1149" s="255">
        <v>9179417</v>
      </c>
      <c r="O1149" s="255">
        <v>8873344</v>
      </c>
      <c r="P1149" s="255">
        <v>7306455</v>
      </c>
      <c r="Q1149" s="255">
        <v>7204986</v>
      </c>
      <c r="R1149" s="255">
        <v>7214601</v>
      </c>
      <c r="S1149" s="255">
        <v>7483391</v>
      </c>
      <c r="T1149" s="255">
        <v>7520058</v>
      </c>
      <c r="U1149" s="255">
        <v>7853557</v>
      </c>
      <c r="V1149" s="255">
        <v>8281876</v>
      </c>
      <c r="W1149" s="255">
        <v>8898749</v>
      </c>
      <c r="X1149" s="255">
        <v>8822870</v>
      </c>
      <c r="Y1149" s="255">
        <v>8873274</v>
      </c>
      <c r="Z1149" s="247">
        <f ca="1">[1]ExtEntry!$Q51</f>
        <v>8873274</v>
      </c>
      <c r="AB1149" s="318">
        <v>-31556.245729999995</v>
      </c>
      <c r="AC1149" s="318">
        <v>-31556.245729999995</v>
      </c>
      <c r="AD1149" s="318">
        <v>0</v>
      </c>
      <c r="AE1149" s="318">
        <v>0</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-20647.368945000002</v>
      </c>
      <c r="AV1150" s="318">
        <f ca="1">Calc!BG52</f>
        <v>-20647.368945000002</v>
      </c>
      <c r="AX1150" s="88" t="str">
        <f t="shared" ca="1" si="96"/>
        <v>WBA</v>
      </c>
    </row>
    <row r="1151" spans="1:50" hidden="1" x14ac:dyDescent="0.3">
      <c r="A1151" s="88" t="str">
        <f t="shared" ca="1" si="95"/>
        <v>XOM</v>
      </c>
      <c r="C1151" s="1">
        <v>53</v>
      </c>
      <c r="F1151" s="255">
        <v>15628819</v>
      </c>
      <c r="G1151" s="255">
        <v>15479525</v>
      </c>
      <c r="H1151" s="255">
        <v>15333339</v>
      </c>
      <c r="I1151" s="255">
        <v>15343247</v>
      </c>
      <c r="J1151" s="255">
        <v>15437422</v>
      </c>
      <c r="K1151" s="255">
        <v>15303147</v>
      </c>
      <c r="L1151" s="255">
        <v>14982919</v>
      </c>
      <c r="M1151" s="255">
        <v>14982919</v>
      </c>
      <c r="N1151" s="255">
        <v>14968390</v>
      </c>
      <c r="O1151" s="255">
        <v>14983284</v>
      </c>
      <c r="P1151" s="255">
        <v>13830200</v>
      </c>
      <c r="Q1151" s="255">
        <v>13644757</v>
      </c>
      <c r="R1151" s="255">
        <v>12923982</v>
      </c>
      <c r="S1151" s="255">
        <v>12760216</v>
      </c>
      <c r="T1151" s="255">
        <v>12711598</v>
      </c>
      <c r="U1151" s="255">
        <v>12543075</v>
      </c>
      <c r="V1151" s="255">
        <v>12589358</v>
      </c>
      <c r="W1151" s="255">
        <v>13276551</v>
      </c>
      <c r="X1151" s="255">
        <v>13636193</v>
      </c>
      <c r="Y1151" s="255">
        <v>13821847</v>
      </c>
      <c r="Z1151" s="247">
        <f ca="1">[1]ExtEntry!$Q53</f>
        <v>13821847</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-28442.659139999996</v>
      </c>
      <c r="AV1151" s="318">
        <f ca="1">Calc!BG53</f>
        <v>-28442.659139999996</v>
      </c>
      <c r="AX1151" s="88" t="str">
        <f t="shared" ca="1" si="96"/>
        <v>XOM</v>
      </c>
    </row>
    <row r="1152" spans="1:50" hidden="1" x14ac:dyDescent="0.3">
      <c r="A1152" s="88" t="str">
        <f t="shared" ca="1" si="95"/>
        <v>XPER</v>
      </c>
      <c r="C1152" s="1">
        <v>54</v>
      </c>
      <c r="F1152" s="255">
        <v>501503</v>
      </c>
      <c r="G1152" s="255">
        <v>507339</v>
      </c>
      <c r="H1152" s="255">
        <v>502694</v>
      </c>
      <c r="I1152" s="255">
        <v>504217</v>
      </c>
      <c r="J1152" s="255">
        <v>507898</v>
      </c>
      <c r="K1152" s="255">
        <v>513626</v>
      </c>
      <c r="L1152" s="255">
        <v>513642</v>
      </c>
      <c r="M1152" s="255">
        <v>513642</v>
      </c>
      <c r="N1152" s="255">
        <v>510665</v>
      </c>
      <c r="O1152" s="255">
        <v>507779</v>
      </c>
      <c r="P1152" s="255">
        <v>486483</v>
      </c>
      <c r="Q1152" s="255">
        <v>465092</v>
      </c>
      <c r="R1152" s="255">
        <v>468235</v>
      </c>
      <c r="S1152" s="255">
        <v>468291</v>
      </c>
      <c r="T1152" s="255">
        <v>470271</v>
      </c>
      <c r="U1152" s="255">
        <v>481064</v>
      </c>
      <c r="V1152" s="255">
        <v>484403</v>
      </c>
      <c r="W1152" s="255">
        <v>482471</v>
      </c>
      <c r="X1152" s="255">
        <v>487884</v>
      </c>
      <c r="Y1152" s="255">
        <v>487218</v>
      </c>
      <c r="Z1152" s="247">
        <f ca="1">[1]ExtEntry!$Q54</f>
        <v>487218</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-67298.923439999984</v>
      </c>
      <c r="AV1152" s="318">
        <f ca="1">Calc!BG54</f>
        <v>-67298.923439999984</v>
      </c>
      <c r="AX1152" s="88" t="str">
        <f t="shared" ca="1" si="96"/>
        <v>XPER</v>
      </c>
    </row>
    <row r="1153" spans="1:50" hidden="1" x14ac:dyDescent="0.3">
      <c r="A1153" s="88" t="str">
        <f t="shared" ca="1" si="95"/>
        <v>MVEALDNE</v>
      </c>
      <c r="C1153" s="1">
        <v>55</v>
      </c>
      <c r="F1153" s="255">
        <v>2920</v>
      </c>
      <c r="G1153" s="255">
        <v>2990</v>
      </c>
      <c r="H1153" s="255">
        <v>2690</v>
      </c>
      <c r="I1153" s="255">
        <v>2320</v>
      </c>
      <c r="J1153" s="255">
        <v>1950</v>
      </c>
      <c r="K1153" s="255">
        <v>1950</v>
      </c>
      <c r="L1153" s="255">
        <v>2260</v>
      </c>
      <c r="M1153" s="255">
        <v>2260</v>
      </c>
      <c r="N1153" s="255">
        <v>5670</v>
      </c>
      <c r="O1153" s="255">
        <v>5670</v>
      </c>
      <c r="P1153" s="255">
        <v>6030</v>
      </c>
      <c r="Q1153" s="255">
        <v>6030</v>
      </c>
      <c r="R1153" s="255">
        <v>6760</v>
      </c>
      <c r="S1153" s="255">
        <v>9340</v>
      </c>
      <c r="T1153" s="255">
        <v>6780</v>
      </c>
      <c r="U1153" s="255">
        <v>6780</v>
      </c>
      <c r="V1153" s="255">
        <v>6470</v>
      </c>
      <c r="W1153" s="255">
        <v>6080</v>
      </c>
      <c r="X1153" s="255">
        <v>6820</v>
      </c>
      <c r="Y1153" s="255">
        <v>6820</v>
      </c>
      <c r="Z1153" s="247">
        <f ca="1">[1]ExtEntry!$Q55</f>
        <v>6820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-176696.74724439246</v>
      </c>
      <c r="AV1153" s="318">
        <f ca="1">Calc!BG55</f>
        <v>-176696.74724439246</v>
      </c>
      <c r="AX1153" s="88" t="str">
        <f t="shared" ca="1" si="96"/>
        <v>MVEALDNE</v>
      </c>
    </row>
    <row r="1154" spans="1:50" hidden="1" x14ac:dyDescent="0.3">
      <c r="A1154" s="88" t="str">
        <f t="shared" ca="1" si="95"/>
        <v>MVEDDD</v>
      </c>
      <c r="C1154" s="1">
        <v>56</v>
      </c>
      <c r="F1154" s="255">
        <v>4431335</v>
      </c>
      <c r="G1154" s="255">
        <v>4457889</v>
      </c>
      <c r="H1154" s="255">
        <v>4484637</v>
      </c>
      <c r="I1154" s="255">
        <v>4564013</v>
      </c>
      <c r="J1154" s="255">
        <v>4636118</v>
      </c>
      <c r="K1154" s="255">
        <v>4835555</v>
      </c>
      <c r="L1154" s="255">
        <v>4998183</v>
      </c>
      <c r="M1154" s="255">
        <v>4998183</v>
      </c>
      <c r="N1154" s="255">
        <v>5090282</v>
      </c>
      <c r="O1154" s="255">
        <v>4995132</v>
      </c>
      <c r="P1154" s="255">
        <v>4977308</v>
      </c>
      <c r="Q1154" s="255">
        <v>5078937</v>
      </c>
      <c r="R1154" s="255">
        <v>4752355</v>
      </c>
      <c r="S1154" s="255">
        <v>4504492</v>
      </c>
      <c r="T1154" s="255">
        <v>4450047</v>
      </c>
      <c r="U1154" s="255">
        <v>4543958</v>
      </c>
      <c r="V1154" s="255">
        <v>4513661</v>
      </c>
      <c r="W1154" s="255">
        <v>4033910</v>
      </c>
      <c r="X1154" s="255">
        <v>3760873</v>
      </c>
      <c r="Y1154" s="255">
        <v>3699877</v>
      </c>
      <c r="Z1154" s="247">
        <f ca="1">[1]ExtEntry!$Q56</f>
        <v>3699877</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1416250</v>
      </c>
      <c r="G1155" s="255">
        <v>1410550</v>
      </c>
      <c r="H1155" s="255">
        <v>1461880</v>
      </c>
      <c r="I1155" s="255">
        <v>1511630</v>
      </c>
      <c r="J1155" s="255">
        <v>1511630</v>
      </c>
      <c r="K1155" s="255">
        <v>1470740</v>
      </c>
      <c r="L1155" s="255">
        <v>1470740</v>
      </c>
      <c r="M1155" s="255">
        <v>1470740</v>
      </c>
      <c r="N1155" s="255">
        <v>1473940</v>
      </c>
      <c r="O1155" s="255">
        <v>1473940</v>
      </c>
      <c r="P1155" s="255">
        <v>1548090</v>
      </c>
      <c r="Q1155" s="255">
        <v>1548090</v>
      </c>
      <c r="R1155" s="255">
        <v>2471550</v>
      </c>
      <c r="S1155" s="255">
        <v>2551820</v>
      </c>
      <c r="T1155" s="255">
        <v>2619000</v>
      </c>
      <c r="U1155" s="255">
        <v>2619000</v>
      </c>
      <c r="V1155" s="255">
        <v>2566620</v>
      </c>
      <c r="W1155" s="255">
        <v>1854740</v>
      </c>
      <c r="X1155" s="255">
        <v>1917280</v>
      </c>
      <c r="Y1155" s="255">
        <v>1917280</v>
      </c>
      <c r="Z1155" s="247">
        <f ca="1">[1]ExtEntry!$Q57</f>
        <v>1917280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-312357.4192296</v>
      </c>
      <c r="AV1155" s="318">
        <f ca="1">Calc!BG57</f>
        <v>-312357.4192296</v>
      </c>
      <c r="AX1155" s="88" t="str">
        <f t="shared" ca="1" si="96"/>
        <v>MVEDSY</v>
      </c>
    </row>
    <row r="1156" spans="1:50" hidden="1" x14ac:dyDescent="0.3">
      <c r="A1156" s="88" t="str">
        <f t="shared" ca="1" si="95"/>
        <v>MVEEOAN</v>
      </c>
      <c r="C1156" s="1">
        <v>58</v>
      </c>
      <c r="F1156" s="255">
        <v>3003030</v>
      </c>
      <c r="G1156" s="255">
        <v>3101550</v>
      </c>
      <c r="H1156" s="255">
        <v>3019760</v>
      </c>
      <c r="I1156" s="255">
        <v>2873040</v>
      </c>
      <c r="J1156" s="255">
        <v>3038990</v>
      </c>
      <c r="K1156" s="255">
        <v>3038990</v>
      </c>
      <c r="L1156" s="255">
        <v>3152510</v>
      </c>
      <c r="M1156" s="255">
        <v>3152510</v>
      </c>
      <c r="N1156" s="255">
        <v>3081430</v>
      </c>
      <c r="O1156" s="255">
        <v>3081430</v>
      </c>
      <c r="P1156" s="255">
        <v>3151380</v>
      </c>
      <c r="Q1156" s="255">
        <v>3151380</v>
      </c>
      <c r="R1156" s="255">
        <v>3076200</v>
      </c>
      <c r="S1156" s="255">
        <v>2941920</v>
      </c>
      <c r="T1156" s="255">
        <v>2907640</v>
      </c>
      <c r="U1156" s="255">
        <v>2964880</v>
      </c>
      <c r="V1156" s="255">
        <v>2864900</v>
      </c>
      <c r="W1156" s="255">
        <v>4392490</v>
      </c>
      <c r="X1156" s="255">
        <v>4593700</v>
      </c>
      <c r="Y1156" s="255">
        <v>4593700</v>
      </c>
      <c r="Z1156" s="247">
        <f ca="1">[1]ExtEntry!$Q58</f>
        <v>4593700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11376330</v>
      </c>
      <c r="G1157" s="255">
        <v>11103590</v>
      </c>
      <c r="H1157" s="255">
        <v>11073440</v>
      </c>
      <c r="I1157" s="255">
        <v>11265500</v>
      </c>
      <c r="J1157" s="255">
        <v>11265500</v>
      </c>
      <c r="K1157" s="255">
        <v>11053520</v>
      </c>
      <c r="L1157" s="255">
        <v>11053520</v>
      </c>
      <c r="M1157" s="255">
        <v>11053520</v>
      </c>
      <c r="N1157" s="255">
        <v>10904760</v>
      </c>
      <c r="O1157" s="255">
        <v>10904760</v>
      </c>
      <c r="P1157" s="255">
        <v>11061740</v>
      </c>
      <c r="Q1157" s="255">
        <v>13240770</v>
      </c>
      <c r="R1157" s="255">
        <v>12654190</v>
      </c>
      <c r="S1157" s="255">
        <v>12660970</v>
      </c>
      <c r="T1157" s="255">
        <v>12662660</v>
      </c>
      <c r="U1157" s="255">
        <v>12931270</v>
      </c>
      <c r="V1157" s="255">
        <v>12415140</v>
      </c>
      <c r="W1157" s="255">
        <v>9296840</v>
      </c>
      <c r="X1157" s="255">
        <v>8728160</v>
      </c>
      <c r="Y1157" s="255">
        <v>8728160</v>
      </c>
      <c r="Z1157" s="247">
        <f ca="1">[1]ExtEntry!$Q59</f>
        <v>8728160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-343834.87437720003</v>
      </c>
      <c r="AV1157" s="318">
        <f ca="1">Calc!BG59</f>
        <v>-343834.87437720003</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-17244.72</v>
      </c>
      <c r="AV1158" s="318">
        <f ca="1">Calc!BG60</f>
        <v>-17244.72</v>
      </c>
      <c r="AX1158" s="88" t="str">
        <f t="shared" ca="1" si="96"/>
        <v>MVEEPIX</v>
      </c>
    </row>
    <row r="1159" spans="1:50" hidden="1" x14ac:dyDescent="0.3">
      <c r="A1159" s="88" t="str">
        <f t="shared" ca="1" si="95"/>
        <v>MVEGLE</v>
      </c>
      <c r="C1159" s="1">
        <v>61</v>
      </c>
      <c r="F1159" s="255">
        <v>2064110</v>
      </c>
      <c r="G1159" s="255">
        <v>2040780</v>
      </c>
      <c r="H1159" s="255">
        <v>2105370</v>
      </c>
      <c r="I1159" s="255">
        <v>2432340</v>
      </c>
      <c r="J1159" s="255">
        <v>2432340</v>
      </c>
      <c r="K1159" s="255">
        <v>2235610</v>
      </c>
      <c r="L1159" s="255">
        <v>2235610</v>
      </c>
      <c r="M1159" s="255">
        <v>2235610</v>
      </c>
      <c r="N1159" s="255">
        <v>2120970</v>
      </c>
      <c r="O1159" s="255">
        <v>2120970</v>
      </c>
      <c r="P1159" s="255">
        <v>2035610</v>
      </c>
      <c r="Q1159" s="255">
        <v>2035610</v>
      </c>
      <c r="R1159" s="255">
        <v>1987110</v>
      </c>
      <c r="S1159" s="255">
        <v>2166300</v>
      </c>
      <c r="T1159" s="255">
        <v>2049810</v>
      </c>
      <c r="U1159" s="255">
        <v>2071700</v>
      </c>
      <c r="V1159" s="255">
        <v>2071700</v>
      </c>
      <c r="W1159" s="255">
        <v>2149550</v>
      </c>
      <c r="X1159" s="255">
        <v>1810960</v>
      </c>
      <c r="Y1159" s="255">
        <v>1810960</v>
      </c>
      <c r="Z1159" s="247">
        <f ca="1">[1]ExtEntry!$Q61</f>
        <v>1810960</v>
      </c>
      <c r="AB1159" s="318">
        <v>0</v>
      </c>
      <c r="AC1159" s="318">
        <v>0</v>
      </c>
      <c r="AD1159" s="318">
        <v>0</v>
      </c>
      <c r="AE1159" s="318">
        <v>-52791.715800000035</v>
      </c>
      <c r="AF1159" s="318">
        <v>-52791.715800000035</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-53562.852270000003</v>
      </c>
      <c r="AV1159" s="318">
        <f ca="1">Calc!BG61</f>
        <v>-53562.852270000003</v>
      </c>
      <c r="AX1159" s="88" t="str">
        <f t="shared" ca="1" si="96"/>
        <v>MVEGLE</v>
      </c>
    </row>
    <row r="1160" spans="1:50" hidden="1" x14ac:dyDescent="0.3">
      <c r="A1160" s="88" t="str">
        <f t="shared" ca="1" si="95"/>
        <v>MVEORA</v>
      </c>
      <c r="C1160" s="1">
        <v>62</v>
      </c>
      <c r="F1160" s="255">
        <v>3777190</v>
      </c>
      <c r="G1160" s="255">
        <v>3777190</v>
      </c>
      <c r="H1160" s="255">
        <v>3786590</v>
      </c>
      <c r="I1160" s="255">
        <v>4123940</v>
      </c>
      <c r="J1160" s="255">
        <v>4270150</v>
      </c>
      <c r="K1160" s="255">
        <v>4270150</v>
      </c>
      <c r="L1160" s="255">
        <v>4059070</v>
      </c>
      <c r="M1160" s="255">
        <v>4059070</v>
      </c>
      <c r="N1160" s="255">
        <v>4007920</v>
      </c>
      <c r="O1160" s="255">
        <v>4007920</v>
      </c>
      <c r="P1160" s="255">
        <v>3965280</v>
      </c>
      <c r="Q1160" s="255">
        <v>3965280</v>
      </c>
      <c r="R1160" s="255">
        <v>4207060</v>
      </c>
      <c r="S1160" s="255">
        <v>3614350</v>
      </c>
      <c r="T1160" s="255">
        <v>3610840</v>
      </c>
      <c r="U1160" s="255">
        <v>3590070</v>
      </c>
      <c r="V1160" s="255">
        <v>3489020</v>
      </c>
      <c r="W1160" s="255">
        <v>3331760</v>
      </c>
      <c r="X1160" s="255">
        <v>3328620</v>
      </c>
      <c r="Y1160" s="255">
        <v>3328620</v>
      </c>
      <c r="Z1160" s="247">
        <f ca="1">[1]ExtEntry!$Q62</f>
        <v>3328620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-99908.83934999998</v>
      </c>
      <c r="AV1160" s="318">
        <f ca="1">Calc!BG62</f>
        <v>-99908.83934999998</v>
      </c>
      <c r="AX1160" s="88" t="str">
        <f t="shared" ca="1" si="96"/>
        <v>MVEORA</v>
      </c>
    </row>
    <row r="1161" spans="1:50" hidden="1" x14ac:dyDescent="0.3">
      <c r="A1161" s="88" t="str">
        <f t="shared" ca="1" si="95"/>
        <v>MVERWE</v>
      </c>
      <c r="C1161" s="1">
        <v>63</v>
      </c>
      <c r="F1161" s="255">
        <v>1957330</v>
      </c>
      <c r="G1161" s="255">
        <v>1956480</v>
      </c>
      <c r="H1161" s="255">
        <v>1950430</v>
      </c>
      <c r="I1161" s="255">
        <v>1694940</v>
      </c>
      <c r="J1161" s="255">
        <v>1744310</v>
      </c>
      <c r="K1161" s="255">
        <v>1744310</v>
      </c>
      <c r="L1161" s="255">
        <v>1721090</v>
      </c>
      <c r="M1161" s="255">
        <v>1721090</v>
      </c>
      <c r="N1161" s="255">
        <v>1718010</v>
      </c>
      <c r="O1161" s="255">
        <v>1718010</v>
      </c>
      <c r="P1161" s="255">
        <v>1616820</v>
      </c>
      <c r="Q1161" s="255">
        <v>1616820</v>
      </c>
      <c r="R1161" s="255">
        <v>1687800</v>
      </c>
      <c r="S1161" s="255">
        <v>1810130</v>
      </c>
      <c r="T1161" s="255">
        <v>1735050</v>
      </c>
      <c r="U1161" s="255">
        <v>1790580</v>
      </c>
      <c r="V1161" s="255">
        <v>1843470</v>
      </c>
      <c r="W1161" s="255">
        <v>2210040</v>
      </c>
      <c r="X1161" s="255">
        <v>2359920</v>
      </c>
      <c r="Y1161" s="255">
        <v>2359920</v>
      </c>
      <c r="Z1161" s="247">
        <f ca="1">[1]ExtEntry!$Q63</f>
        <v>2359920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1106630</v>
      </c>
      <c r="G1162" s="255">
        <v>1126030</v>
      </c>
      <c r="H1162" s="255">
        <v>1110590</v>
      </c>
      <c r="I1162" s="255">
        <v>1105790</v>
      </c>
      <c r="J1162" s="255">
        <v>1114650</v>
      </c>
      <c r="K1162" s="255">
        <v>1181580</v>
      </c>
      <c r="L1162" s="255">
        <v>1181580</v>
      </c>
      <c r="M1162" s="255">
        <v>1181580</v>
      </c>
      <c r="N1162" s="255">
        <v>1190530</v>
      </c>
      <c r="O1162" s="255">
        <v>1190530</v>
      </c>
      <c r="P1162" s="255">
        <v>1230040</v>
      </c>
      <c r="Q1162" s="255">
        <v>1546450</v>
      </c>
      <c r="R1162" s="255">
        <v>1610790</v>
      </c>
      <c r="S1162" s="255">
        <v>1607000</v>
      </c>
      <c r="T1162" s="255">
        <v>1560890</v>
      </c>
      <c r="U1162" s="255">
        <v>1480040</v>
      </c>
      <c r="V1162" s="255">
        <v>1289070</v>
      </c>
      <c r="W1162" s="255">
        <v>1128920</v>
      </c>
      <c r="X1162" s="255">
        <v>1251770</v>
      </c>
      <c r="Y1162" s="255">
        <v>1251770</v>
      </c>
      <c r="Z1162" s="247">
        <f ca="1">[1]ExtEntry!$Q64</f>
        <v>1251770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5290</v>
      </c>
      <c r="G1163" s="255">
        <v>5240</v>
      </c>
      <c r="H1163" s="255">
        <v>5500</v>
      </c>
      <c r="I1163" s="255">
        <v>5950</v>
      </c>
      <c r="J1163" s="255">
        <v>5590</v>
      </c>
      <c r="K1163" s="255">
        <v>5590</v>
      </c>
      <c r="L1163" s="255">
        <v>5250</v>
      </c>
      <c r="M1163" s="255">
        <v>5250</v>
      </c>
      <c r="N1163" s="255">
        <v>4760</v>
      </c>
      <c r="O1163" s="255">
        <v>4760</v>
      </c>
      <c r="P1163" s="255">
        <v>4610</v>
      </c>
      <c r="Q1163" s="255">
        <v>4610</v>
      </c>
      <c r="R1163" s="255">
        <v>6010</v>
      </c>
      <c r="S1163" s="255">
        <v>5720</v>
      </c>
      <c r="T1163" s="255">
        <v>5390</v>
      </c>
      <c r="U1163" s="255">
        <v>5390</v>
      </c>
      <c r="V1163" s="255">
        <v>5290</v>
      </c>
      <c r="W1163" s="255">
        <v>4260</v>
      </c>
      <c r="X1163" s="255">
        <v>4450</v>
      </c>
      <c r="Y1163" s="255">
        <v>4450</v>
      </c>
      <c r="Z1163" s="247">
        <f ca="1">[1]ExtEntry!$Q65</f>
        <v>4450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-13410.948042</v>
      </c>
      <c r="AV1163" s="318">
        <f ca="1">Calc!BG65</f>
        <v>-13410.948042</v>
      </c>
      <c r="AX1163" s="88" t="str">
        <f t="shared" ca="1" si="96"/>
        <v>MVEUN0</v>
      </c>
    </row>
    <row r="1164" spans="1:50" hidden="1" x14ac:dyDescent="0.3">
      <c r="A1164" s="88" t="str">
        <f t="shared" ca="1" si="95"/>
        <v>SAFAAPL</v>
      </c>
      <c r="C1164" s="1">
        <v>66</v>
      </c>
      <c r="F1164" s="255">
        <v>55827771</v>
      </c>
      <c r="G1164" s="255">
        <v>54594334</v>
      </c>
      <c r="H1164" s="255">
        <v>52612446</v>
      </c>
      <c r="I1164" s="255">
        <v>52195182</v>
      </c>
      <c r="J1164" s="255">
        <v>51928092</v>
      </c>
      <c r="K1164" s="255">
        <v>53839432</v>
      </c>
      <c r="L1164" s="255">
        <v>53170426</v>
      </c>
      <c r="M1164" s="255">
        <v>53170426</v>
      </c>
      <c r="N1164" s="255">
        <v>53110715</v>
      </c>
      <c r="O1164" s="255">
        <v>52650930</v>
      </c>
      <c r="P1164" s="255">
        <v>47631426</v>
      </c>
      <c r="Q1164" s="255">
        <v>45206255</v>
      </c>
      <c r="R1164" s="255">
        <v>44807959</v>
      </c>
      <c r="S1164" s="255">
        <v>47401648</v>
      </c>
      <c r="T1164" s="255">
        <v>47864472</v>
      </c>
      <c r="U1164" s="255">
        <v>47663237</v>
      </c>
      <c r="V1164" s="255">
        <v>48006189</v>
      </c>
      <c r="W1164" s="255">
        <v>49332368</v>
      </c>
      <c r="X1164" s="255">
        <v>49024670</v>
      </c>
      <c r="Y1164" s="255">
        <v>49432641</v>
      </c>
      <c r="Z1164" s="247">
        <f ca="1">[1]ExtEntry!$Q66</f>
        <v>49432641</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46958587</v>
      </c>
      <c r="G1165" s="255">
        <v>47703859</v>
      </c>
      <c r="H1165" s="255">
        <v>47103929</v>
      </c>
      <c r="I1165" s="255">
        <v>47301089</v>
      </c>
      <c r="J1165" s="255">
        <v>47600718</v>
      </c>
      <c r="K1165" s="255">
        <v>47826297</v>
      </c>
      <c r="L1165" s="255">
        <v>48317923</v>
      </c>
      <c r="M1165" s="255">
        <v>48317923</v>
      </c>
      <c r="N1165" s="255">
        <v>48377656</v>
      </c>
      <c r="O1165" s="255">
        <v>48121986</v>
      </c>
      <c r="P1165" s="255">
        <v>45751661</v>
      </c>
      <c r="Q1165" s="255">
        <v>45445761</v>
      </c>
      <c r="R1165" s="255">
        <v>44592599</v>
      </c>
      <c r="S1165" s="255">
        <v>53650837</v>
      </c>
      <c r="T1165" s="255">
        <v>53776835</v>
      </c>
      <c r="U1165" s="255">
        <v>53643910</v>
      </c>
      <c r="V1165" s="255">
        <v>53833734</v>
      </c>
      <c r="W1165" s="255">
        <v>52529093</v>
      </c>
      <c r="X1165" s="255">
        <v>52077035</v>
      </c>
      <c r="Y1165" s="255">
        <v>52674749</v>
      </c>
      <c r="Z1165" s="247">
        <f ca="1">[1]ExtEntry!$Q67</f>
        <v>52674749</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766660</v>
      </c>
      <c r="G1166" s="255">
        <v>804760</v>
      </c>
      <c r="H1166" s="255">
        <v>804760</v>
      </c>
      <c r="I1166" s="255">
        <v>839280</v>
      </c>
      <c r="J1166" s="255">
        <v>839280</v>
      </c>
      <c r="K1166" s="255">
        <v>839280</v>
      </c>
      <c r="L1166" s="255">
        <v>812200</v>
      </c>
      <c r="M1166" s="255">
        <v>812200</v>
      </c>
      <c r="N1166" s="255">
        <v>794970</v>
      </c>
      <c r="O1166" s="255">
        <v>794970</v>
      </c>
      <c r="P1166" s="255">
        <v>743190</v>
      </c>
      <c r="Q1166" s="255">
        <v>743190</v>
      </c>
      <c r="R1166" s="255">
        <v>645470</v>
      </c>
      <c r="S1166" s="255">
        <v>558080</v>
      </c>
      <c r="T1166" s="255">
        <v>547460</v>
      </c>
      <c r="U1166" s="255">
        <v>553620</v>
      </c>
      <c r="V1166" s="255">
        <v>539670</v>
      </c>
      <c r="W1166" s="255">
        <v>546390</v>
      </c>
      <c r="X1166" s="255">
        <v>557280</v>
      </c>
      <c r="Y1166" s="255">
        <v>557280</v>
      </c>
      <c r="Z1166" s="247">
        <f ca="1">[1]ExtEntry!$Q68</f>
        <v>557280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4431335</v>
      </c>
      <c r="G1167" s="255">
        <v>4457889</v>
      </c>
      <c r="H1167" s="255">
        <v>4484637</v>
      </c>
      <c r="I1167" s="255">
        <v>4564013</v>
      </c>
      <c r="J1167" s="255">
        <v>4636118</v>
      </c>
      <c r="K1167" s="255">
        <v>4835555</v>
      </c>
      <c r="L1167" s="255">
        <v>4998183</v>
      </c>
      <c r="M1167" s="255">
        <v>4998183</v>
      </c>
      <c r="N1167" s="255">
        <v>5090282</v>
      </c>
      <c r="O1167" s="255">
        <v>4995132</v>
      </c>
      <c r="P1167" s="255">
        <v>4977308</v>
      </c>
      <c r="Q1167" s="255">
        <v>5078937</v>
      </c>
      <c r="R1167" s="255">
        <v>4752355</v>
      </c>
      <c r="S1167" s="255">
        <v>4504492</v>
      </c>
      <c r="T1167" s="255">
        <v>4450047</v>
      </c>
      <c r="U1167" s="255">
        <v>4543958</v>
      </c>
      <c r="V1167" s="255">
        <v>4513661</v>
      </c>
      <c r="W1167" s="255">
        <v>4033910</v>
      </c>
      <c r="X1167" s="255">
        <v>3760873</v>
      </c>
      <c r="Y1167" s="255">
        <v>3699877</v>
      </c>
      <c r="Z1167" s="247">
        <f ca="1">[1]ExtEntry!$Q69</f>
        <v>3699877</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-340793.18449199997</v>
      </c>
      <c r="AV1167" s="318">
        <f ca="1">Calc!BG69</f>
        <v>-340793.18449199997</v>
      </c>
      <c r="AX1167" s="88" t="str">
        <f t="shared" ca="1" si="96"/>
        <v>SAFDDD</v>
      </c>
    </row>
    <row r="1168" spans="1:50" hidden="1" x14ac:dyDescent="0.3">
      <c r="A1168" s="88" t="str">
        <f t="shared" ca="1" si="97"/>
        <v>SAFDIS</v>
      </c>
      <c r="C1168" s="1">
        <v>70</v>
      </c>
      <c r="F1168" s="255">
        <v>8777391</v>
      </c>
      <c r="G1168" s="255">
        <v>8875539</v>
      </c>
      <c r="H1168" s="255">
        <v>8856647</v>
      </c>
      <c r="I1168" s="255">
        <v>8821932</v>
      </c>
      <c r="J1168" s="255">
        <v>8919918</v>
      </c>
      <c r="K1168" s="255">
        <v>8955780</v>
      </c>
      <c r="L1168" s="255">
        <v>9008512</v>
      </c>
      <c r="M1168" s="255">
        <v>9008512</v>
      </c>
      <c r="N1168" s="255">
        <v>9017926</v>
      </c>
      <c r="O1168" s="255">
        <v>8917322</v>
      </c>
      <c r="P1168" s="255">
        <v>8230792</v>
      </c>
      <c r="Q1168" s="255">
        <v>7852782</v>
      </c>
      <c r="R1168" s="255">
        <v>7534228</v>
      </c>
      <c r="S1168" s="255">
        <v>7683781</v>
      </c>
      <c r="T1168" s="255">
        <v>7629637</v>
      </c>
      <c r="U1168" s="255">
        <v>7470025</v>
      </c>
      <c r="V1168" s="255">
        <v>7533891</v>
      </c>
      <c r="W1168" s="255">
        <v>9720774</v>
      </c>
      <c r="X1168" s="255">
        <v>10197474</v>
      </c>
      <c r="Y1168" s="255">
        <v>10353403</v>
      </c>
      <c r="Z1168" s="247">
        <f ca="1">[1]ExtEntry!$Q70</f>
        <v>10353403</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7786338</v>
      </c>
      <c r="G1169" s="255">
        <v>7961865</v>
      </c>
      <c r="H1169" s="255">
        <v>7992644</v>
      </c>
      <c r="I1169" s="255">
        <v>8002754</v>
      </c>
      <c r="J1169" s="255">
        <v>7840178</v>
      </c>
      <c r="K1169" s="255">
        <v>8056621</v>
      </c>
      <c r="L1169" s="255">
        <v>9533405</v>
      </c>
      <c r="M1169" s="255">
        <v>9533405</v>
      </c>
      <c r="N1169" s="255">
        <v>10036558</v>
      </c>
      <c r="O1169" s="255">
        <v>10305534</v>
      </c>
      <c r="P1169" s="255">
        <v>10281990</v>
      </c>
      <c r="Q1169" s="255">
        <v>10365613</v>
      </c>
      <c r="R1169" s="255">
        <v>10645332</v>
      </c>
      <c r="S1169" s="255">
        <v>10590751</v>
      </c>
      <c r="T1169" s="255">
        <v>10651288</v>
      </c>
      <c r="U1169" s="255">
        <v>10639792</v>
      </c>
      <c r="V1169" s="255">
        <v>10498677</v>
      </c>
      <c r="W1169" s="255">
        <v>10411022</v>
      </c>
      <c r="X1169" s="255">
        <v>10638421</v>
      </c>
      <c r="Y1169" s="255">
        <v>10521927</v>
      </c>
      <c r="Z1169" s="247">
        <f ca="1">[1]ExtEntry!$Q71</f>
        <v>10521927</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13829740</v>
      </c>
      <c r="G1170" s="255">
        <v>13923050</v>
      </c>
      <c r="H1170" s="255">
        <v>13923050</v>
      </c>
      <c r="I1170" s="255">
        <v>14152510</v>
      </c>
      <c r="J1170" s="255">
        <v>14152510</v>
      </c>
      <c r="K1170" s="255">
        <v>14152510</v>
      </c>
      <c r="L1170" s="255">
        <v>14374030</v>
      </c>
      <c r="M1170" s="255">
        <v>14374030</v>
      </c>
      <c r="N1170" s="255">
        <v>13633200</v>
      </c>
      <c r="O1170" s="255">
        <v>13633200</v>
      </c>
      <c r="P1170" s="255">
        <v>12139610</v>
      </c>
      <c r="Q1170" s="255">
        <v>10911480</v>
      </c>
      <c r="R1170" s="255">
        <v>10695980</v>
      </c>
      <c r="S1170" s="255">
        <v>10605660</v>
      </c>
      <c r="T1170" s="255">
        <v>11911510</v>
      </c>
      <c r="U1170" s="255">
        <v>12562640</v>
      </c>
      <c r="V1170" s="255">
        <v>13416260</v>
      </c>
      <c r="W1170" s="255">
        <v>19125750</v>
      </c>
      <c r="X1170" s="255">
        <v>20721960</v>
      </c>
      <c r="Y1170" s="255">
        <v>20721960</v>
      </c>
      <c r="Z1170" s="247">
        <f ca="1">[1]ExtEntry!$Q72</f>
        <v>20721960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11617642</v>
      </c>
      <c r="G1171" s="255">
        <v>11508127</v>
      </c>
      <c r="H1171" s="255">
        <v>11519986</v>
      </c>
      <c r="I1171" s="255">
        <v>11364771</v>
      </c>
      <c r="J1171" s="255">
        <v>10517979</v>
      </c>
      <c r="K1171" s="255">
        <v>10498504</v>
      </c>
      <c r="L1171" s="255">
        <v>10118535</v>
      </c>
      <c r="M1171" s="255">
        <v>10118535</v>
      </c>
      <c r="N1171" s="255">
        <v>9899919</v>
      </c>
      <c r="O1171" s="255">
        <v>9835193</v>
      </c>
      <c r="P1171" s="255">
        <v>9361600</v>
      </c>
      <c r="Q1171" s="255">
        <v>8988701</v>
      </c>
      <c r="R1171" s="255">
        <v>9033562</v>
      </c>
      <c r="S1171" s="255">
        <v>11042407</v>
      </c>
      <c r="T1171" s="255">
        <v>11157159</v>
      </c>
      <c r="U1171" s="255">
        <v>10899842</v>
      </c>
      <c r="V1171" s="255">
        <v>11202589</v>
      </c>
      <c r="W1171" s="255">
        <v>11556520</v>
      </c>
      <c r="X1171" s="255">
        <v>11472975</v>
      </c>
      <c r="Y1171" s="255">
        <v>11525715</v>
      </c>
      <c r="Z1171" s="247">
        <f ca="1">[1]ExtEntry!$Q73</f>
        <v>11525715</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-235853.62518959999</v>
      </c>
      <c r="AV1171" s="318">
        <f ca="1">Calc!BG73</f>
        <v>-235853.62518959999</v>
      </c>
      <c r="AX1171" s="88" t="str">
        <f t="shared" ref="AX1171:AX1234" ca="1" si="98">A1171</f>
        <v>SAFMRNA</v>
      </c>
    </row>
    <row r="1172" spans="1:50" hidden="1" x14ac:dyDescent="0.3">
      <c r="A1172" s="88" t="str">
        <f t="shared" ca="1" si="97"/>
        <v>BLNK</v>
      </c>
      <c r="C1172" s="1">
        <v>74</v>
      </c>
      <c r="F1172" s="255">
        <v>6498584</v>
      </c>
      <c r="G1172" s="255">
        <v>6648147</v>
      </c>
      <c r="H1172" s="255">
        <v>6746214</v>
      </c>
      <c r="I1172" s="255">
        <v>6814190</v>
      </c>
      <c r="J1172" s="255">
        <v>6770723</v>
      </c>
      <c r="K1172" s="255">
        <v>6720187</v>
      </c>
      <c r="L1172" s="255">
        <v>6742464</v>
      </c>
      <c r="M1172" s="255">
        <v>6742464</v>
      </c>
      <c r="N1172" s="255">
        <v>6746790</v>
      </c>
      <c r="O1172" s="255">
        <v>6689679</v>
      </c>
      <c r="P1172" s="255">
        <v>6532282</v>
      </c>
      <c r="Q1172" s="255">
        <v>6418809</v>
      </c>
      <c r="R1172" s="255">
        <v>6330914</v>
      </c>
      <c r="S1172" s="255">
        <v>6060525</v>
      </c>
      <c r="T1172" s="255">
        <v>5997430</v>
      </c>
      <c r="U1172" s="255">
        <v>5891579</v>
      </c>
      <c r="V1172" s="255">
        <v>5845744</v>
      </c>
      <c r="W1172" s="255">
        <v>3690386</v>
      </c>
      <c r="X1172" s="255">
        <v>3279189</v>
      </c>
      <c r="Y1172" s="255">
        <v>3136309</v>
      </c>
      <c r="Z1172" s="247">
        <f ca="1">[1]ExtEntry!$Q74</f>
        <v>3136309</v>
      </c>
      <c r="AB1172" s="318">
        <v>-254961.77000000002</v>
      </c>
      <c r="AC1172" s="318">
        <v>-254961.77000000002</v>
      </c>
      <c r="AD1172" s="318">
        <v>-232041.77000000002</v>
      </c>
      <c r="AE1172" s="318">
        <v>-232041.77000000002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-233195.62631399999</v>
      </c>
      <c r="AV1172" s="318">
        <f ca="1">Calc!BG74</f>
        <v>-233195.62631399999</v>
      </c>
      <c r="AX1172" s="88" t="str">
        <f t="shared" ca="1" si="98"/>
        <v>BLNK</v>
      </c>
    </row>
    <row r="1173" spans="1:50" hidden="1" x14ac:dyDescent="0.3">
      <c r="A1173" s="88" t="str">
        <f t="shared" ca="1" si="97"/>
        <v>ENI</v>
      </c>
      <c r="C1173" s="1">
        <v>75</v>
      </c>
      <c r="F1173" s="255">
        <v>11376330</v>
      </c>
      <c r="G1173" s="255">
        <v>11103590</v>
      </c>
      <c r="H1173" s="255">
        <v>11073440</v>
      </c>
      <c r="I1173" s="255">
        <v>11265500</v>
      </c>
      <c r="J1173" s="255">
        <v>11265500</v>
      </c>
      <c r="K1173" s="255">
        <v>11053520</v>
      </c>
      <c r="L1173" s="255">
        <v>11053520</v>
      </c>
      <c r="M1173" s="255">
        <v>11053520</v>
      </c>
      <c r="N1173" s="255">
        <v>10904760</v>
      </c>
      <c r="O1173" s="255">
        <v>10904760</v>
      </c>
      <c r="P1173" s="255">
        <v>11061740</v>
      </c>
      <c r="Q1173" s="255">
        <v>13240770</v>
      </c>
      <c r="R1173" s="255">
        <v>12654190</v>
      </c>
      <c r="S1173" s="255">
        <v>12660970</v>
      </c>
      <c r="T1173" s="255">
        <v>12662660</v>
      </c>
      <c r="U1173" s="255">
        <v>12931270</v>
      </c>
      <c r="V1173" s="255">
        <v>12415140</v>
      </c>
      <c r="W1173" s="255">
        <v>9296840</v>
      </c>
      <c r="X1173" s="255">
        <v>8728160</v>
      </c>
      <c r="Y1173" s="255">
        <v>8728160</v>
      </c>
      <c r="Z1173" s="247">
        <f ca="1">[1]ExtEntry!$Q75</f>
        <v>8728160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-136678.81759999992</v>
      </c>
      <c r="AP1173" s="318">
        <v>-136678.81759999992</v>
      </c>
      <c r="AQ1173" s="318">
        <v>-136678.81759999992</v>
      </c>
      <c r="AR1173" s="318">
        <v>-136678.81759999992</v>
      </c>
      <c r="AS1173" s="318">
        <v>-136678.81759999992</v>
      </c>
      <c r="AT1173" s="318">
        <v>-136678.81759999992</v>
      </c>
      <c r="AU1173" s="318">
        <v>-137294.50400639992</v>
      </c>
      <c r="AV1173" s="318">
        <f ca="1">Calc!BG75</f>
        <v>-137294.50400639992</v>
      </c>
      <c r="AX1173" s="88" t="str">
        <f t="shared" ca="1" si="98"/>
        <v>ENI</v>
      </c>
    </row>
    <row r="1174" spans="1:50" hidden="1" x14ac:dyDescent="0.3">
      <c r="A1174" s="88" t="str">
        <f t="shared" ca="1" si="97"/>
        <v>EZJ</v>
      </c>
      <c r="C1174" s="1">
        <v>76</v>
      </c>
      <c r="F1174" s="255">
        <v>2462530</v>
      </c>
      <c r="G1174" s="255">
        <v>3717970</v>
      </c>
      <c r="H1174" s="255">
        <v>3717970</v>
      </c>
      <c r="I1174" s="255">
        <v>4698600</v>
      </c>
      <c r="J1174" s="255">
        <v>4698600</v>
      </c>
      <c r="K1174" s="255">
        <v>4698600</v>
      </c>
      <c r="L1174" s="255">
        <v>4718490</v>
      </c>
      <c r="M1174" s="255">
        <v>4718490</v>
      </c>
      <c r="N1174" s="255">
        <v>4945150</v>
      </c>
      <c r="O1174" s="255">
        <v>4945150</v>
      </c>
      <c r="P1174" s="255">
        <v>5082380</v>
      </c>
      <c r="Q1174" s="255">
        <v>5188640</v>
      </c>
      <c r="R1174" s="255">
        <v>3837240</v>
      </c>
      <c r="S1174" s="255">
        <v>2959840</v>
      </c>
      <c r="T1174" s="255">
        <v>3502610</v>
      </c>
      <c r="U1174" s="255">
        <v>3389350</v>
      </c>
      <c r="V1174" s="255">
        <v>3367950</v>
      </c>
      <c r="W1174" s="255">
        <v>3964060</v>
      </c>
      <c r="X1174" s="255">
        <v>3394070</v>
      </c>
      <c r="Y1174" s="255">
        <v>3394070</v>
      </c>
      <c r="Z1174" s="247">
        <f ca="1">[1]ExtEntry!$Q76</f>
        <v>3394070</v>
      </c>
      <c r="AB1174" s="318">
        <v>-57524.106280000022</v>
      </c>
      <c r="AC1174" s="318">
        <v>-57524.106280000022</v>
      </c>
      <c r="AD1174" s="318">
        <v>-57524.106280000022</v>
      </c>
      <c r="AE1174" s="318">
        <v>-57524.106280000022</v>
      </c>
      <c r="AF1174" s="318">
        <v>-57524.106280000022</v>
      </c>
      <c r="AG1174" s="318">
        <v>-57524.106280000022</v>
      </c>
      <c r="AH1174" s="318">
        <v>-7964.1062800000072</v>
      </c>
      <c r="AI1174" s="318">
        <v>-7964.1062800000072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-8244.777832199994</v>
      </c>
      <c r="AV1174" s="318">
        <f ca="1">Calc!BG76</f>
        <v>-8244.777832199994</v>
      </c>
      <c r="AX1174" s="88" t="str">
        <f t="shared" ca="1" si="98"/>
        <v>EZJ</v>
      </c>
    </row>
    <row r="1175" spans="1:50" hidden="1" x14ac:dyDescent="0.3">
      <c r="A1175" s="88" t="str">
        <f t="shared" ca="1" si="97"/>
        <v>F</v>
      </c>
      <c r="C1175" s="1">
        <v>77</v>
      </c>
      <c r="F1175" s="255">
        <v>72750423</v>
      </c>
      <c r="G1175" s="255">
        <v>74664631</v>
      </c>
      <c r="H1175" s="255">
        <v>76342207</v>
      </c>
      <c r="I1175" s="255">
        <v>78122410</v>
      </c>
      <c r="J1175" s="255">
        <v>80423719</v>
      </c>
      <c r="K1175" s="255">
        <v>81621179</v>
      </c>
      <c r="L1175" s="255">
        <v>91184706</v>
      </c>
      <c r="M1175" s="255">
        <v>91184706</v>
      </c>
      <c r="N1175" s="255">
        <v>105043755</v>
      </c>
      <c r="O1175" s="255">
        <v>122035765</v>
      </c>
      <c r="P1175" s="255">
        <v>131103386</v>
      </c>
      <c r="Q1175" s="255">
        <v>134400438</v>
      </c>
      <c r="R1175" s="255">
        <v>138736012</v>
      </c>
      <c r="S1175" s="255">
        <v>137191392</v>
      </c>
      <c r="T1175" s="255">
        <v>137175215</v>
      </c>
      <c r="U1175" s="255">
        <v>137397450</v>
      </c>
      <c r="V1175" s="255">
        <v>137707870</v>
      </c>
      <c r="W1175" s="255">
        <v>132132797</v>
      </c>
      <c r="X1175" s="255">
        <v>131444878</v>
      </c>
      <c r="Y1175" s="255">
        <v>130688776</v>
      </c>
      <c r="Z1175" s="247">
        <f ca="1">[1]ExtEntry!$Q77</f>
        <v>130688776</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2064110</v>
      </c>
      <c r="G1176" s="255">
        <v>2040780</v>
      </c>
      <c r="H1176" s="255">
        <v>2105370</v>
      </c>
      <c r="I1176" s="255">
        <v>2432340</v>
      </c>
      <c r="J1176" s="255">
        <v>2432340</v>
      </c>
      <c r="K1176" s="255">
        <v>2235610</v>
      </c>
      <c r="L1176" s="255">
        <v>2235610</v>
      </c>
      <c r="M1176" s="255">
        <v>2235610</v>
      </c>
      <c r="N1176" s="255">
        <v>2120970</v>
      </c>
      <c r="O1176" s="255">
        <v>2120970</v>
      </c>
      <c r="P1176" s="255">
        <v>2035610</v>
      </c>
      <c r="Q1176" s="255">
        <v>2035610</v>
      </c>
      <c r="R1176" s="255">
        <v>1987110</v>
      </c>
      <c r="S1176" s="255">
        <v>2166300</v>
      </c>
      <c r="T1176" s="255">
        <v>2049810</v>
      </c>
      <c r="U1176" s="255">
        <v>2071700</v>
      </c>
      <c r="V1176" s="255">
        <v>2071700</v>
      </c>
      <c r="W1176" s="255">
        <v>2149550</v>
      </c>
      <c r="X1176" s="255">
        <v>1810960</v>
      </c>
      <c r="Y1176" s="255">
        <v>1810960</v>
      </c>
      <c r="Z1176" s="247">
        <f ca="1">[1]ExtEntry!$Q78</f>
        <v>1810960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1009152</v>
      </c>
      <c r="G1177" s="255">
        <v>1035352</v>
      </c>
      <c r="H1177" s="255">
        <v>1077409</v>
      </c>
      <c r="I1177" s="255">
        <v>1063147</v>
      </c>
      <c r="J1177" s="255">
        <v>1063375</v>
      </c>
      <c r="K1177" s="255">
        <v>1060299</v>
      </c>
      <c r="L1177" s="255">
        <v>1065671</v>
      </c>
      <c r="M1177" s="255">
        <v>1065671</v>
      </c>
      <c r="N1177" s="255">
        <v>1080915</v>
      </c>
      <c r="O1177" s="255">
        <v>1079254</v>
      </c>
      <c r="P1177" s="255">
        <v>1048104</v>
      </c>
      <c r="Q1177" s="255">
        <v>1032758</v>
      </c>
      <c r="R1177" s="255">
        <v>1149449</v>
      </c>
      <c r="S1177" s="255">
        <v>1230083</v>
      </c>
      <c r="T1177" s="255">
        <v>1256348</v>
      </c>
      <c r="U1177" s="255">
        <v>1266930</v>
      </c>
      <c r="V1177" s="255">
        <v>1295183</v>
      </c>
      <c r="W1177" s="255">
        <v>1390791</v>
      </c>
      <c r="X1177" s="255">
        <v>1406576</v>
      </c>
      <c r="Y1177" s="255">
        <v>1412787</v>
      </c>
      <c r="Z1177" s="247">
        <f ca="1">[1]ExtEntry!$Q79</f>
        <v>1412787</v>
      </c>
      <c r="AB1177" s="318">
        <v>246.49280000000726</v>
      </c>
      <c r="AC1177" s="318">
        <v>246.49280000000726</v>
      </c>
      <c r="AD1177" s="318">
        <v>0</v>
      </c>
      <c r="AE1177" s="318">
        <v>0</v>
      </c>
      <c r="AF1177" s="318">
        <v>0</v>
      </c>
      <c r="AG1177" s="318">
        <v>0</v>
      </c>
      <c r="AH1177" s="318">
        <v>-16299.507199999993</v>
      </c>
      <c r="AI1177" s="318">
        <v>-16299.507199999993</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-16614.234989999983</v>
      </c>
      <c r="AV1177" s="318">
        <f ca="1">Calc!BG79</f>
        <v>-16614.234989999983</v>
      </c>
      <c r="AX1177" s="88" t="str">
        <f t="shared" ca="1" si="98"/>
        <v>GNRC</v>
      </c>
    </row>
    <row r="1178" spans="1:50" hidden="1" x14ac:dyDescent="0.3">
      <c r="A1178" s="88" t="str">
        <f t="shared" ca="1" si="97"/>
        <v>GS</v>
      </c>
      <c r="C1178" s="1">
        <v>80</v>
      </c>
      <c r="F1178" s="255">
        <v>1807958</v>
      </c>
      <c r="G1178" s="255">
        <v>1891938</v>
      </c>
      <c r="H1178" s="255">
        <v>1940779</v>
      </c>
      <c r="I1178" s="255">
        <v>1984172</v>
      </c>
      <c r="J1178" s="255">
        <v>2055578</v>
      </c>
      <c r="K1178" s="255">
        <v>2080905</v>
      </c>
      <c r="L1178" s="255">
        <v>2091014</v>
      </c>
      <c r="M1178" s="255">
        <v>2091014</v>
      </c>
      <c r="N1178" s="255">
        <v>2098861</v>
      </c>
      <c r="O1178" s="255">
        <v>2103402</v>
      </c>
      <c r="P1178" s="255">
        <v>2052034</v>
      </c>
      <c r="Q1178" s="255">
        <v>2071797</v>
      </c>
      <c r="R1178" s="255">
        <v>2085072</v>
      </c>
      <c r="S1178" s="255">
        <v>2120224</v>
      </c>
      <c r="T1178" s="255">
        <v>2103506</v>
      </c>
      <c r="U1178" s="255">
        <v>2105256</v>
      </c>
      <c r="V1178" s="255">
        <v>2106003</v>
      </c>
      <c r="W1178" s="255">
        <v>2212590</v>
      </c>
      <c r="X1178" s="255">
        <v>2179754</v>
      </c>
      <c r="Y1178" s="255">
        <v>2058260</v>
      </c>
      <c r="Z1178" s="247">
        <f ca="1">[1]ExtEntry!$Q80</f>
        <v>2058260</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6148185</v>
      </c>
      <c r="G1179" s="255">
        <v>6305361</v>
      </c>
      <c r="H1179" s="255">
        <v>6459071</v>
      </c>
      <c r="I1179" s="255">
        <v>6623629</v>
      </c>
      <c r="J1179" s="255">
        <v>6815174</v>
      </c>
      <c r="K1179" s="255">
        <v>6665015</v>
      </c>
      <c r="L1179" s="255">
        <v>6880631</v>
      </c>
      <c r="M1179" s="255">
        <v>6880631</v>
      </c>
      <c r="N1179" s="255">
        <v>6597236</v>
      </c>
      <c r="O1179" s="255">
        <v>6510271</v>
      </c>
      <c r="P1179" s="255">
        <v>7361701</v>
      </c>
      <c r="Q1179" s="255">
        <v>7584653</v>
      </c>
      <c r="R1179" s="255">
        <v>7709176</v>
      </c>
      <c r="S1179" s="255">
        <v>11206890</v>
      </c>
      <c r="T1179" s="255">
        <v>11552190</v>
      </c>
      <c r="U1179" s="255">
        <v>11610967</v>
      </c>
      <c r="V1179" s="255">
        <v>11614984</v>
      </c>
      <c r="W1179" s="255">
        <v>10858265</v>
      </c>
      <c r="X1179" s="255">
        <v>11228698</v>
      </c>
      <c r="Y1179" s="255">
        <v>11174177</v>
      </c>
      <c r="Z1179" s="247">
        <f ca="1">[1]ExtEntry!$Q81</f>
        <v>11174177</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-84588.960959999968</v>
      </c>
      <c r="AV1179" s="318">
        <f ca="1">Calc!BG81</f>
        <v>-84588.960959999968</v>
      </c>
      <c r="AX1179" s="88" t="str">
        <f t="shared" ca="1" si="98"/>
        <v>LAZR</v>
      </c>
    </row>
    <row r="1180" spans="1:50" hidden="1" x14ac:dyDescent="0.3">
      <c r="A1180" s="88" t="str">
        <f t="shared" ca="1" si="97"/>
        <v>LUV</v>
      </c>
      <c r="C1180" s="1">
        <v>82</v>
      </c>
      <c r="F1180" s="255">
        <v>9404798</v>
      </c>
      <c r="G1180" s="255">
        <v>9570109</v>
      </c>
      <c r="H1180" s="255">
        <v>9566732</v>
      </c>
      <c r="I1180" s="255">
        <v>9546944</v>
      </c>
      <c r="J1180" s="255">
        <v>9461616</v>
      </c>
      <c r="K1180" s="255">
        <v>9410617</v>
      </c>
      <c r="L1180" s="255">
        <v>9460329</v>
      </c>
      <c r="M1180" s="255">
        <v>9460329</v>
      </c>
      <c r="N1180" s="255">
        <v>9447684</v>
      </c>
      <c r="O1180" s="255">
        <v>10199141</v>
      </c>
      <c r="P1180" s="255">
        <v>9910278</v>
      </c>
      <c r="Q1180" s="255">
        <v>9863868</v>
      </c>
      <c r="R1180" s="255">
        <v>9910193</v>
      </c>
      <c r="S1180" s="255">
        <v>9830226</v>
      </c>
      <c r="T1180" s="255">
        <v>9937085</v>
      </c>
      <c r="U1180" s="255">
        <v>9957688</v>
      </c>
      <c r="V1180" s="255">
        <v>9970100</v>
      </c>
      <c r="W1180" s="255">
        <v>9908000</v>
      </c>
      <c r="X1180" s="255">
        <v>9930689</v>
      </c>
      <c r="Y1180" s="255">
        <v>9773269</v>
      </c>
      <c r="Z1180" s="247">
        <f ca="1">[1]ExtEntry!$Q82</f>
        <v>9773269</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2823153</v>
      </c>
      <c r="G1181" s="255">
        <v>2837614</v>
      </c>
      <c r="H1181" s="255">
        <v>2826703</v>
      </c>
      <c r="I1181" s="255">
        <v>2858842</v>
      </c>
      <c r="J1181" s="255">
        <v>2879387</v>
      </c>
      <c r="K1181" s="255">
        <v>2872340</v>
      </c>
      <c r="L1181" s="255">
        <v>2879757</v>
      </c>
      <c r="M1181" s="255">
        <v>2879757</v>
      </c>
      <c r="N1181" s="255">
        <v>2835338</v>
      </c>
      <c r="O1181" s="255">
        <v>2791056</v>
      </c>
      <c r="P1181" s="255">
        <v>2594835</v>
      </c>
      <c r="Q1181" s="255">
        <v>2584390</v>
      </c>
      <c r="R1181" s="255">
        <v>2607944</v>
      </c>
      <c r="S1181" s="255">
        <v>2752120</v>
      </c>
      <c r="T1181" s="255">
        <v>2763106</v>
      </c>
      <c r="U1181" s="255">
        <v>2703645</v>
      </c>
      <c r="V1181" s="255">
        <v>2708059</v>
      </c>
      <c r="W1181" s="255">
        <v>2650981</v>
      </c>
      <c r="X1181" s="255">
        <v>2594001</v>
      </c>
      <c r="Y1181" s="255">
        <v>2632695</v>
      </c>
      <c r="Z1181" s="247">
        <f ca="1">[1]ExtEntry!$Q83</f>
        <v>2632695</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4506511</v>
      </c>
      <c r="G1182" s="255">
        <v>4545160</v>
      </c>
      <c r="H1182" s="255">
        <v>4657867</v>
      </c>
      <c r="I1182" s="255">
        <v>4696539</v>
      </c>
      <c r="J1182" s="255">
        <v>4656793</v>
      </c>
      <c r="K1182" s="255">
        <v>4716046</v>
      </c>
      <c r="L1182" s="255">
        <v>4637940</v>
      </c>
      <c r="M1182" s="255">
        <v>4637940</v>
      </c>
      <c r="N1182" s="255">
        <v>4608282</v>
      </c>
      <c r="O1182" s="255">
        <v>4590823</v>
      </c>
      <c r="P1182" s="255">
        <v>4493403</v>
      </c>
      <c r="Q1182" s="255">
        <v>4420432</v>
      </c>
      <c r="R1182" s="255">
        <v>4347148</v>
      </c>
      <c r="S1182" s="255">
        <v>4371717</v>
      </c>
      <c r="T1182" s="255">
        <v>4435108</v>
      </c>
      <c r="U1182" s="255">
        <v>4279381</v>
      </c>
      <c r="V1182" s="255">
        <v>4326412</v>
      </c>
      <c r="W1182" s="255">
        <v>4436118</v>
      </c>
      <c r="X1182" s="255">
        <v>4446623</v>
      </c>
      <c r="Y1182" s="255">
        <v>4391543</v>
      </c>
      <c r="Z1182" s="247">
        <f ca="1">[1]ExtEntry!$Q84</f>
        <v>4391543</v>
      </c>
      <c r="AB1182" s="318">
        <v>0</v>
      </c>
      <c r="AC1182" s="318">
        <v>0</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1477129</v>
      </c>
      <c r="G1183" s="255">
        <v>1499143</v>
      </c>
      <c r="H1183" s="255">
        <v>1517238</v>
      </c>
      <c r="I1183" s="255">
        <v>1527173</v>
      </c>
      <c r="J1183" s="255">
        <v>1505770</v>
      </c>
      <c r="K1183" s="255">
        <v>1515388</v>
      </c>
      <c r="L1183" s="255">
        <v>1506589</v>
      </c>
      <c r="M1183" s="255">
        <v>1506589</v>
      </c>
      <c r="N1183" s="255">
        <v>1496073</v>
      </c>
      <c r="O1183" s="255">
        <v>1506506</v>
      </c>
      <c r="P1183" s="255">
        <v>1503916</v>
      </c>
      <c r="Q1183" s="255">
        <v>1567375</v>
      </c>
      <c r="R1183" s="255">
        <v>1798044</v>
      </c>
      <c r="S1183" s="255">
        <v>1883582</v>
      </c>
      <c r="T1183" s="255">
        <v>1856425</v>
      </c>
      <c r="U1183" s="255">
        <v>1772482</v>
      </c>
      <c r="V1183" s="255">
        <v>1748744</v>
      </c>
      <c r="W1183" s="255">
        <v>1692603</v>
      </c>
      <c r="X1183" s="255">
        <v>1663906</v>
      </c>
      <c r="Y1183" s="255">
        <v>1681658</v>
      </c>
      <c r="Z1183" s="247">
        <f ca="1">[1]ExtEntry!$Q85</f>
        <v>1681658</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3777190</v>
      </c>
      <c r="G1184" s="255">
        <v>3777190</v>
      </c>
      <c r="H1184" s="255">
        <v>3786590</v>
      </c>
      <c r="I1184" s="255">
        <v>4123940</v>
      </c>
      <c r="J1184" s="255">
        <v>4270150</v>
      </c>
      <c r="K1184" s="255">
        <v>4270150</v>
      </c>
      <c r="L1184" s="255">
        <v>4059070</v>
      </c>
      <c r="M1184" s="255">
        <v>4059070</v>
      </c>
      <c r="N1184" s="255">
        <v>4007920</v>
      </c>
      <c r="O1184" s="255">
        <v>4007920</v>
      </c>
      <c r="P1184" s="255">
        <v>3965280</v>
      </c>
      <c r="Q1184" s="255">
        <v>3965280</v>
      </c>
      <c r="R1184" s="255">
        <v>4207060</v>
      </c>
      <c r="S1184" s="255">
        <v>3614350</v>
      </c>
      <c r="T1184" s="255">
        <v>3610840</v>
      </c>
      <c r="U1184" s="255">
        <v>3590070</v>
      </c>
      <c r="V1184" s="255">
        <v>3489020</v>
      </c>
      <c r="W1184" s="255">
        <v>3331760</v>
      </c>
      <c r="X1184" s="255">
        <v>3328620</v>
      </c>
      <c r="Y1184" s="255">
        <v>3328620</v>
      </c>
      <c r="Z1184" s="247">
        <f ca="1">[1]ExtEntry!$Q86</f>
        <v>3328620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11706318</v>
      </c>
      <c r="G1185" s="255">
        <v>11823361</v>
      </c>
      <c r="H1185" s="255">
        <v>11856549</v>
      </c>
      <c r="I1185" s="255">
        <v>12083417</v>
      </c>
      <c r="J1185" s="255">
        <v>12251759</v>
      </c>
      <c r="K1185" s="255">
        <v>12375103</v>
      </c>
      <c r="L1185" s="255">
        <v>12164992</v>
      </c>
      <c r="M1185" s="255">
        <v>12164992</v>
      </c>
      <c r="N1185" s="255">
        <v>12250310</v>
      </c>
      <c r="O1185" s="255">
        <v>12465373</v>
      </c>
      <c r="P1185" s="255">
        <v>12182923</v>
      </c>
      <c r="Q1185" s="255">
        <v>12094450</v>
      </c>
      <c r="R1185" s="255">
        <v>12408046</v>
      </c>
      <c r="S1185" s="255">
        <v>11921772</v>
      </c>
      <c r="T1185" s="255">
        <v>11563159</v>
      </c>
      <c r="U1185" s="255">
        <v>11501448</v>
      </c>
      <c r="V1185" s="255">
        <v>10139632</v>
      </c>
      <c r="W1185" s="255">
        <v>10191570</v>
      </c>
      <c r="X1185" s="255">
        <v>9835356</v>
      </c>
      <c r="Y1185" s="255">
        <v>9793412</v>
      </c>
      <c r="Z1185" s="247">
        <f ca="1">[1]ExtEntry!$Q87</f>
        <v>9793412</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-156106.65074759998</v>
      </c>
      <c r="AV1185" s="318">
        <f ca="1">Calc!BG87</f>
        <v>-156106.65074759998</v>
      </c>
      <c r="AX1185" s="88" t="str">
        <f t="shared" ca="1" si="98"/>
        <v>OXY</v>
      </c>
    </row>
    <row r="1186" spans="1:50" hidden="1" x14ac:dyDescent="0.3">
      <c r="A1186" s="88" t="str">
        <f t="shared" ca="1" si="97"/>
        <v>PFE</v>
      </c>
      <c r="C1186" s="1">
        <v>88</v>
      </c>
      <c r="F1186" s="255">
        <v>60309259</v>
      </c>
      <c r="G1186" s="255">
        <v>60690288</v>
      </c>
      <c r="H1186" s="255">
        <v>61280444</v>
      </c>
      <c r="I1186" s="255">
        <v>61584678</v>
      </c>
      <c r="J1186" s="255">
        <v>59933624</v>
      </c>
      <c r="K1186" s="255">
        <v>59337490</v>
      </c>
      <c r="L1186" s="255">
        <v>58686136</v>
      </c>
      <c r="M1186" s="255">
        <v>58686136</v>
      </c>
      <c r="N1186" s="255">
        <v>58778589</v>
      </c>
      <c r="O1186" s="255">
        <v>58770627</v>
      </c>
      <c r="P1186" s="255">
        <v>56404689</v>
      </c>
      <c r="Q1186" s="255">
        <v>55089150</v>
      </c>
      <c r="R1186" s="255">
        <v>56567798</v>
      </c>
      <c r="S1186" s="255">
        <v>68637783</v>
      </c>
      <c r="T1186" s="255">
        <v>68689569</v>
      </c>
      <c r="U1186" s="255">
        <v>66944011</v>
      </c>
      <c r="V1186" s="255">
        <v>69122134</v>
      </c>
      <c r="W1186" s="255">
        <v>83055423</v>
      </c>
      <c r="X1186" s="255">
        <v>86024596</v>
      </c>
      <c r="Y1186" s="255">
        <v>86993985</v>
      </c>
      <c r="Z1186" s="247">
        <f ca="1">[1]ExtEntry!$Q88</f>
        <v>86993985</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47957275</v>
      </c>
      <c r="G1187" s="255">
        <v>49712705</v>
      </c>
      <c r="H1187" s="255">
        <v>51413296</v>
      </c>
      <c r="I1187" s="255">
        <v>53201142</v>
      </c>
      <c r="J1187" s="255">
        <v>54180957</v>
      </c>
      <c r="K1187" s="255">
        <v>54578074</v>
      </c>
      <c r="L1187" s="255">
        <v>55944596</v>
      </c>
      <c r="M1187" s="255">
        <v>55944596</v>
      </c>
      <c r="N1187" s="255">
        <v>57737837</v>
      </c>
      <c r="O1187" s="255">
        <v>61973309</v>
      </c>
      <c r="P1187" s="255">
        <v>63346305</v>
      </c>
      <c r="Q1187" s="255">
        <v>64431958</v>
      </c>
      <c r="R1187" s="255">
        <v>65288702</v>
      </c>
      <c r="S1187" s="255">
        <v>59378726</v>
      </c>
      <c r="T1187" s="255">
        <v>58663474</v>
      </c>
      <c r="U1187" s="255">
        <v>58617012</v>
      </c>
      <c r="V1187" s="255">
        <v>58331970</v>
      </c>
      <c r="W1187" s="255">
        <v>57650003</v>
      </c>
      <c r="X1187" s="255">
        <v>56941461</v>
      </c>
      <c r="Y1187" s="255">
        <v>56027364</v>
      </c>
      <c r="Z1187" s="247">
        <f ca="1">[1]ExtEntry!$Q89</f>
        <v>56027364</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-121907.666</v>
      </c>
      <c r="AS1187" s="318">
        <v>-121907.666</v>
      </c>
      <c r="AT1187" s="318">
        <v>-121907.666</v>
      </c>
      <c r="AU1187" s="318">
        <v>-122276.99573999998</v>
      </c>
      <c r="AV1187" s="318">
        <f ca="1">Calc!BG89</f>
        <v>-122276.99573999998</v>
      </c>
      <c r="AX1187" s="88" t="str">
        <f t="shared" ca="1" si="98"/>
        <v>RIG</v>
      </c>
    </row>
    <row r="1188" spans="1:50" x14ac:dyDescent="0.3">
      <c r="A1188" s="88" t="str">
        <f t="shared" ca="1" si="97"/>
        <v>RRC</v>
      </c>
      <c r="C1188" s="1">
        <v>90</v>
      </c>
      <c r="F1188" s="255">
        <v>3202824</v>
      </c>
      <c r="G1188" s="255">
        <v>3193696</v>
      </c>
      <c r="H1188" s="255">
        <v>3206013</v>
      </c>
      <c r="I1188" s="255">
        <v>3184227</v>
      </c>
      <c r="J1188" s="255">
        <v>3151081</v>
      </c>
      <c r="K1188" s="255">
        <v>3130639</v>
      </c>
      <c r="L1188" s="255">
        <v>3072657</v>
      </c>
      <c r="M1188" s="255">
        <v>3072657</v>
      </c>
      <c r="N1188" s="255">
        <v>3056937</v>
      </c>
      <c r="O1188" s="255">
        <v>3128133</v>
      </c>
      <c r="P1188" s="255">
        <v>3003796</v>
      </c>
      <c r="Q1188" s="255">
        <v>3010799</v>
      </c>
      <c r="R1188" s="255">
        <v>3063975</v>
      </c>
      <c r="S1188" s="255">
        <v>3125200</v>
      </c>
      <c r="T1188" s="255">
        <v>3095125</v>
      </c>
      <c r="U1188" s="255">
        <v>3029723</v>
      </c>
      <c r="V1188" s="255">
        <v>3004696</v>
      </c>
      <c r="W1188" s="255">
        <v>3004706</v>
      </c>
      <c r="X1188" s="255">
        <v>2960025</v>
      </c>
      <c r="Y1188" s="255">
        <v>2975300</v>
      </c>
      <c r="Z1188" s="247">
        <f ca="1">[1]ExtEntry!$Q90</f>
        <v>2975300</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6194814</v>
      </c>
      <c r="G1189" s="247">
        <v>6237893</v>
      </c>
      <c r="H1189" s="247">
        <v>6154543</v>
      </c>
      <c r="I1189" s="247">
        <v>6210284</v>
      </c>
      <c r="J1189" s="247">
        <v>6202101</v>
      </c>
      <c r="K1189" s="247">
        <v>6124635</v>
      </c>
      <c r="L1189" s="247">
        <v>6078645</v>
      </c>
      <c r="M1189" s="247">
        <v>6078645</v>
      </c>
      <c r="N1189" s="247">
        <v>6051166</v>
      </c>
      <c r="O1189" s="247">
        <v>6021253</v>
      </c>
      <c r="P1189" s="247">
        <v>5871918</v>
      </c>
      <c r="Q1189" s="247">
        <v>5718050</v>
      </c>
      <c r="R1189" s="247">
        <v>5706054</v>
      </c>
      <c r="S1189" s="247">
        <v>5614892</v>
      </c>
      <c r="T1189" s="247">
        <v>5500712</v>
      </c>
      <c r="U1189" s="247">
        <v>5447514</v>
      </c>
      <c r="V1189" s="247">
        <v>5582730</v>
      </c>
      <c r="W1189" s="247">
        <v>6454719</v>
      </c>
      <c r="X1189" s="247">
        <v>6538387</v>
      </c>
      <c r="Y1189" s="247">
        <v>6629601</v>
      </c>
      <c r="Z1189" s="247">
        <f ca="1">[1]ExtEntry!$Q91</f>
        <v>6629601</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-89578.700640000025</v>
      </c>
      <c r="AV1189" s="318">
        <f ca="1">Calc!BG91</f>
        <v>-89578.700640000025</v>
      </c>
      <c r="AX1189" s="88" t="str">
        <f t="shared" ca="1" si="98"/>
        <v>XYZ</v>
      </c>
    </row>
    <row r="1190" spans="1:50" x14ac:dyDescent="0.3">
      <c r="A1190" s="88" t="str">
        <f t="shared" ca="1" si="97"/>
        <v>THC</v>
      </c>
      <c r="C1190" s="1">
        <v>92</v>
      </c>
      <c r="F1190" s="255">
        <v>1136227</v>
      </c>
      <c r="G1190" s="255">
        <v>1130361</v>
      </c>
      <c r="H1190" s="255">
        <v>1091796</v>
      </c>
      <c r="I1190" s="255">
        <v>1047339</v>
      </c>
      <c r="J1190" s="255">
        <v>1042209</v>
      </c>
      <c r="K1190" s="255">
        <v>1000389</v>
      </c>
      <c r="L1190" s="255">
        <v>978709</v>
      </c>
      <c r="M1190" s="255">
        <v>978709</v>
      </c>
      <c r="N1190" s="255">
        <v>984540</v>
      </c>
      <c r="O1190" s="255">
        <v>986264</v>
      </c>
      <c r="P1190" s="255">
        <v>917476</v>
      </c>
      <c r="Q1190" s="255">
        <v>957003</v>
      </c>
      <c r="R1190" s="255">
        <v>1014395</v>
      </c>
      <c r="S1190" s="255">
        <v>1053140</v>
      </c>
      <c r="T1190" s="255">
        <v>1060202</v>
      </c>
      <c r="U1190" s="255">
        <v>1059512</v>
      </c>
      <c r="V1190" s="255">
        <v>1066425</v>
      </c>
      <c r="W1190" s="255">
        <v>1045176</v>
      </c>
      <c r="X1190" s="255">
        <v>1065029</v>
      </c>
      <c r="Y1190" s="255">
        <v>1053437</v>
      </c>
      <c r="Z1190" s="247">
        <f ca="1">[1]ExtEntry!$Q92</f>
        <v>1053437</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41">
        <v>#VALUE!</v>
      </c>
      <c r="G1192" s="247" t="e" vm="441">
        <v>#VALUE!</v>
      </c>
      <c r="H1192" s="247" t="e" vm="441">
        <v>#VALUE!</v>
      </c>
      <c r="I1192" s="247" t="e" vm="441">
        <v>#VALUE!</v>
      </c>
      <c r="J1192" s="247" t="e" vm="441">
        <v>#VALUE!</v>
      </c>
      <c r="K1192" s="247" t="e" vm="441">
        <v>#VALUE!</v>
      </c>
      <c r="L1192" s="247" t="e" vm="441">
        <v>#VALUE!</v>
      </c>
      <c r="M1192" s="247" t="e" vm="441">
        <v>#VALUE!</v>
      </c>
      <c r="N1192" s="247" t="e" vm="441">
        <v>#VALUE!</v>
      </c>
      <c r="O1192" s="247" t="e" vm="441">
        <v>#VALUE!</v>
      </c>
      <c r="P1192" s="247" t="e" vm="441">
        <v>#VALUE!</v>
      </c>
      <c r="Q1192" s="247" t="e" vm="441">
        <v>#VALUE!</v>
      </c>
      <c r="R1192" s="247" t="e" vm="441">
        <v>#VALUE!</v>
      </c>
      <c r="S1192" s="247" t="e" vm="441">
        <v>#VALUE!</v>
      </c>
      <c r="T1192" s="247" t="e" vm="441">
        <v>#VALUE!</v>
      </c>
      <c r="U1192" s="247" t="e" vm="441">
        <v>#VALUE!</v>
      </c>
      <c r="V1192" s="247" t="e" vm="441">
        <v>#VALUE!</v>
      </c>
      <c r="W1192" s="247" t="e" vm="441">
        <v>#VALUE!</v>
      </c>
      <c r="X1192" s="247" t="e" vm="441">
        <v>#VALUE!</v>
      </c>
      <c r="Y1192" s="247" t="e" vm="441">
        <v>#VALUE!</v>
      </c>
      <c r="Z1192" s="247" t="e" vm="442">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0</v>
      </c>
      <c r="AV1192" s="318">
        <f ca="1">Calc!BG94</f>
        <v>0</v>
      </c>
      <c r="AX1192" s="88" t="str">
        <f t="shared" ca="1" si="98"/>
        <v>LOCK</v>
      </c>
    </row>
    <row r="1193" spans="1:50" x14ac:dyDescent="0.3">
      <c r="A1193" s="88" t="str">
        <f t="shared" ca="1" si="97"/>
        <v>JBASML</v>
      </c>
      <c r="C1193" s="1">
        <v>95</v>
      </c>
      <c r="F1193" s="247">
        <v>766660</v>
      </c>
      <c r="G1193" s="247">
        <v>804760</v>
      </c>
      <c r="H1193" s="247">
        <v>804760</v>
      </c>
      <c r="I1193" s="247">
        <v>839280</v>
      </c>
      <c r="J1193" s="247">
        <v>839280</v>
      </c>
      <c r="K1193" s="247">
        <v>839280</v>
      </c>
      <c r="L1193" s="247">
        <v>812200</v>
      </c>
      <c r="M1193" s="262">
        <v>812200</v>
      </c>
      <c r="N1193" s="247">
        <v>794970</v>
      </c>
      <c r="O1193" s="247">
        <v>794970</v>
      </c>
      <c r="P1193" s="247">
        <v>743190</v>
      </c>
      <c r="Q1193" s="247">
        <v>743190</v>
      </c>
      <c r="R1193" s="247">
        <v>645470</v>
      </c>
      <c r="S1193" s="247">
        <v>558080</v>
      </c>
      <c r="T1193" s="247">
        <v>547460</v>
      </c>
      <c r="U1193" s="247">
        <v>553620</v>
      </c>
      <c r="V1193" s="247">
        <v>539670</v>
      </c>
      <c r="W1193" s="247">
        <v>546390</v>
      </c>
      <c r="X1193" s="262">
        <v>557280</v>
      </c>
      <c r="Y1193" s="247">
        <v>557280</v>
      </c>
      <c r="Z1193" s="247">
        <f ca="1">[1]ExtEntry!$Q95</f>
        <v>557280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3003030</v>
      </c>
      <c r="G1194" s="247">
        <v>3101550</v>
      </c>
      <c r="H1194" s="247">
        <v>3019760</v>
      </c>
      <c r="I1194" s="247">
        <v>2873040</v>
      </c>
      <c r="J1194" s="247">
        <v>3038990</v>
      </c>
      <c r="K1194" s="247">
        <v>3038990</v>
      </c>
      <c r="L1194" s="247">
        <v>3152510</v>
      </c>
      <c r="M1194" s="247">
        <v>3152510</v>
      </c>
      <c r="N1194" s="247">
        <v>3081430</v>
      </c>
      <c r="O1194" s="247">
        <v>3081430</v>
      </c>
      <c r="P1194" s="247">
        <v>3151380</v>
      </c>
      <c r="Q1194" s="247">
        <v>3151380</v>
      </c>
      <c r="R1194" s="247">
        <v>3076200</v>
      </c>
      <c r="S1194" s="247">
        <v>2941920</v>
      </c>
      <c r="T1194" s="247">
        <v>2907640</v>
      </c>
      <c r="U1194" s="247">
        <v>2964880</v>
      </c>
      <c r="V1194" s="247">
        <v>2864900</v>
      </c>
      <c r="W1194" s="247">
        <v>4392490</v>
      </c>
      <c r="X1194" s="247">
        <v>4593700</v>
      </c>
      <c r="Y1194" s="247">
        <v>4593700</v>
      </c>
      <c r="Z1194" s="247">
        <f ca="1">[1]ExtEntry!$Q96</f>
        <v>4593700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48"/>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2739.9999999999523</v>
      </c>
      <c r="AC1197" s="93" cm="1">
        <f t="array" aca="1" ref="AC1197" ca="1">_xlfn.XLOOKUP(DataShiftChartTicker,ListTickers,Tab2RevSale[RevSale1])</f>
        <v>279.99999999997272</v>
      </c>
      <c r="AD1197" s="93" cm="1">
        <f t="array" aca="1" ref="AD1197" ca="1">_xlfn.XLOOKUP(DataShiftChartTicker,ListTickers,Tab2RevSale[RevSale2])</f>
        <v>-1100.0000000000227</v>
      </c>
      <c r="AE1197" s="93" t="e" cm="1">
        <f t="array" aca="1" ref="AE1197" ca="1">_xlfn.XLOOKUP(DataShiftChartTicker,AF1197,Tab2RevSale[RevSale3])</f>
        <v>#N/A</v>
      </c>
      <c r="AF1197" s="93" cm="1">
        <f t="array" aca="1" ref="AF1197" ca="1">_xlfn.XLOOKUP(DataShiftChartTicker,ListTickers,Tab2RevSale[RevSale4])</f>
        <v>2919.9999999999591</v>
      </c>
      <c r="AG1197" s="93" cm="1">
        <f t="array" aca="1" ref="AG1197" ca="1">_xlfn.XLOOKUP(DataShiftChartTicker,ListTickers,Tab2RevSale[RevSale5])</f>
        <v>14019.999999999982</v>
      </c>
      <c r="AH1197" s="93" cm="1">
        <f t="array" aca="1" ref="AH1197" ca="1">_xlfn.XLOOKUP(DataShiftChartTicker,ListTickers,Tab2RevSale[RevSale6])</f>
        <v>5859.9999999999563</v>
      </c>
      <c r="AI1197" s="93" cm="1">
        <f t="array" aca="1" ref="AI1197" ca="1">_xlfn.XLOOKUP(DataShiftChartTicker,ListTickers,Tab2RevSale[RevSale7])</f>
        <v>5859.9999999999563</v>
      </c>
      <c r="AJ1197" s="93" cm="1">
        <f t="array" aca="1" ref="AJ1197" ca="1">_xlfn.XLOOKUP(DataShiftChartTicker,ListTickers,Tab2RevSale[RevSale8])</f>
        <v>12139.999999999985</v>
      </c>
      <c r="AK1197" s="93" cm="1">
        <f t="array" aca="1" ref="AK1197" ca="1">_xlfn.XLOOKUP(DataShiftChartTicker,ListTickers,Tab2RevSale[RevSale9])</f>
        <v>18379.999999999996</v>
      </c>
      <c r="AL1197" s="93" cm="1">
        <f t="array" aca="1" ref="AL1197" ca="1">_xlfn.XLOOKUP(DataShiftChartTicker,ListTickers,Tab2RevSale[RevSale10])</f>
        <v>23899.999999999978</v>
      </c>
      <c r="AM1197" s="93" cm="1">
        <f t="array" aca="1" ref="AM1197" ca="1">_xlfn.XLOOKUP(DataShiftChartTicker,ListTickers,Tab2RevSale[RevSale11])</f>
        <v>28459.999999999978</v>
      </c>
      <c r="AN1197" s="93" cm="1">
        <f t="array" aca="1" ref="AN1197" ca="1">_xlfn.XLOOKUP(DataShiftChartTicker,ListTickers,Tab2RevSale[RevSale12])</f>
        <v>15680.000000000007</v>
      </c>
      <c r="AO1197" s="93" cm="1">
        <f t="array" aca="1" ref="AO1197" ca="1">_xlfn.XLOOKUP(DataShiftChartTicker,ListTickers,Tab2RevSale[RevSale13])</f>
        <v>67599.999999999971</v>
      </c>
      <c r="AP1197" s="93" cm="1">
        <f t="array" aca="1" ref="AP1197" ca="1">_xlfn.XLOOKUP(DataShiftChartTicker,ListTickers,Tab2RevSale[RevSale14])</f>
        <v>70359.999999999956</v>
      </c>
      <c r="AQ1197" s="93" cm="1">
        <f t="array" aca="1" ref="AQ1197" ca="1">_xlfn.XLOOKUP(DataShiftChartTicker,ListTickers,Tab2RevSale[RevSale15])</f>
        <v>57572.799999999974</v>
      </c>
      <c r="AR1197" s="93" cm="1">
        <f t="array" aca="1" ref="AR1197" ca="1">_xlfn.XLOOKUP(DataShiftChartTicker,ListTickers,Tab2RevSale[RevSale16])</f>
        <v>59079.999999999985</v>
      </c>
      <c r="AS1197" s="93" cm="1">
        <f t="array" aca="1" ref="AS1197" ca="1">_xlfn.XLOOKUP(DataShiftChartTicker,ListTickers,Tab2RevSale[RevSale17])</f>
        <v>39339.999999999978</v>
      </c>
      <c r="AT1197" s="93" cm="1">
        <f t="array" aca="1" ref="AT1197" ca="1">_xlfn.XLOOKUP(DataShiftChartTicker,ListTickers,Tab2RevSale[RevSale18])</f>
        <v>15060.000000000002</v>
      </c>
      <c r="AU1197" s="93" cm="1">
        <f t="array" aca="1" ref="AU1197" ca="1">_xlfn.XLOOKUP(DataShiftChartTicker,ListTickers,Tab2RevSale[RevSale19])</f>
        <v>12323.999999999956</v>
      </c>
      <c r="AV1197" s="93" cm="1">
        <f t="array" aca="1" ref="AV1197" ca="1">_xlfn.XLOOKUP(DataShiftChartTicker,ListTickers,Tab2RevSale[RevSale20])</f>
        <v>12323.999999999956</v>
      </c>
      <c r="AX1197" s="88"/>
    </row>
    <row r="1198" spans="1:50" x14ac:dyDescent="0.3">
      <c r="A1198" s="88"/>
      <c r="F1198" s="117">
        <f t="shared" ref="F1198:Z1198" ca="1" si="99">F1099</f>
        <v>45952</v>
      </c>
      <c r="G1198" s="117">
        <f t="shared" ca="1" si="99"/>
        <v>45953</v>
      </c>
      <c r="H1198" s="117">
        <f t="shared" ca="1" si="99"/>
        <v>45954</v>
      </c>
      <c r="I1198" s="117">
        <f t="shared" ca="1" si="99"/>
        <v>45957</v>
      </c>
      <c r="J1198" s="117">
        <f t="shared" ca="1" si="99"/>
        <v>45958</v>
      </c>
      <c r="K1198" s="117">
        <f t="shared" ca="1" si="99"/>
        <v>45959</v>
      </c>
      <c r="L1198" s="117">
        <f t="shared" ca="1" si="99"/>
        <v>45960</v>
      </c>
      <c r="M1198" s="117">
        <f t="shared" ca="1" si="99"/>
        <v>45961</v>
      </c>
      <c r="N1198" s="117">
        <f t="shared" ca="1" si="99"/>
        <v>45964</v>
      </c>
      <c r="O1198" s="117">
        <f t="shared" ca="1" si="99"/>
        <v>45965</v>
      </c>
      <c r="P1198" s="117">
        <f t="shared" ca="1" si="99"/>
        <v>45966</v>
      </c>
      <c r="Q1198" s="117">
        <f t="shared" ca="1" si="99"/>
        <v>45967</v>
      </c>
      <c r="R1198" s="117">
        <f t="shared" ca="1" si="99"/>
        <v>45968</v>
      </c>
      <c r="S1198" s="117">
        <f t="shared" ca="1" si="99"/>
        <v>45971</v>
      </c>
      <c r="T1198" s="117">
        <f t="shared" ca="1" si="99"/>
        <v>45972</v>
      </c>
      <c r="U1198" s="117">
        <f t="shared" ca="1" si="99"/>
        <v>45973</v>
      </c>
      <c r="V1198" s="117">
        <f t="shared" ca="1" si="99"/>
        <v>45974</v>
      </c>
      <c r="W1198" s="117">
        <f t="shared" ca="1" si="99"/>
        <v>45975</v>
      </c>
      <c r="X1198" s="117">
        <f t="shared" ca="1" si="99"/>
        <v>45978</v>
      </c>
      <c r="Y1198" s="117">
        <f t="shared" ca="1" si="99"/>
        <v>45979</v>
      </c>
      <c r="Z1198" s="117">
        <f t="shared" ca="1" si="99"/>
        <v>45980</v>
      </c>
      <c r="AB1198" s="117">
        <f t="shared" ref="AB1198:AV1198" ca="1" si="100">F1099</f>
        <v>45952</v>
      </c>
      <c r="AC1198" s="117">
        <f t="shared" ca="1" si="100"/>
        <v>45953</v>
      </c>
      <c r="AD1198" s="117">
        <f t="shared" ca="1" si="100"/>
        <v>45954</v>
      </c>
      <c r="AE1198" s="117">
        <f t="shared" ca="1" si="100"/>
        <v>45957</v>
      </c>
      <c r="AF1198" s="117">
        <f t="shared" ca="1" si="100"/>
        <v>45958</v>
      </c>
      <c r="AG1198" s="117">
        <f t="shared" ca="1" si="100"/>
        <v>45959</v>
      </c>
      <c r="AH1198" s="117">
        <f t="shared" ca="1" si="100"/>
        <v>45960</v>
      </c>
      <c r="AI1198" s="117">
        <f t="shared" ca="1" si="100"/>
        <v>45961</v>
      </c>
      <c r="AJ1198" s="117">
        <f t="shared" ca="1" si="100"/>
        <v>45964</v>
      </c>
      <c r="AK1198" s="117">
        <f t="shared" ca="1" si="100"/>
        <v>45965</v>
      </c>
      <c r="AL1198" s="117">
        <f t="shared" ca="1" si="100"/>
        <v>45966</v>
      </c>
      <c r="AM1198" s="117">
        <f t="shared" ca="1" si="100"/>
        <v>45967</v>
      </c>
      <c r="AN1198" s="117">
        <f t="shared" ca="1" si="100"/>
        <v>45968</v>
      </c>
      <c r="AO1198" s="117">
        <f t="shared" ca="1" si="100"/>
        <v>45971</v>
      </c>
      <c r="AP1198" s="117">
        <f t="shared" ca="1" si="100"/>
        <v>45972</v>
      </c>
      <c r="AQ1198" s="117">
        <f t="shared" ca="1" si="100"/>
        <v>45973</v>
      </c>
      <c r="AR1198" s="117">
        <f t="shared" ca="1" si="100"/>
        <v>45974</v>
      </c>
      <c r="AS1198" s="117">
        <f t="shared" ca="1" si="100"/>
        <v>45975</v>
      </c>
      <c r="AT1198" s="117">
        <f t="shared" ca="1" si="100"/>
        <v>45978</v>
      </c>
      <c r="AU1198" s="117">
        <f t="shared" ca="1" si="100"/>
        <v>45979</v>
      </c>
      <c r="AV1198" s="117">
        <f t="shared" ca="1" si="100"/>
        <v>45980</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1.0873999999999999</v>
      </c>
      <c r="G1200" s="243">
        <v>1.0872999999999999</v>
      </c>
      <c r="H1200" s="243">
        <v>1.0864</v>
      </c>
      <c r="I1200" s="243">
        <v>1.0848</v>
      </c>
      <c r="J1200" s="243">
        <v>1.0848</v>
      </c>
      <c r="K1200" s="243">
        <v>1.0827</v>
      </c>
      <c r="L1200" s="243">
        <v>1.0826</v>
      </c>
      <c r="M1200" s="243">
        <v>1.0826</v>
      </c>
      <c r="N1200" s="243">
        <v>1.0826</v>
      </c>
      <c r="O1200" s="243">
        <v>1.0826</v>
      </c>
      <c r="P1200" s="243">
        <v>1.0834999999999999</v>
      </c>
      <c r="Q1200" s="243">
        <v>1.0864</v>
      </c>
      <c r="R1200" s="243">
        <v>1.087</v>
      </c>
      <c r="S1200" s="243">
        <v>1.1099000000000001</v>
      </c>
      <c r="T1200" s="243">
        <v>1.1076999999999999</v>
      </c>
      <c r="U1200" s="243">
        <v>1.1085</v>
      </c>
      <c r="V1200" s="243">
        <v>1.1053999999999999</v>
      </c>
      <c r="W1200" s="243">
        <v>1.1035999999999999</v>
      </c>
      <c r="X1200" s="243">
        <v>1.1082000000000001</v>
      </c>
      <c r="Y1200" s="243">
        <v>1.1049</v>
      </c>
      <c r="Z1200" s="245">
        <f ca="1">[1]ExtEntry!$R3</f>
        <v>1.1049</v>
      </c>
      <c r="AB1200" s="318">
        <v>-150</v>
      </c>
      <c r="AC1200" s="318">
        <v>175.99999999999909</v>
      </c>
      <c r="AD1200" s="318">
        <v>-214.00000000000432</v>
      </c>
      <c r="AE1200" s="318">
        <v>753.99999999999636</v>
      </c>
      <c r="AF1200" s="318">
        <v>2744</v>
      </c>
      <c r="AG1200" s="318">
        <v>2849.9999999999945</v>
      </c>
      <c r="AH1200" s="318">
        <v>1985.9999999999957</v>
      </c>
      <c r="AI1200" s="318">
        <v>1985.9999999999957</v>
      </c>
      <c r="AJ1200" s="318">
        <v>2211.9999999999945</v>
      </c>
      <c r="AK1200" s="318">
        <v>2859.9999999999964</v>
      </c>
      <c r="AL1200" s="318">
        <v>4057.9999999999982</v>
      </c>
      <c r="AM1200" s="318">
        <v>4095.9999999999982</v>
      </c>
      <c r="AN1200" s="318">
        <v>4575.9999999999936</v>
      </c>
      <c r="AO1200" s="318">
        <v>4301.9999999999927</v>
      </c>
      <c r="AP1200" s="318">
        <v>4323.9999999999955</v>
      </c>
      <c r="AQ1200" s="318">
        <v>4395.9999999999982</v>
      </c>
      <c r="AR1200" s="318">
        <v>3895.4000000000005</v>
      </c>
      <c r="AS1200" s="318">
        <v>4778.0000000000027</v>
      </c>
      <c r="AT1200" s="318">
        <v>3783.9999999999973</v>
      </c>
      <c r="AU1200" s="318">
        <v>4301.9999999999927</v>
      </c>
      <c r="AV1200" s="318">
        <f ca="1">Calc!Z3</f>
        <v>4301.9999999999927</v>
      </c>
      <c r="AX1200" s="88" t="str">
        <f t="shared" ca="1" si="98"/>
        <v>AAPL</v>
      </c>
    </row>
    <row r="1201" spans="1:50" x14ac:dyDescent="0.3">
      <c r="A1201" s="88" t="str">
        <f t="shared" ca="1" si="101"/>
        <v>ADEA</v>
      </c>
      <c r="C1201" s="1">
        <v>4</v>
      </c>
      <c r="F1201" s="251">
        <v>2.5853000000000002</v>
      </c>
      <c r="G1201" s="251">
        <v>2.5775999999999999</v>
      </c>
      <c r="H1201" s="251">
        <v>2.5731999999999999</v>
      </c>
      <c r="I1201" s="251">
        <v>2.5783999999999998</v>
      </c>
      <c r="J1201" s="251">
        <v>2.5783999999999998</v>
      </c>
      <c r="K1201" s="251">
        <v>2.5773000000000001</v>
      </c>
      <c r="L1201" s="251">
        <v>2.5766</v>
      </c>
      <c r="M1201" s="251">
        <v>2.5766</v>
      </c>
      <c r="N1201" s="251">
        <v>2.5766</v>
      </c>
      <c r="O1201" s="251">
        <v>2.5766</v>
      </c>
      <c r="P1201" s="251">
        <v>2.5771999999999999</v>
      </c>
      <c r="Q1201" s="251">
        <v>2.5709</v>
      </c>
      <c r="R1201" s="251">
        <v>2.569</v>
      </c>
      <c r="S1201" s="251">
        <v>2.3765999999999998</v>
      </c>
      <c r="T1201" s="251">
        <v>2.4068999999999998</v>
      </c>
      <c r="U1201" s="251">
        <v>2.3910999999999998</v>
      </c>
      <c r="V1201" s="251">
        <v>2.3993000000000002</v>
      </c>
      <c r="W1201" s="251">
        <v>2.4091999999999998</v>
      </c>
      <c r="X1201" s="251">
        <v>2.42</v>
      </c>
      <c r="Y1201" s="251">
        <v>2.4336000000000002</v>
      </c>
      <c r="Z1201" s="245">
        <f ca="1">[1]ExtEntry!$R4</f>
        <v>2.4336000000000002</v>
      </c>
      <c r="AB1201" s="318">
        <v>442.6999999999997</v>
      </c>
      <c r="AC1201" s="318">
        <v>556.69999999999993</v>
      </c>
      <c r="AD1201" s="318">
        <v>448.39999999999986</v>
      </c>
      <c r="AE1201" s="318">
        <v>438.89999999999975</v>
      </c>
      <c r="AF1201" s="318">
        <v>482.59999999999985</v>
      </c>
      <c r="AG1201" s="318">
        <v>524.40000000000032</v>
      </c>
      <c r="AH1201" s="318">
        <v>488.30000000000007</v>
      </c>
      <c r="AI1201" s="318">
        <v>488.30000000000007</v>
      </c>
      <c r="AJ1201" s="318">
        <v>478.7999999999999</v>
      </c>
      <c r="AK1201" s="318">
        <v>541.50000000000023</v>
      </c>
      <c r="AL1201" s="318">
        <v>644.10000000000014</v>
      </c>
      <c r="AM1201" s="318">
        <v>661.2</v>
      </c>
      <c r="AN1201" s="318">
        <v>545.30000000000018</v>
      </c>
      <c r="AO1201" s="318">
        <v>-289.75000000000006</v>
      </c>
      <c r="AP1201" s="318">
        <v>-89.300000000000125</v>
      </c>
      <c r="AQ1201" s="318">
        <v>-59.849999999999909</v>
      </c>
      <c r="AR1201" s="318">
        <v>-38.950000000000017</v>
      </c>
      <c r="AS1201" s="318">
        <v>-264.10000000000014</v>
      </c>
      <c r="AT1201" s="318">
        <v>-361.00000000000006</v>
      </c>
      <c r="AU1201" s="318">
        <v>-378.1</v>
      </c>
      <c r="AV1201" s="318">
        <f ca="1">Calc!Z4</f>
        <v>-378.1</v>
      </c>
      <c r="AX1201" s="88" t="str">
        <f t="shared" ca="1" si="98"/>
        <v>ADEA</v>
      </c>
    </row>
    <row r="1202" spans="1:50" x14ac:dyDescent="0.3">
      <c r="A1202" s="88" t="str">
        <f t="shared" ca="1" si="101"/>
        <v>AET</v>
      </c>
      <c r="C1202" s="1">
        <v>5</v>
      </c>
      <c r="F1202" s="243">
        <v>1.1482000000000001</v>
      </c>
      <c r="G1202" s="243">
        <v>1.1486000000000001</v>
      </c>
      <c r="H1202" s="243">
        <v>1.1556999999999999</v>
      </c>
      <c r="I1202" s="243">
        <v>1.1795</v>
      </c>
      <c r="J1202" s="243">
        <v>1.1795</v>
      </c>
      <c r="K1202" s="243">
        <v>1.1778999999999999</v>
      </c>
      <c r="L1202" s="243">
        <v>1.1551</v>
      </c>
      <c r="M1202" s="243">
        <v>1.1551</v>
      </c>
      <c r="N1202" s="243">
        <v>1.1551</v>
      </c>
      <c r="O1202" s="243">
        <v>1.1551</v>
      </c>
      <c r="P1202" s="243">
        <v>1.1262000000000001</v>
      </c>
      <c r="Q1202" s="243">
        <v>1.0885</v>
      </c>
      <c r="R1202" s="243">
        <v>1.0524</v>
      </c>
      <c r="S1202" s="243">
        <v>1.6194999999999999</v>
      </c>
      <c r="T1202" s="243">
        <v>1.6406000000000001</v>
      </c>
      <c r="U1202" s="243">
        <v>1.6374</v>
      </c>
      <c r="V1202" s="243">
        <v>1.6443000000000001</v>
      </c>
      <c r="W1202" s="243">
        <v>1.6375</v>
      </c>
      <c r="X1202" s="243">
        <v>1.6284000000000001</v>
      </c>
      <c r="Y1202" s="243">
        <v>1.6225000000000001</v>
      </c>
      <c r="Z1202" s="245">
        <f ca="1">[1]ExtEntry!$R5</f>
        <v>1.6225000000000001</v>
      </c>
      <c r="AB1202" s="318">
        <v>-270.00000000000028</v>
      </c>
      <c r="AC1202" s="318">
        <v>-350</v>
      </c>
      <c r="AD1202" s="318">
        <v>-460.00000000000017</v>
      </c>
      <c r="AE1202" s="318">
        <v>-360.00000000000017</v>
      </c>
      <c r="AF1202" s="318">
        <v>-330.00000000000045</v>
      </c>
      <c r="AG1202" s="318">
        <v>-260.00000000000017</v>
      </c>
      <c r="AH1202" s="318">
        <v>-220.00000000000028</v>
      </c>
      <c r="AI1202" s="318">
        <v>-220.00000000000028</v>
      </c>
      <c r="AJ1202" s="318">
        <v>-120.0000000000003</v>
      </c>
      <c r="AK1202" s="318">
        <v>19.999999999999574</v>
      </c>
      <c r="AL1202" s="318">
        <v>-80.000000000000426</v>
      </c>
      <c r="AM1202" s="318">
        <v>-180.00000000000043</v>
      </c>
      <c r="AN1202" s="318">
        <v>-60.000000000000149</v>
      </c>
      <c r="AO1202" s="318">
        <v>-60.000000000000149</v>
      </c>
      <c r="AP1202" s="318">
        <v>39.999999999999858</v>
      </c>
      <c r="AQ1202" s="318">
        <v>-120.0000000000003</v>
      </c>
      <c r="AR1202" s="318">
        <v>-89.999999999999858</v>
      </c>
      <c r="AS1202" s="318">
        <v>-39.999999999999858</v>
      </c>
      <c r="AT1202" s="318">
        <v>-60.000000000000149</v>
      </c>
      <c r="AU1202" s="318">
        <v>-60.000000000000149</v>
      </c>
      <c r="AV1202" s="318">
        <f ca="1">Calc!Z5</f>
        <v>-60.000000000000149</v>
      </c>
      <c r="AX1202" s="88" t="str">
        <f t="shared" ca="1" si="98"/>
        <v>AET</v>
      </c>
    </row>
    <row r="1203" spans="1:50" x14ac:dyDescent="0.3">
      <c r="A1203" s="88" t="str">
        <f t="shared" ca="1" si="101"/>
        <v>AMZN</v>
      </c>
      <c r="C1203" s="1">
        <v>6</v>
      </c>
      <c r="F1203" s="251">
        <v>1.2814000000000001</v>
      </c>
      <c r="G1203" s="251">
        <v>1.2835000000000001</v>
      </c>
      <c r="H1203" s="251">
        <v>1.2847</v>
      </c>
      <c r="I1203" s="251">
        <v>1.2862</v>
      </c>
      <c r="J1203" s="251">
        <v>1.2862</v>
      </c>
      <c r="K1203" s="251">
        <v>1.2845</v>
      </c>
      <c r="L1203" s="251">
        <v>1.2831999999999999</v>
      </c>
      <c r="M1203" s="251">
        <v>1.2831999999999999</v>
      </c>
      <c r="N1203" s="251">
        <v>1.2831999999999999</v>
      </c>
      <c r="O1203" s="251">
        <v>1.2831999999999999</v>
      </c>
      <c r="P1203" s="251">
        <v>1.2842</v>
      </c>
      <c r="Q1203" s="251">
        <v>1.2842</v>
      </c>
      <c r="R1203" s="251">
        <v>1.286</v>
      </c>
      <c r="S1203" s="251">
        <v>1.3634999999999999</v>
      </c>
      <c r="T1203" s="251">
        <v>1.3596999999999999</v>
      </c>
      <c r="U1203" s="251">
        <v>1.3612</v>
      </c>
      <c r="V1203" s="251">
        <v>1.3611</v>
      </c>
      <c r="W1203" s="251">
        <v>1.3676999999999999</v>
      </c>
      <c r="X1203" s="251">
        <v>1.3721000000000001</v>
      </c>
      <c r="Y1203" s="251">
        <v>1.3831</v>
      </c>
      <c r="Z1203" s="245">
        <f ca="1">[1]ExtEntry!$R6</f>
        <v>1.3831</v>
      </c>
      <c r="AB1203" s="318">
        <v>2739.9999999999523</v>
      </c>
      <c r="AC1203" s="318">
        <v>279.99999999997272</v>
      </c>
      <c r="AD1203" s="318">
        <v>-1100.0000000000227</v>
      </c>
      <c r="AE1203" s="318">
        <v>-3960.0000000000364</v>
      </c>
      <c r="AF1203" s="318">
        <v>2919.9999999999591</v>
      </c>
      <c r="AG1203" s="318">
        <v>14019.999999999982</v>
      </c>
      <c r="AH1203" s="318">
        <v>5859.9999999999563</v>
      </c>
      <c r="AI1203" s="318">
        <v>5859.9999999999563</v>
      </c>
      <c r="AJ1203" s="318">
        <v>12139.999999999985</v>
      </c>
      <c r="AK1203" s="318">
        <v>18379.999999999996</v>
      </c>
      <c r="AL1203" s="318">
        <v>23899.999999999978</v>
      </c>
      <c r="AM1203" s="318">
        <v>28459.999999999978</v>
      </c>
      <c r="AN1203" s="318">
        <v>15680.000000000007</v>
      </c>
      <c r="AO1203" s="318">
        <v>67599.999999999971</v>
      </c>
      <c r="AP1203" s="318">
        <v>70359.999999999956</v>
      </c>
      <c r="AQ1203" s="318">
        <v>57572.799999999974</v>
      </c>
      <c r="AR1203" s="318">
        <v>59079.999999999985</v>
      </c>
      <c r="AS1203" s="318">
        <v>39339.999999999978</v>
      </c>
      <c r="AT1203" s="318">
        <v>15060.000000000002</v>
      </c>
      <c r="AU1203" s="318">
        <v>12323.999999999956</v>
      </c>
      <c r="AV1203" s="318">
        <f ca="1">Calc!Z6</f>
        <v>12323.999999999956</v>
      </c>
      <c r="AX1203" s="88" t="str">
        <f t="shared" ca="1" si="98"/>
        <v>AMZN</v>
      </c>
    </row>
    <row r="1204" spans="1:50" ht="24" customHeight="1" x14ac:dyDescent="0.3">
      <c r="A1204" s="88" t="str">
        <f t="shared" ca="1" si="101"/>
        <v>ALDNE</v>
      </c>
      <c r="C1204" s="1">
        <v>7</v>
      </c>
      <c r="F1204" s="243">
        <v>1.0415000000000001</v>
      </c>
      <c r="G1204" s="243">
        <v>1.0416000000000001</v>
      </c>
      <c r="H1204" s="243">
        <v>1.0415000000000001</v>
      </c>
      <c r="I1204" s="243">
        <v>1.0349999999999999</v>
      </c>
      <c r="J1204" s="243">
        <v>1.0349999999999999</v>
      </c>
      <c r="K1204" s="243">
        <v>1.0337000000000001</v>
      </c>
      <c r="L1204" s="243">
        <v>1.0339</v>
      </c>
      <c r="M1204" s="243">
        <v>1.0339</v>
      </c>
      <c r="N1204" s="243">
        <v>1.0339</v>
      </c>
      <c r="O1204" s="243">
        <v>1.0339</v>
      </c>
      <c r="P1204" s="243">
        <v>1.0333000000000001</v>
      </c>
      <c r="Q1204" s="243">
        <v>1.0294000000000001</v>
      </c>
      <c r="R1204" s="243">
        <v>1.0219</v>
      </c>
      <c r="S1204" s="243">
        <v>0.96289999999999998</v>
      </c>
      <c r="T1204" s="243">
        <v>0.95879999999999999</v>
      </c>
      <c r="U1204" s="243">
        <v>0.95520000000000005</v>
      </c>
      <c r="V1204" s="243">
        <v>0.95709999999999995</v>
      </c>
      <c r="W1204" s="243">
        <v>0.95879999999999999</v>
      </c>
      <c r="X1204" s="243">
        <v>0.96430000000000005</v>
      </c>
      <c r="Y1204" s="243">
        <v>0.97</v>
      </c>
      <c r="Z1204" s="245">
        <f ca="1">[1]ExtEntry!$R7</f>
        <v>0.97</v>
      </c>
      <c r="AB1204" s="318">
        <v>-1350.0000000000011</v>
      </c>
      <c r="AC1204" s="318">
        <v>-1380.0000000000011</v>
      </c>
      <c r="AD1204" s="318">
        <v>-1500.0000000000014</v>
      </c>
      <c r="AE1204" s="318">
        <v>-1500.0000000000014</v>
      </c>
      <c r="AF1204" s="318">
        <v>-1650.0000000000014</v>
      </c>
      <c r="AG1204" s="318">
        <v>-1500.0000000000014</v>
      </c>
      <c r="AH1204" s="318">
        <v>-1350.0000000000011</v>
      </c>
      <c r="AI1204" s="318">
        <v>-1350.0000000000011</v>
      </c>
      <c r="AJ1204" s="318">
        <v>-1380.0000000000011</v>
      </c>
      <c r="AK1204" s="318">
        <v>-1560.0000000000014</v>
      </c>
      <c r="AL1204" s="318">
        <v>-1680.0000000000016</v>
      </c>
      <c r="AM1204" s="318">
        <v>-1650.0000000000014</v>
      </c>
      <c r="AN1204" s="318">
        <v>-1800</v>
      </c>
      <c r="AO1204" s="318">
        <v>-2130</v>
      </c>
      <c r="AP1204" s="318">
        <v>-2100</v>
      </c>
      <c r="AQ1204" s="318">
        <v>-2220.0000000000005</v>
      </c>
      <c r="AR1204" s="318">
        <v>-2250.0000000000005</v>
      </c>
      <c r="AS1204" s="318">
        <v>-3960</v>
      </c>
      <c r="AT1204" s="318">
        <v>-3900</v>
      </c>
      <c r="AU1204" s="318">
        <v>-3630.0000000000014</v>
      </c>
      <c r="AV1204" s="318">
        <f ca="1">Calc!Z7</f>
        <v>-3630.0000000000014</v>
      </c>
      <c r="AX1204" s="88" t="str">
        <f t="shared" ca="1" si="98"/>
        <v>ALDNE</v>
      </c>
    </row>
    <row r="1205" spans="1:50" x14ac:dyDescent="0.3">
      <c r="A1205" s="88" t="str">
        <f t="shared" ca="1" si="101"/>
        <v>ASML</v>
      </c>
      <c r="C1205" s="1">
        <v>8</v>
      </c>
      <c r="F1205" s="251">
        <v>1.9578</v>
      </c>
      <c r="G1205" s="251">
        <v>1.9605999999999999</v>
      </c>
      <c r="H1205" s="251">
        <v>1.9593</v>
      </c>
      <c r="I1205" s="251">
        <v>1.962</v>
      </c>
      <c r="J1205" s="251">
        <v>1.962</v>
      </c>
      <c r="K1205" s="251">
        <v>1.9623999999999999</v>
      </c>
      <c r="L1205" s="251">
        <v>1.9639</v>
      </c>
      <c r="M1205" s="251">
        <v>1.9639</v>
      </c>
      <c r="N1205" s="251">
        <v>1.9639</v>
      </c>
      <c r="O1205" s="251">
        <v>1.9639</v>
      </c>
      <c r="P1205" s="251">
        <v>1.9605999999999999</v>
      </c>
      <c r="Q1205" s="251">
        <v>1.9659</v>
      </c>
      <c r="R1205" s="251">
        <v>1.97</v>
      </c>
      <c r="S1205" s="251">
        <v>2.1156000000000001</v>
      </c>
      <c r="T1205" s="251">
        <v>2.1158000000000001</v>
      </c>
      <c r="U1205" s="251">
        <v>2.1168999999999998</v>
      </c>
      <c r="V1205" s="251">
        <v>2.1183000000000001</v>
      </c>
      <c r="W1205" s="251">
        <v>2.1202999999999999</v>
      </c>
      <c r="X1205" s="251">
        <v>2.1173000000000002</v>
      </c>
      <c r="Y1205" s="251">
        <v>2.1166999999999998</v>
      </c>
      <c r="Z1205" s="245">
        <f ca="1">[1]ExtEntry!$R8</f>
        <v>2.1166999999999998</v>
      </c>
      <c r="AB1205" s="318">
        <v>6540.0000000000091</v>
      </c>
      <c r="AC1205" s="318">
        <v>11820.000000000004</v>
      </c>
      <c r="AD1205" s="318">
        <v>12700</v>
      </c>
      <c r="AE1205" s="318">
        <v>12360.000000000015</v>
      </c>
      <c r="AF1205" s="318">
        <v>17020.000000000004</v>
      </c>
      <c r="AG1205" s="318">
        <v>15179.999999999996</v>
      </c>
      <c r="AH1205" s="318">
        <v>11240.000000000009</v>
      </c>
      <c r="AI1205" s="318">
        <v>11240.000000000009</v>
      </c>
      <c r="AJ1205" s="318">
        <v>14760.000000000015</v>
      </c>
      <c r="AK1205" s="318">
        <v>16100</v>
      </c>
      <c r="AL1205" s="318">
        <v>18840.000000000007</v>
      </c>
      <c r="AM1205" s="318">
        <v>18700</v>
      </c>
      <c r="AN1205" s="318">
        <v>24720.000000000004</v>
      </c>
      <c r="AO1205" s="318">
        <v>20820.000000000004</v>
      </c>
      <c r="AP1205" s="318">
        <v>18540.000000000007</v>
      </c>
      <c r="AQ1205" s="318">
        <v>16279.999999999996</v>
      </c>
      <c r="AR1205" s="318">
        <v>11379.999999999996</v>
      </c>
      <c r="AS1205" s="318">
        <v>12040.000000000009</v>
      </c>
      <c r="AT1205" s="318">
        <v>-2730.0000000000068</v>
      </c>
      <c r="AU1205" s="318">
        <v>-10.000000000002274</v>
      </c>
      <c r="AV1205" s="318">
        <f ca="1">Calc!Z8</f>
        <v>-10.000000000002274</v>
      </c>
      <c r="AX1205" s="88" t="str">
        <f t="shared" ca="1" si="98"/>
        <v>ASML</v>
      </c>
    </row>
    <row r="1206" spans="1:50" x14ac:dyDescent="0.3">
      <c r="A1206" s="88" t="str">
        <f t="shared" ca="1" si="101"/>
        <v>AVGO</v>
      </c>
      <c r="C1206" s="1">
        <v>9</v>
      </c>
      <c r="F1206" s="253">
        <v>1.1875</v>
      </c>
      <c r="G1206" s="253">
        <v>1.1926000000000001</v>
      </c>
      <c r="H1206" s="253">
        <v>1.1911</v>
      </c>
      <c r="I1206" s="253">
        <v>1.1914</v>
      </c>
      <c r="J1206" s="253">
        <v>1.1914</v>
      </c>
      <c r="K1206" s="253">
        <v>1.1951000000000001</v>
      </c>
      <c r="L1206" s="253">
        <v>1.1960999999999999</v>
      </c>
      <c r="M1206" s="253">
        <v>1.1960999999999999</v>
      </c>
      <c r="N1206" s="253">
        <v>1.1960999999999999</v>
      </c>
      <c r="O1206" s="253">
        <v>1.1960999999999999</v>
      </c>
      <c r="P1206" s="253">
        <v>1.1964999999999999</v>
      </c>
      <c r="Q1206" s="253">
        <v>1.2004999999999999</v>
      </c>
      <c r="R1206" s="253">
        <v>1.2107000000000001</v>
      </c>
      <c r="S1206" s="253">
        <v>1.214</v>
      </c>
      <c r="T1206" s="253">
        <v>1.2219</v>
      </c>
      <c r="U1206" s="253">
        <v>1.2176</v>
      </c>
      <c r="V1206" s="253">
        <v>1.2213000000000001</v>
      </c>
      <c r="W1206" s="253">
        <v>1.2309000000000001</v>
      </c>
      <c r="X1206" s="253">
        <v>1.2294</v>
      </c>
      <c r="Y1206" s="253">
        <v>1.2342</v>
      </c>
      <c r="Z1206" s="245">
        <f ca="1">[1]ExtEntry!$R9</f>
        <v>1.2342</v>
      </c>
      <c r="AB1206" s="318">
        <v>2625</v>
      </c>
      <c r="AC1206" s="318">
        <v>4023.6000000000054</v>
      </c>
      <c r="AD1206" s="318">
        <v>4729.1999999999962</v>
      </c>
      <c r="AE1206" s="318">
        <v>3716.9999999999977</v>
      </c>
      <c r="AF1206" s="318">
        <v>3698.1000000000031</v>
      </c>
      <c r="AG1206" s="318">
        <v>2316.3000000000061</v>
      </c>
      <c r="AH1206" s="318">
        <v>1820.7000000000035</v>
      </c>
      <c r="AI1206" s="318">
        <v>1820.7000000000035</v>
      </c>
      <c r="AJ1206" s="318">
        <v>2658.6000000000054</v>
      </c>
      <c r="AK1206" s="318">
        <v>4725</v>
      </c>
      <c r="AL1206" s="318">
        <v>6388.2000000000035</v>
      </c>
      <c r="AM1206" s="318">
        <v>8681.4000000000069</v>
      </c>
      <c r="AN1206" s="318">
        <v>9416.4000000000069</v>
      </c>
      <c r="AO1206" s="318">
        <v>4327.8690000000015</v>
      </c>
      <c r="AP1206" s="318">
        <v>5743.5000000000045</v>
      </c>
      <c r="AQ1206" s="318">
        <v>5033.7000000000062</v>
      </c>
      <c r="AR1206" s="318">
        <v>3308.5499999999993</v>
      </c>
      <c r="AS1206" s="318">
        <v>2274.2999999999965</v>
      </c>
      <c r="AT1206" s="318">
        <v>1774.0000000000009</v>
      </c>
      <c r="AU1206" s="318">
        <v>3268.0000000000064</v>
      </c>
      <c r="AV1206" s="318">
        <f ca="1">Calc!Z9</f>
        <v>3268.0000000000064</v>
      </c>
      <c r="AX1206" s="88" t="str">
        <f t="shared" ca="1" si="98"/>
        <v>AVGO</v>
      </c>
    </row>
    <row r="1207" spans="1:50" hidden="1" x14ac:dyDescent="0.3">
      <c r="A1207" s="88" t="str">
        <f t="shared" ca="1" si="101"/>
        <v>AZN</v>
      </c>
      <c r="C1207" s="1">
        <v>10</v>
      </c>
      <c r="F1207" s="251">
        <v>0.32850000000000001</v>
      </c>
      <c r="G1207" s="251">
        <v>0.32579999999999998</v>
      </c>
      <c r="H1207" s="251">
        <v>0.33</v>
      </c>
      <c r="I1207" s="251">
        <v>0.32929999999999998</v>
      </c>
      <c r="J1207" s="251">
        <v>0.32929999999999998</v>
      </c>
      <c r="K1207" s="251">
        <v>0.3387</v>
      </c>
      <c r="L1207" s="251">
        <v>0.33910000000000001</v>
      </c>
      <c r="M1207" s="251">
        <v>0.33910000000000001</v>
      </c>
      <c r="N1207" s="251">
        <v>0.33910000000000001</v>
      </c>
      <c r="O1207" s="251">
        <v>0.33910000000000001</v>
      </c>
      <c r="P1207" s="251">
        <v>0.33900000000000002</v>
      </c>
      <c r="Q1207" s="251">
        <v>0.3528</v>
      </c>
      <c r="R1207" s="251">
        <v>0.35089999999999999</v>
      </c>
      <c r="S1207" s="251">
        <v>0.3382</v>
      </c>
      <c r="T1207" s="251">
        <v>0.3382</v>
      </c>
      <c r="U1207" s="251">
        <v>0.33989999999999998</v>
      </c>
      <c r="V1207" s="251">
        <v>0.33260000000000001</v>
      </c>
      <c r="W1207" s="251">
        <v>0.31950000000000001</v>
      </c>
      <c r="X1207" s="251">
        <v>0.31680000000000003</v>
      </c>
      <c r="Y1207" s="251">
        <v>0.30880000000000002</v>
      </c>
      <c r="Z1207" s="245">
        <f ca="1">[1]ExtEntry!$R10</f>
        <v>0.30880000000000002</v>
      </c>
      <c r="AB1207" s="318">
        <v>7640.0000000000009</v>
      </c>
      <c r="AC1207" s="318">
        <v>7552.4999999999945</v>
      </c>
      <c r="AD1207" s="318">
        <v>6994.9999999999973</v>
      </c>
      <c r="AE1207" s="318">
        <v>7424.9999999999973</v>
      </c>
      <c r="AF1207" s="318">
        <v>7015.0000000000009</v>
      </c>
      <c r="AG1207" s="318">
        <v>6689.9999999999982</v>
      </c>
      <c r="AH1207" s="318">
        <v>6795.0000000000018</v>
      </c>
      <c r="AI1207" s="318">
        <v>6795.0000000000018</v>
      </c>
      <c r="AJ1207" s="318">
        <v>6780.0000000000009</v>
      </c>
      <c r="AK1207" s="318">
        <v>6725.0000000000018</v>
      </c>
      <c r="AL1207" s="318">
        <v>7109.9999999999991</v>
      </c>
      <c r="AM1207" s="318">
        <v>6384.9999999999982</v>
      </c>
      <c r="AN1207" s="318">
        <v>6250</v>
      </c>
      <c r="AO1207" s="318">
        <v>6057.5499999999993</v>
      </c>
      <c r="AP1207" s="318">
        <v>5655.0000000000009</v>
      </c>
      <c r="AQ1207" s="318">
        <v>6927.4999999999945</v>
      </c>
      <c r="AR1207" s="318">
        <v>7357.5000000000018</v>
      </c>
      <c r="AS1207" s="318">
        <v>9629.9999999999964</v>
      </c>
      <c r="AT1207" s="318">
        <v>9854.9999999999964</v>
      </c>
      <c r="AU1207" s="318">
        <v>9565.0499999999993</v>
      </c>
      <c r="AV1207" s="318">
        <f ca="1">Calc!Z10</f>
        <v>9565.0499999999993</v>
      </c>
      <c r="AX1207" s="88" t="str">
        <f t="shared" ca="1" si="98"/>
        <v>AZN</v>
      </c>
    </row>
    <row r="1208" spans="1:50" hidden="1" x14ac:dyDescent="0.3">
      <c r="A1208" s="88" t="str">
        <f t="shared" ca="1" si="101"/>
        <v>BLDP</v>
      </c>
      <c r="C1208" s="1">
        <v>11</v>
      </c>
      <c r="F1208" s="251">
        <v>1.9704999999999999</v>
      </c>
      <c r="G1208" s="251">
        <v>1.8653</v>
      </c>
      <c r="H1208" s="251">
        <v>1.9767999999999999</v>
      </c>
      <c r="I1208" s="251">
        <v>1.9931000000000001</v>
      </c>
      <c r="J1208" s="251">
        <v>1.9931000000000001</v>
      </c>
      <c r="K1208" s="251">
        <v>1.9383999999999999</v>
      </c>
      <c r="L1208" s="251">
        <v>1.9851000000000001</v>
      </c>
      <c r="M1208" s="251">
        <v>1.9851000000000001</v>
      </c>
      <c r="N1208" s="251">
        <v>1.9228000000000001</v>
      </c>
      <c r="O1208" s="251">
        <v>1.9228000000000001</v>
      </c>
      <c r="P1208" s="251">
        <v>1.9281999999999999</v>
      </c>
      <c r="Q1208" s="251">
        <v>1.9781</v>
      </c>
      <c r="R1208" s="251">
        <v>1.9866999999999999</v>
      </c>
      <c r="S1208" s="251">
        <v>1.7123999999999999</v>
      </c>
      <c r="T1208" s="251">
        <v>1.7142999999999999</v>
      </c>
      <c r="U1208" s="251">
        <v>1.6777</v>
      </c>
      <c r="V1208" s="251">
        <v>1.7018</v>
      </c>
      <c r="W1208" s="251">
        <v>1.7003999999999999</v>
      </c>
      <c r="X1208" s="251">
        <v>1.7289000000000001</v>
      </c>
      <c r="Y1208" s="251">
        <v>1.7453000000000001</v>
      </c>
      <c r="Z1208" s="245">
        <f ca="1">[1]ExtEntry!$R11</f>
        <v>1.7453000000000001</v>
      </c>
      <c r="AB1208" s="318">
        <v>6779.9999999999991</v>
      </c>
      <c r="AC1208" s="318">
        <v>5549.9999999999991</v>
      </c>
      <c r="AD1208" s="318">
        <v>4919.9999999999991</v>
      </c>
      <c r="AE1208" s="318">
        <v>4679.9999999999991</v>
      </c>
      <c r="AF1208" s="318">
        <v>4740</v>
      </c>
      <c r="AG1208" s="318">
        <v>2880</v>
      </c>
      <c r="AH1208" s="318">
        <v>2579.9999999999982</v>
      </c>
      <c r="AI1208" s="318">
        <v>2579.9999999999982</v>
      </c>
      <c r="AJ1208" s="318">
        <v>2579.9999999999982</v>
      </c>
      <c r="AK1208" s="318">
        <v>3539.9999999999991</v>
      </c>
      <c r="AL1208" s="318">
        <v>3360.0000000000005</v>
      </c>
      <c r="AM1208" s="318">
        <v>3539.9999999999991</v>
      </c>
      <c r="AN1208" s="318">
        <v>3539.9999999999991</v>
      </c>
      <c r="AO1208" s="318">
        <v>3269.9999999999995</v>
      </c>
      <c r="AP1208" s="318">
        <v>4799.9999999999991</v>
      </c>
      <c r="AQ1208" s="318">
        <v>4319.9999999999982</v>
      </c>
      <c r="AR1208" s="318">
        <v>3809.9999999999986</v>
      </c>
      <c r="AS1208" s="318">
        <v>1079.9999999999982</v>
      </c>
      <c r="AT1208" s="318">
        <v>240.00000000000023</v>
      </c>
      <c r="AU1208" s="318">
        <v>-48.000000000000043</v>
      </c>
      <c r="AV1208" s="318">
        <f ca="1">Calc!Z11</f>
        <v>-48.000000000000043</v>
      </c>
      <c r="AX1208" s="88" t="str">
        <f t="shared" ca="1" si="98"/>
        <v>BLDP</v>
      </c>
    </row>
    <row r="1209" spans="1:50" hidden="1" x14ac:dyDescent="0.3">
      <c r="A1209" s="88" t="str">
        <f t="shared" ca="1" si="101"/>
        <v>BMRA</v>
      </c>
      <c r="C1209" s="1">
        <v>12</v>
      </c>
      <c r="F1209" s="251">
        <v>0.27460000000000001</v>
      </c>
      <c r="G1209" s="251">
        <v>0.2697</v>
      </c>
      <c r="H1209" s="251">
        <v>0.27229999999999999</v>
      </c>
      <c r="I1209" s="251">
        <v>0.2661</v>
      </c>
      <c r="J1209" s="251">
        <v>0.2661</v>
      </c>
      <c r="K1209" s="251">
        <v>0.27079999999999999</v>
      </c>
      <c r="L1209" s="251">
        <v>0.26950000000000002</v>
      </c>
      <c r="M1209" s="251">
        <v>0.26950000000000002</v>
      </c>
      <c r="N1209" s="251">
        <v>0.26950000000000002</v>
      </c>
      <c r="O1209" s="251">
        <v>0.26950000000000002</v>
      </c>
      <c r="P1209" s="251">
        <v>0.27429999999999999</v>
      </c>
      <c r="Q1209" s="251">
        <v>0.2853</v>
      </c>
      <c r="R1209" s="251">
        <v>0.2782</v>
      </c>
      <c r="S1209" s="251">
        <v>4.6899999999999997E-2</v>
      </c>
      <c r="T1209" s="251">
        <v>6.2199999999999998E-2</v>
      </c>
      <c r="U1209" s="251">
        <v>5.3999999999999999E-2</v>
      </c>
      <c r="V1209" s="251">
        <v>6.0999999999999999E-2</v>
      </c>
      <c r="W1209" s="251">
        <v>6.4000000000000001E-2</v>
      </c>
      <c r="X1209" s="251">
        <v>8.2199999999999995E-2</v>
      </c>
      <c r="Y1209" s="251">
        <v>9.7900000000000001E-2</v>
      </c>
      <c r="Z1209" s="245">
        <f ca="1">[1]ExtEntry!$R12</f>
        <v>9.7900000000000001E-2</v>
      </c>
      <c r="AB1209" s="318">
        <v>-122995.00000000001</v>
      </c>
      <c r="AC1209" s="318">
        <v>-123245</v>
      </c>
      <c r="AD1209" s="318">
        <v>-121370</v>
      </c>
      <c r="AE1209" s="318">
        <v>-121744.99999999999</v>
      </c>
      <c r="AF1209" s="318">
        <v>-119994.99999999999</v>
      </c>
      <c r="AG1209" s="318">
        <v>-118995</v>
      </c>
      <c r="AH1209" s="318">
        <v>-122370</v>
      </c>
      <c r="AI1209" s="318">
        <v>-122370</v>
      </c>
      <c r="AJ1209" s="318">
        <v>-122620</v>
      </c>
      <c r="AK1209" s="318">
        <v>-121994.99999999999</v>
      </c>
      <c r="AL1209" s="318">
        <v>-121994.99999999999</v>
      </c>
      <c r="AM1209" s="318">
        <v>-122370</v>
      </c>
      <c r="AN1209" s="318">
        <v>-124495</v>
      </c>
      <c r="AO1209" s="318">
        <v>-127994.99999999999</v>
      </c>
      <c r="AP1209" s="318">
        <v>-126745</v>
      </c>
      <c r="AQ1209" s="318">
        <v>-127119.99999999999</v>
      </c>
      <c r="AR1209" s="318">
        <v>-127776.24999999999</v>
      </c>
      <c r="AS1209" s="318">
        <v>-128870</v>
      </c>
      <c r="AT1209" s="318">
        <v>-130870</v>
      </c>
      <c r="AU1209" s="318">
        <v>-131307.5</v>
      </c>
      <c r="AV1209" s="318">
        <f ca="1">Calc!Z12</f>
        <v>-131307.5</v>
      </c>
      <c r="AX1209" s="88" t="str">
        <f t="shared" ca="1" si="98"/>
        <v>BMRA</v>
      </c>
    </row>
    <row r="1210" spans="1:50" hidden="1" x14ac:dyDescent="0.3">
      <c r="A1210" s="88" t="str">
        <f t="shared" ca="1" si="101"/>
        <v>C</v>
      </c>
      <c r="C1210" s="1">
        <v>13</v>
      </c>
      <c r="F1210" s="251">
        <v>1.3635999999999999</v>
      </c>
      <c r="G1210" s="251">
        <v>1.3579000000000001</v>
      </c>
      <c r="H1210" s="251">
        <v>1.3584000000000001</v>
      </c>
      <c r="I1210" s="251">
        <v>1.3620000000000001</v>
      </c>
      <c r="J1210" s="251">
        <v>1.3620000000000001</v>
      </c>
      <c r="K1210" s="251">
        <v>1.3582000000000001</v>
      </c>
      <c r="L1210" s="251">
        <v>1.3587</v>
      </c>
      <c r="M1210" s="251">
        <v>1.3587</v>
      </c>
      <c r="N1210" s="251">
        <v>1.3587</v>
      </c>
      <c r="O1210" s="251">
        <v>1.3587</v>
      </c>
      <c r="P1210" s="251">
        <v>1.3595999999999999</v>
      </c>
      <c r="Q1210" s="251">
        <v>1.3512</v>
      </c>
      <c r="R1210" s="251">
        <v>1.3473999999999999</v>
      </c>
      <c r="S1210" s="251">
        <v>1.1977</v>
      </c>
      <c r="T1210" s="251">
        <v>1.1959</v>
      </c>
      <c r="U1210" s="251">
        <v>1.1959</v>
      </c>
      <c r="V1210" s="251">
        <v>1.1934</v>
      </c>
      <c r="W1210" s="251">
        <v>1.1949000000000001</v>
      </c>
      <c r="X1210" s="251">
        <v>1.2004999999999999</v>
      </c>
      <c r="Y1210" s="251">
        <v>1.1976</v>
      </c>
      <c r="Z1210" s="245">
        <f ca="1">[1]ExtEntry!$R13</f>
        <v>1.1976</v>
      </c>
      <c r="AB1210" s="318">
        <v>185.3</v>
      </c>
      <c r="AC1210" s="318">
        <v>182.48500000000001</v>
      </c>
      <c r="AD1210" s="318">
        <v>167.65</v>
      </c>
      <c r="AE1210" s="318">
        <v>171.59999999999997</v>
      </c>
      <c r="AF1210" s="318">
        <v>182.70000000000005</v>
      </c>
      <c r="AG1210" s="318">
        <v>177.5</v>
      </c>
      <c r="AH1210" s="318">
        <v>167.84999999999997</v>
      </c>
      <c r="AI1210" s="318">
        <v>167.84999999999997</v>
      </c>
      <c r="AJ1210" s="318">
        <v>169.54999999999998</v>
      </c>
      <c r="AK1210" s="318">
        <v>180.22500000000002</v>
      </c>
      <c r="AL1210" s="318">
        <v>191.34999999999997</v>
      </c>
      <c r="AM1210" s="318">
        <v>193.2</v>
      </c>
      <c r="AN1210" s="318">
        <v>187.45</v>
      </c>
      <c r="AO1210" s="318">
        <v>2.9999999999986926</v>
      </c>
      <c r="AP1210" s="318">
        <v>78.999999999999204</v>
      </c>
      <c r="AQ1210" s="318">
        <v>7.9999999999998295</v>
      </c>
      <c r="AR1210" s="318">
        <v>-41.00000000000108</v>
      </c>
      <c r="AS1210" s="318">
        <v>-63.000000000000966</v>
      </c>
      <c r="AT1210" s="318">
        <v>-261.00000000000136</v>
      </c>
      <c r="AU1210" s="318">
        <v>-133.00000000000125</v>
      </c>
      <c r="AV1210" s="318">
        <f ca="1">Calc!Z13</f>
        <v>-133.00000000000125</v>
      </c>
      <c r="AX1210" s="88" t="str">
        <f t="shared" ca="1" si="98"/>
        <v>C</v>
      </c>
    </row>
    <row r="1211" spans="1:50" hidden="1" x14ac:dyDescent="0.3">
      <c r="A1211" s="88" t="str">
        <f t="shared" ca="1" si="101"/>
        <v>CSCO</v>
      </c>
      <c r="C1211" s="1">
        <v>14</v>
      </c>
      <c r="F1211" s="251">
        <v>0.94720000000000004</v>
      </c>
      <c r="G1211" s="251">
        <v>0.94430000000000003</v>
      </c>
      <c r="H1211" s="251">
        <v>0.94350000000000001</v>
      </c>
      <c r="I1211" s="251">
        <v>0.94199999999999995</v>
      </c>
      <c r="J1211" s="251">
        <v>0.94199999999999995</v>
      </c>
      <c r="K1211" s="251">
        <v>0.94450000000000001</v>
      </c>
      <c r="L1211" s="251">
        <v>0.94440000000000002</v>
      </c>
      <c r="M1211" s="251">
        <v>0.94440000000000002</v>
      </c>
      <c r="N1211" s="251">
        <v>0.94440000000000002</v>
      </c>
      <c r="O1211" s="251">
        <v>0.94440000000000002</v>
      </c>
      <c r="P1211" s="251">
        <v>0.94450000000000001</v>
      </c>
      <c r="Q1211" s="251">
        <v>0.94769999999999999</v>
      </c>
      <c r="R1211" s="251">
        <v>0.9476</v>
      </c>
      <c r="S1211" s="251">
        <v>0.86709999999999998</v>
      </c>
      <c r="T1211" s="251">
        <v>0.86899999999999999</v>
      </c>
      <c r="U1211" s="251">
        <v>0.86990000000000001</v>
      </c>
      <c r="V1211" s="251">
        <v>0.872</v>
      </c>
      <c r="W1211" s="251">
        <v>0.85199999999999998</v>
      </c>
      <c r="X1211" s="251">
        <v>0.85029999999999994</v>
      </c>
      <c r="Y1211" s="251">
        <v>0.84370000000000001</v>
      </c>
      <c r="Z1211" s="245">
        <f ca="1">[1]ExtEntry!$R14</f>
        <v>0.84370000000000001</v>
      </c>
      <c r="AB1211" s="318">
        <v>1459.9999999999936</v>
      </c>
      <c r="AC1211" s="318">
        <v>2224.9999999999945</v>
      </c>
      <c r="AD1211" s="318">
        <v>1890.0000000000005</v>
      </c>
      <c r="AE1211" s="318">
        <v>2929.9999999999927</v>
      </c>
      <c r="AF1211" s="318">
        <v>3450.0000000000027</v>
      </c>
      <c r="AG1211" s="318">
        <v>3519.9999999999959</v>
      </c>
      <c r="AH1211" s="318">
        <v>3459.9999999999936</v>
      </c>
      <c r="AI1211" s="318">
        <v>3459.9999999999936</v>
      </c>
      <c r="AJ1211" s="318">
        <v>3069.9999999999932</v>
      </c>
      <c r="AK1211" s="318">
        <v>3429.9999999999927</v>
      </c>
      <c r="AL1211" s="318">
        <v>4189.9999999999982</v>
      </c>
      <c r="AM1211" s="318">
        <v>5420.0000000000018</v>
      </c>
      <c r="AN1211" s="318">
        <v>5709.9999999999936</v>
      </c>
      <c r="AO1211" s="318">
        <v>5204.9999999999982</v>
      </c>
      <c r="AP1211" s="318">
        <v>4899.9999999999918</v>
      </c>
      <c r="AQ1211" s="318">
        <v>3954.9999999999982</v>
      </c>
      <c r="AR1211" s="318">
        <v>3724.9999999999945</v>
      </c>
      <c r="AS1211" s="318">
        <v>10799.999999999996</v>
      </c>
      <c r="AT1211" s="318">
        <v>10170.000000000002</v>
      </c>
      <c r="AU1211" s="318">
        <v>11073.599999999999</v>
      </c>
      <c r="AV1211" s="318">
        <f ca="1">Calc!Z14</f>
        <v>11073.599999999999</v>
      </c>
      <c r="AX1211" s="88" t="str">
        <f t="shared" ca="1" si="98"/>
        <v>CSCO</v>
      </c>
    </row>
    <row r="1212" spans="1:50" hidden="1" x14ac:dyDescent="0.3">
      <c r="A1212" s="88" t="str">
        <f t="shared" ca="1" si="101"/>
        <v>CVS</v>
      </c>
      <c r="C1212" s="1">
        <v>15</v>
      </c>
      <c r="F1212" s="251">
        <v>0.59570000000000001</v>
      </c>
      <c r="G1212" s="251">
        <v>0.59240000000000004</v>
      </c>
      <c r="H1212" s="251">
        <v>0.59289999999999998</v>
      </c>
      <c r="I1212" s="251">
        <v>0.58889999999999998</v>
      </c>
      <c r="J1212" s="251">
        <v>0.58889999999999998</v>
      </c>
      <c r="K1212" s="251">
        <v>0.59750000000000003</v>
      </c>
      <c r="L1212" s="251">
        <v>0.59709999999999996</v>
      </c>
      <c r="M1212" s="251">
        <v>0.59709999999999996</v>
      </c>
      <c r="N1212" s="251">
        <v>0.59709999999999996</v>
      </c>
      <c r="O1212" s="251">
        <v>0.59709999999999996</v>
      </c>
      <c r="P1212" s="251">
        <v>0.5978</v>
      </c>
      <c r="Q1212" s="251">
        <v>0.61099999999999999</v>
      </c>
      <c r="R1212" s="251">
        <v>0.60880000000000001</v>
      </c>
      <c r="S1212" s="251">
        <v>0.48220000000000002</v>
      </c>
      <c r="T1212" s="251">
        <v>0.48180000000000001</v>
      </c>
      <c r="U1212" s="251">
        <v>0.48120000000000002</v>
      </c>
      <c r="V1212" s="251">
        <v>0.47870000000000001</v>
      </c>
      <c r="W1212" s="251">
        <v>0.47760000000000002</v>
      </c>
      <c r="X1212" s="251">
        <v>0.48</v>
      </c>
      <c r="Y1212" s="251">
        <v>0.47970000000000002</v>
      </c>
      <c r="Z1212" s="245">
        <f ca="1">[1]ExtEntry!$R15</f>
        <v>0.47970000000000002</v>
      </c>
      <c r="AB1212" s="318">
        <v>23.623810000000006</v>
      </c>
      <c r="AC1212" s="318">
        <v>25.053809999999999</v>
      </c>
      <c r="AD1212" s="318">
        <v>25.343810000000005</v>
      </c>
      <c r="AE1212" s="318">
        <v>26.463809999999995</v>
      </c>
      <c r="AF1212" s="318">
        <v>26.393810000000002</v>
      </c>
      <c r="AG1212" s="318">
        <v>26.963809999999995</v>
      </c>
      <c r="AH1212" s="318">
        <v>25.983810000000005</v>
      </c>
      <c r="AI1212" s="318">
        <v>25.983810000000005</v>
      </c>
      <c r="AJ1212" s="318">
        <v>25.013809999999992</v>
      </c>
      <c r="AK1212" s="318">
        <v>25.843810000000005</v>
      </c>
      <c r="AL1212" s="318">
        <v>26.388809999999992</v>
      </c>
      <c r="AM1212" s="318">
        <v>26.133809999999997</v>
      </c>
      <c r="AN1212" s="318">
        <v>20.633809999999997</v>
      </c>
      <c r="AO1212" s="318">
        <v>22.053809999999999</v>
      </c>
      <c r="AP1212" s="318">
        <v>22.503810000000001</v>
      </c>
      <c r="AQ1212" s="318">
        <v>22.673810000000003</v>
      </c>
      <c r="AR1212" s="318">
        <v>22.783810000000003</v>
      </c>
      <c r="AS1212" s="318">
        <v>21.813810000000004</v>
      </c>
      <c r="AT1212" s="318">
        <v>21.883809999999997</v>
      </c>
      <c r="AU1212" s="318">
        <v>20.363810000000001</v>
      </c>
      <c r="AV1212" s="318">
        <f ca="1">Calc!Z15</f>
        <v>20.363810000000001</v>
      </c>
      <c r="AX1212" s="88" t="str">
        <f t="shared" ca="1" si="98"/>
        <v>CVS</v>
      </c>
    </row>
    <row r="1213" spans="1:50" hidden="1" x14ac:dyDescent="0.3">
      <c r="A1213" s="88" t="str">
        <f t="shared" ca="1" si="101"/>
        <v>DDD</v>
      </c>
      <c r="C1213" s="1">
        <v>16</v>
      </c>
      <c r="F1213" s="251">
        <v>2.1745000000000001</v>
      </c>
      <c r="G1213" s="251">
        <v>2.1745999999999999</v>
      </c>
      <c r="H1213" s="251">
        <v>2.1697000000000002</v>
      </c>
      <c r="I1213" s="251">
        <v>2.1758000000000002</v>
      </c>
      <c r="J1213" s="251">
        <v>2.1758000000000002</v>
      </c>
      <c r="K1213" s="251">
        <v>2.1718000000000002</v>
      </c>
      <c r="L1213" s="251">
        <v>2.1789000000000001</v>
      </c>
      <c r="M1213" s="251">
        <v>2.1789000000000001</v>
      </c>
      <c r="N1213" s="251">
        <v>2.1789000000000001</v>
      </c>
      <c r="O1213" s="251">
        <v>2.1789000000000001</v>
      </c>
      <c r="P1213" s="251">
        <v>2.1852999999999998</v>
      </c>
      <c r="Q1213" s="251">
        <v>2.1855000000000002</v>
      </c>
      <c r="R1213" s="251">
        <v>2.1827999999999999</v>
      </c>
      <c r="S1213" s="251">
        <v>1.8685</v>
      </c>
      <c r="T1213" s="251">
        <v>1.8775999999999999</v>
      </c>
      <c r="U1213" s="251">
        <v>1.8776999999999999</v>
      </c>
      <c r="V1213" s="251">
        <v>1.9112</v>
      </c>
      <c r="W1213" s="251">
        <v>1.9157999999999999</v>
      </c>
      <c r="X1213" s="251">
        <v>1.9231</v>
      </c>
      <c r="Y1213" s="251">
        <v>1.9366000000000001</v>
      </c>
      <c r="Z1213" s="245">
        <f ca="1">[1]ExtEntry!$R16</f>
        <v>1.9366000000000001</v>
      </c>
      <c r="AB1213" s="318">
        <v>23400.000000000004</v>
      </c>
      <c r="AC1213" s="318">
        <v>26800</v>
      </c>
      <c r="AD1213" s="318">
        <v>26999.999999999996</v>
      </c>
      <c r="AE1213" s="318">
        <v>24000</v>
      </c>
      <c r="AF1213" s="318">
        <v>37500.000000000007</v>
      </c>
      <c r="AG1213" s="318">
        <v>29200.000000000004</v>
      </c>
      <c r="AH1213" s="318">
        <v>21900</v>
      </c>
      <c r="AI1213" s="318">
        <v>21900</v>
      </c>
      <c r="AJ1213" s="318">
        <v>23300.000000000004</v>
      </c>
      <c r="AK1213" s="318">
        <v>24300</v>
      </c>
      <c r="AL1213" s="318">
        <v>23300.000000000004</v>
      </c>
      <c r="AM1213" s="318">
        <v>25700</v>
      </c>
      <c r="AN1213" s="318">
        <v>18200</v>
      </c>
      <c r="AO1213" s="318">
        <v>13696.000000000005</v>
      </c>
      <c r="AP1213" s="318">
        <v>13800.000000000004</v>
      </c>
      <c r="AQ1213" s="318">
        <v>7100.0000000000036</v>
      </c>
      <c r="AR1213" s="318">
        <v>6300.0000000000036</v>
      </c>
      <c r="AS1213" s="318">
        <v>5000.0000000000045</v>
      </c>
      <c r="AT1213" s="318">
        <v>3400.0000000000032</v>
      </c>
      <c r="AU1213" s="318">
        <v>2700</v>
      </c>
      <c r="AV1213" s="318">
        <f ca="1">Calc!Z16</f>
        <v>2700</v>
      </c>
      <c r="AX1213" s="88" t="str">
        <f t="shared" ca="1" si="98"/>
        <v>DDD</v>
      </c>
    </row>
    <row r="1214" spans="1:50" hidden="1" x14ac:dyDescent="0.3">
      <c r="A1214" s="88" t="str">
        <f t="shared" ca="1" si="101"/>
        <v>DIS</v>
      </c>
      <c r="C1214" s="1">
        <v>17</v>
      </c>
      <c r="F1214" s="251">
        <v>1.5557000000000001</v>
      </c>
      <c r="G1214" s="251">
        <v>1.5542</v>
      </c>
      <c r="H1214" s="251">
        <v>1.5543</v>
      </c>
      <c r="I1214" s="251">
        <v>1.5552999999999999</v>
      </c>
      <c r="J1214" s="251">
        <v>1.5552999999999999</v>
      </c>
      <c r="K1214" s="251">
        <v>1.5546</v>
      </c>
      <c r="L1214" s="251">
        <v>1.5536000000000001</v>
      </c>
      <c r="M1214" s="251">
        <v>1.5536000000000001</v>
      </c>
      <c r="N1214" s="251">
        <v>1.5536000000000001</v>
      </c>
      <c r="O1214" s="251">
        <v>1.5536000000000001</v>
      </c>
      <c r="P1214" s="251">
        <v>1.5541</v>
      </c>
      <c r="Q1214" s="251">
        <v>1.5483</v>
      </c>
      <c r="R1214" s="251">
        <v>1.5445</v>
      </c>
      <c r="S1214" s="251">
        <v>1.4897</v>
      </c>
      <c r="T1214" s="251">
        <v>1.4863999999999999</v>
      </c>
      <c r="U1214" s="251">
        <v>1.4881</v>
      </c>
      <c r="V1214" s="251">
        <v>1.4843999999999999</v>
      </c>
      <c r="W1214" s="251">
        <v>1.4917</v>
      </c>
      <c r="X1214" s="251">
        <v>1.4956</v>
      </c>
      <c r="Y1214" s="251">
        <v>1.4914000000000001</v>
      </c>
      <c r="Z1214" s="245">
        <f ca="1">[1]ExtEntry!$R17</f>
        <v>1.4914000000000001</v>
      </c>
      <c r="AB1214" s="318">
        <v>-3785.99999999999</v>
      </c>
      <c r="AC1214" s="318">
        <v>-3113.9999999999986</v>
      </c>
      <c r="AD1214" s="318">
        <v>-4801.9999999999982</v>
      </c>
      <c r="AE1214" s="318">
        <v>-4181.9999999999936</v>
      </c>
      <c r="AF1214" s="318">
        <v>-3133.9999999999918</v>
      </c>
      <c r="AG1214" s="318">
        <v>-1269.9999999999932</v>
      </c>
      <c r="AH1214" s="318">
        <v>-2237.9999999999995</v>
      </c>
      <c r="AI1214" s="318">
        <v>-2237.9999999999995</v>
      </c>
      <c r="AJ1214" s="318">
        <v>-2301.9999999999982</v>
      </c>
      <c r="AK1214" s="318">
        <v>-3381.9999999999936</v>
      </c>
      <c r="AL1214" s="318">
        <v>-2869.9999999999932</v>
      </c>
      <c r="AM1214" s="318">
        <v>-3385.99999999999</v>
      </c>
      <c r="AN1214" s="318">
        <v>-3245.9999999999923</v>
      </c>
      <c r="AO1214" s="318">
        <v>-3645.9999999999923</v>
      </c>
      <c r="AP1214" s="318">
        <v>-3645.9999999999923</v>
      </c>
      <c r="AQ1214" s="318">
        <v>-4589.9999999999982</v>
      </c>
      <c r="AR1214" s="318">
        <v>-4133.9999999999918</v>
      </c>
      <c r="AS1214" s="318">
        <v>-8077.9999999999973</v>
      </c>
      <c r="AT1214" s="318">
        <v>-7693.9999999999945</v>
      </c>
      <c r="AU1214" s="318">
        <v>-8477.9999999999964</v>
      </c>
      <c r="AV1214" s="318">
        <f ca="1">Calc!Z17</f>
        <v>-8477.9999999999964</v>
      </c>
      <c r="AX1214" s="88" t="str">
        <f t="shared" ca="1" si="98"/>
        <v>DIS</v>
      </c>
    </row>
    <row r="1215" spans="1:50" hidden="1" x14ac:dyDescent="0.3">
      <c r="A1215" s="88" t="str">
        <f t="shared" ca="1" si="101"/>
        <v>DSY</v>
      </c>
      <c r="C1215" s="1">
        <v>18</v>
      </c>
      <c r="F1215" s="251">
        <v>0.67330000000000001</v>
      </c>
      <c r="G1215" s="251">
        <v>0.67420000000000002</v>
      </c>
      <c r="H1215" s="251">
        <v>0.67320000000000002</v>
      </c>
      <c r="I1215" s="251">
        <v>0.67569999999999997</v>
      </c>
      <c r="J1215" s="251">
        <v>0.67569999999999997</v>
      </c>
      <c r="K1215" s="251">
        <v>0.67879999999999996</v>
      </c>
      <c r="L1215" s="251">
        <v>0.68259999999999998</v>
      </c>
      <c r="M1215" s="251">
        <v>0.68259999999999998</v>
      </c>
      <c r="N1215" s="251">
        <v>0.68330000000000002</v>
      </c>
      <c r="O1215" s="251">
        <v>0.68330000000000002</v>
      </c>
      <c r="P1215" s="251">
        <v>0.68200000000000005</v>
      </c>
      <c r="Q1215" s="251">
        <v>0.64359999999999995</v>
      </c>
      <c r="R1215" s="251">
        <v>0.63800000000000001</v>
      </c>
      <c r="S1215" s="251">
        <v>0.78769999999999996</v>
      </c>
      <c r="T1215" s="251">
        <v>0.78910000000000002</v>
      </c>
      <c r="U1215" s="251">
        <v>0.78969999999999996</v>
      </c>
      <c r="V1215" s="251">
        <v>0.79359999999999997</v>
      </c>
      <c r="W1215" s="251">
        <v>0.78610000000000002</v>
      </c>
      <c r="X1215" s="251">
        <v>0.7883</v>
      </c>
      <c r="Y1215" s="251">
        <v>0.79759999999999998</v>
      </c>
      <c r="Z1215" s="245">
        <f ca="1">[1]ExtEntry!$R18</f>
        <v>0.79759999999999998</v>
      </c>
      <c r="AB1215" s="318">
        <v>3420.0000000000018</v>
      </c>
      <c r="AC1215" s="318">
        <v>4479.9999999999973</v>
      </c>
      <c r="AD1215" s="318">
        <v>5479.9999999999973</v>
      </c>
      <c r="AE1215" s="318">
        <v>5379.9999999999955</v>
      </c>
      <c r="AF1215" s="318">
        <v>6280.0000000000009</v>
      </c>
      <c r="AG1215" s="318">
        <v>7259.9999999999982</v>
      </c>
      <c r="AH1215" s="318">
        <v>6960.0000000000009</v>
      </c>
      <c r="AI1215" s="318">
        <v>6960.0000000000009</v>
      </c>
      <c r="AJ1215" s="318">
        <v>-859.99999999999943</v>
      </c>
      <c r="AK1215" s="318">
        <v>-1899.9999999999986</v>
      </c>
      <c r="AL1215" s="318">
        <v>-2460.0000000000009</v>
      </c>
      <c r="AM1215" s="318">
        <v>-3340.0000000000036</v>
      </c>
      <c r="AN1215" s="318">
        <v>-4180</v>
      </c>
      <c r="AO1215" s="318">
        <v>-5200.0000000000027</v>
      </c>
      <c r="AP1215" s="318">
        <v>-5320</v>
      </c>
      <c r="AQ1215" s="318">
        <v>-6759.9999999999982</v>
      </c>
      <c r="AR1215" s="318">
        <v>-6600.0000000000018</v>
      </c>
      <c r="AS1215" s="318">
        <v>-5300.0000000000045</v>
      </c>
      <c r="AT1215" s="318">
        <v>-6939.9999999999982</v>
      </c>
      <c r="AU1215" s="318">
        <v>-6520.0000000000027</v>
      </c>
      <c r="AV1215" s="318">
        <f ca="1">Calc!Z18</f>
        <v>-6520.0000000000027</v>
      </c>
      <c r="AX1215" s="88" t="str">
        <f t="shared" ca="1" si="98"/>
        <v>DSY</v>
      </c>
    </row>
    <row r="1216" spans="1:50" hidden="1" x14ac:dyDescent="0.3">
      <c r="A1216" s="88" t="str">
        <f t="shared" ca="1" si="101"/>
        <v>DVA</v>
      </c>
      <c r="C1216" s="1">
        <v>19</v>
      </c>
      <c r="F1216" s="251">
        <v>1.1466000000000001</v>
      </c>
      <c r="G1216" s="251">
        <v>1.1437999999999999</v>
      </c>
      <c r="H1216" s="251">
        <v>1.1437999999999999</v>
      </c>
      <c r="I1216" s="251">
        <v>1.1440999999999999</v>
      </c>
      <c r="J1216" s="251">
        <v>1.1440999999999999</v>
      </c>
      <c r="K1216" s="251">
        <v>1.1399999999999999</v>
      </c>
      <c r="L1216" s="251">
        <v>1.1397999999999999</v>
      </c>
      <c r="M1216" s="251">
        <v>1.1397999999999999</v>
      </c>
      <c r="N1216" s="251">
        <v>1.1397999999999999</v>
      </c>
      <c r="O1216" s="251">
        <v>1.1397999999999999</v>
      </c>
      <c r="P1216" s="251">
        <v>1.1395999999999999</v>
      </c>
      <c r="Q1216" s="251">
        <v>1.1314</v>
      </c>
      <c r="R1216" s="251">
        <v>1.127</v>
      </c>
      <c r="S1216" s="251">
        <v>0.99390000000000001</v>
      </c>
      <c r="T1216" s="251">
        <v>0.98980000000000001</v>
      </c>
      <c r="U1216" s="251">
        <v>0.98950000000000005</v>
      </c>
      <c r="V1216" s="251">
        <v>0.98299999999999998</v>
      </c>
      <c r="W1216" s="251">
        <v>0.98160000000000003</v>
      </c>
      <c r="X1216" s="251">
        <v>0.99280000000000002</v>
      </c>
      <c r="Y1216" s="251">
        <v>0.99129999999999996</v>
      </c>
      <c r="Z1216" s="245">
        <f ca="1">[1]ExtEntry!$R19</f>
        <v>0.99129999999999996</v>
      </c>
      <c r="AB1216" s="318">
        <v>-191.20000000000346</v>
      </c>
      <c r="AC1216" s="318">
        <v>-125.99999999999909</v>
      </c>
      <c r="AD1216" s="318">
        <v>-736.00000000000136</v>
      </c>
      <c r="AE1216" s="318">
        <v>-484.00000000000318</v>
      </c>
      <c r="AF1216" s="318">
        <v>384.00000000000318</v>
      </c>
      <c r="AG1216" s="318">
        <v>527.99999999999727</v>
      </c>
      <c r="AH1216" s="318">
        <v>796.00000000000364</v>
      </c>
      <c r="AI1216" s="318">
        <v>796.00000000000364</v>
      </c>
      <c r="AJ1216" s="318">
        <v>372.00000000000273</v>
      </c>
      <c r="AK1216" s="318">
        <v>839.99999999999773</v>
      </c>
      <c r="AL1216" s="318">
        <v>969.99999999999318</v>
      </c>
      <c r="AM1216" s="318">
        <v>1008.0000000000041</v>
      </c>
      <c r="AN1216" s="318">
        <v>-3360.0000000000023</v>
      </c>
      <c r="AO1216" s="318">
        <v>2335.99999999999</v>
      </c>
      <c r="AP1216" s="318">
        <v>3967.9999999999836</v>
      </c>
      <c r="AQ1216" s="318">
        <v>5023.9999999999782</v>
      </c>
      <c r="AR1216" s="318">
        <v>6502.9999999999945</v>
      </c>
      <c r="AS1216" s="318">
        <v>1988.0000000000023</v>
      </c>
      <c r="AT1216" s="318">
        <v>-5011.9999999999973</v>
      </c>
      <c r="AU1216" s="318">
        <v>-6978.9999999999991</v>
      </c>
      <c r="AV1216" s="318">
        <f ca="1">Calc!Z19</f>
        <v>-6978.9999999999991</v>
      </c>
      <c r="AX1216" s="88" t="str">
        <f t="shared" ca="1" si="98"/>
        <v>DVA</v>
      </c>
    </row>
    <row r="1217" spans="1:50" hidden="1" x14ac:dyDescent="0.3">
      <c r="A1217" s="88" t="str">
        <f t="shared" ca="1" si="101"/>
        <v>DXC</v>
      </c>
      <c r="C1217" s="1">
        <v>20</v>
      </c>
      <c r="F1217" s="251">
        <v>1.1533</v>
      </c>
      <c r="G1217" s="251">
        <v>1.1519999999999999</v>
      </c>
      <c r="H1217" s="251">
        <v>1.1546000000000001</v>
      </c>
      <c r="I1217" s="251">
        <v>1.1571</v>
      </c>
      <c r="J1217" s="251">
        <v>1.1571</v>
      </c>
      <c r="K1217" s="251">
        <v>1.1538999999999999</v>
      </c>
      <c r="L1217" s="251">
        <v>1.1529</v>
      </c>
      <c r="M1217" s="251">
        <v>1.1529</v>
      </c>
      <c r="N1217" s="251">
        <v>1.1529</v>
      </c>
      <c r="O1217" s="251">
        <v>1.1529</v>
      </c>
      <c r="P1217" s="251">
        <v>1.1529</v>
      </c>
      <c r="Q1217" s="251">
        <v>1.1479999999999999</v>
      </c>
      <c r="R1217" s="251">
        <v>1.1444000000000001</v>
      </c>
      <c r="S1217" s="251">
        <v>1.0912999999999999</v>
      </c>
      <c r="T1217" s="251">
        <v>1.0907</v>
      </c>
      <c r="U1217" s="251">
        <v>1.0875999999999999</v>
      </c>
      <c r="V1217" s="251">
        <v>1.0882000000000001</v>
      </c>
      <c r="W1217" s="251">
        <v>1.0939000000000001</v>
      </c>
      <c r="X1217" s="251">
        <v>1.1083000000000001</v>
      </c>
      <c r="Y1217" s="251">
        <v>1.1175999999999999</v>
      </c>
      <c r="Z1217" s="245">
        <f ca="1">[1]ExtEntry!$R20</f>
        <v>1.1175999999999999</v>
      </c>
      <c r="AB1217" s="318">
        <v>-4660.0000000000036</v>
      </c>
      <c r="AC1217" s="318">
        <v>-5399.9999999999982</v>
      </c>
      <c r="AD1217" s="318">
        <v>-6640.0000000000009</v>
      </c>
      <c r="AE1217" s="318">
        <v>-6520.0000000000027</v>
      </c>
      <c r="AF1217" s="318">
        <v>-5940.0000000000045</v>
      </c>
      <c r="AG1217" s="318">
        <v>-4820</v>
      </c>
      <c r="AH1217" s="318">
        <v>-4840.0000000000036</v>
      </c>
      <c r="AI1217" s="318">
        <v>-4840.0000000000036</v>
      </c>
      <c r="AJ1217" s="318">
        <v>-4440.0000000000045</v>
      </c>
      <c r="AK1217" s="318">
        <v>-3760.000000000005</v>
      </c>
      <c r="AL1217" s="318">
        <v>-4200.0000000000027</v>
      </c>
      <c r="AM1217" s="318">
        <v>-4480.0000000000036</v>
      </c>
      <c r="AN1217" s="318">
        <v>-6160.0000000000036</v>
      </c>
      <c r="AO1217" s="318">
        <v>-3700.0000000000027</v>
      </c>
      <c r="AP1217" s="318">
        <v>-2679.9999999999995</v>
      </c>
      <c r="AQ1217" s="318">
        <v>-2980.0000000000041</v>
      </c>
      <c r="AR1217" s="318">
        <v>-5219.9999999999991</v>
      </c>
      <c r="AS1217" s="318">
        <v>-6280.0000000000009</v>
      </c>
      <c r="AT1217" s="318">
        <v>-9040</v>
      </c>
      <c r="AU1217" s="318">
        <v>-9480.0000000000036</v>
      </c>
      <c r="AV1217" s="318">
        <f ca="1">Calc!Z20</f>
        <v>-9480.0000000000036</v>
      </c>
      <c r="AX1217" s="88" t="str">
        <f t="shared" ca="1" si="98"/>
        <v>DXC</v>
      </c>
    </row>
    <row r="1218" spans="1:50" hidden="1" x14ac:dyDescent="0.3">
      <c r="A1218" s="88" t="str">
        <f t="shared" ca="1" si="101"/>
        <v>EOAN</v>
      </c>
      <c r="C1218" s="1">
        <v>21</v>
      </c>
      <c r="F1218" s="251">
        <v>0.72060000000000002</v>
      </c>
      <c r="G1218" s="251">
        <v>0.72050000000000003</v>
      </c>
      <c r="H1218" s="251">
        <v>0.72060000000000002</v>
      </c>
      <c r="I1218" s="251">
        <v>0.72060000000000002</v>
      </c>
      <c r="J1218" s="251">
        <v>0.72060000000000002</v>
      </c>
      <c r="K1218" s="251">
        <v>0.71760000000000002</v>
      </c>
      <c r="L1218" s="251">
        <v>0.72070000000000001</v>
      </c>
      <c r="M1218" s="251">
        <v>0.72070000000000001</v>
      </c>
      <c r="N1218" s="251">
        <v>0.72070000000000001</v>
      </c>
      <c r="O1218" s="251">
        <v>0.72070000000000001</v>
      </c>
      <c r="P1218" s="251">
        <v>0.72009999999999996</v>
      </c>
      <c r="Q1218" s="251">
        <v>0.72040000000000004</v>
      </c>
      <c r="R1218" s="251">
        <v>0.72060000000000002</v>
      </c>
      <c r="S1218" s="251">
        <v>0.85270000000000001</v>
      </c>
      <c r="T1218" s="251">
        <v>0.85360000000000003</v>
      </c>
      <c r="U1218" s="251">
        <v>0.85350000000000004</v>
      </c>
      <c r="V1218" s="251">
        <v>0.85299999999999998</v>
      </c>
      <c r="W1218" s="251">
        <v>0.84770000000000001</v>
      </c>
      <c r="X1218" s="251">
        <v>0.8599</v>
      </c>
      <c r="Y1218" s="251">
        <v>0.86180000000000001</v>
      </c>
      <c r="Z1218" s="245">
        <f ca="1">[1]ExtEntry!$R21</f>
        <v>0.86180000000000001</v>
      </c>
      <c r="AB1218" s="318">
        <v>874.50000000000091</v>
      </c>
      <c r="AC1218" s="318">
        <v>781</v>
      </c>
      <c r="AD1218" s="318">
        <v>808.50000000000034</v>
      </c>
      <c r="AE1218" s="318">
        <v>819.50000000000011</v>
      </c>
      <c r="AF1218" s="318">
        <v>902.00000000000125</v>
      </c>
      <c r="AG1218" s="318">
        <v>871.74999999999955</v>
      </c>
      <c r="AH1218" s="318">
        <v>726.00000000000114</v>
      </c>
      <c r="AI1218" s="318">
        <v>726.00000000000114</v>
      </c>
      <c r="AJ1218" s="318">
        <v>660.00000000000057</v>
      </c>
      <c r="AK1218" s="318">
        <v>703.99999999999966</v>
      </c>
      <c r="AL1218" s="318">
        <v>723.24999999999977</v>
      </c>
      <c r="AM1218" s="318">
        <v>802.99999999999955</v>
      </c>
      <c r="AN1218" s="318">
        <v>811.24999999999977</v>
      </c>
      <c r="AO1218" s="318">
        <v>533.50000000000034</v>
      </c>
      <c r="AP1218" s="318">
        <v>144.5000000000226</v>
      </c>
      <c r="AQ1218" s="318">
        <v>577.99999999998772</v>
      </c>
      <c r="AR1218" s="318">
        <v>939.25000000001853</v>
      </c>
      <c r="AS1218" s="318">
        <v>-11487.749999999998</v>
      </c>
      <c r="AT1218" s="318">
        <v>-11704.499999999982</v>
      </c>
      <c r="AU1218" s="318">
        <v>-10692.999999999978</v>
      </c>
      <c r="AV1218" s="318">
        <f ca="1">Calc!Z21</f>
        <v>-10692.999999999978</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1.4162999999999999</v>
      </c>
      <c r="G1220" s="251">
        <v>1.4129</v>
      </c>
      <c r="H1220" s="251">
        <v>1.4107000000000001</v>
      </c>
      <c r="I1220" s="251">
        <v>1.4096</v>
      </c>
      <c r="J1220" s="251">
        <v>1.4096</v>
      </c>
      <c r="K1220" s="251">
        <v>1.4077</v>
      </c>
      <c r="L1220" s="251">
        <v>1.4006000000000001</v>
      </c>
      <c r="M1220" s="251">
        <v>1.4006000000000001</v>
      </c>
      <c r="N1220" s="251">
        <v>1.4006000000000001</v>
      </c>
      <c r="O1220" s="251">
        <v>1.4006000000000001</v>
      </c>
      <c r="P1220" s="251">
        <v>1.4</v>
      </c>
      <c r="Q1220" s="251">
        <v>1.4171</v>
      </c>
      <c r="R1220" s="251">
        <v>1.4179999999999999</v>
      </c>
      <c r="S1220" s="251">
        <v>1.3120000000000001</v>
      </c>
      <c r="T1220" s="251">
        <v>1.3140000000000001</v>
      </c>
      <c r="U1220" s="251">
        <v>1.3099000000000001</v>
      </c>
      <c r="V1220" s="251">
        <v>1.3052999999999999</v>
      </c>
      <c r="W1220" s="251">
        <v>1.2962</v>
      </c>
      <c r="X1220" s="251">
        <v>1.3095000000000001</v>
      </c>
      <c r="Y1220" s="251">
        <v>1.3051999999999999</v>
      </c>
      <c r="Z1220" s="245">
        <f ca="1">[1]ExtEntry!$R23</f>
        <v>1.3051999999999999</v>
      </c>
      <c r="AB1220" s="318">
        <v>104.73999999999997</v>
      </c>
      <c r="AC1220" s="318">
        <v>112.43899999999996</v>
      </c>
      <c r="AD1220" s="318">
        <v>106.64000000000001</v>
      </c>
      <c r="AE1220" s="318">
        <v>117.04</v>
      </c>
      <c r="AF1220" s="318">
        <v>113.44000000000001</v>
      </c>
      <c r="AG1220" s="318">
        <v>199.33999999999997</v>
      </c>
      <c r="AH1220" s="318">
        <v>206.43999999999991</v>
      </c>
      <c r="AI1220" s="318">
        <v>206.43999999999991</v>
      </c>
      <c r="AJ1220" s="318">
        <v>201.58999999999992</v>
      </c>
      <c r="AK1220" s="318">
        <v>229.94</v>
      </c>
      <c r="AL1220" s="318">
        <v>226.79000000000002</v>
      </c>
      <c r="AM1220" s="318">
        <v>231.94000000000003</v>
      </c>
      <c r="AN1220" s="318">
        <v>219.83999999999995</v>
      </c>
      <c r="AO1220" s="318">
        <v>202.83999999999992</v>
      </c>
      <c r="AP1220" s="318">
        <v>221.04</v>
      </c>
      <c r="AQ1220" s="318">
        <v>222.44</v>
      </c>
      <c r="AR1220" s="318">
        <v>239.83999999999995</v>
      </c>
      <c r="AS1220" s="318">
        <v>238.43999999999994</v>
      </c>
      <c r="AT1220" s="318">
        <v>212.63999999999996</v>
      </c>
      <c r="AU1220" s="318">
        <v>224.38999999999993</v>
      </c>
      <c r="AV1220" s="318">
        <f ca="1">Calc!Z23</f>
        <v>224.38999999999993</v>
      </c>
      <c r="AX1220" s="88" t="str">
        <f t="shared" ca="1" si="98"/>
        <v>GM</v>
      </c>
    </row>
    <row r="1221" spans="1:50" hidden="1" x14ac:dyDescent="0.3">
      <c r="A1221" s="88" t="str">
        <f t="shared" ca="1" si="101"/>
        <v>HPE</v>
      </c>
      <c r="C1221" s="1">
        <v>24</v>
      </c>
      <c r="F1221" s="251">
        <v>1.4419999999999999</v>
      </c>
      <c r="G1221" s="251">
        <v>1.4401999999999999</v>
      </c>
      <c r="H1221" s="251">
        <v>1.4415</v>
      </c>
      <c r="I1221" s="251">
        <v>1.4527000000000001</v>
      </c>
      <c r="J1221" s="251">
        <v>1.4527000000000001</v>
      </c>
      <c r="K1221" s="251">
        <v>1.4481999999999999</v>
      </c>
      <c r="L1221" s="251">
        <v>1.4474</v>
      </c>
      <c r="M1221" s="251">
        <v>1.4474</v>
      </c>
      <c r="N1221" s="251">
        <v>1.4474</v>
      </c>
      <c r="O1221" s="251">
        <v>1.4474</v>
      </c>
      <c r="P1221" s="251">
        <v>1.4478</v>
      </c>
      <c r="Q1221" s="251">
        <v>1.4371</v>
      </c>
      <c r="R1221" s="251">
        <v>1.4359999999999999</v>
      </c>
      <c r="S1221" s="251">
        <v>1.3383</v>
      </c>
      <c r="T1221" s="251">
        <v>1.3427</v>
      </c>
      <c r="U1221" s="251">
        <v>1.3418000000000001</v>
      </c>
      <c r="V1221" s="251">
        <v>1.3432999999999999</v>
      </c>
      <c r="W1221" s="251">
        <v>1.3482000000000001</v>
      </c>
      <c r="X1221" s="251">
        <v>1.3647</v>
      </c>
      <c r="Y1221" s="251">
        <v>1.3736999999999999</v>
      </c>
      <c r="Z1221" s="245">
        <f ca="1">[1]ExtEntry!$R24</f>
        <v>1.3736999999999999</v>
      </c>
      <c r="AB1221" s="318">
        <v>83.999999999996078</v>
      </c>
      <c r="AC1221" s="318">
        <v>593.99999999999693</v>
      </c>
      <c r="AD1221" s="318">
        <v>-2880.0000000000027</v>
      </c>
      <c r="AE1221" s="318">
        <v>-2352.0000000000009</v>
      </c>
      <c r="AF1221" s="318">
        <v>414.0000000000008</v>
      </c>
      <c r="AG1221" s="318">
        <v>1152.0000000000009</v>
      </c>
      <c r="AH1221" s="318">
        <v>855.0000000000025</v>
      </c>
      <c r="AI1221" s="318">
        <v>828.00000000000159</v>
      </c>
      <c r="AJ1221" s="318">
        <v>1026.0000000000005</v>
      </c>
      <c r="AK1221" s="318">
        <v>1566.0000000000018</v>
      </c>
      <c r="AL1221" s="318">
        <v>2772.000000000005</v>
      </c>
      <c r="AM1221" s="318">
        <v>2952.0000000000009</v>
      </c>
      <c r="AN1221" s="318">
        <v>3185.9999999999991</v>
      </c>
      <c r="AO1221" s="318">
        <v>1629.000000000002</v>
      </c>
      <c r="AP1221" s="318">
        <v>1926.0000000000005</v>
      </c>
      <c r="AQ1221" s="318">
        <v>1467.0000000000023</v>
      </c>
      <c r="AR1221" s="318">
        <v>1385.9999999999993</v>
      </c>
      <c r="AS1221" s="318">
        <v>359.99999999999875</v>
      </c>
      <c r="AT1221" s="318">
        <v>-3095.9999999999982</v>
      </c>
      <c r="AU1221" s="318">
        <v>-3410.9999999999991</v>
      </c>
      <c r="AV1221" s="318">
        <f ca="1">Calc!Z24</f>
        <v>-3410.9999999999991</v>
      </c>
      <c r="AX1221" s="88" t="str">
        <f t="shared" ca="1" si="98"/>
        <v>HPE</v>
      </c>
    </row>
    <row r="1222" spans="1:50" hidden="1" x14ac:dyDescent="0.3">
      <c r="A1222" s="88" t="str">
        <f t="shared" ca="1" si="101"/>
        <v>HPQ</v>
      </c>
      <c r="C1222" s="1">
        <v>25</v>
      </c>
      <c r="F1222" s="251">
        <v>1.2934000000000001</v>
      </c>
      <c r="G1222" s="251">
        <v>1.2858000000000001</v>
      </c>
      <c r="H1222" s="251">
        <v>1.2882</v>
      </c>
      <c r="I1222" s="251">
        <v>1.2937000000000001</v>
      </c>
      <c r="J1222" s="251">
        <v>1.2937000000000001</v>
      </c>
      <c r="K1222" s="251">
        <v>1.2951999999999999</v>
      </c>
      <c r="L1222" s="251">
        <v>1.2943</v>
      </c>
      <c r="M1222" s="251">
        <v>1.2943</v>
      </c>
      <c r="N1222" s="251">
        <v>1.2943</v>
      </c>
      <c r="O1222" s="251">
        <v>1.2943</v>
      </c>
      <c r="P1222" s="251">
        <v>1.2951999999999999</v>
      </c>
      <c r="Q1222" s="251">
        <v>1.2952999999999999</v>
      </c>
      <c r="R1222" s="251">
        <v>1.2937000000000001</v>
      </c>
      <c r="S1222" s="251">
        <v>1.2221</v>
      </c>
      <c r="T1222" s="251">
        <v>1.2286999999999999</v>
      </c>
      <c r="U1222" s="251">
        <v>1.224</v>
      </c>
      <c r="V1222" s="251">
        <v>1.2271000000000001</v>
      </c>
      <c r="W1222" s="251">
        <v>1.2373000000000001</v>
      </c>
      <c r="X1222" s="251">
        <v>1.2555000000000001</v>
      </c>
      <c r="Y1222" s="251">
        <v>1.2653000000000001</v>
      </c>
      <c r="Z1222" s="245">
        <f ca="1">[1]ExtEntry!$R25</f>
        <v>1.2653000000000001</v>
      </c>
      <c r="AB1222" s="318">
        <v>11180.000000000007</v>
      </c>
      <c r="AC1222" s="318">
        <v>11760.000000000005</v>
      </c>
      <c r="AD1222" s="318">
        <v>-315.00000000000125</v>
      </c>
      <c r="AE1222" s="318">
        <v>-160.00000000000014</v>
      </c>
      <c r="AF1222" s="318">
        <v>125</v>
      </c>
      <c r="AG1222" s="318">
        <v>629.99999999999898</v>
      </c>
      <c r="AH1222" s="318">
        <v>129.99999999999901</v>
      </c>
      <c r="AI1222" s="318">
        <v>129.99999999999901</v>
      </c>
      <c r="AJ1222" s="318">
        <v>294.99999999999818</v>
      </c>
      <c r="AK1222" s="318">
        <v>129.99999999999901</v>
      </c>
      <c r="AL1222" s="318">
        <v>384.99999999999801</v>
      </c>
      <c r="AM1222" s="318">
        <v>535.00000000000011</v>
      </c>
      <c r="AN1222" s="318">
        <v>-19.999999999999574</v>
      </c>
      <c r="AO1222" s="318">
        <v>-1545.0000000000018</v>
      </c>
      <c r="AP1222" s="318">
        <v>-890.00000000000057</v>
      </c>
      <c r="AQ1222" s="318">
        <v>-1350.0000000000014</v>
      </c>
      <c r="AR1222" s="318">
        <v>-1315.0000000000014</v>
      </c>
      <c r="AS1222" s="318">
        <v>-3016.9999999999995</v>
      </c>
      <c r="AT1222" s="318">
        <v>-4820</v>
      </c>
      <c r="AU1222" s="318">
        <v>-4990.0000000000018</v>
      </c>
      <c r="AV1222" s="318">
        <f ca="1">Calc!Z25</f>
        <v>-4990.0000000000018</v>
      </c>
      <c r="AX1222" s="88" t="str">
        <f t="shared" ca="1" si="98"/>
        <v>HPQ</v>
      </c>
    </row>
    <row r="1223" spans="1:50" hidden="1" x14ac:dyDescent="0.3">
      <c r="A1223" s="88" t="str">
        <f t="shared" ca="1" si="101"/>
        <v>IAG</v>
      </c>
      <c r="C1223" s="1">
        <v>26</v>
      </c>
      <c r="F1223" s="251">
        <v>2.8881000000000001</v>
      </c>
      <c r="G1223" s="251">
        <v>2.8883000000000001</v>
      </c>
      <c r="H1223" s="251">
        <v>2.8873000000000002</v>
      </c>
      <c r="I1223" s="251">
        <v>2.8868</v>
      </c>
      <c r="J1223" s="251">
        <v>2.8868</v>
      </c>
      <c r="K1223" s="251">
        <v>2.8875999999999999</v>
      </c>
      <c r="L1223" s="251">
        <v>2.8881999999999999</v>
      </c>
      <c r="M1223" s="251">
        <v>2.8881999999999999</v>
      </c>
      <c r="N1223" s="251">
        <v>2.8881999999999999</v>
      </c>
      <c r="O1223" s="251">
        <v>2.8881999999999999</v>
      </c>
      <c r="P1223" s="251">
        <v>2.8862999999999999</v>
      </c>
      <c r="Q1223" s="251">
        <v>2.8740999999999999</v>
      </c>
      <c r="R1223" s="251">
        <v>2.8527999999999998</v>
      </c>
      <c r="S1223" s="251">
        <v>2.2942</v>
      </c>
      <c r="T1223" s="251">
        <v>2.2967</v>
      </c>
      <c r="U1223" s="251">
        <v>2.2978000000000001</v>
      </c>
      <c r="V1223" s="251">
        <v>2.3001999999999998</v>
      </c>
      <c r="W1223" s="251">
        <v>2.2976000000000001</v>
      </c>
      <c r="X1223" s="251">
        <v>2.3203999999999998</v>
      </c>
      <c r="Y1223" s="251">
        <v>2.3380999999999998</v>
      </c>
      <c r="Z1223" s="245">
        <f ca="1">[1]ExtEntry!$R26</f>
        <v>2.3380999999999998</v>
      </c>
      <c r="AB1223" s="318">
        <v>31797.600000000002</v>
      </c>
      <c r="AC1223" s="318">
        <v>31697.600000000002</v>
      </c>
      <c r="AD1223" s="318">
        <v>31457.600000000002</v>
      </c>
      <c r="AE1223" s="318">
        <v>28437.599999999995</v>
      </c>
      <c r="AF1223" s="318">
        <v>29397.600000000002</v>
      </c>
      <c r="AG1223" s="318">
        <v>28957.600000000002</v>
      </c>
      <c r="AH1223" s="318">
        <v>30717.600000000006</v>
      </c>
      <c r="AI1223" s="318">
        <v>30717.600000000006</v>
      </c>
      <c r="AJ1223" s="318">
        <v>30897.600000000002</v>
      </c>
      <c r="AK1223" s="318">
        <v>32197.600000000002</v>
      </c>
      <c r="AL1223" s="318">
        <v>32057.600000000002</v>
      </c>
      <c r="AM1223" s="318">
        <v>32657.600000000002</v>
      </c>
      <c r="AN1223" s="318">
        <v>33097.599999999999</v>
      </c>
      <c r="AO1223" s="318">
        <v>34717.600000000006</v>
      </c>
      <c r="AP1223" s="318">
        <v>35237.599999999999</v>
      </c>
      <c r="AQ1223" s="318">
        <v>33017.600000000006</v>
      </c>
      <c r="AR1223" s="318">
        <v>23437.599999999995</v>
      </c>
      <c r="AS1223" s="318">
        <v>27697.600000000002</v>
      </c>
      <c r="AT1223" s="318">
        <v>24275.4</v>
      </c>
      <c r="AU1223" s="318">
        <v>25717.600000000006</v>
      </c>
      <c r="AV1223" s="318">
        <f ca="1">Calc!Z26</f>
        <v>25717.600000000006</v>
      </c>
      <c r="AX1223" s="88" t="str">
        <f t="shared" ca="1" si="98"/>
        <v>IAG</v>
      </c>
    </row>
    <row r="1224" spans="1:50" hidden="1" x14ac:dyDescent="0.3">
      <c r="A1224" s="88" t="str">
        <f t="shared" ca="1" si="101"/>
        <v>KR</v>
      </c>
      <c r="C1224" s="1">
        <v>27</v>
      </c>
      <c r="F1224" s="251">
        <v>0.55400000000000005</v>
      </c>
      <c r="G1224" s="251">
        <v>0.54920000000000002</v>
      </c>
      <c r="H1224" s="251">
        <v>0.55020000000000002</v>
      </c>
      <c r="I1224" s="251">
        <v>0.55020000000000002</v>
      </c>
      <c r="J1224" s="251">
        <v>0.55020000000000002</v>
      </c>
      <c r="K1224" s="251">
        <v>0.55189999999999995</v>
      </c>
      <c r="L1224" s="251">
        <v>0.55310000000000004</v>
      </c>
      <c r="M1224" s="251">
        <v>0.55310000000000004</v>
      </c>
      <c r="N1224" s="251">
        <v>0.55310000000000004</v>
      </c>
      <c r="O1224" s="251">
        <v>0.55310000000000004</v>
      </c>
      <c r="P1224" s="251">
        <v>0.55230000000000001</v>
      </c>
      <c r="Q1224" s="251">
        <v>0.55100000000000005</v>
      </c>
      <c r="R1224" s="251">
        <v>0.54649999999999999</v>
      </c>
      <c r="S1224" s="251">
        <v>0.58240000000000003</v>
      </c>
      <c r="T1224" s="251">
        <v>0.58120000000000005</v>
      </c>
      <c r="U1224" s="251">
        <v>0.58309999999999995</v>
      </c>
      <c r="V1224" s="251">
        <v>0.58130000000000004</v>
      </c>
      <c r="W1224" s="251">
        <v>0.57240000000000002</v>
      </c>
      <c r="X1224" s="251">
        <v>0.5716</v>
      </c>
      <c r="Y1224" s="251">
        <v>0.5605</v>
      </c>
      <c r="Z1224" s="245">
        <f ca="1">[1]ExtEntry!$R27</f>
        <v>0.5605</v>
      </c>
      <c r="AB1224" s="318">
        <v>1286.9999999999925</v>
      </c>
      <c r="AC1224" s="318">
        <v>1270.4999999999982</v>
      </c>
      <c r="AD1224" s="318">
        <v>1128.5999999999958</v>
      </c>
      <c r="AE1224" s="318">
        <v>1194.5999999999922</v>
      </c>
      <c r="AF1224" s="318">
        <v>241.1999999999901</v>
      </c>
      <c r="AG1224" s="318">
        <v>-1835.8000000000061</v>
      </c>
      <c r="AH1224" s="318">
        <v>-495.80000000000609</v>
      </c>
      <c r="AI1224" s="318">
        <v>-495.80000000000609</v>
      </c>
      <c r="AJ1224" s="318">
        <v>-428.8000000000099</v>
      </c>
      <c r="AK1224" s="318">
        <v>104.99999999998977</v>
      </c>
      <c r="AL1224" s="318">
        <v>1030.0000000000011</v>
      </c>
      <c r="AM1224" s="318">
        <v>694.99999999999318</v>
      </c>
      <c r="AN1224" s="318">
        <v>-1560.0000000000023</v>
      </c>
      <c r="AO1224" s="318">
        <v>20.000000000010232</v>
      </c>
      <c r="AP1224" s="318">
        <v>-1079.9999999999982</v>
      </c>
      <c r="AQ1224" s="318">
        <v>-579.99999999999829</v>
      </c>
      <c r="AR1224" s="318">
        <v>2430.0000000000068</v>
      </c>
      <c r="AS1224" s="318">
        <v>6050.0000000000109</v>
      </c>
      <c r="AT1224" s="318">
        <v>7430.0000000000073</v>
      </c>
      <c r="AU1224" s="318">
        <v>7719.9999999999991</v>
      </c>
      <c r="AV1224" s="318">
        <f ca="1">Calc!Z27</f>
        <v>7719.9999999999991</v>
      </c>
      <c r="AX1224" s="88" t="str">
        <f t="shared" ca="1" si="98"/>
        <v>KR</v>
      </c>
    </row>
    <row r="1225" spans="1:50" hidden="1" x14ac:dyDescent="0.3">
      <c r="A1225" s="88" t="str">
        <f t="shared" ca="1" si="101"/>
        <v>LNSR</v>
      </c>
      <c r="C1225" s="1">
        <v>28</v>
      </c>
      <c r="F1225" s="251">
        <v>0.49590000000000001</v>
      </c>
      <c r="G1225" s="251">
        <v>0.49609999999999999</v>
      </c>
      <c r="H1225" s="251">
        <v>0.501</v>
      </c>
      <c r="I1225" s="251">
        <v>0.49690000000000001</v>
      </c>
      <c r="J1225" s="251">
        <v>0.49690000000000001</v>
      </c>
      <c r="K1225" s="251">
        <v>0.49099999999999999</v>
      </c>
      <c r="L1225" s="251">
        <v>0.49099999999999999</v>
      </c>
      <c r="M1225" s="251">
        <v>0.49099999999999999</v>
      </c>
      <c r="N1225" s="251">
        <v>0.49099999999999999</v>
      </c>
      <c r="O1225" s="251">
        <v>0.49099999999999999</v>
      </c>
      <c r="P1225" s="251">
        <v>0.49120000000000003</v>
      </c>
      <c r="Q1225" s="251">
        <v>0.48880000000000001</v>
      </c>
      <c r="R1225" s="251">
        <v>0.48110000000000003</v>
      </c>
      <c r="S1225" s="251">
        <v>0.64670000000000005</v>
      </c>
      <c r="T1225" s="251">
        <v>0.65010000000000001</v>
      </c>
      <c r="U1225" s="251">
        <v>0.64459999999999995</v>
      </c>
      <c r="V1225" s="251">
        <v>0.65920000000000001</v>
      </c>
      <c r="W1225" s="251">
        <v>0.68640000000000001</v>
      </c>
      <c r="X1225" s="251">
        <v>0.6946</v>
      </c>
      <c r="Y1225" s="251">
        <v>0.70540000000000003</v>
      </c>
      <c r="Z1225" s="245">
        <f ca="1">[1]ExtEntry!$R28</f>
        <v>0.70540000000000003</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1.3851</v>
      </c>
      <c r="G1226" s="251">
        <v>1.3803000000000001</v>
      </c>
      <c r="H1226" s="251">
        <v>1.3767</v>
      </c>
      <c r="I1226" s="251">
        <v>1.3832</v>
      </c>
      <c r="J1226" s="251">
        <v>1.3832</v>
      </c>
      <c r="K1226" s="251">
        <v>1.3927</v>
      </c>
      <c r="L1226" s="251">
        <v>1.3926000000000001</v>
      </c>
      <c r="M1226" s="251">
        <v>1.3926000000000001</v>
      </c>
      <c r="N1226" s="251">
        <v>1.3926000000000001</v>
      </c>
      <c r="O1226" s="251">
        <v>1.3926000000000001</v>
      </c>
      <c r="P1226" s="251">
        <v>1.3936999999999999</v>
      </c>
      <c r="Q1226" s="251">
        <v>1.4581</v>
      </c>
      <c r="R1226" s="251">
        <v>1.5035000000000001</v>
      </c>
      <c r="S1226" s="251">
        <v>1.4033</v>
      </c>
      <c r="T1226" s="251">
        <v>1.4104000000000001</v>
      </c>
      <c r="U1226" s="251">
        <v>1.407</v>
      </c>
      <c r="V1226" s="251">
        <v>1.3963000000000001</v>
      </c>
      <c r="W1226" s="251">
        <v>1.4626999999999999</v>
      </c>
      <c r="X1226" s="251">
        <v>1.4646999999999999</v>
      </c>
      <c r="Y1226" s="251">
        <v>1.4903</v>
      </c>
      <c r="Z1226" s="245">
        <f ca="1">[1]ExtEntry!$R29</f>
        <v>1.4903</v>
      </c>
      <c r="AB1226" s="318">
        <v>18.017000000000003</v>
      </c>
      <c r="AC1226" s="318">
        <v>21.067</v>
      </c>
      <c r="AD1226" s="318">
        <v>19.567000000000007</v>
      </c>
      <c r="AE1226" s="318">
        <v>18.317000000000007</v>
      </c>
      <c r="AF1226" s="318">
        <v>20.867000000000004</v>
      </c>
      <c r="AG1226" s="318">
        <v>21.067</v>
      </c>
      <c r="AH1226" s="318">
        <v>19.817</v>
      </c>
      <c r="AI1226" s="318">
        <v>19.817</v>
      </c>
      <c r="AJ1226" s="318">
        <v>27.167000000000002</v>
      </c>
      <c r="AK1226" s="318">
        <v>30.167000000000009</v>
      </c>
      <c r="AL1226" s="318">
        <v>43.117000000000012</v>
      </c>
      <c r="AM1226" s="318">
        <v>49.966999999999999</v>
      </c>
      <c r="AN1226" s="318">
        <v>52.716999999999999</v>
      </c>
      <c r="AO1226" s="318">
        <v>55.817000000000007</v>
      </c>
      <c r="AP1226" s="318">
        <v>57.867000000000004</v>
      </c>
      <c r="AQ1226" s="318">
        <v>57.517000000000003</v>
      </c>
      <c r="AR1226" s="318">
        <v>54.166999999999994</v>
      </c>
      <c r="AS1226" s="318">
        <v>29.267000000000003</v>
      </c>
      <c r="AT1226" s="318">
        <v>25.517000000000003</v>
      </c>
      <c r="AU1226" s="318">
        <v>24.466999999999999</v>
      </c>
      <c r="AV1226" s="318">
        <f ca="1">Calc!Z29</f>
        <v>24.466999999999999</v>
      </c>
      <c r="AX1226" s="88" t="str">
        <f t="shared" ca="1" si="98"/>
        <v>LUMN</v>
      </c>
    </row>
    <row r="1227" spans="1:50" hidden="1" x14ac:dyDescent="0.3">
      <c r="A1227" s="88" t="str">
        <f t="shared" ca="1" si="101"/>
        <v>MRNA</v>
      </c>
      <c r="C1227" s="1">
        <v>30</v>
      </c>
      <c r="F1227" s="251">
        <v>2.0064000000000002</v>
      </c>
      <c r="G1227" s="251">
        <v>2.0082</v>
      </c>
      <c r="H1227" s="251">
        <v>2.0034000000000001</v>
      </c>
      <c r="I1227" s="251">
        <v>2.0114000000000001</v>
      </c>
      <c r="J1227" s="251">
        <v>2.0114000000000001</v>
      </c>
      <c r="K1227" s="251">
        <v>2.0127999999999999</v>
      </c>
      <c r="L1227" s="251">
        <v>2.0123000000000002</v>
      </c>
      <c r="M1227" s="251">
        <v>2.0123000000000002</v>
      </c>
      <c r="N1227" s="251">
        <v>2.0123000000000002</v>
      </c>
      <c r="O1227" s="251">
        <v>2.0123000000000002</v>
      </c>
      <c r="P1227" s="251">
        <v>2.0135000000000001</v>
      </c>
      <c r="Q1227" s="251">
        <v>2.0148999999999999</v>
      </c>
      <c r="R1227" s="251">
        <v>2.0036999999999998</v>
      </c>
      <c r="S1227" s="251">
        <v>1.1157999999999999</v>
      </c>
      <c r="T1227" s="251">
        <v>1.1276999999999999</v>
      </c>
      <c r="U1227" s="251">
        <v>1.1266</v>
      </c>
      <c r="V1227" s="251">
        <v>1.1258999999999999</v>
      </c>
      <c r="W1227" s="251">
        <v>1.1197999999999999</v>
      </c>
      <c r="X1227" s="251">
        <v>1.1215999999999999</v>
      </c>
      <c r="Y1227" s="251">
        <v>1.1202000000000001</v>
      </c>
      <c r="Z1227" s="245">
        <f ca="1">[1]ExtEntry!$R30</f>
        <v>1.1202000000000001</v>
      </c>
      <c r="AB1227" s="318">
        <v>-45300.000000000007</v>
      </c>
      <c r="AC1227" s="318">
        <v>-40785.000000000007</v>
      </c>
      <c r="AD1227" s="318">
        <v>-42630</v>
      </c>
      <c r="AE1227" s="318">
        <v>-46020</v>
      </c>
      <c r="AF1227" s="318">
        <v>-42330.000000000007</v>
      </c>
      <c r="AG1227" s="318">
        <v>-41580.000000000007</v>
      </c>
      <c r="AH1227" s="318">
        <v>-43500</v>
      </c>
      <c r="AI1227" s="318">
        <v>-43500</v>
      </c>
      <c r="AJ1227" s="318">
        <v>-45300.000000000007</v>
      </c>
      <c r="AK1227" s="318">
        <v>-43830.000000000007</v>
      </c>
      <c r="AL1227" s="318">
        <v>-44070.000000000007</v>
      </c>
      <c r="AM1227" s="318">
        <v>-48000</v>
      </c>
      <c r="AN1227" s="318">
        <v>-39630</v>
      </c>
      <c r="AO1227" s="318">
        <v>-52725.000000000007</v>
      </c>
      <c r="AP1227" s="318">
        <v>-53370.000000000007</v>
      </c>
      <c r="AQ1227" s="318">
        <v>-51735</v>
      </c>
      <c r="AR1227" s="318">
        <v>-50475.000000000007</v>
      </c>
      <c r="AS1227" s="318">
        <v>-49740.000000000007</v>
      </c>
      <c r="AT1227" s="318">
        <v>-49290</v>
      </c>
      <c r="AU1227" s="318">
        <v>-51210</v>
      </c>
      <c r="AV1227" s="318">
        <f ca="1">Calc!Z30</f>
        <v>-51210</v>
      </c>
      <c r="AX1227" s="88" t="str">
        <f t="shared" ca="1" si="98"/>
        <v>MRNA</v>
      </c>
    </row>
    <row r="1228" spans="1:50" hidden="1" x14ac:dyDescent="0.3">
      <c r="A1228" s="88" t="str">
        <f t="shared" ca="1" si="101"/>
        <v>MSFT</v>
      </c>
      <c r="C1228" s="1">
        <v>31</v>
      </c>
      <c r="F1228" s="251">
        <v>1.0203</v>
      </c>
      <c r="G1228" s="251">
        <v>1.0203</v>
      </c>
      <c r="H1228" s="251">
        <v>1.0206</v>
      </c>
      <c r="I1228" s="251">
        <v>1.0205</v>
      </c>
      <c r="J1228" s="251">
        <v>1.0205</v>
      </c>
      <c r="K1228" s="251">
        <v>1.02</v>
      </c>
      <c r="L1228" s="251">
        <v>1.0199</v>
      </c>
      <c r="M1228" s="251">
        <v>1.0199</v>
      </c>
      <c r="N1228" s="251">
        <v>1.0199</v>
      </c>
      <c r="O1228" s="251">
        <v>1.0199</v>
      </c>
      <c r="P1228" s="251">
        <v>1.0196000000000001</v>
      </c>
      <c r="Q1228" s="251">
        <v>1.0184</v>
      </c>
      <c r="R1228" s="251">
        <v>1.0206999999999999</v>
      </c>
      <c r="S1228" s="251">
        <v>1.0657000000000001</v>
      </c>
      <c r="T1228" s="251">
        <v>1.0650999999999999</v>
      </c>
      <c r="U1228" s="251">
        <v>1.0679000000000001</v>
      </c>
      <c r="V1228" s="251">
        <v>1.0716000000000001</v>
      </c>
      <c r="W1228" s="251">
        <v>1.0689</v>
      </c>
      <c r="X1228" s="251">
        <v>1.0669</v>
      </c>
      <c r="Y1228" s="251">
        <v>1.0728</v>
      </c>
      <c r="Z1228" s="245">
        <f ca="1">[1]ExtEntry!$R31</f>
        <v>1.0728</v>
      </c>
      <c r="AB1228" s="318">
        <v>-38.999999999998636</v>
      </c>
      <c r="AC1228" s="318">
        <v>-200.98500000000854</v>
      </c>
      <c r="AD1228" s="318">
        <v>-333.00000000000409</v>
      </c>
      <c r="AE1228" s="318">
        <v>-37.5</v>
      </c>
      <c r="AF1228" s="318">
        <v>443.9999999999884</v>
      </c>
      <c r="AG1228" s="318">
        <v>574.49999999998909</v>
      </c>
      <c r="AH1228" s="318">
        <v>1006.4999999999884</v>
      </c>
      <c r="AI1228" s="318">
        <v>1006.4999999999884</v>
      </c>
      <c r="AJ1228" s="318">
        <v>1009.4999999999857</v>
      </c>
      <c r="AK1228" s="318">
        <v>1466.9999999999959</v>
      </c>
      <c r="AL1228" s="318">
        <v>2653.4999999999909</v>
      </c>
      <c r="AM1228" s="318">
        <v>4236.0000000000018</v>
      </c>
      <c r="AN1228" s="318">
        <v>1798.1999999999914</v>
      </c>
      <c r="AO1228" s="318">
        <v>38.999999999998636</v>
      </c>
      <c r="AP1228" s="318">
        <v>-1000.5000000000024</v>
      </c>
      <c r="AQ1228" s="318">
        <v>-2502.0000000000095</v>
      </c>
      <c r="AR1228" s="318">
        <v>-2430.0000000000068</v>
      </c>
      <c r="AS1228" s="318">
        <v>-547.50000000000512</v>
      </c>
      <c r="AT1228" s="318">
        <v>-3006.0000000000032</v>
      </c>
      <c r="AU1228" s="318">
        <v>-4086.00000000001</v>
      </c>
      <c r="AV1228" s="318">
        <f ca="1">Calc!Z31</f>
        <v>-4086.00000000001</v>
      </c>
      <c r="AX1228" s="88" t="str">
        <f t="shared" ca="1" si="98"/>
        <v>MSFT</v>
      </c>
    </row>
    <row r="1229" spans="1:50" hidden="1" x14ac:dyDescent="0.3">
      <c r="A1229" s="88" t="str">
        <f t="shared" ca="1" si="101"/>
        <v>NEE</v>
      </c>
      <c r="C1229" s="1">
        <v>32</v>
      </c>
      <c r="F1229" s="251">
        <v>0.65990000000000004</v>
      </c>
      <c r="G1229" s="251">
        <v>0.65739999999999998</v>
      </c>
      <c r="H1229" s="251">
        <v>0.66010000000000002</v>
      </c>
      <c r="I1229" s="251">
        <v>0.66100000000000003</v>
      </c>
      <c r="J1229" s="251">
        <v>0.66100000000000003</v>
      </c>
      <c r="K1229" s="251">
        <v>0.67220000000000002</v>
      </c>
      <c r="L1229" s="251">
        <v>0.67279999999999995</v>
      </c>
      <c r="M1229" s="251">
        <v>0.67279999999999995</v>
      </c>
      <c r="N1229" s="251">
        <v>0.67279999999999995</v>
      </c>
      <c r="O1229" s="251">
        <v>0.67279999999999995</v>
      </c>
      <c r="P1229" s="251">
        <v>0.67359999999999998</v>
      </c>
      <c r="Q1229" s="251">
        <v>0.69359999999999999</v>
      </c>
      <c r="R1229" s="251">
        <v>0.68789999999999996</v>
      </c>
      <c r="S1229" s="251">
        <v>0.73729999999999996</v>
      </c>
      <c r="T1229" s="251">
        <v>0.73509999999999998</v>
      </c>
      <c r="U1229" s="251">
        <v>0.73509999999999998</v>
      </c>
      <c r="V1229" s="251">
        <v>0.73170000000000002</v>
      </c>
      <c r="W1229" s="251">
        <v>0.72699999999999998</v>
      </c>
      <c r="X1229" s="251">
        <v>0.72150000000000003</v>
      </c>
      <c r="Y1229" s="251">
        <v>0.71840000000000004</v>
      </c>
      <c r="Z1229" s="245">
        <f ca="1">[1]ExtEntry!$R32</f>
        <v>0.71840000000000004</v>
      </c>
      <c r="AB1229" s="318">
        <v>5453.8227999999999</v>
      </c>
      <c r="AC1229" s="318">
        <v>5915.8228000000008</v>
      </c>
      <c r="AD1229" s="318">
        <v>5619.8227999999972</v>
      </c>
      <c r="AE1229" s="318">
        <v>5411.822799999999</v>
      </c>
      <c r="AF1229" s="318">
        <v>5509.8228000000008</v>
      </c>
      <c r="AG1229" s="318">
        <v>5195.8227999999963</v>
      </c>
      <c r="AH1229" s="318">
        <v>4739.8227999999963</v>
      </c>
      <c r="AI1229" s="318">
        <v>4739.8227999999963</v>
      </c>
      <c r="AJ1229" s="318">
        <v>4907.8227999999963</v>
      </c>
      <c r="AK1229" s="318">
        <v>5363.8227999999972</v>
      </c>
      <c r="AL1229" s="318">
        <v>5999.8227999999981</v>
      </c>
      <c r="AM1229" s="318">
        <v>5019.8227999999972</v>
      </c>
      <c r="AN1229" s="318">
        <v>4247.8227999999999</v>
      </c>
      <c r="AO1229" s="318">
        <v>10.45955699999999</v>
      </c>
      <c r="AP1229" s="318">
        <v>11.139556999999996</v>
      </c>
      <c r="AQ1229" s="318">
        <v>11.389556999999996</v>
      </c>
      <c r="AR1229" s="318">
        <v>12.70955699999999</v>
      </c>
      <c r="AS1229" s="318">
        <v>12.84955699999999</v>
      </c>
      <c r="AT1229" s="318">
        <v>13.699556999999999</v>
      </c>
      <c r="AU1229" s="318">
        <v>13.70955699999999</v>
      </c>
      <c r="AV1229" s="318">
        <f ca="1">Calc!Z32</f>
        <v>13.70955699999999</v>
      </c>
      <c r="AX1229" s="88" t="str">
        <f t="shared" ca="1" si="98"/>
        <v>NEE</v>
      </c>
    </row>
    <row r="1230" spans="1:50" hidden="1" x14ac:dyDescent="0.3">
      <c r="A1230" s="88" t="str">
        <f t="shared" ca="1" si="101"/>
        <v>NEM</v>
      </c>
      <c r="C1230" s="1">
        <v>33</v>
      </c>
      <c r="F1230" s="251">
        <v>0.34599999999999997</v>
      </c>
      <c r="G1230" s="251">
        <v>0.34300000000000003</v>
      </c>
      <c r="H1230" s="251">
        <v>0.34089999999999998</v>
      </c>
      <c r="I1230" s="251">
        <v>0.34449999999999997</v>
      </c>
      <c r="J1230" s="251">
        <v>0.34449999999999997</v>
      </c>
      <c r="K1230" s="251">
        <v>0.34839999999999999</v>
      </c>
      <c r="L1230" s="251">
        <v>0.35349999999999998</v>
      </c>
      <c r="M1230" s="251">
        <v>0.35349999999999998</v>
      </c>
      <c r="N1230" s="251">
        <v>0.35349999999999998</v>
      </c>
      <c r="O1230" s="251">
        <v>0.35349999999999998</v>
      </c>
      <c r="P1230" s="251">
        <v>0.35310000000000002</v>
      </c>
      <c r="Q1230" s="251">
        <v>0.34449999999999997</v>
      </c>
      <c r="R1230" s="251">
        <v>0.34449999999999997</v>
      </c>
      <c r="S1230" s="251">
        <v>0.44090000000000001</v>
      </c>
      <c r="T1230" s="251">
        <v>0.4461</v>
      </c>
      <c r="U1230" s="251">
        <v>0.44019999999999998</v>
      </c>
      <c r="V1230" s="251">
        <v>0.43559999999999999</v>
      </c>
      <c r="W1230" s="251">
        <v>0.41560000000000002</v>
      </c>
      <c r="X1230" s="251">
        <v>0.42280000000000001</v>
      </c>
      <c r="Y1230" s="251">
        <v>0.41749999999999998</v>
      </c>
      <c r="Z1230" s="245">
        <f ca="1">[1]ExtEntry!$R33</f>
        <v>0.41749999999999998</v>
      </c>
      <c r="AB1230" s="318">
        <v>34570.000000000007</v>
      </c>
      <c r="AC1230" s="318">
        <v>37670</v>
      </c>
      <c r="AD1230" s="318">
        <v>42280</v>
      </c>
      <c r="AE1230" s="318">
        <v>34800</v>
      </c>
      <c r="AF1230" s="318">
        <v>38925</v>
      </c>
      <c r="AG1230" s="318">
        <v>-209.99999999997954</v>
      </c>
      <c r="AH1230" s="318">
        <v>1180.0000000000068</v>
      </c>
      <c r="AI1230" s="318">
        <v>1180.0000000000068</v>
      </c>
      <c r="AJ1230" s="318">
        <v>4900.0000000000055</v>
      </c>
      <c r="AK1230" s="318">
        <v>-343.34000000001197</v>
      </c>
      <c r="AL1230" s="318">
        <v>-9763.34</v>
      </c>
      <c r="AM1230" s="318">
        <v>-269.00000000000546</v>
      </c>
      <c r="AN1230" s="318">
        <v>2730.9999999999945</v>
      </c>
      <c r="AO1230" s="318">
        <v>159.99999999999659</v>
      </c>
      <c r="AP1230" s="318">
        <v>5480.0000000000182</v>
      </c>
      <c r="AQ1230" s="318">
        <v>7469.600000000014</v>
      </c>
      <c r="AR1230" s="318">
        <v>8939.9999999999982</v>
      </c>
      <c r="AS1230" s="318">
        <v>17840.000000000004</v>
      </c>
      <c r="AT1230" s="318">
        <v>15460.000000000007</v>
      </c>
      <c r="AU1230" s="318">
        <v>17430.000000000007</v>
      </c>
      <c r="AV1230" s="318">
        <f ca="1">Calc!Z33</f>
        <v>17430.000000000007</v>
      </c>
      <c r="AX1230" s="88" t="str">
        <f t="shared" ca="1" si="98"/>
        <v>NEM</v>
      </c>
    </row>
    <row r="1231" spans="1:50" hidden="1" x14ac:dyDescent="0.3">
      <c r="A1231" s="88" t="str">
        <f t="shared" ca="1" si="101"/>
        <v>NFLX</v>
      </c>
      <c r="C1231" s="1">
        <v>34</v>
      </c>
      <c r="F1231" s="251">
        <v>1.5873999999999999</v>
      </c>
      <c r="G1231" s="251">
        <v>1.5872999999999999</v>
      </c>
      <c r="H1231" s="251">
        <v>1.59</v>
      </c>
      <c r="I1231" s="251">
        <v>1.5902000000000001</v>
      </c>
      <c r="J1231" s="251">
        <v>1.5902000000000001</v>
      </c>
      <c r="K1231" s="251">
        <v>1.5896999999999999</v>
      </c>
      <c r="L1231" s="251">
        <v>1.5895999999999999</v>
      </c>
      <c r="M1231" s="251">
        <v>1.5895999999999999</v>
      </c>
      <c r="N1231" s="251">
        <v>1.5895999999999999</v>
      </c>
      <c r="O1231" s="251">
        <v>1.5895999999999999</v>
      </c>
      <c r="P1231" s="251">
        <v>1.5948</v>
      </c>
      <c r="Q1231" s="251">
        <v>1.5746</v>
      </c>
      <c r="R1231" s="251">
        <v>1.5723</v>
      </c>
      <c r="S1231" s="251">
        <v>1.7040999999999999</v>
      </c>
      <c r="T1231" s="251">
        <v>1.7038</v>
      </c>
      <c r="U1231" s="251">
        <v>1.7038</v>
      </c>
      <c r="V1231" s="251">
        <v>1.7001999999999999</v>
      </c>
      <c r="W1231" s="251">
        <v>1.6895</v>
      </c>
      <c r="X1231" s="251">
        <v>1.6999</v>
      </c>
      <c r="Y1231" s="251">
        <v>1.6837</v>
      </c>
      <c r="Z1231" s="245">
        <f ca="1">[1]ExtEntry!$R34</f>
        <v>1.6837</v>
      </c>
      <c r="AB1231" s="318">
        <v>10731.999999999971</v>
      </c>
      <c r="AC1231" s="318">
        <v>8977.9999999999745</v>
      </c>
      <c r="AD1231" s="318">
        <v>392.99999999998363</v>
      </c>
      <c r="AE1231" s="318">
        <v>1969.9999999999818</v>
      </c>
      <c r="AF1231" s="318">
        <v>5889.9999999999864</v>
      </c>
      <c r="AG1231" s="318">
        <v>6168.9999999999827</v>
      </c>
      <c r="AH1231" s="318">
        <v>-1404.000000000201</v>
      </c>
      <c r="AI1231" s="318">
        <v>-1404.000000000201</v>
      </c>
      <c r="AJ1231" s="318">
        <v>5014.9999999999864</v>
      </c>
      <c r="AK1231" s="318">
        <v>-1095.0000000000273</v>
      </c>
      <c r="AL1231" s="318">
        <v>-1160.0000000000819</v>
      </c>
      <c r="AM1231" s="318">
        <v>2809.9999999999454</v>
      </c>
      <c r="AN1231" s="318">
        <v>-3940.0000000000546</v>
      </c>
      <c r="AO1231" s="318">
        <v>-4506.2500000000227</v>
      </c>
      <c r="AP1231" s="318">
        <v>789.99999999996362</v>
      </c>
      <c r="AQ1231" s="318">
        <v>-1335.0000000000364</v>
      </c>
      <c r="AR1231" s="318">
        <v>1184.9999999999454</v>
      </c>
      <c r="AS1231" s="318">
        <v>7644.9999999999818</v>
      </c>
      <c r="AT1231" s="318">
        <v>22009.999999999935</v>
      </c>
      <c r="AU1231" s="318">
        <v>459.99999999992269</v>
      </c>
      <c r="AV1231" s="318">
        <f ca="1">Calc!Z34</f>
        <v>459.99999999992269</v>
      </c>
      <c r="AX1231" s="88" t="str">
        <f t="shared" ca="1" si="98"/>
        <v>NFLX</v>
      </c>
    </row>
    <row r="1232" spans="1:50" hidden="1" x14ac:dyDescent="0.3">
      <c r="A1232" s="88" t="str">
        <f t="shared" ca="1" si="101"/>
        <v>NOTE</v>
      </c>
      <c r="C1232" s="1">
        <v>35</v>
      </c>
      <c r="F1232" s="251">
        <v>0.54559999999999997</v>
      </c>
      <c r="G1232" s="251">
        <v>0.54079999999999995</v>
      </c>
      <c r="H1232" s="251">
        <v>0.54510000000000003</v>
      </c>
      <c r="I1232" s="251">
        <v>0.55630000000000002</v>
      </c>
      <c r="J1232" s="251">
        <v>0.55630000000000002</v>
      </c>
      <c r="K1232" s="251">
        <v>0.55169999999999997</v>
      </c>
      <c r="L1232" s="251">
        <v>0.55130000000000001</v>
      </c>
      <c r="M1232" s="251">
        <v>0.55130000000000001</v>
      </c>
      <c r="N1232" s="251">
        <v>0.55130000000000001</v>
      </c>
      <c r="O1232" s="251">
        <v>0.55130000000000001</v>
      </c>
      <c r="P1232" s="251">
        <v>0.55330000000000001</v>
      </c>
      <c r="Q1232" s="251">
        <v>0.54549999999999998</v>
      </c>
      <c r="R1232" s="251">
        <v>0.53359999999999996</v>
      </c>
      <c r="S1232" s="251">
        <v>0.54139999999999999</v>
      </c>
      <c r="T1232" s="251">
        <v>0.55159999999999998</v>
      </c>
      <c r="U1232" s="251">
        <v>0.56569999999999998</v>
      </c>
      <c r="V1232" s="251">
        <v>0.59709999999999996</v>
      </c>
      <c r="W1232" s="251">
        <v>0.61919999999999997</v>
      </c>
      <c r="X1232" s="251">
        <v>0.62919999999999998</v>
      </c>
      <c r="Y1232" s="251">
        <v>0.66659999999999997</v>
      </c>
      <c r="Z1232" s="245">
        <f ca="1">[1]ExtEntry!$R35</f>
        <v>0.66659999999999997</v>
      </c>
      <c r="AB1232" s="318">
        <v>-1750.0000000000005</v>
      </c>
      <c r="AC1232" s="318">
        <v>-1815</v>
      </c>
      <c r="AD1232" s="318">
        <v>-2525.0000000000018</v>
      </c>
      <c r="AE1232" s="318">
        <v>-2875.0000000000009</v>
      </c>
      <c r="AF1232" s="318">
        <v>-2375.0000000000005</v>
      </c>
      <c r="AG1232" s="318">
        <v>-2275.0000000000005</v>
      </c>
      <c r="AH1232" s="318">
        <v>-2900.0000000000005</v>
      </c>
      <c r="AI1232" s="318">
        <v>-2900.0000000000005</v>
      </c>
      <c r="AJ1232" s="318">
        <v>-2375.0000000000005</v>
      </c>
      <c r="AK1232" s="318">
        <v>-2575.0000000000005</v>
      </c>
      <c r="AL1232" s="318">
        <v>-2750.0000000000014</v>
      </c>
      <c r="AM1232" s="318">
        <v>-3125</v>
      </c>
      <c r="AN1232" s="318">
        <v>-3550.0000000000009</v>
      </c>
      <c r="AO1232" s="318">
        <v>-4212.5000000000009</v>
      </c>
      <c r="AP1232" s="318">
        <v>-5225.0000000000009</v>
      </c>
      <c r="AQ1232" s="318">
        <v>-6086.5000000000009</v>
      </c>
      <c r="AR1232" s="318">
        <v>-5875.0000000000009</v>
      </c>
      <c r="AS1232" s="318">
        <v>-733.2599999999992</v>
      </c>
      <c r="AT1232" s="318">
        <v>-1733.1599999999985</v>
      </c>
      <c r="AU1232" s="318">
        <v>-2099.7899999999995</v>
      </c>
      <c r="AV1232" s="318">
        <f ca="1">Calc!Z35</f>
        <v>-2099.7899999999995</v>
      </c>
      <c r="AX1232" s="88" t="str">
        <f t="shared" ca="1" si="98"/>
        <v>NOTE</v>
      </c>
    </row>
    <row r="1233" spans="1:50" hidden="1" x14ac:dyDescent="0.3">
      <c r="A1233" s="88" t="str">
        <f t="shared" ca="1" si="101"/>
        <v>PAAS</v>
      </c>
      <c r="C1233" s="1">
        <v>36</v>
      </c>
      <c r="F1233" s="251">
        <v>0.90139999999999998</v>
      </c>
      <c r="G1233" s="251">
        <v>0.89349999999999996</v>
      </c>
      <c r="H1233" s="251">
        <v>0.90049999999999997</v>
      </c>
      <c r="I1233" s="251">
        <v>0.90059999999999996</v>
      </c>
      <c r="J1233" s="251">
        <v>0.90059999999999996</v>
      </c>
      <c r="K1233" s="251">
        <v>0.89870000000000005</v>
      </c>
      <c r="L1233" s="251">
        <v>0.89970000000000006</v>
      </c>
      <c r="M1233" s="251">
        <v>0.89970000000000006</v>
      </c>
      <c r="N1233" s="251">
        <v>0.89970000000000006</v>
      </c>
      <c r="O1233" s="251">
        <v>0.89970000000000006</v>
      </c>
      <c r="P1233" s="251">
        <v>0.91439999999999999</v>
      </c>
      <c r="Q1233" s="251">
        <v>0.9022</v>
      </c>
      <c r="R1233" s="251">
        <v>0.89929999999999999</v>
      </c>
      <c r="S1233" s="251">
        <v>1.1551</v>
      </c>
      <c r="T1233" s="251">
        <v>1.1623000000000001</v>
      </c>
      <c r="U1233" s="251">
        <v>1.1606000000000001</v>
      </c>
      <c r="V1233" s="251">
        <v>1.1608000000000001</v>
      </c>
      <c r="W1233" s="251">
        <v>1.1391</v>
      </c>
      <c r="X1233" s="251">
        <v>1.1480999999999999</v>
      </c>
      <c r="Y1233" s="251">
        <v>1.1358999999999999</v>
      </c>
      <c r="Z1233" s="245">
        <f ca="1">[1]ExtEntry!$R36</f>
        <v>1.1358999999999999</v>
      </c>
      <c r="AB1233" s="318">
        <v>12030.000000000002</v>
      </c>
      <c r="AC1233" s="318">
        <v>13530.000000000002</v>
      </c>
      <c r="AD1233" s="318">
        <v>14500</v>
      </c>
      <c r="AE1233" s="318">
        <v>10909.999999999996</v>
      </c>
      <c r="AF1233" s="318">
        <v>11820</v>
      </c>
      <c r="AG1233" s="318">
        <v>-427.49999999999488</v>
      </c>
      <c r="AH1233" s="318">
        <v>232.50000000000171</v>
      </c>
      <c r="AI1233" s="318">
        <v>232.50000000000171</v>
      </c>
      <c r="AJ1233" s="318">
        <v>735.00000000000296</v>
      </c>
      <c r="AK1233" s="318">
        <v>914.99999999999909</v>
      </c>
      <c r="AL1233" s="318">
        <v>-1469.9999999999952</v>
      </c>
      <c r="AM1233" s="318">
        <v>-719.99999999999534</v>
      </c>
      <c r="AN1233" s="318">
        <v>-255.00000000000256</v>
      </c>
      <c r="AO1233" s="318">
        <v>-3659.6999999999971</v>
      </c>
      <c r="AP1233" s="318">
        <v>-2924.9999999999936</v>
      </c>
      <c r="AQ1233" s="318">
        <v>-2962.5000000000023</v>
      </c>
      <c r="AR1233" s="318">
        <v>-1500.1499999999944</v>
      </c>
      <c r="AS1233" s="318">
        <v>4184.9999999999991</v>
      </c>
      <c r="AT1233" s="318">
        <v>3525.0000000000023</v>
      </c>
      <c r="AU1233" s="318">
        <v>4155.0000000000045</v>
      </c>
      <c r="AV1233" s="318">
        <f ca="1">Calc!Z36</f>
        <v>4155.0000000000045</v>
      </c>
      <c r="AX1233" s="88" t="str">
        <f t="shared" ca="1" si="98"/>
        <v>PAAS</v>
      </c>
    </row>
    <row r="1234" spans="1:50" hidden="1" x14ac:dyDescent="0.3">
      <c r="A1234" s="88" t="str">
        <f t="shared" ca="1" si="101"/>
        <v>PROF</v>
      </c>
      <c r="C1234" s="1">
        <v>37</v>
      </c>
      <c r="F1234" s="251">
        <v>0.34329999999999999</v>
      </c>
      <c r="G1234" s="251">
        <v>0.30869999999999997</v>
      </c>
      <c r="H1234" s="251">
        <v>0.34949999999999998</v>
      </c>
      <c r="I1234" s="251">
        <v>0.35539999999999999</v>
      </c>
      <c r="J1234" s="251">
        <v>0.35539999999999999</v>
      </c>
      <c r="K1234" s="251">
        <v>0.32869999999999999</v>
      </c>
      <c r="L1234" s="251">
        <v>0.35460000000000003</v>
      </c>
      <c r="M1234" s="251">
        <v>0.35460000000000003</v>
      </c>
      <c r="N1234" s="251">
        <v>0.35460000000000003</v>
      </c>
      <c r="O1234" s="251">
        <v>0.35460000000000003</v>
      </c>
      <c r="P1234" s="251">
        <v>0.32529999999999998</v>
      </c>
      <c r="Q1234" s="251">
        <v>0.3498</v>
      </c>
      <c r="R1234" s="251">
        <v>0.35580000000000001</v>
      </c>
      <c r="S1234" s="251">
        <v>0.19259999999999999</v>
      </c>
      <c r="T1234" s="251">
        <v>0.19259999999999999</v>
      </c>
      <c r="U1234" s="251">
        <v>0.1913</v>
      </c>
      <c r="V1234" s="251">
        <v>0.19359999999999999</v>
      </c>
      <c r="W1234" s="251">
        <v>0.18049999999999999</v>
      </c>
      <c r="X1234" s="251">
        <v>0.18310000000000001</v>
      </c>
      <c r="Y1234" s="251">
        <v>0.186</v>
      </c>
      <c r="Z1234" s="245">
        <f ca="1">[1]ExtEntry!$R37</f>
        <v>0.186</v>
      </c>
      <c r="AB1234" s="318">
        <v>2559.9999999999986</v>
      </c>
      <c r="AC1234" s="318">
        <v>1639.999999999997</v>
      </c>
      <c r="AD1234" s="318">
        <v>1479.9999999999968</v>
      </c>
      <c r="AE1234" s="318">
        <v>1359.9999999999995</v>
      </c>
      <c r="AF1234" s="318">
        <v>2359.9999999999995</v>
      </c>
      <c r="AG1234" s="318">
        <v>2679.9999999999995</v>
      </c>
      <c r="AH1234" s="318">
        <v>919.99999999999818</v>
      </c>
      <c r="AI1234" s="318">
        <v>919.99999999999818</v>
      </c>
      <c r="AJ1234" s="318">
        <v>463.99999999999864</v>
      </c>
      <c r="AK1234" s="318">
        <v>1239.9999999999984</v>
      </c>
      <c r="AL1234" s="318">
        <v>1239.9999999999984</v>
      </c>
      <c r="AM1234" s="318">
        <v>4039.9999999999991</v>
      </c>
      <c r="AN1234" s="318">
        <v>3719.9999999999991</v>
      </c>
      <c r="AO1234" s="318">
        <v>2739.9999999999986</v>
      </c>
      <c r="AP1234" s="318">
        <v>2679.9999999999995</v>
      </c>
      <c r="AQ1234" s="318">
        <v>2679.9999999999995</v>
      </c>
      <c r="AR1234" s="318">
        <v>2939.9999999999977</v>
      </c>
      <c r="AS1234" s="318">
        <v>6639.9999999999973</v>
      </c>
      <c r="AT1234" s="318">
        <v>4160</v>
      </c>
      <c r="AU1234" s="318">
        <v>3199.9999999999991</v>
      </c>
      <c r="AV1234" s="318">
        <f ca="1">Calc!Z37</f>
        <v>3199.9999999999991</v>
      </c>
      <c r="AX1234" s="88" t="str">
        <f t="shared" ca="1" si="98"/>
        <v>PROF</v>
      </c>
    </row>
    <row r="1235" spans="1:50" hidden="1" x14ac:dyDescent="0.3">
      <c r="A1235" s="88" t="str">
        <f t="shared" ca="1" si="101"/>
        <v>POET</v>
      </c>
      <c r="C1235" s="1">
        <v>38</v>
      </c>
      <c r="F1235" s="251">
        <v>0.3044</v>
      </c>
      <c r="G1235" s="251">
        <v>0.2802</v>
      </c>
      <c r="H1235" s="251">
        <v>0.31669999999999998</v>
      </c>
      <c r="I1235" s="251">
        <v>0.3448</v>
      </c>
      <c r="J1235" s="251">
        <v>0.3448</v>
      </c>
      <c r="K1235" s="251">
        <v>0.36009999999999998</v>
      </c>
      <c r="L1235" s="251">
        <v>0.36149999999999999</v>
      </c>
      <c r="M1235" s="251">
        <v>0.36149999999999999</v>
      </c>
      <c r="N1235" s="251">
        <v>0.36149999999999999</v>
      </c>
      <c r="O1235" s="251">
        <v>0.36149999999999999</v>
      </c>
      <c r="P1235" s="251">
        <v>0.36220000000000002</v>
      </c>
      <c r="Q1235" s="251">
        <v>0.41220000000000001</v>
      </c>
      <c r="R1235" s="251">
        <v>0.3982</v>
      </c>
      <c r="S1235" s="251">
        <v>0.4516</v>
      </c>
      <c r="T1235" s="251">
        <v>0.4708</v>
      </c>
      <c r="U1235" s="251">
        <v>0.4657</v>
      </c>
      <c r="V1235" s="251">
        <v>0.50170000000000003</v>
      </c>
      <c r="W1235" s="251">
        <v>0.52010000000000001</v>
      </c>
      <c r="X1235" s="251">
        <v>0.54090000000000005</v>
      </c>
      <c r="Y1235" s="251">
        <v>0.56289999999999996</v>
      </c>
      <c r="Z1235" s="245">
        <f ca="1">[1]ExtEntry!$R38</f>
        <v>0.56289999999999996</v>
      </c>
      <c r="AB1235" s="318">
        <v>9825.0000000000018</v>
      </c>
      <c r="AC1235" s="318">
        <v>8162.4999999999991</v>
      </c>
      <c r="AD1235" s="318">
        <v>6099.9999999999991</v>
      </c>
      <c r="AE1235" s="318">
        <v>4749.9999999999991</v>
      </c>
      <c r="AF1235" s="318">
        <v>6174.9999999999991</v>
      </c>
      <c r="AG1235" s="318">
        <v>5825</v>
      </c>
      <c r="AH1235" s="318">
        <v>5625</v>
      </c>
      <c r="AI1235" s="318">
        <v>5625</v>
      </c>
      <c r="AJ1235" s="318">
        <v>5474.9999999999991</v>
      </c>
      <c r="AK1235" s="318">
        <v>7775.0000000000009</v>
      </c>
      <c r="AL1235" s="318">
        <v>5725</v>
      </c>
      <c r="AM1235" s="318">
        <v>4875</v>
      </c>
      <c r="AN1235" s="318">
        <v>3149.9999999999995</v>
      </c>
      <c r="AO1235" s="318">
        <v>2087.5</v>
      </c>
      <c r="AP1235" s="318">
        <v>2287.5</v>
      </c>
      <c r="AQ1235" s="318">
        <v>562.49999999999909</v>
      </c>
      <c r="AR1235" s="318">
        <v>624.75000000000057</v>
      </c>
      <c r="AS1235" s="318">
        <v>-1447.25</v>
      </c>
      <c r="AT1235" s="318">
        <v>-1722.2500000000007</v>
      </c>
      <c r="AU1235" s="318">
        <v>-1986.2500000000005</v>
      </c>
      <c r="AV1235" s="318">
        <f ca="1">Calc!Z38</f>
        <v>-1986.2500000000005</v>
      </c>
      <c r="AX1235" s="88" t="str">
        <f t="shared" ref="AX1235:AX1293" ca="1" si="102">A1235</f>
        <v>POET</v>
      </c>
    </row>
    <row r="1236" spans="1:50" hidden="1" x14ac:dyDescent="0.3">
      <c r="A1236" s="88" t="str">
        <f t="shared" ca="1" si="101"/>
        <v>PW</v>
      </c>
      <c r="C1236" s="1">
        <v>39</v>
      </c>
      <c r="F1236" s="251">
        <v>1.5992999999999999</v>
      </c>
      <c r="G1236" s="251">
        <v>1.6046</v>
      </c>
      <c r="H1236" s="251">
        <v>1.5988</v>
      </c>
      <c r="I1236" s="251">
        <v>1.6113999999999999</v>
      </c>
      <c r="J1236" s="251">
        <v>1.6113999999999999</v>
      </c>
      <c r="K1236" s="251">
        <v>1.6025</v>
      </c>
      <c r="L1236" s="251">
        <v>1.6032999999999999</v>
      </c>
      <c r="M1236" s="251">
        <v>1.6032999999999999</v>
      </c>
      <c r="N1236" s="251">
        <v>1.6032999999999999</v>
      </c>
      <c r="O1236" s="251">
        <v>1.6032999999999999</v>
      </c>
      <c r="P1236" s="251">
        <v>1.6061000000000001</v>
      </c>
      <c r="Q1236" s="251">
        <v>1.5698000000000001</v>
      </c>
      <c r="R1236" s="251">
        <v>1.5488</v>
      </c>
      <c r="S1236" s="251">
        <v>1.5353000000000001</v>
      </c>
      <c r="T1236" s="251">
        <v>1.5404</v>
      </c>
      <c r="U1236" s="251">
        <v>1.5295000000000001</v>
      </c>
      <c r="V1236" s="251">
        <v>1.5435000000000001</v>
      </c>
      <c r="W1236" s="251">
        <v>1.5623</v>
      </c>
      <c r="X1236" s="251">
        <v>1.5356000000000001</v>
      </c>
      <c r="Y1236" s="251">
        <v>1.5496000000000001</v>
      </c>
      <c r="Z1236" s="245">
        <f ca="1">[1]ExtEntry!$R39</f>
        <v>1.5496000000000001</v>
      </c>
      <c r="AB1236" s="318">
        <v>-1945.3433999999997</v>
      </c>
      <c r="AC1236" s="318">
        <v>-1774.7729999999999</v>
      </c>
      <c r="AD1236" s="318">
        <v>-1775.3735999999999</v>
      </c>
      <c r="AE1236" s="318">
        <v>-2252.8505999999998</v>
      </c>
      <c r="AF1236" s="318">
        <v>-2488.8863999999999</v>
      </c>
      <c r="AG1236" s="318">
        <v>-2590.9884000000002</v>
      </c>
      <c r="AH1236" s="318">
        <v>-2918.9159999999997</v>
      </c>
      <c r="AI1236" s="318">
        <v>-2918.9159999999997</v>
      </c>
      <c r="AJ1236" s="318">
        <v>-3066.0629999999996</v>
      </c>
      <c r="AK1236" s="318">
        <v>-2654.6520000000005</v>
      </c>
      <c r="AL1236" s="318">
        <v>-2291.2890000000002</v>
      </c>
      <c r="AM1236" s="318">
        <v>-2645.0424000000003</v>
      </c>
      <c r="AN1236" s="318">
        <v>-2978.9760000000001</v>
      </c>
      <c r="AO1236" s="318">
        <v>-2906.904</v>
      </c>
      <c r="AP1236" s="318">
        <v>-2705.703</v>
      </c>
      <c r="AQ1236" s="318">
        <v>-2797.5947999999999</v>
      </c>
      <c r="AR1236" s="318">
        <v>-3216.2129999999997</v>
      </c>
      <c r="AS1236" s="318">
        <v>-2931.5286000000001</v>
      </c>
      <c r="AT1236" s="318">
        <v>-3336.9335999999998</v>
      </c>
      <c r="AU1236" s="318">
        <v>-3318.9155999999998</v>
      </c>
      <c r="AV1236" s="318">
        <f ca="1">Calc!Z39</f>
        <v>-3318.9155999999998</v>
      </c>
      <c r="AX1236" s="88" t="str">
        <f t="shared" ca="1" si="102"/>
        <v>PW</v>
      </c>
    </row>
    <row r="1237" spans="1:50" hidden="1" x14ac:dyDescent="0.3">
      <c r="A1237" s="88" t="str">
        <f t="shared" ca="1" si="101"/>
        <v>RIGL</v>
      </c>
      <c r="C1237" s="1">
        <v>40</v>
      </c>
      <c r="F1237" s="251">
        <v>1.2232000000000001</v>
      </c>
      <c r="G1237" s="251">
        <v>1.2205999999999999</v>
      </c>
      <c r="H1237" s="251">
        <v>1.2163999999999999</v>
      </c>
      <c r="I1237" s="251">
        <v>1.2173</v>
      </c>
      <c r="J1237" s="251">
        <v>1.2173</v>
      </c>
      <c r="K1237" s="251">
        <v>1.2125999999999999</v>
      </c>
      <c r="L1237" s="251">
        <v>1.2112000000000001</v>
      </c>
      <c r="M1237" s="251">
        <v>1.2112000000000001</v>
      </c>
      <c r="N1237" s="251">
        <v>1.2112000000000001</v>
      </c>
      <c r="O1237" s="251">
        <v>1.2112000000000001</v>
      </c>
      <c r="P1237" s="251">
        <v>1.2103999999999999</v>
      </c>
      <c r="Q1237" s="251">
        <v>1.2118</v>
      </c>
      <c r="R1237" s="251">
        <v>1.2103999999999999</v>
      </c>
      <c r="S1237" s="251">
        <v>1.1645000000000001</v>
      </c>
      <c r="T1237" s="251">
        <v>1.181</v>
      </c>
      <c r="U1237" s="251">
        <v>1.1305000000000001</v>
      </c>
      <c r="V1237" s="251">
        <v>1.1234999999999999</v>
      </c>
      <c r="W1237" s="251">
        <v>1.0994999999999999</v>
      </c>
      <c r="X1237" s="251">
        <v>1.0785</v>
      </c>
      <c r="Y1237" s="251">
        <v>1.0119</v>
      </c>
      <c r="Z1237" s="245">
        <f ca="1">[1]ExtEntry!$R40</f>
        <v>1.0119</v>
      </c>
      <c r="AB1237" s="318">
        <v>-2330.4900000000048</v>
      </c>
      <c r="AC1237" s="318">
        <v>-930.49000000000603</v>
      </c>
      <c r="AD1237" s="318">
        <v>-870.49000000000376</v>
      </c>
      <c r="AE1237" s="318">
        <v>-1210.49</v>
      </c>
      <c r="AF1237" s="318">
        <v>1829.5099999999991</v>
      </c>
      <c r="AG1237" s="318">
        <v>3449.5099999999966</v>
      </c>
      <c r="AH1237" s="318">
        <v>4289.51</v>
      </c>
      <c r="AI1237" s="318">
        <v>4289.51</v>
      </c>
      <c r="AJ1237" s="318">
        <v>1689.5099999999984</v>
      </c>
      <c r="AK1237" s="318">
        <v>2849.5099999999952</v>
      </c>
      <c r="AL1237" s="318">
        <v>2069.5099999999939</v>
      </c>
      <c r="AM1237" s="318">
        <v>2289.5099999999998</v>
      </c>
      <c r="AN1237" s="318">
        <v>6149.5099999999993</v>
      </c>
      <c r="AO1237" s="318">
        <v>0</v>
      </c>
      <c r="AP1237" s="318">
        <v>9520.0000000000036</v>
      </c>
      <c r="AQ1237" s="318">
        <v>7995.0000000000045</v>
      </c>
      <c r="AR1237" s="318">
        <v>6980.0000000000036</v>
      </c>
      <c r="AS1237" s="318">
        <v>13610</v>
      </c>
      <c r="AT1237" s="318">
        <v>17890</v>
      </c>
      <c r="AU1237" s="318">
        <v>13870.000000000004</v>
      </c>
      <c r="AV1237" s="318">
        <f ca="1">Calc!Z40</f>
        <v>13870.000000000004</v>
      </c>
      <c r="AX1237" s="88" t="str">
        <f t="shared" ca="1" si="102"/>
        <v>RIGL</v>
      </c>
    </row>
    <row r="1238" spans="1:50" hidden="1" x14ac:dyDescent="0.3">
      <c r="A1238" s="88" t="str">
        <f t="shared" ca="1" si="101"/>
        <v>RWE</v>
      </c>
      <c r="C1238" s="1">
        <v>41</v>
      </c>
      <c r="F1238" s="251">
        <v>0.51570000000000005</v>
      </c>
      <c r="G1238" s="251">
        <v>0.51870000000000005</v>
      </c>
      <c r="H1238" s="251">
        <v>0.51549999999999996</v>
      </c>
      <c r="I1238" s="251">
        <v>0.51639999999999997</v>
      </c>
      <c r="J1238" s="251">
        <v>0.51639999999999997</v>
      </c>
      <c r="K1238" s="251">
        <v>0.50360000000000005</v>
      </c>
      <c r="L1238" s="251">
        <v>0.51600000000000001</v>
      </c>
      <c r="M1238" s="251">
        <v>0.51600000000000001</v>
      </c>
      <c r="N1238" s="251">
        <v>0.51759999999999995</v>
      </c>
      <c r="O1238" s="251">
        <v>0.51759999999999995</v>
      </c>
      <c r="P1238" s="251">
        <v>0.51729999999999998</v>
      </c>
      <c r="Q1238" s="251">
        <v>0.51539999999999997</v>
      </c>
      <c r="R1238" s="251">
        <v>0.51759999999999995</v>
      </c>
      <c r="S1238" s="251">
        <v>0.48</v>
      </c>
      <c r="T1238" s="251">
        <v>0.48039999999999999</v>
      </c>
      <c r="U1238" s="251">
        <v>0.4803</v>
      </c>
      <c r="V1238" s="251">
        <v>0.47949999999999998</v>
      </c>
      <c r="W1238" s="251">
        <v>0.48420000000000002</v>
      </c>
      <c r="X1238" s="251">
        <v>0.4703</v>
      </c>
      <c r="Y1238" s="251">
        <v>0.46560000000000001</v>
      </c>
      <c r="Z1238" s="245">
        <f ca="1">[1]ExtEntry!$R41</f>
        <v>0.46560000000000001</v>
      </c>
      <c r="AB1238" s="318">
        <v>610.49999999999989</v>
      </c>
      <c r="AC1238" s="318">
        <v>615.99999999999989</v>
      </c>
      <c r="AD1238" s="318">
        <v>650.50000000000011</v>
      </c>
      <c r="AE1238" s="318">
        <v>634.50000000000011</v>
      </c>
      <c r="AF1238" s="318">
        <v>627.5</v>
      </c>
      <c r="AG1238" s="318">
        <v>604.99999999999989</v>
      </c>
      <c r="AH1238" s="318">
        <v>592.49999999999989</v>
      </c>
      <c r="AI1238" s="318">
        <v>592.49999999999989</v>
      </c>
      <c r="AJ1238" s="318">
        <v>581.5</v>
      </c>
      <c r="AK1238" s="318">
        <v>605.49999999999977</v>
      </c>
      <c r="AL1238" s="318">
        <v>606.5</v>
      </c>
      <c r="AM1238" s="318">
        <v>636.00000000000011</v>
      </c>
      <c r="AN1238" s="318">
        <v>730.49999999999977</v>
      </c>
      <c r="AO1238" s="318">
        <v>698.50000000000011</v>
      </c>
      <c r="AP1238" s="318">
        <v>711.99999999999989</v>
      </c>
      <c r="AQ1238" s="318">
        <v>737.49999999999977</v>
      </c>
      <c r="AR1238" s="318">
        <v>726.99999999999977</v>
      </c>
      <c r="AS1238" s="318">
        <v>847.99999999999989</v>
      </c>
      <c r="AT1238" s="318">
        <v>795.5</v>
      </c>
      <c r="AU1238" s="318">
        <v>767.99999999999977</v>
      </c>
      <c r="AV1238" s="318">
        <f ca="1">Calc!Z41</f>
        <v>767.99999999999977</v>
      </c>
      <c r="AX1238" s="88" t="str">
        <f t="shared" ca="1" si="102"/>
        <v>RWE</v>
      </c>
    </row>
    <row r="1239" spans="1:50" hidden="1" x14ac:dyDescent="0.3">
      <c r="A1239" s="88" t="str">
        <f t="shared" ca="1" si="101"/>
        <v>SAP</v>
      </c>
      <c r="C1239" s="1">
        <v>42</v>
      </c>
      <c r="F1239" s="251">
        <v>0.99119999999999997</v>
      </c>
      <c r="G1239" s="251">
        <v>0.9909</v>
      </c>
      <c r="H1239" s="251">
        <v>0.99129999999999996</v>
      </c>
      <c r="I1239" s="251">
        <v>0.99099999999999999</v>
      </c>
      <c r="J1239" s="251">
        <v>0.99099999999999999</v>
      </c>
      <c r="K1239" s="251">
        <v>0.98560000000000003</v>
      </c>
      <c r="L1239" s="251">
        <v>0.9919</v>
      </c>
      <c r="M1239" s="251">
        <v>0.9919</v>
      </c>
      <c r="N1239" s="251">
        <v>0.99260000000000004</v>
      </c>
      <c r="O1239" s="251">
        <v>0.99260000000000004</v>
      </c>
      <c r="P1239" s="251">
        <v>0.9919</v>
      </c>
      <c r="Q1239" s="251">
        <v>0.99139999999999995</v>
      </c>
      <c r="R1239" s="251">
        <v>0.99019999999999997</v>
      </c>
      <c r="S1239" s="251">
        <v>1.0462</v>
      </c>
      <c r="T1239" s="251">
        <v>1.0464</v>
      </c>
      <c r="U1239" s="251">
        <v>1.0449999999999999</v>
      </c>
      <c r="V1239" s="251">
        <v>1.0488</v>
      </c>
      <c r="W1239" s="251">
        <v>1.0428999999999999</v>
      </c>
      <c r="X1239" s="251">
        <v>1.0570999999999999</v>
      </c>
      <c r="Y1239" s="251">
        <v>1.0648</v>
      </c>
      <c r="Z1239" s="245">
        <f ca="1">[1]ExtEntry!$R42</f>
        <v>1.0648</v>
      </c>
      <c r="AB1239" s="318">
        <v>174.99999999999716</v>
      </c>
      <c r="AC1239" s="318">
        <v>924.99999999999716</v>
      </c>
      <c r="AD1239" s="318">
        <v>424.99999999999716</v>
      </c>
      <c r="AE1239" s="318">
        <v>-700.00000000000284</v>
      </c>
      <c r="AF1239" s="318">
        <v>3125</v>
      </c>
      <c r="AG1239" s="318">
        <v>4025.0000000000055</v>
      </c>
      <c r="AH1239" s="318">
        <v>2250</v>
      </c>
      <c r="AI1239" s="318">
        <v>2250</v>
      </c>
      <c r="AJ1239" s="318">
        <v>4825.0000000000027</v>
      </c>
      <c r="AK1239" s="318">
        <v>500</v>
      </c>
      <c r="AL1239" s="318">
        <v>1600.0000000000086</v>
      </c>
      <c r="AM1239" s="318">
        <v>875</v>
      </c>
      <c r="AN1239" s="318">
        <v>-3250</v>
      </c>
      <c r="AO1239" s="318">
        <v>-3149.9999999999914</v>
      </c>
      <c r="AP1239" s="318">
        <v>-2200.0000000000027</v>
      </c>
      <c r="AQ1239" s="318">
        <v>-7200.0000000000027</v>
      </c>
      <c r="AR1239" s="318">
        <v>-8349.9999999999945</v>
      </c>
      <c r="AS1239" s="318">
        <v>-10625</v>
      </c>
      <c r="AT1239" s="318">
        <v>-13500</v>
      </c>
      <c r="AU1239" s="318">
        <v>-13424.999999999996</v>
      </c>
      <c r="AV1239" s="318">
        <f ca="1">Calc!Z42</f>
        <v>-13424.999999999996</v>
      </c>
      <c r="AX1239" s="88" t="str">
        <f t="shared" ca="1" si="102"/>
        <v>SAP</v>
      </c>
    </row>
    <row r="1240" spans="1:50" hidden="1" x14ac:dyDescent="0.3">
      <c r="A1240" s="88" t="str">
        <f t="shared" ca="1" si="101"/>
        <v>SHECY</v>
      </c>
      <c r="C1240" s="1">
        <v>43</v>
      </c>
      <c r="F1240" s="251">
        <v>1.5268999999999999</v>
      </c>
      <c r="G1240" s="251">
        <v>1.5172000000000001</v>
      </c>
      <c r="H1240" s="251">
        <v>1.5262</v>
      </c>
      <c r="I1240" s="251">
        <v>1.5257000000000001</v>
      </c>
      <c r="J1240" s="251">
        <v>1.5257000000000001</v>
      </c>
      <c r="K1240" s="251">
        <v>1.5258</v>
      </c>
      <c r="L1240" s="251">
        <v>1.5137</v>
      </c>
      <c r="M1240" s="251">
        <v>1.5137</v>
      </c>
      <c r="N1240" s="251">
        <v>1.5149999999999999</v>
      </c>
      <c r="O1240" s="251">
        <v>1.5089999999999999</v>
      </c>
      <c r="P1240" s="251">
        <v>1.5089999999999999</v>
      </c>
      <c r="Q1240" s="251">
        <v>1.448</v>
      </c>
      <c r="R1240" s="251">
        <v>1.4729000000000001</v>
      </c>
      <c r="S1240" s="251">
        <v>1.4318</v>
      </c>
      <c r="T1240" s="251">
        <v>1.2863</v>
      </c>
      <c r="U1240" s="251">
        <v>1.2843</v>
      </c>
      <c r="V1240" s="251">
        <v>1.2955000000000001</v>
      </c>
      <c r="W1240" s="251">
        <v>1.2892999999999999</v>
      </c>
      <c r="X1240" s="251">
        <v>1.2907999999999999</v>
      </c>
      <c r="Y1240" s="251">
        <v>1.29</v>
      </c>
      <c r="Z1240" s="245">
        <f ca="1">[1]ExtEntry!$R43</f>
        <v>1.29</v>
      </c>
      <c r="AB1240" s="318">
        <v>3360.0000000000032</v>
      </c>
      <c r="AC1240" s="318">
        <v>3280.1999999999971</v>
      </c>
      <c r="AD1240" s="318">
        <v>3000</v>
      </c>
      <c r="AE1240" s="318">
        <v>3150.0000000000023</v>
      </c>
      <c r="AF1240" s="318">
        <v>2670.0000000000018</v>
      </c>
      <c r="AG1240" s="318">
        <v>2460.0000000000009</v>
      </c>
      <c r="AH1240" s="318">
        <v>1769.9999999999995</v>
      </c>
      <c r="AI1240" s="318">
        <v>1769.9999999999995</v>
      </c>
      <c r="AJ1240" s="318">
        <v>2099.9999999999977</v>
      </c>
      <c r="AK1240" s="318">
        <v>660.00000000000193</v>
      </c>
      <c r="AL1240" s="318">
        <v>-240.00000000000023</v>
      </c>
      <c r="AM1240" s="318">
        <v>-89.999999999998082</v>
      </c>
      <c r="AN1240" s="318">
        <v>-684.31999999999948</v>
      </c>
      <c r="AO1240" s="318">
        <v>-684.31999999999948</v>
      </c>
      <c r="AP1240" s="318">
        <v>-789.59999999999718</v>
      </c>
      <c r="AQ1240" s="318">
        <v>-1842.399999999998</v>
      </c>
      <c r="AR1240" s="318">
        <v>-1342.3199999999995</v>
      </c>
      <c r="AS1240" s="318">
        <v>-552.71999999999753</v>
      </c>
      <c r="AT1240" s="318">
        <v>-2289.8399999999979</v>
      </c>
      <c r="AU1240" s="318">
        <v>-2593.8360000000002</v>
      </c>
      <c r="AV1240" s="318">
        <f ca="1">Calc!Z43</f>
        <v>-2593.8360000000002</v>
      </c>
      <c r="AX1240" s="88" t="str">
        <f t="shared" ca="1" si="102"/>
        <v>SHECY</v>
      </c>
    </row>
    <row r="1241" spans="1:50" hidden="1" x14ac:dyDescent="0.3">
      <c r="A1241" s="88" t="str">
        <f t="shared" ca="1" si="101"/>
        <v>SSYS</v>
      </c>
      <c r="C1241" s="1">
        <v>44</v>
      </c>
      <c r="F1241" s="251">
        <v>1.6181000000000001</v>
      </c>
      <c r="G1241" s="251">
        <v>1.6180000000000001</v>
      </c>
      <c r="H1241" s="251">
        <v>1.6106</v>
      </c>
      <c r="I1241" s="251">
        <v>1.6175999999999999</v>
      </c>
      <c r="J1241" s="251">
        <v>1.6175999999999999</v>
      </c>
      <c r="K1241" s="251">
        <v>1.6105</v>
      </c>
      <c r="L1241" s="251">
        <v>1.611</v>
      </c>
      <c r="M1241" s="251">
        <v>1.611</v>
      </c>
      <c r="N1241" s="251">
        <v>1.611</v>
      </c>
      <c r="O1241" s="251">
        <v>1.611</v>
      </c>
      <c r="P1241" s="251">
        <v>1.6156999999999999</v>
      </c>
      <c r="Q1241" s="251">
        <v>1.6188</v>
      </c>
      <c r="R1241" s="251">
        <v>1.6088</v>
      </c>
      <c r="S1241" s="251">
        <v>1.4621</v>
      </c>
      <c r="T1241" s="251">
        <v>1.4714</v>
      </c>
      <c r="U1241" s="251">
        <v>1.4711000000000001</v>
      </c>
      <c r="V1241" s="251">
        <v>1.4815</v>
      </c>
      <c r="W1241" s="251">
        <v>1.4836</v>
      </c>
      <c r="X1241" s="251">
        <v>1.5017</v>
      </c>
      <c r="Y1241" s="251">
        <v>1.5111000000000001</v>
      </c>
      <c r="Z1241" s="245">
        <f ca="1">[1]ExtEntry!$R44</f>
        <v>1.5111000000000001</v>
      </c>
      <c r="AB1241" s="318">
        <v>4829.9999999999982</v>
      </c>
      <c r="AC1241" s="318">
        <v>6656.9999999999982</v>
      </c>
      <c r="AD1241" s="318">
        <v>6690.0000000000009</v>
      </c>
      <c r="AE1241" s="318">
        <v>5010</v>
      </c>
      <c r="AF1241" s="318">
        <v>9569.9999999999982</v>
      </c>
      <c r="AG1241" s="318">
        <v>9299.9999999999982</v>
      </c>
      <c r="AH1241" s="318">
        <v>6150.0000000000018</v>
      </c>
      <c r="AI1241" s="318">
        <v>6150.0000000000018</v>
      </c>
      <c r="AJ1241" s="318">
        <v>7589.9999999999982</v>
      </c>
      <c r="AK1241" s="318">
        <v>8220</v>
      </c>
      <c r="AL1241" s="318">
        <v>7980</v>
      </c>
      <c r="AM1241" s="318">
        <v>6839.9999999999982</v>
      </c>
      <c r="AN1241" s="318">
        <v>4589.9999999999982</v>
      </c>
      <c r="AO1241" s="318">
        <v>2039.9999999999991</v>
      </c>
      <c r="AP1241" s="318">
        <v>1799.9999999999989</v>
      </c>
      <c r="AQ1241" s="318">
        <v>630.0000000000025</v>
      </c>
      <c r="AR1241" s="318">
        <v>630.0000000000025</v>
      </c>
      <c r="AS1241" s="318">
        <v>-900.00000000000216</v>
      </c>
      <c r="AT1241" s="318">
        <v>-2250</v>
      </c>
      <c r="AU1241" s="318">
        <v>-2400.0000000000023</v>
      </c>
      <c r="AV1241" s="318">
        <f ca="1">Calc!Z44</f>
        <v>-2400.0000000000023</v>
      </c>
      <c r="AX1241" s="88" t="str">
        <f t="shared" ca="1" si="102"/>
        <v>SSYS</v>
      </c>
    </row>
    <row r="1242" spans="1:50" hidden="1" x14ac:dyDescent="0.3">
      <c r="A1242" s="88" t="str">
        <f t="shared" ca="1" si="101"/>
        <v>TSLA</v>
      </c>
      <c r="C1242" s="1">
        <v>45</v>
      </c>
      <c r="F1242" s="251">
        <v>2.0733999999999999</v>
      </c>
      <c r="G1242" s="251">
        <v>2.0754999999999999</v>
      </c>
      <c r="H1242" s="251">
        <v>2.0739000000000001</v>
      </c>
      <c r="I1242" s="251">
        <v>2.0724999999999998</v>
      </c>
      <c r="J1242" s="251">
        <v>2.0724999999999998</v>
      </c>
      <c r="K1242" s="251">
        <v>2.0714999999999999</v>
      </c>
      <c r="L1242" s="251">
        <v>2.0720000000000001</v>
      </c>
      <c r="M1242" s="251">
        <v>2.0720000000000001</v>
      </c>
      <c r="N1242" s="251">
        <v>2.0720000000000001</v>
      </c>
      <c r="O1242" s="251">
        <v>2.0720000000000001</v>
      </c>
      <c r="P1242" s="251">
        <v>2.0724</v>
      </c>
      <c r="Q1242" s="251">
        <v>2.0646</v>
      </c>
      <c r="R1242" s="251">
        <v>2.0657999999999999</v>
      </c>
      <c r="S1242" s="251">
        <v>1.87</v>
      </c>
      <c r="T1242" s="251">
        <v>1.8744000000000001</v>
      </c>
      <c r="U1242" s="251">
        <v>1.8687</v>
      </c>
      <c r="V1242" s="251">
        <v>1.8709</v>
      </c>
      <c r="W1242" s="251">
        <v>1.8945000000000001</v>
      </c>
      <c r="X1242" s="251">
        <v>1.8911</v>
      </c>
      <c r="Y1242" s="251">
        <v>1.8974</v>
      </c>
      <c r="Z1242" s="245">
        <f ca="1">[1]ExtEntry!$R45</f>
        <v>1.8974</v>
      </c>
      <c r="AB1242" s="318">
        <v>92.730000000000018</v>
      </c>
      <c r="AC1242" s="318">
        <v>96.930099999999982</v>
      </c>
      <c r="AD1242" s="318">
        <v>92.240000000000009</v>
      </c>
      <c r="AE1242" s="318">
        <v>102.80000000000001</v>
      </c>
      <c r="AF1242" s="318">
        <v>110.92000000000002</v>
      </c>
      <c r="AG1242" s="318">
        <v>106.09000000000003</v>
      </c>
      <c r="AH1242" s="318">
        <v>102.46000000000004</v>
      </c>
      <c r="AI1242" s="318">
        <v>102.46000000000004</v>
      </c>
      <c r="AJ1242" s="318">
        <v>112.47000000000003</v>
      </c>
      <c r="AK1242" s="318">
        <v>97.210000000000036</v>
      </c>
      <c r="AL1242" s="318">
        <v>115.91000000000003</v>
      </c>
      <c r="AM1242" s="318">
        <v>124.04000000000002</v>
      </c>
      <c r="AN1242" s="318">
        <v>103.59000000000003</v>
      </c>
      <c r="AO1242" s="318">
        <v>110.41000000000003</v>
      </c>
      <c r="AP1242" s="318">
        <v>125.74799999999999</v>
      </c>
      <c r="AQ1242" s="318">
        <v>108.49990000000003</v>
      </c>
      <c r="AR1242" s="318">
        <v>93.519999999999982</v>
      </c>
      <c r="AS1242" s="318">
        <v>67.840000000000032</v>
      </c>
      <c r="AT1242" s="318">
        <v>64.740000000000009</v>
      </c>
      <c r="AU1242" s="318">
        <v>65.600000000000023</v>
      </c>
      <c r="AV1242" s="318">
        <f ca="1">Calc!Z45</f>
        <v>65.600000000000023</v>
      </c>
      <c r="AX1242" s="88" t="str">
        <f t="shared" ca="1" si="102"/>
        <v>TSLA</v>
      </c>
    </row>
    <row r="1243" spans="1:50" hidden="1" x14ac:dyDescent="0.3">
      <c r="A1243" s="88" t="str">
        <f t="shared" ca="1" si="101"/>
        <v>TSM</v>
      </c>
      <c r="C1243" s="1">
        <v>46</v>
      </c>
      <c r="F1243" s="251">
        <v>1.2985</v>
      </c>
      <c r="G1243" s="251">
        <v>1.3010999999999999</v>
      </c>
      <c r="H1243" s="251">
        <v>1.2997000000000001</v>
      </c>
      <c r="I1243" s="251">
        <v>1.3035000000000001</v>
      </c>
      <c r="J1243" s="251">
        <v>1.3035000000000001</v>
      </c>
      <c r="K1243" s="251">
        <v>1.3083</v>
      </c>
      <c r="L1243" s="251">
        <v>1.3088</v>
      </c>
      <c r="M1243" s="251">
        <v>1.3088</v>
      </c>
      <c r="N1243" s="251">
        <v>1.3088</v>
      </c>
      <c r="O1243" s="251">
        <v>1.3088</v>
      </c>
      <c r="P1243" s="251">
        <v>1.3099000000000001</v>
      </c>
      <c r="Q1243" s="251">
        <v>1.3134999999999999</v>
      </c>
      <c r="R1243" s="251">
        <v>1.3168</v>
      </c>
      <c r="S1243" s="251">
        <v>1.3075000000000001</v>
      </c>
      <c r="T1243" s="251">
        <v>1.3110999999999999</v>
      </c>
      <c r="U1243" s="251">
        <v>1.3115000000000001</v>
      </c>
      <c r="V1243" s="251">
        <v>1.3138000000000001</v>
      </c>
      <c r="W1243" s="251">
        <v>1.3194999999999999</v>
      </c>
      <c r="X1243" s="251">
        <v>1.3197000000000001</v>
      </c>
      <c r="Y1243" s="251">
        <v>1.3241000000000001</v>
      </c>
      <c r="Z1243" s="245">
        <f ca="1">[1]ExtEntry!$R46</f>
        <v>1.3241000000000001</v>
      </c>
      <c r="AB1243" s="318">
        <v>60725.000000000022</v>
      </c>
      <c r="AC1243" s="318">
        <v>69815</v>
      </c>
      <c r="AD1243" s="318">
        <v>64720.000000000029</v>
      </c>
      <c r="AE1243" s="318">
        <v>59829.999999999985</v>
      </c>
      <c r="AF1243" s="318">
        <v>62543.999999999985</v>
      </c>
      <c r="AG1243" s="318">
        <v>59269.999999999985</v>
      </c>
      <c r="AH1243" s="318">
        <v>1998.0000000000018</v>
      </c>
      <c r="AI1243" s="318">
        <v>1998.0000000000018</v>
      </c>
      <c r="AJ1243" s="318">
        <v>3470.0000000000273</v>
      </c>
      <c r="AK1243" s="318">
        <v>6878.00000000002</v>
      </c>
      <c r="AL1243" s="318">
        <v>9470.0000000000273</v>
      </c>
      <c r="AM1243" s="318">
        <v>12094.000000000005</v>
      </c>
      <c r="AN1243" s="318">
        <v>13518.000000000029</v>
      </c>
      <c r="AO1243" s="318">
        <v>6914.0000000000327</v>
      </c>
      <c r="AP1243" s="318">
        <v>6038.0000000000109</v>
      </c>
      <c r="AQ1243" s="318">
        <v>2422.0000000000255</v>
      </c>
      <c r="AR1243" s="318">
        <v>-441.9999999999618</v>
      </c>
      <c r="AS1243" s="318">
        <v>-1225.9999999999764</v>
      </c>
      <c r="AT1243" s="318">
        <v>-6713.9999999999873</v>
      </c>
      <c r="AU1243" s="318">
        <v>-5529.9999999999727</v>
      </c>
      <c r="AV1243" s="318">
        <f ca="1">Calc!Z46</f>
        <v>-5529.9999999999727</v>
      </c>
      <c r="AX1243" s="88" t="str">
        <f t="shared" ca="1" si="102"/>
        <v>TSM</v>
      </c>
    </row>
    <row r="1244" spans="1:50" hidden="1" x14ac:dyDescent="0.3">
      <c r="A1244" s="88" t="str">
        <f t="shared" ca="1" si="101"/>
        <v>UN0</v>
      </c>
      <c r="C1244" s="1">
        <v>47</v>
      </c>
      <c r="F1244" s="251">
        <v>1.0705</v>
      </c>
      <c r="G1244" s="251">
        <v>1.0669</v>
      </c>
      <c r="H1244" s="251">
        <v>1.0704</v>
      </c>
      <c r="I1244" s="251">
        <v>1.0698000000000001</v>
      </c>
      <c r="J1244" s="251">
        <v>1.0698000000000001</v>
      </c>
      <c r="K1244" s="251">
        <v>1.0736000000000001</v>
      </c>
      <c r="L1244" s="251">
        <v>1.0701000000000001</v>
      </c>
      <c r="M1244" s="251">
        <v>1.0701000000000001</v>
      </c>
      <c r="N1244" s="251">
        <v>1.0701000000000001</v>
      </c>
      <c r="O1244" s="251">
        <v>1.0701000000000001</v>
      </c>
      <c r="P1244" s="251">
        <v>1.0680000000000001</v>
      </c>
      <c r="Q1244" s="251">
        <v>1.07</v>
      </c>
      <c r="R1244" s="251">
        <v>1.0687</v>
      </c>
      <c r="S1244" s="251">
        <v>1.0952</v>
      </c>
      <c r="T1244" s="251">
        <v>1.0946</v>
      </c>
      <c r="U1244" s="251">
        <v>1.0945</v>
      </c>
      <c r="V1244" s="251">
        <v>1.0959000000000001</v>
      </c>
      <c r="W1244" s="251">
        <v>1.0938000000000001</v>
      </c>
      <c r="X1244" s="251">
        <v>1.0875999999999999</v>
      </c>
      <c r="Y1244" s="251">
        <v>1.0843</v>
      </c>
      <c r="Z1244" s="245">
        <f ca="1">[1]ExtEntry!$R47</f>
        <v>1.0843</v>
      </c>
      <c r="AB1244" s="318">
        <v>-1991.7449999999985</v>
      </c>
      <c r="AC1244" s="318">
        <v>-1974.2449999999983</v>
      </c>
      <c r="AD1244" s="318">
        <v>-1921.744999999999</v>
      </c>
      <c r="AE1244" s="318">
        <v>-1991.7449999999985</v>
      </c>
      <c r="AF1244" s="318">
        <v>-1484.244999999999</v>
      </c>
      <c r="AG1244" s="318">
        <v>-1939.2449999999992</v>
      </c>
      <c r="AH1244" s="318">
        <v>-1904.2449999999985</v>
      </c>
      <c r="AI1244" s="318">
        <v>-1904.2449999999985</v>
      </c>
      <c r="AJ1244" s="318">
        <v>-2201.744999999999</v>
      </c>
      <c r="AK1244" s="318">
        <v>-2481.7449999999994</v>
      </c>
      <c r="AL1244" s="318">
        <v>-2236.7449999999985</v>
      </c>
      <c r="AM1244" s="318">
        <v>-2446.744999999999</v>
      </c>
      <c r="AN1244" s="318">
        <v>-2516.7449999999985</v>
      </c>
      <c r="AO1244" s="318">
        <v>-2674.2449999999985</v>
      </c>
      <c r="AP1244" s="318">
        <v>-2709.244999999999</v>
      </c>
      <c r="AQ1244" s="318">
        <v>-3251.744999999999</v>
      </c>
      <c r="AR1244" s="318">
        <v>-3059.244999999999</v>
      </c>
      <c r="AS1244" s="318">
        <v>-3024.2449999999985</v>
      </c>
      <c r="AT1244" s="318">
        <v>-2691.7449999999985</v>
      </c>
      <c r="AU1244" s="318">
        <v>-2446.744999999999</v>
      </c>
      <c r="AV1244" s="318">
        <f ca="1">Calc!Z47</f>
        <v>-2446.744999999999</v>
      </c>
      <c r="AX1244" s="88" t="str">
        <f t="shared" ca="1" si="102"/>
        <v>UN0</v>
      </c>
    </row>
    <row r="1245" spans="1:50" hidden="1" x14ac:dyDescent="0.3">
      <c r="A1245" s="88" t="str">
        <f t="shared" ca="1" si="101"/>
        <v>UNIT</v>
      </c>
      <c r="C1245" s="1">
        <v>48</v>
      </c>
      <c r="F1245" s="251">
        <v>1.5479000000000001</v>
      </c>
      <c r="G1245" s="251">
        <v>1.5508</v>
      </c>
      <c r="H1245" s="251">
        <v>1.5410999999999999</v>
      </c>
      <c r="I1245" s="251">
        <v>1.5427999999999999</v>
      </c>
      <c r="J1245" s="251">
        <v>1.5427999999999999</v>
      </c>
      <c r="K1245" s="251">
        <v>1.5399</v>
      </c>
      <c r="L1245" s="251">
        <v>1.5399</v>
      </c>
      <c r="M1245" s="251">
        <v>1.5399</v>
      </c>
      <c r="N1245" s="251">
        <v>1.5399</v>
      </c>
      <c r="O1245" s="251">
        <v>1.5399</v>
      </c>
      <c r="P1245" s="251">
        <v>1.5403</v>
      </c>
      <c r="Q1245" s="251">
        <v>1.5357000000000001</v>
      </c>
      <c r="R1245" s="251">
        <v>1.5266</v>
      </c>
      <c r="S1245" s="251">
        <v>1.5023</v>
      </c>
      <c r="T1245" s="251">
        <v>1.4944999999999999</v>
      </c>
      <c r="U1245" s="251">
        <v>1.4869000000000001</v>
      </c>
      <c r="V1245" s="251">
        <v>1.4749000000000001</v>
      </c>
      <c r="W1245" s="251">
        <v>1.4879</v>
      </c>
      <c r="X1245" s="251">
        <v>1.4767999999999999</v>
      </c>
      <c r="Y1245" s="251">
        <v>1.4695</v>
      </c>
      <c r="Z1245" s="245">
        <f ca="1">[1]ExtEntry!$R48</f>
        <v>1.4695</v>
      </c>
      <c r="AB1245" s="318">
        <v>-31731.248000000003</v>
      </c>
      <c r="AC1245" s="318">
        <v>-28909.728000000006</v>
      </c>
      <c r="AD1245" s="318">
        <v>-29018.248000000003</v>
      </c>
      <c r="AE1245" s="318">
        <v>-28584.168000000005</v>
      </c>
      <c r="AF1245" s="318">
        <v>-26769.500000000007</v>
      </c>
      <c r="AG1245" s="318">
        <v>-26769.500000000007</v>
      </c>
      <c r="AH1245" s="318">
        <v>-27131.250000000007</v>
      </c>
      <c r="AI1245" s="318">
        <v>-27131.250000000007</v>
      </c>
      <c r="AJ1245" s="318">
        <v>-25322.500000000007</v>
      </c>
      <c r="AK1245" s="318">
        <v>-23875.500000000004</v>
      </c>
      <c r="AL1245" s="318">
        <v>-22283.800000000007</v>
      </c>
      <c r="AM1245" s="318">
        <v>-23586.100000000006</v>
      </c>
      <c r="AN1245" s="318">
        <v>-25250.150000000009</v>
      </c>
      <c r="AO1245" s="318">
        <v>-22826.425000000007</v>
      </c>
      <c r="AP1245" s="318">
        <v>-20981.500000000004</v>
      </c>
      <c r="AQ1245" s="318">
        <v>-22175.275000000001</v>
      </c>
      <c r="AR1245" s="318">
        <v>-19787.725000000002</v>
      </c>
      <c r="AS1245" s="318">
        <v>-21849.700000000004</v>
      </c>
      <c r="AT1245" s="318">
        <v>-22790.250000000004</v>
      </c>
      <c r="AU1245" s="318">
        <v>-24490.475000000006</v>
      </c>
      <c r="AV1245" s="318">
        <f ca="1">Calc!Z48</f>
        <v>-24490.475000000006</v>
      </c>
      <c r="AX1245" s="88" t="str">
        <f t="shared" ca="1" si="102"/>
        <v>UNIT</v>
      </c>
    </row>
    <row r="1246" spans="1:50" hidden="1" x14ac:dyDescent="0.3">
      <c r="A1246" s="88" t="str">
        <f t="shared" ca="1" si="101"/>
        <v>VLVLY</v>
      </c>
      <c r="C1246" s="1">
        <v>49</v>
      </c>
      <c r="F1246" s="251">
        <v>0.92749999999999999</v>
      </c>
      <c r="G1246" s="251">
        <v>0.9264</v>
      </c>
      <c r="H1246" s="251">
        <v>0.9264</v>
      </c>
      <c r="I1246" s="251">
        <v>0.91520000000000001</v>
      </c>
      <c r="J1246" s="251">
        <v>0.91520000000000001</v>
      </c>
      <c r="K1246" s="251">
        <v>0.92649999999999999</v>
      </c>
      <c r="L1246" s="251">
        <v>0.92090000000000005</v>
      </c>
      <c r="M1246" s="251">
        <v>0.92090000000000005</v>
      </c>
      <c r="N1246" s="251">
        <v>0.92090000000000005</v>
      </c>
      <c r="O1246" s="251">
        <v>0.9163</v>
      </c>
      <c r="P1246" s="251">
        <v>0.91510000000000002</v>
      </c>
      <c r="Q1246" s="251">
        <v>0.90620000000000001</v>
      </c>
      <c r="R1246" s="251">
        <v>0.9083</v>
      </c>
      <c r="S1246" s="251">
        <v>0.89810000000000001</v>
      </c>
      <c r="T1246" s="251">
        <v>0.8992</v>
      </c>
      <c r="U1246" s="251">
        <v>0.89610000000000001</v>
      </c>
      <c r="V1246" s="251">
        <v>0.89739999999999998</v>
      </c>
      <c r="W1246" s="251">
        <v>0.8982</v>
      </c>
      <c r="X1246" s="251">
        <v>0.89639999999999997</v>
      </c>
      <c r="Y1246" s="251">
        <v>0.89629999999999999</v>
      </c>
      <c r="Z1246" s="245">
        <f ca="1">[1]ExtEntry!$R49</f>
        <v>0.89629999999999999</v>
      </c>
      <c r="AB1246" s="318">
        <v>5325.1500000000005</v>
      </c>
      <c r="AC1246" s="318">
        <v>5532.0000000000036</v>
      </c>
      <c r="AD1246" s="318">
        <v>6015.0000000000027</v>
      </c>
      <c r="AE1246" s="318">
        <v>3315.0000000000014</v>
      </c>
      <c r="AF1246" s="318">
        <v>4410.0000000000018</v>
      </c>
      <c r="AG1246" s="318">
        <v>4770</v>
      </c>
      <c r="AH1246" s="318">
        <v>4545.0000000000018</v>
      </c>
      <c r="AI1246" s="318">
        <v>4545.0000000000018</v>
      </c>
      <c r="AJ1246" s="318">
        <v>4890.0000000000027</v>
      </c>
      <c r="AK1246" s="318">
        <v>5190.0000000000009</v>
      </c>
      <c r="AL1246" s="318">
        <v>5445.0000000000036</v>
      </c>
      <c r="AM1246" s="318">
        <v>5325.0000000000009</v>
      </c>
      <c r="AN1246" s="318">
        <v>-750</v>
      </c>
      <c r="AO1246" s="318">
        <v>-1792.5000000000005</v>
      </c>
      <c r="AP1246" s="318">
        <v>-629.09999999999934</v>
      </c>
      <c r="AQ1246" s="318">
        <v>-960.00000000000091</v>
      </c>
      <c r="AR1246" s="318">
        <v>-875.25000000000114</v>
      </c>
      <c r="AS1246" s="318">
        <v>59.999999999998721</v>
      </c>
      <c r="AT1246" s="318">
        <v>-585.00000000000091</v>
      </c>
      <c r="AU1246" s="318">
        <v>7.4999999999985079</v>
      </c>
      <c r="AV1246" s="318">
        <f ca="1">Calc!Z49</f>
        <v>7.4999999999985079</v>
      </c>
      <c r="AX1246" s="88" t="str">
        <f t="shared" ca="1" si="102"/>
        <v>VLVLY</v>
      </c>
    </row>
    <row r="1247" spans="1:50" hidden="1" x14ac:dyDescent="0.3">
      <c r="A1247" s="88" t="str">
        <f t="shared" ca="1" si="101"/>
        <v>VONN</v>
      </c>
      <c r="C1247" s="1">
        <v>50</v>
      </c>
      <c r="F1247" s="251">
        <v>1.0185999999999999</v>
      </c>
      <c r="G1247" s="251">
        <v>1.0196000000000001</v>
      </c>
      <c r="H1247" s="251">
        <v>1.0192000000000001</v>
      </c>
      <c r="I1247" s="251">
        <v>0.9899</v>
      </c>
      <c r="J1247" s="251">
        <v>0.9899</v>
      </c>
      <c r="K1247" s="251">
        <v>0.99680000000000002</v>
      </c>
      <c r="L1247" s="251">
        <v>0.99439999999999995</v>
      </c>
      <c r="M1247" s="251">
        <v>0.99439999999999995</v>
      </c>
      <c r="N1247" s="251">
        <v>0.99439999999999995</v>
      </c>
      <c r="O1247" s="251">
        <v>0.99439999999999995</v>
      </c>
      <c r="P1247" s="251">
        <v>1.0084</v>
      </c>
      <c r="Q1247" s="251">
        <v>1.0186999999999999</v>
      </c>
      <c r="R1247" s="251">
        <v>1.0222</v>
      </c>
      <c r="S1247" s="251">
        <v>0.84560000000000002</v>
      </c>
      <c r="T1247" s="251">
        <v>0.84670000000000001</v>
      </c>
      <c r="U1247" s="251">
        <v>0.84440000000000004</v>
      </c>
      <c r="V1247" s="251">
        <v>0.84019999999999995</v>
      </c>
      <c r="W1247" s="251">
        <v>0.81679999999999997</v>
      </c>
      <c r="X1247" s="251">
        <v>0.82520000000000004</v>
      </c>
      <c r="Y1247" s="251">
        <v>0.82389999999999997</v>
      </c>
      <c r="Z1247" s="245">
        <f ca="1">[1]ExtEntry!$R50</f>
        <v>0.82389999999999997</v>
      </c>
      <c r="AB1247" s="318">
        <v>3000</v>
      </c>
      <c r="AC1247" s="318">
        <v>2000</v>
      </c>
      <c r="AD1247" s="318">
        <v>0</v>
      </c>
      <c r="AE1247" s="318">
        <v>109.99999999999943</v>
      </c>
      <c r="AF1247" s="318">
        <v>210.00000000000085</v>
      </c>
      <c r="AG1247" s="318">
        <v>-189.99999999999773</v>
      </c>
      <c r="AH1247" s="318">
        <v>1409.9999999999966</v>
      </c>
      <c r="AI1247" s="318">
        <v>1409.9999999999966</v>
      </c>
      <c r="AJ1247" s="318">
        <v>2210.0000000000009</v>
      </c>
      <c r="AK1247" s="318">
        <v>2409.9999999999964</v>
      </c>
      <c r="AL1247" s="318">
        <v>2310.0000000000023</v>
      </c>
      <c r="AM1247" s="318">
        <v>1509.999999999998</v>
      </c>
      <c r="AN1247" s="318">
        <v>2009.999999999998</v>
      </c>
      <c r="AO1247" s="318">
        <v>509.99999999999801</v>
      </c>
      <c r="AP1247" s="318">
        <v>-200.00000000000284</v>
      </c>
      <c r="AQ1247" s="318">
        <v>-1199.9999999999886</v>
      </c>
      <c r="AR1247" s="318">
        <v>-300.00000000001137</v>
      </c>
      <c r="AS1247" s="318">
        <v>3099.9999999999945</v>
      </c>
      <c r="AT1247" s="318">
        <v>500</v>
      </c>
      <c r="AU1247" s="318">
        <v>1500</v>
      </c>
      <c r="AV1247" s="318">
        <f ca="1">Calc!Z50</f>
        <v>1500</v>
      </c>
      <c r="AX1247" s="88" t="str">
        <f t="shared" ca="1" si="102"/>
        <v>VONN</v>
      </c>
    </row>
    <row r="1248" spans="1:50" hidden="1" x14ac:dyDescent="0.3">
      <c r="A1248" s="88" t="str">
        <f t="shared" ca="1" si="101"/>
        <v>VTRS</v>
      </c>
      <c r="C1248" s="1">
        <v>51</v>
      </c>
      <c r="F1248" s="251">
        <v>0.89359999999999995</v>
      </c>
      <c r="G1248" s="251">
        <v>0.8921</v>
      </c>
      <c r="H1248" s="251">
        <v>0.89259999999999995</v>
      </c>
      <c r="I1248" s="251">
        <v>0.88970000000000005</v>
      </c>
      <c r="J1248" s="251">
        <v>0.88970000000000005</v>
      </c>
      <c r="K1248" s="251">
        <v>0.89319999999999999</v>
      </c>
      <c r="L1248" s="251">
        <v>0.89280000000000004</v>
      </c>
      <c r="M1248" s="251">
        <v>0.89280000000000004</v>
      </c>
      <c r="N1248" s="251">
        <v>0.89280000000000004</v>
      </c>
      <c r="O1248" s="251">
        <v>0.89280000000000004</v>
      </c>
      <c r="P1248" s="251">
        <v>0.89270000000000005</v>
      </c>
      <c r="Q1248" s="251">
        <v>0.90059999999999996</v>
      </c>
      <c r="R1248" s="251">
        <v>0.89900000000000002</v>
      </c>
      <c r="S1248" s="251">
        <v>0.83399999999999996</v>
      </c>
      <c r="T1248" s="251">
        <v>0.83</v>
      </c>
      <c r="U1248" s="251">
        <v>0.82750000000000001</v>
      </c>
      <c r="V1248" s="251">
        <v>0.83550000000000002</v>
      </c>
      <c r="W1248" s="251">
        <v>0.81810000000000005</v>
      </c>
      <c r="X1248" s="251">
        <v>0.82340000000000002</v>
      </c>
      <c r="Y1248" s="251">
        <v>0.81520000000000004</v>
      </c>
      <c r="Z1248" s="245">
        <f ca="1">[1]ExtEntry!$R51</f>
        <v>0.81520000000000004</v>
      </c>
      <c r="AB1248" s="318">
        <v>2349.9999999999945</v>
      </c>
      <c r="AC1248" s="318">
        <v>2574.9999999999941</v>
      </c>
      <c r="AD1248" s="318">
        <v>3199.9999999999941</v>
      </c>
      <c r="AE1248" s="318">
        <v>3549.9999999999955</v>
      </c>
      <c r="AF1248" s="318">
        <v>4249.9999999999982</v>
      </c>
      <c r="AG1248" s="318">
        <v>4649.9999999999982</v>
      </c>
      <c r="AH1248" s="318">
        <v>4749.9999999999964</v>
      </c>
      <c r="AI1248" s="318">
        <v>4749.9999999999964</v>
      </c>
      <c r="AJ1248" s="318">
        <v>4249.9999999999982</v>
      </c>
      <c r="AK1248" s="318">
        <v>4449.9999999999936</v>
      </c>
      <c r="AL1248" s="318">
        <v>4799.9999999999955</v>
      </c>
      <c r="AM1248" s="318">
        <v>4149.9999999999918</v>
      </c>
      <c r="AN1248" s="318">
        <v>4499.9999999999927</v>
      </c>
      <c r="AO1248" s="318">
        <v>5374.9999999999964</v>
      </c>
      <c r="AP1248" s="318">
        <v>6449.9999999999955</v>
      </c>
      <c r="AQ1248" s="318">
        <v>3674.9999999999973</v>
      </c>
      <c r="AR1248" s="318">
        <v>3074.9999999999923</v>
      </c>
      <c r="AS1248" s="318">
        <v>6299.9999999999991</v>
      </c>
      <c r="AT1248" s="318">
        <v>6250</v>
      </c>
      <c r="AU1248" s="318">
        <v>5424.9999999999955</v>
      </c>
      <c r="AV1248" s="318">
        <f ca="1">Calc!Z51</f>
        <v>5424.9999999999955</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0.46899999999999997</v>
      </c>
      <c r="G1250" s="251">
        <v>0.46910000000000002</v>
      </c>
      <c r="H1250" s="251">
        <v>0.46949999999999997</v>
      </c>
      <c r="I1250" s="251">
        <v>0.46889999999999998</v>
      </c>
      <c r="J1250" s="251">
        <v>0.46889999999999998</v>
      </c>
      <c r="K1250" s="251">
        <v>0.46710000000000002</v>
      </c>
      <c r="L1250" s="251">
        <v>0.46710000000000002</v>
      </c>
      <c r="M1250" s="251">
        <v>0.46710000000000002</v>
      </c>
      <c r="N1250" s="251">
        <v>0.46710000000000002</v>
      </c>
      <c r="O1250" s="251">
        <v>0.46710000000000002</v>
      </c>
      <c r="P1250" s="251">
        <v>0.4662</v>
      </c>
      <c r="Q1250" s="251">
        <v>0.4657</v>
      </c>
      <c r="R1250" s="251">
        <v>0.46610000000000001</v>
      </c>
      <c r="S1250" s="251">
        <v>0.38080000000000003</v>
      </c>
      <c r="T1250" s="251">
        <v>0.38169999999999998</v>
      </c>
      <c r="U1250" s="251">
        <v>0.3821</v>
      </c>
      <c r="V1250" s="251">
        <v>0.38119999999999998</v>
      </c>
      <c r="W1250" s="251">
        <v>0.37240000000000001</v>
      </c>
      <c r="X1250" s="251">
        <v>0.37459999999999999</v>
      </c>
      <c r="Y1250" s="251">
        <v>0.36840000000000001</v>
      </c>
      <c r="Z1250" s="245">
        <f ca="1">[1]ExtEntry!$R53</f>
        <v>0.36840000000000001</v>
      </c>
      <c r="AB1250" s="318">
        <v>-1553.9999999999977</v>
      </c>
      <c r="AC1250" s="318">
        <v>-1714.4999999999968</v>
      </c>
      <c r="AD1250" s="318">
        <v>-2054.9999999999982</v>
      </c>
      <c r="AE1250" s="318">
        <v>-1575</v>
      </c>
      <c r="AF1250" s="318">
        <v>-1435.4999999999991</v>
      </c>
      <c r="AG1250" s="318">
        <v>-1436.9999999999977</v>
      </c>
      <c r="AH1250" s="318">
        <v>-827.99999999999727</v>
      </c>
      <c r="AI1250" s="318">
        <v>-827.99999999999727</v>
      </c>
      <c r="AJ1250" s="318">
        <v>-461.99999999999761</v>
      </c>
      <c r="AK1250" s="318">
        <v>-626.99999999999682</v>
      </c>
      <c r="AL1250" s="318">
        <v>-459.00000000000034</v>
      </c>
      <c r="AM1250" s="318">
        <v>-734.99999999999659</v>
      </c>
      <c r="AN1250" s="318">
        <v>-839.99999999999909</v>
      </c>
      <c r="AO1250" s="318">
        <v>-1018.4999999999989</v>
      </c>
      <c r="AP1250" s="318">
        <v>-1134.0000000000005</v>
      </c>
      <c r="AQ1250" s="318">
        <v>-779.99999999999829</v>
      </c>
      <c r="AR1250" s="318">
        <v>-29.999999999998295</v>
      </c>
      <c r="AS1250" s="318">
        <v>537.00000000000182</v>
      </c>
      <c r="AT1250" s="318">
        <v>462.00000000000188</v>
      </c>
      <c r="AU1250" s="318">
        <v>27.000000000001023</v>
      </c>
      <c r="AV1250" s="318">
        <f ca="1">Calc!Z53</f>
        <v>27.000000000001023</v>
      </c>
      <c r="AX1250" s="88" t="str">
        <f t="shared" ca="1" si="102"/>
        <v>XOM</v>
      </c>
    </row>
    <row r="1251" spans="1:50" hidden="1" x14ac:dyDescent="0.3">
      <c r="A1251" s="88" t="str">
        <f t="shared" ca="1" si="101"/>
        <v>XPER</v>
      </c>
      <c r="C1251" s="1">
        <v>54</v>
      </c>
      <c r="F1251" s="251">
        <v>1.1379999999999999</v>
      </c>
      <c r="G1251" s="251">
        <v>1.1379999999999999</v>
      </c>
      <c r="H1251" s="251">
        <v>1.1379999999999999</v>
      </c>
      <c r="I1251" s="251">
        <v>1.1579999999999999</v>
      </c>
      <c r="J1251" s="251">
        <v>1.1579999999999999</v>
      </c>
      <c r="K1251" s="251">
        <v>1.1579999999999999</v>
      </c>
      <c r="L1251" s="251">
        <v>1.1579999999999999</v>
      </c>
      <c r="M1251" s="251">
        <v>1.1579999999999999</v>
      </c>
      <c r="N1251" s="251">
        <v>1.1579999999999999</v>
      </c>
      <c r="O1251" s="251">
        <v>1.1459999999999999</v>
      </c>
      <c r="P1251" s="251">
        <v>1.1459999999999999</v>
      </c>
      <c r="Q1251" s="251">
        <v>1.1459999999999999</v>
      </c>
      <c r="R1251" s="251">
        <v>1.1459999999999999</v>
      </c>
      <c r="S1251" s="251">
        <v>1.1930000000000001</v>
      </c>
      <c r="T1251" s="251">
        <v>1.1930000000000001</v>
      </c>
      <c r="U1251" s="251">
        <v>1.1930000000000001</v>
      </c>
      <c r="V1251" s="251">
        <v>1.135</v>
      </c>
      <c r="W1251" s="251">
        <v>1.1910000000000001</v>
      </c>
      <c r="X1251" s="251">
        <v>1.1910000000000001</v>
      </c>
      <c r="Y1251" s="251">
        <v>1.1910000000000001</v>
      </c>
      <c r="Z1251" s="245">
        <f ca="1">[1]ExtEntry!$R54</f>
        <v>1.1910000000000001</v>
      </c>
      <c r="AB1251" s="318">
        <v>249.99999999999912</v>
      </c>
      <c r="AC1251" s="318">
        <v>550.50000000000045</v>
      </c>
      <c r="AD1251" s="318">
        <v>299.99999999999807</v>
      </c>
      <c r="AE1251" s="318">
        <v>-249.99999999999912</v>
      </c>
      <c r="AF1251" s="318">
        <v>350.00000000000142</v>
      </c>
      <c r="AG1251" s="318">
        <v>600.00000000000057</v>
      </c>
      <c r="AH1251" s="318">
        <v>-500.00000000000267</v>
      </c>
      <c r="AI1251" s="318">
        <v>-550.00000000000159</v>
      </c>
      <c r="AJ1251" s="318">
        <v>-249.99999999999912</v>
      </c>
      <c r="AK1251" s="318">
        <v>150.00000000000125</v>
      </c>
      <c r="AL1251" s="318">
        <v>-100.0000000000023</v>
      </c>
      <c r="AM1251" s="318">
        <v>400.00000000000034</v>
      </c>
      <c r="AN1251" s="318">
        <v>-350.00000000000142</v>
      </c>
      <c r="AO1251" s="318">
        <v>-1425.0000000000007</v>
      </c>
      <c r="AP1251" s="318">
        <v>400.00000000000034</v>
      </c>
      <c r="AQ1251" s="318">
        <v>1149.9999999999977</v>
      </c>
      <c r="AR1251" s="318">
        <v>-307.50000000000279</v>
      </c>
      <c r="AS1251" s="318">
        <v>-2349.9999999999986</v>
      </c>
      <c r="AT1251" s="318">
        <v>-4199.9999999999991</v>
      </c>
      <c r="AU1251" s="318">
        <v>-4849.9999999999991</v>
      </c>
      <c r="AV1251" s="318">
        <f ca="1">Calc!Z54</f>
        <v>-4849.9999999999991</v>
      </c>
      <c r="AX1251" s="88" t="str">
        <f t="shared" ca="1" si="102"/>
        <v>XPER</v>
      </c>
    </row>
    <row r="1252" spans="1:50" hidden="1" x14ac:dyDescent="0.3">
      <c r="A1252" s="88" t="str">
        <f t="shared" ca="1" si="101"/>
        <v>MVEALDNE</v>
      </c>
      <c r="C1252" s="1">
        <v>55</v>
      </c>
      <c r="F1252" s="251">
        <v>1.0415000000000001</v>
      </c>
      <c r="G1252" s="251">
        <v>1.0416000000000001</v>
      </c>
      <c r="H1252" s="251">
        <v>1.0415000000000001</v>
      </c>
      <c r="I1252" s="251">
        <v>1.0349999999999999</v>
      </c>
      <c r="J1252" s="251">
        <v>1.0349999999999999</v>
      </c>
      <c r="K1252" s="251">
        <v>1.0337000000000001</v>
      </c>
      <c r="L1252" s="251">
        <v>1.0339</v>
      </c>
      <c r="M1252" s="251">
        <v>1.0339</v>
      </c>
      <c r="N1252" s="251">
        <v>1.0339</v>
      </c>
      <c r="O1252" s="251">
        <v>1.0339</v>
      </c>
      <c r="P1252" s="251">
        <v>1.0333000000000001</v>
      </c>
      <c r="Q1252" s="251">
        <v>1.0294000000000001</v>
      </c>
      <c r="R1252" s="251">
        <v>1.0219</v>
      </c>
      <c r="S1252" s="251">
        <v>0.96289999999999998</v>
      </c>
      <c r="T1252" s="251">
        <v>0.95879999999999999</v>
      </c>
      <c r="U1252" s="251">
        <v>0.95520000000000005</v>
      </c>
      <c r="V1252" s="251">
        <v>0.95709999999999995</v>
      </c>
      <c r="W1252" s="251">
        <v>0.95879999999999999</v>
      </c>
      <c r="X1252" s="251">
        <v>0.96430000000000005</v>
      </c>
      <c r="Y1252" s="251">
        <v>0.97</v>
      </c>
      <c r="Z1252" s="245">
        <f ca="1">[1]ExtEntry!$R55</f>
        <v>0.97</v>
      </c>
      <c r="AB1252" s="318">
        <v>-2365.7300000000014</v>
      </c>
      <c r="AC1252" s="318">
        <v>-2405.7300000000014</v>
      </c>
      <c r="AD1252" s="318">
        <v>-2565.7300000000018</v>
      </c>
      <c r="AE1252" s="318">
        <v>-2565.7300000000018</v>
      </c>
      <c r="AF1252" s="318">
        <v>-2765.7300000000018</v>
      </c>
      <c r="AG1252" s="318">
        <v>-2565.7300000000018</v>
      </c>
      <c r="AH1252" s="318">
        <v>-2365.7300000000014</v>
      </c>
      <c r="AI1252" s="318">
        <v>-2365.7300000000014</v>
      </c>
      <c r="AJ1252" s="318">
        <v>-2405.7300000000014</v>
      </c>
      <c r="AK1252" s="318">
        <v>-2645.7300000000018</v>
      </c>
      <c r="AL1252" s="318">
        <v>-2805.7300000000018</v>
      </c>
      <c r="AM1252" s="318">
        <v>-2765.7300000000018</v>
      </c>
      <c r="AN1252" s="318">
        <v>-2965.7299999999996</v>
      </c>
      <c r="AO1252" s="318">
        <v>-3405.73</v>
      </c>
      <c r="AP1252" s="318">
        <v>-3365.73</v>
      </c>
      <c r="AQ1252" s="318">
        <v>-3525.7300000000005</v>
      </c>
      <c r="AR1252" s="318">
        <v>-3565.7300000000005</v>
      </c>
      <c r="AS1252" s="318">
        <v>-5845.7300000000005</v>
      </c>
      <c r="AT1252" s="318">
        <v>-5765.7300000000005</v>
      </c>
      <c r="AU1252" s="318">
        <v>-5405.7300000000023</v>
      </c>
      <c r="AV1252" s="318">
        <f ca="1">Calc!Z55</f>
        <v>-5405.7300000000023</v>
      </c>
      <c r="AX1252" s="88" t="str">
        <f t="shared" ca="1" si="102"/>
        <v>MVEALDNE</v>
      </c>
    </row>
    <row r="1253" spans="1:50" hidden="1" x14ac:dyDescent="0.3">
      <c r="A1253" s="88" t="str">
        <f t="shared" ca="1" si="101"/>
        <v>MVEDDD</v>
      </c>
      <c r="C1253" s="1">
        <v>56</v>
      </c>
      <c r="F1253" s="251">
        <v>2.1745000000000001</v>
      </c>
      <c r="G1253" s="251">
        <v>2.1745999999999999</v>
      </c>
      <c r="H1253" s="251">
        <v>2.1697000000000002</v>
      </c>
      <c r="I1253" s="251">
        <v>2.1758000000000002</v>
      </c>
      <c r="J1253" s="251">
        <v>2.1758000000000002</v>
      </c>
      <c r="K1253" s="251">
        <v>2.1718000000000002</v>
      </c>
      <c r="L1253" s="251">
        <v>2.1789000000000001</v>
      </c>
      <c r="M1253" s="251">
        <v>2.1789000000000001</v>
      </c>
      <c r="N1253" s="251">
        <v>2.1789000000000001</v>
      </c>
      <c r="O1253" s="251">
        <v>2.1789000000000001</v>
      </c>
      <c r="P1253" s="251">
        <v>2.1852999999999998</v>
      </c>
      <c r="Q1253" s="251">
        <v>2.1855000000000002</v>
      </c>
      <c r="R1253" s="251">
        <v>2.1827999999999999</v>
      </c>
      <c r="S1253" s="251">
        <v>1.8685</v>
      </c>
      <c r="T1253" s="251">
        <v>1.8775999999999999</v>
      </c>
      <c r="U1253" s="251">
        <v>1.8776999999999999</v>
      </c>
      <c r="V1253" s="251">
        <v>1.9112</v>
      </c>
      <c r="W1253" s="251">
        <v>1.9157999999999999</v>
      </c>
      <c r="X1253" s="251">
        <v>1.9231</v>
      </c>
      <c r="Y1253" s="251">
        <v>1.9366000000000001</v>
      </c>
      <c r="Z1253" s="245">
        <f ca="1">[1]ExtEntry!$R56</f>
        <v>1.9366000000000001</v>
      </c>
      <c r="AB1253" s="318">
        <v>6299.9999999999991</v>
      </c>
      <c r="AC1253" s="318">
        <v>7999.9999999999982</v>
      </c>
      <c r="AD1253" s="318">
        <v>8099.9999999999964</v>
      </c>
      <c r="AE1253" s="318">
        <v>6599.9999999999973</v>
      </c>
      <c r="AF1253" s="318">
        <v>13350</v>
      </c>
      <c r="AG1253" s="318">
        <v>9200</v>
      </c>
      <c r="AH1253" s="318">
        <v>5549.9999999999973</v>
      </c>
      <c r="AI1253" s="318">
        <v>5549.9999999999973</v>
      </c>
      <c r="AJ1253" s="318">
        <v>6250</v>
      </c>
      <c r="AK1253" s="318">
        <v>6749.9999999999982</v>
      </c>
      <c r="AL1253" s="318">
        <v>6250</v>
      </c>
      <c r="AM1253" s="318">
        <v>7449.9999999999964</v>
      </c>
      <c r="AN1253" s="318">
        <v>3699.9999999999968</v>
      </c>
      <c r="AO1253" s="318">
        <v>1448.0000000000005</v>
      </c>
      <c r="AP1253" s="318">
        <v>1499.9999999999991</v>
      </c>
      <c r="AQ1253" s="318">
        <v>-1850.0000000000005</v>
      </c>
      <c r="AR1253" s="318">
        <v>-2250.0000000000009</v>
      </c>
      <c r="AS1253" s="318">
        <v>-2900.0000000000005</v>
      </c>
      <c r="AT1253" s="318">
        <v>-3700.0000000000009</v>
      </c>
      <c r="AU1253" s="318">
        <v>-4050.0000000000023</v>
      </c>
      <c r="AV1253" s="318">
        <f ca="1">Calc!Z56</f>
        <v>-4050.0000000000023</v>
      </c>
      <c r="AX1253" s="88" t="str">
        <f t="shared" ca="1" si="102"/>
        <v>MVEDDD</v>
      </c>
    </row>
    <row r="1254" spans="1:50" hidden="1" x14ac:dyDescent="0.3">
      <c r="A1254" s="88" t="str">
        <f t="shared" ca="1" si="101"/>
        <v>MVEDSY</v>
      </c>
      <c r="C1254" s="1">
        <v>57</v>
      </c>
      <c r="F1254" s="251">
        <v>0.67330000000000001</v>
      </c>
      <c r="G1254" s="251">
        <v>0.67420000000000002</v>
      </c>
      <c r="H1254" s="251">
        <v>0.67320000000000002</v>
      </c>
      <c r="I1254" s="251">
        <v>0.67569999999999997</v>
      </c>
      <c r="J1254" s="251">
        <v>0.67569999999999997</v>
      </c>
      <c r="K1254" s="251">
        <v>0.67879999999999996</v>
      </c>
      <c r="L1254" s="251">
        <v>0.68259999999999998</v>
      </c>
      <c r="M1254" s="251">
        <v>0.68259999999999998</v>
      </c>
      <c r="N1254" s="251">
        <v>0.68330000000000002</v>
      </c>
      <c r="O1254" s="251">
        <v>0.68330000000000002</v>
      </c>
      <c r="P1254" s="251">
        <v>0.68200000000000005</v>
      </c>
      <c r="Q1254" s="251">
        <v>0.64359999999999995</v>
      </c>
      <c r="R1254" s="251">
        <v>0.63800000000000001</v>
      </c>
      <c r="S1254" s="251">
        <v>0.78769999999999996</v>
      </c>
      <c r="T1254" s="251">
        <v>0.78910000000000002</v>
      </c>
      <c r="U1254" s="251">
        <v>0.78969999999999996</v>
      </c>
      <c r="V1254" s="251">
        <v>0.79359999999999997</v>
      </c>
      <c r="W1254" s="251">
        <v>0.78610000000000002</v>
      </c>
      <c r="X1254" s="251">
        <v>0.7883</v>
      </c>
      <c r="Y1254" s="251">
        <v>0.79759999999999998</v>
      </c>
      <c r="Z1254" s="245">
        <f ca="1">[1]ExtEntry!$R57</f>
        <v>0.79759999999999998</v>
      </c>
      <c r="AB1254" s="318">
        <v>-2804.9999999999964</v>
      </c>
      <c r="AC1254" s="318">
        <v>-2009.9999999999998</v>
      </c>
      <c r="AD1254" s="318">
        <v>-1259.9999999999998</v>
      </c>
      <c r="AE1254" s="318">
        <v>-1335.0000000000009</v>
      </c>
      <c r="AF1254" s="318">
        <v>-659.99999999999659</v>
      </c>
      <c r="AG1254" s="318">
        <v>75.000000000001066</v>
      </c>
      <c r="AH1254" s="318">
        <v>-149.99999999999682</v>
      </c>
      <c r="AI1254" s="318">
        <v>-149.99999999999682</v>
      </c>
      <c r="AJ1254" s="318">
        <v>-6014.9999999999973</v>
      </c>
      <c r="AK1254" s="318">
        <v>-6794.9999999999964</v>
      </c>
      <c r="AL1254" s="318">
        <v>-7214.9999999999982</v>
      </c>
      <c r="AM1254" s="318">
        <v>-7875</v>
      </c>
      <c r="AN1254" s="318">
        <v>-8504.9999999999964</v>
      </c>
      <c r="AO1254" s="318">
        <v>-9270</v>
      </c>
      <c r="AP1254" s="318">
        <v>-9359.9999999999982</v>
      </c>
      <c r="AQ1254" s="318">
        <v>-10439.999999999996</v>
      </c>
      <c r="AR1254" s="318">
        <v>-10319.999999999998</v>
      </c>
      <c r="AS1254" s="318">
        <v>-9345</v>
      </c>
      <c r="AT1254" s="318">
        <v>-10574.999999999996</v>
      </c>
      <c r="AU1254" s="318">
        <v>-10260</v>
      </c>
      <c r="AV1254" s="318">
        <f ca="1">Calc!Z57</f>
        <v>-10260</v>
      </c>
      <c r="AX1254" s="88" t="str">
        <f t="shared" ca="1" si="102"/>
        <v>MVEDSY</v>
      </c>
    </row>
    <row r="1255" spans="1:50" hidden="1" x14ac:dyDescent="0.3">
      <c r="A1255" s="88" t="str">
        <f t="shared" ca="1" si="101"/>
        <v>MVEEOAN</v>
      </c>
      <c r="C1255" s="1">
        <v>58</v>
      </c>
      <c r="F1255" s="251">
        <v>0.72060000000000002</v>
      </c>
      <c r="G1255" s="251">
        <v>0.72050000000000003</v>
      </c>
      <c r="H1255" s="251">
        <v>0.72060000000000002</v>
      </c>
      <c r="I1255" s="251">
        <v>0.72060000000000002</v>
      </c>
      <c r="J1255" s="251">
        <v>0.72060000000000002</v>
      </c>
      <c r="K1255" s="251">
        <v>0.71760000000000002</v>
      </c>
      <c r="L1255" s="251">
        <v>0.72070000000000001</v>
      </c>
      <c r="M1255" s="251">
        <v>0.72070000000000001</v>
      </c>
      <c r="N1255" s="251">
        <v>0.72070000000000001</v>
      </c>
      <c r="O1255" s="251">
        <v>0.72070000000000001</v>
      </c>
      <c r="P1255" s="251">
        <v>0.72009999999999996</v>
      </c>
      <c r="Q1255" s="251">
        <v>0.72040000000000004</v>
      </c>
      <c r="R1255" s="251">
        <v>0.72060000000000002</v>
      </c>
      <c r="S1255" s="251">
        <v>0.85270000000000001</v>
      </c>
      <c r="T1255" s="251">
        <v>0.85360000000000003</v>
      </c>
      <c r="U1255" s="251">
        <v>0.85350000000000004</v>
      </c>
      <c r="V1255" s="251">
        <v>0.85299999999999998</v>
      </c>
      <c r="W1255" s="251">
        <v>0.84770000000000001</v>
      </c>
      <c r="X1255" s="251">
        <v>0.8599</v>
      </c>
      <c r="Y1255" s="251">
        <v>0.86180000000000001</v>
      </c>
      <c r="Z1255" s="245">
        <f ca="1">[1]ExtEntry!$R58</f>
        <v>0.86180000000000001</v>
      </c>
      <c r="AB1255" s="318">
        <v>53.100000000000009</v>
      </c>
      <c r="AC1255" s="318">
        <v>51.399999999999991</v>
      </c>
      <c r="AD1255" s="318">
        <v>51.899999999999991</v>
      </c>
      <c r="AE1255" s="318">
        <v>52.099999999999994</v>
      </c>
      <c r="AF1255" s="318">
        <v>53.600000000000009</v>
      </c>
      <c r="AG1255" s="318">
        <v>53.049999999999983</v>
      </c>
      <c r="AH1255" s="318">
        <v>50.400000000000006</v>
      </c>
      <c r="AI1255" s="318">
        <v>50.400000000000006</v>
      </c>
      <c r="AJ1255" s="318">
        <v>49.2</v>
      </c>
      <c r="AK1255" s="318">
        <v>49.999999999999986</v>
      </c>
      <c r="AL1255" s="318">
        <v>50.34999999999998</v>
      </c>
      <c r="AM1255" s="318">
        <v>51.799999999999983</v>
      </c>
      <c r="AN1255" s="318">
        <v>51.949999999999989</v>
      </c>
      <c r="AO1255" s="318">
        <v>46.899999999999991</v>
      </c>
      <c r="AP1255" s="318">
        <v>49.900000000000006</v>
      </c>
      <c r="AQ1255" s="318">
        <v>50.199999999999974</v>
      </c>
      <c r="AR1255" s="318">
        <v>50.45</v>
      </c>
      <c r="AS1255" s="318">
        <v>41.849999999999987</v>
      </c>
      <c r="AT1255" s="318">
        <v>41.7</v>
      </c>
      <c r="AU1255" s="318">
        <v>42.400000000000006</v>
      </c>
      <c r="AV1255" s="318">
        <f ca="1">Calc!Z58</f>
        <v>42.400000000000006</v>
      </c>
      <c r="AX1255" s="88" t="str">
        <f t="shared" ca="1" si="102"/>
        <v>MVEEOAN</v>
      </c>
    </row>
    <row r="1256" spans="1:50" hidden="1" x14ac:dyDescent="0.3">
      <c r="A1256" s="88" t="str">
        <f t="shared" ca="1" si="101"/>
        <v>MVEENI</v>
      </c>
      <c r="C1256" s="1">
        <v>59</v>
      </c>
      <c r="F1256" s="251">
        <v>1.0807</v>
      </c>
      <c r="G1256" s="251">
        <v>1.0831999999999999</v>
      </c>
      <c r="H1256" s="251">
        <v>1.0819000000000001</v>
      </c>
      <c r="I1256" s="251">
        <v>1.079</v>
      </c>
      <c r="J1256" s="251">
        <v>1.079</v>
      </c>
      <c r="K1256" s="251">
        <v>1.0827</v>
      </c>
      <c r="L1256" s="251">
        <v>1.0833999999999999</v>
      </c>
      <c r="M1256" s="251">
        <v>1.0833999999999999</v>
      </c>
      <c r="N1256" s="251">
        <v>1.0833999999999999</v>
      </c>
      <c r="O1256" s="251">
        <v>1.0833999999999999</v>
      </c>
      <c r="P1256" s="251">
        <v>1.0790999999999999</v>
      </c>
      <c r="Q1256" s="251">
        <v>1.0793999999999999</v>
      </c>
      <c r="R1256" s="251">
        <v>1.0823</v>
      </c>
      <c r="S1256" s="251">
        <v>0.83030000000000004</v>
      </c>
      <c r="T1256" s="251">
        <v>0.83050000000000002</v>
      </c>
      <c r="U1256" s="251">
        <v>0.83030000000000004</v>
      </c>
      <c r="V1256" s="251">
        <v>0.82989999999999997</v>
      </c>
      <c r="W1256" s="251">
        <v>0.82989999999999997</v>
      </c>
      <c r="X1256" s="251">
        <v>0.82989999999999997</v>
      </c>
      <c r="Y1256" s="251">
        <v>0.82489999999999997</v>
      </c>
      <c r="Z1256" s="245">
        <f ca="1">[1]ExtEntry!$R59</f>
        <v>0.82489999999999997</v>
      </c>
      <c r="AB1256" s="318">
        <v>13919.999999999987</v>
      </c>
      <c r="AC1256" s="318">
        <v>14095.999999999989</v>
      </c>
      <c r="AD1256" s="318">
        <v>14447.999999999993</v>
      </c>
      <c r="AE1256" s="318">
        <v>15071.999999999989</v>
      </c>
      <c r="AF1256" s="318">
        <v>15327.999999999989</v>
      </c>
      <c r="AG1256" s="318">
        <v>15519.999999999996</v>
      </c>
      <c r="AH1256" s="318">
        <v>17327.999999999989</v>
      </c>
      <c r="AI1256" s="318">
        <v>17327.999999999989</v>
      </c>
      <c r="AJ1256" s="318">
        <v>21007.999999999996</v>
      </c>
      <c r="AK1256" s="318">
        <v>23007.999999999996</v>
      </c>
      <c r="AL1256" s="318">
        <v>23855.999999999993</v>
      </c>
      <c r="AM1256" s="318">
        <v>23407.999999999985</v>
      </c>
      <c r="AN1256" s="318">
        <v>23679.999999999993</v>
      </c>
      <c r="AO1256" s="318">
        <v>23599.999999999993</v>
      </c>
      <c r="AP1256" s="318">
        <v>24063.999999999993</v>
      </c>
      <c r="AQ1256" s="318">
        <v>23903.999999999996</v>
      </c>
      <c r="AR1256" s="318">
        <v>23775.999999999996</v>
      </c>
      <c r="AS1256" s="318">
        <v>28111.999999999996</v>
      </c>
      <c r="AT1256" s="318">
        <v>27199.999999999989</v>
      </c>
      <c r="AU1256" s="318">
        <v>26063.999999999993</v>
      </c>
      <c r="AV1256" s="318">
        <f ca="1">Calc!Z59</f>
        <v>26063.999999999993</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1.6016999999999999</v>
      </c>
      <c r="G1258" s="251">
        <v>1.5999000000000001</v>
      </c>
      <c r="H1258" s="251">
        <v>1.5998000000000001</v>
      </c>
      <c r="I1258" s="251">
        <v>1.5733999999999999</v>
      </c>
      <c r="J1258" s="251">
        <v>1.5733999999999999</v>
      </c>
      <c r="K1258" s="251">
        <v>1.5734999999999999</v>
      </c>
      <c r="L1258" s="251">
        <v>1.5686</v>
      </c>
      <c r="M1258" s="251">
        <v>1.5686</v>
      </c>
      <c r="N1258" s="251">
        <v>1.5591999999999999</v>
      </c>
      <c r="O1258" s="251">
        <v>1.5591999999999999</v>
      </c>
      <c r="P1258" s="251">
        <v>1.5581</v>
      </c>
      <c r="Q1258" s="251">
        <v>1.5671999999999999</v>
      </c>
      <c r="R1258" s="251">
        <v>1.5741000000000001</v>
      </c>
      <c r="S1258" s="251">
        <v>1.3874</v>
      </c>
      <c r="T1258" s="251">
        <v>1.389</v>
      </c>
      <c r="U1258" s="251">
        <v>1.3888</v>
      </c>
      <c r="V1258" s="251">
        <v>1.3861000000000001</v>
      </c>
      <c r="W1258" s="251">
        <v>1.3906000000000001</v>
      </c>
      <c r="X1258" s="251">
        <v>1.3869</v>
      </c>
      <c r="Y1258" s="251">
        <v>1.3862000000000001</v>
      </c>
      <c r="Z1258" s="245">
        <f ca="1">[1]ExtEntry!$R61</f>
        <v>1.3862000000000001</v>
      </c>
      <c r="AB1258" s="318">
        <v>680.00000000000682</v>
      </c>
      <c r="AC1258" s="318">
        <v>1760.000000000005</v>
      </c>
      <c r="AD1258" s="318">
        <v>3680.0000000000068</v>
      </c>
      <c r="AE1258" s="318">
        <v>-380.00000000000256</v>
      </c>
      <c r="AF1258" s="318">
        <v>-1020.0000000000032</v>
      </c>
      <c r="AG1258" s="318">
        <v>-900.00000000000568</v>
      </c>
      <c r="AH1258" s="318">
        <v>-1140.0000000000005</v>
      </c>
      <c r="AI1258" s="318">
        <v>-1140.0000000000005</v>
      </c>
      <c r="AJ1258" s="318">
        <v>-440.00000000000483</v>
      </c>
      <c r="AK1258" s="318">
        <v>-340.00000000000341</v>
      </c>
      <c r="AL1258" s="318">
        <v>-420.00000000000171</v>
      </c>
      <c r="AM1258" s="318">
        <v>239.99999999999488</v>
      </c>
      <c r="AN1258" s="318">
        <v>-1020.0000000000032</v>
      </c>
      <c r="AO1258" s="318">
        <v>559.99999999999523</v>
      </c>
      <c r="AP1258" s="318">
        <v>619.9999999999975</v>
      </c>
      <c r="AQ1258" s="318">
        <v>1779.9999999999941</v>
      </c>
      <c r="AR1258" s="318">
        <v>619.9999999999975</v>
      </c>
      <c r="AS1258" s="318">
        <v>3959.9999999999936</v>
      </c>
      <c r="AT1258" s="318">
        <v>2159.9999999999964</v>
      </c>
      <c r="AU1258" s="318">
        <v>2799.9999999999973</v>
      </c>
      <c r="AV1258" s="318">
        <f ca="1">Calc!Z61</f>
        <v>2799.9999999999973</v>
      </c>
      <c r="AX1258" s="88" t="str">
        <f t="shared" ca="1" si="102"/>
        <v>MVEGLE</v>
      </c>
    </row>
    <row r="1259" spans="1:50" hidden="1" x14ac:dyDescent="0.3">
      <c r="A1259" s="88" t="str">
        <f t="shared" ca="1" si="101"/>
        <v>MVEORA</v>
      </c>
      <c r="C1259" s="1">
        <v>62</v>
      </c>
      <c r="F1259" s="251">
        <v>0.31</v>
      </c>
      <c r="G1259" s="251">
        <v>0.30909999999999999</v>
      </c>
      <c r="H1259" s="251">
        <v>0.30769999999999997</v>
      </c>
      <c r="I1259" s="251">
        <v>0.31259999999999999</v>
      </c>
      <c r="J1259" s="251">
        <v>0.31259999999999999</v>
      </c>
      <c r="K1259" s="251">
        <v>0.31</v>
      </c>
      <c r="L1259" s="251">
        <v>0.3095</v>
      </c>
      <c r="M1259" s="251">
        <v>0.3095</v>
      </c>
      <c r="N1259" s="251">
        <v>0.30930000000000002</v>
      </c>
      <c r="O1259" s="251">
        <v>0.30930000000000002</v>
      </c>
      <c r="P1259" s="251">
        <v>0.30830000000000002</v>
      </c>
      <c r="Q1259" s="251">
        <v>0.3049</v>
      </c>
      <c r="R1259" s="251">
        <v>0.3029</v>
      </c>
      <c r="S1259" s="251">
        <v>0.2389</v>
      </c>
      <c r="T1259" s="251">
        <v>0.24</v>
      </c>
      <c r="U1259" s="251">
        <v>0.24049999999999999</v>
      </c>
      <c r="V1259" s="251">
        <v>0.2382</v>
      </c>
      <c r="W1259" s="251">
        <v>0.24099999999999999</v>
      </c>
      <c r="X1259" s="251">
        <v>0.2387</v>
      </c>
      <c r="Y1259" s="251">
        <v>0.23849999999999999</v>
      </c>
      <c r="Z1259" s="245">
        <f ca="1">[1]ExtEntry!$R62</f>
        <v>0.23849999999999999</v>
      </c>
      <c r="AB1259" s="318">
        <v>-2339.9999999999982</v>
      </c>
      <c r="AC1259" s="318">
        <v>-1004.9999999999973</v>
      </c>
      <c r="AD1259" s="318">
        <v>-794.99999999999636</v>
      </c>
      <c r="AE1259" s="318">
        <v>-44.999999999996376</v>
      </c>
      <c r="AF1259" s="318">
        <v>-569.99999999999852</v>
      </c>
      <c r="AG1259" s="318">
        <v>-674.99999999999898</v>
      </c>
      <c r="AH1259" s="318">
        <v>-839.99999999999807</v>
      </c>
      <c r="AI1259" s="318">
        <v>-839.99999999999807</v>
      </c>
      <c r="AJ1259" s="318">
        <v>-599.99999999999784</v>
      </c>
      <c r="AK1259" s="318">
        <v>-1289.9999999999991</v>
      </c>
      <c r="AL1259" s="318">
        <v>-1500</v>
      </c>
      <c r="AM1259" s="318">
        <v>-1379.9999999999973</v>
      </c>
      <c r="AN1259" s="318">
        <v>-1484.9999999999977</v>
      </c>
      <c r="AO1259" s="318">
        <v>-1904.9999999999993</v>
      </c>
      <c r="AP1259" s="318">
        <v>-1904.9999999999993</v>
      </c>
      <c r="AQ1259" s="318">
        <v>-1230.0000000000005</v>
      </c>
      <c r="AR1259" s="318">
        <v>-555.00000000000148</v>
      </c>
      <c r="AS1259" s="318">
        <v>-990.00000000000023</v>
      </c>
      <c r="AT1259" s="318">
        <v>-1980.0000000000005</v>
      </c>
      <c r="AU1259" s="318">
        <v>-1710.0000000000009</v>
      </c>
      <c r="AV1259" s="318">
        <f ca="1">Calc!Z62</f>
        <v>-1710.0000000000009</v>
      </c>
      <c r="AX1259" s="88" t="str">
        <f t="shared" ca="1" si="102"/>
        <v>MVEORA</v>
      </c>
    </row>
    <row r="1260" spans="1:50" hidden="1" x14ac:dyDescent="0.3">
      <c r="A1260" s="88" t="str">
        <f t="shared" ref="A1260:A1293" ca="1" si="103">A1161</f>
        <v>MVERWE</v>
      </c>
      <c r="C1260" s="1">
        <v>63</v>
      </c>
      <c r="F1260" s="251">
        <v>0.51570000000000005</v>
      </c>
      <c r="G1260" s="251">
        <v>0.51870000000000005</v>
      </c>
      <c r="H1260" s="251">
        <v>0.51549999999999996</v>
      </c>
      <c r="I1260" s="251">
        <v>0.51639999999999997</v>
      </c>
      <c r="J1260" s="251">
        <v>0.51639999999999997</v>
      </c>
      <c r="K1260" s="251">
        <v>0.50360000000000005</v>
      </c>
      <c r="L1260" s="251">
        <v>0.51600000000000001</v>
      </c>
      <c r="M1260" s="251">
        <v>0.51600000000000001</v>
      </c>
      <c r="N1260" s="251">
        <v>0.51759999999999995</v>
      </c>
      <c r="O1260" s="251">
        <v>0.51759999999999995</v>
      </c>
      <c r="P1260" s="251">
        <v>0.51729999999999998</v>
      </c>
      <c r="Q1260" s="251">
        <v>0.51539999999999997</v>
      </c>
      <c r="R1260" s="251">
        <v>0.51759999999999995</v>
      </c>
      <c r="S1260" s="251">
        <v>0.48</v>
      </c>
      <c r="T1260" s="251">
        <v>0.48039999999999999</v>
      </c>
      <c r="U1260" s="251">
        <v>0.4803</v>
      </c>
      <c r="V1260" s="251">
        <v>0.47949999999999998</v>
      </c>
      <c r="W1260" s="251">
        <v>0.48420000000000002</v>
      </c>
      <c r="X1260" s="251">
        <v>0.4703</v>
      </c>
      <c r="Y1260" s="251">
        <v>0.46560000000000001</v>
      </c>
      <c r="Z1260" s="245">
        <f ca="1">[1]ExtEntry!$R63</f>
        <v>0.46560000000000001</v>
      </c>
      <c r="AB1260" s="318">
        <v>7.4849999999999994</v>
      </c>
      <c r="AC1260" s="318">
        <v>7.5949999999999989</v>
      </c>
      <c r="AD1260" s="318">
        <v>8.2850000000000037</v>
      </c>
      <c r="AE1260" s="318">
        <v>7.9650000000000034</v>
      </c>
      <c r="AF1260" s="318">
        <v>7.8250000000000028</v>
      </c>
      <c r="AG1260" s="318">
        <v>7.375</v>
      </c>
      <c r="AH1260" s="318">
        <v>7.125</v>
      </c>
      <c r="AI1260" s="318">
        <v>7.125</v>
      </c>
      <c r="AJ1260" s="318">
        <v>6.9050000000000011</v>
      </c>
      <c r="AK1260" s="318">
        <v>7.384999999999998</v>
      </c>
      <c r="AL1260" s="318">
        <v>7.4050000000000011</v>
      </c>
      <c r="AM1260" s="318">
        <v>7.9950000000000045</v>
      </c>
      <c r="AN1260" s="318">
        <v>9.884999999999998</v>
      </c>
      <c r="AO1260" s="318">
        <v>9.2450000000000045</v>
      </c>
      <c r="AP1260" s="318">
        <v>9.5150000000000006</v>
      </c>
      <c r="AQ1260" s="318">
        <v>10.024999999999999</v>
      </c>
      <c r="AR1260" s="318">
        <v>9.8149999999999977</v>
      </c>
      <c r="AS1260" s="318">
        <v>12.234999999999999</v>
      </c>
      <c r="AT1260" s="318">
        <v>11.185000000000002</v>
      </c>
      <c r="AU1260" s="318">
        <v>10.634999999999998</v>
      </c>
      <c r="AV1260" s="318">
        <f ca="1">Calc!Z63</f>
        <v>10.634999999999998</v>
      </c>
      <c r="AX1260" s="88" t="str">
        <f t="shared" ca="1" si="102"/>
        <v>MVERWE</v>
      </c>
    </row>
    <row r="1261" spans="1:50" hidden="1" x14ac:dyDescent="0.3">
      <c r="A1261" s="88" t="str">
        <f t="shared" ca="1" si="103"/>
        <v>MVESAP</v>
      </c>
      <c r="C1261" s="1">
        <v>64</v>
      </c>
      <c r="F1261" s="251">
        <v>0.99119999999999997</v>
      </c>
      <c r="G1261" s="251">
        <v>0.9909</v>
      </c>
      <c r="H1261" s="251">
        <v>0.99129999999999996</v>
      </c>
      <c r="I1261" s="251">
        <v>0.99099999999999999</v>
      </c>
      <c r="J1261" s="251">
        <v>0.99099999999999999</v>
      </c>
      <c r="K1261" s="251">
        <v>0.98560000000000003</v>
      </c>
      <c r="L1261" s="251">
        <v>0.9919</v>
      </c>
      <c r="M1261" s="251">
        <v>0.9919</v>
      </c>
      <c r="N1261" s="251">
        <v>0.99260000000000004</v>
      </c>
      <c r="O1261" s="251">
        <v>0.99260000000000004</v>
      </c>
      <c r="P1261" s="251">
        <v>0.9919</v>
      </c>
      <c r="Q1261" s="251">
        <v>0.99139999999999995</v>
      </c>
      <c r="R1261" s="251">
        <v>0.99019999999999997</v>
      </c>
      <c r="S1261" s="251">
        <v>1.0462</v>
      </c>
      <c r="T1261" s="251">
        <v>1.0464</v>
      </c>
      <c r="U1261" s="251">
        <v>1.0449999999999999</v>
      </c>
      <c r="V1261" s="251">
        <v>1.0488</v>
      </c>
      <c r="W1261" s="251">
        <v>1.0428999999999999</v>
      </c>
      <c r="X1261" s="251">
        <v>1.0570999999999999</v>
      </c>
      <c r="Y1261" s="251">
        <v>1.0648</v>
      </c>
      <c r="Z1261" s="245">
        <f ca="1">[1]ExtEntry!$R64</f>
        <v>1.0648</v>
      </c>
      <c r="AB1261" s="318">
        <v>-3640.0000000000036</v>
      </c>
      <c r="AC1261" s="318">
        <v>-3340.0000000000036</v>
      </c>
      <c r="AD1261" s="318">
        <v>-3540.0000000000036</v>
      </c>
      <c r="AE1261" s="318">
        <v>-3990.0000000000036</v>
      </c>
      <c r="AF1261" s="318">
        <v>-2460.0000000000023</v>
      </c>
      <c r="AG1261" s="318">
        <v>-2100</v>
      </c>
      <c r="AH1261" s="318">
        <v>-2810.0000000000023</v>
      </c>
      <c r="AI1261" s="318">
        <v>-2810.0000000000023</v>
      </c>
      <c r="AJ1261" s="318">
        <v>-1780.0000000000011</v>
      </c>
      <c r="AK1261" s="318">
        <v>-3510.0000000000023</v>
      </c>
      <c r="AL1261" s="318">
        <v>-3069.9999999999991</v>
      </c>
      <c r="AM1261" s="318">
        <v>-3360.0000000000023</v>
      </c>
      <c r="AN1261" s="318">
        <v>-5010.0000000000018</v>
      </c>
      <c r="AO1261" s="318">
        <v>-4969.9999999999991</v>
      </c>
      <c r="AP1261" s="318">
        <v>-4590.0000000000036</v>
      </c>
      <c r="AQ1261" s="318">
        <v>-6590.0000000000036</v>
      </c>
      <c r="AR1261" s="318">
        <v>-7050</v>
      </c>
      <c r="AS1261" s="318">
        <v>-7960.0000000000018</v>
      </c>
      <c r="AT1261" s="318">
        <v>-9110.0000000000018</v>
      </c>
      <c r="AU1261" s="318">
        <v>-9080.0000000000018</v>
      </c>
      <c r="AV1261" s="318">
        <f ca="1">Calc!Z64</f>
        <v>-9080.0000000000018</v>
      </c>
      <c r="AX1261" s="88" t="str">
        <f t="shared" ca="1" si="102"/>
        <v>MVESAP</v>
      </c>
    </row>
    <row r="1262" spans="1:50" hidden="1" x14ac:dyDescent="0.3">
      <c r="A1262" s="88" t="str">
        <f t="shared" ca="1" si="103"/>
        <v>MVEUN0</v>
      </c>
      <c r="C1262" s="1">
        <v>65</v>
      </c>
      <c r="F1262" s="251">
        <v>1.0705</v>
      </c>
      <c r="G1262" s="251">
        <v>1.0669</v>
      </c>
      <c r="H1262" s="251">
        <v>1.0704</v>
      </c>
      <c r="I1262" s="251">
        <v>1.0698000000000001</v>
      </c>
      <c r="J1262" s="251">
        <v>1.0698000000000001</v>
      </c>
      <c r="K1262" s="251">
        <v>1.0736000000000001</v>
      </c>
      <c r="L1262" s="251">
        <v>1.0701000000000001</v>
      </c>
      <c r="M1262" s="251">
        <v>1.0701000000000001</v>
      </c>
      <c r="N1262" s="251">
        <v>1.0701000000000001</v>
      </c>
      <c r="O1262" s="251">
        <v>1.0701000000000001</v>
      </c>
      <c r="P1262" s="251">
        <v>1.0680000000000001</v>
      </c>
      <c r="Q1262" s="251">
        <v>1.07</v>
      </c>
      <c r="R1262" s="251">
        <v>1.0687</v>
      </c>
      <c r="S1262" s="251">
        <v>1.0952</v>
      </c>
      <c r="T1262" s="251">
        <v>1.0946</v>
      </c>
      <c r="U1262" s="251">
        <v>1.0945</v>
      </c>
      <c r="V1262" s="251">
        <v>1.0959000000000001</v>
      </c>
      <c r="W1262" s="251">
        <v>1.0938000000000001</v>
      </c>
      <c r="X1262" s="251">
        <v>1.0875999999999999</v>
      </c>
      <c r="Y1262" s="251">
        <v>1.0843</v>
      </c>
      <c r="Z1262" s="245">
        <f ca="1">[1]ExtEntry!$R65</f>
        <v>1.0843</v>
      </c>
      <c r="AB1262" s="318">
        <v>-229.12499999999986</v>
      </c>
      <c r="AC1262" s="318">
        <v>-227.17499999999984</v>
      </c>
      <c r="AD1262" s="318">
        <v>-221.32499999999987</v>
      </c>
      <c r="AE1262" s="318">
        <v>-229.12499999999986</v>
      </c>
      <c r="AF1262" s="318">
        <v>-172.57499999999987</v>
      </c>
      <c r="AG1262" s="318">
        <v>-223.27499999999992</v>
      </c>
      <c r="AH1262" s="318">
        <v>-219.37499999999986</v>
      </c>
      <c r="AI1262" s="318">
        <v>-219.37499999999986</v>
      </c>
      <c r="AJ1262" s="318">
        <v>-252.52499999999992</v>
      </c>
      <c r="AK1262" s="318">
        <v>-283.72499999999997</v>
      </c>
      <c r="AL1262" s="318">
        <v>-256.42499999999984</v>
      </c>
      <c r="AM1262" s="318">
        <v>-279.82499999999987</v>
      </c>
      <c r="AN1262" s="318">
        <v>-287.62499999999989</v>
      </c>
      <c r="AO1262" s="318">
        <v>-305.17499999999984</v>
      </c>
      <c r="AP1262" s="318">
        <v>-309.07499999999987</v>
      </c>
      <c r="AQ1262" s="318">
        <v>-369.52499999999992</v>
      </c>
      <c r="AR1262" s="318">
        <v>-348.07499999999987</v>
      </c>
      <c r="AS1262" s="318">
        <v>-344.17499999999984</v>
      </c>
      <c r="AT1262" s="318">
        <v>-307.12499999999989</v>
      </c>
      <c r="AU1262" s="318">
        <v>-279.82499999999987</v>
      </c>
      <c r="AV1262" s="318">
        <f ca="1">Calc!Z65</f>
        <v>-279.82499999999987</v>
      </c>
      <c r="AX1262" s="88" t="str">
        <f t="shared" ca="1" si="102"/>
        <v>MVEUN0</v>
      </c>
    </row>
    <row r="1263" spans="1:50" hidden="1" x14ac:dyDescent="0.3">
      <c r="A1263" s="88" t="str">
        <f t="shared" ca="1" si="103"/>
        <v>SAFAAPL</v>
      </c>
      <c r="C1263" s="1">
        <v>66</v>
      </c>
      <c r="F1263" s="251">
        <v>1.0873999999999999</v>
      </c>
      <c r="G1263" s="251">
        <v>1.0872999999999999</v>
      </c>
      <c r="H1263" s="251">
        <v>1.0864</v>
      </c>
      <c r="I1263" s="251">
        <v>1.0848</v>
      </c>
      <c r="J1263" s="251">
        <v>1.0848</v>
      </c>
      <c r="K1263" s="251">
        <v>1.0827</v>
      </c>
      <c r="L1263" s="251">
        <v>1.0826</v>
      </c>
      <c r="M1263" s="251">
        <v>1.0826</v>
      </c>
      <c r="N1263" s="251">
        <v>1.0826</v>
      </c>
      <c r="O1263" s="251">
        <v>1.0826</v>
      </c>
      <c r="P1263" s="251">
        <v>1.0834999999999999</v>
      </c>
      <c r="Q1263" s="251">
        <v>1.0864</v>
      </c>
      <c r="R1263" s="251">
        <v>1.087</v>
      </c>
      <c r="S1263" s="251">
        <v>1.1099000000000001</v>
      </c>
      <c r="T1263" s="251">
        <v>1.1076999999999999</v>
      </c>
      <c r="U1263" s="251">
        <v>1.1085</v>
      </c>
      <c r="V1263" s="251">
        <v>1.1053999999999999</v>
      </c>
      <c r="W1263" s="251">
        <v>1.1035999999999999</v>
      </c>
      <c r="X1263" s="251">
        <v>1.1082000000000001</v>
      </c>
      <c r="Y1263" s="251">
        <v>1.1049</v>
      </c>
      <c r="Z1263" s="245">
        <f ca="1">[1]ExtEntry!$R66</f>
        <v>1.1049</v>
      </c>
      <c r="AB1263" s="318">
        <v>14201.3</v>
      </c>
      <c r="AC1263" s="318">
        <v>14673.999999999998</v>
      </c>
      <c r="AD1263" s="318">
        <v>14108.499999999993</v>
      </c>
      <c r="AE1263" s="318">
        <v>15512.099999999995</v>
      </c>
      <c r="AF1263" s="318">
        <v>18397.599999999999</v>
      </c>
      <c r="AG1263" s="318">
        <v>18551.299999999992</v>
      </c>
      <c r="AH1263" s="318">
        <v>17298.499999999993</v>
      </c>
      <c r="AI1263" s="318">
        <v>17298.499999999993</v>
      </c>
      <c r="AJ1263" s="318">
        <v>17626.199999999993</v>
      </c>
      <c r="AK1263" s="318">
        <v>18565.799999999996</v>
      </c>
      <c r="AL1263" s="318">
        <v>20302.899999999998</v>
      </c>
      <c r="AM1263" s="318">
        <v>20357.999999999996</v>
      </c>
      <c r="AN1263" s="318">
        <v>21053.999999999989</v>
      </c>
      <c r="AO1263" s="318">
        <v>20656.69999999999</v>
      </c>
      <c r="AP1263" s="318">
        <v>20688.599999999991</v>
      </c>
      <c r="AQ1263" s="318">
        <v>20792.999999999996</v>
      </c>
      <c r="AR1263" s="318">
        <v>20067.13</v>
      </c>
      <c r="AS1263" s="318">
        <v>21346.900000000005</v>
      </c>
      <c r="AT1263" s="318">
        <v>19905.599999999995</v>
      </c>
      <c r="AU1263" s="318">
        <v>20656.69999999999</v>
      </c>
      <c r="AV1263" s="318">
        <f ca="1">Calc!Z66</f>
        <v>20656.69999999999</v>
      </c>
      <c r="AX1263" s="88" t="str">
        <f t="shared" ca="1" si="102"/>
        <v>SAFAAPL</v>
      </c>
    </row>
    <row r="1264" spans="1:50" hidden="1" x14ac:dyDescent="0.3">
      <c r="A1264" s="88" t="str">
        <f t="shared" ca="1" si="103"/>
        <v>SAFAMZN</v>
      </c>
      <c r="C1264" s="1">
        <v>67</v>
      </c>
      <c r="F1264" s="251">
        <v>1.2814000000000001</v>
      </c>
      <c r="G1264" s="251">
        <v>1.2835000000000001</v>
      </c>
      <c r="H1264" s="251">
        <v>1.2847</v>
      </c>
      <c r="I1264" s="251">
        <v>1.2862</v>
      </c>
      <c r="J1264" s="251">
        <v>1.2862</v>
      </c>
      <c r="K1264" s="251">
        <v>1.2845</v>
      </c>
      <c r="L1264" s="251">
        <v>1.2831999999999999</v>
      </c>
      <c r="M1264" s="251">
        <v>1.2831999999999999</v>
      </c>
      <c r="N1264" s="251">
        <v>1.2831999999999999</v>
      </c>
      <c r="O1264" s="251">
        <v>1.2831999999999999</v>
      </c>
      <c r="P1264" s="251">
        <v>1.2842</v>
      </c>
      <c r="Q1264" s="251">
        <v>1.2842</v>
      </c>
      <c r="R1264" s="251">
        <v>1.286</v>
      </c>
      <c r="S1264" s="251">
        <v>1.3634999999999999</v>
      </c>
      <c r="T1264" s="251">
        <v>1.3596999999999999</v>
      </c>
      <c r="U1264" s="251">
        <v>1.3612</v>
      </c>
      <c r="V1264" s="251">
        <v>1.3611</v>
      </c>
      <c r="W1264" s="251">
        <v>1.3676999999999999</v>
      </c>
      <c r="X1264" s="251">
        <v>1.3721000000000001</v>
      </c>
      <c r="Y1264" s="251">
        <v>1.3831</v>
      </c>
      <c r="Z1264" s="245">
        <f ca="1">[1]ExtEntry!$R67</f>
        <v>1.3831</v>
      </c>
      <c r="AB1264" s="318">
        <v>1569.9999999999932</v>
      </c>
      <c r="AC1264" s="318">
        <v>954.99999999999829</v>
      </c>
      <c r="AD1264" s="318">
        <v>609.99999999999943</v>
      </c>
      <c r="AE1264" s="318">
        <v>-105.00000000000398</v>
      </c>
      <c r="AF1264" s="318">
        <v>1614.999999999995</v>
      </c>
      <c r="AG1264" s="318">
        <v>4390.0000000000009</v>
      </c>
      <c r="AH1264" s="318">
        <v>2349.9999999999945</v>
      </c>
      <c r="AI1264" s="318">
        <v>2349.9999999999945</v>
      </c>
      <c r="AJ1264" s="318">
        <v>3920.0000000000018</v>
      </c>
      <c r="AK1264" s="318">
        <v>5480.0000000000036</v>
      </c>
      <c r="AL1264" s="318">
        <v>6859.9999999999991</v>
      </c>
      <c r="AM1264" s="318">
        <v>8000</v>
      </c>
      <c r="AN1264" s="318">
        <v>4805.0000000000073</v>
      </c>
      <c r="AO1264" s="318">
        <v>17784.999999999996</v>
      </c>
      <c r="AP1264" s="318">
        <v>18474.999999999993</v>
      </c>
      <c r="AQ1264" s="318">
        <v>15278.199999999999</v>
      </c>
      <c r="AR1264" s="318">
        <v>15655.000000000002</v>
      </c>
      <c r="AS1264" s="318">
        <v>10719.999999999998</v>
      </c>
      <c r="AT1264" s="318">
        <v>4650.0000000000055</v>
      </c>
      <c r="AU1264" s="318">
        <v>3965.9999999999941</v>
      </c>
      <c r="AV1264" s="318">
        <f ca="1">Calc!Z67</f>
        <v>3965.9999999999941</v>
      </c>
      <c r="AX1264" s="88" t="str">
        <f t="shared" ca="1" si="102"/>
        <v>SAFAMZN</v>
      </c>
    </row>
    <row r="1265" spans="1:50" hidden="1" x14ac:dyDescent="0.3">
      <c r="A1265" s="88" t="str">
        <f t="shared" ca="1" si="103"/>
        <v>SAFASML</v>
      </c>
      <c r="C1265" s="1">
        <v>68</v>
      </c>
      <c r="F1265" s="251">
        <v>1.9578</v>
      </c>
      <c r="G1265" s="251">
        <v>1.9605999999999999</v>
      </c>
      <c r="H1265" s="251">
        <v>1.9593</v>
      </c>
      <c r="I1265" s="251">
        <v>1.962</v>
      </c>
      <c r="J1265" s="251">
        <v>1.962</v>
      </c>
      <c r="K1265" s="251">
        <v>1.9623999999999999</v>
      </c>
      <c r="L1265" s="251">
        <v>1.9639</v>
      </c>
      <c r="M1265" s="251">
        <v>1.9639</v>
      </c>
      <c r="N1265" s="251">
        <v>1.9639</v>
      </c>
      <c r="O1265" s="251">
        <v>1.9639</v>
      </c>
      <c r="P1265" s="251">
        <v>1.9605999999999999</v>
      </c>
      <c r="Q1265" s="251">
        <v>1.9659</v>
      </c>
      <c r="R1265" s="251">
        <v>1.97</v>
      </c>
      <c r="S1265" s="251">
        <v>2.1156000000000001</v>
      </c>
      <c r="T1265" s="251">
        <v>2.1158000000000001</v>
      </c>
      <c r="U1265" s="251">
        <v>2.1168999999999998</v>
      </c>
      <c r="V1265" s="251">
        <v>2.1183000000000001</v>
      </c>
      <c r="W1265" s="251">
        <v>2.1202999999999999</v>
      </c>
      <c r="X1265" s="251">
        <v>2.1173000000000002</v>
      </c>
      <c r="Y1265" s="251">
        <v>2.1166999999999998</v>
      </c>
      <c r="Z1265" s="245">
        <f ca="1">[1]ExtEntry!$R68</f>
        <v>2.1166999999999998</v>
      </c>
      <c r="AB1265" s="318">
        <v>17604.3</v>
      </c>
      <c r="AC1265" s="318">
        <v>19452.3</v>
      </c>
      <c r="AD1265" s="318">
        <v>19760.299999999996</v>
      </c>
      <c r="AE1265" s="318">
        <v>19641.300000000003</v>
      </c>
      <c r="AF1265" s="318">
        <v>21272.3</v>
      </c>
      <c r="AG1265" s="318">
        <v>20628.299999999996</v>
      </c>
      <c r="AH1265" s="318">
        <v>19249.3</v>
      </c>
      <c r="AI1265" s="318">
        <v>19249.3</v>
      </c>
      <c r="AJ1265" s="318">
        <v>20481.300000000003</v>
      </c>
      <c r="AK1265" s="318">
        <v>20950.299999999996</v>
      </c>
      <c r="AL1265" s="318">
        <v>21909.3</v>
      </c>
      <c r="AM1265" s="318">
        <v>21860.299999999996</v>
      </c>
      <c r="AN1265" s="318">
        <v>23967.3</v>
      </c>
      <c r="AO1265" s="318">
        <v>22602.3</v>
      </c>
      <c r="AP1265" s="318">
        <v>21804.3</v>
      </c>
      <c r="AQ1265" s="318">
        <v>21013.299999999996</v>
      </c>
      <c r="AR1265" s="318">
        <v>19298.299999999996</v>
      </c>
      <c r="AS1265" s="318">
        <v>19529.3</v>
      </c>
      <c r="AT1265" s="318">
        <v>18500.299999999996</v>
      </c>
      <c r="AU1265" s="318">
        <v>20404.3</v>
      </c>
      <c r="AV1265" s="318">
        <f ca="1">Calc!Z68</f>
        <v>20404.3</v>
      </c>
      <c r="AX1265" s="88" t="str">
        <f t="shared" ca="1" si="102"/>
        <v>SAFASML</v>
      </c>
    </row>
    <row r="1266" spans="1:50" hidden="1" x14ac:dyDescent="0.3">
      <c r="A1266" s="88" t="str">
        <f t="shared" ca="1" si="103"/>
        <v>SAFDDD</v>
      </c>
      <c r="C1266" s="1">
        <v>69</v>
      </c>
      <c r="F1266" s="251">
        <v>2.1745000000000001</v>
      </c>
      <c r="G1266" s="251">
        <v>2.1745999999999999</v>
      </c>
      <c r="H1266" s="251">
        <v>2.1697000000000002</v>
      </c>
      <c r="I1266" s="251">
        <v>2.1758000000000002</v>
      </c>
      <c r="J1266" s="251">
        <v>2.1758000000000002</v>
      </c>
      <c r="K1266" s="251">
        <v>2.1718000000000002</v>
      </c>
      <c r="L1266" s="251">
        <v>2.1789000000000001</v>
      </c>
      <c r="M1266" s="251">
        <v>2.1789000000000001</v>
      </c>
      <c r="N1266" s="251">
        <v>2.1789000000000001</v>
      </c>
      <c r="O1266" s="251">
        <v>2.1789000000000001</v>
      </c>
      <c r="P1266" s="251">
        <v>2.1852999999999998</v>
      </c>
      <c r="Q1266" s="251">
        <v>2.1855000000000002</v>
      </c>
      <c r="R1266" s="251">
        <v>2.1827999999999999</v>
      </c>
      <c r="S1266" s="251">
        <v>1.8685</v>
      </c>
      <c r="T1266" s="251">
        <v>1.8775999999999999</v>
      </c>
      <c r="U1266" s="251">
        <v>1.8776999999999999</v>
      </c>
      <c r="V1266" s="251">
        <v>1.9112</v>
      </c>
      <c r="W1266" s="251">
        <v>1.9157999999999999</v>
      </c>
      <c r="X1266" s="251">
        <v>1.9231</v>
      </c>
      <c r="Y1266" s="251">
        <v>1.9366000000000001</v>
      </c>
      <c r="Z1266" s="245">
        <f ca="1">[1]ExtEntry!$R69</f>
        <v>1.9366000000000001</v>
      </c>
      <c r="AB1266" s="318">
        <v>24171</v>
      </c>
      <c r="AC1266" s="318">
        <v>27741</v>
      </c>
      <c r="AD1266" s="318">
        <v>27950.999999999993</v>
      </c>
      <c r="AE1266" s="318">
        <v>24800.999999999996</v>
      </c>
      <c r="AF1266" s="318">
        <v>38976</v>
      </c>
      <c r="AG1266" s="318">
        <v>30261</v>
      </c>
      <c r="AH1266" s="318">
        <v>22595.999999999996</v>
      </c>
      <c r="AI1266" s="318">
        <v>22595.999999999996</v>
      </c>
      <c r="AJ1266" s="318">
        <v>24066.000000000004</v>
      </c>
      <c r="AK1266" s="318">
        <v>25116</v>
      </c>
      <c r="AL1266" s="318">
        <v>24066.000000000004</v>
      </c>
      <c r="AM1266" s="318">
        <v>26585.999999999996</v>
      </c>
      <c r="AN1266" s="318">
        <v>18710.999999999996</v>
      </c>
      <c r="AO1266" s="318">
        <v>13981.800000000003</v>
      </c>
      <c r="AP1266" s="318">
        <v>14091</v>
      </c>
      <c r="AQ1266" s="318">
        <v>7056.0000000000018</v>
      </c>
      <c r="AR1266" s="318">
        <v>6216.0000000000009</v>
      </c>
      <c r="AS1266" s="318">
        <v>4851.0000000000018</v>
      </c>
      <c r="AT1266" s="318">
        <v>3171.0000000000005</v>
      </c>
      <c r="AU1266" s="318">
        <v>2435.9999999999977</v>
      </c>
      <c r="AV1266" s="318">
        <f ca="1">Calc!Z69</f>
        <v>2435.9999999999977</v>
      </c>
      <c r="AX1266" s="88" t="str">
        <f t="shared" ca="1" si="102"/>
        <v>SAFDDD</v>
      </c>
    </row>
    <row r="1267" spans="1:50" hidden="1" x14ac:dyDescent="0.3">
      <c r="A1267" s="88" t="str">
        <f t="shared" ca="1" si="103"/>
        <v>SAFDIS</v>
      </c>
      <c r="C1267" s="1">
        <v>70</v>
      </c>
      <c r="F1267" s="251">
        <v>1.5557000000000001</v>
      </c>
      <c r="G1267" s="251">
        <v>1.5542</v>
      </c>
      <c r="H1267" s="251">
        <v>1.5543</v>
      </c>
      <c r="I1267" s="251">
        <v>1.5552999999999999</v>
      </c>
      <c r="J1267" s="251">
        <v>1.5552999999999999</v>
      </c>
      <c r="K1267" s="251">
        <v>1.5546</v>
      </c>
      <c r="L1267" s="251">
        <v>1.5536000000000001</v>
      </c>
      <c r="M1267" s="251">
        <v>1.5536000000000001</v>
      </c>
      <c r="N1267" s="251">
        <v>1.5536000000000001</v>
      </c>
      <c r="O1267" s="251">
        <v>1.5536000000000001</v>
      </c>
      <c r="P1267" s="251">
        <v>1.5541</v>
      </c>
      <c r="Q1267" s="251">
        <v>1.5483</v>
      </c>
      <c r="R1267" s="251">
        <v>1.5445</v>
      </c>
      <c r="S1267" s="251">
        <v>1.4897</v>
      </c>
      <c r="T1267" s="251">
        <v>1.4863999999999999</v>
      </c>
      <c r="U1267" s="251">
        <v>1.4881</v>
      </c>
      <c r="V1267" s="251">
        <v>1.4843999999999999</v>
      </c>
      <c r="W1267" s="251">
        <v>1.4917</v>
      </c>
      <c r="X1267" s="251">
        <v>1.4956</v>
      </c>
      <c r="Y1267" s="251">
        <v>1.4914000000000001</v>
      </c>
      <c r="Z1267" s="245">
        <f ca="1">[1]ExtEntry!$R70</f>
        <v>1.4914000000000001</v>
      </c>
      <c r="AB1267" s="318">
        <v>-961.94999999999879</v>
      </c>
      <c r="AC1267" s="318">
        <v>-516.75000000000455</v>
      </c>
      <c r="AD1267" s="318">
        <v>-1635.0500000000043</v>
      </c>
      <c r="AE1267" s="318">
        <v>-1224.3000000000011</v>
      </c>
      <c r="AF1267" s="318">
        <v>-530</v>
      </c>
      <c r="AG1267" s="318">
        <v>704.89999999999907</v>
      </c>
      <c r="AH1267" s="318">
        <v>63.599999999994878</v>
      </c>
      <c r="AI1267" s="318">
        <v>63.599999999994878</v>
      </c>
      <c r="AJ1267" s="318">
        <v>21.199999999995782</v>
      </c>
      <c r="AK1267" s="318">
        <v>-694.30000000000121</v>
      </c>
      <c r="AL1267" s="318">
        <v>-355.10000000000093</v>
      </c>
      <c r="AM1267" s="318">
        <v>-696.94999999999879</v>
      </c>
      <c r="AN1267" s="318">
        <v>-604.20000000000027</v>
      </c>
      <c r="AO1267" s="318">
        <v>-869.20000000000027</v>
      </c>
      <c r="AP1267" s="318">
        <v>-869.20000000000027</v>
      </c>
      <c r="AQ1267" s="318">
        <v>-1494.600000000004</v>
      </c>
      <c r="AR1267" s="318">
        <v>-1192.5</v>
      </c>
      <c r="AS1267" s="318">
        <v>-3805.4000000000037</v>
      </c>
      <c r="AT1267" s="318">
        <v>-3551.0000000000014</v>
      </c>
      <c r="AU1267" s="318">
        <v>-4070.4000000000037</v>
      </c>
      <c r="AV1267" s="318">
        <f ca="1">Calc!Z70</f>
        <v>-4070.4000000000037</v>
      </c>
      <c r="AX1267" s="88" t="str">
        <f t="shared" ca="1" si="102"/>
        <v>SAFDIS</v>
      </c>
    </row>
    <row r="1268" spans="1:50" hidden="1" x14ac:dyDescent="0.3">
      <c r="A1268" s="88" t="str">
        <f t="shared" ca="1" si="103"/>
        <v>SAFGM</v>
      </c>
      <c r="C1268" s="1">
        <v>71</v>
      </c>
      <c r="F1268" s="251">
        <v>1.4162999999999999</v>
      </c>
      <c r="G1268" s="251">
        <v>1.4129</v>
      </c>
      <c r="H1268" s="251">
        <v>1.4107000000000001</v>
      </c>
      <c r="I1268" s="251">
        <v>1.4096</v>
      </c>
      <c r="J1268" s="251">
        <v>1.4096</v>
      </c>
      <c r="K1268" s="251">
        <v>1.4077</v>
      </c>
      <c r="L1268" s="251">
        <v>1.4006000000000001</v>
      </c>
      <c r="M1268" s="251">
        <v>1.4006000000000001</v>
      </c>
      <c r="N1268" s="251">
        <v>1.4006000000000001</v>
      </c>
      <c r="O1268" s="251">
        <v>1.4006000000000001</v>
      </c>
      <c r="P1268" s="251">
        <v>1.4</v>
      </c>
      <c r="Q1268" s="251">
        <v>1.4171</v>
      </c>
      <c r="R1268" s="251">
        <v>1.4179999999999999</v>
      </c>
      <c r="S1268" s="251">
        <v>1.3120000000000001</v>
      </c>
      <c r="T1268" s="251">
        <v>1.3140000000000001</v>
      </c>
      <c r="U1268" s="251">
        <v>1.3099000000000001</v>
      </c>
      <c r="V1268" s="251">
        <v>1.3052999999999999</v>
      </c>
      <c r="W1268" s="251">
        <v>1.2962</v>
      </c>
      <c r="X1268" s="251">
        <v>1.3095000000000001</v>
      </c>
      <c r="Y1268" s="251">
        <v>1.3051999999999999</v>
      </c>
      <c r="Z1268" s="245">
        <f ca="1">[1]ExtEntry!$R71</f>
        <v>1.3051999999999999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2.8881000000000001</v>
      </c>
      <c r="G1269" s="251">
        <v>2.8883000000000001</v>
      </c>
      <c r="H1269" s="251">
        <v>2.8873000000000002</v>
      </c>
      <c r="I1269" s="251">
        <v>2.8868</v>
      </c>
      <c r="J1269" s="251">
        <v>2.8868</v>
      </c>
      <c r="K1269" s="251">
        <v>2.8875999999999999</v>
      </c>
      <c r="L1269" s="251">
        <v>2.8881999999999999</v>
      </c>
      <c r="M1269" s="251">
        <v>2.8881999999999999</v>
      </c>
      <c r="N1269" s="251">
        <v>2.8881999999999999</v>
      </c>
      <c r="O1269" s="251">
        <v>2.8881999999999999</v>
      </c>
      <c r="P1269" s="251">
        <v>2.8862999999999999</v>
      </c>
      <c r="Q1269" s="251">
        <v>2.8740999999999999</v>
      </c>
      <c r="R1269" s="251">
        <v>2.8527999999999998</v>
      </c>
      <c r="S1269" s="251">
        <v>2.2942</v>
      </c>
      <c r="T1269" s="251">
        <v>2.2967</v>
      </c>
      <c r="U1269" s="251">
        <v>2.2978000000000001</v>
      </c>
      <c r="V1269" s="251">
        <v>2.3001999999999998</v>
      </c>
      <c r="W1269" s="251">
        <v>2.2976000000000001</v>
      </c>
      <c r="X1269" s="251">
        <v>2.3203999999999998</v>
      </c>
      <c r="Y1269" s="251">
        <v>2.3380999999999998</v>
      </c>
      <c r="Z1269" s="245">
        <f ca="1">[1]ExtEntry!$R72</f>
        <v>2.3380999999999998</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2.0064000000000002</v>
      </c>
      <c r="G1270" s="251">
        <v>2.0082</v>
      </c>
      <c r="H1270" s="251">
        <v>2.0034000000000001</v>
      </c>
      <c r="I1270" s="251">
        <v>2.0114000000000001</v>
      </c>
      <c r="J1270" s="251">
        <v>2.0114000000000001</v>
      </c>
      <c r="K1270" s="251">
        <v>2.0127999999999999</v>
      </c>
      <c r="L1270" s="251">
        <v>2.0123000000000002</v>
      </c>
      <c r="M1270" s="251">
        <v>2.0123000000000002</v>
      </c>
      <c r="N1270" s="251">
        <v>2.0123000000000002</v>
      </c>
      <c r="O1270" s="251">
        <v>2.0123000000000002</v>
      </c>
      <c r="P1270" s="251">
        <v>2.0135000000000001</v>
      </c>
      <c r="Q1270" s="251">
        <v>2.0148999999999999</v>
      </c>
      <c r="R1270" s="251">
        <v>2.0036999999999998</v>
      </c>
      <c r="S1270" s="251">
        <v>1.1157999999999999</v>
      </c>
      <c r="T1270" s="251">
        <v>1.1276999999999999</v>
      </c>
      <c r="U1270" s="251">
        <v>1.1266</v>
      </c>
      <c r="V1270" s="251">
        <v>1.1258999999999999</v>
      </c>
      <c r="W1270" s="251">
        <v>1.1197999999999999</v>
      </c>
      <c r="X1270" s="251">
        <v>1.1215999999999999</v>
      </c>
      <c r="Y1270" s="251">
        <v>1.1202000000000001</v>
      </c>
      <c r="Z1270" s="245">
        <f ca="1">[1]ExtEntry!$R73</f>
        <v>1.1202000000000001</v>
      </c>
      <c r="AB1270" s="318">
        <v>-37687.80000000001</v>
      </c>
      <c r="AC1270" s="318">
        <v>-33172.80000000001</v>
      </c>
      <c r="AD1270" s="318">
        <v>-35017.80000000001</v>
      </c>
      <c r="AE1270" s="318">
        <v>-38407.800000000003</v>
      </c>
      <c r="AF1270" s="318">
        <v>-34717.800000000017</v>
      </c>
      <c r="AG1270" s="318">
        <v>-33967.800000000017</v>
      </c>
      <c r="AH1270" s="318">
        <v>-35887.800000000003</v>
      </c>
      <c r="AI1270" s="318">
        <v>-35887.800000000003</v>
      </c>
      <c r="AJ1270" s="318">
        <v>-37687.80000000001</v>
      </c>
      <c r="AK1270" s="318">
        <v>-36217.800000000017</v>
      </c>
      <c r="AL1270" s="318">
        <v>-36457.80000000001</v>
      </c>
      <c r="AM1270" s="318">
        <v>-40387.800000000003</v>
      </c>
      <c r="AN1270" s="318">
        <v>-32017.800000000007</v>
      </c>
      <c r="AO1270" s="318">
        <v>-45112.800000000017</v>
      </c>
      <c r="AP1270" s="318">
        <v>-45757.80000000001</v>
      </c>
      <c r="AQ1270" s="318">
        <v>-44122.80000000001</v>
      </c>
      <c r="AR1270" s="318">
        <v>-42862.800000000017</v>
      </c>
      <c r="AS1270" s="318">
        <v>-42127.80000000001</v>
      </c>
      <c r="AT1270" s="318">
        <v>-41677.800000000003</v>
      </c>
      <c r="AU1270" s="318">
        <v>-43597.8</v>
      </c>
      <c r="AV1270" s="318">
        <f ca="1">Calc!Z73</f>
        <v>-43597.8</v>
      </c>
      <c r="AX1270" s="88" t="str">
        <f t="shared" ca="1" si="102"/>
        <v>SAFMRNA</v>
      </c>
    </row>
    <row r="1271" spans="1:50" hidden="1" x14ac:dyDescent="0.3">
      <c r="A1271" s="88" t="str">
        <f t="shared" ca="1" si="103"/>
        <v>BLNK</v>
      </c>
      <c r="C1271" s="1">
        <v>74</v>
      </c>
      <c r="F1271" s="251">
        <v>3.4411999999999998</v>
      </c>
      <c r="G1271" s="251">
        <v>3.4312999999999998</v>
      </c>
      <c r="H1271" s="251">
        <v>3.4558</v>
      </c>
      <c r="I1271" s="251">
        <v>3.4805999999999999</v>
      </c>
      <c r="J1271" s="251">
        <v>3.4805999999999999</v>
      </c>
      <c r="K1271" s="251">
        <v>3.4935</v>
      </c>
      <c r="L1271" s="251">
        <v>3.4971999999999999</v>
      </c>
      <c r="M1271" s="251">
        <v>3.4971999999999999</v>
      </c>
      <c r="N1271" s="251">
        <v>3.4971999999999999</v>
      </c>
      <c r="O1271" s="251">
        <v>3.4971999999999999</v>
      </c>
      <c r="P1271" s="251">
        <v>3.4965999999999999</v>
      </c>
      <c r="Q1271" s="251">
        <v>3.5066000000000002</v>
      </c>
      <c r="R1271" s="251">
        <v>3.4954000000000001</v>
      </c>
      <c r="S1271" s="251">
        <v>1.8775999999999999</v>
      </c>
      <c r="T1271" s="251">
        <v>1.8866000000000001</v>
      </c>
      <c r="U1271" s="251">
        <v>1.8706</v>
      </c>
      <c r="V1271" s="251">
        <v>1.8828</v>
      </c>
      <c r="W1271" s="251">
        <v>1.89</v>
      </c>
      <c r="X1271" s="251">
        <v>1.8985000000000001</v>
      </c>
      <c r="Y1271" s="251">
        <v>1.8993</v>
      </c>
      <c r="Z1271" s="245">
        <f ca="1">[1]ExtEntry!$R74</f>
        <v>1.8993</v>
      </c>
      <c r="AB1271" s="318">
        <v>50320</v>
      </c>
      <c r="AC1271" s="318">
        <v>46120</v>
      </c>
      <c r="AD1271" s="318">
        <v>35920</v>
      </c>
      <c r="AE1271" s="318">
        <v>32320.000000000004</v>
      </c>
      <c r="AF1271" s="318">
        <v>35119.999999999993</v>
      </c>
      <c r="AG1271" s="318">
        <v>30320</v>
      </c>
      <c r="AH1271" s="318">
        <v>31120</v>
      </c>
      <c r="AI1271" s="318">
        <v>31120</v>
      </c>
      <c r="AJ1271" s="318">
        <v>31120</v>
      </c>
      <c r="AK1271" s="318">
        <v>36720</v>
      </c>
      <c r="AL1271" s="318">
        <v>32320.000000000004</v>
      </c>
      <c r="AM1271" s="318">
        <v>28320</v>
      </c>
      <c r="AN1271" s="318">
        <v>23920.000000000004</v>
      </c>
      <c r="AO1271" s="318">
        <v>19364</v>
      </c>
      <c r="AP1271" s="318">
        <v>25119.999999999996</v>
      </c>
      <c r="AQ1271" s="318">
        <v>19719.999999999996</v>
      </c>
      <c r="AR1271" s="318">
        <v>23116.000000000004</v>
      </c>
      <c r="AS1271" s="318">
        <v>15919.999999999996</v>
      </c>
      <c r="AT1271" s="318">
        <v>15919.999999999996</v>
      </c>
      <c r="AU1271" s="318">
        <v>14120</v>
      </c>
      <c r="AV1271" s="318">
        <f ca="1">Calc!Z74</f>
        <v>14120</v>
      </c>
      <c r="AX1271" s="88" t="str">
        <f t="shared" ca="1" si="102"/>
        <v>BLNK</v>
      </c>
    </row>
    <row r="1272" spans="1:50" hidden="1" x14ac:dyDescent="0.3">
      <c r="A1272" s="88" t="str">
        <f t="shared" ca="1" si="103"/>
        <v>ENI</v>
      </c>
      <c r="C1272" s="1">
        <v>75</v>
      </c>
      <c r="F1272" s="251">
        <v>1.0807</v>
      </c>
      <c r="G1272" s="251">
        <v>1.0831999999999999</v>
      </c>
      <c r="H1272" s="251">
        <v>1.0819000000000001</v>
      </c>
      <c r="I1272" s="251">
        <v>1.079</v>
      </c>
      <c r="J1272" s="251">
        <v>1.079</v>
      </c>
      <c r="K1272" s="251">
        <v>1.0827</v>
      </c>
      <c r="L1272" s="251">
        <v>1.0833999999999999</v>
      </c>
      <c r="M1272" s="251">
        <v>1.0833999999999999</v>
      </c>
      <c r="N1272" s="251">
        <v>1.0833999999999999</v>
      </c>
      <c r="O1272" s="251">
        <v>1.0833999999999999</v>
      </c>
      <c r="P1272" s="251">
        <v>1.0790999999999999</v>
      </c>
      <c r="Q1272" s="251">
        <v>1.0793999999999999</v>
      </c>
      <c r="R1272" s="251">
        <v>1.0823</v>
      </c>
      <c r="S1272" s="251">
        <v>0.83030000000000004</v>
      </c>
      <c r="T1272" s="251">
        <v>0.83050000000000002</v>
      </c>
      <c r="U1272" s="251">
        <v>0.83030000000000004</v>
      </c>
      <c r="V1272" s="251">
        <v>0.82989999999999997</v>
      </c>
      <c r="W1272" s="251">
        <v>0.82989999999999997</v>
      </c>
      <c r="X1272" s="251">
        <v>0.82989999999999997</v>
      </c>
      <c r="Y1272" s="251">
        <v>0.82489999999999997</v>
      </c>
      <c r="Z1272" s="245">
        <f ca="1">[1]ExtEntry!$R75</f>
        <v>0.82489999999999997</v>
      </c>
      <c r="AB1272" s="318">
        <v>-1701.6999999999994</v>
      </c>
      <c r="AC1272" s="318">
        <v>-1481.4799999999968</v>
      </c>
      <c r="AD1272" s="318">
        <v>-1041.039999999992</v>
      </c>
      <c r="AE1272" s="318">
        <v>-260.259999999998</v>
      </c>
      <c r="AF1272" s="318">
        <v>60.060000000002276</v>
      </c>
      <c r="AG1272" s="318">
        <v>300.30000000001138</v>
      </c>
      <c r="AH1272" s="318">
        <v>2562.5600000000022</v>
      </c>
      <c r="AI1272" s="318">
        <v>2562.5600000000022</v>
      </c>
      <c r="AJ1272" s="318">
        <v>7167.1600000000108</v>
      </c>
      <c r="AK1272" s="318">
        <v>9669.6600000000108</v>
      </c>
      <c r="AL1272" s="318">
        <v>10730.72000000001</v>
      </c>
      <c r="AM1272" s="318">
        <v>10170.16</v>
      </c>
      <c r="AN1272" s="318">
        <v>10510.500000000007</v>
      </c>
      <c r="AO1272" s="318">
        <v>10410.400000000009</v>
      </c>
      <c r="AP1272" s="318">
        <v>10990.980000000007</v>
      </c>
      <c r="AQ1272" s="318">
        <v>10790.780000000012</v>
      </c>
      <c r="AR1272" s="318">
        <v>10630.620000000012</v>
      </c>
      <c r="AS1272" s="318">
        <v>16056.04000000001</v>
      </c>
      <c r="AT1272" s="318">
        <v>14914.900000000001</v>
      </c>
      <c r="AU1272" s="318">
        <v>13493.480000000007</v>
      </c>
      <c r="AV1272" s="318">
        <f ca="1">Calc!Z75</f>
        <v>13493.480000000007</v>
      </c>
      <c r="AX1272" s="88" t="str">
        <f t="shared" ca="1" si="102"/>
        <v>ENI</v>
      </c>
    </row>
    <row r="1273" spans="1:50" hidden="1" x14ac:dyDescent="0.3">
      <c r="A1273" s="88" t="str">
        <f t="shared" ca="1" si="103"/>
        <v>EZJ</v>
      </c>
      <c r="C1273" s="1">
        <v>76</v>
      </c>
      <c r="F1273" s="251">
        <v>2.8786</v>
      </c>
      <c r="G1273" s="251">
        <v>2.8797999999999999</v>
      </c>
      <c r="H1273" s="251">
        <v>2.8778999999999999</v>
      </c>
      <c r="I1273" s="251">
        <v>2.8683000000000001</v>
      </c>
      <c r="J1273" s="251">
        <v>2.8683000000000001</v>
      </c>
      <c r="K1273" s="251">
        <v>2.8752</v>
      </c>
      <c r="L1273" s="251">
        <v>2.8776999999999999</v>
      </c>
      <c r="M1273" s="251">
        <v>2.8776999999999999</v>
      </c>
      <c r="N1273" s="251">
        <v>2.8776999999999999</v>
      </c>
      <c r="O1273" s="251">
        <v>2.8776999999999999</v>
      </c>
      <c r="P1273" s="251">
        <v>2.8824999999999998</v>
      </c>
      <c r="Q1273" s="251">
        <v>2.8681999999999999</v>
      </c>
      <c r="R1273" s="251">
        <v>2.8399000000000001</v>
      </c>
      <c r="S1273" s="251">
        <v>2.2332999999999998</v>
      </c>
      <c r="T1273" s="251">
        <v>2.2376</v>
      </c>
      <c r="U1273" s="251">
        <v>2.2389000000000001</v>
      </c>
      <c r="V1273" s="251">
        <v>2.2387999999999999</v>
      </c>
      <c r="W1273" s="251">
        <v>2.2389000000000001</v>
      </c>
      <c r="X1273" s="251">
        <v>2.2444999999999999</v>
      </c>
      <c r="Y1273" s="251">
        <v>2.2404999999999999</v>
      </c>
      <c r="Z1273" s="245">
        <f ca="1">[1]ExtEntry!$R76</f>
        <v>2.2404999999999999</v>
      </c>
      <c r="AB1273" s="318">
        <v>10038</v>
      </c>
      <c r="AC1273" s="318">
        <v>5938</v>
      </c>
      <c r="AD1273" s="318">
        <v>7738</v>
      </c>
      <c r="AE1273" s="318">
        <v>7377.9999999999982</v>
      </c>
      <c r="AF1273" s="318">
        <v>6998.0000000000027</v>
      </c>
      <c r="AG1273" s="318">
        <v>5858.0000000000045</v>
      </c>
      <c r="AH1273" s="318">
        <v>8458.0000000000055</v>
      </c>
      <c r="AI1273" s="318">
        <v>8458.0000000000055</v>
      </c>
      <c r="AJ1273" s="318">
        <v>5698.0000000000027</v>
      </c>
      <c r="AK1273" s="318">
        <v>7018.0000000000064</v>
      </c>
      <c r="AL1273" s="318">
        <v>6998.0000000000027</v>
      </c>
      <c r="AM1273" s="318">
        <v>6218.0000000000064</v>
      </c>
      <c r="AN1273" s="318">
        <v>5818.0000000000064</v>
      </c>
      <c r="AO1273" s="318">
        <v>5858.0000000000045</v>
      </c>
      <c r="AP1273" s="318">
        <v>6618.0000000000064</v>
      </c>
      <c r="AQ1273" s="318">
        <v>5498.0000000000027</v>
      </c>
      <c r="AR1273" s="318">
        <v>4077.9999999999973</v>
      </c>
      <c r="AS1273" s="318">
        <v>3637.9999999999995</v>
      </c>
      <c r="AT1273" s="318">
        <v>558.00000000000409</v>
      </c>
      <c r="AU1273" s="318">
        <v>2218.0000000000064</v>
      </c>
      <c r="AV1273" s="318">
        <f ca="1">Calc!Z76</f>
        <v>2218.0000000000064</v>
      </c>
      <c r="AX1273" s="88" t="str">
        <f t="shared" ca="1" si="102"/>
        <v>EZJ</v>
      </c>
    </row>
    <row r="1274" spans="1:50" hidden="1" x14ac:dyDescent="0.3">
      <c r="A1274" s="88" t="str">
        <f t="shared" ca="1" si="103"/>
        <v>F</v>
      </c>
      <c r="C1274" s="1">
        <v>77</v>
      </c>
      <c r="F1274" s="251">
        <v>1.6054999999999999</v>
      </c>
      <c r="G1274" s="251">
        <v>1.6039000000000001</v>
      </c>
      <c r="H1274" s="251">
        <v>1.6032999999999999</v>
      </c>
      <c r="I1274" s="251">
        <v>1.6012999999999999</v>
      </c>
      <c r="J1274" s="251">
        <v>1.6012999999999999</v>
      </c>
      <c r="K1274" s="251">
        <v>1.6025</v>
      </c>
      <c r="L1274" s="251">
        <v>1.6001000000000001</v>
      </c>
      <c r="M1274" s="251">
        <v>1.6001000000000001</v>
      </c>
      <c r="N1274" s="251">
        <v>1.6001000000000001</v>
      </c>
      <c r="O1274" s="251">
        <v>1.6001000000000001</v>
      </c>
      <c r="P1274" s="251">
        <v>1.6007</v>
      </c>
      <c r="Q1274" s="251">
        <v>1.6107</v>
      </c>
      <c r="R1274" s="251">
        <v>1.6112</v>
      </c>
      <c r="S1274" s="251">
        <v>1.6027</v>
      </c>
      <c r="T1274" s="251">
        <v>1.603</v>
      </c>
      <c r="U1274" s="251">
        <v>1.5999000000000001</v>
      </c>
      <c r="V1274" s="251">
        <v>1.5939000000000001</v>
      </c>
      <c r="W1274" s="251">
        <v>1.5927</v>
      </c>
      <c r="X1274" s="251">
        <v>1.5994999999999999</v>
      </c>
      <c r="Y1274" s="251">
        <v>1.5908</v>
      </c>
      <c r="Z1274" s="245">
        <f ca="1">[1]ExtEntry!$R77</f>
        <v>1.5908</v>
      </c>
      <c r="AB1274" s="318">
        <v>7289.9999999999991</v>
      </c>
      <c r="AC1274" s="318">
        <v>7500</v>
      </c>
      <c r="AD1274" s="318">
        <v>7529.9999999999991</v>
      </c>
      <c r="AE1274" s="318">
        <v>8055.0000000000018</v>
      </c>
      <c r="AF1274" s="318">
        <v>0</v>
      </c>
      <c r="AG1274" s="318">
        <v>0</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1.6016999999999999</v>
      </c>
      <c r="G1275" s="251">
        <v>1.5999000000000001</v>
      </c>
      <c r="H1275" s="251">
        <v>1.5998000000000001</v>
      </c>
      <c r="I1275" s="251">
        <v>1.5733999999999999</v>
      </c>
      <c r="J1275" s="251">
        <v>1.5733999999999999</v>
      </c>
      <c r="K1275" s="251">
        <v>1.5734999999999999</v>
      </c>
      <c r="L1275" s="251">
        <v>1.5686</v>
      </c>
      <c r="M1275" s="251">
        <v>1.5686</v>
      </c>
      <c r="N1275" s="251">
        <v>1.5591999999999999</v>
      </c>
      <c r="O1275" s="251">
        <v>1.5591999999999999</v>
      </c>
      <c r="P1275" s="251">
        <v>1.5581</v>
      </c>
      <c r="Q1275" s="251">
        <v>1.5671999999999999</v>
      </c>
      <c r="R1275" s="251">
        <v>1.5741000000000001</v>
      </c>
      <c r="S1275" s="251">
        <v>1.3874</v>
      </c>
      <c r="T1275" s="251">
        <v>1.389</v>
      </c>
      <c r="U1275" s="251">
        <v>1.3888</v>
      </c>
      <c r="V1275" s="251">
        <v>1.3861000000000001</v>
      </c>
      <c r="W1275" s="251">
        <v>1.3906000000000001</v>
      </c>
      <c r="X1275" s="251">
        <v>1.3869</v>
      </c>
      <c r="Y1275" s="251">
        <v>1.3862000000000001</v>
      </c>
      <c r="Z1275" s="245">
        <f ca="1">[1]ExtEntry!$R78</f>
        <v>1.3862000000000001</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1.6818</v>
      </c>
      <c r="G1276" s="251">
        <v>1.6713</v>
      </c>
      <c r="H1276" s="251">
        <v>1.6700999999999999</v>
      </c>
      <c r="I1276" s="251">
        <v>1.6694</v>
      </c>
      <c r="J1276" s="251">
        <v>1.6694</v>
      </c>
      <c r="K1276" s="251">
        <v>1.6822999999999999</v>
      </c>
      <c r="L1276" s="251">
        <v>1.6833</v>
      </c>
      <c r="M1276" s="251">
        <v>1.6833</v>
      </c>
      <c r="N1276" s="251">
        <v>1.6833</v>
      </c>
      <c r="O1276" s="251">
        <v>1.6833</v>
      </c>
      <c r="P1276" s="251">
        <v>1.6861999999999999</v>
      </c>
      <c r="Q1276" s="251">
        <v>1.7033</v>
      </c>
      <c r="R1276" s="251">
        <v>1.6969000000000001</v>
      </c>
      <c r="S1276" s="251">
        <v>1.8117000000000001</v>
      </c>
      <c r="T1276" s="251">
        <v>1.8173999999999999</v>
      </c>
      <c r="U1276" s="251">
        <v>1.8148</v>
      </c>
      <c r="V1276" s="251">
        <v>1.8205</v>
      </c>
      <c r="W1276" s="251">
        <v>1.8196000000000001</v>
      </c>
      <c r="X1276" s="251">
        <v>1.8394999999999999</v>
      </c>
      <c r="Y1276" s="251">
        <v>1.8402000000000001</v>
      </c>
      <c r="Z1276" s="245">
        <f ca="1">[1]ExtEntry!$R79</f>
        <v>1.8402000000000001</v>
      </c>
      <c r="AB1276" s="318">
        <v>3445.0000000000045</v>
      </c>
      <c r="AC1276" s="318">
        <v>5319</v>
      </c>
      <c r="AD1276" s="318">
        <v>5191.0000000000027</v>
      </c>
      <c r="AE1276" s="318">
        <v>4758.0000000000036</v>
      </c>
      <c r="AF1276" s="318">
        <v>5814.0000000000045</v>
      </c>
      <c r="AG1276" s="318">
        <v>5164.0000000000045</v>
      </c>
      <c r="AH1276" s="318">
        <v>-20.999999999997954</v>
      </c>
      <c r="AI1276" s="318">
        <v>-20.999999999997954</v>
      </c>
      <c r="AJ1276" s="318">
        <v>1763.9999999999986</v>
      </c>
      <c r="AK1276" s="318">
        <v>2654.9999999999982</v>
      </c>
      <c r="AL1276" s="318">
        <v>2190.0000000000036</v>
      </c>
      <c r="AM1276" s="318">
        <v>2093.9999999999968</v>
      </c>
      <c r="AN1276" s="318">
        <v>-5216.9999999999964</v>
      </c>
      <c r="AO1276" s="318">
        <v>-7823.9999999999955</v>
      </c>
      <c r="AP1276" s="318">
        <v>-7193.9999999999973</v>
      </c>
      <c r="AQ1276" s="318">
        <v>-8888.9999999999982</v>
      </c>
      <c r="AR1276" s="318">
        <v>-8561.9999999999982</v>
      </c>
      <c r="AS1276" s="318">
        <v>-9614.9999999999945</v>
      </c>
      <c r="AT1276" s="318">
        <v>-12209.999999999996</v>
      </c>
      <c r="AU1276" s="318">
        <v>-10881.000000000004</v>
      </c>
      <c r="AV1276" s="318">
        <f ca="1">Calc!Z79</f>
        <v>-10881.000000000004</v>
      </c>
      <c r="AX1276" s="88" t="str">
        <f t="shared" ca="1" si="102"/>
        <v>GNRC</v>
      </c>
    </row>
    <row r="1277" spans="1:50" hidden="1" x14ac:dyDescent="0.3">
      <c r="A1277" s="88" t="str">
        <f t="shared" ca="1" si="103"/>
        <v>GS</v>
      </c>
      <c r="C1277" s="1">
        <v>80</v>
      </c>
      <c r="F1277" s="251">
        <v>1.4076</v>
      </c>
      <c r="G1277" s="251">
        <v>1.4106000000000001</v>
      </c>
      <c r="H1277" s="251">
        <v>1.4108000000000001</v>
      </c>
      <c r="I1277" s="251">
        <v>1.4138999999999999</v>
      </c>
      <c r="J1277" s="251">
        <v>1.4138999999999999</v>
      </c>
      <c r="K1277" s="251">
        <v>1.4085000000000001</v>
      </c>
      <c r="L1277" s="251">
        <v>1.4088000000000001</v>
      </c>
      <c r="M1277" s="251">
        <v>1.4088000000000001</v>
      </c>
      <c r="N1277" s="251">
        <v>1.4088000000000001</v>
      </c>
      <c r="O1277" s="251">
        <v>1.4088000000000001</v>
      </c>
      <c r="P1277" s="251">
        <v>1.4097</v>
      </c>
      <c r="Q1277" s="251">
        <v>1.3987000000000001</v>
      </c>
      <c r="R1277" s="251">
        <v>1.3959999999999999</v>
      </c>
      <c r="S1277" s="251">
        <v>1.3515999999999999</v>
      </c>
      <c r="T1277" s="251">
        <v>1.3489</v>
      </c>
      <c r="U1277" s="251">
        <v>1.3493999999999999</v>
      </c>
      <c r="V1277" s="251">
        <v>1.3469</v>
      </c>
      <c r="W1277" s="251">
        <v>1.3427</v>
      </c>
      <c r="X1277" s="251">
        <v>1.3513999999999999</v>
      </c>
      <c r="Y1277" s="251">
        <v>1.3475999999999999</v>
      </c>
      <c r="Z1277" s="245">
        <f ca="1">[1]ExtEntry!$R80</f>
        <v>1.3475999999999999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2.0285000000000002</v>
      </c>
      <c r="G1278" s="251">
        <v>2.0266000000000002</v>
      </c>
      <c r="H1278" s="251">
        <v>2.0381</v>
      </c>
      <c r="I1278" s="251">
        <v>2.0424000000000002</v>
      </c>
      <c r="J1278" s="251">
        <v>2.0424000000000002</v>
      </c>
      <c r="K1278" s="251">
        <v>2.0501</v>
      </c>
      <c r="L1278" s="251">
        <v>2.0550000000000002</v>
      </c>
      <c r="M1278" s="251">
        <v>2.0550000000000002</v>
      </c>
      <c r="N1278" s="251">
        <v>2.0550000000000002</v>
      </c>
      <c r="O1278" s="251">
        <v>2.0550000000000002</v>
      </c>
      <c r="P1278" s="251">
        <v>2.0575000000000001</v>
      </c>
      <c r="Q1278" s="251">
        <v>2.0825999999999998</v>
      </c>
      <c r="R1278" s="251">
        <v>2.0695999999999999</v>
      </c>
      <c r="S1278" s="251">
        <v>1.4396</v>
      </c>
      <c r="T1278" s="251">
        <v>1.4121999999999999</v>
      </c>
      <c r="U1278" s="251">
        <v>1.4362999999999999</v>
      </c>
      <c r="V1278" s="251">
        <v>1.4366000000000001</v>
      </c>
      <c r="W1278" s="251">
        <v>1.4576</v>
      </c>
      <c r="X1278" s="251">
        <v>1.4885999999999999</v>
      </c>
      <c r="Y1278" s="251">
        <v>1.5044</v>
      </c>
      <c r="Z1278" s="245">
        <f ca="1">[1]ExtEntry!$R81</f>
        <v>1.5044</v>
      </c>
      <c r="AB1278" s="318">
        <v>-41964.450000000004</v>
      </c>
      <c r="AC1278" s="318">
        <v>-42784.445000000007</v>
      </c>
      <c r="AD1278" s="318">
        <v>-43893.850000000006</v>
      </c>
      <c r="AE1278" s="318">
        <v>-43411.5</v>
      </c>
      <c r="AF1278" s="318">
        <v>-42832.68</v>
      </c>
      <c r="AG1278" s="318">
        <v>-44617.375</v>
      </c>
      <c r="AH1278" s="318">
        <v>-45533.840000000004</v>
      </c>
      <c r="AI1278" s="318">
        <v>-45533.840000000004</v>
      </c>
      <c r="AJ1278" s="318">
        <v>-45823.25</v>
      </c>
      <c r="AK1278" s="318">
        <v>-40710.340000000004</v>
      </c>
      <c r="AL1278" s="318">
        <v>-39745.640000000007</v>
      </c>
      <c r="AM1278" s="318">
        <v>-42253.860000000008</v>
      </c>
      <c r="AN1278" s="318">
        <v>-41771.51</v>
      </c>
      <c r="AO1278" s="318">
        <v>-48862.055</v>
      </c>
      <c r="AP1278" s="318">
        <v>-50164.4</v>
      </c>
      <c r="AQ1278" s="318">
        <v>-50663.149900000004</v>
      </c>
      <c r="AR1278" s="318">
        <v>-50116.165000000001</v>
      </c>
      <c r="AS1278" s="318">
        <v>-52383.210000000006</v>
      </c>
      <c r="AT1278" s="318">
        <v>-53771.4133</v>
      </c>
      <c r="AU1278" s="318">
        <v>-53581.36740000001</v>
      </c>
      <c r="AV1278" s="318">
        <f ca="1">Calc!Z81</f>
        <v>-53581.36740000001</v>
      </c>
      <c r="AX1278" s="88" t="str">
        <f t="shared" ca="1" si="102"/>
        <v>LAZR</v>
      </c>
    </row>
    <row r="1279" spans="1:50" hidden="1" x14ac:dyDescent="0.3">
      <c r="A1279" s="88" t="str">
        <f t="shared" ca="1" si="103"/>
        <v>LUV</v>
      </c>
      <c r="C1279" s="1">
        <v>82</v>
      </c>
      <c r="F1279" s="251">
        <v>1.2310000000000001</v>
      </c>
      <c r="G1279" s="251">
        <v>1.2228000000000001</v>
      </c>
      <c r="H1279" s="251">
        <v>1.2251000000000001</v>
      </c>
      <c r="I1279" s="251">
        <v>1.2244999999999999</v>
      </c>
      <c r="J1279" s="251">
        <v>1.2244999999999999</v>
      </c>
      <c r="K1279" s="251">
        <v>1.2297</v>
      </c>
      <c r="L1279" s="251">
        <v>1.2293000000000001</v>
      </c>
      <c r="M1279" s="251">
        <v>1.2293000000000001</v>
      </c>
      <c r="N1279" s="251">
        <v>1.2293000000000001</v>
      </c>
      <c r="O1279" s="251">
        <v>1.2293000000000001</v>
      </c>
      <c r="P1279" s="251">
        <v>1.2307999999999999</v>
      </c>
      <c r="Q1279" s="251">
        <v>1.2329000000000001</v>
      </c>
      <c r="R1279" s="251">
        <v>1.2255</v>
      </c>
      <c r="S1279" s="251">
        <v>1.18</v>
      </c>
      <c r="T1279" s="251">
        <v>1.1802999999999999</v>
      </c>
      <c r="U1279" s="251">
        <v>1.171</v>
      </c>
      <c r="V1279" s="251">
        <v>1.1620999999999999</v>
      </c>
      <c r="W1279" s="251">
        <v>1.1527000000000001</v>
      </c>
      <c r="X1279" s="251">
        <v>1.1614</v>
      </c>
      <c r="Y1279" s="251">
        <v>1.1503000000000001</v>
      </c>
      <c r="Z1279" s="245">
        <f ca="1">[1]ExtEntry!$R82</f>
        <v>1.1503000000000001</v>
      </c>
      <c r="AB1279" s="318">
        <v>3249.1200000000035</v>
      </c>
      <c r="AC1279" s="318">
        <v>3687.1200000000058</v>
      </c>
      <c r="AD1279" s="318">
        <v>3111.1200000000013</v>
      </c>
      <c r="AE1279" s="318">
        <v>3387.1200000000058</v>
      </c>
      <c r="AF1279" s="318">
        <v>4449.1200000000035</v>
      </c>
      <c r="AG1279" s="318">
        <v>4785.1200000000044</v>
      </c>
      <c r="AH1279" s="318">
        <v>3627.1200000000008</v>
      </c>
      <c r="AI1279" s="318">
        <v>3627.1200000000008</v>
      </c>
      <c r="AJ1279" s="318">
        <v>1143.1200000000003</v>
      </c>
      <c r="AK1279" s="318">
        <v>1791.1199999999994</v>
      </c>
      <c r="AL1279" s="318">
        <v>1857.119999999999</v>
      </c>
      <c r="AM1279" s="318">
        <v>471.12000000000194</v>
      </c>
      <c r="AN1279" s="318">
        <v>-734.87999999999693</v>
      </c>
      <c r="AO1279" s="318">
        <v>-1274.879999999996</v>
      </c>
      <c r="AP1279" s="318">
        <v>1101.1200000000003</v>
      </c>
      <c r="AQ1279" s="318">
        <v>903.12000000000126</v>
      </c>
      <c r="AR1279" s="318">
        <v>2001.1200000000044</v>
      </c>
      <c r="AS1279" s="318">
        <v>2565.1200000000031</v>
      </c>
      <c r="AT1279" s="318">
        <v>1515.1200000000031</v>
      </c>
      <c r="AU1279" s="318">
        <v>1347.1200000000024</v>
      </c>
      <c r="AV1279" s="318">
        <f ca="1">Calc!Z82</f>
        <v>1347.1200000000024</v>
      </c>
      <c r="AX1279" s="88" t="str">
        <f t="shared" ca="1" si="102"/>
        <v>LUV</v>
      </c>
    </row>
    <row r="1280" spans="1:50" hidden="1" x14ac:dyDescent="0.3">
      <c r="A1280" s="88" t="str">
        <f t="shared" ca="1" si="103"/>
        <v>MA</v>
      </c>
      <c r="C1280" s="1">
        <v>83</v>
      </c>
      <c r="F1280" s="251">
        <v>0.92949999999999999</v>
      </c>
      <c r="G1280" s="251">
        <v>0.92689999999999995</v>
      </c>
      <c r="H1280" s="251">
        <v>0.92869999999999997</v>
      </c>
      <c r="I1280" s="251">
        <v>0.92910000000000004</v>
      </c>
      <c r="J1280" s="251">
        <v>0.92910000000000004</v>
      </c>
      <c r="K1280" s="251">
        <v>0.92810000000000004</v>
      </c>
      <c r="L1280" s="251">
        <v>0.92759999999999998</v>
      </c>
      <c r="M1280" s="251">
        <v>0.92759999999999998</v>
      </c>
      <c r="N1280" s="251">
        <v>0.92759999999999998</v>
      </c>
      <c r="O1280" s="251">
        <v>0.92759999999999998</v>
      </c>
      <c r="P1280" s="251">
        <v>0.92759999999999998</v>
      </c>
      <c r="Q1280" s="251">
        <v>0.92490000000000006</v>
      </c>
      <c r="R1280" s="251">
        <v>0.91990000000000005</v>
      </c>
      <c r="S1280" s="251">
        <v>0.86870000000000003</v>
      </c>
      <c r="T1280" s="251">
        <v>0.86539999999999995</v>
      </c>
      <c r="U1280" s="251">
        <v>0.86609999999999998</v>
      </c>
      <c r="V1280" s="251">
        <v>0.8629</v>
      </c>
      <c r="W1280" s="251">
        <v>0.86280000000000001</v>
      </c>
      <c r="X1280" s="251">
        <v>0.87070000000000003</v>
      </c>
      <c r="Y1280" s="251">
        <v>0.87460000000000004</v>
      </c>
      <c r="Z1280" s="245">
        <f ca="1">[1]ExtEntry!$R83</f>
        <v>0.87460000000000004</v>
      </c>
      <c r="AB1280" s="318">
        <v>181.00000000000591</v>
      </c>
      <c r="AC1280" s="318">
        <v>-220.50000000000409</v>
      </c>
      <c r="AD1280" s="318">
        <v>-1580.9999999999945</v>
      </c>
      <c r="AE1280" s="318">
        <v>-491.99999999999591</v>
      </c>
      <c r="AF1280" s="318">
        <v>77.999999999997272</v>
      </c>
      <c r="AG1280" s="318">
        <v>608.00000000000409</v>
      </c>
      <c r="AH1280" s="318">
        <v>537.99999999999955</v>
      </c>
      <c r="AI1280" s="318">
        <v>537.99999999999955</v>
      </c>
      <c r="AJ1280" s="318">
        <v>796.00000000000364</v>
      </c>
      <c r="AK1280" s="318">
        <v>834.00000000000318</v>
      </c>
      <c r="AL1280" s="318">
        <v>626.99999999999818</v>
      </c>
      <c r="AM1280" s="318">
        <v>31.000000000005912</v>
      </c>
      <c r="AN1280" s="318">
        <v>-1237.0000000000005</v>
      </c>
      <c r="AO1280" s="318">
        <v>-1294.9999999999932</v>
      </c>
      <c r="AP1280" s="318">
        <v>-1212.9999999999995</v>
      </c>
      <c r="AQ1280" s="318">
        <v>-1355.9999999999945</v>
      </c>
      <c r="AR1280" s="318">
        <v>-1459.0000000000032</v>
      </c>
      <c r="AS1280" s="318">
        <v>-2015.9999999999968</v>
      </c>
      <c r="AT1280" s="318">
        <v>-3878.9999999999964</v>
      </c>
      <c r="AU1280" s="318">
        <v>-3980.7500000000005</v>
      </c>
      <c r="AV1280" s="318">
        <f ca="1">Calc!Z83</f>
        <v>-3980.7500000000005</v>
      </c>
      <c r="AX1280" s="88" t="str">
        <f t="shared" ca="1" si="102"/>
        <v>MA</v>
      </c>
    </row>
    <row r="1281" spans="1:135" hidden="1" x14ac:dyDescent="0.3">
      <c r="A1281" s="88" t="str">
        <f t="shared" ca="1" si="103"/>
        <v>NVAX</v>
      </c>
      <c r="C1281" s="1">
        <v>84</v>
      </c>
      <c r="F1281" s="251">
        <v>2.6890000000000001</v>
      </c>
      <c r="G1281" s="251">
        <v>2.6829999999999998</v>
      </c>
      <c r="H1281" s="251">
        <v>2.6861000000000002</v>
      </c>
      <c r="I1281" s="251">
        <v>2.698</v>
      </c>
      <c r="J1281" s="251">
        <v>2.698</v>
      </c>
      <c r="K1281" s="251">
        <v>2.6922999999999999</v>
      </c>
      <c r="L1281" s="251">
        <v>2.6934999999999998</v>
      </c>
      <c r="M1281" s="251">
        <v>2.6934999999999998</v>
      </c>
      <c r="N1281" s="251">
        <v>2.6934999999999998</v>
      </c>
      <c r="O1281" s="251">
        <v>2.6934999999999998</v>
      </c>
      <c r="P1281" s="251">
        <v>2.6943000000000001</v>
      </c>
      <c r="Q1281" s="251">
        <v>2.6869999999999998</v>
      </c>
      <c r="R1281" s="251">
        <v>2.6800999999999999</v>
      </c>
      <c r="S1281" s="251">
        <v>2.2984</v>
      </c>
      <c r="T1281" s="251">
        <v>2.3062</v>
      </c>
      <c r="U1281" s="251">
        <v>2.3022999999999998</v>
      </c>
      <c r="V1281" s="251">
        <v>2.3031999999999999</v>
      </c>
      <c r="W1281" s="251">
        <v>2.3184999999999998</v>
      </c>
      <c r="X1281" s="251">
        <v>2.3260000000000001</v>
      </c>
      <c r="Y1281" s="251">
        <v>2.3382000000000001</v>
      </c>
      <c r="Z1281" s="245">
        <f ca="1">[1]ExtEntry!$R84</f>
        <v>2.3382000000000001</v>
      </c>
      <c r="AB1281" s="318">
        <v>-3864.599999999994</v>
      </c>
      <c r="AC1281" s="318">
        <v>-3302.099999999994</v>
      </c>
      <c r="AD1281" s="318">
        <v>-5709.5999999999949</v>
      </c>
      <c r="AE1281" s="318">
        <v>-7419.5999999999985</v>
      </c>
      <c r="AF1281" s="318">
        <v>-4314.6000000000004</v>
      </c>
      <c r="AG1281" s="318">
        <v>-5214.5999999999976</v>
      </c>
      <c r="AH1281" s="318">
        <v>-5799.5999999999931</v>
      </c>
      <c r="AI1281" s="318">
        <v>-5799.5999999999931</v>
      </c>
      <c r="AJ1281" s="318">
        <v>-6249.5999999999995</v>
      </c>
      <c r="AK1281" s="318">
        <v>-5529.5999999999985</v>
      </c>
      <c r="AL1281" s="318">
        <v>-4719.5999999999995</v>
      </c>
      <c r="AM1281" s="318">
        <v>-5529.5999999999985</v>
      </c>
      <c r="AN1281" s="318">
        <v>-5934.5999999999976</v>
      </c>
      <c r="AO1281" s="318">
        <v>-9962.0999999999967</v>
      </c>
      <c r="AP1281" s="318">
        <v>-9264.5999999999949</v>
      </c>
      <c r="AQ1281" s="318">
        <v>-9219.149999999996</v>
      </c>
      <c r="AR1281" s="318">
        <v>-10529.099999999997</v>
      </c>
      <c r="AS1281" s="318">
        <v>-12504.599999999999</v>
      </c>
      <c r="AT1281" s="318">
        <v>7225.9</v>
      </c>
      <c r="AU1281" s="318">
        <v>7033.3999999999987</v>
      </c>
      <c r="AV1281" s="318">
        <f ca="1">Calc!Z84</f>
        <v>7033.3999999999987</v>
      </c>
      <c r="AX1281" s="88" t="str">
        <f t="shared" ca="1" si="102"/>
        <v>NVAX</v>
      </c>
    </row>
    <row r="1282" spans="1:135" hidden="1" x14ac:dyDescent="0.3">
      <c r="A1282" s="88" t="str">
        <f t="shared" ca="1" si="103"/>
        <v>NVS</v>
      </c>
      <c r="C1282" s="1">
        <v>85</v>
      </c>
      <c r="F1282" s="251">
        <v>0.60270000000000001</v>
      </c>
      <c r="G1282" s="251">
        <v>0.60109999999999997</v>
      </c>
      <c r="H1282" s="251">
        <v>0.60219999999999996</v>
      </c>
      <c r="I1282" s="251">
        <v>0.60050000000000003</v>
      </c>
      <c r="J1282" s="251">
        <v>0.60050000000000003</v>
      </c>
      <c r="K1282" s="251">
        <v>0.60270000000000001</v>
      </c>
      <c r="L1282" s="251">
        <v>0.60289999999999999</v>
      </c>
      <c r="M1282" s="251">
        <v>0.60289999999999999</v>
      </c>
      <c r="N1282" s="251">
        <v>0.60289999999999999</v>
      </c>
      <c r="O1282" s="251">
        <v>0.60289999999999999</v>
      </c>
      <c r="P1282" s="251">
        <v>0.60289999999999999</v>
      </c>
      <c r="Q1282" s="251">
        <v>0.60219999999999996</v>
      </c>
      <c r="R1282" s="251">
        <v>0.59389999999999998</v>
      </c>
      <c r="S1282" s="251">
        <v>0.51759999999999995</v>
      </c>
      <c r="T1282" s="251">
        <v>0.51480000000000004</v>
      </c>
      <c r="U1282" s="251">
        <v>0.51490000000000002</v>
      </c>
      <c r="V1282" s="251">
        <v>0.50970000000000004</v>
      </c>
      <c r="W1282" s="251">
        <v>0.50060000000000004</v>
      </c>
      <c r="X1282" s="251">
        <v>0.50090000000000001</v>
      </c>
      <c r="Y1282" s="251">
        <v>0.50309999999999999</v>
      </c>
      <c r="Z1282" s="245">
        <f ca="1">[1]ExtEntry!$R85</f>
        <v>0.50309999999999999</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0.31</v>
      </c>
      <c r="G1283" s="251">
        <v>0.30909999999999999</v>
      </c>
      <c r="H1283" s="251">
        <v>0.30769999999999997</v>
      </c>
      <c r="I1283" s="251">
        <v>0.31259999999999999</v>
      </c>
      <c r="J1283" s="251">
        <v>0.31259999999999999</v>
      </c>
      <c r="K1283" s="251">
        <v>0.31</v>
      </c>
      <c r="L1283" s="251">
        <v>0.3095</v>
      </c>
      <c r="M1283" s="251">
        <v>0.3095</v>
      </c>
      <c r="N1283" s="251">
        <v>0.30930000000000002</v>
      </c>
      <c r="O1283" s="251">
        <v>0.30930000000000002</v>
      </c>
      <c r="P1283" s="251">
        <v>0.30830000000000002</v>
      </c>
      <c r="Q1283" s="251">
        <v>0.3049</v>
      </c>
      <c r="R1283" s="251">
        <v>0.3029</v>
      </c>
      <c r="S1283" s="251">
        <v>0.2389</v>
      </c>
      <c r="T1283" s="251">
        <v>0.24</v>
      </c>
      <c r="U1283" s="251">
        <v>0.24049999999999999</v>
      </c>
      <c r="V1283" s="251">
        <v>0.2382</v>
      </c>
      <c r="W1283" s="251">
        <v>0.24099999999999999</v>
      </c>
      <c r="X1283" s="251">
        <v>0.2387</v>
      </c>
      <c r="Y1283" s="251">
        <v>0.23849999999999999</v>
      </c>
      <c r="Z1283" s="245">
        <f ca="1">[1]ExtEntry!$R86</f>
        <v>0.23849999999999999</v>
      </c>
      <c r="AB1283" s="318">
        <v>-209.99999999999872</v>
      </c>
      <c r="AC1283" s="318">
        <v>324.00000000000159</v>
      </c>
      <c r="AD1283" s="318">
        <v>408.00000000000193</v>
      </c>
      <c r="AE1283" s="318">
        <v>708.00000000000193</v>
      </c>
      <c r="AF1283" s="318">
        <v>498.00000000000114</v>
      </c>
      <c r="AG1283" s="318">
        <v>456.00000000000091</v>
      </c>
      <c r="AH1283" s="318">
        <v>390.00000000000125</v>
      </c>
      <c r="AI1283" s="318">
        <v>390.00000000000125</v>
      </c>
      <c r="AJ1283" s="318">
        <v>486.00000000000136</v>
      </c>
      <c r="AK1283" s="318">
        <v>210.00000000000085</v>
      </c>
      <c r="AL1283" s="318">
        <v>126.00000000000051</v>
      </c>
      <c r="AM1283" s="318">
        <v>174.00000000000162</v>
      </c>
      <c r="AN1283" s="318">
        <v>132.00000000000145</v>
      </c>
      <c r="AO1283" s="318">
        <v>-35.999999999999233</v>
      </c>
      <c r="AP1283" s="318">
        <v>-35.999999999999233</v>
      </c>
      <c r="AQ1283" s="318">
        <v>234.00000000000034</v>
      </c>
      <c r="AR1283" s="318">
        <v>503.99999999999989</v>
      </c>
      <c r="AS1283" s="318">
        <v>330.00000000000045</v>
      </c>
      <c r="AT1283" s="318">
        <v>-65.999999999999659</v>
      </c>
      <c r="AU1283" s="318">
        <v>42.000000000000171</v>
      </c>
      <c r="AV1283" s="318">
        <f ca="1">Calc!Z86</f>
        <v>42.000000000000171</v>
      </c>
      <c r="AX1283" s="88" t="str">
        <f t="shared" ca="1" si="102"/>
        <v>ORA</v>
      </c>
    </row>
    <row r="1284" spans="1:135" hidden="1" x14ac:dyDescent="0.3">
      <c r="A1284" s="88" t="str">
        <f t="shared" ca="1" si="103"/>
        <v>OXY</v>
      </c>
      <c r="C1284" s="1">
        <v>87</v>
      </c>
      <c r="F1284" s="251">
        <v>0.9405</v>
      </c>
      <c r="G1284" s="251">
        <v>0.94230000000000003</v>
      </c>
      <c r="H1284" s="251">
        <v>0.93979999999999997</v>
      </c>
      <c r="I1284" s="251">
        <v>0.94369999999999998</v>
      </c>
      <c r="J1284" s="251">
        <v>0.94369999999999998</v>
      </c>
      <c r="K1284" s="251">
        <v>0.93069999999999997</v>
      </c>
      <c r="L1284" s="251">
        <v>0.93079999999999996</v>
      </c>
      <c r="M1284" s="251">
        <v>0.93079999999999996</v>
      </c>
      <c r="N1284" s="251">
        <v>0.93079999999999996</v>
      </c>
      <c r="O1284" s="251">
        <v>0.93079999999999996</v>
      </c>
      <c r="P1284" s="251">
        <v>0.92989999999999995</v>
      </c>
      <c r="Q1284" s="251">
        <v>0.90400000000000003</v>
      </c>
      <c r="R1284" s="251">
        <v>0.89580000000000004</v>
      </c>
      <c r="S1284" s="251">
        <v>0.39429999999999998</v>
      </c>
      <c r="T1284" s="251">
        <v>0.39989999999999998</v>
      </c>
      <c r="U1284" s="251">
        <v>0.40010000000000001</v>
      </c>
      <c r="V1284" s="251">
        <v>0.40039999999999998</v>
      </c>
      <c r="W1284" s="251">
        <v>0.39019999999999999</v>
      </c>
      <c r="X1284" s="251">
        <v>0.3921</v>
      </c>
      <c r="Y1284" s="251">
        <v>0.3846</v>
      </c>
      <c r="Z1284" s="245">
        <f ca="1">[1]ExtEntry!$R87</f>
        <v>0.3846</v>
      </c>
      <c r="AB1284" s="318">
        <v>-4960.0000000000009</v>
      </c>
      <c r="AC1284" s="318">
        <v>-5385.0000000000055</v>
      </c>
      <c r="AD1284" s="318">
        <v>-6200.0000000000027</v>
      </c>
      <c r="AE1284" s="318">
        <v>-6340.0000000000036</v>
      </c>
      <c r="AF1284" s="318">
        <v>-6210.0000000000009</v>
      </c>
      <c r="AG1284" s="318">
        <v>-6330.0000000000055</v>
      </c>
      <c r="AH1284" s="318">
        <v>-5505.0000000000027</v>
      </c>
      <c r="AI1284" s="318">
        <v>-5505.0000000000027</v>
      </c>
      <c r="AJ1284" s="318">
        <v>-4359.9999999999991</v>
      </c>
      <c r="AK1284" s="318">
        <v>-4660.0000000000036</v>
      </c>
      <c r="AL1284" s="318">
        <v>-4950.0000000000027</v>
      </c>
      <c r="AM1284" s="318">
        <v>-6390.0000000000009</v>
      </c>
      <c r="AN1284" s="318">
        <v>-6535.0000000000036</v>
      </c>
      <c r="AO1284" s="318">
        <v>-7145.0000000000027</v>
      </c>
      <c r="AP1284" s="318">
        <v>-7465.0000000000036</v>
      </c>
      <c r="AQ1284" s="318">
        <v>-6969.9999999999991</v>
      </c>
      <c r="AR1284" s="318">
        <v>-6050.6999999999989</v>
      </c>
      <c r="AS1284" s="318">
        <v>-4469.9999999999991</v>
      </c>
      <c r="AT1284" s="318">
        <v>-4725.0000000000018</v>
      </c>
      <c r="AU1284" s="318">
        <v>-5755.0000000000027</v>
      </c>
      <c r="AV1284" s="318">
        <f ca="1">Calc!Z87</f>
        <v>-5755.0000000000027</v>
      </c>
      <c r="AX1284" s="88" t="str">
        <f t="shared" ca="1" si="102"/>
        <v>OXY</v>
      </c>
    </row>
    <row r="1285" spans="1:135" ht="24" hidden="1" customHeight="1" x14ac:dyDescent="0.3">
      <c r="A1285" s="88" t="str">
        <f t="shared" ca="1" si="103"/>
        <v>PFE</v>
      </c>
      <c r="C1285" s="1">
        <v>88</v>
      </c>
      <c r="F1285" s="251">
        <v>0.51049999999999995</v>
      </c>
      <c r="G1285" s="251">
        <v>0.51190000000000002</v>
      </c>
      <c r="H1285" s="251">
        <v>0.51200000000000001</v>
      </c>
      <c r="I1285" s="251">
        <v>0.51149999999999995</v>
      </c>
      <c r="J1285" s="251">
        <v>0.51149999999999995</v>
      </c>
      <c r="K1285" s="251">
        <v>0.5091</v>
      </c>
      <c r="L1285" s="251">
        <v>0.50880000000000003</v>
      </c>
      <c r="M1285" s="251">
        <v>0.50880000000000003</v>
      </c>
      <c r="N1285" s="251">
        <v>0.50880000000000003</v>
      </c>
      <c r="O1285" s="251">
        <v>0.50880000000000003</v>
      </c>
      <c r="P1285" s="251">
        <v>0.5091</v>
      </c>
      <c r="Q1285" s="251">
        <v>0.50390000000000001</v>
      </c>
      <c r="R1285" s="251">
        <v>0.50060000000000004</v>
      </c>
      <c r="S1285" s="251">
        <v>0.4239</v>
      </c>
      <c r="T1285" s="251">
        <v>0.42470000000000002</v>
      </c>
      <c r="U1285" s="251">
        <v>0.4229</v>
      </c>
      <c r="V1285" s="251">
        <v>0.41820000000000002</v>
      </c>
      <c r="W1285" s="251">
        <v>0.41010000000000002</v>
      </c>
      <c r="X1285" s="251">
        <v>0.41660000000000003</v>
      </c>
      <c r="Y1285" s="251">
        <v>0.40799999999999997</v>
      </c>
      <c r="Z1285" s="245">
        <f ca="1">[1]ExtEntry!$R88</f>
        <v>0.40799999999999997</v>
      </c>
      <c r="AB1285" s="318">
        <v>-664.00000000000432</v>
      </c>
      <c r="AC1285" s="318">
        <v>-943.99999999999977</v>
      </c>
      <c r="AD1285" s="318">
        <v>-1136.0000000000014</v>
      </c>
      <c r="AE1285" s="318">
        <v>-687.99999999999955</v>
      </c>
      <c r="AF1285" s="318">
        <v>-408.00000000000409</v>
      </c>
      <c r="AG1285" s="318">
        <v>-184.00000000000318</v>
      </c>
      <c r="AH1285" s="318">
        <v>-328.00000000000296</v>
      </c>
      <c r="AI1285" s="318">
        <v>-328.00000000000296</v>
      </c>
      <c r="AJ1285" s="318">
        <v>-408.00000000000409</v>
      </c>
      <c r="AK1285" s="318">
        <v>-256.00000000000023</v>
      </c>
      <c r="AL1285" s="318">
        <v>-296.00000000000364</v>
      </c>
      <c r="AM1285" s="318">
        <v>-664.00000000000432</v>
      </c>
      <c r="AN1285" s="318">
        <v>-1024.0000000000009</v>
      </c>
      <c r="AO1285" s="318">
        <v>-976.00000000000477</v>
      </c>
      <c r="AP1285" s="318">
        <v>-487.99999999999955</v>
      </c>
      <c r="AQ1285" s="318">
        <v>-104.00000000000205</v>
      </c>
      <c r="AR1285" s="318">
        <v>-904.00000000000205</v>
      </c>
      <c r="AS1285" s="318">
        <v>231.99999999999932</v>
      </c>
      <c r="AT1285" s="318">
        <v>815.99999999999682</v>
      </c>
      <c r="AU1285" s="318">
        <v>119.99999999999886</v>
      </c>
      <c r="AV1285" s="318">
        <f ca="1">Calc!Z88</f>
        <v>119.99999999999886</v>
      </c>
      <c r="AX1285" s="88" t="str">
        <f t="shared" ca="1" si="102"/>
        <v>PFE</v>
      </c>
    </row>
    <row r="1286" spans="1:135" hidden="1" x14ac:dyDescent="0.3">
      <c r="A1286" s="88" t="str">
        <f t="shared" ca="1" si="103"/>
        <v>RIG</v>
      </c>
      <c r="C1286" s="1">
        <v>89</v>
      </c>
      <c r="F1286" s="251">
        <v>2.6339999999999999</v>
      </c>
      <c r="G1286" s="251">
        <v>2.6372</v>
      </c>
      <c r="H1286" s="251">
        <v>2.6307</v>
      </c>
      <c r="I1286" s="251">
        <v>2.6320999999999999</v>
      </c>
      <c r="J1286" s="251">
        <v>2.6320999999999999</v>
      </c>
      <c r="K1286" s="251">
        <v>2.6360999999999999</v>
      </c>
      <c r="L1286" s="251">
        <v>2.6358000000000001</v>
      </c>
      <c r="M1286" s="251">
        <v>2.6358000000000001</v>
      </c>
      <c r="N1286" s="251">
        <v>2.6358000000000001</v>
      </c>
      <c r="O1286" s="251">
        <v>2.6358000000000001</v>
      </c>
      <c r="P1286" s="251">
        <v>2.6339999999999999</v>
      </c>
      <c r="Q1286" s="251">
        <v>2.6541000000000001</v>
      </c>
      <c r="R1286" s="251">
        <v>2.6547000000000001</v>
      </c>
      <c r="S1286" s="251">
        <v>1.4086000000000001</v>
      </c>
      <c r="T1286" s="251">
        <v>1.4067000000000001</v>
      </c>
      <c r="U1286" s="251">
        <v>1.4079999999999999</v>
      </c>
      <c r="V1286" s="251">
        <v>1.4028</v>
      </c>
      <c r="W1286" s="251">
        <v>1.3976</v>
      </c>
      <c r="X1286" s="251">
        <v>1.3928</v>
      </c>
      <c r="Y1286" s="251">
        <v>1.3791</v>
      </c>
      <c r="Z1286" s="245">
        <f ca="1">[1]ExtEntry!$R89</f>
        <v>1.3791</v>
      </c>
      <c r="AB1286" s="318">
        <v>-3444.9999999999959</v>
      </c>
      <c r="AC1286" s="318">
        <v>-1169.9999999999982</v>
      </c>
      <c r="AD1286" s="318">
        <v>-2014.9999999999975</v>
      </c>
      <c r="AE1286" s="318">
        <v>-1560.0000000000014</v>
      </c>
      <c r="AF1286" s="318">
        <v>-1234.9999999999968</v>
      </c>
      <c r="AG1286" s="318">
        <v>-974.99999999999659</v>
      </c>
      <c r="AH1286" s="318">
        <v>584.99999999999909</v>
      </c>
      <c r="AI1286" s="318">
        <v>584.99999999999909</v>
      </c>
      <c r="AJ1286" s="318">
        <v>6564.9999999999982</v>
      </c>
      <c r="AK1286" s="318">
        <v>6695.0000000000018</v>
      </c>
      <c r="AL1286" s="318">
        <v>6175.0000000000009</v>
      </c>
      <c r="AM1286" s="318">
        <v>4875</v>
      </c>
      <c r="AN1286" s="318">
        <v>6955.0000000000018</v>
      </c>
      <c r="AO1286" s="318">
        <v>6827.5999999999985</v>
      </c>
      <c r="AP1286" s="318">
        <v>6695.0000000000018</v>
      </c>
      <c r="AQ1286" s="318">
        <v>7084.9999999999991</v>
      </c>
      <c r="AR1286" s="318">
        <v>7540.0000000000009</v>
      </c>
      <c r="AS1286" s="318">
        <v>8189.9999999999982</v>
      </c>
      <c r="AT1286" s="318">
        <v>9750</v>
      </c>
      <c r="AU1286" s="318">
        <v>9294.9999999999982</v>
      </c>
      <c r="AV1286" s="318">
        <f ca="1">Calc!Z89</f>
        <v>9294.9999999999982</v>
      </c>
      <c r="AX1286" s="88" t="str">
        <f t="shared" ca="1" si="102"/>
        <v>RIG</v>
      </c>
    </row>
    <row r="1287" spans="1:135" x14ac:dyDescent="0.3">
      <c r="A1287" s="88" t="str">
        <f t="shared" ca="1" si="103"/>
        <v>RRC</v>
      </c>
      <c r="C1287" s="1">
        <v>90</v>
      </c>
      <c r="F1287" s="251">
        <v>0.51280000000000003</v>
      </c>
      <c r="G1287" s="251">
        <v>0.51680000000000004</v>
      </c>
      <c r="H1287" s="251">
        <v>0.51139999999999997</v>
      </c>
      <c r="I1287" s="251">
        <v>0.51600000000000001</v>
      </c>
      <c r="J1287" s="251">
        <v>0.51600000000000001</v>
      </c>
      <c r="K1287" s="251">
        <v>0.50819999999999999</v>
      </c>
      <c r="L1287" s="251">
        <v>0.50870000000000004</v>
      </c>
      <c r="M1287" s="251">
        <v>0.50870000000000004</v>
      </c>
      <c r="N1287" s="251">
        <v>0.50870000000000004</v>
      </c>
      <c r="O1287" s="251">
        <v>0.50870000000000004</v>
      </c>
      <c r="P1287" s="251">
        <v>0.50939999999999996</v>
      </c>
      <c r="Q1287" s="251">
        <v>0.49919999999999998</v>
      </c>
      <c r="R1287" s="251">
        <v>0.4894</v>
      </c>
      <c r="S1287" s="251">
        <v>0.47649999999999998</v>
      </c>
      <c r="T1287" s="251">
        <v>0.47420000000000001</v>
      </c>
      <c r="U1287" s="251">
        <v>0.4748</v>
      </c>
      <c r="V1287" s="251">
        <v>0.47449999999999998</v>
      </c>
      <c r="W1287" s="251">
        <v>0.46650000000000003</v>
      </c>
      <c r="X1287" s="251">
        <v>0.46539999999999998</v>
      </c>
      <c r="Y1287" s="251">
        <v>0.45250000000000001</v>
      </c>
      <c r="Z1287" s="245">
        <f ca="1">[1]ExtEntry!$R90</f>
        <v>0.45250000000000001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2.7223999999999999</v>
      </c>
      <c r="G1288" s="243">
        <v>2.7181000000000002</v>
      </c>
      <c r="H1288" s="243">
        <v>2.7231000000000001</v>
      </c>
      <c r="I1288" s="243">
        <v>2.7235999999999998</v>
      </c>
      <c r="J1288" s="243">
        <v>2.7235999999999998</v>
      </c>
      <c r="K1288" s="243">
        <v>2.7315</v>
      </c>
      <c r="L1288" s="243">
        <v>2.7307000000000001</v>
      </c>
      <c r="M1288" s="243">
        <v>2.7307000000000001</v>
      </c>
      <c r="N1288" s="243">
        <v>2.7307000000000001</v>
      </c>
      <c r="O1288" s="243">
        <v>2.7307000000000001</v>
      </c>
      <c r="P1288" s="243">
        <v>2.7320000000000002</v>
      </c>
      <c r="Q1288" s="243">
        <v>2.7433999999999998</v>
      </c>
      <c r="R1288" s="243">
        <v>2.7368999999999999</v>
      </c>
      <c r="S1288" s="243">
        <v>2.6488999999999998</v>
      </c>
      <c r="T1288" s="243">
        <v>2.6463000000000001</v>
      </c>
      <c r="U1288" s="243">
        <v>2.6461999999999999</v>
      </c>
      <c r="V1288" s="243">
        <v>2.6457000000000002</v>
      </c>
      <c r="W1288" s="243">
        <v>2.6739999999999999</v>
      </c>
      <c r="X1288" s="243">
        <v>2.6848000000000001</v>
      </c>
      <c r="Y1288" s="243">
        <v>2.6939000000000002</v>
      </c>
      <c r="Z1288" s="245">
        <f ca="1">[1]ExtEntry!$R91</f>
        <v>2.6939000000000002</v>
      </c>
      <c r="AB1288" s="318">
        <v>-455.99999999999454</v>
      </c>
      <c r="AC1288" s="318">
        <v>-581.99999999999932</v>
      </c>
      <c r="AD1288" s="318">
        <v>-1434.0000000000005</v>
      </c>
      <c r="AE1288" s="318">
        <v>-1043.9999999999968</v>
      </c>
      <c r="AF1288" s="318">
        <v>-263.99999999999864</v>
      </c>
      <c r="AG1288" s="318">
        <v>461.99999999999761</v>
      </c>
      <c r="AH1288" s="318">
        <v>-605.99999999999454</v>
      </c>
      <c r="AI1288" s="318">
        <v>-605.99999999999454</v>
      </c>
      <c r="AJ1288" s="318">
        <v>965.99999999999966</v>
      </c>
      <c r="AK1288" s="318">
        <v>1560.000000000005</v>
      </c>
      <c r="AL1288" s="318">
        <v>1938.0000000000023</v>
      </c>
      <c r="AM1288" s="318">
        <v>1950</v>
      </c>
      <c r="AN1288" s="318">
        <v>-1818.0000000000007</v>
      </c>
      <c r="AO1288" s="318">
        <v>-2568.0000000000009</v>
      </c>
      <c r="AP1288" s="318">
        <v>-1973.9999999999952</v>
      </c>
      <c r="AQ1288" s="318">
        <v>-3420.0000000000018</v>
      </c>
      <c r="AR1288" s="318">
        <v>-6852.0000000000009</v>
      </c>
      <c r="AS1288" s="318">
        <v>-9884.9999999999964</v>
      </c>
      <c r="AT1288" s="318">
        <v>-11579.999999999998</v>
      </c>
      <c r="AU1288" s="318">
        <v>-11667</v>
      </c>
      <c r="AV1288" s="318">
        <f ca="1">Calc!Z91</f>
        <v>-11667</v>
      </c>
      <c r="AX1288" s="88" t="str">
        <f t="shared" ca="1" si="102"/>
        <v>XYZ</v>
      </c>
    </row>
    <row r="1289" spans="1:135" x14ac:dyDescent="0.3">
      <c r="A1289" s="88" t="str">
        <f t="shared" ca="1" si="103"/>
        <v>THC</v>
      </c>
      <c r="C1289" s="1">
        <v>92</v>
      </c>
      <c r="F1289" s="251">
        <v>1.5418000000000001</v>
      </c>
      <c r="G1289" s="251">
        <v>1.5374000000000001</v>
      </c>
      <c r="H1289" s="251">
        <v>1.5347999999999999</v>
      </c>
      <c r="I1289" s="251">
        <v>1.5344</v>
      </c>
      <c r="J1289" s="251">
        <v>1.5344</v>
      </c>
      <c r="K1289" s="251">
        <v>1.5319</v>
      </c>
      <c r="L1289" s="251">
        <v>1.5318000000000001</v>
      </c>
      <c r="M1289" s="251">
        <v>1.5318000000000001</v>
      </c>
      <c r="N1289" s="251">
        <v>1.5318000000000001</v>
      </c>
      <c r="O1289" s="251">
        <v>1.5318000000000001</v>
      </c>
      <c r="P1289" s="251">
        <v>1.5310999999999999</v>
      </c>
      <c r="Q1289" s="251">
        <v>1.5298</v>
      </c>
      <c r="R1289" s="251">
        <v>1.5245</v>
      </c>
      <c r="S1289" s="251">
        <v>1.4512</v>
      </c>
      <c r="T1289" s="251">
        <v>1.4472</v>
      </c>
      <c r="U1289" s="251">
        <v>1.4473</v>
      </c>
      <c r="V1289" s="251">
        <v>1.4489000000000001</v>
      </c>
      <c r="W1289" s="251">
        <v>1.4581</v>
      </c>
      <c r="X1289" s="251">
        <v>1.4630000000000001</v>
      </c>
      <c r="Y1289" s="251">
        <v>1.4632000000000001</v>
      </c>
      <c r="Z1289" s="245">
        <f ca="1">[1]ExtEntry!$R92</f>
        <v>1.4632000000000001</v>
      </c>
      <c r="AB1289" s="318">
        <v>-1437.0000000000061</v>
      </c>
      <c r="AC1289" s="318">
        <v>-972.00000000000273</v>
      </c>
      <c r="AD1289" s="318">
        <v>-633.00000000000409</v>
      </c>
      <c r="AE1289" s="318">
        <v>-372.00000000000273</v>
      </c>
      <c r="AF1289" s="318">
        <v>244.49999999999932</v>
      </c>
      <c r="AG1289" s="318">
        <v>336.00000000000136</v>
      </c>
      <c r="AH1289" s="318">
        <v>1163.9999999999986</v>
      </c>
      <c r="AI1289" s="318">
        <v>1163.9999999999986</v>
      </c>
      <c r="AJ1289" s="318">
        <v>1700.9999999999964</v>
      </c>
      <c r="AK1289" s="318">
        <v>2741.9999999999959</v>
      </c>
      <c r="AL1289" s="318">
        <v>4478.9999999999936</v>
      </c>
      <c r="AM1289" s="318">
        <v>1013.9999999999986</v>
      </c>
      <c r="AN1289" s="318">
        <v>2216.9999999999959</v>
      </c>
      <c r="AO1289" s="318">
        <v>2083.4999999999982</v>
      </c>
      <c r="AP1289" s="318">
        <v>2213.9999999999986</v>
      </c>
      <c r="AQ1289" s="318">
        <v>1377.0000000000009</v>
      </c>
      <c r="AR1289" s="318">
        <v>1081.4999999999968</v>
      </c>
      <c r="AS1289" s="318">
        <v>-2499.0000000000036</v>
      </c>
      <c r="AT1289" s="318">
        <v>-2472.0000000000027</v>
      </c>
      <c r="AU1289" s="318">
        <v>-2297.9999999999991</v>
      </c>
      <c r="AV1289" s="318">
        <f ca="1">Calc!Z92</f>
        <v>-2297.9999999999991</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0.57769999999999999</v>
      </c>
      <c r="T1291" s="243">
        <v>0.57769999999999999</v>
      </c>
      <c r="U1291" s="243">
        <v>0.57769999999999999</v>
      </c>
      <c r="V1291" s="243">
        <v>0.57769999999999999</v>
      </c>
      <c r="W1291" s="243">
        <v>0.58169999999999999</v>
      </c>
      <c r="X1291" s="243">
        <v>0.58169999999999999</v>
      </c>
      <c r="Y1291" s="243">
        <v>0.58169999999999999</v>
      </c>
      <c r="Z1291" s="245">
        <f ca="1">[1]ExtEntry!$R94</f>
        <v>0.58169999999999999</v>
      </c>
      <c r="AB1291" s="318">
        <v>375322.80000000005</v>
      </c>
      <c r="AC1291" s="318">
        <v>386579.39999999997</v>
      </c>
      <c r="AD1291" s="318">
        <v>386733.6</v>
      </c>
      <c r="AE1291" s="318">
        <v>371313.60000000003</v>
      </c>
      <c r="AF1291" s="318">
        <v>378561</v>
      </c>
      <c r="AG1291" s="318">
        <v>395214.6</v>
      </c>
      <c r="AH1291" s="318">
        <v>386579.39999999997</v>
      </c>
      <c r="AI1291" s="318">
        <v>386579.39999999997</v>
      </c>
      <c r="AJ1291" s="318">
        <v>388892.4</v>
      </c>
      <c r="AK1291" s="318">
        <v>404620.79999999993</v>
      </c>
      <c r="AL1291" s="318">
        <v>407859.00000000006</v>
      </c>
      <c r="AM1291" s="318">
        <v>406625.40000000008</v>
      </c>
      <c r="AN1291" s="318">
        <v>391822.20000000007</v>
      </c>
      <c r="AO1291" s="318">
        <v>390280.19999999995</v>
      </c>
      <c r="AP1291" s="318">
        <v>383649.60000000009</v>
      </c>
      <c r="AQ1291" s="318">
        <v>374705.99999999994</v>
      </c>
      <c r="AR1291" s="318">
        <v>372701.39999999997</v>
      </c>
      <c r="AS1291" s="318">
        <v>365916.60000000003</v>
      </c>
      <c r="AT1291" s="318">
        <v>343557.6</v>
      </c>
      <c r="AU1291" s="318">
        <v>341167.50000000006</v>
      </c>
      <c r="AV1291" s="318">
        <f ca="1">Calc!Z94</f>
        <v>341167.50000000006</v>
      </c>
      <c r="AX1291" s="88" t="str">
        <f t="shared" ca="1" si="102"/>
        <v>LOCK</v>
      </c>
    </row>
    <row r="1292" spans="1:135" x14ac:dyDescent="0.3">
      <c r="A1292" s="88" t="str">
        <f t="shared" ca="1" si="103"/>
        <v>JBASML</v>
      </c>
      <c r="C1292" s="1">
        <v>95</v>
      </c>
      <c r="F1292" s="346">
        <v>1.9578</v>
      </c>
      <c r="G1292" s="243">
        <v>1.9605999999999999</v>
      </c>
      <c r="H1292" s="243">
        <v>1.9593</v>
      </c>
      <c r="I1292" s="243">
        <v>1.962</v>
      </c>
      <c r="J1292" s="1099">
        <v>1.962</v>
      </c>
      <c r="K1292" s="245">
        <v>1.9623999999999999</v>
      </c>
      <c r="L1292" s="1100">
        <v>1.9639</v>
      </c>
      <c r="M1292" s="241">
        <v>1.9639</v>
      </c>
      <c r="N1292" s="243">
        <v>1.9639</v>
      </c>
      <c r="O1292" s="1101">
        <v>1.9639</v>
      </c>
      <c r="P1292" s="1101">
        <v>1.9605999999999999</v>
      </c>
      <c r="Q1292" s="243">
        <v>1.9659</v>
      </c>
      <c r="R1292" s="247">
        <v>1.97</v>
      </c>
      <c r="S1292" s="243">
        <v>2.1156000000000001</v>
      </c>
      <c r="T1292" s="243">
        <v>2.1158000000000001</v>
      </c>
      <c r="U1292" s="243">
        <v>2.1168999999999998</v>
      </c>
      <c r="V1292" s="243">
        <v>2.1183000000000001</v>
      </c>
      <c r="W1292" s="1102">
        <v>2.1202999999999999</v>
      </c>
      <c r="X1292" s="345">
        <v>2.1173000000000002</v>
      </c>
      <c r="Y1292" s="243">
        <v>2.1166999999999998</v>
      </c>
      <c r="Z1292" s="245">
        <f ca="1">[1]ExtEntry!$R95</f>
        <v>2.1166999999999998</v>
      </c>
      <c r="AB1292" s="318">
        <v>24572.000000000004</v>
      </c>
      <c r="AC1292" s="318">
        <v>29852</v>
      </c>
      <c r="AD1292" s="318">
        <v>30731.999999999993</v>
      </c>
      <c r="AE1292" s="318">
        <v>30392.000000000007</v>
      </c>
      <c r="AF1292" s="318">
        <v>35052</v>
      </c>
      <c r="AG1292" s="318">
        <v>33211.999999999985</v>
      </c>
      <c r="AH1292" s="318">
        <v>29272.000000000004</v>
      </c>
      <c r="AI1292" s="318">
        <v>29272.000000000004</v>
      </c>
      <c r="AJ1292" s="318">
        <v>32792.000000000007</v>
      </c>
      <c r="AK1292" s="318">
        <v>34131.999999999993</v>
      </c>
      <c r="AL1292" s="318">
        <v>36872</v>
      </c>
      <c r="AM1292" s="318">
        <v>36731.999999999993</v>
      </c>
      <c r="AN1292" s="318">
        <v>42752</v>
      </c>
      <c r="AO1292" s="318">
        <v>38852</v>
      </c>
      <c r="AP1292" s="318">
        <v>36572</v>
      </c>
      <c r="AQ1292" s="318">
        <v>34311.999999999985</v>
      </c>
      <c r="AR1292" s="318">
        <v>29411.999999999989</v>
      </c>
      <c r="AS1292" s="318">
        <v>30072.000000000004</v>
      </c>
      <c r="AT1292" s="318">
        <v>27131.999999999993</v>
      </c>
      <c r="AU1292" s="318">
        <v>32572.000000000004</v>
      </c>
      <c r="AV1292" s="318">
        <f ca="1">Calc!Z95</f>
        <v>32572.000000000004</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0.72060000000000002</v>
      </c>
      <c r="G1293" s="243">
        <v>0.72050000000000003</v>
      </c>
      <c r="H1293" s="243">
        <v>0.72060000000000002</v>
      </c>
      <c r="I1293" s="243">
        <v>0.72060000000000002</v>
      </c>
      <c r="J1293" s="243">
        <v>0.72060000000000002</v>
      </c>
      <c r="K1293" s="243">
        <v>0.71760000000000002</v>
      </c>
      <c r="L1293" s="243">
        <v>0.72070000000000001</v>
      </c>
      <c r="M1293" s="243">
        <v>0.72070000000000001</v>
      </c>
      <c r="N1293" s="243">
        <v>0.72070000000000001</v>
      </c>
      <c r="O1293" s="243">
        <v>0.72070000000000001</v>
      </c>
      <c r="P1293" s="243">
        <v>0.72009999999999996</v>
      </c>
      <c r="Q1293" s="243">
        <v>0.72040000000000004</v>
      </c>
      <c r="R1293" s="243">
        <v>0.72060000000000002</v>
      </c>
      <c r="S1293" s="243">
        <v>0.85270000000000001</v>
      </c>
      <c r="T1293" s="243">
        <v>0.85360000000000003</v>
      </c>
      <c r="U1293" s="243">
        <v>0.85350000000000004</v>
      </c>
      <c r="V1293" s="243">
        <v>0.85299999999999998</v>
      </c>
      <c r="W1293" s="243">
        <v>0.84770000000000001</v>
      </c>
      <c r="X1293" s="243">
        <v>0.8599</v>
      </c>
      <c r="Y1293" s="243">
        <v>0.86180000000000001</v>
      </c>
      <c r="Z1293" s="245">
        <f ca="1">[1]ExtEntry!$R96</f>
        <v>0.86180000000000001</v>
      </c>
      <c r="AB1293" s="318">
        <v>7750.0000000000036</v>
      </c>
      <c r="AC1293" s="318">
        <v>6899.9999999999955</v>
      </c>
      <c r="AD1293" s="318">
        <v>7149.9999999999982</v>
      </c>
      <c r="AE1293" s="318">
        <v>7249.9999999999964</v>
      </c>
      <c r="AF1293" s="318">
        <v>8000.0000000000073</v>
      </c>
      <c r="AG1293" s="318">
        <v>7724.9999999999909</v>
      </c>
      <c r="AH1293" s="318">
        <v>6400.0000000000055</v>
      </c>
      <c r="AI1293" s="318">
        <v>6400.0000000000055</v>
      </c>
      <c r="AJ1293" s="318">
        <v>5800.0000000000009</v>
      </c>
      <c r="AK1293" s="318">
        <v>6199.9999999999918</v>
      </c>
      <c r="AL1293" s="318">
        <v>6374.9999999999927</v>
      </c>
      <c r="AM1293" s="318">
        <v>7099.9999999999909</v>
      </c>
      <c r="AN1293" s="318">
        <v>7174.9999999999936</v>
      </c>
      <c r="AO1293" s="318">
        <v>4649.9999999999982</v>
      </c>
      <c r="AP1293" s="318">
        <v>6150.0000000000018</v>
      </c>
      <c r="AQ1293" s="318">
        <v>6299.99999999999</v>
      </c>
      <c r="AR1293" s="318">
        <v>6425.0000000000009</v>
      </c>
      <c r="AS1293" s="318">
        <v>284.99999999999659</v>
      </c>
      <c r="AT1293" s="318">
        <v>240.00000000000023</v>
      </c>
      <c r="AU1293" s="318">
        <v>450.00000000000108</v>
      </c>
      <c r="AV1293" s="318">
        <f ca="1">Calc!Z96</f>
        <v>450.00000000000108</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1025</v>
      </c>
      <c r="AC1296" s="93" cm="1">
        <f t="array" aca="1" ref="AC1296" ca="1">_xlfn.XLOOKUP(DataShiftChartTicker,ListTickers,Tab2ReBuy[RevBuy1])</f>
        <v>1270.999999999998</v>
      </c>
      <c r="AD1296" s="93" cm="1">
        <f t="array" aca="1" ref="AD1296" ca="1">_xlfn.XLOOKUP(DataShiftChartTicker,ListTickers,Tab2ReBuy[RevBuy2])</f>
        <v>1408.9999999999975</v>
      </c>
      <c r="AE1296" s="93" cm="1">
        <f t="array" aca="1" ref="AE1296" ca="1">_xlfn.XLOOKUP(DataShiftChartTicker,ListTickers,Tab2ReBuy[RevBuy3])</f>
        <v>1694.9999999999989</v>
      </c>
      <c r="AF1296" s="93" cm="1">
        <f t="array" aca="1" ref="AF1296" ca="1">_xlfn.XLOOKUP(DataShiftChartTicker,ListTickers,Tab2ReBuy[RevBuy4])</f>
        <v>1006.9999999999993</v>
      </c>
      <c r="AG1296" s="93" cm="1">
        <f t="array" aca="1" ref="AG1296" ca="1">_xlfn.XLOOKUP(DataShiftChartTicker,ListTickers,Tab2ReBuy[RevBuy5])</f>
        <v>-103.00000000000296</v>
      </c>
      <c r="AH1296" s="93" cm="1">
        <f t="array" aca="1" ref="AH1296" ca="1">_xlfn.XLOOKUP(DataShiftChartTicker,ListTickers,Tab2ReBuy[RevBuy6])</f>
        <v>712.99999999999955</v>
      </c>
      <c r="AI1296" s="93" cm="1">
        <f t="array" aca="1" ref="AI1296" ca="1">_xlfn.XLOOKUP(DataShiftChartTicker,ListTickers,Tab2ReBuy[RevBuy7])</f>
        <v>712.99999999999955</v>
      </c>
      <c r="AJ1296" s="93" cm="1">
        <f t="array" aca="1" ref="AJ1296" ca="1">_xlfn.XLOOKUP(DataShiftChartTicker,ListTickers,Tab2ReBuy[RevBuy8])</f>
        <v>84.999999999996589</v>
      </c>
      <c r="AK1296" s="93" cm="1">
        <f t="array" aca="1" ref="AK1296" ca="1">_xlfn.XLOOKUP(DataShiftChartTicker,ListTickers,Tab2ReBuy[RevBuy9])</f>
        <v>-539.00000000000432</v>
      </c>
      <c r="AL1296" s="93" cm="1">
        <f t="array" aca="1" ref="AL1296" ca="1">_xlfn.XLOOKUP(DataShiftChartTicker,ListTickers,Tab2ReBuy[RevBuy10])</f>
        <v>-1091.0000000000025</v>
      </c>
      <c r="AM1296" s="93" cm="1">
        <f t="array" aca="1" ref="AM1296" ca="1">_xlfn.XLOOKUP(DataShiftChartTicker,ListTickers,Tab2ReBuy[RevBuy11])</f>
        <v>-1547.0000000000027</v>
      </c>
      <c r="AN1296" s="93" cm="1">
        <f t="array" aca="1" ref="AN1296" ca="1">_xlfn.XLOOKUP(DataShiftChartTicker,ListTickers,Tab2ReBuy[RevBuy12])</f>
        <v>-269.00000000000546</v>
      </c>
      <c r="AO1296" s="93" cm="1">
        <f t="array" aca="1" ref="AO1296" ca="1">_xlfn.XLOOKUP(DataShiftChartTicker,ListTickers,Tab2ReBuy[RevBuy13])</f>
        <v>-5461.0000000000018</v>
      </c>
      <c r="AP1296" s="93" cm="1">
        <f t="array" aca="1" ref="AP1296" ca="1">_xlfn.XLOOKUP(DataShiftChartTicker,ListTickers,Tab2ReBuy[RevBuy14])</f>
        <v>-5737</v>
      </c>
      <c r="AQ1296" s="93" cm="1">
        <f t="array" aca="1" ref="AQ1296" ca="1">_xlfn.XLOOKUP(DataShiftChartTicker,ListTickers,Tab2ReBuy[RevBuy15])</f>
        <v>-4458.2800000000025</v>
      </c>
      <c r="AR1296" s="93" cm="1">
        <f t="array" aca="1" ref="AR1296" ca="1">_xlfn.XLOOKUP(DataShiftChartTicker,ListTickers,Tab2ReBuy[RevBuy16])</f>
        <v>-4609.0000000000036</v>
      </c>
      <c r="AS1296" s="93" cm="1">
        <f t="array" aca="1" ref="AS1296" ca="1">_xlfn.XLOOKUP(DataShiftChartTicker,ListTickers,Tab2ReBuy[RevBuy17])</f>
        <v>-2635.0000000000023</v>
      </c>
      <c r="AT1296" s="93" cm="1">
        <f t="array" aca="1" ref="AT1296" ca="1">_xlfn.XLOOKUP(DataShiftChartTicker,ListTickers,Tab2ReBuy[RevBuy18])</f>
        <v>-207.000000000005</v>
      </c>
      <c r="AU1296" s="93" cm="1">
        <f t="array" aca="1" ref="AU1296" ca="1">_xlfn.XLOOKUP(DataShiftChartTicker,ListTickers,Tab2ReBuy[RevBuy19])</f>
        <v>66.599999999999682</v>
      </c>
      <c r="AV1296" s="93" cm="1">
        <f t="array" aca="1" ref="AV1296" ca="1">_xlfn.XLOOKUP(DataShiftChartTicker,ListTickers,Tab2ReBuy[RevBuy20])</f>
        <v>66.599999999999682</v>
      </c>
      <c r="AX1296" s="88"/>
    </row>
    <row r="1297" spans="1:50" ht="23" customHeight="1" x14ac:dyDescent="0.3">
      <c r="A1297" s="88"/>
      <c r="F1297" s="117">
        <f t="shared" ref="F1297:Z1297" ca="1" si="104">F1198</f>
        <v>45952</v>
      </c>
      <c r="G1297" s="117">
        <f t="shared" ca="1" si="104"/>
        <v>45953</v>
      </c>
      <c r="H1297" s="117">
        <f t="shared" ca="1" si="104"/>
        <v>45954</v>
      </c>
      <c r="I1297" s="117">
        <f t="shared" ca="1" si="104"/>
        <v>45957</v>
      </c>
      <c r="J1297" s="117">
        <f t="shared" ca="1" si="104"/>
        <v>45958</v>
      </c>
      <c r="K1297" s="117">
        <f t="shared" ca="1" si="104"/>
        <v>45959</v>
      </c>
      <c r="L1297" s="117">
        <f t="shared" ca="1" si="104"/>
        <v>45960</v>
      </c>
      <c r="M1297" s="117">
        <f t="shared" ca="1" si="104"/>
        <v>45961</v>
      </c>
      <c r="N1297" s="117">
        <f t="shared" ca="1" si="104"/>
        <v>45964</v>
      </c>
      <c r="O1297" s="117">
        <f t="shared" ca="1" si="104"/>
        <v>45965</v>
      </c>
      <c r="P1297" s="117">
        <f t="shared" ca="1" si="104"/>
        <v>45966</v>
      </c>
      <c r="Q1297" s="117">
        <f t="shared" ca="1" si="104"/>
        <v>45967</v>
      </c>
      <c r="R1297" s="117">
        <f t="shared" ca="1" si="104"/>
        <v>45968</v>
      </c>
      <c r="S1297" s="117">
        <f t="shared" ca="1" si="104"/>
        <v>45971</v>
      </c>
      <c r="T1297" s="117">
        <f t="shared" ca="1" si="104"/>
        <v>45972</v>
      </c>
      <c r="U1297" s="117">
        <f t="shared" ca="1" si="104"/>
        <v>45973</v>
      </c>
      <c r="V1297" s="117">
        <f t="shared" ca="1" si="104"/>
        <v>45974</v>
      </c>
      <c r="W1297" s="117">
        <f t="shared" ca="1" si="104"/>
        <v>45975</v>
      </c>
      <c r="X1297" s="117">
        <f t="shared" ca="1" si="104"/>
        <v>45978</v>
      </c>
      <c r="Y1297" s="117">
        <f t="shared" ca="1" si="104"/>
        <v>45979</v>
      </c>
      <c r="Z1297" s="117">
        <f t="shared" ca="1" si="104"/>
        <v>45980</v>
      </c>
      <c r="AB1297" s="117">
        <f t="shared" ref="AB1297:AV1297" ca="1" si="105">F1198</f>
        <v>45952</v>
      </c>
      <c r="AC1297" s="117">
        <f t="shared" ca="1" si="105"/>
        <v>45953</v>
      </c>
      <c r="AD1297" s="117">
        <f t="shared" ca="1" si="105"/>
        <v>45954</v>
      </c>
      <c r="AE1297" s="117">
        <f t="shared" ca="1" si="105"/>
        <v>45957</v>
      </c>
      <c r="AF1297" s="117">
        <f t="shared" ca="1" si="105"/>
        <v>45958</v>
      </c>
      <c r="AG1297" s="117">
        <f t="shared" ca="1" si="105"/>
        <v>45959</v>
      </c>
      <c r="AH1297" s="117">
        <f t="shared" ca="1" si="105"/>
        <v>45960</v>
      </c>
      <c r="AI1297" s="117">
        <f t="shared" ca="1" si="105"/>
        <v>45961</v>
      </c>
      <c r="AJ1297" s="117">
        <f t="shared" ca="1" si="105"/>
        <v>45964</v>
      </c>
      <c r="AK1297" s="117">
        <f t="shared" ca="1" si="105"/>
        <v>45965</v>
      </c>
      <c r="AL1297" s="117">
        <f t="shared" ca="1" si="105"/>
        <v>45966</v>
      </c>
      <c r="AM1297" s="117">
        <f t="shared" ca="1" si="105"/>
        <v>45967</v>
      </c>
      <c r="AN1297" s="117">
        <f t="shared" ca="1" si="105"/>
        <v>45968</v>
      </c>
      <c r="AO1297" s="117">
        <f t="shared" ca="1" si="105"/>
        <v>45971</v>
      </c>
      <c r="AP1297" s="117">
        <f t="shared" ca="1" si="105"/>
        <v>45972</v>
      </c>
      <c r="AQ1297" s="117">
        <f t="shared" ca="1" si="105"/>
        <v>45973</v>
      </c>
      <c r="AR1297" s="117">
        <f t="shared" ca="1" si="105"/>
        <v>45974</v>
      </c>
      <c r="AS1297" s="117">
        <f t="shared" ca="1" si="105"/>
        <v>45975</v>
      </c>
      <c r="AT1297" s="117">
        <f t="shared" ca="1" si="105"/>
        <v>45978</v>
      </c>
      <c r="AU1297" s="117">
        <f t="shared" ca="1" si="105"/>
        <v>45979</v>
      </c>
      <c r="AV1297" s="117">
        <f t="shared" ca="1" si="105"/>
        <v>45980</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1">
        <v>10500</v>
      </c>
      <c r="G1299" s="981">
        <v>10500</v>
      </c>
      <c r="H1299" s="981">
        <v>10500</v>
      </c>
      <c r="I1299" s="981">
        <v>10500</v>
      </c>
      <c r="J1299" s="981">
        <v>10500</v>
      </c>
      <c r="K1299" s="981">
        <v>10000</v>
      </c>
      <c r="L1299" s="981">
        <v>10000</v>
      </c>
      <c r="M1299" s="981">
        <v>10000</v>
      </c>
      <c r="N1299" s="981">
        <v>10000</v>
      </c>
      <c r="O1299" s="981">
        <v>10000</v>
      </c>
      <c r="P1299" s="981">
        <v>10000</v>
      </c>
      <c r="Q1299" s="981">
        <v>10000</v>
      </c>
      <c r="R1299" s="981">
        <v>10000</v>
      </c>
      <c r="S1299" s="981">
        <v>9500</v>
      </c>
      <c r="T1299" s="981">
        <v>9500</v>
      </c>
      <c r="U1299" s="981">
        <v>9500</v>
      </c>
      <c r="V1299" s="981">
        <v>9500</v>
      </c>
      <c r="W1299" s="981">
        <v>9500</v>
      </c>
      <c r="X1299" s="981">
        <v>9500</v>
      </c>
      <c r="Y1299" s="981">
        <v>9500</v>
      </c>
      <c r="Z1299" s="981">
        <f ca="1">Calc!G3</f>
        <v>9500</v>
      </c>
      <c r="AB1299" s="318">
        <v>1169.9999999999989</v>
      </c>
      <c r="AC1299" s="318">
        <v>843.99999999999977</v>
      </c>
      <c r="AD1299" s="318">
        <v>1234.0000000000032</v>
      </c>
      <c r="AE1299" s="318">
        <v>266.0000000000025</v>
      </c>
      <c r="AF1299" s="318">
        <v>-1724.0000000000009</v>
      </c>
      <c r="AG1299" s="318">
        <v>405.00000000000114</v>
      </c>
      <c r="AH1299" s="318">
        <v>2564.9999999999977</v>
      </c>
      <c r="AI1299" s="318">
        <v>2564.9999999999977</v>
      </c>
      <c r="AJ1299" s="318">
        <v>2000</v>
      </c>
      <c r="AK1299" s="318">
        <v>379.99999999999545</v>
      </c>
      <c r="AL1299" s="318">
        <v>-2615.0000000000091</v>
      </c>
      <c r="AM1299" s="318">
        <v>-2710.0000000000082</v>
      </c>
      <c r="AN1299" s="318">
        <v>-3909.9999999999964</v>
      </c>
      <c r="AO1299" s="318">
        <v>5.0000000000238742</v>
      </c>
      <c r="AP1299" s="318">
        <v>-49.999999999982947</v>
      </c>
      <c r="AQ1299" s="318">
        <v>-229.99999999998977</v>
      </c>
      <c r="AR1299" s="318">
        <v>1021.5000000000032</v>
      </c>
      <c r="AS1299" s="318">
        <v>-1185.0000000000023</v>
      </c>
      <c r="AT1299" s="318">
        <v>1300.0000000000114</v>
      </c>
      <c r="AU1299" s="318">
        <v>5.0000000000238742</v>
      </c>
      <c r="AV1299" s="318">
        <f ca="1">Calc!AH3</f>
        <v>5.0000000000238742</v>
      </c>
      <c r="AX1299" s="88" t="str">
        <f t="shared" ref="AX1299:AX1362" ca="1" si="107">A1299</f>
        <v>AAPL</v>
      </c>
    </row>
    <row r="1300" spans="1:50" ht="23" customHeight="1" x14ac:dyDescent="0.3">
      <c r="A1300" s="88" t="str">
        <f t="shared" ca="1" si="106"/>
        <v>ADEA</v>
      </c>
      <c r="F1300" s="981">
        <v>5000</v>
      </c>
      <c r="G1300" s="981">
        <v>5000</v>
      </c>
      <c r="H1300" s="981">
        <v>5000</v>
      </c>
      <c r="I1300" s="981">
        <v>5000</v>
      </c>
      <c r="J1300" s="981">
        <v>5000</v>
      </c>
      <c r="K1300" s="981">
        <v>5000</v>
      </c>
      <c r="L1300" s="981">
        <v>5000</v>
      </c>
      <c r="M1300" s="981">
        <v>5000</v>
      </c>
      <c r="N1300" s="981">
        <v>5000</v>
      </c>
      <c r="O1300" s="981">
        <v>5000</v>
      </c>
      <c r="P1300" s="981">
        <v>5000</v>
      </c>
      <c r="Q1300" s="981">
        <v>5000</v>
      </c>
      <c r="R1300" s="981">
        <v>5000</v>
      </c>
      <c r="S1300" s="981">
        <v>5000</v>
      </c>
      <c r="T1300" s="981">
        <v>5000</v>
      </c>
      <c r="U1300" s="981">
        <v>5000</v>
      </c>
      <c r="V1300" s="981">
        <v>5000</v>
      </c>
      <c r="W1300" s="981">
        <v>5000</v>
      </c>
      <c r="X1300" s="981">
        <v>5000</v>
      </c>
      <c r="Y1300" s="981">
        <v>5000</v>
      </c>
      <c r="Z1300" s="981">
        <f ca="1">Calc!G4</f>
        <v>5000</v>
      </c>
      <c r="AB1300" s="318">
        <v>280.00000000000114</v>
      </c>
      <c r="AC1300" s="318">
        <v>-320.00000000000028</v>
      </c>
      <c r="AD1300" s="318">
        <v>250</v>
      </c>
      <c r="AE1300" s="318">
        <v>300.00000000000068</v>
      </c>
      <c r="AF1300" s="318">
        <v>70.000000000000284</v>
      </c>
      <c r="AG1300" s="318">
        <v>-150.00000000000213</v>
      </c>
      <c r="AH1300" s="318">
        <v>39.999999999999147</v>
      </c>
      <c r="AI1300" s="318">
        <v>39.999999999999147</v>
      </c>
      <c r="AJ1300" s="318">
        <v>89.999999999999858</v>
      </c>
      <c r="AK1300" s="318">
        <v>-240.00000000000199</v>
      </c>
      <c r="AL1300" s="318">
        <v>-780.00000000000114</v>
      </c>
      <c r="AM1300" s="318">
        <v>-870.00000000000102</v>
      </c>
      <c r="AN1300" s="318">
        <v>-260.00000000000159</v>
      </c>
      <c r="AO1300" s="318">
        <v>4135</v>
      </c>
      <c r="AP1300" s="318">
        <v>3080</v>
      </c>
      <c r="AQ1300" s="318">
        <v>2924.9999999999991</v>
      </c>
      <c r="AR1300" s="318">
        <v>2814.9999999999995</v>
      </c>
      <c r="AS1300" s="318">
        <v>4000</v>
      </c>
      <c r="AT1300" s="318">
        <v>4510</v>
      </c>
      <c r="AU1300" s="318">
        <v>4600</v>
      </c>
      <c r="AV1300" s="318">
        <f ca="1">Calc!AH4</f>
        <v>4600</v>
      </c>
      <c r="AX1300" s="88" t="str">
        <f t="shared" ca="1" si="107"/>
        <v>ADEA</v>
      </c>
    </row>
    <row r="1301" spans="1:50" ht="23" customHeight="1" x14ac:dyDescent="0.3">
      <c r="A1301" s="88" t="str">
        <f t="shared" ca="1" si="106"/>
        <v>AET</v>
      </c>
      <c r="F1301" s="981">
        <v>820000</v>
      </c>
      <c r="G1301" s="981">
        <v>820000</v>
      </c>
      <c r="H1301" s="981">
        <v>820000</v>
      </c>
      <c r="I1301" s="981">
        <v>820000</v>
      </c>
      <c r="J1301" s="981">
        <v>820000</v>
      </c>
      <c r="K1301" s="981">
        <v>820000</v>
      </c>
      <c r="L1301" s="981">
        <v>820000</v>
      </c>
      <c r="M1301" s="981">
        <v>820000</v>
      </c>
      <c r="N1301" s="981">
        <v>820000</v>
      </c>
      <c r="O1301" s="981">
        <v>820000</v>
      </c>
      <c r="P1301" s="981">
        <v>820000</v>
      </c>
      <c r="Q1301" s="981">
        <v>820000</v>
      </c>
      <c r="R1301" s="981">
        <v>820000</v>
      </c>
      <c r="S1301" s="981">
        <v>820000</v>
      </c>
      <c r="T1301" s="981">
        <v>820000</v>
      </c>
      <c r="U1301" s="981">
        <v>820000</v>
      </c>
      <c r="V1301" s="981">
        <v>820000</v>
      </c>
      <c r="W1301" s="981">
        <v>820000</v>
      </c>
      <c r="X1301" s="981">
        <v>820000</v>
      </c>
      <c r="Y1301" s="981">
        <v>820000</v>
      </c>
      <c r="Z1301" s="981">
        <f ca="1">Calc!G5</f>
        <v>820000</v>
      </c>
      <c r="AB1301" s="318">
        <v>1822</v>
      </c>
      <c r="AC1301" s="318">
        <v>1981.9999999999995</v>
      </c>
      <c r="AD1301" s="318">
        <v>2201.9999999999995</v>
      </c>
      <c r="AE1301" s="318">
        <v>2001.9999999999998</v>
      </c>
      <c r="AF1301" s="318">
        <v>1942.0000000000002</v>
      </c>
      <c r="AG1301" s="318">
        <v>1801.9999999999998</v>
      </c>
      <c r="AH1301" s="318">
        <v>1722</v>
      </c>
      <c r="AI1301" s="318">
        <v>1722</v>
      </c>
      <c r="AJ1301" s="318">
        <v>1522</v>
      </c>
      <c r="AK1301" s="318">
        <v>1242.0000000000002</v>
      </c>
      <c r="AL1301" s="318">
        <v>1442.0000000000002</v>
      </c>
      <c r="AM1301" s="318">
        <v>1642.0000000000002</v>
      </c>
      <c r="AN1301" s="318">
        <v>1401.9999999999998</v>
      </c>
      <c r="AO1301" s="318">
        <v>1401.9999999999998</v>
      </c>
      <c r="AP1301" s="318">
        <v>1201.9999999999995</v>
      </c>
      <c r="AQ1301" s="318">
        <v>1522</v>
      </c>
      <c r="AR1301" s="318">
        <v>1461.9999999999991</v>
      </c>
      <c r="AS1301" s="318">
        <v>1361.9999999999991</v>
      </c>
      <c r="AT1301" s="318">
        <v>1401.9999999999998</v>
      </c>
      <c r="AU1301" s="318">
        <v>1401.9999999999998</v>
      </c>
      <c r="AV1301" s="318">
        <f ca="1">Calc!AH5</f>
        <v>1401.9999999999998</v>
      </c>
      <c r="AX1301" s="88" t="str">
        <f t="shared" ca="1" si="107"/>
        <v>AET</v>
      </c>
    </row>
    <row r="1302" spans="1:50" ht="23" customHeight="1" x14ac:dyDescent="0.3">
      <c r="A1302" s="88" t="str">
        <f t="shared" ca="1" si="106"/>
        <v>AMZN</v>
      </c>
      <c r="F1302" s="981">
        <v>12000</v>
      </c>
      <c r="G1302" s="981">
        <v>12000</v>
      </c>
      <c r="H1302" s="981">
        <v>12000</v>
      </c>
      <c r="I1302" s="981">
        <v>12000</v>
      </c>
      <c r="J1302" s="981">
        <v>12000</v>
      </c>
      <c r="K1302" s="981">
        <v>12000</v>
      </c>
      <c r="L1302" s="981">
        <v>12000</v>
      </c>
      <c r="M1302" s="981">
        <v>12000</v>
      </c>
      <c r="N1302" s="981">
        <v>12000</v>
      </c>
      <c r="O1302" s="981">
        <v>12000</v>
      </c>
      <c r="P1302" s="981">
        <v>12000</v>
      </c>
      <c r="Q1302" s="981">
        <v>12000</v>
      </c>
      <c r="R1302" s="981">
        <v>12000</v>
      </c>
      <c r="S1302" s="981">
        <v>12000</v>
      </c>
      <c r="T1302" s="981">
        <v>12000</v>
      </c>
      <c r="U1302" s="981">
        <v>12000</v>
      </c>
      <c r="V1302" s="981">
        <v>12000</v>
      </c>
      <c r="W1302" s="981">
        <v>12000</v>
      </c>
      <c r="X1302" s="981">
        <v>12000</v>
      </c>
      <c r="Y1302" s="981">
        <v>12000</v>
      </c>
      <c r="Z1302" s="981">
        <f ca="1">Calc!G6</f>
        <v>12000</v>
      </c>
      <c r="AB1302" s="318">
        <v>1025</v>
      </c>
      <c r="AC1302" s="318">
        <v>1270.999999999998</v>
      </c>
      <c r="AD1302" s="318">
        <v>1408.9999999999975</v>
      </c>
      <c r="AE1302" s="318">
        <v>1694.9999999999989</v>
      </c>
      <c r="AF1302" s="318">
        <v>1006.9999999999993</v>
      </c>
      <c r="AG1302" s="318">
        <v>-103.00000000000296</v>
      </c>
      <c r="AH1302" s="318">
        <v>712.99999999999955</v>
      </c>
      <c r="AI1302" s="318">
        <v>712.99999999999955</v>
      </c>
      <c r="AJ1302" s="318">
        <v>84.999999999996589</v>
      </c>
      <c r="AK1302" s="318">
        <v>-539.00000000000432</v>
      </c>
      <c r="AL1302" s="318">
        <v>-1091.0000000000025</v>
      </c>
      <c r="AM1302" s="318">
        <v>-1547.0000000000027</v>
      </c>
      <c r="AN1302" s="318">
        <v>-269.00000000000546</v>
      </c>
      <c r="AO1302" s="318">
        <v>-5461.0000000000018</v>
      </c>
      <c r="AP1302" s="318">
        <v>-5737</v>
      </c>
      <c r="AQ1302" s="318">
        <v>-4458.2800000000025</v>
      </c>
      <c r="AR1302" s="318">
        <v>-4609.0000000000036</v>
      </c>
      <c r="AS1302" s="318">
        <v>-2635.0000000000023</v>
      </c>
      <c r="AT1302" s="318">
        <v>-207.000000000005</v>
      </c>
      <c r="AU1302" s="318">
        <v>66.599999999999682</v>
      </c>
      <c r="AV1302" s="318">
        <f ca="1">Calc!AH6</f>
        <v>66.599999999999682</v>
      </c>
      <c r="AX1302" s="88" t="str">
        <f t="shared" ca="1" si="107"/>
        <v>AMZN</v>
      </c>
    </row>
    <row r="1303" spans="1:50" ht="23" customHeight="1" x14ac:dyDescent="0.3">
      <c r="A1303" s="88" t="str">
        <f t="shared" ca="1" si="106"/>
        <v>ALDNE</v>
      </c>
      <c r="F1303" s="981">
        <v>2530000</v>
      </c>
      <c r="G1303" s="981">
        <v>2530000</v>
      </c>
      <c r="H1303" s="981">
        <v>2530000</v>
      </c>
      <c r="I1303" s="981">
        <v>2530000</v>
      </c>
      <c r="J1303" s="981">
        <v>2530000</v>
      </c>
      <c r="K1303" s="981">
        <v>2530000</v>
      </c>
      <c r="L1303" s="981">
        <v>2530000</v>
      </c>
      <c r="M1303" s="981">
        <v>2530000</v>
      </c>
      <c r="N1303" s="981">
        <v>2530000</v>
      </c>
      <c r="O1303" s="981">
        <v>2530000</v>
      </c>
      <c r="P1303" s="981">
        <v>2530000</v>
      </c>
      <c r="Q1303" s="981">
        <v>2530000</v>
      </c>
      <c r="R1303" s="981">
        <v>2530000</v>
      </c>
      <c r="S1303" s="981">
        <v>2530000</v>
      </c>
      <c r="T1303" s="981">
        <v>2530000</v>
      </c>
      <c r="U1303" s="981">
        <v>2530000</v>
      </c>
      <c r="V1303" s="981">
        <v>2530000</v>
      </c>
      <c r="W1303" s="981">
        <v>2530000</v>
      </c>
      <c r="X1303" s="981">
        <v>2530000</v>
      </c>
      <c r="Y1303" s="981">
        <v>2530000</v>
      </c>
      <c r="Z1303" s="981">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1">
        <v>4000</v>
      </c>
      <c r="G1304" s="981">
        <v>4000</v>
      </c>
      <c r="H1304" s="981">
        <v>3900</v>
      </c>
      <c r="I1304" s="981">
        <v>3800</v>
      </c>
      <c r="J1304" s="981">
        <v>3800</v>
      </c>
      <c r="K1304" s="981">
        <v>3800</v>
      </c>
      <c r="L1304" s="981">
        <v>3800</v>
      </c>
      <c r="M1304" s="981">
        <v>3800</v>
      </c>
      <c r="N1304" s="981">
        <v>3800</v>
      </c>
      <c r="O1304" s="981">
        <v>3700</v>
      </c>
      <c r="P1304" s="981">
        <v>3600</v>
      </c>
      <c r="Q1304" s="981">
        <v>3600</v>
      </c>
      <c r="R1304" s="981">
        <v>3600</v>
      </c>
      <c r="S1304" s="981">
        <v>3600</v>
      </c>
      <c r="T1304" s="981">
        <v>3600</v>
      </c>
      <c r="U1304" s="981">
        <v>3100</v>
      </c>
      <c r="V1304" s="981">
        <v>3100</v>
      </c>
      <c r="W1304" s="981">
        <v>3000</v>
      </c>
      <c r="X1304" s="981">
        <v>3500</v>
      </c>
      <c r="Y1304" s="981">
        <v>3500</v>
      </c>
      <c r="Z1304" s="981">
        <f ca="1">Calc!G8</f>
        <v>3500</v>
      </c>
      <c r="AB1304" s="318">
        <v>5460.0000000000018</v>
      </c>
      <c r="AC1304" s="318">
        <v>2820.0000000000045</v>
      </c>
      <c r="AD1304" s="318">
        <v>1580.0000000000068</v>
      </c>
      <c r="AE1304" s="318">
        <v>-1309.9000000000046</v>
      </c>
      <c r="AF1304" s="318">
        <v>-3639.9</v>
      </c>
      <c r="AG1304" s="318">
        <v>-2719.8999999999955</v>
      </c>
      <c r="AH1304" s="318">
        <v>-749.90000000000236</v>
      </c>
      <c r="AI1304" s="318">
        <v>-749.90000000000236</v>
      </c>
      <c r="AJ1304" s="318">
        <v>-2509.9000000000046</v>
      </c>
      <c r="AK1304" s="318">
        <v>35.000000000002274</v>
      </c>
      <c r="AL1304" s="318">
        <v>214.99999999999773</v>
      </c>
      <c r="AM1304" s="318">
        <v>285.00000000000227</v>
      </c>
      <c r="AN1304" s="318">
        <v>-2725</v>
      </c>
      <c r="AO1304" s="318">
        <v>-775</v>
      </c>
      <c r="AP1304" s="318">
        <v>364.99999999999773</v>
      </c>
      <c r="AQ1304" s="318">
        <v>1495.0000000000045</v>
      </c>
      <c r="AR1304" s="318">
        <v>3945.0000000000045</v>
      </c>
      <c r="AS1304" s="318">
        <v>1260.0000000000023</v>
      </c>
      <c r="AT1304" s="318">
        <v>2730.0000000000068</v>
      </c>
      <c r="AU1304" s="318">
        <v>10.000000000002274</v>
      </c>
      <c r="AV1304" s="318">
        <f ca="1">Calc!AH8</f>
        <v>10.000000000002274</v>
      </c>
      <c r="AX1304" s="88" t="str">
        <f t="shared" ca="1" si="107"/>
        <v>ASML</v>
      </c>
    </row>
    <row r="1305" spans="1:50" ht="23" hidden="1" customHeight="1" x14ac:dyDescent="0.3">
      <c r="A1305" s="88" t="str">
        <f t="shared" ca="1" si="106"/>
        <v>AVGO</v>
      </c>
      <c r="F1305" s="981">
        <v>400</v>
      </c>
      <c r="G1305" s="981">
        <v>400</v>
      </c>
      <c r="H1305" s="981">
        <v>400</v>
      </c>
      <c r="I1305" s="981">
        <v>400</v>
      </c>
      <c r="J1305" s="981">
        <v>400</v>
      </c>
      <c r="K1305" s="981">
        <v>400</v>
      </c>
      <c r="L1305" s="981">
        <v>400</v>
      </c>
      <c r="M1305" s="981">
        <v>400</v>
      </c>
      <c r="N1305" s="981">
        <v>400</v>
      </c>
      <c r="O1305" s="981">
        <v>400</v>
      </c>
      <c r="P1305" s="981">
        <v>400</v>
      </c>
      <c r="Q1305" s="981">
        <v>400</v>
      </c>
      <c r="R1305" s="981">
        <v>400</v>
      </c>
      <c r="S1305" s="981">
        <v>400</v>
      </c>
      <c r="T1305" s="981">
        <v>400</v>
      </c>
      <c r="U1305" s="981">
        <v>400</v>
      </c>
      <c r="V1305" s="981">
        <v>400</v>
      </c>
      <c r="W1305" s="981">
        <v>400</v>
      </c>
      <c r="X1305" s="981">
        <v>200</v>
      </c>
      <c r="Y1305" s="981">
        <v>200</v>
      </c>
      <c r="Z1305" s="981">
        <f ca="1">Calc!G9</f>
        <v>200</v>
      </c>
      <c r="AB1305" s="318">
        <v>313.59999999999673</v>
      </c>
      <c r="AC1305" s="318">
        <v>-752.00000000000728</v>
      </c>
      <c r="AD1305" s="318">
        <v>-1289.6000000000004</v>
      </c>
      <c r="AE1305" s="318">
        <v>-518.40000000000146</v>
      </c>
      <c r="AF1305" s="318">
        <v>-504.00000000000546</v>
      </c>
      <c r="AG1305" s="318">
        <v>548.799999999992</v>
      </c>
      <c r="AH1305" s="318">
        <v>926.39999999999418</v>
      </c>
      <c r="AI1305" s="318">
        <v>926.39999999999418</v>
      </c>
      <c r="AJ1305" s="318">
        <v>287.99999999999272</v>
      </c>
      <c r="AK1305" s="318">
        <v>-1286.4000000000033</v>
      </c>
      <c r="AL1305" s="318">
        <v>-2553.6000000000058</v>
      </c>
      <c r="AM1305" s="318">
        <v>-4300.8000000000084</v>
      </c>
      <c r="AN1305" s="318">
        <v>-4860.8000000000084</v>
      </c>
      <c r="AO1305" s="318">
        <v>-983.82400000000416</v>
      </c>
      <c r="AP1305" s="318">
        <v>-2062.4000000000069</v>
      </c>
      <c r="AQ1305" s="318">
        <v>-1521.6000000000076</v>
      </c>
      <c r="AR1305" s="318">
        <v>-207.20000000000255</v>
      </c>
      <c r="AS1305" s="318">
        <v>580.79999999999927</v>
      </c>
      <c r="AT1305" s="318">
        <v>363.99999999999864</v>
      </c>
      <c r="AU1305" s="318">
        <v>-1130.0000000000068</v>
      </c>
      <c r="AV1305" s="318">
        <f ca="1">Calc!AH9</f>
        <v>-1130.0000000000068</v>
      </c>
      <c r="AX1305" s="88" t="str">
        <f t="shared" ca="1" si="107"/>
        <v>AVGO</v>
      </c>
    </row>
    <row r="1306" spans="1:50" ht="23" hidden="1" customHeight="1" x14ac:dyDescent="0.3">
      <c r="A1306" s="88" t="str">
        <f t="shared" ca="1" si="106"/>
        <v>AZN</v>
      </c>
      <c r="F1306" s="981">
        <v>500</v>
      </c>
      <c r="G1306" s="981">
        <v>500</v>
      </c>
      <c r="H1306" s="981">
        <v>500</v>
      </c>
      <c r="I1306" s="981">
        <v>500</v>
      </c>
      <c r="J1306" s="981">
        <v>500</v>
      </c>
      <c r="K1306" s="981">
        <v>500</v>
      </c>
      <c r="L1306" s="981">
        <v>500</v>
      </c>
      <c r="M1306" s="981">
        <v>500</v>
      </c>
      <c r="N1306" s="981">
        <v>500</v>
      </c>
      <c r="O1306" s="981">
        <v>500</v>
      </c>
      <c r="P1306" s="981">
        <v>500</v>
      </c>
      <c r="Q1306" s="981">
        <v>500</v>
      </c>
      <c r="R1306" s="981">
        <v>500</v>
      </c>
      <c r="S1306" s="981">
        <v>500</v>
      </c>
      <c r="T1306" s="981">
        <v>500</v>
      </c>
      <c r="U1306" s="981">
        <v>500</v>
      </c>
      <c r="V1306" s="981">
        <v>500</v>
      </c>
      <c r="W1306" s="981">
        <v>500</v>
      </c>
      <c r="X1306" s="981">
        <v>500</v>
      </c>
      <c r="Y1306" s="981">
        <v>500</v>
      </c>
      <c r="Z1306" s="981">
        <f ca="1">Calc!G10</f>
        <v>500</v>
      </c>
      <c r="AB1306" s="318">
        <v>549.99999999999716</v>
      </c>
      <c r="AC1306" s="318">
        <v>637.50000000000284</v>
      </c>
      <c r="AD1306" s="318">
        <v>1195.0000000000002</v>
      </c>
      <c r="AE1306" s="318">
        <v>765.00000000000057</v>
      </c>
      <c r="AF1306" s="318">
        <v>1174.9999999999973</v>
      </c>
      <c r="AG1306" s="318">
        <v>1500</v>
      </c>
      <c r="AH1306" s="318">
        <v>1394.9999999999959</v>
      </c>
      <c r="AI1306" s="318">
        <v>1394.9999999999959</v>
      </c>
      <c r="AJ1306" s="318">
        <v>1409.9999999999966</v>
      </c>
      <c r="AK1306" s="318">
        <v>1464.9999999999964</v>
      </c>
      <c r="AL1306" s="318">
        <v>1079.9999999999982</v>
      </c>
      <c r="AM1306" s="318">
        <v>1804.9999999999998</v>
      </c>
      <c r="AN1306" s="318">
        <v>1939.9999999999977</v>
      </c>
      <c r="AO1306" s="318">
        <v>2132.4499999999985</v>
      </c>
      <c r="AP1306" s="318">
        <v>2534.9999999999964</v>
      </c>
      <c r="AQ1306" s="318">
        <v>1262.5000000000027</v>
      </c>
      <c r="AR1306" s="318">
        <v>832.49999999999602</v>
      </c>
      <c r="AS1306" s="318">
        <v>-1439.9999999999977</v>
      </c>
      <c r="AT1306" s="318">
        <v>-1664.9999999999991</v>
      </c>
      <c r="AU1306" s="318">
        <v>-1375.0500000000015</v>
      </c>
      <c r="AV1306" s="318">
        <f ca="1">Calc!AH10</f>
        <v>-1375.0500000000015</v>
      </c>
      <c r="AX1306" s="88" t="str">
        <f t="shared" ca="1" si="107"/>
        <v>AZN</v>
      </c>
    </row>
    <row r="1307" spans="1:50" ht="23" hidden="1" customHeight="1" x14ac:dyDescent="0.3">
      <c r="A1307" s="88" t="str">
        <f t="shared" ca="1" si="106"/>
        <v>BLDP</v>
      </c>
      <c r="F1307" s="981">
        <v>20000</v>
      </c>
      <c r="G1307" s="981">
        <v>20000</v>
      </c>
      <c r="H1307" s="981">
        <v>20000</v>
      </c>
      <c r="I1307" s="981">
        <v>20000</v>
      </c>
      <c r="J1307" s="981">
        <v>20000</v>
      </c>
      <c r="K1307" s="981">
        <v>20000</v>
      </c>
      <c r="L1307" s="981">
        <v>20000</v>
      </c>
      <c r="M1307" s="981">
        <v>20000</v>
      </c>
      <c r="N1307" s="981">
        <v>20000</v>
      </c>
      <c r="O1307" s="981">
        <v>20000</v>
      </c>
      <c r="P1307" s="981">
        <v>20000</v>
      </c>
      <c r="Q1307" s="981">
        <v>20000</v>
      </c>
      <c r="R1307" s="981">
        <v>20000</v>
      </c>
      <c r="S1307" s="981">
        <v>20000</v>
      </c>
      <c r="T1307" s="981">
        <v>20000</v>
      </c>
      <c r="U1307" s="981">
        <v>20000</v>
      </c>
      <c r="V1307" s="981">
        <v>20000</v>
      </c>
      <c r="W1307" s="981">
        <v>20000</v>
      </c>
      <c r="X1307" s="981">
        <v>20000</v>
      </c>
      <c r="Y1307" s="981">
        <v>20000</v>
      </c>
      <c r="Z1307" s="981">
        <f ca="1">Calc!G11</f>
        <v>20000</v>
      </c>
      <c r="AB1307" s="318">
        <v>-3779.4000000000005</v>
      </c>
      <c r="AC1307" s="318">
        <v>-2549.4000000000005</v>
      </c>
      <c r="AD1307" s="318">
        <v>-1919.4000000000005</v>
      </c>
      <c r="AE1307" s="318">
        <v>-1679.4000000000003</v>
      </c>
      <c r="AF1307" s="318">
        <v>-1739.4000000000017</v>
      </c>
      <c r="AG1307" s="318">
        <v>120.59999999999872</v>
      </c>
      <c r="AH1307" s="318">
        <v>420.60000000000031</v>
      </c>
      <c r="AI1307" s="318">
        <v>420.60000000000031</v>
      </c>
      <c r="AJ1307" s="318">
        <v>420.60000000000031</v>
      </c>
      <c r="AK1307" s="318">
        <v>-539.40000000000055</v>
      </c>
      <c r="AL1307" s="318">
        <v>-359.40000000000174</v>
      </c>
      <c r="AM1307" s="318">
        <v>-539.40000000000055</v>
      </c>
      <c r="AN1307" s="318">
        <v>-539.40000000000055</v>
      </c>
      <c r="AO1307" s="318">
        <v>-269.400000000001</v>
      </c>
      <c r="AP1307" s="318">
        <v>-1799.4000000000003</v>
      </c>
      <c r="AQ1307" s="318">
        <v>-1319.3999999999999</v>
      </c>
      <c r="AR1307" s="318">
        <v>-809.40000000000009</v>
      </c>
      <c r="AS1307" s="318">
        <v>1920.6000000000004</v>
      </c>
      <c r="AT1307" s="318">
        <v>2760.5999999999985</v>
      </c>
      <c r="AU1307" s="318">
        <v>3048.5999999999985</v>
      </c>
      <c r="AV1307" s="318">
        <f ca="1">Calc!AH11</f>
        <v>3048.5999999999985</v>
      </c>
      <c r="AX1307" s="88" t="str">
        <f t="shared" ca="1" si="107"/>
        <v>BLDP</v>
      </c>
    </row>
    <row r="1308" spans="1:50" ht="23" hidden="1" customHeight="1" x14ac:dyDescent="0.3">
      <c r="A1308" s="88" t="str">
        <f t="shared" ca="1" si="106"/>
        <v>BMRA</v>
      </c>
      <c r="F1308" s="981">
        <v>12500</v>
      </c>
      <c r="G1308" s="981">
        <v>12500</v>
      </c>
      <c r="H1308" s="981">
        <v>12500</v>
      </c>
      <c r="I1308" s="981">
        <v>12500</v>
      </c>
      <c r="J1308" s="981">
        <v>12500</v>
      </c>
      <c r="K1308" s="981">
        <v>12500</v>
      </c>
      <c r="L1308" s="981">
        <v>12500</v>
      </c>
      <c r="M1308" s="981">
        <v>12500</v>
      </c>
      <c r="N1308" s="981">
        <v>12500</v>
      </c>
      <c r="O1308" s="981">
        <v>12500</v>
      </c>
      <c r="P1308" s="981">
        <v>12500</v>
      </c>
      <c r="Q1308" s="981">
        <v>12500</v>
      </c>
      <c r="R1308" s="981">
        <v>12500</v>
      </c>
      <c r="S1308" s="981">
        <v>27500</v>
      </c>
      <c r="T1308" s="981">
        <v>27500</v>
      </c>
      <c r="U1308" s="981">
        <v>12500</v>
      </c>
      <c r="V1308" s="981">
        <v>12500</v>
      </c>
      <c r="W1308" s="981">
        <v>12500</v>
      </c>
      <c r="X1308" s="981">
        <v>12500</v>
      </c>
      <c r="Y1308" s="981">
        <v>12500</v>
      </c>
      <c r="Z1308" s="981">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1">
        <v>5</v>
      </c>
      <c r="G1309" s="981">
        <v>5</v>
      </c>
      <c r="H1309" s="981">
        <v>5</v>
      </c>
      <c r="I1309" s="981">
        <v>5</v>
      </c>
      <c r="J1309" s="981">
        <v>5</v>
      </c>
      <c r="K1309" s="981">
        <v>5</v>
      </c>
      <c r="L1309" s="981">
        <v>5</v>
      </c>
      <c r="M1309" s="981">
        <v>5</v>
      </c>
      <c r="N1309" s="981">
        <v>5</v>
      </c>
      <c r="O1309" s="981">
        <v>5</v>
      </c>
      <c r="P1309" s="981">
        <v>5</v>
      </c>
      <c r="Q1309" s="981">
        <v>5</v>
      </c>
      <c r="R1309" s="981">
        <v>5</v>
      </c>
      <c r="S1309" s="981">
        <v>105</v>
      </c>
      <c r="T1309" s="981">
        <v>105</v>
      </c>
      <c r="U1309" s="981">
        <v>105</v>
      </c>
      <c r="V1309" s="981">
        <v>105</v>
      </c>
      <c r="W1309" s="981">
        <v>105</v>
      </c>
      <c r="X1309" s="981">
        <v>105</v>
      </c>
      <c r="Y1309" s="981">
        <v>105</v>
      </c>
      <c r="Z1309" s="981">
        <f ca="1">Calc!G13</f>
        <v>105</v>
      </c>
      <c r="AB1309" s="318">
        <v>-231.32500000000022</v>
      </c>
      <c r="AC1309" s="318">
        <v>-177.83999999999997</v>
      </c>
      <c r="AD1309" s="318">
        <v>104.02499999999989</v>
      </c>
      <c r="AE1309" s="318">
        <v>28.975000000000648</v>
      </c>
      <c r="AF1309" s="318">
        <v>-181.92500000000058</v>
      </c>
      <c r="AG1309" s="318">
        <v>-83.125</v>
      </c>
      <c r="AH1309" s="318">
        <v>100.22500000000065</v>
      </c>
      <c r="AI1309" s="318">
        <v>100.22500000000065</v>
      </c>
      <c r="AJ1309" s="318">
        <v>67.925000000000324</v>
      </c>
      <c r="AK1309" s="318">
        <v>-134.90000000000015</v>
      </c>
      <c r="AL1309" s="318">
        <v>-346.27499999999964</v>
      </c>
      <c r="AM1309" s="318">
        <v>-381.42500000000007</v>
      </c>
      <c r="AN1309" s="318">
        <v>-272.1749999999995</v>
      </c>
      <c r="AO1309" s="318">
        <v>-340.57499999999942</v>
      </c>
      <c r="AP1309" s="318">
        <v>-412.77499999999986</v>
      </c>
      <c r="AQ1309" s="318">
        <v>-345.3250000000005</v>
      </c>
      <c r="AR1309" s="318">
        <v>-298.77499999999964</v>
      </c>
      <c r="AS1309" s="318">
        <v>-277.87499999999972</v>
      </c>
      <c r="AT1309" s="318">
        <v>-89.774999999999352</v>
      </c>
      <c r="AU1309" s="318">
        <v>-211.37499999999946</v>
      </c>
      <c r="AV1309" s="318">
        <f ca="1">Calc!AH13</f>
        <v>-211.37499999999946</v>
      </c>
      <c r="AX1309" s="88" t="str">
        <f t="shared" ca="1" si="107"/>
        <v>C</v>
      </c>
    </row>
    <row r="1310" spans="1:50" ht="23" hidden="1" customHeight="1" x14ac:dyDescent="0.3">
      <c r="A1310" s="88" t="str">
        <f t="shared" ca="1" si="106"/>
        <v>CSCO</v>
      </c>
      <c r="F1310" s="981">
        <v>2000</v>
      </c>
      <c r="G1310" s="981">
        <v>1000</v>
      </c>
      <c r="H1310" s="981">
        <v>1000</v>
      </c>
      <c r="I1310" s="981">
        <v>1000</v>
      </c>
      <c r="J1310" s="981">
        <v>1000</v>
      </c>
      <c r="K1310" s="981">
        <v>1000</v>
      </c>
      <c r="L1310" s="981">
        <v>1000</v>
      </c>
      <c r="M1310" s="981">
        <v>1000</v>
      </c>
      <c r="N1310" s="981">
        <v>1000</v>
      </c>
      <c r="O1310" s="981">
        <v>1000</v>
      </c>
      <c r="P1310" s="981">
        <v>1000</v>
      </c>
      <c r="Q1310" s="981">
        <v>1000</v>
      </c>
      <c r="R1310" s="981">
        <v>1000</v>
      </c>
      <c r="S1310" s="981">
        <v>1000</v>
      </c>
      <c r="T1310" s="981">
        <v>1000</v>
      </c>
      <c r="U1310" s="981">
        <v>1000</v>
      </c>
      <c r="V1310" s="981">
        <v>1000</v>
      </c>
      <c r="W1310" s="981">
        <v>1000</v>
      </c>
      <c r="X1310" s="981">
        <v>1000</v>
      </c>
      <c r="Y1310" s="981">
        <v>1000</v>
      </c>
      <c r="Z1310" s="981">
        <f ca="1">Calc!G14</f>
        <v>1000</v>
      </c>
      <c r="AB1310" s="318">
        <v>-340.00000000000341</v>
      </c>
      <c r="AC1310" s="318">
        <v>-84.999999999993747</v>
      </c>
      <c r="AD1310" s="318">
        <v>250</v>
      </c>
      <c r="AE1310" s="318">
        <v>-789.99999999999204</v>
      </c>
      <c r="AF1310" s="318">
        <v>-1310.0000000000023</v>
      </c>
      <c r="AG1310" s="318">
        <v>-1379.9999999999955</v>
      </c>
      <c r="AH1310" s="318">
        <v>-1319.9999999999932</v>
      </c>
      <c r="AI1310" s="318">
        <v>-1319.9999999999932</v>
      </c>
      <c r="AJ1310" s="318">
        <v>-929.99999999999261</v>
      </c>
      <c r="AK1310" s="318">
        <v>-1289.999999999992</v>
      </c>
      <c r="AL1310" s="318">
        <v>-2049.9999999999973</v>
      </c>
      <c r="AM1310" s="318">
        <v>-3280.0000000000009</v>
      </c>
      <c r="AN1310" s="318">
        <v>-3569.9999999999932</v>
      </c>
      <c r="AO1310" s="318">
        <v>-3064.9999999999977</v>
      </c>
      <c r="AP1310" s="318">
        <v>-2759.9999999999909</v>
      </c>
      <c r="AQ1310" s="318">
        <v>-1814.9999999999977</v>
      </c>
      <c r="AR1310" s="318">
        <v>-1584.9999999999936</v>
      </c>
      <c r="AS1310" s="318">
        <v>-8659.9999999999964</v>
      </c>
      <c r="AT1310" s="318">
        <v>-8030.0000000000009</v>
      </c>
      <c r="AU1310" s="318">
        <v>-8933.5999999999985</v>
      </c>
      <c r="AV1310" s="318">
        <f ca="1">Calc!AH14</f>
        <v>-8933.5999999999985</v>
      </c>
      <c r="AX1310" s="88" t="str">
        <f t="shared" ca="1" si="107"/>
        <v>CSCO</v>
      </c>
    </row>
    <row r="1311" spans="1:50" ht="23" hidden="1" customHeight="1" x14ac:dyDescent="0.3">
      <c r="A1311" s="88" t="str">
        <f t="shared" ca="1" si="106"/>
        <v>CVS</v>
      </c>
      <c r="F1311" s="981">
        <v>1</v>
      </c>
      <c r="G1311" s="981">
        <v>1</v>
      </c>
      <c r="H1311" s="981">
        <v>1</v>
      </c>
      <c r="I1311" s="981">
        <v>1</v>
      </c>
      <c r="J1311" s="981">
        <v>1</v>
      </c>
      <c r="K1311" s="981">
        <v>1</v>
      </c>
      <c r="L1311" s="981">
        <v>1</v>
      </c>
      <c r="M1311" s="981">
        <v>1</v>
      </c>
      <c r="N1311" s="981">
        <v>1</v>
      </c>
      <c r="O1311" s="981">
        <v>1</v>
      </c>
      <c r="P1311" s="981">
        <v>1</v>
      </c>
      <c r="Q1311" s="981">
        <v>1</v>
      </c>
      <c r="R1311" s="981">
        <v>1</v>
      </c>
      <c r="S1311" s="981">
        <v>1</v>
      </c>
      <c r="T1311" s="981">
        <v>1</v>
      </c>
      <c r="U1311" s="981">
        <v>1</v>
      </c>
      <c r="V1311" s="981">
        <v>1</v>
      </c>
      <c r="W1311" s="981">
        <v>1</v>
      </c>
      <c r="X1311" s="981">
        <v>1</v>
      </c>
      <c r="Y1311" s="981">
        <v>1</v>
      </c>
      <c r="Z1311" s="981">
        <f ca="1">Calc!G15</f>
        <v>1</v>
      </c>
      <c r="AB1311" s="318">
        <v>-1243.755000000001</v>
      </c>
      <c r="AC1311" s="318">
        <v>-1599.8249999999994</v>
      </c>
      <c r="AD1311" s="318">
        <v>-1672.0350000000008</v>
      </c>
      <c r="AE1311" s="318">
        <v>-1950.9149999999984</v>
      </c>
      <c r="AF1311" s="318">
        <v>-1933.4850000000001</v>
      </c>
      <c r="AG1311" s="318">
        <v>-2075.4149999999986</v>
      </c>
      <c r="AH1311" s="318">
        <v>-1831.3950000000009</v>
      </c>
      <c r="AI1311" s="318">
        <v>-1831.3950000000009</v>
      </c>
      <c r="AJ1311" s="318">
        <v>-1589.8649999999977</v>
      </c>
      <c r="AK1311" s="318">
        <v>-1796.5350000000008</v>
      </c>
      <c r="AL1311" s="318">
        <v>-1932.2399999999977</v>
      </c>
      <c r="AM1311" s="318">
        <v>-1868.744999999999</v>
      </c>
      <c r="AN1311" s="318">
        <v>-499.24499999999887</v>
      </c>
      <c r="AO1311" s="318">
        <v>-852.82499999999925</v>
      </c>
      <c r="AP1311" s="318">
        <v>-964.875</v>
      </c>
      <c r="AQ1311" s="318">
        <v>-1007.2050000000004</v>
      </c>
      <c r="AR1311" s="318">
        <v>-1034.5950000000003</v>
      </c>
      <c r="AS1311" s="318">
        <v>-793.06500000000051</v>
      </c>
      <c r="AT1311" s="318">
        <v>-810.49499999999887</v>
      </c>
      <c r="AU1311" s="318">
        <v>-432.01499999999987</v>
      </c>
      <c r="AV1311" s="318">
        <f ca="1">Calc!AH15</f>
        <v>-432.01499999999987</v>
      </c>
      <c r="AX1311" s="88" t="str">
        <f t="shared" ca="1" si="107"/>
        <v>CVS</v>
      </c>
    </row>
    <row r="1312" spans="1:50" ht="23" hidden="1" customHeight="1" x14ac:dyDescent="0.3">
      <c r="A1312" s="88" t="str">
        <f t="shared" ca="1" si="106"/>
        <v>DDD</v>
      </c>
      <c r="F1312" s="981">
        <v>85000</v>
      </c>
      <c r="G1312" s="981">
        <v>85000</v>
      </c>
      <c r="H1312" s="981">
        <v>85000</v>
      </c>
      <c r="I1312" s="981">
        <v>85000</v>
      </c>
      <c r="J1312" s="981">
        <v>85000</v>
      </c>
      <c r="K1312" s="981">
        <v>85000</v>
      </c>
      <c r="L1312" s="981">
        <v>85000</v>
      </c>
      <c r="M1312" s="981">
        <v>85000</v>
      </c>
      <c r="N1312" s="981">
        <v>85000</v>
      </c>
      <c r="O1312" s="981">
        <v>85000</v>
      </c>
      <c r="P1312" s="981">
        <v>85000</v>
      </c>
      <c r="Q1312" s="981">
        <v>85000</v>
      </c>
      <c r="R1312" s="981">
        <v>85000</v>
      </c>
      <c r="S1312" s="981">
        <v>85000</v>
      </c>
      <c r="T1312" s="981">
        <v>85000</v>
      </c>
      <c r="U1312" s="981">
        <v>85000</v>
      </c>
      <c r="V1312" s="981">
        <v>85000</v>
      </c>
      <c r="W1312" s="981">
        <v>85000</v>
      </c>
      <c r="X1312" s="981">
        <v>85000</v>
      </c>
      <c r="Y1312" s="981">
        <v>85000</v>
      </c>
      <c r="Z1312" s="981">
        <f ca="1">Calc!G16</f>
        <v>85000</v>
      </c>
      <c r="AB1312" s="318">
        <v>699.99999999999841</v>
      </c>
      <c r="AC1312" s="318">
        <v>-1000.0000000000009</v>
      </c>
      <c r="AD1312" s="318">
        <v>-1099.9999999999989</v>
      </c>
      <c r="AE1312" s="318">
        <v>400.00000000000034</v>
      </c>
      <c r="AF1312" s="318">
        <v>-6350.0000000000027</v>
      </c>
      <c r="AG1312" s="318">
        <v>-2200.0000000000018</v>
      </c>
      <c r="AH1312" s="318">
        <v>1450.0000000000002</v>
      </c>
      <c r="AI1312" s="318">
        <v>1450.0000000000002</v>
      </c>
      <c r="AJ1312" s="318">
        <v>749.99999999999739</v>
      </c>
      <c r="AK1312" s="318">
        <v>249.99999999999912</v>
      </c>
      <c r="AL1312" s="318">
        <v>749.99999999999739</v>
      </c>
      <c r="AM1312" s="318">
        <v>-449.99999999999932</v>
      </c>
      <c r="AN1312" s="318">
        <v>3300.0000000000009</v>
      </c>
      <c r="AO1312" s="318">
        <v>5551.9999999999973</v>
      </c>
      <c r="AP1312" s="318">
        <v>5499.9999999999982</v>
      </c>
      <c r="AQ1312" s="318">
        <v>8849.9999999999982</v>
      </c>
      <c r="AR1312" s="318">
        <v>9249.9999999999982</v>
      </c>
      <c r="AS1312" s="318">
        <v>9899.9999999999982</v>
      </c>
      <c r="AT1312" s="318">
        <v>10699.999999999998</v>
      </c>
      <c r="AU1312" s="318">
        <v>11050</v>
      </c>
      <c r="AV1312" s="318">
        <f ca="1">Calc!AH16</f>
        <v>11050</v>
      </c>
      <c r="AX1312" s="88" t="str">
        <f t="shared" ca="1" si="107"/>
        <v>DDD</v>
      </c>
    </row>
    <row r="1313" spans="1:50" ht="23" hidden="1" customHeight="1" x14ac:dyDescent="0.3">
      <c r="A1313" s="88" t="str">
        <f t="shared" ca="1" si="106"/>
        <v>DIS</v>
      </c>
      <c r="F1313" s="981">
        <v>1000</v>
      </c>
      <c r="G1313" s="981">
        <v>1000</v>
      </c>
      <c r="H1313" s="981">
        <v>1000</v>
      </c>
      <c r="I1313" s="981">
        <v>1000</v>
      </c>
      <c r="J1313" s="981">
        <v>1000</v>
      </c>
      <c r="K1313" s="981">
        <v>1000</v>
      </c>
      <c r="L1313" s="981">
        <v>1000</v>
      </c>
      <c r="M1313" s="981">
        <v>1000</v>
      </c>
      <c r="N1313" s="981">
        <v>1000</v>
      </c>
      <c r="O1313" s="981">
        <v>1000</v>
      </c>
      <c r="P1313" s="981">
        <v>1000</v>
      </c>
      <c r="Q1313" s="981">
        <v>1000</v>
      </c>
      <c r="R1313" s="981">
        <v>1000</v>
      </c>
      <c r="S1313" s="981">
        <v>1000</v>
      </c>
      <c r="T1313" s="981">
        <v>1000</v>
      </c>
      <c r="U1313" s="981">
        <v>1000</v>
      </c>
      <c r="V1313" s="981">
        <v>1000</v>
      </c>
      <c r="W1313" s="981">
        <v>1000</v>
      </c>
      <c r="X1313" s="981">
        <v>1000</v>
      </c>
      <c r="Y1313" s="981">
        <v>1000</v>
      </c>
      <c r="Z1313" s="981">
        <f ca="1">Calc!G17</f>
        <v>1000</v>
      </c>
      <c r="AB1313" s="318">
        <v>6571.9999999999909</v>
      </c>
      <c r="AC1313" s="318">
        <v>5900</v>
      </c>
      <c r="AD1313" s="318">
        <v>7588</v>
      </c>
      <c r="AE1313" s="318">
        <v>6967.9999999999945</v>
      </c>
      <c r="AF1313" s="318">
        <v>5919.9999999999927</v>
      </c>
      <c r="AG1313" s="318">
        <v>4055.9999999999945</v>
      </c>
      <c r="AH1313" s="318">
        <v>5024.0000000000009</v>
      </c>
      <c r="AI1313" s="318">
        <v>5024.0000000000009</v>
      </c>
      <c r="AJ1313" s="318">
        <v>5088</v>
      </c>
      <c r="AK1313" s="318">
        <v>6167.9999999999945</v>
      </c>
      <c r="AL1313" s="318">
        <v>5655.9999999999945</v>
      </c>
      <c r="AM1313" s="318">
        <v>6171.9999999999909</v>
      </c>
      <c r="AN1313" s="318">
        <v>6031.9999999999936</v>
      </c>
      <c r="AO1313" s="318">
        <v>6431.9999999999936</v>
      </c>
      <c r="AP1313" s="318">
        <v>6431.9999999999936</v>
      </c>
      <c r="AQ1313" s="318">
        <v>7375.9999999999991</v>
      </c>
      <c r="AR1313" s="318">
        <v>6919.9999999999927</v>
      </c>
      <c r="AS1313" s="318">
        <v>10863.999999999998</v>
      </c>
      <c r="AT1313" s="318">
        <v>10479.999999999996</v>
      </c>
      <c r="AU1313" s="318">
        <v>11263.999999999998</v>
      </c>
      <c r="AV1313" s="318">
        <f ca="1">Calc!AH17</f>
        <v>11263.999999999998</v>
      </c>
      <c r="AX1313" s="88" t="str">
        <f t="shared" ca="1" si="107"/>
        <v>DIS</v>
      </c>
    </row>
    <row r="1314" spans="1:50" ht="23" hidden="1" customHeight="1" x14ac:dyDescent="0.3">
      <c r="A1314" s="88" t="str">
        <f t="shared" ca="1" si="106"/>
        <v>DSY</v>
      </c>
      <c r="F1314" s="981">
        <v>4000</v>
      </c>
      <c r="G1314" s="981">
        <v>4000</v>
      </c>
      <c r="H1314" s="981">
        <v>4000</v>
      </c>
      <c r="I1314" s="981">
        <v>4000</v>
      </c>
      <c r="J1314" s="981">
        <v>4000</v>
      </c>
      <c r="K1314" s="981">
        <v>4000</v>
      </c>
      <c r="L1314" s="981">
        <v>4000</v>
      </c>
      <c r="M1314" s="981">
        <v>4000</v>
      </c>
      <c r="N1314" s="981">
        <v>4000</v>
      </c>
      <c r="O1314" s="981">
        <v>4000</v>
      </c>
      <c r="P1314" s="981">
        <v>4000</v>
      </c>
      <c r="Q1314" s="981">
        <v>4000</v>
      </c>
      <c r="R1314" s="981">
        <v>4000</v>
      </c>
      <c r="S1314" s="981">
        <v>4000</v>
      </c>
      <c r="T1314" s="981">
        <v>4000</v>
      </c>
      <c r="U1314" s="981">
        <v>4000</v>
      </c>
      <c r="V1314" s="981">
        <v>4000</v>
      </c>
      <c r="W1314" s="981">
        <v>4000</v>
      </c>
      <c r="X1314" s="981">
        <v>4000</v>
      </c>
      <c r="Y1314" s="981">
        <v>4000</v>
      </c>
      <c r="Z1314" s="981">
        <f ca="1">Calc!G18</f>
        <v>4000</v>
      </c>
      <c r="AB1314" s="318">
        <v>1579.9999999999982</v>
      </c>
      <c r="AC1314" s="318">
        <v>520.00000000000318</v>
      </c>
      <c r="AD1314" s="318">
        <v>-479.99999999999687</v>
      </c>
      <c r="AE1314" s="318">
        <v>-379.99999999999545</v>
      </c>
      <c r="AF1314" s="318">
        <v>-1280.0000000000011</v>
      </c>
      <c r="AG1314" s="318">
        <v>-2259.9999999999982</v>
      </c>
      <c r="AH1314" s="318">
        <v>-1960.0000000000009</v>
      </c>
      <c r="AI1314" s="318">
        <v>-1960.0000000000009</v>
      </c>
      <c r="AJ1314" s="318">
        <v>5859.9999999999991</v>
      </c>
      <c r="AK1314" s="318">
        <v>6899.9999999999982</v>
      </c>
      <c r="AL1314" s="318">
        <v>7460.0000000000009</v>
      </c>
      <c r="AM1314" s="318">
        <v>8340.0000000000036</v>
      </c>
      <c r="AN1314" s="318">
        <v>9180</v>
      </c>
      <c r="AO1314" s="318">
        <v>10200.000000000004</v>
      </c>
      <c r="AP1314" s="318">
        <v>10320</v>
      </c>
      <c r="AQ1314" s="318">
        <v>11759.999999999998</v>
      </c>
      <c r="AR1314" s="318">
        <v>11600.000000000002</v>
      </c>
      <c r="AS1314" s="318">
        <v>10300.000000000004</v>
      </c>
      <c r="AT1314" s="318">
        <v>11939.999999999998</v>
      </c>
      <c r="AU1314" s="318">
        <v>11520.000000000004</v>
      </c>
      <c r="AV1314" s="318">
        <f ca="1">Calc!AH18</f>
        <v>11520.000000000004</v>
      </c>
      <c r="AX1314" s="88" t="str">
        <f t="shared" ca="1" si="107"/>
        <v>DSY</v>
      </c>
    </row>
    <row r="1315" spans="1:50" ht="23" hidden="1" customHeight="1" x14ac:dyDescent="0.3">
      <c r="A1315" s="88" t="str">
        <f t="shared" ca="1" si="106"/>
        <v>DVA</v>
      </c>
      <c r="F1315" s="981">
        <v>1400</v>
      </c>
      <c r="G1315" s="981">
        <v>1400</v>
      </c>
      <c r="H1315" s="981">
        <v>1400</v>
      </c>
      <c r="I1315" s="981">
        <v>1400</v>
      </c>
      <c r="J1315" s="981">
        <v>1400</v>
      </c>
      <c r="K1315" s="981">
        <v>1400</v>
      </c>
      <c r="L1315" s="981">
        <v>1400</v>
      </c>
      <c r="M1315" s="981">
        <v>1400</v>
      </c>
      <c r="N1315" s="981">
        <v>1400</v>
      </c>
      <c r="O1315" s="981">
        <v>1400</v>
      </c>
      <c r="P1315" s="981">
        <v>1400</v>
      </c>
      <c r="Q1315" s="981">
        <v>1400</v>
      </c>
      <c r="R1315" s="981">
        <v>1400</v>
      </c>
      <c r="S1315" s="981">
        <v>3000</v>
      </c>
      <c r="T1315" s="981">
        <v>3000</v>
      </c>
      <c r="U1315" s="981">
        <v>3000</v>
      </c>
      <c r="V1315" s="981">
        <v>1400</v>
      </c>
      <c r="W1315" s="981">
        <v>1400</v>
      </c>
      <c r="X1315" s="981">
        <v>1400</v>
      </c>
      <c r="Y1315" s="981">
        <v>1400</v>
      </c>
      <c r="Z1315" s="981">
        <f ca="1">Calc!G19</f>
        <v>1400</v>
      </c>
      <c r="AB1315" s="318">
        <v>10043.200000000001</v>
      </c>
      <c r="AC1315" s="318">
        <v>9977.9999999999964</v>
      </c>
      <c r="AD1315" s="318">
        <v>10588</v>
      </c>
      <c r="AE1315" s="318">
        <v>10336.000000000002</v>
      </c>
      <c r="AF1315" s="318">
        <v>9467.9999999999945</v>
      </c>
      <c r="AG1315" s="318">
        <v>9324</v>
      </c>
      <c r="AH1315" s="318">
        <v>9055.9999999999945</v>
      </c>
      <c r="AI1315" s="318">
        <v>9055.9999999999945</v>
      </c>
      <c r="AJ1315" s="318">
        <v>9479.9999999999964</v>
      </c>
      <c r="AK1315" s="318">
        <v>9012</v>
      </c>
      <c r="AL1315" s="318">
        <v>8882.0000000000055</v>
      </c>
      <c r="AM1315" s="318">
        <v>8843.9999999999945</v>
      </c>
      <c r="AN1315" s="318">
        <v>13212</v>
      </c>
      <c r="AO1315" s="318">
        <v>12632</v>
      </c>
      <c r="AP1315" s="318">
        <v>12224</v>
      </c>
      <c r="AQ1315" s="318">
        <v>11960.000000000002</v>
      </c>
      <c r="AR1315" s="318">
        <v>183.99999999999181</v>
      </c>
      <c r="AS1315" s="318">
        <v>4431.9999999999936</v>
      </c>
      <c r="AT1315" s="318">
        <v>12431.999999999993</v>
      </c>
      <c r="AU1315" s="318">
        <v>14679.999999999996</v>
      </c>
      <c r="AV1315" s="318">
        <f ca="1">Calc!AH19</f>
        <v>14679.999999999996</v>
      </c>
      <c r="AX1315" s="88" t="str">
        <f t="shared" ca="1" si="107"/>
        <v>DVA</v>
      </c>
    </row>
    <row r="1316" spans="1:50" ht="23" hidden="1" customHeight="1" x14ac:dyDescent="0.3">
      <c r="A1316" s="88" t="str">
        <f t="shared" ca="1" si="106"/>
        <v>DXC</v>
      </c>
      <c r="F1316" s="981">
        <v>6000</v>
      </c>
      <c r="G1316" s="981">
        <v>6000</v>
      </c>
      <c r="H1316" s="981">
        <v>6000</v>
      </c>
      <c r="I1316" s="981">
        <v>6000</v>
      </c>
      <c r="J1316" s="981">
        <v>6000</v>
      </c>
      <c r="K1316" s="981">
        <v>6000</v>
      </c>
      <c r="L1316" s="981">
        <v>6000</v>
      </c>
      <c r="M1316" s="981">
        <v>6000</v>
      </c>
      <c r="N1316" s="981">
        <v>6000</v>
      </c>
      <c r="O1316" s="981">
        <v>6000</v>
      </c>
      <c r="P1316" s="981">
        <v>6000</v>
      </c>
      <c r="Q1316" s="981">
        <v>6000</v>
      </c>
      <c r="R1316" s="981">
        <v>6000</v>
      </c>
      <c r="S1316" s="981">
        <v>6000</v>
      </c>
      <c r="T1316" s="981">
        <v>6000</v>
      </c>
      <c r="U1316" s="981">
        <v>6000</v>
      </c>
      <c r="V1316" s="981">
        <v>6000</v>
      </c>
      <c r="W1316" s="981">
        <v>6000</v>
      </c>
      <c r="X1316" s="981">
        <v>6000</v>
      </c>
      <c r="Y1316" s="981">
        <v>6000</v>
      </c>
      <c r="Z1316" s="981">
        <f ca="1">Calc!G20</f>
        <v>6000</v>
      </c>
      <c r="AB1316" s="318">
        <v>28020.000000000004</v>
      </c>
      <c r="AC1316" s="318">
        <v>28759.999999999996</v>
      </c>
      <c r="AD1316" s="318">
        <v>30000</v>
      </c>
      <c r="AE1316" s="318">
        <v>29880.000000000004</v>
      </c>
      <c r="AF1316" s="318">
        <v>29300.000000000004</v>
      </c>
      <c r="AG1316" s="318">
        <v>28180</v>
      </c>
      <c r="AH1316" s="318">
        <v>28200.000000000004</v>
      </c>
      <c r="AI1316" s="318">
        <v>28200.000000000004</v>
      </c>
      <c r="AJ1316" s="318">
        <v>27800.000000000004</v>
      </c>
      <c r="AK1316" s="318">
        <v>27120.000000000004</v>
      </c>
      <c r="AL1316" s="318">
        <v>27560.000000000004</v>
      </c>
      <c r="AM1316" s="318">
        <v>27840.000000000004</v>
      </c>
      <c r="AN1316" s="318">
        <v>29520.000000000004</v>
      </c>
      <c r="AO1316" s="318">
        <v>27060.000000000004</v>
      </c>
      <c r="AP1316" s="318">
        <v>26040</v>
      </c>
      <c r="AQ1316" s="318">
        <v>26340.000000000004</v>
      </c>
      <c r="AR1316" s="318">
        <v>28580</v>
      </c>
      <c r="AS1316" s="318">
        <v>29640</v>
      </c>
      <c r="AT1316" s="318">
        <v>32400</v>
      </c>
      <c r="AU1316" s="318">
        <v>32840</v>
      </c>
      <c r="AV1316" s="318">
        <f ca="1">Calc!AH20</f>
        <v>32840</v>
      </c>
      <c r="AX1316" s="88" t="str">
        <f t="shared" ca="1" si="107"/>
        <v>DXC</v>
      </c>
    </row>
    <row r="1317" spans="1:50" ht="23" hidden="1" customHeight="1" x14ac:dyDescent="0.3">
      <c r="A1317" s="88" t="str">
        <f t="shared" ca="1" si="106"/>
        <v>EOAN</v>
      </c>
      <c r="F1317" s="981">
        <v>550</v>
      </c>
      <c r="G1317" s="981">
        <v>550</v>
      </c>
      <c r="H1317" s="981">
        <v>550</v>
      </c>
      <c r="I1317" s="981">
        <v>550</v>
      </c>
      <c r="J1317" s="981">
        <v>550</v>
      </c>
      <c r="K1317" s="981">
        <v>550</v>
      </c>
      <c r="L1317" s="981">
        <v>550</v>
      </c>
      <c r="M1317" s="981">
        <v>550</v>
      </c>
      <c r="N1317" s="981">
        <v>550</v>
      </c>
      <c r="O1317" s="981">
        <v>550</v>
      </c>
      <c r="P1317" s="981">
        <v>550</v>
      </c>
      <c r="Q1317" s="981">
        <v>550</v>
      </c>
      <c r="R1317" s="981">
        <v>550</v>
      </c>
      <c r="S1317" s="981">
        <v>550</v>
      </c>
      <c r="T1317" s="981">
        <v>15000</v>
      </c>
      <c r="U1317" s="981">
        <v>15000</v>
      </c>
      <c r="V1317" s="981">
        <v>15000</v>
      </c>
      <c r="W1317" s="981">
        <v>15000</v>
      </c>
      <c r="X1317" s="981">
        <v>15000</v>
      </c>
      <c r="Y1317" s="981">
        <v>15000</v>
      </c>
      <c r="Z1317" s="981">
        <f ca="1">Calc!G21</f>
        <v>15000</v>
      </c>
      <c r="AB1317" s="318">
        <v>-800</v>
      </c>
      <c r="AC1317" s="318">
        <v>-255.99999999999454</v>
      </c>
      <c r="AD1317" s="318">
        <v>-415.99999999999682</v>
      </c>
      <c r="AE1317" s="318">
        <v>-479.99999999999545</v>
      </c>
      <c r="AF1317" s="318">
        <v>-960.00000000000227</v>
      </c>
      <c r="AG1317" s="318">
        <v>-783.99999999999181</v>
      </c>
      <c r="AH1317" s="318">
        <v>63.999999999998636</v>
      </c>
      <c r="AI1317" s="318">
        <v>63.999999999998636</v>
      </c>
      <c r="AJ1317" s="318">
        <v>448.00000000000182</v>
      </c>
      <c r="AK1317" s="318">
        <v>192.00000000000728</v>
      </c>
      <c r="AL1317" s="318">
        <v>80.000000000006821</v>
      </c>
      <c r="AM1317" s="318">
        <v>-383.99999999999181</v>
      </c>
      <c r="AN1317" s="318">
        <v>-431.99999999999363</v>
      </c>
      <c r="AO1317" s="318">
        <v>1184.0000000000032</v>
      </c>
      <c r="AP1317" s="318">
        <v>224.00000000000091</v>
      </c>
      <c r="AQ1317" s="318">
        <v>128.00000000000864</v>
      </c>
      <c r="AR1317" s="318">
        <v>48.000000000001819</v>
      </c>
      <c r="AS1317" s="318">
        <v>2800.0000000000055</v>
      </c>
      <c r="AT1317" s="318">
        <v>2848.0000000000018</v>
      </c>
      <c r="AU1317" s="318">
        <v>2624.0000000000009</v>
      </c>
      <c r="AV1317" s="318">
        <f ca="1">Calc!AH21</f>
        <v>2624.0000000000009</v>
      </c>
      <c r="AX1317" s="88" t="str">
        <f t="shared" ca="1" si="107"/>
        <v>EOAN</v>
      </c>
    </row>
    <row r="1318" spans="1:50" ht="23" hidden="1" customHeight="1" x14ac:dyDescent="0.3">
      <c r="A1318" s="88" t="str">
        <f t="shared" ca="1" si="106"/>
        <v>EPIX</v>
      </c>
      <c r="F1318" s="981">
        <v>30000</v>
      </c>
      <c r="G1318" s="981">
        <v>30000</v>
      </c>
      <c r="H1318" s="981">
        <v>30000</v>
      </c>
      <c r="I1318" s="981">
        <v>30000</v>
      </c>
      <c r="J1318" s="981">
        <v>30000</v>
      </c>
      <c r="K1318" s="981">
        <v>30000</v>
      </c>
      <c r="L1318" s="981">
        <v>30000</v>
      </c>
      <c r="M1318" s="981">
        <v>30000</v>
      </c>
      <c r="N1318" s="981">
        <v>30000</v>
      </c>
      <c r="O1318" s="981">
        <v>30000</v>
      </c>
      <c r="P1318" s="981">
        <v>30000</v>
      </c>
      <c r="Q1318" s="981">
        <v>30000</v>
      </c>
      <c r="R1318" s="981">
        <v>30000</v>
      </c>
      <c r="S1318" s="981">
        <v>30000</v>
      </c>
      <c r="T1318" s="981">
        <v>30000</v>
      </c>
      <c r="U1318" s="981">
        <v>30000</v>
      </c>
      <c r="V1318" s="981">
        <v>30000</v>
      </c>
      <c r="W1318" s="981">
        <v>30000</v>
      </c>
      <c r="X1318" s="981">
        <v>30000</v>
      </c>
      <c r="Y1318" s="981">
        <v>30000</v>
      </c>
      <c r="Z1318" s="981">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1">
        <v>10</v>
      </c>
      <c r="G1319" s="981">
        <v>10</v>
      </c>
      <c r="H1319" s="981">
        <v>10</v>
      </c>
      <c r="I1319" s="981">
        <v>10</v>
      </c>
      <c r="J1319" s="981">
        <v>10</v>
      </c>
      <c r="K1319" s="981">
        <v>10</v>
      </c>
      <c r="L1319" s="981">
        <v>10</v>
      </c>
      <c r="M1319" s="981">
        <v>10</v>
      </c>
      <c r="N1319" s="981">
        <v>10</v>
      </c>
      <c r="O1319" s="981">
        <v>10</v>
      </c>
      <c r="P1319" s="981">
        <v>10</v>
      </c>
      <c r="Q1319" s="981">
        <v>10</v>
      </c>
      <c r="R1319" s="981">
        <v>10</v>
      </c>
      <c r="S1319" s="981">
        <v>10</v>
      </c>
      <c r="T1319" s="981">
        <v>10</v>
      </c>
      <c r="U1319" s="981">
        <v>10</v>
      </c>
      <c r="V1319" s="981">
        <v>10</v>
      </c>
      <c r="W1319" s="981">
        <v>10</v>
      </c>
      <c r="X1319" s="981">
        <v>10</v>
      </c>
      <c r="Y1319" s="981">
        <v>10</v>
      </c>
      <c r="Z1319" s="981">
        <f ca="1">Calc!G23</f>
        <v>10</v>
      </c>
      <c r="AB1319" s="318">
        <v>-9421.8299999999963</v>
      </c>
      <c r="AC1319" s="318">
        <v>-10184.030999999995</v>
      </c>
      <c r="AD1319" s="318">
        <v>-9609.93</v>
      </c>
      <c r="AE1319" s="318">
        <v>-10639.53</v>
      </c>
      <c r="AF1319" s="318">
        <v>-10283.130000000001</v>
      </c>
      <c r="AG1319" s="318">
        <v>-18787.229999999996</v>
      </c>
      <c r="AH1319" s="318">
        <v>-19490.12999999999</v>
      </c>
      <c r="AI1319" s="318">
        <v>-19490.12999999999</v>
      </c>
      <c r="AJ1319" s="318">
        <v>-19009.979999999992</v>
      </c>
      <c r="AK1319" s="318">
        <v>-21816.629999999997</v>
      </c>
      <c r="AL1319" s="318">
        <v>-21504.780000000002</v>
      </c>
      <c r="AM1319" s="318">
        <v>-22014.63</v>
      </c>
      <c r="AN1319" s="318">
        <v>-20816.729999999992</v>
      </c>
      <c r="AO1319" s="318">
        <v>-19133.729999999992</v>
      </c>
      <c r="AP1319" s="318">
        <v>-20935.53</v>
      </c>
      <c r="AQ1319" s="318">
        <v>-21074.129999999997</v>
      </c>
      <c r="AR1319" s="318">
        <v>-22796.729999999992</v>
      </c>
      <c r="AS1319" s="318">
        <v>-22658.129999999994</v>
      </c>
      <c r="AT1319" s="318">
        <v>-20103.929999999997</v>
      </c>
      <c r="AU1319" s="318">
        <v>-21267.179999999993</v>
      </c>
      <c r="AV1319" s="318">
        <f ca="1">Calc!AH23</f>
        <v>-21267.179999999993</v>
      </c>
      <c r="AX1319" s="88" t="str">
        <f t="shared" ca="1" si="107"/>
        <v>GM</v>
      </c>
    </row>
    <row r="1320" spans="1:50" ht="23" hidden="1" customHeight="1" x14ac:dyDescent="0.3">
      <c r="A1320" s="88" t="str">
        <f t="shared" ca="1" si="106"/>
        <v>HPE</v>
      </c>
      <c r="F1320" s="981">
        <v>9200</v>
      </c>
      <c r="G1320" s="981">
        <v>9200</v>
      </c>
      <c r="H1320" s="981">
        <v>9200</v>
      </c>
      <c r="I1320" s="981">
        <v>9200</v>
      </c>
      <c r="J1320" s="981">
        <v>11000</v>
      </c>
      <c r="K1320" s="981">
        <v>11000</v>
      </c>
      <c r="L1320" s="981">
        <v>11000</v>
      </c>
      <c r="M1320" s="981">
        <v>11000</v>
      </c>
      <c r="N1320" s="981">
        <v>11000</v>
      </c>
      <c r="O1320" s="981">
        <v>11000</v>
      </c>
      <c r="P1320" s="981">
        <v>11000</v>
      </c>
      <c r="Q1320" s="981">
        <v>9200</v>
      </c>
      <c r="R1320" s="981">
        <v>9200</v>
      </c>
      <c r="S1320" s="981">
        <v>9200</v>
      </c>
      <c r="T1320" s="981">
        <v>9200</v>
      </c>
      <c r="U1320" s="981">
        <v>9200</v>
      </c>
      <c r="V1320" s="981">
        <v>9200</v>
      </c>
      <c r="W1320" s="981">
        <v>9200</v>
      </c>
      <c r="X1320" s="981">
        <v>9200</v>
      </c>
      <c r="Y1320" s="981">
        <v>9200</v>
      </c>
      <c r="Z1320" s="981">
        <f ca="1">Calc!G24</f>
        <v>9200</v>
      </c>
      <c r="AB1320" s="318">
        <v>1296.0000000000023</v>
      </c>
      <c r="AC1320" s="318">
        <v>786.00000000000136</v>
      </c>
      <c r="AD1320" s="318">
        <v>4260.0000000000009</v>
      </c>
      <c r="AE1320" s="318">
        <v>3731.9999999999991</v>
      </c>
      <c r="AF1320" s="318">
        <v>3852.0000000000009</v>
      </c>
      <c r="AG1320" s="318">
        <v>3360.0000000000009</v>
      </c>
      <c r="AH1320" s="318">
        <v>3558</v>
      </c>
      <c r="AI1320" s="318">
        <v>3576.0000000000005</v>
      </c>
      <c r="AJ1320" s="318">
        <v>3444.0000000000014</v>
      </c>
      <c r="AK1320" s="318">
        <v>3084.0000000000005</v>
      </c>
      <c r="AL1320" s="318">
        <v>2279.9999999999982</v>
      </c>
      <c r="AM1320" s="318">
        <v>-269.99999999999744</v>
      </c>
      <c r="AN1320" s="318">
        <v>-503.99999999999568</v>
      </c>
      <c r="AO1320" s="318">
        <v>1053.0000000000016</v>
      </c>
      <c r="AP1320" s="318">
        <v>756.00000000000307</v>
      </c>
      <c r="AQ1320" s="318">
        <v>1215.0000000000014</v>
      </c>
      <c r="AR1320" s="318">
        <v>1296.0000000000043</v>
      </c>
      <c r="AS1320" s="318">
        <v>2322.000000000005</v>
      </c>
      <c r="AT1320" s="318">
        <v>5778.0000000000018</v>
      </c>
      <c r="AU1320" s="318">
        <v>6093.0000000000027</v>
      </c>
      <c r="AV1320" s="318">
        <f ca="1">Calc!AH24</f>
        <v>6093.0000000000027</v>
      </c>
      <c r="AX1320" s="88" t="str">
        <f t="shared" ca="1" si="107"/>
        <v>HPE</v>
      </c>
    </row>
    <row r="1321" spans="1:50" ht="23" hidden="1" customHeight="1" x14ac:dyDescent="0.3">
      <c r="A1321" s="88" t="str">
        <f t="shared" ca="1" si="106"/>
        <v>HPQ</v>
      </c>
      <c r="F1321" s="981">
        <v>5000</v>
      </c>
      <c r="G1321" s="981">
        <v>4000</v>
      </c>
      <c r="H1321" s="981">
        <v>5000</v>
      </c>
      <c r="I1321" s="981">
        <v>5000</v>
      </c>
      <c r="J1321" s="981">
        <v>5000</v>
      </c>
      <c r="K1321" s="981">
        <v>5000</v>
      </c>
      <c r="L1321" s="981">
        <v>5000</v>
      </c>
      <c r="M1321" s="981">
        <v>5000</v>
      </c>
      <c r="N1321" s="981">
        <v>5000</v>
      </c>
      <c r="O1321" s="981">
        <v>5000</v>
      </c>
      <c r="P1321" s="981">
        <v>5000</v>
      </c>
      <c r="Q1321" s="981">
        <v>5000</v>
      </c>
      <c r="R1321" s="981">
        <v>5000</v>
      </c>
      <c r="S1321" s="981">
        <v>5000</v>
      </c>
      <c r="T1321" s="981">
        <v>5000</v>
      </c>
      <c r="U1321" s="981">
        <v>5000</v>
      </c>
      <c r="V1321" s="981">
        <v>5000</v>
      </c>
      <c r="W1321" s="981">
        <v>5000</v>
      </c>
      <c r="X1321" s="981">
        <v>5000</v>
      </c>
      <c r="Y1321" s="981">
        <v>5000</v>
      </c>
      <c r="Z1321" s="981">
        <f ca="1">Calc!G25</f>
        <v>5000</v>
      </c>
      <c r="AB1321" s="318">
        <v>-5820.0000000000073</v>
      </c>
      <c r="AC1321" s="318">
        <v>260.00000000000159</v>
      </c>
      <c r="AD1321" s="318">
        <v>1725.0000000000014</v>
      </c>
      <c r="AE1321" s="318">
        <v>1570.0000000000002</v>
      </c>
      <c r="AF1321" s="318">
        <v>1285.0000000000002</v>
      </c>
      <c r="AG1321" s="318">
        <v>780.00000000000114</v>
      </c>
      <c r="AH1321" s="318">
        <v>1280.0000000000011</v>
      </c>
      <c r="AI1321" s="318">
        <v>1280.0000000000011</v>
      </c>
      <c r="AJ1321" s="318">
        <v>1115.000000000002</v>
      </c>
      <c r="AK1321" s="318">
        <v>1280.0000000000011</v>
      </c>
      <c r="AL1321" s="318">
        <v>1025.000000000002</v>
      </c>
      <c r="AM1321" s="318">
        <v>875</v>
      </c>
      <c r="AN1321" s="318">
        <v>1429.9999999999998</v>
      </c>
      <c r="AO1321" s="318">
        <v>2955.0000000000018</v>
      </c>
      <c r="AP1321" s="318">
        <v>2300.0000000000009</v>
      </c>
      <c r="AQ1321" s="318">
        <v>2760.0000000000014</v>
      </c>
      <c r="AR1321" s="318">
        <v>2725.0000000000014</v>
      </c>
      <c r="AS1321" s="318">
        <v>4427</v>
      </c>
      <c r="AT1321" s="318">
        <v>6230</v>
      </c>
      <c r="AU1321" s="318">
        <v>6400.0000000000018</v>
      </c>
      <c r="AV1321" s="318">
        <f ca="1">Calc!AH25</f>
        <v>6400.0000000000018</v>
      </c>
      <c r="AX1321" s="88" t="str">
        <f t="shared" ca="1" si="107"/>
        <v>HPQ</v>
      </c>
    </row>
    <row r="1322" spans="1:50" ht="23" hidden="1" customHeight="1" x14ac:dyDescent="0.3">
      <c r="A1322" s="88" t="str">
        <f t="shared" ca="1" si="106"/>
        <v>IAG</v>
      </c>
      <c r="F1322" s="981">
        <v>240000</v>
      </c>
      <c r="G1322" s="981">
        <v>240000</v>
      </c>
      <c r="H1322" s="981">
        <v>240000</v>
      </c>
      <c r="I1322" s="981">
        <v>240000</v>
      </c>
      <c r="J1322" s="981">
        <v>240000</v>
      </c>
      <c r="K1322" s="981">
        <v>240000</v>
      </c>
      <c r="L1322" s="981">
        <v>230000</v>
      </c>
      <c r="M1322" s="981">
        <v>230000</v>
      </c>
      <c r="N1322" s="981">
        <v>220000</v>
      </c>
      <c r="O1322" s="981">
        <v>200000</v>
      </c>
      <c r="P1322" s="981">
        <v>199000</v>
      </c>
      <c r="Q1322" s="981">
        <v>190000</v>
      </c>
      <c r="R1322" s="981">
        <v>185000</v>
      </c>
      <c r="S1322" s="981">
        <v>150000</v>
      </c>
      <c r="T1322" s="981">
        <v>130000</v>
      </c>
      <c r="U1322" s="981">
        <v>130000</v>
      </c>
      <c r="V1322" s="981">
        <v>110000</v>
      </c>
      <c r="W1322" s="981">
        <v>100000</v>
      </c>
      <c r="X1322" s="981">
        <v>100000</v>
      </c>
      <c r="Y1322" s="981">
        <v>100000</v>
      </c>
      <c r="Z1322" s="981">
        <f ca="1">Calc!G26</f>
        <v>100000</v>
      </c>
      <c r="AB1322" s="318">
        <v>669.99999999999886</v>
      </c>
      <c r="AC1322" s="318">
        <v>719.99999999999886</v>
      </c>
      <c r="AD1322" s="318">
        <v>839.99999999999773</v>
      </c>
      <c r="AE1322" s="318">
        <v>2350</v>
      </c>
      <c r="AF1322" s="318">
        <v>1869.9999999999989</v>
      </c>
      <c r="AG1322" s="318">
        <v>2089.9999999999977</v>
      </c>
      <c r="AH1322" s="318">
        <v>19.999999999998863</v>
      </c>
      <c r="AI1322" s="318">
        <v>19.999999999998863</v>
      </c>
      <c r="AJ1322" s="318">
        <v>150.99999999999909</v>
      </c>
      <c r="AK1322" s="318">
        <v>-760.00000000000239</v>
      </c>
      <c r="AL1322" s="318">
        <v>7.6999999999998181</v>
      </c>
      <c r="AM1322" s="318">
        <v>-223.00000000000182</v>
      </c>
      <c r="AN1322" s="318">
        <v>-197.49999999999943</v>
      </c>
      <c r="AO1322" s="318">
        <v>1149.9999999999914</v>
      </c>
      <c r="AP1322" s="318">
        <v>-19.999999999993179</v>
      </c>
      <c r="AQ1322" s="318">
        <v>2200</v>
      </c>
      <c r="AR1322" s="318">
        <v>2762.0000000000005</v>
      </c>
      <c r="AS1322" s="318">
        <v>1169.9999999999989</v>
      </c>
      <c r="AT1322" s="318">
        <v>2881.0999999999976</v>
      </c>
      <c r="AU1322" s="318">
        <v>2159.9999999999964</v>
      </c>
      <c r="AV1322" s="318">
        <f ca="1">Calc!AH26</f>
        <v>2159.9999999999964</v>
      </c>
      <c r="AX1322" s="88" t="str">
        <f t="shared" ca="1" si="107"/>
        <v>IAG</v>
      </c>
    </row>
    <row r="1323" spans="1:50" ht="23" hidden="1" customHeight="1" x14ac:dyDescent="0.3">
      <c r="A1323" s="88" t="str">
        <f t="shared" ca="1" si="106"/>
        <v>KR</v>
      </c>
      <c r="F1323" s="981">
        <v>2660</v>
      </c>
      <c r="G1323" s="981">
        <v>2660</v>
      </c>
      <c r="H1323" s="981">
        <v>2660</v>
      </c>
      <c r="I1323" s="981">
        <v>2660</v>
      </c>
      <c r="J1323" s="981">
        <v>4000</v>
      </c>
      <c r="K1323" s="981">
        <v>4000</v>
      </c>
      <c r="L1323" s="981">
        <v>4000</v>
      </c>
      <c r="M1323" s="981">
        <v>4000</v>
      </c>
      <c r="N1323" s="981">
        <v>4000</v>
      </c>
      <c r="O1323" s="981">
        <v>5000</v>
      </c>
      <c r="P1323" s="981">
        <v>5000</v>
      </c>
      <c r="Q1323" s="981">
        <v>5000</v>
      </c>
      <c r="R1323" s="981">
        <v>5000</v>
      </c>
      <c r="S1323" s="981">
        <v>7000</v>
      </c>
      <c r="T1323" s="981">
        <v>7000</v>
      </c>
      <c r="U1323" s="981">
        <v>7000</v>
      </c>
      <c r="V1323" s="981">
        <v>6000</v>
      </c>
      <c r="W1323" s="981">
        <v>6000</v>
      </c>
      <c r="X1323" s="981">
        <v>6000</v>
      </c>
      <c r="Y1323" s="981">
        <v>6000</v>
      </c>
      <c r="Z1323" s="981">
        <f ca="1">Calc!G27</f>
        <v>6000</v>
      </c>
      <c r="AB1323" s="318">
        <v>2689.9999999999977</v>
      </c>
      <c r="AC1323" s="318">
        <v>2714.9999999999891</v>
      </c>
      <c r="AD1323" s="318">
        <v>2929.9999999999927</v>
      </c>
      <c r="AE1323" s="318">
        <v>2829.9999999999982</v>
      </c>
      <c r="AF1323" s="318">
        <v>2659.9999999999964</v>
      </c>
      <c r="AG1323" s="318">
        <v>4209.9999999999936</v>
      </c>
      <c r="AH1323" s="318">
        <v>3209.9999999999936</v>
      </c>
      <c r="AI1323" s="318">
        <v>3209.9999999999936</v>
      </c>
      <c r="AJ1323" s="318">
        <v>3159.9999999999964</v>
      </c>
      <c r="AK1323" s="318">
        <v>4719.9999999999991</v>
      </c>
      <c r="AL1323" s="318">
        <v>3794.9999999999873</v>
      </c>
      <c r="AM1323" s="318">
        <v>4129.9999999999955</v>
      </c>
      <c r="AN1323" s="318">
        <v>6384.9999999999909</v>
      </c>
      <c r="AO1323" s="318">
        <v>8119.99999999999</v>
      </c>
      <c r="AP1323" s="318">
        <v>8669.9999999999945</v>
      </c>
      <c r="AQ1323" s="318">
        <v>8419.9999999999945</v>
      </c>
      <c r="AR1323" s="318">
        <v>-4.9999999999954525</v>
      </c>
      <c r="AS1323" s="318">
        <v>-1814.9999999999977</v>
      </c>
      <c r="AT1323" s="318">
        <v>-2504.9999999999955</v>
      </c>
      <c r="AU1323" s="318">
        <v>-2649.9999999999914</v>
      </c>
      <c r="AV1323" s="318">
        <f ca="1">Calc!AH27</f>
        <v>-2649.9999999999914</v>
      </c>
      <c r="AX1323" s="88" t="str">
        <f t="shared" ca="1" si="107"/>
        <v>KR</v>
      </c>
    </row>
    <row r="1324" spans="1:50" ht="23" hidden="1" customHeight="1" x14ac:dyDescent="0.3">
      <c r="A1324" s="88" t="str">
        <f t="shared" ca="1" si="106"/>
        <v>LNSR</v>
      </c>
      <c r="F1324" s="981">
        <v>0</v>
      </c>
      <c r="G1324" s="981">
        <v>0</v>
      </c>
      <c r="H1324" s="981">
        <v>0</v>
      </c>
      <c r="I1324" s="981">
        <v>0</v>
      </c>
      <c r="J1324" s="981">
        <v>0</v>
      </c>
      <c r="K1324" s="981">
        <v>0</v>
      </c>
      <c r="L1324" s="981">
        <v>0</v>
      </c>
      <c r="M1324" s="981">
        <v>0</v>
      </c>
      <c r="N1324" s="981">
        <v>0</v>
      </c>
      <c r="O1324" s="981">
        <v>0</v>
      </c>
      <c r="P1324" s="981">
        <v>0</v>
      </c>
      <c r="Q1324" s="981">
        <v>0</v>
      </c>
      <c r="R1324" s="981">
        <v>0</v>
      </c>
      <c r="S1324" s="981">
        <v>0</v>
      </c>
      <c r="T1324" s="981">
        <v>0</v>
      </c>
      <c r="U1324" s="981">
        <v>0</v>
      </c>
      <c r="V1324" s="981">
        <v>0</v>
      </c>
      <c r="W1324" s="981">
        <v>0</v>
      </c>
      <c r="X1324" s="981">
        <v>0</v>
      </c>
      <c r="Y1324" s="981">
        <v>0</v>
      </c>
      <c r="Z1324" s="981">
        <f ca="1">Calc!G28</f>
        <v>0</v>
      </c>
      <c r="AB1324" s="318">
        <v>-10559.999999999998</v>
      </c>
      <c r="AC1324" s="318">
        <v>-9719.9999999999945</v>
      </c>
      <c r="AD1324" s="318">
        <v>-10079.999999999998</v>
      </c>
      <c r="AE1324" s="318">
        <v>-10169.999999999996</v>
      </c>
      <c r="AF1324" s="318">
        <v>-11459.999999999996</v>
      </c>
      <c r="AG1324" s="318">
        <v>-11399.999999999996</v>
      </c>
      <c r="AH1324" s="318">
        <v>-11280</v>
      </c>
      <c r="AI1324" s="318">
        <v>-11280</v>
      </c>
      <c r="AJ1324" s="318">
        <v>-10559.999999999998</v>
      </c>
      <c r="AK1324" s="318">
        <v>-10530</v>
      </c>
      <c r="AL1324" s="318">
        <v>-10199.999999999996</v>
      </c>
      <c r="AM1324" s="318">
        <v>-10229.999999999995</v>
      </c>
      <c r="AN1324" s="318">
        <v>-10770</v>
      </c>
      <c r="AO1324" s="318">
        <v>-11129.999999999996</v>
      </c>
      <c r="AP1324" s="318">
        <v>-12179.999999999996</v>
      </c>
      <c r="AQ1324" s="318">
        <v>-9510</v>
      </c>
      <c r="AR1324" s="318">
        <v>-6510</v>
      </c>
      <c r="AS1324" s="318">
        <v>-4949.9999999999955</v>
      </c>
      <c r="AT1324" s="318">
        <v>-4529.9999999999991</v>
      </c>
      <c r="AU1324" s="318">
        <v>-4889.9999999999973</v>
      </c>
      <c r="AV1324" s="318">
        <f ca="1">Calc!AH28</f>
        <v>-4889.9999999999973</v>
      </c>
      <c r="AX1324" s="88" t="str">
        <f t="shared" ca="1" si="107"/>
        <v>LNSR</v>
      </c>
    </row>
    <row r="1325" spans="1:50" ht="23" hidden="1" customHeight="1" x14ac:dyDescent="0.3">
      <c r="A1325" s="88" t="str">
        <f t="shared" ca="1" si="106"/>
        <v>LUMN</v>
      </c>
      <c r="F1325" s="981">
        <v>10</v>
      </c>
      <c r="G1325" s="981">
        <v>10</v>
      </c>
      <c r="H1325" s="981">
        <v>10</v>
      </c>
      <c r="I1325" s="981">
        <v>10</v>
      </c>
      <c r="J1325" s="981">
        <v>10</v>
      </c>
      <c r="K1325" s="981">
        <v>10</v>
      </c>
      <c r="L1325" s="981">
        <v>10</v>
      </c>
      <c r="M1325" s="981">
        <v>10</v>
      </c>
      <c r="N1325" s="981">
        <v>10</v>
      </c>
      <c r="O1325" s="981">
        <v>10</v>
      </c>
      <c r="P1325" s="981">
        <v>10</v>
      </c>
      <c r="Q1325" s="981">
        <v>10</v>
      </c>
      <c r="R1325" s="981">
        <v>10</v>
      </c>
      <c r="S1325" s="981">
        <v>10</v>
      </c>
      <c r="T1325" s="981">
        <v>10</v>
      </c>
      <c r="U1325" s="981">
        <v>10</v>
      </c>
      <c r="V1325" s="981">
        <v>10</v>
      </c>
      <c r="W1325" s="981">
        <v>10</v>
      </c>
      <c r="X1325" s="981">
        <v>10</v>
      </c>
      <c r="Y1325" s="981">
        <v>10</v>
      </c>
      <c r="Z1325" s="981">
        <f ca="1">Calc!G29</f>
        <v>10</v>
      </c>
      <c r="AB1325" s="318">
        <v>-69.300000000000281</v>
      </c>
      <c r="AC1325" s="318">
        <v>-371.25</v>
      </c>
      <c r="AD1325" s="318">
        <v>-222.75000000000054</v>
      </c>
      <c r="AE1325" s="318">
        <v>-99.000000000000526</v>
      </c>
      <c r="AF1325" s="318">
        <v>-351.45000000000044</v>
      </c>
      <c r="AG1325" s="318">
        <v>-371.25</v>
      </c>
      <c r="AH1325" s="318">
        <v>-247.5</v>
      </c>
      <c r="AI1325" s="318">
        <v>-247.5</v>
      </c>
      <c r="AJ1325" s="318">
        <v>-975.15000000000032</v>
      </c>
      <c r="AK1325" s="318">
        <v>-1272.150000000001</v>
      </c>
      <c r="AL1325" s="318">
        <v>-2554.2000000000007</v>
      </c>
      <c r="AM1325" s="318">
        <v>-3232.35</v>
      </c>
      <c r="AN1325" s="318">
        <v>-3504.6</v>
      </c>
      <c r="AO1325" s="318">
        <v>-3811.5000000000005</v>
      </c>
      <c r="AP1325" s="318">
        <v>-4014.4500000000007</v>
      </c>
      <c r="AQ1325" s="318">
        <v>-3979.8000000000006</v>
      </c>
      <c r="AR1325" s="318">
        <v>-3648.1499999999996</v>
      </c>
      <c r="AS1325" s="318">
        <v>-1183.0500000000002</v>
      </c>
      <c r="AT1325" s="318">
        <v>-811.8000000000003</v>
      </c>
      <c r="AU1325" s="318">
        <v>-707.84999999999991</v>
      </c>
      <c r="AV1325" s="318">
        <f ca="1">Calc!AH29</f>
        <v>-707.84999999999991</v>
      </c>
      <c r="AX1325" s="88" t="str">
        <f t="shared" ca="1" si="107"/>
        <v>LUMN</v>
      </c>
    </row>
    <row r="1326" spans="1:50" ht="23" hidden="1" customHeight="1" x14ac:dyDescent="0.3">
      <c r="A1326" s="88" t="str">
        <f t="shared" ca="1" si="106"/>
        <v>MRNA</v>
      </c>
      <c r="F1326" s="981">
        <v>12000</v>
      </c>
      <c r="G1326" s="981">
        <v>12000</v>
      </c>
      <c r="H1326" s="981">
        <v>12000</v>
      </c>
      <c r="I1326" s="981">
        <v>12000</v>
      </c>
      <c r="J1326" s="981">
        <v>12000</v>
      </c>
      <c r="K1326" s="981">
        <v>12000</v>
      </c>
      <c r="L1326" s="981">
        <v>12000</v>
      </c>
      <c r="M1326" s="981">
        <v>12000</v>
      </c>
      <c r="N1326" s="981">
        <v>12000</v>
      </c>
      <c r="O1326" s="981">
        <v>12000</v>
      </c>
      <c r="P1326" s="981">
        <v>12000</v>
      </c>
      <c r="Q1326" s="981">
        <v>12000</v>
      </c>
      <c r="R1326" s="981">
        <v>12000</v>
      </c>
      <c r="S1326" s="981">
        <v>12000</v>
      </c>
      <c r="T1326" s="981">
        <v>12000</v>
      </c>
      <c r="U1326" s="981">
        <v>12000</v>
      </c>
      <c r="V1326" s="981">
        <v>12000</v>
      </c>
      <c r="W1326" s="981">
        <v>12000</v>
      </c>
      <c r="X1326" s="981">
        <v>12000</v>
      </c>
      <c r="Y1326" s="981">
        <v>12000</v>
      </c>
      <c r="Z1326" s="981">
        <f ca="1">Calc!G30</f>
        <v>12000</v>
      </c>
      <c r="AB1326" s="318">
        <v>92984.999999999985</v>
      </c>
      <c r="AC1326" s="318">
        <v>90727.5</v>
      </c>
      <c r="AD1326" s="318">
        <v>91649.999999999985</v>
      </c>
      <c r="AE1326" s="318">
        <v>93344.999999999985</v>
      </c>
      <c r="AF1326" s="318">
        <v>91500</v>
      </c>
      <c r="AG1326" s="318">
        <v>91125</v>
      </c>
      <c r="AH1326" s="318">
        <v>92084.999999999985</v>
      </c>
      <c r="AI1326" s="318">
        <v>92084.999999999985</v>
      </c>
      <c r="AJ1326" s="318">
        <v>92984.999999999985</v>
      </c>
      <c r="AK1326" s="318">
        <v>92250</v>
      </c>
      <c r="AL1326" s="318">
        <v>92370</v>
      </c>
      <c r="AM1326" s="318">
        <v>94334.999999999985</v>
      </c>
      <c r="AN1326" s="318">
        <v>90149.999999999985</v>
      </c>
      <c r="AO1326" s="318">
        <v>96697.5</v>
      </c>
      <c r="AP1326" s="318">
        <v>97019.999999999985</v>
      </c>
      <c r="AQ1326" s="318">
        <v>96202.499999999985</v>
      </c>
      <c r="AR1326" s="318">
        <v>95572.5</v>
      </c>
      <c r="AS1326" s="318">
        <v>95205</v>
      </c>
      <c r="AT1326" s="318">
        <v>94979.999999999985</v>
      </c>
      <c r="AU1326" s="318">
        <v>95939.999999999985</v>
      </c>
      <c r="AV1326" s="318">
        <f ca="1">Calc!AH30</f>
        <v>95939.999999999985</v>
      </c>
      <c r="AX1326" s="88" t="str">
        <f t="shared" ca="1" si="107"/>
        <v>MRNA</v>
      </c>
    </row>
    <row r="1327" spans="1:50" ht="23" hidden="1" customHeight="1" x14ac:dyDescent="0.3">
      <c r="A1327" s="88" t="str">
        <f t="shared" ca="1" si="106"/>
        <v>MSFT</v>
      </c>
      <c r="F1327" s="981">
        <v>9800</v>
      </c>
      <c r="G1327" s="981">
        <v>9800</v>
      </c>
      <c r="H1327" s="981">
        <v>9800</v>
      </c>
      <c r="I1327" s="981">
        <v>9800</v>
      </c>
      <c r="J1327" s="981">
        <v>9800</v>
      </c>
      <c r="K1327" s="981">
        <v>9800</v>
      </c>
      <c r="L1327" s="981">
        <v>9800</v>
      </c>
      <c r="M1327" s="981">
        <v>9800</v>
      </c>
      <c r="N1327" s="981">
        <v>9800</v>
      </c>
      <c r="O1327" s="981">
        <v>9800</v>
      </c>
      <c r="P1327" s="981">
        <v>9800</v>
      </c>
      <c r="Q1327" s="981">
        <v>9800</v>
      </c>
      <c r="R1327" s="981">
        <v>9800</v>
      </c>
      <c r="S1327" s="981">
        <v>9800</v>
      </c>
      <c r="T1327" s="981">
        <v>9800</v>
      </c>
      <c r="U1327" s="981">
        <v>9800</v>
      </c>
      <c r="V1327" s="981">
        <v>9800</v>
      </c>
      <c r="W1327" s="981">
        <v>9800</v>
      </c>
      <c r="X1327" s="981">
        <v>9800</v>
      </c>
      <c r="Y1327" s="981">
        <v>9800</v>
      </c>
      <c r="Z1327" s="981">
        <f ca="1">Calc!G31</f>
        <v>9800</v>
      </c>
      <c r="AB1327" s="318">
        <v>1552.4999999999864</v>
      </c>
      <c r="AC1327" s="318">
        <v>1714.4849999999963</v>
      </c>
      <c r="AD1327" s="318">
        <v>1846.4999999999918</v>
      </c>
      <c r="AE1327" s="318">
        <v>1550.9999999999877</v>
      </c>
      <c r="AF1327" s="318">
        <v>1069.4999999999993</v>
      </c>
      <c r="AG1327" s="318">
        <v>938.99999999999864</v>
      </c>
      <c r="AH1327" s="318">
        <v>506.99999999999932</v>
      </c>
      <c r="AI1327" s="318">
        <v>506.99999999999932</v>
      </c>
      <c r="AJ1327" s="318">
        <v>504.00000000000205</v>
      </c>
      <c r="AK1327" s="318">
        <v>46.499999999991815</v>
      </c>
      <c r="AL1327" s="318">
        <v>-1140.0000000000034</v>
      </c>
      <c r="AM1327" s="318">
        <v>-2722.5000000000136</v>
      </c>
      <c r="AN1327" s="318">
        <v>-284.70000000000368</v>
      </c>
      <c r="AO1327" s="318">
        <v>1474.4999999999891</v>
      </c>
      <c r="AP1327" s="318">
        <v>2513.99999999999</v>
      </c>
      <c r="AQ1327" s="318">
        <v>4015.4999999999973</v>
      </c>
      <c r="AR1327" s="318">
        <v>3943.4999999999945</v>
      </c>
      <c r="AS1327" s="318">
        <v>2060.9999999999927</v>
      </c>
      <c r="AT1327" s="318">
        <v>4519.4999999999909</v>
      </c>
      <c r="AU1327" s="318">
        <v>5599.4999999999973</v>
      </c>
      <c r="AV1327" s="318">
        <f ca="1">Calc!AH31</f>
        <v>5599.4999999999973</v>
      </c>
      <c r="AX1327" s="88" t="str">
        <f t="shared" ca="1" si="107"/>
        <v>MSFT</v>
      </c>
    </row>
    <row r="1328" spans="1:50" ht="23" hidden="1" customHeight="1" x14ac:dyDescent="0.3">
      <c r="A1328" s="88" t="str">
        <f t="shared" ca="1" si="106"/>
        <v>NEE</v>
      </c>
      <c r="F1328" s="981">
        <v>400</v>
      </c>
      <c r="G1328" s="981">
        <v>400</v>
      </c>
      <c r="H1328" s="981">
        <v>400</v>
      </c>
      <c r="I1328" s="981">
        <v>400</v>
      </c>
      <c r="J1328" s="981">
        <v>400</v>
      </c>
      <c r="K1328" s="981">
        <v>400</v>
      </c>
      <c r="L1328" s="981">
        <v>400</v>
      </c>
      <c r="M1328" s="981">
        <v>400</v>
      </c>
      <c r="N1328" s="981">
        <v>400</v>
      </c>
      <c r="O1328" s="981">
        <v>400</v>
      </c>
      <c r="P1328" s="981">
        <v>400</v>
      </c>
      <c r="Q1328" s="981">
        <v>400</v>
      </c>
      <c r="R1328" s="981">
        <v>400</v>
      </c>
      <c r="S1328" s="981">
        <v>1</v>
      </c>
      <c r="T1328" s="981">
        <v>1</v>
      </c>
      <c r="U1328" s="981">
        <v>1</v>
      </c>
      <c r="V1328" s="981">
        <v>1</v>
      </c>
      <c r="W1328" s="981">
        <v>1</v>
      </c>
      <c r="X1328" s="981">
        <v>1</v>
      </c>
      <c r="Y1328" s="981">
        <v>1</v>
      </c>
      <c r="Z1328" s="981">
        <f ca="1">Calc!G32</f>
        <v>1</v>
      </c>
      <c r="AB1328" s="318">
        <v>20.999999999997954</v>
      </c>
      <c r="AC1328" s="318">
        <v>-325.50000000000239</v>
      </c>
      <c r="AD1328" s="318">
        <v>-103.49999999999966</v>
      </c>
      <c r="AE1328" s="318">
        <v>52.499999999999147</v>
      </c>
      <c r="AF1328" s="318">
        <v>-21.000000000002217</v>
      </c>
      <c r="AG1328" s="318">
        <v>214.50000000000102</v>
      </c>
      <c r="AH1328" s="318">
        <v>556.50000000000114</v>
      </c>
      <c r="AI1328" s="318">
        <v>556.50000000000114</v>
      </c>
      <c r="AJ1328" s="318">
        <v>430.50000000000068</v>
      </c>
      <c r="AK1328" s="318">
        <v>88.500000000000512</v>
      </c>
      <c r="AL1328" s="318">
        <v>-388.50000000000051</v>
      </c>
      <c r="AM1328" s="318">
        <v>346.50000000000034</v>
      </c>
      <c r="AN1328" s="318">
        <v>925.49999999999818</v>
      </c>
      <c r="AO1328" s="318">
        <v>163.5900000000043</v>
      </c>
      <c r="AP1328" s="318">
        <v>-107.72999999999841</v>
      </c>
      <c r="AQ1328" s="318">
        <v>-207.47999999999843</v>
      </c>
      <c r="AR1328" s="318">
        <v>-734.15999999999565</v>
      </c>
      <c r="AS1328" s="318">
        <v>-790.01999999999589</v>
      </c>
      <c r="AT1328" s="318">
        <v>-1129.1699999999994</v>
      </c>
      <c r="AU1328" s="318">
        <v>-1133.1599999999958</v>
      </c>
      <c r="AV1328" s="318">
        <f ca="1">Calc!AH32</f>
        <v>-1133.1599999999958</v>
      </c>
      <c r="AX1328" s="88" t="str">
        <f t="shared" ca="1" si="107"/>
        <v>NEE</v>
      </c>
    </row>
    <row r="1329" spans="1:50" ht="23" hidden="1" customHeight="1" x14ac:dyDescent="0.3">
      <c r="A1329" s="88" t="str">
        <f t="shared" ca="1" si="106"/>
        <v>NEM</v>
      </c>
      <c r="F1329" s="981">
        <v>14000</v>
      </c>
      <c r="G1329" s="981">
        <v>14000</v>
      </c>
      <c r="H1329" s="981">
        <v>14000</v>
      </c>
      <c r="I1329" s="981">
        <v>14000</v>
      </c>
      <c r="J1329" s="981">
        <v>13000</v>
      </c>
      <c r="K1329" s="981">
        <v>17000</v>
      </c>
      <c r="L1329" s="981">
        <v>17000</v>
      </c>
      <c r="M1329" s="981">
        <v>17000</v>
      </c>
      <c r="N1329" s="981">
        <v>15000</v>
      </c>
      <c r="O1329" s="981">
        <v>17000</v>
      </c>
      <c r="P1329" s="981">
        <v>17000</v>
      </c>
      <c r="Q1329" s="981">
        <v>18000</v>
      </c>
      <c r="R1329" s="981">
        <v>18000</v>
      </c>
      <c r="S1329" s="981">
        <v>22000</v>
      </c>
      <c r="T1329" s="981">
        <v>20000</v>
      </c>
      <c r="U1329" s="981">
        <v>20000</v>
      </c>
      <c r="V1329" s="981">
        <v>20000</v>
      </c>
      <c r="W1329" s="981">
        <v>20000</v>
      </c>
      <c r="X1329" s="981">
        <v>20000</v>
      </c>
      <c r="Y1329" s="981">
        <v>20000</v>
      </c>
      <c r="Z1329" s="981">
        <f ca="1">Calc!G33</f>
        <v>20000</v>
      </c>
      <c r="AB1329" s="318">
        <v>-1044.0000000000027</v>
      </c>
      <c r="AC1329" s="318">
        <v>-1664.0000000000014</v>
      </c>
      <c r="AD1329" s="318">
        <v>-2586.0000000000014</v>
      </c>
      <c r="AE1329" s="318">
        <v>-1090.0000000000005</v>
      </c>
      <c r="AF1329" s="318">
        <v>-674.99999999999716</v>
      </c>
      <c r="AG1329" s="318">
        <v>7914.9999999999918</v>
      </c>
      <c r="AH1329" s="318">
        <v>7219.9999999999991</v>
      </c>
      <c r="AI1329" s="318">
        <v>7219.9999999999991</v>
      </c>
      <c r="AJ1329" s="318">
        <v>5359.9999999999991</v>
      </c>
      <c r="AK1329" s="318">
        <v>10890</v>
      </c>
      <c r="AL1329" s="318">
        <v>15599.999999999995</v>
      </c>
      <c r="AM1329" s="318">
        <v>14890</v>
      </c>
      <c r="AN1329" s="318">
        <v>11890</v>
      </c>
      <c r="AO1329" s="318">
        <v>15260.000000000005</v>
      </c>
      <c r="AP1329" s="318">
        <v>-300.00000000001137</v>
      </c>
      <c r="AQ1329" s="318">
        <v>-2289.6000000000072</v>
      </c>
      <c r="AR1329" s="318">
        <v>-3759.9999999999909</v>
      </c>
      <c r="AS1329" s="318">
        <v>-12659.999999999996</v>
      </c>
      <c r="AT1329" s="318">
        <v>-10280.000000000002</v>
      </c>
      <c r="AU1329" s="318">
        <v>-12250</v>
      </c>
      <c r="AV1329" s="318">
        <f ca="1">Calc!AH33</f>
        <v>-12250</v>
      </c>
      <c r="AX1329" s="88" t="str">
        <f t="shared" ca="1" si="107"/>
        <v>NEM</v>
      </c>
    </row>
    <row r="1330" spans="1:50" ht="23" hidden="1" customHeight="1" x14ac:dyDescent="0.3">
      <c r="A1330" s="88" t="str">
        <f t="shared" ca="1" si="106"/>
        <v>NFLX</v>
      </c>
      <c r="F1330" s="981">
        <v>700</v>
      </c>
      <c r="G1330" s="981">
        <v>700</v>
      </c>
      <c r="H1330" s="981">
        <v>800</v>
      </c>
      <c r="I1330" s="981">
        <v>800</v>
      </c>
      <c r="J1330" s="981">
        <v>700</v>
      </c>
      <c r="K1330" s="981">
        <v>700</v>
      </c>
      <c r="L1330" s="981">
        <v>2000</v>
      </c>
      <c r="M1330" s="981">
        <v>2000</v>
      </c>
      <c r="N1330" s="981">
        <v>2500</v>
      </c>
      <c r="O1330" s="981">
        <v>3000</v>
      </c>
      <c r="P1330" s="981">
        <v>3000</v>
      </c>
      <c r="Q1330" s="981">
        <v>3000</v>
      </c>
      <c r="R1330" s="981">
        <v>3000</v>
      </c>
      <c r="S1330" s="981">
        <v>3000</v>
      </c>
      <c r="T1330" s="981">
        <v>3000</v>
      </c>
      <c r="U1330" s="981">
        <v>3000</v>
      </c>
      <c r="V1330" s="981">
        <v>3000</v>
      </c>
      <c r="W1330" s="981">
        <v>3000</v>
      </c>
      <c r="X1330" s="981">
        <v>30000</v>
      </c>
      <c r="Y1330" s="981">
        <v>30000</v>
      </c>
      <c r="Z1330" s="981">
        <f ca="1">Calc!G34</f>
        <v>30000</v>
      </c>
      <c r="AB1330" s="318">
        <v>1998.0000000000018</v>
      </c>
      <c r="AC1330" s="318">
        <v>2875</v>
      </c>
      <c r="AD1330" s="318">
        <v>5174.0000000000009</v>
      </c>
      <c r="AE1330" s="318">
        <v>3597.0000000000027</v>
      </c>
      <c r="AF1330" s="318">
        <v>-500</v>
      </c>
      <c r="AG1330" s="318">
        <v>-778.99999999999636</v>
      </c>
      <c r="AH1330" s="318">
        <v>11719.000000000005</v>
      </c>
      <c r="AI1330" s="318">
        <v>11719.000000000005</v>
      </c>
      <c r="AJ1330" s="318">
        <v>11997.000000000004</v>
      </c>
      <c r="AK1330" s="318">
        <v>13886.999999999989</v>
      </c>
      <c r="AL1330" s="318">
        <v>13900</v>
      </c>
      <c r="AM1330" s="318">
        <v>13105.999999999995</v>
      </c>
      <c r="AN1330" s="318">
        <v>14455.999999999995</v>
      </c>
      <c r="AO1330" s="318">
        <v>14569.249999999989</v>
      </c>
      <c r="AP1330" s="318">
        <v>13509.999999999991</v>
      </c>
      <c r="AQ1330" s="318">
        <v>13934.999999999991</v>
      </c>
      <c r="AR1330" s="318">
        <v>13430.999999999995</v>
      </c>
      <c r="AS1330" s="318">
        <v>12138.999999999987</v>
      </c>
      <c r="AT1330" s="318">
        <v>9265.9999999999909</v>
      </c>
      <c r="AU1330" s="318">
        <v>13575.999999999993</v>
      </c>
      <c r="AV1330" s="318">
        <f ca="1">Calc!AH34</f>
        <v>13575.999999999993</v>
      </c>
      <c r="AX1330" s="88" t="str">
        <f t="shared" ca="1" si="107"/>
        <v>NFLX</v>
      </c>
    </row>
    <row r="1331" spans="1:50" ht="23" hidden="1" customHeight="1" x14ac:dyDescent="0.3">
      <c r="A1331" s="88" t="str">
        <f t="shared" ca="1" si="106"/>
        <v>NOTE</v>
      </c>
      <c r="F1331" s="981">
        <v>26667</v>
      </c>
      <c r="G1331" s="981">
        <v>26667</v>
      </c>
      <c r="H1331" s="981">
        <v>26667</v>
      </c>
      <c r="I1331" s="981">
        <v>26667</v>
      </c>
      <c r="J1331" s="981">
        <v>26667</v>
      </c>
      <c r="K1331" s="981">
        <v>26667</v>
      </c>
      <c r="L1331" s="981">
        <v>26667</v>
      </c>
      <c r="M1331" s="981">
        <v>26667</v>
      </c>
      <c r="N1331" s="981">
        <v>26667</v>
      </c>
      <c r="O1331" s="981">
        <v>26667</v>
      </c>
      <c r="P1331" s="981">
        <v>26667</v>
      </c>
      <c r="Q1331" s="981">
        <v>26667</v>
      </c>
      <c r="R1331" s="981">
        <v>26667</v>
      </c>
      <c r="S1331" s="981">
        <v>26667</v>
      </c>
      <c r="T1331" s="981">
        <v>26667</v>
      </c>
      <c r="U1331" s="981">
        <v>26667</v>
      </c>
      <c r="V1331" s="981">
        <v>26667</v>
      </c>
      <c r="W1331" s="981">
        <v>30000</v>
      </c>
      <c r="X1331" s="981">
        <v>30000</v>
      </c>
      <c r="Y1331" s="981">
        <v>30000</v>
      </c>
      <c r="Z1331" s="981">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1">
        <v>2500</v>
      </c>
      <c r="G1332" s="981">
        <v>2500</v>
      </c>
      <c r="H1332" s="981">
        <v>2500</v>
      </c>
      <c r="I1332" s="981">
        <v>2500</v>
      </c>
      <c r="J1332" s="981">
        <v>2500</v>
      </c>
      <c r="K1332" s="981">
        <v>4000</v>
      </c>
      <c r="L1332" s="981">
        <v>4000</v>
      </c>
      <c r="M1332" s="981">
        <v>4000</v>
      </c>
      <c r="N1332" s="981">
        <v>4000</v>
      </c>
      <c r="O1332" s="981">
        <v>4000</v>
      </c>
      <c r="P1332" s="981">
        <v>4000</v>
      </c>
      <c r="Q1332" s="981">
        <v>4000</v>
      </c>
      <c r="R1332" s="981">
        <v>4000</v>
      </c>
      <c r="S1332" s="981">
        <v>4000</v>
      </c>
      <c r="T1332" s="981">
        <v>4000</v>
      </c>
      <c r="U1332" s="981">
        <v>4000</v>
      </c>
      <c r="V1332" s="981">
        <v>4000</v>
      </c>
      <c r="W1332" s="981">
        <v>2000</v>
      </c>
      <c r="X1332" s="981">
        <v>2000</v>
      </c>
      <c r="Y1332" s="981">
        <v>2000</v>
      </c>
      <c r="Z1332" s="981">
        <f ca="1">Calc!G36</f>
        <v>2000</v>
      </c>
      <c r="AB1332" s="318">
        <v>-129.75000000000136</v>
      </c>
      <c r="AC1332" s="318">
        <v>-879.75000000000136</v>
      </c>
      <c r="AD1332" s="318">
        <v>-1364.7500000000009</v>
      </c>
      <c r="AE1332" s="318">
        <v>430.25000000000091</v>
      </c>
      <c r="AF1332" s="318">
        <v>-24.750000000000938</v>
      </c>
      <c r="AG1332" s="318">
        <v>1932.7499999999986</v>
      </c>
      <c r="AH1332" s="318">
        <v>1712.7499999999998</v>
      </c>
      <c r="AI1332" s="318">
        <v>1712.7499999999998</v>
      </c>
      <c r="AJ1332" s="318">
        <v>1545.2499999999993</v>
      </c>
      <c r="AK1332" s="318">
        <v>1485.2500000000007</v>
      </c>
      <c r="AL1332" s="318">
        <v>2280.2499999999986</v>
      </c>
      <c r="AM1332" s="318">
        <v>2030.2499999999989</v>
      </c>
      <c r="AN1332" s="318">
        <v>1875.2500000000011</v>
      </c>
      <c r="AO1332" s="318">
        <v>3010.1499999999996</v>
      </c>
      <c r="AP1332" s="318">
        <v>2765.2499999999982</v>
      </c>
      <c r="AQ1332" s="318">
        <v>2777.7500000000009</v>
      </c>
      <c r="AR1332" s="318">
        <v>2290.2999999999984</v>
      </c>
      <c r="AS1332" s="318">
        <v>686.00000000000705</v>
      </c>
      <c r="AT1332" s="318">
        <v>1566.0000000000025</v>
      </c>
      <c r="AU1332" s="318">
        <v>725.99999999999909</v>
      </c>
      <c r="AV1332" s="318">
        <f ca="1">Calc!AH36</f>
        <v>725.99999999999909</v>
      </c>
      <c r="AX1332" s="88" t="str">
        <f t="shared" ca="1" si="107"/>
        <v>PAAS</v>
      </c>
    </row>
    <row r="1333" spans="1:50" ht="23" hidden="1" customHeight="1" x14ac:dyDescent="0.3">
      <c r="A1333" s="88" t="str">
        <f t="shared" ca="1" si="106"/>
        <v>PROF</v>
      </c>
      <c r="F1333" s="981">
        <v>6000</v>
      </c>
      <c r="G1333" s="981">
        <v>4000</v>
      </c>
      <c r="H1333" s="981">
        <v>4000</v>
      </c>
      <c r="I1333" s="981">
        <v>4000</v>
      </c>
      <c r="J1333" s="981">
        <v>4000</v>
      </c>
      <c r="K1333" s="981">
        <v>4000</v>
      </c>
      <c r="L1333" s="981">
        <v>4000</v>
      </c>
      <c r="M1333" s="981">
        <v>4000</v>
      </c>
      <c r="N1333" s="981">
        <v>4000</v>
      </c>
      <c r="O1333" s="981">
        <v>4000</v>
      </c>
      <c r="P1333" s="981">
        <v>4000</v>
      </c>
      <c r="Q1333" s="981">
        <v>4000</v>
      </c>
      <c r="R1333" s="981">
        <v>4000</v>
      </c>
      <c r="S1333" s="981">
        <v>4000</v>
      </c>
      <c r="T1333" s="981">
        <v>4000</v>
      </c>
      <c r="U1333" s="981">
        <v>4000</v>
      </c>
      <c r="V1333" s="981">
        <v>4000</v>
      </c>
      <c r="W1333" s="981">
        <v>4000</v>
      </c>
      <c r="X1333" s="981">
        <v>4000</v>
      </c>
      <c r="Y1333" s="981">
        <v>4000</v>
      </c>
      <c r="Z1333" s="981">
        <f ca="1">Calc!G37</f>
        <v>4000</v>
      </c>
      <c r="AB1333" s="318">
        <v>2199.9999999999991</v>
      </c>
      <c r="AC1333" s="318">
        <v>20.00000000000135</v>
      </c>
      <c r="AD1333" s="318">
        <v>100.00000000000142</v>
      </c>
      <c r="AE1333" s="318">
        <v>160.00000000000014</v>
      </c>
      <c r="AF1333" s="318">
        <v>-339.99999999999989</v>
      </c>
      <c r="AG1333" s="318">
        <v>-500</v>
      </c>
      <c r="AH1333" s="318">
        <v>380.0000000000008</v>
      </c>
      <c r="AI1333" s="318">
        <v>380.0000000000008</v>
      </c>
      <c r="AJ1333" s="318">
        <v>608.00000000000057</v>
      </c>
      <c r="AK1333" s="318">
        <v>220.00000000000063</v>
      </c>
      <c r="AL1333" s="318">
        <v>220.00000000000063</v>
      </c>
      <c r="AM1333" s="318">
        <v>-1179.9999999999998</v>
      </c>
      <c r="AN1333" s="318">
        <v>-1019.9999999999995</v>
      </c>
      <c r="AO1333" s="318">
        <v>-529.99999999999932</v>
      </c>
      <c r="AP1333" s="318">
        <v>-500</v>
      </c>
      <c r="AQ1333" s="318">
        <v>-500</v>
      </c>
      <c r="AR1333" s="318">
        <v>-629.99999999999898</v>
      </c>
      <c r="AS1333" s="318">
        <v>-2479.9999999999986</v>
      </c>
      <c r="AT1333" s="318">
        <v>-1240.0000000000002</v>
      </c>
      <c r="AU1333" s="318">
        <v>-759.99999999999977</v>
      </c>
      <c r="AV1333" s="318">
        <f ca="1">Calc!AH37</f>
        <v>-759.99999999999977</v>
      </c>
      <c r="AX1333" s="88" t="str">
        <f t="shared" ca="1" si="107"/>
        <v>PROF</v>
      </c>
    </row>
    <row r="1334" spans="1:50" ht="23" hidden="1" customHeight="1" x14ac:dyDescent="0.3">
      <c r="A1334" s="88" t="str">
        <f t="shared" ca="1" si="106"/>
        <v>POET</v>
      </c>
      <c r="F1334" s="981">
        <v>45000</v>
      </c>
      <c r="G1334" s="981">
        <v>45000</v>
      </c>
      <c r="H1334" s="981">
        <v>45000</v>
      </c>
      <c r="I1334" s="981">
        <v>45000</v>
      </c>
      <c r="J1334" s="981">
        <v>45000</v>
      </c>
      <c r="K1334" s="981">
        <v>45000</v>
      </c>
      <c r="L1334" s="981">
        <v>45000</v>
      </c>
      <c r="M1334" s="981">
        <v>45000</v>
      </c>
      <c r="N1334" s="981">
        <v>45000</v>
      </c>
      <c r="O1334" s="981">
        <v>45000</v>
      </c>
      <c r="P1334" s="981">
        <v>45000</v>
      </c>
      <c r="Q1334" s="981">
        <v>45000</v>
      </c>
      <c r="R1334" s="981">
        <v>45000</v>
      </c>
      <c r="S1334" s="981">
        <v>45000</v>
      </c>
      <c r="T1334" s="981">
        <v>45000</v>
      </c>
      <c r="U1334" s="981">
        <v>45000</v>
      </c>
      <c r="V1334" s="981">
        <v>45000</v>
      </c>
      <c r="W1334" s="981">
        <v>47500</v>
      </c>
      <c r="X1334" s="981">
        <v>47500</v>
      </c>
      <c r="Y1334" s="981">
        <v>47500</v>
      </c>
      <c r="Z1334" s="981">
        <f ca="1">Calc!G38</f>
        <v>47500</v>
      </c>
      <c r="AB1334" s="318">
        <v>49.999999999998934</v>
      </c>
      <c r="AC1334" s="318">
        <v>1712.5000000000011</v>
      </c>
      <c r="AD1334" s="318">
        <v>3775.0000000000018</v>
      </c>
      <c r="AE1334" s="318">
        <v>5125.0000000000018</v>
      </c>
      <c r="AF1334" s="318">
        <v>3700.0000000000009</v>
      </c>
      <c r="AG1334" s="318">
        <v>4050.0000000000005</v>
      </c>
      <c r="AH1334" s="318">
        <v>4250</v>
      </c>
      <c r="AI1334" s="318">
        <v>4250</v>
      </c>
      <c r="AJ1334" s="318">
        <v>4400.0000000000018</v>
      </c>
      <c r="AK1334" s="318">
        <v>2099.9999999999995</v>
      </c>
      <c r="AL1334" s="318">
        <v>4150</v>
      </c>
      <c r="AM1334" s="318">
        <v>5000</v>
      </c>
      <c r="AN1334" s="318">
        <v>6725.0000000000009</v>
      </c>
      <c r="AO1334" s="318">
        <v>7787.5000000000009</v>
      </c>
      <c r="AP1334" s="318">
        <v>7587.5</v>
      </c>
      <c r="AQ1334" s="318">
        <v>9312.5000000000018</v>
      </c>
      <c r="AR1334" s="318">
        <v>9250.25</v>
      </c>
      <c r="AS1334" s="318">
        <v>11675</v>
      </c>
      <c r="AT1334" s="318">
        <v>11950</v>
      </c>
      <c r="AU1334" s="318">
        <v>12214</v>
      </c>
      <c r="AV1334" s="318">
        <f ca="1">Calc!AH38</f>
        <v>12214</v>
      </c>
      <c r="AX1334" s="88" t="str">
        <f t="shared" ca="1" si="107"/>
        <v>POET</v>
      </c>
    </row>
    <row r="1335" spans="1:50" ht="23" hidden="1" customHeight="1" x14ac:dyDescent="0.3">
      <c r="A1335" s="88" t="str">
        <f t="shared" ca="1" si="106"/>
        <v>PW</v>
      </c>
      <c r="F1335" s="981">
        <v>10000</v>
      </c>
      <c r="G1335" s="981">
        <v>10000</v>
      </c>
      <c r="H1335" s="981">
        <v>10000</v>
      </c>
      <c r="I1335" s="981">
        <v>10000</v>
      </c>
      <c r="J1335" s="981">
        <v>10000</v>
      </c>
      <c r="K1335" s="981">
        <v>10000</v>
      </c>
      <c r="L1335" s="981">
        <v>10000</v>
      </c>
      <c r="M1335" s="981">
        <v>10000</v>
      </c>
      <c r="N1335" s="981">
        <v>10000</v>
      </c>
      <c r="O1335" s="981">
        <v>10000</v>
      </c>
      <c r="P1335" s="981">
        <v>10000</v>
      </c>
      <c r="Q1335" s="981">
        <v>10000</v>
      </c>
      <c r="R1335" s="981">
        <v>10000</v>
      </c>
      <c r="S1335" s="981">
        <v>10000</v>
      </c>
      <c r="T1335" s="981">
        <v>10000</v>
      </c>
      <c r="U1335" s="981">
        <v>10000</v>
      </c>
      <c r="V1335" s="981">
        <v>10000</v>
      </c>
      <c r="W1335" s="981">
        <v>10000</v>
      </c>
      <c r="X1335" s="981">
        <v>10000</v>
      </c>
      <c r="Y1335" s="981">
        <v>10000</v>
      </c>
      <c r="Z1335" s="981">
        <f ca="1">Calc!G39</f>
        <v>10000</v>
      </c>
      <c r="AB1335" s="318">
        <v>2009.2103999999999</v>
      </c>
      <c r="AC1335" s="318">
        <v>1923.8400000000001</v>
      </c>
      <c r="AD1335" s="318">
        <v>1924.1405999999999</v>
      </c>
      <c r="AE1335" s="318">
        <v>2163.1176</v>
      </c>
      <c r="AF1335" s="318">
        <v>2281.2534000000001</v>
      </c>
      <c r="AG1335" s="318">
        <v>2332.3553999999999</v>
      </c>
      <c r="AH1335" s="318">
        <v>2496.4830000000002</v>
      </c>
      <c r="AI1335" s="318">
        <v>2496.4830000000002</v>
      </c>
      <c r="AJ1335" s="318">
        <v>2570.13</v>
      </c>
      <c r="AK1335" s="318">
        <v>2364.2190000000001</v>
      </c>
      <c r="AL1335" s="318">
        <v>2182.3560000000002</v>
      </c>
      <c r="AM1335" s="318">
        <v>2359.4094</v>
      </c>
      <c r="AN1335" s="318">
        <v>2526.5430000000001</v>
      </c>
      <c r="AO1335" s="318">
        <v>2490.471</v>
      </c>
      <c r="AP1335" s="318">
        <v>2389.77</v>
      </c>
      <c r="AQ1335" s="318">
        <v>2435.7618000000002</v>
      </c>
      <c r="AR1335" s="318">
        <v>2645.28</v>
      </c>
      <c r="AS1335" s="318">
        <v>2502.7955999999999</v>
      </c>
      <c r="AT1335" s="318">
        <v>2705.7006000000001</v>
      </c>
      <c r="AU1335" s="318">
        <v>2696.6826000000001</v>
      </c>
      <c r="AV1335" s="318">
        <f ca="1">Calc!AH39</f>
        <v>2696.6826000000001</v>
      </c>
      <c r="AX1335" s="88" t="str">
        <f t="shared" ca="1" si="107"/>
        <v>PW</v>
      </c>
    </row>
    <row r="1336" spans="1:50" ht="23" hidden="1" customHeight="1" x14ac:dyDescent="0.3">
      <c r="A1336" s="88" t="str">
        <f t="shared" ca="1" si="106"/>
        <v>RIGL</v>
      </c>
      <c r="F1336" s="981">
        <v>4000</v>
      </c>
      <c r="G1336" s="981">
        <v>4000</v>
      </c>
      <c r="H1336" s="981">
        <v>4000</v>
      </c>
      <c r="I1336" s="981">
        <v>4000</v>
      </c>
      <c r="J1336" s="981">
        <v>4000</v>
      </c>
      <c r="K1336" s="981">
        <v>2000</v>
      </c>
      <c r="L1336" s="981">
        <v>2000</v>
      </c>
      <c r="M1336" s="981">
        <v>2000</v>
      </c>
      <c r="N1336" s="981">
        <v>2000</v>
      </c>
      <c r="O1336" s="981">
        <v>2000</v>
      </c>
      <c r="P1336" s="981">
        <v>2000</v>
      </c>
      <c r="Q1336" s="981">
        <v>2000</v>
      </c>
      <c r="R1336" s="981">
        <v>2000</v>
      </c>
      <c r="S1336" s="981">
        <v>3000</v>
      </c>
      <c r="T1336" s="981">
        <v>1000</v>
      </c>
      <c r="U1336" s="981">
        <v>1000</v>
      </c>
      <c r="V1336" s="981">
        <v>1000</v>
      </c>
      <c r="W1336" s="981">
        <v>1000</v>
      </c>
      <c r="X1336" s="981">
        <v>1000</v>
      </c>
      <c r="Y1336" s="981">
        <v>1000</v>
      </c>
      <c r="Z1336" s="981">
        <f ca="1">Calc!G40</f>
        <v>1000</v>
      </c>
      <c r="AB1336" s="318">
        <v>11340</v>
      </c>
      <c r="AC1336" s="318">
        <v>10640</v>
      </c>
      <c r="AD1336" s="318">
        <v>10610</v>
      </c>
      <c r="AE1336" s="318">
        <v>10779.999999999998</v>
      </c>
      <c r="AF1336" s="318">
        <v>9259.9999999999982</v>
      </c>
      <c r="AG1336" s="318">
        <v>-699.99999999999568</v>
      </c>
      <c r="AH1336" s="318">
        <v>-1539.9999999999991</v>
      </c>
      <c r="AI1336" s="318">
        <v>-1539.9999999999991</v>
      </c>
      <c r="AJ1336" s="318">
        <v>1060.0000000000023</v>
      </c>
      <c r="AK1336" s="318">
        <v>-99.999999999994316</v>
      </c>
      <c r="AL1336" s="318">
        <v>680.00000000000682</v>
      </c>
      <c r="AM1336" s="318">
        <v>460.00000000000085</v>
      </c>
      <c r="AN1336" s="318">
        <v>-3399.9999999999986</v>
      </c>
      <c r="AO1336" s="318">
        <v>3180.0000000000068</v>
      </c>
      <c r="AP1336" s="318">
        <v>-1280.0000000000011</v>
      </c>
      <c r="AQ1336" s="318">
        <v>1769.9999999999959</v>
      </c>
      <c r="AR1336" s="318">
        <v>3799.9999999999973</v>
      </c>
      <c r="AS1336" s="318">
        <v>-9459.9999999999945</v>
      </c>
      <c r="AT1336" s="318">
        <v>-18019.999999999996</v>
      </c>
      <c r="AU1336" s="318">
        <v>-9980.0000000000036</v>
      </c>
      <c r="AV1336" s="318">
        <f ca="1">Calc!AH40</f>
        <v>-9980.0000000000036</v>
      </c>
      <c r="AX1336" s="88" t="str">
        <f t="shared" ca="1" si="107"/>
        <v>RIGL</v>
      </c>
    </row>
    <row r="1337" spans="1:50" ht="23" hidden="1" customHeight="1" x14ac:dyDescent="0.3">
      <c r="A1337" s="88" t="str">
        <f t="shared" ca="1" si="106"/>
        <v>RWE</v>
      </c>
      <c r="F1337" s="981">
        <v>50</v>
      </c>
      <c r="G1337" s="981">
        <v>50</v>
      </c>
      <c r="H1337" s="981">
        <v>50</v>
      </c>
      <c r="I1337" s="981">
        <v>50</v>
      </c>
      <c r="J1337" s="981">
        <v>50</v>
      </c>
      <c r="K1337" s="981">
        <v>50</v>
      </c>
      <c r="L1337" s="981">
        <v>50</v>
      </c>
      <c r="M1337" s="981">
        <v>50</v>
      </c>
      <c r="N1337" s="981">
        <v>50</v>
      </c>
      <c r="O1337" s="981">
        <v>50</v>
      </c>
      <c r="P1337" s="981">
        <v>50</v>
      </c>
      <c r="Q1337" s="981">
        <v>50</v>
      </c>
      <c r="R1337" s="981">
        <v>50</v>
      </c>
      <c r="S1337" s="981">
        <v>50</v>
      </c>
      <c r="T1337" s="981">
        <v>50</v>
      </c>
      <c r="U1337" s="981">
        <v>50</v>
      </c>
      <c r="V1337" s="981">
        <v>50</v>
      </c>
      <c r="W1337" s="981">
        <v>50</v>
      </c>
      <c r="X1337" s="981">
        <v>50</v>
      </c>
      <c r="Y1337" s="981">
        <v>50</v>
      </c>
      <c r="Z1337" s="981">
        <f ca="1">Calc!G41</f>
        <v>50</v>
      </c>
      <c r="AB1337" s="318">
        <v>-23103.999999999996</v>
      </c>
      <c r="AC1337" s="318">
        <v>-23455.999999999993</v>
      </c>
      <c r="AD1337" s="318">
        <v>-25664.000000000011</v>
      </c>
      <c r="AE1337" s="318">
        <v>-24640.000000000007</v>
      </c>
      <c r="AF1337" s="318">
        <v>-24192.000000000007</v>
      </c>
      <c r="AG1337" s="318">
        <v>-22752</v>
      </c>
      <c r="AH1337" s="318">
        <v>-21952</v>
      </c>
      <c r="AI1337" s="318">
        <v>-21952</v>
      </c>
      <c r="AJ1337" s="318">
        <v>-21248</v>
      </c>
      <c r="AK1337" s="318">
        <v>-22783.999999999993</v>
      </c>
      <c r="AL1337" s="318">
        <v>-22848</v>
      </c>
      <c r="AM1337" s="318">
        <v>-24736.000000000015</v>
      </c>
      <c r="AN1337" s="318">
        <v>-30783.999999999993</v>
      </c>
      <c r="AO1337" s="318">
        <v>-28736.000000000015</v>
      </c>
      <c r="AP1337" s="318">
        <v>-29600</v>
      </c>
      <c r="AQ1337" s="318">
        <v>-31231.999999999993</v>
      </c>
      <c r="AR1337" s="318">
        <v>-30559.999999999993</v>
      </c>
      <c r="AS1337" s="318">
        <v>-38304</v>
      </c>
      <c r="AT1337" s="318">
        <v>-34944.000000000007</v>
      </c>
      <c r="AU1337" s="318">
        <v>-33183.999999999993</v>
      </c>
      <c r="AV1337" s="318">
        <f ca="1">Calc!AH41</f>
        <v>-33183.999999999993</v>
      </c>
      <c r="AX1337" s="88" t="str">
        <f t="shared" ca="1" si="107"/>
        <v>RWE</v>
      </c>
    </row>
    <row r="1338" spans="1:50" ht="23" hidden="1" customHeight="1" x14ac:dyDescent="0.3">
      <c r="A1338" s="88" t="str">
        <f t="shared" ca="1" si="106"/>
        <v>SAP</v>
      </c>
      <c r="F1338" s="981">
        <v>3800</v>
      </c>
      <c r="G1338" s="981">
        <v>3800</v>
      </c>
      <c r="H1338" s="981">
        <v>3800</v>
      </c>
      <c r="I1338" s="981">
        <v>3800</v>
      </c>
      <c r="J1338" s="981">
        <v>3800</v>
      </c>
      <c r="K1338" s="981">
        <v>3800</v>
      </c>
      <c r="L1338" s="981">
        <v>3800</v>
      </c>
      <c r="M1338" s="981">
        <v>3800</v>
      </c>
      <c r="N1338" s="981">
        <v>3800</v>
      </c>
      <c r="O1338" s="981">
        <v>3800</v>
      </c>
      <c r="P1338" s="981">
        <v>3800</v>
      </c>
      <c r="Q1338" s="981">
        <v>3800</v>
      </c>
      <c r="R1338" s="981">
        <v>3800</v>
      </c>
      <c r="S1338" s="981">
        <v>3800</v>
      </c>
      <c r="T1338" s="981">
        <v>3800</v>
      </c>
      <c r="U1338" s="981">
        <v>3800</v>
      </c>
      <c r="V1338" s="981">
        <v>3800</v>
      </c>
      <c r="W1338" s="981">
        <v>3800</v>
      </c>
      <c r="X1338" s="981">
        <v>3800</v>
      </c>
      <c r="Y1338" s="981">
        <v>3800</v>
      </c>
      <c r="Z1338" s="981">
        <f ca="1">Calc!G42</f>
        <v>3800</v>
      </c>
      <c r="AB1338" s="318">
        <v>1020.0000000000045</v>
      </c>
      <c r="AC1338" s="318">
        <v>720.00000000000455</v>
      </c>
      <c r="AD1338" s="318">
        <v>920.00000000000455</v>
      </c>
      <c r="AE1338" s="318">
        <v>1370.0000000000045</v>
      </c>
      <c r="AF1338" s="318">
        <v>-159.99999999999659</v>
      </c>
      <c r="AG1338" s="318">
        <v>-519.99999999999886</v>
      </c>
      <c r="AH1338" s="318">
        <v>190.00000000000341</v>
      </c>
      <c r="AI1338" s="318">
        <v>190.00000000000341</v>
      </c>
      <c r="AJ1338" s="318">
        <v>-839.99999999999773</v>
      </c>
      <c r="AK1338" s="318">
        <v>890.00000000000341</v>
      </c>
      <c r="AL1338" s="318">
        <v>450</v>
      </c>
      <c r="AM1338" s="318">
        <v>740.00000000000341</v>
      </c>
      <c r="AN1338" s="318">
        <v>2390.0000000000036</v>
      </c>
      <c r="AO1338" s="318">
        <v>2350</v>
      </c>
      <c r="AP1338" s="318">
        <v>1970.0000000000045</v>
      </c>
      <c r="AQ1338" s="318">
        <v>3970.0000000000045</v>
      </c>
      <c r="AR1338" s="318">
        <v>4430.0000000000009</v>
      </c>
      <c r="AS1338" s="318">
        <v>5340.0000000000036</v>
      </c>
      <c r="AT1338" s="318">
        <v>6490.0000000000036</v>
      </c>
      <c r="AU1338" s="318">
        <v>6460.0000000000018</v>
      </c>
      <c r="AV1338" s="318">
        <f ca="1">Calc!AH42</f>
        <v>6460.0000000000018</v>
      </c>
      <c r="AX1338" s="88" t="str">
        <f t="shared" ca="1" si="107"/>
        <v>SAP</v>
      </c>
    </row>
    <row r="1339" spans="1:50" ht="23" hidden="1" customHeight="1" x14ac:dyDescent="0.3">
      <c r="A1339" s="88" t="str">
        <f t="shared" ca="1" si="106"/>
        <v>SHECY</v>
      </c>
      <c r="F1339" s="981">
        <v>23000</v>
      </c>
      <c r="G1339" s="981">
        <v>22851</v>
      </c>
      <c r="H1339" s="981">
        <v>22368</v>
      </c>
      <c r="I1339" s="981">
        <v>22368</v>
      </c>
      <c r="J1339" s="981">
        <v>22368</v>
      </c>
      <c r="K1339" s="981">
        <v>22368</v>
      </c>
      <c r="L1339" s="981">
        <v>22368</v>
      </c>
      <c r="M1339" s="981">
        <v>22368</v>
      </c>
      <c r="N1339" s="981">
        <v>22368</v>
      </c>
      <c r="O1339" s="981">
        <v>22368</v>
      </c>
      <c r="P1339" s="981">
        <v>22368</v>
      </c>
      <c r="Q1339" s="981">
        <v>22368</v>
      </c>
      <c r="R1339" s="981">
        <v>25000</v>
      </c>
      <c r="S1339" s="981">
        <v>25000</v>
      </c>
      <c r="T1339" s="981">
        <v>25000</v>
      </c>
      <c r="U1339" s="981">
        <v>25000</v>
      </c>
      <c r="V1339" s="981">
        <v>25000</v>
      </c>
      <c r="W1339" s="981">
        <v>25000</v>
      </c>
      <c r="X1339" s="981">
        <v>25000</v>
      </c>
      <c r="Y1339" s="981">
        <v>25000</v>
      </c>
      <c r="Z1339" s="981">
        <f ca="1">Calc!G43</f>
        <v>25000</v>
      </c>
      <c r="AB1339" s="318">
        <v>4451.0000000000009</v>
      </c>
      <c r="AC1339" s="318">
        <v>-0.50659999999987804</v>
      </c>
      <c r="AD1339" s="318">
        <v>56.87999999999991</v>
      </c>
      <c r="AE1339" s="318">
        <v>25.279999999999461</v>
      </c>
      <c r="AF1339" s="318">
        <v>126.39999999999955</v>
      </c>
      <c r="AG1339" s="318">
        <v>170.63999999999973</v>
      </c>
      <c r="AH1339" s="318">
        <v>316</v>
      </c>
      <c r="AI1339" s="318">
        <v>316</v>
      </c>
      <c r="AJ1339" s="318">
        <v>246.48000000000036</v>
      </c>
      <c r="AK1339" s="318">
        <v>549.83999999999946</v>
      </c>
      <c r="AL1339" s="318">
        <v>739.43999999999994</v>
      </c>
      <c r="AM1339" s="318">
        <v>707.83999999999946</v>
      </c>
      <c r="AN1339" s="318">
        <v>1011.1999999999998</v>
      </c>
      <c r="AO1339" s="318">
        <v>1011.1999999999998</v>
      </c>
      <c r="AP1339" s="318">
        <v>1036.4799999999993</v>
      </c>
      <c r="AQ1339" s="318">
        <v>1289.2799999999995</v>
      </c>
      <c r="AR1339" s="318">
        <v>1169.1999999999998</v>
      </c>
      <c r="AS1339" s="318">
        <v>979.59999999999934</v>
      </c>
      <c r="AT1339" s="318">
        <v>1396.7199999999993</v>
      </c>
      <c r="AU1339" s="318">
        <v>1469.7159999999999</v>
      </c>
      <c r="AV1339" s="318">
        <f ca="1">Calc!AH43</f>
        <v>1469.7159999999999</v>
      </c>
      <c r="AX1339" s="88" t="str">
        <f t="shared" ca="1" si="107"/>
        <v>SHECY</v>
      </c>
    </row>
    <row r="1340" spans="1:50" ht="23" hidden="1" customHeight="1" x14ac:dyDescent="0.3">
      <c r="A1340" s="88" t="str">
        <f t="shared" ca="1" si="106"/>
        <v>SSYS</v>
      </c>
      <c r="F1340" s="981">
        <v>16000</v>
      </c>
      <c r="G1340" s="981">
        <v>16000</v>
      </c>
      <c r="H1340" s="981">
        <v>16000</v>
      </c>
      <c r="I1340" s="981">
        <v>16000</v>
      </c>
      <c r="J1340" s="981">
        <v>16000</v>
      </c>
      <c r="K1340" s="981">
        <v>16000</v>
      </c>
      <c r="L1340" s="981">
        <v>16000</v>
      </c>
      <c r="M1340" s="981">
        <v>16000</v>
      </c>
      <c r="N1340" s="981">
        <v>16000</v>
      </c>
      <c r="O1340" s="981">
        <v>16000</v>
      </c>
      <c r="P1340" s="981">
        <v>16000</v>
      </c>
      <c r="Q1340" s="981">
        <v>16000</v>
      </c>
      <c r="R1340" s="981">
        <v>16000</v>
      </c>
      <c r="S1340" s="981">
        <v>16000</v>
      </c>
      <c r="T1340" s="981">
        <v>16000</v>
      </c>
      <c r="U1340" s="981">
        <v>16000</v>
      </c>
      <c r="V1340" s="981">
        <v>16000</v>
      </c>
      <c r="W1340" s="981">
        <v>16000</v>
      </c>
      <c r="X1340" s="981">
        <v>16000</v>
      </c>
      <c r="Y1340" s="981">
        <v>16000</v>
      </c>
      <c r="Z1340" s="981">
        <f ca="1">Calc!G44</f>
        <v>16000</v>
      </c>
      <c r="AB1340" s="318">
        <v>5722.599900000002</v>
      </c>
      <c r="AC1340" s="318">
        <v>3895.5999000000024</v>
      </c>
      <c r="AD1340" s="318">
        <v>3862.5998999999993</v>
      </c>
      <c r="AE1340" s="318">
        <v>5542.5999000000011</v>
      </c>
      <c r="AF1340" s="318">
        <v>982.59990000000209</v>
      </c>
      <c r="AG1340" s="318">
        <v>1252.5999000000018</v>
      </c>
      <c r="AH1340" s="318">
        <v>4402.5998999999983</v>
      </c>
      <c r="AI1340" s="318">
        <v>4402.5998999999983</v>
      </c>
      <c r="AJ1340" s="318">
        <v>2962.5999000000024</v>
      </c>
      <c r="AK1340" s="318">
        <v>2332.5999000000002</v>
      </c>
      <c r="AL1340" s="318">
        <v>2572.5999000000002</v>
      </c>
      <c r="AM1340" s="318">
        <v>3712.5999000000024</v>
      </c>
      <c r="AN1340" s="318">
        <v>5962.5999000000029</v>
      </c>
      <c r="AO1340" s="318">
        <v>8512.5999000000011</v>
      </c>
      <c r="AP1340" s="318">
        <v>8752.5999000000011</v>
      </c>
      <c r="AQ1340" s="318">
        <v>9922.5998999999974</v>
      </c>
      <c r="AR1340" s="318">
        <v>9922.5998999999974</v>
      </c>
      <c r="AS1340" s="318">
        <v>11452.599900000003</v>
      </c>
      <c r="AT1340" s="318">
        <v>12802.599900000001</v>
      </c>
      <c r="AU1340" s="318">
        <v>12952.599900000003</v>
      </c>
      <c r="AV1340" s="318">
        <f ca="1">Calc!AH44</f>
        <v>12952.599900000003</v>
      </c>
      <c r="AX1340" s="88" t="str">
        <f t="shared" ca="1" si="107"/>
        <v>SSYS</v>
      </c>
    </row>
    <row r="1341" spans="1:50" ht="23" hidden="1" customHeight="1" x14ac:dyDescent="0.3">
      <c r="A1341" s="88" t="str">
        <f t="shared" ca="1" si="106"/>
        <v>TSLA</v>
      </c>
      <c r="F1341" s="981">
        <v>1</v>
      </c>
      <c r="G1341" s="981">
        <v>1</v>
      </c>
      <c r="H1341" s="981">
        <v>1</v>
      </c>
      <c r="I1341" s="981">
        <v>1</v>
      </c>
      <c r="J1341" s="981">
        <v>1</v>
      </c>
      <c r="K1341" s="981">
        <v>1</v>
      </c>
      <c r="L1341" s="981">
        <v>1</v>
      </c>
      <c r="M1341" s="981">
        <v>1</v>
      </c>
      <c r="N1341" s="981">
        <v>1</v>
      </c>
      <c r="O1341" s="981">
        <v>1</v>
      </c>
      <c r="P1341" s="981">
        <v>1</v>
      </c>
      <c r="Q1341" s="981">
        <v>1</v>
      </c>
      <c r="R1341" s="981">
        <v>1</v>
      </c>
      <c r="S1341" s="981">
        <v>1</v>
      </c>
      <c r="T1341" s="981">
        <v>1</v>
      </c>
      <c r="U1341" s="981">
        <v>1</v>
      </c>
      <c r="V1341" s="981">
        <v>1</v>
      </c>
      <c r="W1341" s="981">
        <v>1</v>
      </c>
      <c r="X1341" s="981">
        <v>1</v>
      </c>
      <c r="Y1341" s="981">
        <v>1</v>
      </c>
      <c r="Z1341" s="981">
        <f ca="1">Calc!G45</f>
        <v>1</v>
      </c>
      <c r="AB1341" s="318">
        <v>-15.299999999999898</v>
      </c>
      <c r="AC1341" s="318">
        <v>-53.100899999999569</v>
      </c>
      <c r="AD1341" s="318">
        <v>-10.889999999999816</v>
      </c>
      <c r="AE1341" s="318">
        <v>-105.92999999999984</v>
      </c>
      <c r="AF1341" s="318">
        <v>-179.00999999999988</v>
      </c>
      <c r="AG1341" s="318">
        <v>-135.54000000000002</v>
      </c>
      <c r="AH1341" s="318">
        <v>-102.87000000000006</v>
      </c>
      <c r="AI1341" s="318">
        <v>-102.87000000000006</v>
      </c>
      <c r="AJ1341" s="318">
        <v>-192.95999999999998</v>
      </c>
      <c r="AK1341" s="318">
        <v>-55.620000000000061</v>
      </c>
      <c r="AL1341" s="318">
        <v>-223.91999999999996</v>
      </c>
      <c r="AM1341" s="318">
        <v>-297.08999999999992</v>
      </c>
      <c r="AN1341" s="318">
        <v>-113.04000000000002</v>
      </c>
      <c r="AO1341" s="318">
        <v>-174.41999999999996</v>
      </c>
      <c r="AP1341" s="318">
        <v>-312.46199999999965</v>
      </c>
      <c r="AQ1341" s="318">
        <v>-157.22909999999996</v>
      </c>
      <c r="AR1341" s="318">
        <v>-22.40999999999957</v>
      </c>
      <c r="AS1341" s="318">
        <v>208.70999999999998</v>
      </c>
      <c r="AT1341" s="318">
        <v>236.61000000000018</v>
      </c>
      <c r="AU1341" s="318">
        <v>228.87000000000006</v>
      </c>
      <c r="AV1341" s="318">
        <f ca="1">Calc!AH45</f>
        <v>228.87000000000006</v>
      </c>
      <c r="AX1341" s="88" t="str">
        <f t="shared" ca="1" si="107"/>
        <v>TSLA</v>
      </c>
    </row>
    <row r="1342" spans="1:50" ht="23" hidden="1" customHeight="1" x14ac:dyDescent="0.3">
      <c r="A1342" s="88" t="str">
        <f t="shared" ca="1" si="106"/>
        <v>TSM</v>
      </c>
      <c r="F1342" s="981">
        <v>4500</v>
      </c>
      <c r="G1342" s="981">
        <v>4500</v>
      </c>
      <c r="H1342" s="981">
        <v>4500</v>
      </c>
      <c r="I1342" s="981">
        <v>4000</v>
      </c>
      <c r="J1342" s="981">
        <v>4000</v>
      </c>
      <c r="K1342" s="981">
        <v>4000</v>
      </c>
      <c r="L1342" s="981">
        <v>4800</v>
      </c>
      <c r="M1342" s="981">
        <v>4800</v>
      </c>
      <c r="N1342" s="981">
        <v>4800</v>
      </c>
      <c r="O1342" s="981">
        <v>4800</v>
      </c>
      <c r="P1342" s="981">
        <v>4800</v>
      </c>
      <c r="Q1342" s="981">
        <v>4800</v>
      </c>
      <c r="R1342" s="981">
        <v>4800</v>
      </c>
      <c r="S1342" s="981">
        <v>4800</v>
      </c>
      <c r="T1342" s="981">
        <v>4800</v>
      </c>
      <c r="U1342" s="981">
        <v>4500</v>
      </c>
      <c r="V1342" s="981">
        <v>4500</v>
      </c>
      <c r="W1342" s="981">
        <v>4500</v>
      </c>
      <c r="X1342" s="981">
        <v>4500</v>
      </c>
      <c r="Y1342" s="981">
        <v>4500</v>
      </c>
      <c r="Z1342" s="981">
        <f ca="1">Calc!G46</f>
        <v>4500</v>
      </c>
      <c r="AB1342" s="318">
        <v>-27385.000000000047</v>
      </c>
      <c r="AC1342" s="318">
        <v>-36475.000000000022</v>
      </c>
      <c r="AD1342" s="318">
        <v>-31380.000000000051</v>
      </c>
      <c r="AE1342" s="318">
        <v>659.99999999999659</v>
      </c>
      <c r="AF1342" s="318">
        <v>-697.00000000000273</v>
      </c>
      <c r="AG1342" s="318">
        <v>939.99999999999773</v>
      </c>
      <c r="AH1342" s="318">
        <v>3750</v>
      </c>
      <c r="AI1342" s="318">
        <v>3750</v>
      </c>
      <c r="AJ1342" s="318">
        <v>2829.9999999999841</v>
      </c>
      <c r="AK1342" s="318">
        <v>699.99999999998863</v>
      </c>
      <c r="AL1342" s="318">
        <v>-920.00000000001592</v>
      </c>
      <c r="AM1342" s="318">
        <v>-2560.0000000000023</v>
      </c>
      <c r="AN1342" s="318">
        <v>-3450.0000000000173</v>
      </c>
      <c r="AO1342" s="318">
        <v>677.49999999998067</v>
      </c>
      <c r="AP1342" s="318">
        <v>1224.9999999999943</v>
      </c>
      <c r="AQ1342" s="318">
        <v>-173.99999999999523</v>
      </c>
      <c r="AR1342" s="318">
        <v>900</v>
      </c>
      <c r="AS1342" s="318">
        <v>1194.0000000000055</v>
      </c>
      <c r="AT1342" s="318">
        <v>3252.0000000000095</v>
      </c>
      <c r="AU1342" s="318">
        <v>2808.0000000000041</v>
      </c>
      <c r="AV1342" s="318">
        <f ca="1">Calc!AH46</f>
        <v>2808.0000000000041</v>
      </c>
      <c r="AX1342" s="88" t="str">
        <f t="shared" ca="1" si="107"/>
        <v>TSM</v>
      </c>
    </row>
    <row r="1343" spans="1:50" ht="23" hidden="1" customHeight="1" x14ac:dyDescent="0.3">
      <c r="A1343" s="88" t="str">
        <f t="shared" ca="1" si="106"/>
        <v>UN0</v>
      </c>
      <c r="F1343" s="981">
        <v>3000</v>
      </c>
      <c r="G1343" s="981">
        <v>3000</v>
      </c>
      <c r="H1343" s="981">
        <v>3000</v>
      </c>
      <c r="I1343" s="981">
        <v>3000</v>
      </c>
      <c r="J1343" s="981">
        <v>3000</v>
      </c>
      <c r="K1343" s="981">
        <v>3000</v>
      </c>
      <c r="L1343" s="981">
        <v>3000</v>
      </c>
      <c r="M1343" s="981">
        <v>3000</v>
      </c>
      <c r="N1343" s="981">
        <v>3000</v>
      </c>
      <c r="O1343" s="981">
        <v>3000</v>
      </c>
      <c r="P1343" s="981">
        <v>3000</v>
      </c>
      <c r="Q1343" s="981">
        <v>3000</v>
      </c>
      <c r="R1343" s="981">
        <v>3000</v>
      </c>
      <c r="S1343" s="981">
        <v>3000</v>
      </c>
      <c r="T1343" s="981">
        <v>3000</v>
      </c>
      <c r="U1343" s="981">
        <v>3000</v>
      </c>
      <c r="V1343" s="981">
        <v>3000</v>
      </c>
      <c r="W1343" s="981">
        <v>3000</v>
      </c>
      <c r="X1343" s="981">
        <v>3000</v>
      </c>
      <c r="Y1343" s="981">
        <v>3000</v>
      </c>
      <c r="Z1343" s="981">
        <f ca="1">Calc!G47</f>
        <v>3000</v>
      </c>
      <c r="AB1343" s="318">
        <v>4462.0694999999987</v>
      </c>
      <c r="AC1343" s="318">
        <v>4444.5694999999987</v>
      </c>
      <c r="AD1343" s="318">
        <v>4392.0694999999987</v>
      </c>
      <c r="AE1343" s="318">
        <v>4462.0694999999987</v>
      </c>
      <c r="AF1343" s="318">
        <v>3954.5694999999992</v>
      </c>
      <c r="AG1343" s="318">
        <v>4409.5694999999996</v>
      </c>
      <c r="AH1343" s="318">
        <v>4374.5694999999987</v>
      </c>
      <c r="AI1343" s="318">
        <v>4374.5694999999987</v>
      </c>
      <c r="AJ1343" s="318">
        <v>4672.0694999999996</v>
      </c>
      <c r="AK1343" s="318">
        <v>4952.0694999999996</v>
      </c>
      <c r="AL1343" s="318">
        <v>4707.0694999999987</v>
      </c>
      <c r="AM1343" s="318">
        <v>4917.0694999999987</v>
      </c>
      <c r="AN1343" s="318">
        <v>4987.0694999999987</v>
      </c>
      <c r="AO1343" s="318">
        <v>5144.5694999999987</v>
      </c>
      <c r="AP1343" s="318">
        <v>5179.5694999999987</v>
      </c>
      <c r="AQ1343" s="318">
        <v>5722.0694999999996</v>
      </c>
      <c r="AR1343" s="318">
        <v>5529.5694999999987</v>
      </c>
      <c r="AS1343" s="318">
        <v>5494.5694999999987</v>
      </c>
      <c r="AT1343" s="318">
        <v>5162.0694999999987</v>
      </c>
      <c r="AU1343" s="318">
        <v>4917.0694999999987</v>
      </c>
      <c r="AV1343" s="318">
        <f ca="1">Calc!AH47</f>
        <v>4917.0694999999987</v>
      </c>
      <c r="AX1343" s="88" t="str">
        <f t="shared" ca="1" si="107"/>
        <v>UN0</v>
      </c>
    </row>
    <row r="1344" spans="1:50" ht="23" hidden="1" customHeight="1" x14ac:dyDescent="0.3">
      <c r="A1344" s="88" t="str">
        <f t="shared" ca="1" si="106"/>
        <v>UNIT</v>
      </c>
      <c r="F1344" s="981">
        <v>18087</v>
      </c>
      <c r="G1344" s="981">
        <v>18087</v>
      </c>
      <c r="H1344" s="981">
        <v>18087</v>
      </c>
      <c r="I1344" s="981">
        <v>18087</v>
      </c>
      <c r="J1344" s="981">
        <v>7235</v>
      </c>
      <c r="K1344" s="981">
        <v>7235</v>
      </c>
      <c r="L1344" s="981">
        <v>7235</v>
      </c>
      <c r="M1344" s="981">
        <v>7235</v>
      </c>
      <c r="N1344" s="981">
        <v>7235</v>
      </c>
      <c r="O1344" s="981">
        <v>7235</v>
      </c>
      <c r="P1344" s="981">
        <v>7235</v>
      </c>
      <c r="Q1344" s="981">
        <v>7235</v>
      </c>
      <c r="R1344" s="981">
        <v>7235</v>
      </c>
      <c r="S1344" s="981">
        <v>7235</v>
      </c>
      <c r="T1344" s="981">
        <v>7235</v>
      </c>
      <c r="U1344" s="981">
        <v>7235</v>
      </c>
      <c r="V1344" s="981">
        <v>7235</v>
      </c>
      <c r="W1344" s="981">
        <v>7235</v>
      </c>
      <c r="X1344" s="981">
        <v>7235</v>
      </c>
      <c r="Y1344" s="981">
        <v>7235</v>
      </c>
      <c r="Z1344" s="981">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1">
        <v>1500</v>
      </c>
      <c r="G1345" s="981">
        <v>1500</v>
      </c>
      <c r="H1345" s="981">
        <v>1500</v>
      </c>
      <c r="I1345" s="981">
        <v>1500</v>
      </c>
      <c r="J1345" s="981">
        <v>1500</v>
      </c>
      <c r="K1345" s="981">
        <v>1500</v>
      </c>
      <c r="L1345" s="981">
        <v>1500</v>
      </c>
      <c r="M1345" s="981">
        <v>1500</v>
      </c>
      <c r="N1345" s="981">
        <v>1500</v>
      </c>
      <c r="O1345" s="981">
        <v>1500</v>
      </c>
      <c r="P1345" s="981">
        <v>1500</v>
      </c>
      <c r="Q1345" s="981">
        <v>1500</v>
      </c>
      <c r="R1345" s="981">
        <v>3000</v>
      </c>
      <c r="S1345" s="981">
        <v>3000</v>
      </c>
      <c r="T1345" s="981">
        <v>3000</v>
      </c>
      <c r="U1345" s="981">
        <v>3000</v>
      </c>
      <c r="V1345" s="981">
        <v>3000</v>
      </c>
      <c r="W1345" s="981">
        <v>3000</v>
      </c>
      <c r="X1345" s="981">
        <v>3000</v>
      </c>
      <c r="Y1345" s="981">
        <v>3000</v>
      </c>
      <c r="Z1345" s="981">
        <f ca="1">Calc!G49</f>
        <v>3000</v>
      </c>
      <c r="AB1345" s="318">
        <v>1189.9499999999996</v>
      </c>
      <c r="AC1345" s="318">
        <v>1120.9999999999986</v>
      </c>
      <c r="AD1345" s="318">
        <v>959.99999999999909</v>
      </c>
      <c r="AE1345" s="318">
        <v>1859.9999999999995</v>
      </c>
      <c r="AF1345" s="318">
        <v>1494.9999999999993</v>
      </c>
      <c r="AG1345" s="318">
        <v>1375</v>
      </c>
      <c r="AH1345" s="318">
        <v>1449.9999999999993</v>
      </c>
      <c r="AI1345" s="318">
        <v>1449.9999999999993</v>
      </c>
      <c r="AJ1345" s="318">
        <v>1334.9999999999991</v>
      </c>
      <c r="AK1345" s="318">
        <v>1234.9999999999995</v>
      </c>
      <c r="AL1345" s="318">
        <v>1149.9999999999986</v>
      </c>
      <c r="AM1345" s="318">
        <v>1189.9999999999995</v>
      </c>
      <c r="AN1345" s="318">
        <v>1289.9999999999991</v>
      </c>
      <c r="AO1345" s="318">
        <v>1637.4999999999993</v>
      </c>
      <c r="AP1345" s="318">
        <v>1249.6999999999989</v>
      </c>
      <c r="AQ1345" s="318">
        <v>1359.9999999999995</v>
      </c>
      <c r="AR1345" s="318">
        <v>1331.7499999999995</v>
      </c>
      <c r="AS1345" s="318">
        <v>1019.9999999999995</v>
      </c>
      <c r="AT1345" s="318">
        <v>1234.9999999999995</v>
      </c>
      <c r="AU1345" s="318">
        <v>1037.4999999999995</v>
      </c>
      <c r="AV1345" s="318">
        <f ca="1">Calc!AH49</f>
        <v>1037.4999999999995</v>
      </c>
      <c r="AX1345" s="88" t="str">
        <f t="shared" ca="1" si="107"/>
        <v>VLVLY</v>
      </c>
    </row>
    <row r="1346" spans="1:50" ht="23" hidden="1" customHeight="1" x14ac:dyDescent="0.3">
      <c r="A1346" s="88" t="str">
        <f t="shared" ca="1" si="106"/>
        <v>VONN</v>
      </c>
      <c r="F1346" s="981">
        <v>14000</v>
      </c>
      <c r="G1346" s="981">
        <v>14000</v>
      </c>
      <c r="H1346" s="981">
        <v>15000</v>
      </c>
      <c r="I1346" s="981">
        <v>16000</v>
      </c>
      <c r="J1346" s="981">
        <v>16000</v>
      </c>
      <c r="K1346" s="981">
        <v>16000</v>
      </c>
      <c r="L1346" s="981">
        <v>16000</v>
      </c>
      <c r="M1346" s="981">
        <v>16000</v>
      </c>
      <c r="N1346" s="981">
        <v>16000</v>
      </c>
      <c r="O1346" s="981">
        <v>16000</v>
      </c>
      <c r="P1346" s="981">
        <v>16000</v>
      </c>
      <c r="Q1346" s="981">
        <v>15979</v>
      </c>
      <c r="R1346" s="981">
        <v>15979</v>
      </c>
      <c r="S1346" s="981">
        <v>15000</v>
      </c>
      <c r="T1346" s="981">
        <v>16000</v>
      </c>
      <c r="U1346" s="981">
        <v>18000</v>
      </c>
      <c r="V1346" s="981">
        <v>20000</v>
      </c>
      <c r="W1346" s="981">
        <v>19200</v>
      </c>
      <c r="X1346" s="981">
        <v>19200</v>
      </c>
      <c r="Y1346" s="981">
        <v>19200</v>
      </c>
      <c r="Z1346" s="981">
        <f ca="1">Calc!G50</f>
        <v>19200</v>
      </c>
      <c r="AB1346" s="318">
        <v>1110.9999999999943</v>
      </c>
      <c r="AC1346" s="318">
        <v>1615.9999999999943</v>
      </c>
      <c r="AD1346" s="318">
        <v>2020</v>
      </c>
      <c r="AE1346" s="318">
        <v>2827.9999999999973</v>
      </c>
      <c r="AF1346" s="318">
        <v>2726.9999999999959</v>
      </c>
      <c r="AG1346" s="318">
        <v>3130.9999999999941</v>
      </c>
      <c r="AH1346" s="318">
        <v>1515</v>
      </c>
      <c r="AI1346" s="318">
        <v>1515</v>
      </c>
      <c r="AJ1346" s="318">
        <v>706.99999999999568</v>
      </c>
      <c r="AK1346" s="318">
        <v>505</v>
      </c>
      <c r="AL1346" s="318">
        <v>605.99999999999432</v>
      </c>
      <c r="AM1346" s="318">
        <v>16.80000000000009</v>
      </c>
      <c r="AN1346" s="318">
        <v>6.3000000000000895</v>
      </c>
      <c r="AO1346" s="318">
        <v>37.80000000000009</v>
      </c>
      <c r="AP1346" s="318">
        <v>44.10000000000003</v>
      </c>
      <c r="AQ1346" s="318">
        <v>63</v>
      </c>
      <c r="AR1346" s="318">
        <v>60.900000000000119</v>
      </c>
      <c r="AS1346" s="318">
        <v>319.99999999999886</v>
      </c>
      <c r="AT1346" s="318">
        <v>1359.9999999999966</v>
      </c>
      <c r="AU1346" s="318">
        <v>959.99999999999659</v>
      </c>
      <c r="AV1346" s="318">
        <f ca="1">Calc!AH50</f>
        <v>959.99999999999659</v>
      </c>
      <c r="AX1346" s="88" t="str">
        <f t="shared" ca="1" si="107"/>
        <v>VONN</v>
      </c>
    </row>
    <row r="1347" spans="1:50" ht="23" hidden="1" customHeight="1" x14ac:dyDescent="0.3">
      <c r="A1347" s="88" t="str">
        <f t="shared" ca="1" si="106"/>
        <v>VTRS</v>
      </c>
      <c r="F1347" s="981">
        <v>10000</v>
      </c>
      <c r="G1347" s="981">
        <v>10000</v>
      </c>
      <c r="H1347" s="981">
        <v>5000</v>
      </c>
      <c r="I1347" s="981">
        <v>5000</v>
      </c>
      <c r="J1347" s="981">
        <v>5000</v>
      </c>
      <c r="K1347" s="981">
        <v>5000</v>
      </c>
      <c r="L1347" s="981">
        <v>5000</v>
      </c>
      <c r="M1347" s="981">
        <v>5000</v>
      </c>
      <c r="N1347" s="981">
        <v>5000</v>
      </c>
      <c r="O1347" s="981">
        <v>5000</v>
      </c>
      <c r="P1347" s="981">
        <v>5000</v>
      </c>
      <c r="Q1347" s="981">
        <v>5000</v>
      </c>
      <c r="R1347" s="981">
        <v>5000</v>
      </c>
      <c r="S1347" s="981">
        <v>5000</v>
      </c>
      <c r="T1347" s="981">
        <v>5000</v>
      </c>
      <c r="U1347" s="981">
        <v>5000</v>
      </c>
      <c r="V1347" s="981">
        <v>5000</v>
      </c>
      <c r="W1347" s="981">
        <v>5000</v>
      </c>
      <c r="X1347" s="981">
        <v>5000</v>
      </c>
      <c r="Y1347" s="981">
        <v>5000</v>
      </c>
      <c r="Z1347" s="981">
        <f ca="1">Calc!G51</f>
        <v>5000</v>
      </c>
      <c r="AB1347" s="318">
        <v>3250.0000000000018</v>
      </c>
      <c r="AC1347" s="318">
        <v>3025.0000000000023</v>
      </c>
      <c r="AD1347" s="318">
        <v>-149.99999999999682</v>
      </c>
      <c r="AE1347" s="318">
        <v>-499.99999999999824</v>
      </c>
      <c r="AF1347" s="318">
        <v>-1200.0000000000011</v>
      </c>
      <c r="AG1347" s="318">
        <v>-1600.0000000000014</v>
      </c>
      <c r="AH1347" s="318">
        <v>-1699.9999999999993</v>
      </c>
      <c r="AI1347" s="318">
        <v>-1699.9999999999993</v>
      </c>
      <c r="AJ1347" s="318">
        <v>-1200.0000000000011</v>
      </c>
      <c r="AK1347" s="318">
        <v>-1399.9999999999968</v>
      </c>
      <c r="AL1347" s="318">
        <v>-1749.9999999999982</v>
      </c>
      <c r="AM1347" s="318">
        <v>-1099.9999999999943</v>
      </c>
      <c r="AN1347" s="318">
        <v>-1449.9999999999957</v>
      </c>
      <c r="AO1347" s="318">
        <v>-2324.9999999999991</v>
      </c>
      <c r="AP1347" s="318">
        <v>-3399.9999999999986</v>
      </c>
      <c r="AQ1347" s="318">
        <v>-625</v>
      </c>
      <c r="AR1347" s="318">
        <v>-24.999999999995026</v>
      </c>
      <c r="AS1347" s="318">
        <v>-3250.0000000000018</v>
      </c>
      <c r="AT1347" s="318">
        <v>-3200.0000000000027</v>
      </c>
      <c r="AU1347" s="318">
        <v>-2374.9999999999982</v>
      </c>
      <c r="AV1347" s="318">
        <f ca="1">Calc!AH51</f>
        <v>-2374.9999999999982</v>
      </c>
      <c r="AX1347" s="88" t="str">
        <f t="shared" ca="1" si="107"/>
        <v>VTRS</v>
      </c>
    </row>
    <row r="1348" spans="1:50" ht="23" hidden="1" customHeight="1" x14ac:dyDescent="0.3">
      <c r="A1348" s="88" t="str">
        <f t="shared" ca="1" si="106"/>
        <v>WBA</v>
      </c>
      <c r="F1348" s="981">
        <v>3000</v>
      </c>
      <c r="G1348" s="981">
        <v>3000</v>
      </c>
      <c r="H1348" s="981">
        <v>3000</v>
      </c>
      <c r="I1348" s="981">
        <v>3000</v>
      </c>
      <c r="J1348" s="981">
        <v>3000</v>
      </c>
      <c r="K1348" s="981">
        <v>3000</v>
      </c>
      <c r="L1348" s="981">
        <v>3000</v>
      </c>
      <c r="M1348" s="981">
        <v>3000</v>
      </c>
      <c r="N1348" s="981">
        <v>3000</v>
      </c>
      <c r="O1348" s="981">
        <v>3000</v>
      </c>
      <c r="P1348" s="981">
        <v>3000</v>
      </c>
      <c r="Q1348" s="981">
        <v>3000</v>
      </c>
      <c r="R1348" s="981">
        <v>3000</v>
      </c>
      <c r="S1348" s="981">
        <v>3000</v>
      </c>
      <c r="T1348" s="981">
        <v>3000</v>
      </c>
      <c r="U1348" s="981">
        <v>3000</v>
      </c>
      <c r="V1348" s="981">
        <v>3000</v>
      </c>
      <c r="W1348" s="981">
        <v>3000</v>
      </c>
      <c r="X1348" s="981">
        <v>3000</v>
      </c>
      <c r="Y1348" s="981">
        <v>3000</v>
      </c>
      <c r="Z1348" s="981">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1">
        <v>500</v>
      </c>
      <c r="G1349" s="981">
        <v>500</v>
      </c>
      <c r="H1349" s="981">
        <v>500</v>
      </c>
      <c r="I1349" s="981">
        <v>500</v>
      </c>
      <c r="J1349" s="981">
        <v>500</v>
      </c>
      <c r="K1349" s="981">
        <v>500</v>
      </c>
      <c r="L1349" s="981">
        <v>500</v>
      </c>
      <c r="M1349" s="981">
        <v>500</v>
      </c>
      <c r="N1349" s="981">
        <v>500</v>
      </c>
      <c r="O1349" s="981">
        <v>500</v>
      </c>
      <c r="P1349" s="981">
        <v>500</v>
      </c>
      <c r="Q1349" s="981">
        <v>500</v>
      </c>
      <c r="R1349" s="981">
        <v>500</v>
      </c>
      <c r="S1349" s="981">
        <v>500</v>
      </c>
      <c r="T1349" s="981">
        <v>500</v>
      </c>
      <c r="U1349" s="981">
        <v>500</v>
      </c>
      <c r="V1349" s="981">
        <v>500</v>
      </c>
      <c r="W1349" s="981">
        <v>500</v>
      </c>
      <c r="X1349" s="981">
        <v>500</v>
      </c>
      <c r="Y1349" s="981">
        <v>500</v>
      </c>
      <c r="Z1349" s="981">
        <f ca="1">Calc!G53</f>
        <v>500</v>
      </c>
      <c r="AB1349" s="318">
        <v>-8891.9999999999964</v>
      </c>
      <c r="AC1349" s="318">
        <v>-7929.0000000000018</v>
      </c>
      <c r="AD1349" s="318">
        <v>-5885.9999999999927</v>
      </c>
      <c r="AE1349" s="318">
        <v>-8765.9999999999818</v>
      </c>
      <c r="AF1349" s="318">
        <v>-9602.9999999999891</v>
      </c>
      <c r="AG1349" s="318">
        <v>-9593.9999999999964</v>
      </c>
      <c r="AH1349" s="318">
        <v>-13247.999999999998</v>
      </c>
      <c r="AI1349" s="318">
        <v>-13247.999999999998</v>
      </c>
      <c r="AJ1349" s="318">
        <v>-15443.999999999996</v>
      </c>
      <c r="AK1349" s="318">
        <v>-14454.000000000002</v>
      </c>
      <c r="AL1349" s="318">
        <v>-15461.99999999998</v>
      </c>
      <c r="AM1349" s="318">
        <v>-13806.000000000004</v>
      </c>
      <c r="AN1349" s="318">
        <v>-13175.999999999987</v>
      </c>
      <c r="AO1349" s="318">
        <v>-12104.999999999989</v>
      </c>
      <c r="AP1349" s="318">
        <v>-11411.99999999998</v>
      </c>
      <c r="AQ1349" s="318">
        <v>-13535.999999999993</v>
      </c>
      <c r="AR1349" s="318">
        <v>-18035.999999999993</v>
      </c>
      <c r="AS1349" s="318">
        <v>-21437.999999999993</v>
      </c>
      <c r="AT1349" s="318">
        <v>-20987.999999999993</v>
      </c>
      <c r="AU1349" s="318">
        <v>-18377.999999999989</v>
      </c>
      <c r="AV1349" s="318">
        <f ca="1">Calc!AH53</f>
        <v>-18377.999999999989</v>
      </c>
      <c r="AX1349" s="88" t="str">
        <f t="shared" ca="1" si="107"/>
        <v>XOM</v>
      </c>
    </row>
    <row r="1350" spans="1:50" ht="23" hidden="1" customHeight="1" x14ac:dyDescent="0.3">
      <c r="A1350" s="88" t="str">
        <f t="shared" ca="1" si="106"/>
        <v>XPER</v>
      </c>
      <c r="F1350" s="981">
        <v>10000</v>
      </c>
      <c r="G1350" s="981">
        <v>10000</v>
      </c>
      <c r="H1350" s="981">
        <v>10000</v>
      </c>
      <c r="I1350" s="981">
        <v>10000</v>
      </c>
      <c r="J1350" s="981">
        <v>10000</v>
      </c>
      <c r="K1350" s="981">
        <v>10000</v>
      </c>
      <c r="L1350" s="981">
        <v>10000</v>
      </c>
      <c r="M1350" s="981">
        <v>10000</v>
      </c>
      <c r="N1350" s="981">
        <v>10000</v>
      </c>
      <c r="O1350" s="981">
        <v>10000</v>
      </c>
      <c r="P1350" s="981">
        <v>10000</v>
      </c>
      <c r="Q1350" s="981">
        <v>10000</v>
      </c>
      <c r="R1350" s="981">
        <v>10000</v>
      </c>
      <c r="S1350" s="981">
        <v>10000</v>
      </c>
      <c r="T1350" s="981">
        <v>10000</v>
      </c>
      <c r="U1350" s="981">
        <v>10000</v>
      </c>
      <c r="V1350" s="981">
        <v>10000</v>
      </c>
      <c r="W1350" s="981">
        <v>10000</v>
      </c>
      <c r="X1350" s="981">
        <v>10000</v>
      </c>
      <c r="Y1350" s="981">
        <v>10000</v>
      </c>
      <c r="Z1350" s="981">
        <f ca="1">Calc!G54</f>
        <v>10000</v>
      </c>
      <c r="AB1350" s="318">
        <v>27648.000000000004</v>
      </c>
      <c r="AC1350" s="318">
        <v>27215.280000000002</v>
      </c>
      <c r="AD1350" s="318">
        <v>27576.000000000007</v>
      </c>
      <c r="AE1350" s="318">
        <v>28368.000000000004</v>
      </c>
      <c r="AF1350" s="318">
        <v>27504.000000000004</v>
      </c>
      <c r="AG1350" s="318">
        <v>27144.000000000004</v>
      </c>
      <c r="AH1350" s="318">
        <v>28728.000000000007</v>
      </c>
      <c r="AI1350" s="318">
        <v>28800.000000000007</v>
      </c>
      <c r="AJ1350" s="318">
        <v>28368.000000000004</v>
      </c>
      <c r="AK1350" s="318">
        <v>27792.000000000004</v>
      </c>
      <c r="AL1350" s="318">
        <v>28152.000000000007</v>
      </c>
      <c r="AM1350" s="318">
        <v>27432.000000000004</v>
      </c>
      <c r="AN1350" s="318">
        <v>28512.000000000007</v>
      </c>
      <c r="AO1350" s="318">
        <v>30060.000000000004</v>
      </c>
      <c r="AP1350" s="318">
        <v>27432.000000000004</v>
      </c>
      <c r="AQ1350" s="318">
        <v>26352.000000000007</v>
      </c>
      <c r="AR1350" s="318">
        <v>28450.800000000007</v>
      </c>
      <c r="AS1350" s="318">
        <v>31392.000000000004</v>
      </c>
      <c r="AT1350" s="318">
        <v>34056</v>
      </c>
      <c r="AU1350" s="318">
        <v>34992</v>
      </c>
      <c r="AV1350" s="318">
        <f ca="1">Calc!AH54</f>
        <v>34992</v>
      </c>
      <c r="AX1350" s="88" t="str">
        <f t="shared" ca="1" si="107"/>
        <v>XPER</v>
      </c>
    </row>
    <row r="1351" spans="1:50" ht="23" hidden="1" customHeight="1" x14ac:dyDescent="0.3">
      <c r="A1351" s="88" t="str">
        <f t="shared" ca="1" si="106"/>
        <v>MVEALDNE</v>
      </c>
      <c r="F1351" s="981">
        <v>505000</v>
      </c>
      <c r="G1351" s="981">
        <v>505000</v>
      </c>
      <c r="H1351" s="981">
        <v>505000</v>
      </c>
      <c r="I1351" s="981">
        <v>505000</v>
      </c>
      <c r="J1351" s="981">
        <v>505000</v>
      </c>
      <c r="K1351" s="981">
        <v>505000</v>
      </c>
      <c r="L1351" s="981">
        <v>505000</v>
      </c>
      <c r="M1351" s="981">
        <v>505000</v>
      </c>
      <c r="N1351" s="981">
        <v>505000</v>
      </c>
      <c r="O1351" s="981">
        <v>505000</v>
      </c>
      <c r="P1351" s="981">
        <v>505000</v>
      </c>
      <c r="Q1351" s="981">
        <v>505000</v>
      </c>
      <c r="R1351" s="981">
        <v>505000</v>
      </c>
      <c r="S1351" s="981">
        <v>505000</v>
      </c>
      <c r="T1351" s="981">
        <v>505000</v>
      </c>
      <c r="U1351" s="981">
        <v>505000</v>
      </c>
      <c r="V1351" s="981">
        <v>505000</v>
      </c>
      <c r="W1351" s="981">
        <v>505000</v>
      </c>
      <c r="X1351" s="981">
        <v>505000</v>
      </c>
      <c r="Y1351" s="981">
        <v>505000</v>
      </c>
      <c r="Z1351" s="981">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1">
        <v>10000</v>
      </c>
      <c r="G1352" s="981">
        <v>10000</v>
      </c>
      <c r="H1352" s="981">
        <v>10000</v>
      </c>
      <c r="I1352" s="981">
        <v>10000</v>
      </c>
      <c r="J1352" s="981">
        <v>10000</v>
      </c>
      <c r="K1352" s="981">
        <v>10000</v>
      </c>
      <c r="L1352" s="981">
        <v>10000</v>
      </c>
      <c r="M1352" s="981">
        <v>10000</v>
      </c>
      <c r="N1352" s="981">
        <v>10000</v>
      </c>
      <c r="O1352" s="981">
        <v>10000</v>
      </c>
      <c r="P1352" s="981">
        <v>10000</v>
      </c>
      <c r="Q1352" s="981">
        <v>10000</v>
      </c>
      <c r="R1352" s="981">
        <v>10000</v>
      </c>
      <c r="S1352" s="981">
        <v>10000</v>
      </c>
      <c r="T1352" s="981">
        <v>10000</v>
      </c>
      <c r="U1352" s="981">
        <v>10000</v>
      </c>
      <c r="V1352" s="981">
        <v>10000</v>
      </c>
      <c r="W1352" s="981">
        <v>10000</v>
      </c>
      <c r="X1352" s="981">
        <v>10000</v>
      </c>
      <c r="Y1352" s="981">
        <v>10000</v>
      </c>
      <c r="Z1352" s="981">
        <f ca="1">Calc!G56</f>
        <v>10000</v>
      </c>
      <c r="AB1352" s="318">
        <v>2199.9999999999995</v>
      </c>
      <c r="AC1352" s="318">
        <v>1350</v>
      </c>
      <c r="AD1352" s="318">
        <v>1300.0000000000011</v>
      </c>
      <c r="AE1352" s="318">
        <v>2050.0000000000009</v>
      </c>
      <c r="AF1352" s="318">
        <v>-1325.0000000000007</v>
      </c>
      <c r="AG1352" s="318">
        <v>749.99999999999955</v>
      </c>
      <c r="AH1352" s="318">
        <v>2575.0000000000005</v>
      </c>
      <c r="AI1352" s="318">
        <v>2575.0000000000005</v>
      </c>
      <c r="AJ1352" s="318">
        <v>2224.9999999999991</v>
      </c>
      <c r="AK1352" s="318">
        <v>1975</v>
      </c>
      <c r="AL1352" s="318">
        <v>2224.9999999999991</v>
      </c>
      <c r="AM1352" s="318">
        <v>1625.0000000000009</v>
      </c>
      <c r="AN1352" s="318">
        <v>3500.0000000000009</v>
      </c>
      <c r="AO1352" s="318">
        <v>4625.9999999999991</v>
      </c>
      <c r="AP1352" s="318">
        <v>4600</v>
      </c>
      <c r="AQ1352" s="318">
        <v>6274.9999999999991</v>
      </c>
      <c r="AR1352" s="318">
        <v>6475</v>
      </c>
      <c r="AS1352" s="318">
        <v>6799.9999999999991</v>
      </c>
      <c r="AT1352" s="318">
        <v>7200</v>
      </c>
      <c r="AU1352" s="318">
        <v>7375</v>
      </c>
      <c r="AV1352" s="318">
        <f ca="1">Calc!AH56</f>
        <v>7375</v>
      </c>
      <c r="AX1352" s="88" t="str">
        <f t="shared" ca="1" si="107"/>
        <v>MVEDDD</v>
      </c>
    </row>
    <row r="1353" spans="1:50" ht="23" hidden="1" customHeight="1" x14ac:dyDescent="0.3">
      <c r="A1353" s="88" t="str">
        <f t="shared" ca="1" si="106"/>
        <v>MVEDSY</v>
      </c>
      <c r="F1353" s="981">
        <v>12000</v>
      </c>
      <c r="G1353" s="981">
        <v>12000</v>
      </c>
      <c r="H1353" s="981">
        <v>12000</v>
      </c>
      <c r="I1353" s="981">
        <v>12000</v>
      </c>
      <c r="J1353" s="981">
        <v>12000</v>
      </c>
      <c r="K1353" s="981">
        <v>12000</v>
      </c>
      <c r="L1353" s="981">
        <v>12000</v>
      </c>
      <c r="M1353" s="981">
        <v>12000</v>
      </c>
      <c r="N1353" s="981">
        <v>12000</v>
      </c>
      <c r="O1353" s="981">
        <v>12000</v>
      </c>
      <c r="P1353" s="981">
        <v>12000</v>
      </c>
      <c r="Q1353" s="981">
        <v>12000</v>
      </c>
      <c r="R1353" s="981">
        <v>12000</v>
      </c>
      <c r="S1353" s="981">
        <v>12000</v>
      </c>
      <c r="T1353" s="981">
        <v>12000</v>
      </c>
      <c r="U1353" s="981">
        <v>12000</v>
      </c>
      <c r="V1353" s="981">
        <v>12000</v>
      </c>
      <c r="W1353" s="981">
        <v>12000</v>
      </c>
      <c r="X1353" s="981">
        <v>12000</v>
      </c>
      <c r="Y1353" s="981">
        <v>12000</v>
      </c>
      <c r="Z1353" s="981">
        <f ca="1">Calc!G57</f>
        <v>12000</v>
      </c>
      <c r="AB1353" s="318">
        <v>11659.999999999996</v>
      </c>
      <c r="AC1353" s="318">
        <v>11129.999999999998</v>
      </c>
      <c r="AD1353" s="318">
        <v>10629.999999999998</v>
      </c>
      <c r="AE1353" s="318">
        <v>10680</v>
      </c>
      <c r="AF1353" s="318">
        <v>10229.999999999996</v>
      </c>
      <c r="AG1353" s="318">
        <v>9739.9999999999982</v>
      </c>
      <c r="AH1353" s="318">
        <v>9889.9999999999964</v>
      </c>
      <c r="AI1353" s="318">
        <v>9889.9999999999964</v>
      </c>
      <c r="AJ1353" s="318">
        <v>13799.999999999996</v>
      </c>
      <c r="AK1353" s="318">
        <v>14319.999999999996</v>
      </c>
      <c r="AL1353" s="318">
        <v>14599.999999999998</v>
      </c>
      <c r="AM1353" s="318">
        <v>15040</v>
      </c>
      <c r="AN1353" s="318">
        <v>15459.999999999998</v>
      </c>
      <c r="AO1353" s="318">
        <v>15969.999999999998</v>
      </c>
      <c r="AP1353" s="318">
        <v>16029.999999999998</v>
      </c>
      <c r="AQ1353" s="318">
        <v>16749.999999999996</v>
      </c>
      <c r="AR1353" s="318">
        <v>16669.999999999996</v>
      </c>
      <c r="AS1353" s="318">
        <v>16020</v>
      </c>
      <c r="AT1353" s="318">
        <v>16839.999999999996</v>
      </c>
      <c r="AU1353" s="318">
        <v>16630</v>
      </c>
      <c r="AV1353" s="318">
        <f ca="1">Calc!AH57</f>
        <v>16630</v>
      </c>
      <c r="AX1353" s="88" t="str">
        <f t="shared" ca="1" si="107"/>
        <v>MVEDSY</v>
      </c>
    </row>
    <row r="1354" spans="1:50" ht="23" hidden="1" customHeight="1" x14ac:dyDescent="0.3">
      <c r="A1354" s="88" t="str">
        <f t="shared" ca="1" si="106"/>
        <v>MVEEOAN</v>
      </c>
      <c r="F1354" s="981">
        <v>10</v>
      </c>
      <c r="G1354" s="981">
        <v>10</v>
      </c>
      <c r="H1354" s="981">
        <v>10</v>
      </c>
      <c r="I1354" s="981">
        <v>10</v>
      </c>
      <c r="J1354" s="981">
        <v>10</v>
      </c>
      <c r="K1354" s="981">
        <v>10</v>
      </c>
      <c r="L1354" s="981">
        <v>10</v>
      </c>
      <c r="M1354" s="981">
        <v>10</v>
      </c>
      <c r="N1354" s="981">
        <v>10</v>
      </c>
      <c r="O1354" s="981">
        <v>10</v>
      </c>
      <c r="P1354" s="981">
        <v>10</v>
      </c>
      <c r="Q1354" s="981">
        <v>10</v>
      </c>
      <c r="R1354" s="981">
        <v>10</v>
      </c>
      <c r="S1354" s="981">
        <v>10</v>
      </c>
      <c r="T1354" s="981">
        <v>10</v>
      </c>
      <c r="U1354" s="981">
        <v>10</v>
      </c>
      <c r="V1354" s="981">
        <v>10</v>
      </c>
      <c r="W1354" s="981">
        <v>10</v>
      </c>
      <c r="X1354" s="981">
        <v>10</v>
      </c>
      <c r="Y1354" s="981">
        <v>10</v>
      </c>
      <c r="Z1354" s="981">
        <f ca="1">Calc!G58</f>
        <v>10</v>
      </c>
      <c r="AB1354" s="318">
        <v>-11391.900000000001</v>
      </c>
      <c r="AC1354" s="318">
        <v>-10883.599999999997</v>
      </c>
      <c r="AD1354" s="318">
        <v>-11033.099999999999</v>
      </c>
      <c r="AE1354" s="318">
        <v>-11092.899999999998</v>
      </c>
      <c r="AF1354" s="318">
        <v>-11541.400000000003</v>
      </c>
      <c r="AG1354" s="318">
        <v>-11376.949999999993</v>
      </c>
      <c r="AH1354" s="318">
        <v>-10584.600000000002</v>
      </c>
      <c r="AI1354" s="318">
        <v>-10584.600000000002</v>
      </c>
      <c r="AJ1354" s="318">
        <v>-10225.799999999999</v>
      </c>
      <c r="AK1354" s="318">
        <v>-10464.999999999995</v>
      </c>
      <c r="AL1354" s="318">
        <v>-10569.649999999996</v>
      </c>
      <c r="AM1354" s="318">
        <v>-11003.199999999993</v>
      </c>
      <c r="AN1354" s="318">
        <v>-11048.049999999996</v>
      </c>
      <c r="AO1354" s="318">
        <v>-9538.0999999999985</v>
      </c>
      <c r="AP1354" s="318">
        <v>-10435.1</v>
      </c>
      <c r="AQ1354" s="318">
        <v>-10524.799999999994</v>
      </c>
      <c r="AR1354" s="318">
        <v>-10599.55</v>
      </c>
      <c r="AS1354" s="318">
        <v>-8028.149999999996</v>
      </c>
      <c r="AT1354" s="318">
        <v>-7983.3</v>
      </c>
      <c r="AU1354" s="318">
        <v>-8192.6</v>
      </c>
      <c r="AV1354" s="318">
        <f ca="1">Calc!AH58</f>
        <v>-8192.6</v>
      </c>
      <c r="AX1354" s="88" t="str">
        <f t="shared" ca="1" si="107"/>
        <v>MVEEOAN</v>
      </c>
    </row>
    <row r="1355" spans="1:50" ht="23" hidden="1" customHeight="1" x14ac:dyDescent="0.3">
      <c r="A1355" s="88" t="str">
        <f t="shared" ca="1" si="106"/>
        <v>MVEENI</v>
      </c>
      <c r="F1355" s="981">
        <v>36000</v>
      </c>
      <c r="G1355" s="981">
        <v>36000</v>
      </c>
      <c r="H1355" s="981">
        <v>36000</v>
      </c>
      <c r="I1355" s="981">
        <v>36000</v>
      </c>
      <c r="J1355" s="981">
        <v>36000</v>
      </c>
      <c r="K1355" s="981">
        <v>36000</v>
      </c>
      <c r="L1355" s="981">
        <v>36000</v>
      </c>
      <c r="M1355" s="981">
        <v>36000</v>
      </c>
      <c r="N1355" s="981">
        <v>36000</v>
      </c>
      <c r="O1355" s="981">
        <v>36000</v>
      </c>
      <c r="P1355" s="981">
        <v>36000</v>
      </c>
      <c r="Q1355" s="981">
        <v>36000</v>
      </c>
      <c r="R1355" s="981">
        <v>36000</v>
      </c>
      <c r="S1355" s="981">
        <v>36000</v>
      </c>
      <c r="T1355" s="981">
        <v>36000</v>
      </c>
      <c r="U1355" s="981">
        <v>36000</v>
      </c>
      <c r="V1355" s="981">
        <v>36000</v>
      </c>
      <c r="W1355" s="981">
        <v>36000</v>
      </c>
      <c r="X1355" s="981">
        <v>36000</v>
      </c>
      <c r="Y1355" s="981">
        <v>36000</v>
      </c>
      <c r="Z1355" s="981">
        <f ca="1">Calc!G59</f>
        <v>36000</v>
      </c>
      <c r="AB1355" s="318">
        <v>1679.9999999999998</v>
      </c>
      <c r="AC1355" s="318">
        <v>1591.9999999999986</v>
      </c>
      <c r="AD1355" s="318">
        <v>1415.9999999999968</v>
      </c>
      <c r="AE1355" s="318">
        <v>1103.9999999999991</v>
      </c>
      <c r="AF1355" s="318">
        <v>975.99999999999909</v>
      </c>
      <c r="AG1355" s="318">
        <v>879.99999999999545</v>
      </c>
      <c r="AH1355" s="318">
        <v>-24.000000000000909</v>
      </c>
      <c r="AI1355" s="318">
        <v>-24.000000000000909</v>
      </c>
      <c r="AJ1355" s="318">
        <v>-1864.0000000000043</v>
      </c>
      <c r="AK1355" s="318">
        <v>-2864.0000000000045</v>
      </c>
      <c r="AL1355" s="318">
        <v>-3288.0000000000036</v>
      </c>
      <c r="AM1355" s="318">
        <v>-3064</v>
      </c>
      <c r="AN1355" s="318">
        <v>-3200.0000000000027</v>
      </c>
      <c r="AO1355" s="318">
        <v>-3160.0000000000036</v>
      </c>
      <c r="AP1355" s="318">
        <v>-3392.0000000000032</v>
      </c>
      <c r="AQ1355" s="318">
        <v>-3312.0000000000045</v>
      </c>
      <c r="AR1355" s="318">
        <v>-3248.0000000000045</v>
      </c>
      <c r="AS1355" s="318">
        <v>-5416.0000000000036</v>
      </c>
      <c r="AT1355" s="318">
        <v>-4960.0000000000009</v>
      </c>
      <c r="AU1355" s="318">
        <v>-4392.0000000000027</v>
      </c>
      <c r="AV1355" s="318">
        <f ca="1">Calc!AH59</f>
        <v>-4392.0000000000027</v>
      </c>
      <c r="AX1355" s="88" t="str">
        <f t="shared" ca="1" si="107"/>
        <v>MVEENI</v>
      </c>
    </row>
    <row r="1356" spans="1:50" ht="23" hidden="1" customHeight="1" x14ac:dyDescent="0.3">
      <c r="A1356" s="88" t="str">
        <f t="shared" ca="1" si="106"/>
        <v>MVEEPIX</v>
      </c>
      <c r="F1356" s="981">
        <v>12000</v>
      </c>
      <c r="G1356" s="981">
        <v>12000</v>
      </c>
      <c r="H1356" s="981">
        <v>12000</v>
      </c>
      <c r="I1356" s="981">
        <v>12000</v>
      </c>
      <c r="J1356" s="981">
        <v>12000</v>
      </c>
      <c r="K1356" s="981">
        <v>12000</v>
      </c>
      <c r="L1356" s="981">
        <v>12000</v>
      </c>
      <c r="M1356" s="981">
        <v>12000</v>
      </c>
      <c r="N1356" s="981">
        <v>12000</v>
      </c>
      <c r="O1356" s="981">
        <v>12000</v>
      </c>
      <c r="P1356" s="981">
        <v>12000</v>
      </c>
      <c r="Q1356" s="981">
        <v>12000</v>
      </c>
      <c r="R1356" s="981">
        <v>12000</v>
      </c>
      <c r="S1356" s="981">
        <v>12000</v>
      </c>
      <c r="T1356" s="981">
        <v>12000</v>
      </c>
      <c r="U1356" s="981">
        <v>12000</v>
      </c>
      <c r="V1356" s="981">
        <v>12000</v>
      </c>
      <c r="W1356" s="981">
        <v>12000</v>
      </c>
      <c r="X1356" s="981">
        <v>12000</v>
      </c>
      <c r="Y1356" s="981">
        <v>12000</v>
      </c>
      <c r="Z1356" s="981">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1">
        <v>6000</v>
      </c>
      <c r="G1357" s="981">
        <v>6000</v>
      </c>
      <c r="H1357" s="981">
        <v>6000</v>
      </c>
      <c r="I1357" s="981">
        <v>7000</v>
      </c>
      <c r="J1357" s="981">
        <v>7000</v>
      </c>
      <c r="K1357" s="981">
        <v>7000</v>
      </c>
      <c r="L1357" s="981">
        <v>7000</v>
      </c>
      <c r="M1357" s="981">
        <v>7000</v>
      </c>
      <c r="N1357" s="981">
        <v>7000</v>
      </c>
      <c r="O1357" s="981">
        <v>7000</v>
      </c>
      <c r="P1357" s="981">
        <v>7000</v>
      </c>
      <c r="Q1357" s="981">
        <v>7000</v>
      </c>
      <c r="R1357" s="981">
        <v>7000</v>
      </c>
      <c r="S1357" s="981">
        <v>7000</v>
      </c>
      <c r="T1357" s="981">
        <v>7000</v>
      </c>
      <c r="U1357" s="981">
        <v>7000</v>
      </c>
      <c r="V1357" s="981">
        <v>7000</v>
      </c>
      <c r="W1357" s="981">
        <v>7000</v>
      </c>
      <c r="X1357" s="981">
        <v>7000</v>
      </c>
      <c r="Y1357" s="981">
        <v>7000</v>
      </c>
      <c r="Z1357" s="981">
        <f ca="1">Calc!G61</f>
        <v>7000</v>
      </c>
      <c r="AB1357" s="318">
        <v>-7550.0000000000045</v>
      </c>
      <c r="AC1357" s="318">
        <v>-8090.0000000000036</v>
      </c>
      <c r="AD1357" s="318">
        <v>-9050.0000000000036</v>
      </c>
      <c r="AE1357" s="318">
        <v>-6170.0000000000018</v>
      </c>
      <c r="AF1357" s="318">
        <v>-5530.0000000000009</v>
      </c>
      <c r="AG1357" s="318">
        <v>-5649.9999999999982</v>
      </c>
      <c r="AH1357" s="318">
        <v>-5410.0000000000036</v>
      </c>
      <c r="AI1357" s="318">
        <v>-5410.0000000000036</v>
      </c>
      <c r="AJ1357" s="318">
        <v>-6109.9999999999991</v>
      </c>
      <c r="AK1357" s="318">
        <v>-6210.0000000000009</v>
      </c>
      <c r="AL1357" s="318">
        <v>-6130.0000000000027</v>
      </c>
      <c r="AM1357" s="318">
        <v>-6789.9999999999991</v>
      </c>
      <c r="AN1357" s="318">
        <v>-5530.0000000000009</v>
      </c>
      <c r="AO1357" s="318">
        <v>-7109.9999999999991</v>
      </c>
      <c r="AP1357" s="318">
        <v>-7170.0000000000018</v>
      </c>
      <c r="AQ1357" s="318">
        <v>-8329.9999999999982</v>
      </c>
      <c r="AR1357" s="318">
        <v>-7170.0000000000018</v>
      </c>
      <c r="AS1357" s="318">
        <v>-10509.999999999998</v>
      </c>
      <c r="AT1357" s="318">
        <v>-8710</v>
      </c>
      <c r="AU1357" s="318">
        <v>-9350.0000000000018</v>
      </c>
      <c r="AV1357" s="318">
        <f ca="1">Calc!AH61</f>
        <v>-9350.0000000000018</v>
      </c>
      <c r="AX1357" s="88" t="str">
        <f t="shared" ca="1" si="107"/>
        <v>MVEGLE</v>
      </c>
    </row>
    <row r="1358" spans="1:50" ht="23" hidden="1" customHeight="1" x14ac:dyDescent="0.3">
      <c r="A1358" s="88" t="str">
        <f t="shared" ca="1" si="106"/>
        <v>MVEORA</v>
      </c>
      <c r="F1358" s="981">
        <v>19800</v>
      </c>
      <c r="G1358" s="981">
        <v>19800</v>
      </c>
      <c r="H1358" s="981">
        <v>19800</v>
      </c>
      <c r="I1358" s="981">
        <v>19800</v>
      </c>
      <c r="J1358" s="981">
        <v>19800</v>
      </c>
      <c r="K1358" s="981">
        <v>19800</v>
      </c>
      <c r="L1358" s="981">
        <v>19800</v>
      </c>
      <c r="M1358" s="981">
        <v>19800</v>
      </c>
      <c r="N1358" s="981">
        <v>19800</v>
      </c>
      <c r="O1358" s="981">
        <v>19800</v>
      </c>
      <c r="P1358" s="981">
        <v>19800</v>
      </c>
      <c r="Q1358" s="981">
        <v>19800</v>
      </c>
      <c r="R1358" s="981">
        <v>19800</v>
      </c>
      <c r="S1358" s="981">
        <v>19800</v>
      </c>
      <c r="T1358" s="981">
        <v>19800</v>
      </c>
      <c r="U1358" s="981">
        <v>19800</v>
      </c>
      <c r="V1358" s="981">
        <v>19800</v>
      </c>
      <c r="W1358" s="981">
        <v>19800</v>
      </c>
      <c r="X1358" s="981">
        <v>19800</v>
      </c>
      <c r="Y1358" s="981">
        <v>19800</v>
      </c>
      <c r="Z1358" s="981">
        <f ca="1">Calc!G62</f>
        <v>19800</v>
      </c>
      <c r="AB1358" s="318">
        <v>209.99999999999872</v>
      </c>
      <c r="AC1358" s="318">
        <v>-324.00000000000159</v>
      </c>
      <c r="AD1358" s="318">
        <v>-408.00000000000193</v>
      </c>
      <c r="AE1358" s="318">
        <v>-708.00000000000193</v>
      </c>
      <c r="AF1358" s="318">
        <v>-498.00000000000114</v>
      </c>
      <c r="AG1358" s="318">
        <v>-456.00000000000091</v>
      </c>
      <c r="AH1358" s="318">
        <v>-390.00000000000125</v>
      </c>
      <c r="AI1358" s="318">
        <v>-390.00000000000125</v>
      </c>
      <c r="AJ1358" s="318">
        <v>-486.00000000000136</v>
      </c>
      <c r="AK1358" s="318">
        <v>-210.00000000000085</v>
      </c>
      <c r="AL1358" s="318">
        <v>-126.00000000000051</v>
      </c>
      <c r="AM1358" s="318">
        <v>-174.00000000000162</v>
      </c>
      <c r="AN1358" s="318">
        <v>-132.00000000000145</v>
      </c>
      <c r="AO1358" s="318">
        <v>35.999999999999233</v>
      </c>
      <c r="AP1358" s="318">
        <v>35.999999999999233</v>
      </c>
      <c r="AQ1358" s="318">
        <v>-234.00000000000034</v>
      </c>
      <c r="AR1358" s="318">
        <v>-503.99999999999989</v>
      </c>
      <c r="AS1358" s="318">
        <v>-330.00000000000045</v>
      </c>
      <c r="AT1358" s="318">
        <v>65.999999999999659</v>
      </c>
      <c r="AU1358" s="318">
        <v>-42.000000000000171</v>
      </c>
      <c r="AV1358" s="318">
        <f ca="1">Calc!AH62</f>
        <v>-42.000000000000171</v>
      </c>
      <c r="AX1358" s="88" t="str">
        <f t="shared" ca="1" si="107"/>
        <v>MVEORA</v>
      </c>
    </row>
    <row r="1359" spans="1:50" ht="23" hidden="1" customHeight="1" x14ac:dyDescent="0.3">
      <c r="A1359" s="88" t="str">
        <f t="shared" ref="A1359:A1392" ca="1" si="108">A1260</f>
        <v>MVERWE</v>
      </c>
      <c r="F1359" s="981">
        <v>1</v>
      </c>
      <c r="G1359" s="981">
        <v>1</v>
      </c>
      <c r="H1359" s="981">
        <v>1</v>
      </c>
      <c r="I1359" s="981">
        <v>1</v>
      </c>
      <c r="J1359" s="981">
        <v>1</v>
      </c>
      <c r="K1359" s="981">
        <v>1</v>
      </c>
      <c r="L1359" s="981">
        <v>1</v>
      </c>
      <c r="M1359" s="981">
        <v>1</v>
      </c>
      <c r="N1359" s="981">
        <v>1</v>
      </c>
      <c r="O1359" s="981">
        <v>1</v>
      </c>
      <c r="P1359" s="981">
        <v>1</v>
      </c>
      <c r="Q1359" s="981">
        <v>1</v>
      </c>
      <c r="R1359" s="981">
        <v>1</v>
      </c>
      <c r="S1359" s="981">
        <v>1</v>
      </c>
      <c r="T1359" s="981">
        <v>1</v>
      </c>
      <c r="U1359" s="981">
        <v>1</v>
      </c>
      <c r="V1359" s="981">
        <v>1</v>
      </c>
      <c r="W1359" s="981">
        <v>1</v>
      </c>
      <c r="X1359" s="981">
        <v>1</v>
      </c>
      <c r="Y1359" s="981">
        <v>1</v>
      </c>
      <c r="Z1359" s="981">
        <f ca="1">Calc!G63</f>
        <v>1</v>
      </c>
      <c r="AB1359" s="318">
        <v>-28872.779999999995</v>
      </c>
      <c r="AC1359" s="318">
        <v>-29312.669999999995</v>
      </c>
      <c r="AD1359" s="318">
        <v>-32071.980000000014</v>
      </c>
      <c r="AE1359" s="318">
        <v>-30792.30000000001</v>
      </c>
      <c r="AF1359" s="318">
        <v>-30232.44000000001</v>
      </c>
      <c r="AG1359" s="318">
        <v>-28432.89</v>
      </c>
      <c r="AH1359" s="318">
        <v>-27433.14</v>
      </c>
      <c r="AI1359" s="318">
        <v>-27433.14</v>
      </c>
      <c r="AJ1359" s="318">
        <v>-26553.360000000001</v>
      </c>
      <c r="AK1359" s="318">
        <v>-28472.87999999999</v>
      </c>
      <c r="AL1359" s="318">
        <v>-28552.86</v>
      </c>
      <c r="AM1359" s="318">
        <v>-30912.270000000015</v>
      </c>
      <c r="AN1359" s="318">
        <v>-38470.37999999999</v>
      </c>
      <c r="AO1359" s="318">
        <v>-35911.020000000019</v>
      </c>
      <c r="AP1359" s="318">
        <v>-36990.75</v>
      </c>
      <c r="AQ1359" s="318">
        <v>-39030.239999999991</v>
      </c>
      <c r="AR1359" s="318">
        <v>-38190.44999999999</v>
      </c>
      <c r="AS1359" s="318">
        <v>-47868.03</v>
      </c>
      <c r="AT1359" s="318">
        <v>-43669.080000000009</v>
      </c>
      <c r="AU1359" s="318">
        <v>-41469.62999999999</v>
      </c>
      <c r="AV1359" s="318">
        <f ca="1">Calc!AH63</f>
        <v>-41469.62999999999</v>
      </c>
      <c r="AX1359" s="88" t="str">
        <f t="shared" ca="1" si="107"/>
        <v>MVERWE</v>
      </c>
    </row>
    <row r="1360" spans="1:50" ht="23" hidden="1" customHeight="1" x14ac:dyDescent="0.3">
      <c r="A1360" s="88" t="str">
        <f t="shared" ca="1" si="108"/>
        <v>MVESAP</v>
      </c>
      <c r="F1360" s="981">
        <v>401</v>
      </c>
      <c r="G1360" s="981">
        <v>401</v>
      </c>
      <c r="H1360" s="981">
        <v>401</v>
      </c>
      <c r="I1360" s="981">
        <v>401</v>
      </c>
      <c r="J1360" s="981">
        <v>401</v>
      </c>
      <c r="K1360" s="981">
        <v>401</v>
      </c>
      <c r="L1360" s="981">
        <v>401</v>
      </c>
      <c r="M1360" s="981">
        <v>401</v>
      </c>
      <c r="N1360" s="981">
        <v>401</v>
      </c>
      <c r="O1360" s="981">
        <v>401</v>
      </c>
      <c r="P1360" s="981">
        <v>401</v>
      </c>
      <c r="Q1360" s="981">
        <v>401</v>
      </c>
      <c r="R1360" s="981">
        <v>401</v>
      </c>
      <c r="S1360" s="981">
        <v>401</v>
      </c>
      <c r="T1360" s="981">
        <v>401</v>
      </c>
      <c r="U1360" s="981">
        <v>401</v>
      </c>
      <c r="V1360" s="981">
        <v>401</v>
      </c>
      <c r="W1360" s="981">
        <v>401</v>
      </c>
      <c r="X1360" s="981">
        <v>401</v>
      </c>
      <c r="Y1360" s="981">
        <v>401</v>
      </c>
      <c r="Z1360" s="981">
        <f ca="1">Calc!G64</f>
        <v>401</v>
      </c>
      <c r="AB1360" s="318">
        <v>17390.000000000015</v>
      </c>
      <c r="AC1360" s="318">
        <v>16640.000000000015</v>
      </c>
      <c r="AD1360" s="318">
        <v>17140.000000000015</v>
      </c>
      <c r="AE1360" s="318">
        <v>18265.000000000015</v>
      </c>
      <c r="AF1360" s="318">
        <v>14440.000000000013</v>
      </c>
      <c r="AG1360" s="318">
        <v>13540.000000000005</v>
      </c>
      <c r="AH1360" s="318">
        <v>15315.000000000013</v>
      </c>
      <c r="AI1360" s="318">
        <v>15315.000000000013</v>
      </c>
      <c r="AJ1360" s="318">
        <v>12740.000000000009</v>
      </c>
      <c r="AK1360" s="318">
        <v>17065.000000000011</v>
      </c>
      <c r="AL1360" s="318">
        <v>15965.000000000004</v>
      </c>
      <c r="AM1360" s="318">
        <v>16690.000000000011</v>
      </c>
      <c r="AN1360" s="318">
        <v>20815.000000000011</v>
      </c>
      <c r="AO1360" s="318">
        <v>20715.000000000004</v>
      </c>
      <c r="AP1360" s="318">
        <v>19765.000000000015</v>
      </c>
      <c r="AQ1360" s="318">
        <v>24765.000000000015</v>
      </c>
      <c r="AR1360" s="318">
        <v>25915.000000000007</v>
      </c>
      <c r="AS1360" s="318">
        <v>28190.000000000011</v>
      </c>
      <c r="AT1360" s="318">
        <v>31065.000000000011</v>
      </c>
      <c r="AU1360" s="318">
        <v>30990.000000000007</v>
      </c>
      <c r="AV1360" s="318">
        <f ca="1">Calc!AH64</f>
        <v>30990.000000000007</v>
      </c>
      <c r="AX1360" s="88" t="str">
        <f t="shared" ca="1" si="107"/>
        <v>MVESAP</v>
      </c>
    </row>
    <row r="1361" spans="1:50" ht="23" hidden="1" customHeight="1" x14ac:dyDescent="0.3">
      <c r="A1361" s="88" t="str">
        <f t="shared" ca="1" si="108"/>
        <v>MVEUN0</v>
      </c>
      <c r="F1361" s="981">
        <v>560</v>
      </c>
      <c r="G1361" s="981">
        <v>560</v>
      </c>
      <c r="H1361" s="981">
        <v>560</v>
      </c>
      <c r="I1361" s="981">
        <v>560</v>
      </c>
      <c r="J1361" s="981">
        <v>560</v>
      </c>
      <c r="K1361" s="981">
        <v>560</v>
      </c>
      <c r="L1361" s="981">
        <v>560</v>
      </c>
      <c r="M1361" s="981">
        <v>560</v>
      </c>
      <c r="N1361" s="981">
        <v>560</v>
      </c>
      <c r="O1361" s="981">
        <v>560</v>
      </c>
      <c r="P1361" s="981">
        <v>560</v>
      </c>
      <c r="Q1361" s="981">
        <v>560</v>
      </c>
      <c r="R1361" s="981">
        <v>560</v>
      </c>
      <c r="S1361" s="981">
        <v>560</v>
      </c>
      <c r="T1361" s="981">
        <v>560</v>
      </c>
      <c r="U1361" s="981">
        <v>560</v>
      </c>
      <c r="V1361" s="981">
        <v>560</v>
      </c>
      <c r="W1361" s="981">
        <v>560</v>
      </c>
      <c r="X1361" s="981">
        <v>560</v>
      </c>
      <c r="Y1361" s="981">
        <v>560</v>
      </c>
      <c r="Z1361" s="981">
        <f ca="1">Calc!G65</f>
        <v>560</v>
      </c>
      <c r="AB1361" s="318">
        <v>7017.44</v>
      </c>
      <c r="AC1361" s="318">
        <v>6993.0399999999991</v>
      </c>
      <c r="AD1361" s="318">
        <v>6919.84</v>
      </c>
      <c r="AE1361" s="318">
        <v>7017.44</v>
      </c>
      <c r="AF1361" s="318">
        <v>6309.84</v>
      </c>
      <c r="AG1361" s="318">
        <v>6944.24</v>
      </c>
      <c r="AH1361" s="318">
        <v>6895.44</v>
      </c>
      <c r="AI1361" s="318">
        <v>6895.44</v>
      </c>
      <c r="AJ1361" s="318">
        <v>7310.24</v>
      </c>
      <c r="AK1361" s="318">
        <v>7700.64</v>
      </c>
      <c r="AL1361" s="318">
        <v>7359.0399999999991</v>
      </c>
      <c r="AM1361" s="318">
        <v>7651.84</v>
      </c>
      <c r="AN1361" s="318">
        <v>7749.44</v>
      </c>
      <c r="AO1361" s="318">
        <v>7969.0399999999991</v>
      </c>
      <c r="AP1361" s="318">
        <v>8017.84</v>
      </c>
      <c r="AQ1361" s="318">
        <v>8774.24</v>
      </c>
      <c r="AR1361" s="318">
        <v>8505.84</v>
      </c>
      <c r="AS1361" s="318">
        <v>8457.0399999999991</v>
      </c>
      <c r="AT1361" s="318">
        <v>7993.44</v>
      </c>
      <c r="AU1361" s="318">
        <v>7651.84</v>
      </c>
      <c r="AV1361" s="318">
        <f ca="1">Calc!AH65</f>
        <v>7651.84</v>
      </c>
      <c r="AX1361" s="88" t="str">
        <f t="shared" ca="1" si="107"/>
        <v>MVEUN0</v>
      </c>
    </row>
    <row r="1362" spans="1:50" ht="23" hidden="1" customHeight="1" x14ac:dyDescent="0.3">
      <c r="A1362" s="88" t="str">
        <f t="shared" ca="1" si="108"/>
        <v>SAFAAPL</v>
      </c>
      <c r="F1362" s="981">
        <v>350</v>
      </c>
      <c r="G1362" s="981">
        <v>350</v>
      </c>
      <c r="H1362" s="981">
        <v>350</v>
      </c>
      <c r="I1362" s="981">
        <v>350</v>
      </c>
      <c r="J1362" s="981">
        <v>350</v>
      </c>
      <c r="K1362" s="981">
        <v>350</v>
      </c>
      <c r="L1362" s="981">
        <v>350</v>
      </c>
      <c r="M1362" s="981">
        <v>350</v>
      </c>
      <c r="N1362" s="981">
        <v>350</v>
      </c>
      <c r="O1362" s="981">
        <v>350</v>
      </c>
      <c r="P1362" s="981">
        <v>350</v>
      </c>
      <c r="Q1362" s="981">
        <v>350</v>
      </c>
      <c r="R1362" s="981">
        <v>350</v>
      </c>
      <c r="S1362" s="981">
        <v>350</v>
      </c>
      <c r="T1362" s="981">
        <v>350</v>
      </c>
      <c r="U1362" s="981">
        <v>350</v>
      </c>
      <c r="V1362" s="981">
        <v>350</v>
      </c>
      <c r="W1362" s="981">
        <v>350</v>
      </c>
      <c r="X1362" s="981">
        <v>350</v>
      </c>
      <c r="Y1362" s="981">
        <v>350</v>
      </c>
      <c r="Z1362" s="981">
        <f ca="1">Calc!G66</f>
        <v>350</v>
      </c>
      <c r="AB1362" s="318">
        <v>1834.4999999999984</v>
      </c>
      <c r="AC1362" s="318">
        <v>1589.9999999999991</v>
      </c>
      <c r="AD1362" s="318">
        <v>1882.5000000000018</v>
      </c>
      <c r="AE1362" s="318">
        <v>1156.5000000000011</v>
      </c>
      <c r="AF1362" s="318">
        <v>-336.00000000000136</v>
      </c>
      <c r="AG1362" s="318">
        <v>-415.49999999999727</v>
      </c>
      <c r="AH1362" s="318">
        <v>232.50000000000171</v>
      </c>
      <c r="AI1362" s="318">
        <v>232.50000000000171</v>
      </c>
      <c r="AJ1362" s="318">
        <v>63.000000000002387</v>
      </c>
      <c r="AK1362" s="318">
        <v>-422.99999999999898</v>
      </c>
      <c r="AL1362" s="318">
        <v>-1321.5000000000005</v>
      </c>
      <c r="AM1362" s="318">
        <v>-1350</v>
      </c>
      <c r="AN1362" s="318">
        <v>-1709.9999999999966</v>
      </c>
      <c r="AO1362" s="318">
        <v>-1504.4999999999959</v>
      </c>
      <c r="AP1362" s="318">
        <v>-1520.999999999998</v>
      </c>
      <c r="AQ1362" s="318">
        <v>-1575</v>
      </c>
      <c r="AR1362" s="318">
        <v>-1199.550000000002</v>
      </c>
      <c r="AS1362" s="318">
        <v>-1861.5000000000036</v>
      </c>
      <c r="AT1362" s="318">
        <v>-1115.9999999999995</v>
      </c>
      <c r="AU1362" s="318">
        <v>-1504.4999999999959</v>
      </c>
      <c r="AV1362" s="318">
        <f ca="1">Calc!AH66</f>
        <v>-1504.4999999999959</v>
      </c>
      <c r="AX1362" s="88" t="str">
        <f t="shared" ca="1" si="107"/>
        <v>SAFAAPL</v>
      </c>
    </row>
    <row r="1363" spans="1:50" ht="23" hidden="1" customHeight="1" x14ac:dyDescent="0.3">
      <c r="A1363" s="88" t="str">
        <f t="shared" ca="1" si="108"/>
        <v>SAFAMZN</v>
      </c>
      <c r="F1363" s="981">
        <v>2000</v>
      </c>
      <c r="G1363" s="981">
        <v>2000</v>
      </c>
      <c r="H1363" s="981">
        <v>2000</v>
      </c>
      <c r="I1363" s="981">
        <v>2000</v>
      </c>
      <c r="J1363" s="981">
        <v>2000</v>
      </c>
      <c r="K1363" s="981">
        <v>1500</v>
      </c>
      <c r="L1363" s="981">
        <v>1500</v>
      </c>
      <c r="M1363" s="981">
        <v>1500</v>
      </c>
      <c r="N1363" s="981">
        <v>1500</v>
      </c>
      <c r="O1363" s="981">
        <v>1500</v>
      </c>
      <c r="P1363" s="981">
        <v>1500</v>
      </c>
      <c r="Q1363" s="981">
        <v>1500</v>
      </c>
      <c r="R1363" s="981">
        <v>1500</v>
      </c>
      <c r="S1363" s="981">
        <v>1500</v>
      </c>
      <c r="T1363" s="981">
        <v>1500</v>
      </c>
      <c r="U1363" s="981">
        <v>1500</v>
      </c>
      <c r="V1363" s="981">
        <v>1500</v>
      </c>
      <c r="W1363" s="981">
        <v>1500</v>
      </c>
      <c r="X1363" s="981">
        <v>1500</v>
      </c>
      <c r="Y1363" s="981">
        <v>1500</v>
      </c>
      <c r="Z1363" s="981">
        <f ca="1">Calc!G67</f>
        <v>1500</v>
      </c>
      <c r="AB1363" s="318">
        <v>8165.0000000000064</v>
      </c>
      <c r="AC1363" s="318">
        <v>8780.0000000000018</v>
      </c>
      <c r="AD1363" s="318">
        <v>9125</v>
      </c>
      <c r="AE1363" s="318">
        <v>9840.0000000000036</v>
      </c>
      <c r="AF1363" s="318">
        <v>8120.0000000000045</v>
      </c>
      <c r="AG1363" s="318">
        <v>-189.99999999999773</v>
      </c>
      <c r="AH1363" s="318">
        <v>1850.0000000000086</v>
      </c>
      <c r="AI1363" s="318">
        <v>1850.0000000000086</v>
      </c>
      <c r="AJ1363" s="318">
        <v>280.00000000000114</v>
      </c>
      <c r="AK1363" s="318">
        <v>-1280.0000000000011</v>
      </c>
      <c r="AL1363" s="318">
        <v>-2659.9999999999964</v>
      </c>
      <c r="AM1363" s="318">
        <v>-3799.9999999999973</v>
      </c>
      <c r="AN1363" s="318">
        <v>-605.00000000000398</v>
      </c>
      <c r="AO1363" s="318">
        <v>-13584.999999999995</v>
      </c>
      <c r="AP1363" s="318">
        <v>-14274.999999999991</v>
      </c>
      <c r="AQ1363" s="318">
        <v>-11078.199999999995</v>
      </c>
      <c r="AR1363" s="318">
        <v>-11454.999999999998</v>
      </c>
      <c r="AS1363" s="318">
        <v>-6519.9999999999964</v>
      </c>
      <c r="AT1363" s="318">
        <v>-450.00000000000284</v>
      </c>
      <c r="AU1363" s="318">
        <v>234.00000000000887</v>
      </c>
      <c r="AV1363" s="318">
        <f ca="1">Calc!AH67</f>
        <v>234.00000000000887</v>
      </c>
      <c r="AX1363" s="88" t="str">
        <f t="shared" ref="AX1363:AX1426" ca="1" si="109">A1363</f>
        <v>SAFAMZN</v>
      </c>
    </row>
    <row r="1364" spans="1:50" ht="23" hidden="1" customHeight="1" x14ac:dyDescent="0.3">
      <c r="A1364" s="88" t="str">
        <f t="shared" ca="1" si="108"/>
        <v>SAFASML</v>
      </c>
      <c r="F1364" s="981">
        <v>250</v>
      </c>
      <c r="G1364" s="981">
        <v>250</v>
      </c>
      <c r="H1364" s="981">
        <v>250</v>
      </c>
      <c r="I1364" s="981">
        <v>250</v>
      </c>
      <c r="J1364" s="981">
        <v>250</v>
      </c>
      <c r="K1364" s="981">
        <v>250</v>
      </c>
      <c r="L1364" s="981">
        <v>250</v>
      </c>
      <c r="M1364" s="981">
        <v>250</v>
      </c>
      <c r="N1364" s="981">
        <v>250</v>
      </c>
      <c r="O1364" s="981">
        <v>250</v>
      </c>
      <c r="P1364" s="981">
        <v>250</v>
      </c>
      <c r="Q1364" s="981">
        <v>250</v>
      </c>
      <c r="R1364" s="981">
        <v>250</v>
      </c>
      <c r="S1364" s="981">
        <v>250</v>
      </c>
      <c r="T1364" s="981">
        <v>250</v>
      </c>
      <c r="U1364" s="981">
        <v>250</v>
      </c>
      <c r="V1364" s="981">
        <v>250</v>
      </c>
      <c r="W1364" s="981">
        <v>250</v>
      </c>
      <c r="X1364" s="981">
        <v>250</v>
      </c>
      <c r="Y1364" s="981">
        <v>250</v>
      </c>
      <c r="Z1364" s="981">
        <f ca="1">Calc!G68</f>
        <v>250</v>
      </c>
      <c r="AB1364" s="318">
        <v>-10065.599999999999</v>
      </c>
      <c r="AC1364" s="318">
        <v>-11491.199999999997</v>
      </c>
      <c r="AD1364" s="318">
        <v>-11728.799999999996</v>
      </c>
      <c r="AE1364" s="318">
        <v>-11637</v>
      </c>
      <c r="AF1364" s="318">
        <v>-12895.199999999997</v>
      </c>
      <c r="AG1364" s="318">
        <v>-12398.399999999994</v>
      </c>
      <c r="AH1364" s="318">
        <v>-11334.599999999999</v>
      </c>
      <c r="AI1364" s="318">
        <v>-11334.599999999999</v>
      </c>
      <c r="AJ1364" s="318">
        <v>-12285</v>
      </c>
      <c r="AK1364" s="318">
        <v>-12646.799999999996</v>
      </c>
      <c r="AL1364" s="318">
        <v>-13386.599999999999</v>
      </c>
      <c r="AM1364" s="318">
        <v>-13348.799999999996</v>
      </c>
      <c r="AN1364" s="318">
        <v>-14974.199999999997</v>
      </c>
      <c r="AO1364" s="318">
        <v>-13921.199999999997</v>
      </c>
      <c r="AP1364" s="318">
        <v>-13305.599999999999</v>
      </c>
      <c r="AQ1364" s="318">
        <v>-12695.399999999994</v>
      </c>
      <c r="AR1364" s="318">
        <v>-11372.399999999994</v>
      </c>
      <c r="AS1364" s="318">
        <v>-11550.599999999999</v>
      </c>
      <c r="AT1364" s="318">
        <v>-10756.799999999996</v>
      </c>
      <c r="AU1364" s="318">
        <v>-12225.599999999999</v>
      </c>
      <c r="AV1364" s="318">
        <f ca="1">Calc!AH68</f>
        <v>-12225.599999999999</v>
      </c>
      <c r="AX1364" s="88" t="str">
        <f t="shared" ca="1" si="109"/>
        <v>SAFASML</v>
      </c>
    </row>
    <row r="1365" spans="1:50" ht="23" hidden="1" customHeight="1" x14ac:dyDescent="0.3">
      <c r="A1365" s="88" t="str">
        <f t="shared" ca="1" si="108"/>
        <v>SAFDDD</v>
      </c>
      <c r="F1365" s="981">
        <v>110000</v>
      </c>
      <c r="G1365" s="981">
        <v>110000</v>
      </c>
      <c r="H1365" s="981">
        <v>110000</v>
      </c>
      <c r="I1365" s="981">
        <v>110000</v>
      </c>
      <c r="J1365" s="981">
        <v>110000</v>
      </c>
      <c r="K1365" s="981">
        <v>110000</v>
      </c>
      <c r="L1365" s="981">
        <v>110000</v>
      </c>
      <c r="M1365" s="981">
        <v>110000</v>
      </c>
      <c r="N1365" s="981">
        <v>110000</v>
      </c>
      <c r="O1365" s="981">
        <v>110000</v>
      </c>
      <c r="P1365" s="981">
        <v>110000</v>
      </c>
      <c r="Q1365" s="981">
        <v>110000</v>
      </c>
      <c r="R1365" s="981">
        <v>110000</v>
      </c>
      <c r="S1365" s="981">
        <v>110000</v>
      </c>
      <c r="T1365" s="981">
        <v>110000</v>
      </c>
      <c r="U1365" s="981">
        <v>110000</v>
      </c>
      <c r="V1365" s="981">
        <v>110000</v>
      </c>
      <c r="W1365" s="981">
        <v>110000</v>
      </c>
      <c r="X1365" s="981">
        <v>110000</v>
      </c>
      <c r="Y1365" s="981">
        <v>110000</v>
      </c>
      <c r="Z1365" s="981">
        <f ca="1">Calc!G69</f>
        <v>110000</v>
      </c>
      <c r="AB1365" s="318">
        <v>880.0000000000008</v>
      </c>
      <c r="AC1365" s="318">
        <v>-989.99999999999841</v>
      </c>
      <c r="AD1365" s="318">
        <v>-1099.9999999999961</v>
      </c>
      <c r="AE1365" s="318">
        <v>550.00000000000296</v>
      </c>
      <c r="AF1365" s="318">
        <v>-6875</v>
      </c>
      <c r="AG1365" s="318">
        <v>-2309.9999999999995</v>
      </c>
      <c r="AH1365" s="318">
        <v>1705.0000000000027</v>
      </c>
      <c r="AI1365" s="318">
        <v>1705.0000000000027</v>
      </c>
      <c r="AJ1365" s="318">
        <v>934.99999999999966</v>
      </c>
      <c r="AK1365" s="318">
        <v>385.00000000000159</v>
      </c>
      <c r="AL1365" s="318">
        <v>934.99999999999966</v>
      </c>
      <c r="AM1365" s="318">
        <v>-384.9999999999967</v>
      </c>
      <c r="AN1365" s="318">
        <v>3740.0000000000032</v>
      </c>
      <c r="AO1365" s="318">
        <v>6217.1999999999989</v>
      </c>
      <c r="AP1365" s="318">
        <v>6160.0000000000009</v>
      </c>
      <c r="AQ1365" s="318">
        <v>9845</v>
      </c>
      <c r="AR1365" s="318">
        <v>10285</v>
      </c>
      <c r="AS1365" s="318">
        <v>11000</v>
      </c>
      <c r="AT1365" s="318">
        <v>11880</v>
      </c>
      <c r="AU1365" s="318">
        <v>12265.000000000002</v>
      </c>
      <c r="AV1365" s="318">
        <f ca="1">Calc!AH69</f>
        <v>12265.000000000002</v>
      </c>
      <c r="AX1365" s="88" t="str">
        <f t="shared" ca="1" si="109"/>
        <v>SAFDDD</v>
      </c>
    </row>
    <row r="1366" spans="1:50" ht="23" hidden="1" customHeight="1" x14ac:dyDescent="0.3">
      <c r="A1366" s="88" t="str">
        <f t="shared" ca="1" si="108"/>
        <v>SAFDIS</v>
      </c>
      <c r="F1366" s="981">
        <v>1200</v>
      </c>
      <c r="G1366" s="981">
        <v>1200</v>
      </c>
      <c r="H1366" s="981">
        <v>1200</v>
      </c>
      <c r="I1366" s="981">
        <v>1200</v>
      </c>
      <c r="J1366" s="981">
        <v>1200</v>
      </c>
      <c r="K1366" s="981">
        <v>1200</v>
      </c>
      <c r="L1366" s="981">
        <v>1200</v>
      </c>
      <c r="M1366" s="981">
        <v>1200</v>
      </c>
      <c r="N1366" s="981">
        <v>1200</v>
      </c>
      <c r="O1366" s="981">
        <v>1200</v>
      </c>
      <c r="P1366" s="981">
        <v>1200</v>
      </c>
      <c r="Q1366" s="981">
        <v>1200</v>
      </c>
      <c r="R1366" s="981">
        <v>1200</v>
      </c>
      <c r="S1366" s="981">
        <v>1200</v>
      </c>
      <c r="T1366" s="981">
        <v>1200</v>
      </c>
      <c r="U1366" s="981">
        <v>1200</v>
      </c>
      <c r="V1366" s="981">
        <v>1200</v>
      </c>
      <c r="W1366" s="981">
        <v>1200</v>
      </c>
      <c r="X1366" s="981">
        <v>1200</v>
      </c>
      <c r="Y1366" s="981">
        <v>1200</v>
      </c>
      <c r="Z1366" s="981">
        <f ca="1">Calc!G70</f>
        <v>1200</v>
      </c>
      <c r="AB1366" s="318">
        <v>3895.6499999999974</v>
      </c>
      <c r="AC1366" s="318">
        <v>3618.4500000000012</v>
      </c>
      <c r="AD1366" s="318">
        <v>4314.7500000000009</v>
      </c>
      <c r="AE1366" s="318">
        <v>4058.9999999999991</v>
      </c>
      <c r="AF1366" s="318">
        <v>3626.6999999999985</v>
      </c>
      <c r="AG1366" s="318">
        <v>2857.7999999999988</v>
      </c>
      <c r="AH1366" s="318">
        <v>3257.1000000000013</v>
      </c>
      <c r="AI1366" s="318">
        <v>3257.1000000000013</v>
      </c>
      <c r="AJ1366" s="318">
        <v>3283.5000000000009</v>
      </c>
      <c r="AK1366" s="318">
        <v>3728.9999999999991</v>
      </c>
      <c r="AL1366" s="318">
        <v>3517.7999999999988</v>
      </c>
      <c r="AM1366" s="318">
        <v>3730.6499999999974</v>
      </c>
      <c r="AN1366" s="318">
        <v>3672.8999999999987</v>
      </c>
      <c r="AO1366" s="318">
        <v>3837.8999999999987</v>
      </c>
      <c r="AP1366" s="318">
        <v>3837.8999999999987</v>
      </c>
      <c r="AQ1366" s="318">
        <v>4227.3000000000011</v>
      </c>
      <c r="AR1366" s="318">
        <v>4039.1999999999985</v>
      </c>
      <c r="AS1366" s="318">
        <v>5666.1</v>
      </c>
      <c r="AT1366" s="318">
        <v>5507.6999999999989</v>
      </c>
      <c r="AU1366" s="318">
        <v>5831.1</v>
      </c>
      <c r="AV1366" s="318">
        <f ca="1">Calc!AH70</f>
        <v>5831.1</v>
      </c>
      <c r="AX1366" s="88" t="str">
        <f t="shared" ca="1" si="109"/>
        <v>SAFDIS</v>
      </c>
    </row>
    <row r="1367" spans="1:50" ht="23" hidden="1" customHeight="1" x14ac:dyDescent="0.3">
      <c r="A1367" s="88" t="str">
        <f t="shared" ca="1" si="108"/>
        <v>SAFGM</v>
      </c>
      <c r="F1367" s="981">
        <v>0</v>
      </c>
      <c r="G1367" s="981">
        <v>0</v>
      </c>
      <c r="H1367" s="981">
        <v>0</v>
      </c>
      <c r="I1367" s="981">
        <v>0</v>
      </c>
      <c r="J1367" s="981">
        <v>0</v>
      </c>
      <c r="K1367" s="981">
        <v>0</v>
      </c>
      <c r="L1367" s="981">
        <v>0</v>
      </c>
      <c r="M1367" s="981">
        <v>0</v>
      </c>
      <c r="N1367" s="981">
        <v>0</v>
      </c>
      <c r="O1367" s="981">
        <v>0</v>
      </c>
      <c r="P1367" s="981">
        <v>0</v>
      </c>
      <c r="Q1367" s="981">
        <v>0</v>
      </c>
      <c r="R1367" s="981">
        <v>0</v>
      </c>
      <c r="S1367" s="981">
        <v>0</v>
      </c>
      <c r="T1367" s="981">
        <v>0</v>
      </c>
      <c r="U1367" s="981">
        <v>0</v>
      </c>
      <c r="V1367" s="981">
        <v>0</v>
      </c>
      <c r="W1367" s="981">
        <v>0</v>
      </c>
      <c r="X1367" s="981">
        <v>0</v>
      </c>
      <c r="Y1367" s="981">
        <v>0</v>
      </c>
      <c r="Z1367" s="981">
        <f ca="1">Calc!G71</f>
        <v>0</v>
      </c>
      <c r="AB1367" s="318">
        <v>-17033.199999999993</v>
      </c>
      <c r="AC1367" s="318">
        <v>-18572.999999999993</v>
      </c>
      <c r="AD1367" s="318">
        <v>-17413.200000000004</v>
      </c>
      <c r="AE1367" s="318">
        <v>-19493.2</v>
      </c>
      <c r="AF1367" s="318">
        <v>-18773.200000000004</v>
      </c>
      <c r="AG1367" s="318">
        <v>-35953.199999999997</v>
      </c>
      <c r="AH1367" s="318">
        <v>-37373.199999999983</v>
      </c>
      <c r="AI1367" s="318">
        <v>-37373.199999999983</v>
      </c>
      <c r="AJ1367" s="318">
        <v>-36403.199999999983</v>
      </c>
      <c r="AK1367" s="318">
        <v>-42073.2</v>
      </c>
      <c r="AL1367" s="318">
        <v>-41443.200000000004</v>
      </c>
      <c r="AM1367" s="318">
        <v>-42473.200000000004</v>
      </c>
      <c r="AN1367" s="318">
        <v>-40053.19999999999</v>
      </c>
      <c r="AO1367" s="318">
        <v>-36653.199999999983</v>
      </c>
      <c r="AP1367" s="318">
        <v>-40293.199999999997</v>
      </c>
      <c r="AQ1367" s="318">
        <v>-40573.199999999997</v>
      </c>
      <c r="AR1367" s="318">
        <v>-44053.19999999999</v>
      </c>
      <c r="AS1367" s="318">
        <v>-43773.19999999999</v>
      </c>
      <c r="AT1367" s="318">
        <v>-38613.19999999999</v>
      </c>
      <c r="AU1367" s="318">
        <v>-40963.19999999999</v>
      </c>
      <c r="AV1367" s="318">
        <f ca="1">Calc!AH71</f>
        <v>-40963.19999999999</v>
      </c>
      <c r="AX1367" s="88" t="str">
        <f t="shared" ca="1" si="109"/>
        <v>SAFGM</v>
      </c>
    </row>
    <row r="1368" spans="1:50" ht="23" hidden="1" customHeight="1" x14ac:dyDescent="0.3">
      <c r="A1368" s="88" t="str">
        <f t="shared" ca="1" si="108"/>
        <v>SAFIAG</v>
      </c>
      <c r="F1368" s="981">
        <v>0</v>
      </c>
      <c r="G1368" s="981">
        <v>0</v>
      </c>
      <c r="H1368" s="981">
        <v>0</v>
      </c>
      <c r="I1368" s="981">
        <v>0</v>
      </c>
      <c r="J1368" s="981">
        <v>0</v>
      </c>
      <c r="K1368" s="981">
        <v>0</v>
      </c>
      <c r="L1368" s="981">
        <v>0</v>
      </c>
      <c r="M1368" s="981">
        <v>0</v>
      </c>
      <c r="N1368" s="981">
        <v>0</v>
      </c>
      <c r="O1368" s="981">
        <v>0</v>
      </c>
      <c r="P1368" s="981">
        <v>0</v>
      </c>
      <c r="Q1368" s="981">
        <v>0</v>
      </c>
      <c r="R1368" s="981">
        <v>0</v>
      </c>
      <c r="S1368" s="981">
        <v>0</v>
      </c>
      <c r="T1368" s="981">
        <v>0</v>
      </c>
      <c r="U1368" s="981">
        <v>0</v>
      </c>
      <c r="V1368" s="981">
        <v>0</v>
      </c>
      <c r="W1368" s="981">
        <v>0</v>
      </c>
      <c r="X1368" s="981">
        <v>0</v>
      </c>
      <c r="Y1368" s="981">
        <v>0</v>
      </c>
      <c r="Z1368" s="981">
        <f ca="1">Calc!G72</f>
        <v>0</v>
      </c>
      <c r="AB1368" s="318">
        <v>-106079.99999999999</v>
      </c>
      <c r="AC1368" s="318">
        <v>-105579.99999999999</v>
      </c>
      <c r="AD1368" s="318">
        <v>-104380</v>
      </c>
      <c r="AE1368" s="318">
        <v>-89279.999999999985</v>
      </c>
      <c r="AF1368" s="318">
        <v>-94079.999999999985</v>
      </c>
      <c r="AG1368" s="318">
        <v>-91880</v>
      </c>
      <c r="AH1368" s="318">
        <v>-100680</v>
      </c>
      <c r="AI1368" s="318">
        <v>-100680</v>
      </c>
      <c r="AJ1368" s="318">
        <v>-101579.99999999999</v>
      </c>
      <c r="AK1368" s="318">
        <v>-108079.99999999999</v>
      </c>
      <c r="AL1368" s="318">
        <v>-107380</v>
      </c>
      <c r="AM1368" s="318">
        <v>-110380</v>
      </c>
      <c r="AN1368" s="318">
        <v>-112579.99999999999</v>
      </c>
      <c r="AO1368" s="318">
        <v>-120680</v>
      </c>
      <c r="AP1368" s="318">
        <v>-123279.99999999999</v>
      </c>
      <c r="AQ1368" s="318">
        <v>-112180</v>
      </c>
      <c r="AR1368" s="318">
        <v>-64279.999999999971</v>
      </c>
      <c r="AS1368" s="318">
        <v>-85579.999999999985</v>
      </c>
      <c r="AT1368" s="318">
        <v>-68468.999999999985</v>
      </c>
      <c r="AU1368" s="318">
        <v>-75680.000000000015</v>
      </c>
      <c r="AV1368" s="318">
        <f ca="1">Calc!AH72</f>
        <v>-75680.000000000015</v>
      </c>
      <c r="AX1368" s="88" t="str">
        <f t="shared" ca="1" si="109"/>
        <v>SAFIAG</v>
      </c>
    </row>
    <row r="1369" spans="1:50" ht="23" hidden="1" customHeight="1" x14ac:dyDescent="0.3">
      <c r="A1369" s="88" t="str">
        <f t="shared" ca="1" si="108"/>
        <v>SAFMRNA</v>
      </c>
      <c r="F1369" s="981">
        <v>5000</v>
      </c>
      <c r="G1369" s="981">
        <v>5000</v>
      </c>
      <c r="H1369" s="981">
        <v>5000</v>
      </c>
      <c r="I1369" s="981">
        <v>5000</v>
      </c>
      <c r="J1369" s="981">
        <v>5000</v>
      </c>
      <c r="K1369" s="981">
        <v>5000</v>
      </c>
      <c r="L1369" s="981">
        <v>5000</v>
      </c>
      <c r="M1369" s="981">
        <v>5000</v>
      </c>
      <c r="N1369" s="981">
        <v>5000</v>
      </c>
      <c r="O1369" s="981">
        <v>5000</v>
      </c>
      <c r="P1369" s="981">
        <v>5000</v>
      </c>
      <c r="Q1369" s="981">
        <v>5000</v>
      </c>
      <c r="R1369" s="981">
        <v>5000</v>
      </c>
      <c r="S1369" s="981">
        <v>5000</v>
      </c>
      <c r="T1369" s="981">
        <v>5000</v>
      </c>
      <c r="U1369" s="981">
        <v>5000</v>
      </c>
      <c r="V1369" s="981">
        <v>5000</v>
      </c>
      <c r="W1369" s="981">
        <v>5000</v>
      </c>
      <c r="X1369" s="981">
        <v>5000</v>
      </c>
      <c r="Y1369" s="981">
        <v>5000</v>
      </c>
      <c r="Z1369" s="981">
        <f ca="1">Calc!G73</f>
        <v>5000</v>
      </c>
      <c r="AB1369" s="318">
        <v>19570</v>
      </c>
      <c r="AC1369" s="318">
        <v>19269</v>
      </c>
      <c r="AD1369" s="318">
        <v>19392</v>
      </c>
      <c r="AE1369" s="318">
        <v>19617.999999999996</v>
      </c>
      <c r="AF1369" s="318">
        <v>19372</v>
      </c>
      <c r="AG1369" s="318">
        <v>19322</v>
      </c>
      <c r="AH1369" s="318">
        <v>19450</v>
      </c>
      <c r="AI1369" s="318">
        <v>19450</v>
      </c>
      <c r="AJ1369" s="318">
        <v>19570</v>
      </c>
      <c r="AK1369" s="318">
        <v>19472</v>
      </c>
      <c r="AL1369" s="318">
        <v>19488</v>
      </c>
      <c r="AM1369" s="318">
        <v>19750</v>
      </c>
      <c r="AN1369" s="318">
        <v>19192</v>
      </c>
      <c r="AO1369" s="318">
        <v>20064.999999999996</v>
      </c>
      <c r="AP1369" s="318">
        <v>20108</v>
      </c>
      <c r="AQ1369" s="318">
        <v>19998.999999999996</v>
      </c>
      <c r="AR1369" s="318">
        <v>19914.999999999996</v>
      </c>
      <c r="AS1369" s="318">
        <v>19866</v>
      </c>
      <c r="AT1369" s="318">
        <v>19836</v>
      </c>
      <c r="AU1369" s="318">
        <v>19964</v>
      </c>
      <c r="AV1369" s="318">
        <f ca="1">Calc!AH73</f>
        <v>19964</v>
      </c>
      <c r="AX1369" s="88" t="str">
        <f t="shared" ca="1" si="109"/>
        <v>SAFMRNA</v>
      </c>
    </row>
    <row r="1370" spans="1:50" ht="23" hidden="1" customHeight="1" x14ac:dyDescent="0.3">
      <c r="A1370" s="88" t="str">
        <f t="shared" ca="1" si="108"/>
        <v>BLNK</v>
      </c>
      <c r="F1370" s="981">
        <v>132000</v>
      </c>
      <c r="G1370" s="981">
        <v>132000</v>
      </c>
      <c r="H1370" s="981">
        <v>120000</v>
      </c>
      <c r="I1370" s="981">
        <v>120000</v>
      </c>
      <c r="J1370" s="981">
        <v>120000</v>
      </c>
      <c r="K1370" s="981">
        <v>120000</v>
      </c>
      <c r="L1370" s="981">
        <v>120000</v>
      </c>
      <c r="M1370" s="981">
        <v>120000</v>
      </c>
      <c r="N1370" s="981">
        <v>120000</v>
      </c>
      <c r="O1370" s="981">
        <v>120000</v>
      </c>
      <c r="P1370" s="981">
        <v>120000</v>
      </c>
      <c r="Q1370" s="981">
        <v>120000</v>
      </c>
      <c r="R1370" s="981">
        <v>120000</v>
      </c>
      <c r="S1370" s="981">
        <v>120000</v>
      </c>
      <c r="T1370" s="981">
        <v>120000</v>
      </c>
      <c r="U1370" s="981">
        <v>120000</v>
      </c>
      <c r="V1370" s="981">
        <v>120000</v>
      </c>
      <c r="W1370" s="981">
        <v>120000</v>
      </c>
      <c r="X1370" s="981">
        <v>120000</v>
      </c>
      <c r="Y1370" s="981">
        <v>120000</v>
      </c>
      <c r="Z1370" s="981">
        <f ca="1">Calc!G74</f>
        <v>120000</v>
      </c>
      <c r="AB1370" s="318">
        <v>-21000</v>
      </c>
      <c r="AC1370" s="318">
        <v>-18060</v>
      </c>
      <c r="AD1370" s="318">
        <v>0</v>
      </c>
      <c r="AE1370" s="318">
        <v>1079.9999999999982</v>
      </c>
      <c r="AF1370" s="318">
        <v>240.00000000000023</v>
      </c>
      <c r="AG1370" s="318">
        <v>1679.9999999999989</v>
      </c>
      <c r="AH1370" s="318">
        <v>1439.9999999999986</v>
      </c>
      <c r="AI1370" s="318">
        <v>1439.9999999999986</v>
      </c>
      <c r="AJ1370" s="318">
        <v>1439.9999999999986</v>
      </c>
      <c r="AK1370" s="318">
        <v>-240.00000000000023</v>
      </c>
      <c r="AL1370" s="318">
        <v>1079.9999999999982</v>
      </c>
      <c r="AM1370" s="318">
        <v>2279.9999999999995</v>
      </c>
      <c r="AN1370" s="318">
        <v>3599.9999999999977</v>
      </c>
      <c r="AO1370" s="318">
        <v>4966.7999999999993</v>
      </c>
      <c r="AP1370" s="318">
        <v>3240</v>
      </c>
      <c r="AQ1370" s="318">
        <v>4860</v>
      </c>
      <c r="AR1370" s="318">
        <v>3841.199999999998</v>
      </c>
      <c r="AS1370" s="318">
        <v>6000</v>
      </c>
      <c r="AT1370" s="318">
        <v>6000</v>
      </c>
      <c r="AU1370" s="318">
        <v>6539.9999999999991</v>
      </c>
      <c r="AV1370" s="318">
        <f ca="1">Calc!AH74</f>
        <v>6539.9999999999991</v>
      </c>
      <c r="AX1370" s="88" t="str">
        <f t="shared" ca="1" si="109"/>
        <v>BLNK</v>
      </c>
    </row>
    <row r="1371" spans="1:50" ht="23" hidden="1" customHeight="1" x14ac:dyDescent="0.3">
      <c r="A1371" s="88" t="str">
        <f t="shared" ca="1" si="108"/>
        <v>ENI</v>
      </c>
      <c r="F1371" s="981">
        <v>22000</v>
      </c>
      <c r="G1371" s="981">
        <v>22000</v>
      </c>
      <c r="H1371" s="981">
        <v>22000</v>
      </c>
      <c r="I1371" s="981">
        <v>22000</v>
      </c>
      <c r="J1371" s="981">
        <v>22000</v>
      </c>
      <c r="K1371" s="981">
        <v>22000</v>
      </c>
      <c r="L1371" s="981">
        <v>22000</v>
      </c>
      <c r="M1371" s="981">
        <v>22000</v>
      </c>
      <c r="N1371" s="981">
        <v>22000</v>
      </c>
      <c r="O1371" s="981">
        <v>22000</v>
      </c>
      <c r="P1371" s="981">
        <v>22000</v>
      </c>
      <c r="Q1371" s="981">
        <v>22000</v>
      </c>
      <c r="R1371" s="981">
        <v>22000</v>
      </c>
      <c r="S1371" s="981">
        <v>17000</v>
      </c>
      <c r="T1371" s="981">
        <v>17000</v>
      </c>
      <c r="U1371" s="981">
        <v>17000</v>
      </c>
      <c r="V1371" s="981">
        <v>17000</v>
      </c>
      <c r="W1371" s="981">
        <v>17000</v>
      </c>
      <c r="X1371" s="981">
        <v>17000</v>
      </c>
      <c r="Y1371" s="981">
        <v>17000</v>
      </c>
      <c r="Z1371" s="981">
        <f ca="1">Calc!G75</f>
        <v>17000</v>
      </c>
      <c r="AB1371" s="318">
        <v>1020.0000000000032</v>
      </c>
      <c r="AC1371" s="318">
        <v>976.00000000000261</v>
      </c>
      <c r="AD1371" s="318">
        <v>888.00000000000171</v>
      </c>
      <c r="AE1371" s="318">
        <v>732.00000000000284</v>
      </c>
      <c r="AF1371" s="318">
        <v>668.00000000000284</v>
      </c>
      <c r="AG1371" s="318">
        <v>620.00000000000102</v>
      </c>
      <c r="AH1371" s="318">
        <v>168.00000000000281</v>
      </c>
      <c r="AI1371" s="318">
        <v>168.00000000000281</v>
      </c>
      <c r="AJ1371" s="318">
        <v>-751.99999999999886</v>
      </c>
      <c r="AK1371" s="318">
        <v>-1251.9999999999989</v>
      </c>
      <c r="AL1371" s="318">
        <v>-1463.9999999999986</v>
      </c>
      <c r="AM1371" s="318">
        <v>-1351.9999999999968</v>
      </c>
      <c r="AN1371" s="318">
        <v>-1419.9999999999982</v>
      </c>
      <c r="AO1371" s="318">
        <v>-250.00000000000355</v>
      </c>
      <c r="AP1371" s="318">
        <v>-540.00000000000273</v>
      </c>
      <c r="AQ1371" s="318">
        <v>-440.00000000000483</v>
      </c>
      <c r="AR1371" s="318">
        <v>-360.00000000000477</v>
      </c>
      <c r="AS1371" s="318">
        <v>-3070.0000000000036</v>
      </c>
      <c r="AT1371" s="318">
        <v>-2500</v>
      </c>
      <c r="AU1371" s="318">
        <v>-1790.0000000000027</v>
      </c>
      <c r="AV1371" s="318">
        <f ca="1">Calc!AH75</f>
        <v>-1790.0000000000027</v>
      </c>
      <c r="AX1371" s="88" t="str">
        <f t="shared" ca="1" si="109"/>
        <v>ENI</v>
      </c>
    </row>
    <row r="1372" spans="1:50" ht="23" hidden="1" customHeight="1" x14ac:dyDescent="0.3">
      <c r="A1372" s="88" t="str">
        <f t="shared" ca="1" si="108"/>
        <v>EZJ</v>
      </c>
      <c r="F1372" s="981">
        <v>40000</v>
      </c>
      <c r="G1372" s="981">
        <v>40000</v>
      </c>
      <c r="H1372" s="981">
        <v>40000</v>
      </c>
      <c r="I1372" s="981">
        <v>40000</v>
      </c>
      <c r="J1372" s="981">
        <v>40000</v>
      </c>
      <c r="K1372" s="981">
        <v>40000</v>
      </c>
      <c r="L1372" s="981">
        <v>30000</v>
      </c>
      <c r="M1372" s="981">
        <v>30000</v>
      </c>
      <c r="N1372" s="981">
        <v>30000</v>
      </c>
      <c r="O1372" s="981">
        <v>30000</v>
      </c>
      <c r="P1372" s="981">
        <v>30000</v>
      </c>
      <c r="Q1372" s="981">
        <v>30000</v>
      </c>
      <c r="R1372" s="981">
        <v>30000</v>
      </c>
      <c r="S1372" s="981">
        <v>30000</v>
      </c>
      <c r="T1372" s="981">
        <v>30000</v>
      </c>
      <c r="U1372" s="981">
        <v>30000</v>
      </c>
      <c r="V1372" s="981">
        <v>30000</v>
      </c>
      <c r="W1372" s="981">
        <v>30000</v>
      </c>
      <c r="X1372" s="981">
        <v>30000</v>
      </c>
      <c r="Y1372" s="981">
        <v>30000</v>
      </c>
      <c r="Z1372" s="981">
        <f ca="1">Calc!G76</f>
        <v>30000</v>
      </c>
      <c r="AB1372" s="318">
        <v>7740.0000000000109</v>
      </c>
      <c r="AC1372" s="318">
        <v>11430.000000000009</v>
      </c>
      <c r="AD1372" s="318">
        <v>9810.0000000000109</v>
      </c>
      <c r="AE1372" s="318">
        <v>10134.000000000013</v>
      </c>
      <c r="AF1372" s="318">
        <v>10476.000000000009</v>
      </c>
      <c r="AG1372" s="318">
        <v>11502.000000000007</v>
      </c>
      <c r="AH1372" s="318">
        <v>230.00000000000114</v>
      </c>
      <c r="AI1372" s="318">
        <v>230.00000000000114</v>
      </c>
      <c r="AJ1372" s="318">
        <v>1610.0000000000023</v>
      </c>
      <c r="AK1372" s="318">
        <v>950</v>
      </c>
      <c r="AL1372" s="318">
        <v>960.00000000000239</v>
      </c>
      <c r="AM1372" s="318">
        <v>1350</v>
      </c>
      <c r="AN1372" s="318">
        <v>1550</v>
      </c>
      <c r="AO1372" s="318">
        <v>1530.0000000000011</v>
      </c>
      <c r="AP1372" s="318">
        <v>1150</v>
      </c>
      <c r="AQ1372" s="318">
        <v>1710.0000000000023</v>
      </c>
      <c r="AR1372" s="318">
        <v>2420.0000000000045</v>
      </c>
      <c r="AS1372" s="318">
        <v>2640.0000000000036</v>
      </c>
      <c r="AT1372" s="318">
        <v>4180.0000000000009</v>
      </c>
      <c r="AU1372" s="318">
        <v>3350</v>
      </c>
      <c r="AV1372" s="318">
        <f ca="1">Calc!AH76</f>
        <v>3350</v>
      </c>
      <c r="AX1372" s="88" t="str">
        <f t="shared" ca="1" si="109"/>
        <v>EZJ</v>
      </c>
    </row>
    <row r="1373" spans="1:50" ht="23" hidden="1" customHeight="1" x14ac:dyDescent="0.3">
      <c r="A1373" s="88" t="str">
        <f t="shared" ca="1" si="108"/>
        <v>F</v>
      </c>
      <c r="F1373" s="981">
        <v>3000</v>
      </c>
      <c r="G1373" s="981">
        <v>3000</v>
      </c>
      <c r="H1373" s="981">
        <v>3000</v>
      </c>
      <c r="I1373" s="981">
        <v>3000</v>
      </c>
      <c r="J1373" s="981">
        <v>0</v>
      </c>
      <c r="K1373" s="981">
        <v>0</v>
      </c>
      <c r="L1373" s="981">
        <v>0</v>
      </c>
      <c r="M1373" s="981">
        <v>0</v>
      </c>
      <c r="N1373" s="981">
        <v>0</v>
      </c>
      <c r="O1373" s="981">
        <v>0</v>
      </c>
      <c r="P1373" s="981">
        <v>0</v>
      </c>
      <c r="Q1373" s="981">
        <v>0</v>
      </c>
      <c r="R1373" s="981">
        <v>0</v>
      </c>
      <c r="S1373" s="981">
        <v>0</v>
      </c>
      <c r="T1373" s="981">
        <v>0</v>
      </c>
      <c r="U1373" s="981">
        <v>0</v>
      </c>
      <c r="V1373" s="981">
        <v>0</v>
      </c>
      <c r="W1373" s="981">
        <v>0</v>
      </c>
      <c r="X1373" s="981">
        <v>0</v>
      </c>
      <c r="Y1373" s="981">
        <v>0</v>
      </c>
      <c r="Z1373" s="981">
        <f ca="1">Calc!G77</f>
        <v>0</v>
      </c>
      <c r="AB1373" s="318">
        <v>-509.99999999999801</v>
      </c>
      <c r="AC1373" s="318">
        <v>-649.99999999999864</v>
      </c>
      <c r="AD1373" s="318">
        <v>-669.99999999999818</v>
      </c>
      <c r="AE1373" s="318">
        <v>-1019.9999999999995</v>
      </c>
      <c r="AF1373" s="318">
        <v>44.999999999996376</v>
      </c>
      <c r="AG1373" s="318">
        <v>-1650.000000000002</v>
      </c>
      <c r="AH1373" s="318">
        <v>-1305.0000000000016</v>
      </c>
      <c r="AI1373" s="318">
        <v>-1305.0000000000016</v>
      </c>
      <c r="AJ1373" s="318">
        <v>-870.00000000000273</v>
      </c>
      <c r="AK1373" s="318">
        <v>-5430.0000000000018</v>
      </c>
      <c r="AL1373" s="318">
        <v>-3630.0000000000027</v>
      </c>
      <c r="AM1373" s="318">
        <v>-3345.0000000000005</v>
      </c>
      <c r="AN1373" s="318">
        <v>-3135</v>
      </c>
      <c r="AO1373" s="318">
        <v>-2414.9999999999991</v>
      </c>
      <c r="AP1373" s="318">
        <v>-3345.0000000000005</v>
      </c>
      <c r="AQ1373" s="318">
        <v>-3406.8000000000006</v>
      </c>
      <c r="AR1373" s="318">
        <v>-3555.0000000000014</v>
      </c>
      <c r="AS1373" s="318">
        <v>-3525.0000000000023</v>
      </c>
      <c r="AT1373" s="318">
        <v>-3000</v>
      </c>
      <c r="AU1373" s="318">
        <v>-2924.9999999999991</v>
      </c>
      <c r="AV1373" s="318">
        <f ca="1">Calc!AH77</f>
        <v>-2924.9999999999991</v>
      </c>
      <c r="AX1373" s="88" t="str">
        <f t="shared" ca="1" si="109"/>
        <v>F</v>
      </c>
    </row>
    <row r="1374" spans="1:50" ht="23" hidden="1" customHeight="1" x14ac:dyDescent="0.3">
      <c r="A1374" s="88" t="str">
        <f t="shared" ca="1" si="108"/>
        <v>GLE</v>
      </c>
      <c r="F1374" s="981">
        <v>0</v>
      </c>
      <c r="G1374" s="981">
        <v>0</v>
      </c>
      <c r="H1374" s="981">
        <v>0</v>
      </c>
      <c r="I1374" s="981">
        <v>0</v>
      </c>
      <c r="J1374" s="981">
        <v>0</v>
      </c>
      <c r="K1374" s="981">
        <v>0</v>
      </c>
      <c r="L1374" s="981">
        <v>0</v>
      </c>
      <c r="M1374" s="981">
        <v>0</v>
      </c>
      <c r="N1374" s="981">
        <v>0</v>
      </c>
      <c r="O1374" s="981">
        <v>0</v>
      </c>
      <c r="P1374" s="981">
        <v>0</v>
      </c>
      <c r="Q1374" s="981">
        <v>0</v>
      </c>
      <c r="R1374" s="981">
        <v>0</v>
      </c>
      <c r="S1374" s="981">
        <v>0</v>
      </c>
      <c r="T1374" s="981">
        <v>0</v>
      </c>
      <c r="U1374" s="981">
        <v>0</v>
      </c>
      <c r="V1374" s="981">
        <v>0</v>
      </c>
      <c r="W1374" s="981">
        <v>0</v>
      </c>
      <c r="X1374" s="981">
        <v>0</v>
      </c>
      <c r="Y1374" s="981">
        <v>0</v>
      </c>
      <c r="Z1374" s="981">
        <f ca="1">Calc!G78</f>
        <v>0</v>
      </c>
      <c r="AB1374" s="318">
        <v>-47840</v>
      </c>
      <c r="AC1374" s="318">
        <v>-48920</v>
      </c>
      <c r="AD1374" s="318">
        <v>-50840</v>
      </c>
      <c r="AE1374" s="318">
        <v>-45080</v>
      </c>
      <c r="AF1374" s="318">
        <v>-43800</v>
      </c>
      <c r="AG1374" s="318">
        <v>-44039.999999999993</v>
      </c>
      <c r="AH1374" s="318">
        <v>-43560</v>
      </c>
      <c r="AI1374" s="318">
        <v>-43560</v>
      </c>
      <c r="AJ1374" s="318">
        <v>-44959.999999999993</v>
      </c>
      <c r="AK1374" s="318">
        <v>-45160</v>
      </c>
      <c r="AL1374" s="318">
        <v>-45000</v>
      </c>
      <c r="AM1374" s="318">
        <v>-46319.999999999993</v>
      </c>
      <c r="AN1374" s="318">
        <v>-43800</v>
      </c>
      <c r="AO1374" s="318">
        <v>-46959.999999999993</v>
      </c>
      <c r="AP1374" s="318">
        <v>-47080</v>
      </c>
      <c r="AQ1374" s="318">
        <v>-49399.999999999993</v>
      </c>
      <c r="AR1374" s="318">
        <v>-47080</v>
      </c>
      <c r="AS1374" s="318">
        <v>-53759.999999999993</v>
      </c>
      <c r="AT1374" s="318">
        <v>-50160</v>
      </c>
      <c r="AU1374" s="318">
        <v>-51440</v>
      </c>
      <c r="AV1374" s="318">
        <f ca="1">Calc!AH78</f>
        <v>-51440</v>
      </c>
      <c r="AX1374" s="88" t="str">
        <f t="shared" ca="1" si="109"/>
        <v>GLE</v>
      </c>
    </row>
    <row r="1375" spans="1:50" ht="23" hidden="1" customHeight="1" x14ac:dyDescent="0.3">
      <c r="A1375" s="88" t="str">
        <f t="shared" ca="1" si="108"/>
        <v>GNRC</v>
      </c>
      <c r="F1375" s="981">
        <v>800</v>
      </c>
      <c r="G1375" s="981">
        <v>800</v>
      </c>
      <c r="H1375" s="981">
        <v>600</v>
      </c>
      <c r="I1375" s="981">
        <v>600</v>
      </c>
      <c r="J1375" s="981">
        <v>600</v>
      </c>
      <c r="K1375" s="981">
        <v>600</v>
      </c>
      <c r="L1375" s="981">
        <v>900</v>
      </c>
      <c r="M1375" s="981">
        <v>900</v>
      </c>
      <c r="N1375" s="981">
        <v>900</v>
      </c>
      <c r="O1375" s="981">
        <v>900</v>
      </c>
      <c r="P1375" s="981">
        <v>900</v>
      </c>
      <c r="Q1375" s="981">
        <v>900</v>
      </c>
      <c r="R1375" s="981">
        <v>900</v>
      </c>
      <c r="S1375" s="981">
        <v>900</v>
      </c>
      <c r="T1375" s="981">
        <v>900</v>
      </c>
      <c r="U1375" s="981">
        <v>900</v>
      </c>
      <c r="V1375" s="981">
        <v>900</v>
      </c>
      <c r="W1375" s="981">
        <v>900</v>
      </c>
      <c r="X1375" s="981">
        <v>900</v>
      </c>
      <c r="Y1375" s="981">
        <v>900</v>
      </c>
      <c r="Z1375" s="981">
        <f ca="1">Calc!G79</f>
        <v>900</v>
      </c>
      <c r="AB1375" s="318">
        <v>3590.9999999999909</v>
      </c>
      <c r="AC1375" s="318">
        <v>-2030.9999999999945</v>
      </c>
      <c r="AD1375" s="318">
        <v>-129.00000000000205</v>
      </c>
      <c r="AE1375" s="318">
        <v>303.99999999999636</v>
      </c>
      <c r="AF1375" s="318">
        <v>-752.00000000000387</v>
      </c>
      <c r="AG1375" s="318">
        <v>-102.00000000000387</v>
      </c>
      <c r="AH1375" s="318">
        <v>1783.9999999999975</v>
      </c>
      <c r="AI1375" s="318">
        <v>1783.9999999999975</v>
      </c>
      <c r="AJ1375" s="318">
        <v>593.99999999999977</v>
      </c>
      <c r="AK1375" s="318">
        <v>0</v>
      </c>
      <c r="AL1375" s="318">
        <v>309.99999999999659</v>
      </c>
      <c r="AM1375" s="318">
        <v>374.00000000000091</v>
      </c>
      <c r="AN1375" s="318">
        <v>5247.9999999999964</v>
      </c>
      <c r="AO1375" s="318">
        <v>6985.9999999999955</v>
      </c>
      <c r="AP1375" s="318">
        <v>6565.9999999999964</v>
      </c>
      <c r="AQ1375" s="318">
        <v>7695.9999999999982</v>
      </c>
      <c r="AR1375" s="318">
        <v>7477.9999999999973</v>
      </c>
      <c r="AS1375" s="318">
        <v>8179.9999999999955</v>
      </c>
      <c r="AT1375" s="318">
        <v>9909.9999999999964</v>
      </c>
      <c r="AU1375" s="318">
        <v>9024</v>
      </c>
      <c r="AV1375" s="318">
        <f ca="1">Calc!AH79</f>
        <v>9024</v>
      </c>
      <c r="AX1375" s="88" t="str">
        <f t="shared" ca="1" si="109"/>
        <v>GNRC</v>
      </c>
    </row>
    <row r="1376" spans="1:50" ht="23" hidden="1" customHeight="1" x14ac:dyDescent="0.3">
      <c r="A1376" s="88" t="str">
        <f t="shared" ca="1" si="108"/>
        <v>GS</v>
      </c>
      <c r="F1376" s="981">
        <v>0</v>
      </c>
      <c r="G1376" s="981">
        <v>0</v>
      </c>
      <c r="H1376" s="981">
        <v>0</v>
      </c>
      <c r="I1376" s="981">
        <v>0</v>
      </c>
      <c r="J1376" s="981">
        <v>0</v>
      </c>
      <c r="K1376" s="981">
        <v>0</v>
      </c>
      <c r="L1376" s="981">
        <v>0</v>
      </c>
      <c r="M1376" s="981">
        <v>0</v>
      </c>
      <c r="N1376" s="981">
        <v>0</v>
      </c>
      <c r="O1376" s="981">
        <v>0</v>
      </c>
      <c r="P1376" s="981">
        <v>0</v>
      </c>
      <c r="Q1376" s="981">
        <v>0</v>
      </c>
      <c r="R1376" s="981">
        <v>0</v>
      </c>
      <c r="S1376" s="981">
        <v>0</v>
      </c>
      <c r="T1376" s="981">
        <v>0</v>
      </c>
      <c r="U1376" s="981">
        <v>0</v>
      </c>
      <c r="V1376" s="981">
        <v>0</v>
      </c>
      <c r="W1376" s="981">
        <v>0</v>
      </c>
      <c r="X1376" s="981">
        <v>0</v>
      </c>
      <c r="Y1376" s="981">
        <v>0</v>
      </c>
      <c r="Z1376" s="981">
        <f ca="1">Calc!G80</f>
        <v>0</v>
      </c>
      <c r="AB1376" s="318">
        <v>-13924</v>
      </c>
      <c r="AC1376" s="318">
        <v>-13226</v>
      </c>
      <c r="AD1376" s="318">
        <v>-12642.000000000007</v>
      </c>
      <c r="AE1376" s="318">
        <v>-11887</v>
      </c>
      <c r="AF1376" s="318">
        <v>-13119.000000000005</v>
      </c>
      <c r="AG1376" s="318">
        <v>-12717.000000000007</v>
      </c>
      <c r="AH1376" s="318">
        <v>-11268.000000000007</v>
      </c>
      <c r="AI1376" s="318">
        <v>-11268.000000000007</v>
      </c>
      <c r="AJ1376" s="318">
        <v>-11911.000000000002</v>
      </c>
      <c r="AK1376" s="318">
        <v>-15197.000000000004</v>
      </c>
      <c r="AL1376" s="318">
        <v>-15800</v>
      </c>
      <c r="AM1376" s="318">
        <v>-16038</v>
      </c>
      <c r="AN1376" s="318">
        <v>-15786.000000000002</v>
      </c>
      <c r="AO1376" s="318">
        <v>-15992.000000000007</v>
      </c>
      <c r="AP1376" s="318">
        <v>-16121.000000000004</v>
      </c>
      <c r="AQ1376" s="318">
        <v>-15547.000000000004</v>
      </c>
      <c r="AR1376" s="318">
        <v>-15345.500000000004</v>
      </c>
      <c r="AS1376" s="318">
        <v>-15858.000000000004</v>
      </c>
      <c r="AT1376" s="318">
        <v>-14500</v>
      </c>
      <c r="AU1376" s="318">
        <v>-14899</v>
      </c>
      <c r="AV1376" s="318">
        <f ca="1">Calc!AH80</f>
        <v>-14899</v>
      </c>
      <c r="AX1376" s="88" t="str">
        <f t="shared" ca="1" si="109"/>
        <v>GS</v>
      </c>
    </row>
    <row r="1377" spans="1:50" ht="23" hidden="1" customHeight="1" x14ac:dyDescent="0.3">
      <c r="A1377" s="88" t="str">
        <f t="shared" ca="1" si="108"/>
        <v>LAZR</v>
      </c>
      <c r="F1377" s="981">
        <v>15518</v>
      </c>
      <c r="G1377" s="981">
        <v>15518</v>
      </c>
      <c r="H1377" s="981">
        <v>15518</v>
      </c>
      <c r="I1377" s="981">
        <v>15518</v>
      </c>
      <c r="J1377" s="981">
        <v>15518</v>
      </c>
      <c r="K1377" s="981">
        <v>15518</v>
      </c>
      <c r="L1377" s="981">
        <v>15518</v>
      </c>
      <c r="M1377" s="981">
        <v>15518</v>
      </c>
      <c r="N1377" s="981">
        <v>15518</v>
      </c>
      <c r="O1377" s="981">
        <v>15518</v>
      </c>
      <c r="P1377" s="981">
        <v>15518</v>
      </c>
      <c r="Q1377" s="981">
        <v>15518</v>
      </c>
      <c r="R1377" s="981">
        <v>15518</v>
      </c>
      <c r="S1377" s="981">
        <v>15518</v>
      </c>
      <c r="T1377" s="981">
        <v>15518</v>
      </c>
      <c r="U1377" s="981">
        <v>15518</v>
      </c>
      <c r="V1377" s="981">
        <v>15518</v>
      </c>
      <c r="W1377" s="981">
        <v>15518</v>
      </c>
      <c r="X1377" s="981">
        <v>15518</v>
      </c>
      <c r="Y1377" s="981">
        <v>15518</v>
      </c>
      <c r="Z1377" s="981">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1">
        <v>1200</v>
      </c>
      <c r="G1378" s="981">
        <v>1200</v>
      </c>
      <c r="H1378" s="981">
        <v>1200</v>
      </c>
      <c r="I1378" s="981">
        <v>1200</v>
      </c>
      <c r="J1378" s="981">
        <v>1200</v>
      </c>
      <c r="K1378" s="981">
        <v>1200</v>
      </c>
      <c r="L1378" s="981">
        <v>1200</v>
      </c>
      <c r="M1378" s="981">
        <v>1200</v>
      </c>
      <c r="N1378" s="981">
        <v>1200</v>
      </c>
      <c r="O1378" s="981">
        <v>1200</v>
      </c>
      <c r="P1378" s="981">
        <v>1200</v>
      </c>
      <c r="Q1378" s="981">
        <v>1200</v>
      </c>
      <c r="R1378" s="981">
        <v>1200</v>
      </c>
      <c r="S1378" s="981">
        <v>1200</v>
      </c>
      <c r="T1378" s="981">
        <v>1200</v>
      </c>
      <c r="U1378" s="981">
        <v>1200</v>
      </c>
      <c r="V1378" s="981">
        <v>1200</v>
      </c>
      <c r="W1378" s="981">
        <v>1200</v>
      </c>
      <c r="X1378" s="981">
        <v>1200</v>
      </c>
      <c r="Y1378" s="981">
        <v>1200</v>
      </c>
      <c r="Z1378" s="981">
        <f ca="1">Calc!G82</f>
        <v>1200</v>
      </c>
      <c r="AB1378" s="318">
        <v>289.82999999999493</v>
      </c>
      <c r="AC1378" s="318">
        <v>-148.17000000000746</v>
      </c>
      <c r="AD1378" s="318">
        <v>427.82999999999731</v>
      </c>
      <c r="AE1378" s="318">
        <v>151.82999999999254</v>
      </c>
      <c r="AF1378" s="318">
        <v>-910.17000000000507</v>
      </c>
      <c r="AG1378" s="318">
        <v>-1246.1700000000064</v>
      </c>
      <c r="AH1378" s="318">
        <v>-88.170000000002346</v>
      </c>
      <c r="AI1378" s="318">
        <v>-88.170000000002346</v>
      </c>
      <c r="AJ1378" s="318">
        <v>2395.8299999999981</v>
      </c>
      <c r="AK1378" s="318">
        <v>1747.829999999999</v>
      </c>
      <c r="AL1378" s="318">
        <v>1681.8299999999995</v>
      </c>
      <c r="AM1378" s="318">
        <v>3067.8299999999963</v>
      </c>
      <c r="AN1378" s="318">
        <v>4273.8299999999954</v>
      </c>
      <c r="AO1378" s="318">
        <v>4813.8299999999945</v>
      </c>
      <c r="AP1378" s="318">
        <v>2437.8299999999981</v>
      </c>
      <c r="AQ1378" s="318">
        <v>2635.8299999999972</v>
      </c>
      <c r="AR1378" s="318">
        <v>1537.829999999994</v>
      </c>
      <c r="AS1378" s="318">
        <v>973.82999999999527</v>
      </c>
      <c r="AT1378" s="318">
        <v>2023.8299999999954</v>
      </c>
      <c r="AU1378" s="318">
        <v>2191.8299999999958</v>
      </c>
      <c r="AV1378" s="318">
        <f ca="1">Calc!AH82</f>
        <v>2191.8299999999958</v>
      </c>
      <c r="AX1378" s="88" t="str">
        <f t="shared" ca="1" si="109"/>
        <v>LUV</v>
      </c>
    </row>
    <row r="1379" spans="1:50" ht="23" hidden="1" customHeight="1" x14ac:dyDescent="0.3">
      <c r="A1379" s="88" t="str">
        <f t="shared" ca="1" si="108"/>
        <v>MA</v>
      </c>
      <c r="F1379" s="981">
        <v>200</v>
      </c>
      <c r="G1379" s="981">
        <v>200</v>
      </c>
      <c r="H1379" s="981">
        <v>200</v>
      </c>
      <c r="I1379" s="981">
        <v>200</v>
      </c>
      <c r="J1379" s="981">
        <v>200</v>
      </c>
      <c r="K1379" s="981">
        <v>200</v>
      </c>
      <c r="L1379" s="981">
        <v>200</v>
      </c>
      <c r="M1379" s="981">
        <v>200</v>
      </c>
      <c r="N1379" s="981">
        <v>200</v>
      </c>
      <c r="O1379" s="981">
        <v>200</v>
      </c>
      <c r="P1379" s="981">
        <v>200</v>
      </c>
      <c r="Q1379" s="981">
        <v>200</v>
      </c>
      <c r="R1379" s="981">
        <v>200</v>
      </c>
      <c r="S1379" s="981">
        <v>200</v>
      </c>
      <c r="T1379" s="981">
        <v>200</v>
      </c>
      <c r="U1379" s="981">
        <v>200</v>
      </c>
      <c r="V1379" s="981">
        <v>200</v>
      </c>
      <c r="W1379" s="981">
        <v>200</v>
      </c>
      <c r="X1379" s="981">
        <v>200</v>
      </c>
      <c r="Y1379" s="981">
        <v>200</v>
      </c>
      <c r="Z1379" s="981">
        <f ca="1">Calc!G83</f>
        <v>200</v>
      </c>
      <c r="AB1379" s="318">
        <v>2497.9999999999905</v>
      </c>
      <c r="AC1379" s="318">
        <v>2899.5000000000005</v>
      </c>
      <c r="AD1379" s="318">
        <v>4259.9999999999909</v>
      </c>
      <c r="AE1379" s="318">
        <v>3170.9999999999923</v>
      </c>
      <c r="AF1379" s="318">
        <v>2600.9999999999991</v>
      </c>
      <c r="AG1379" s="318">
        <v>2070.9999999999923</v>
      </c>
      <c r="AH1379" s="318">
        <v>2140.9999999999968</v>
      </c>
      <c r="AI1379" s="318">
        <v>2140.9999999999968</v>
      </c>
      <c r="AJ1379" s="318">
        <v>1882.9999999999927</v>
      </c>
      <c r="AK1379" s="318">
        <v>1844.9999999999932</v>
      </c>
      <c r="AL1379" s="318">
        <v>2051.9999999999982</v>
      </c>
      <c r="AM1379" s="318">
        <v>2647.9999999999905</v>
      </c>
      <c r="AN1379" s="318">
        <v>3915.9999999999968</v>
      </c>
      <c r="AO1379" s="318">
        <v>3973.9999999999895</v>
      </c>
      <c r="AP1379" s="318">
        <v>3891.9999999999959</v>
      </c>
      <c r="AQ1379" s="318">
        <v>4034.9999999999909</v>
      </c>
      <c r="AR1379" s="318">
        <v>4138</v>
      </c>
      <c r="AS1379" s="318">
        <v>4694.9999999999927</v>
      </c>
      <c r="AT1379" s="318">
        <v>6557.9999999999927</v>
      </c>
      <c r="AU1379" s="318">
        <v>6659.7499999999964</v>
      </c>
      <c r="AV1379" s="318">
        <f ca="1">Calc!AH83</f>
        <v>6659.7499999999964</v>
      </c>
      <c r="AX1379" s="88" t="str">
        <f t="shared" ca="1" si="109"/>
        <v>MA</v>
      </c>
    </row>
    <row r="1380" spans="1:50" ht="23" hidden="1" customHeight="1" x14ac:dyDescent="0.3">
      <c r="A1380" s="88" t="str">
        <f t="shared" ca="1" si="108"/>
        <v>NVAX</v>
      </c>
      <c r="F1380" s="981">
        <v>6500</v>
      </c>
      <c r="G1380" s="981">
        <v>6500</v>
      </c>
      <c r="H1380" s="981">
        <v>6500</v>
      </c>
      <c r="I1380" s="981">
        <v>6500</v>
      </c>
      <c r="J1380" s="981">
        <v>6500</v>
      </c>
      <c r="K1380" s="981">
        <v>6500</v>
      </c>
      <c r="L1380" s="981">
        <v>6500</v>
      </c>
      <c r="M1380" s="981">
        <v>6500</v>
      </c>
      <c r="N1380" s="981">
        <v>6500</v>
      </c>
      <c r="O1380" s="981">
        <v>6500</v>
      </c>
      <c r="P1380" s="981">
        <v>6500</v>
      </c>
      <c r="Q1380" s="981">
        <v>6500</v>
      </c>
      <c r="R1380" s="981">
        <v>6500</v>
      </c>
      <c r="S1380" s="981">
        <v>6500</v>
      </c>
      <c r="T1380" s="981">
        <v>6500</v>
      </c>
      <c r="U1380" s="981">
        <v>6500</v>
      </c>
      <c r="V1380" s="981">
        <v>6500</v>
      </c>
      <c r="W1380" s="981">
        <v>6500</v>
      </c>
      <c r="X1380" s="981">
        <v>4500</v>
      </c>
      <c r="Y1380" s="981">
        <v>4500</v>
      </c>
      <c r="Z1380" s="981">
        <f ca="1">Calc!G84</f>
        <v>4500</v>
      </c>
      <c r="AB1380" s="318">
        <v>22334.999999999993</v>
      </c>
      <c r="AC1380" s="318">
        <v>21709.999999999993</v>
      </c>
      <c r="AD1380" s="318">
        <v>24384.999999999993</v>
      </c>
      <c r="AE1380" s="318">
        <v>26285</v>
      </c>
      <c r="AF1380" s="318">
        <v>22835</v>
      </c>
      <c r="AG1380" s="318">
        <v>23834.999999999996</v>
      </c>
      <c r="AH1380" s="318">
        <v>24484.999999999993</v>
      </c>
      <c r="AI1380" s="318">
        <v>24484.999999999993</v>
      </c>
      <c r="AJ1380" s="318">
        <v>24985</v>
      </c>
      <c r="AK1380" s="318">
        <v>24185</v>
      </c>
      <c r="AL1380" s="318">
        <v>23285</v>
      </c>
      <c r="AM1380" s="318">
        <v>24185</v>
      </c>
      <c r="AN1380" s="318">
        <v>24634.999999999996</v>
      </c>
      <c r="AO1380" s="318">
        <v>29109.999999999996</v>
      </c>
      <c r="AP1380" s="318">
        <v>28334.999999999996</v>
      </c>
      <c r="AQ1380" s="318">
        <v>28284.499999999996</v>
      </c>
      <c r="AR1380" s="318">
        <v>29739.999999999996</v>
      </c>
      <c r="AS1380" s="318">
        <v>31934.999999999996</v>
      </c>
      <c r="AT1380" s="318">
        <v>14280.000000000002</v>
      </c>
      <c r="AU1380" s="318">
        <v>14455.000000000002</v>
      </c>
      <c r="AV1380" s="318">
        <f ca="1">Calc!AH84</f>
        <v>14455.000000000002</v>
      </c>
      <c r="AX1380" s="88" t="str">
        <f t="shared" ca="1" si="109"/>
        <v>NVAX</v>
      </c>
    </row>
    <row r="1381" spans="1:50" ht="23" hidden="1" customHeight="1" x14ac:dyDescent="0.3">
      <c r="A1381" s="88" t="str">
        <f t="shared" ca="1" si="108"/>
        <v>NVS</v>
      </c>
      <c r="F1381" s="981">
        <v>0</v>
      </c>
      <c r="G1381" s="981">
        <v>0</v>
      </c>
      <c r="H1381" s="981">
        <v>0</v>
      </c>
      <c r="I1381" s="981">
        <v>0</v>
      </c>
      <c r="J1381" s="981">
        <v>0</v>
      </c>
      <c r="K1381" s="981">
        <v>0</v>
      </c>
      <c r="L1381" s="981">
        <v>0</v>
      </c>
      <c r="M1381" s="981">
        <v>0</v>
      </c>
      <c r="N1381" s="981">
        <v>0</v>
      </c>
      <c r="O1381" s="981">
        <v>0</v>
      </c>
      <c r="P1381" s="981">
        <v>0</v>
      </c>
      <c r="Q1381" s="981">
        <v>0</v>
      </c>
      <c r="R1381" s="981">
        <v>0</v>
      </c>
      <c r="S1381" s="981">
        <v>0</v>
      </c>
      <c r="T1381" s="981">
        <v>0</v>
      </c>
      <c r="U1381" s="981">
        <v>0</v>
      </c>
      <c r="V1381" s="981">
        <v>0</v>
      </c>
      <c r="W1381" s="981">
        <v>0</v>
      </c>
      <c r="X1381" s="981">
        <v>0</v>
      </c>
      <c r="Y1381" s="981">
        <v>0</v>
      </c>
      <c r="Z1381" s="981">
        <f ca="1">Calc!G85</f>
        <v>0</v>
      </c>
      <c r="AB1381" s="318">
        <v>-10915.800000000007</v>
      </c>
      <c r="AC1381" s="318">
        <v>-10777.800000000008</v>
      </c>
      <c r="AD1381" s="318">
        <v>-11083.800000000003</v>
      </c>
      <c r="AE1381" s="318">
        <v>-11367.800000000005</v>
      </c>
      <c r="AF1381" s="318">
        <v>-11511.8</v>
      </c>
      <c r="AG1381" s="318">
        <v>-11331.800000000005</v>
      </c>
      <c r="AH1381" s="318">
        <v>-11367.800000000005</v>
      </c>
      <c r="AI1381" s="318">
        <v>-11367.800000000005</v>
      </c>
      <c r="AJ1381" s="318">
        <v>-11451.799999999997</v>
      </c>
      <c r="AK1381" s="318">
        <v>-10947.800000000001</v>
      </c>
      <c r="AL1381" s="318">
        <v>-10371.800000000001</v>
      </c>
      <c r="AM1381" s="318">
        <v>-8151.8000000000029</v>
      </c>
      <c r="AN1381" s="318">
        <v>-7839.8000000000029</v>
      </c>
      <c r="AO1381" s="318">
        <v>-8759.8000000000011</v>
      </c>
      <c r="AP1381" s="318">
        <v>-8995.8000000000029</v>
      </c>
      <c r="AQ1381" s="318">
        <v>-9477.8000000000029</v>
      </c>
      <c r="AR1381" s="318">
        <v>-9375.8000000000029</v>
      </c>
      <c r="AS1381" s="318">
        <v>-11299.8</v>
      </c>
      <c r="AT1381" s="318">
        <v>-9987.8000000000047</v>
      </c>
      <c r="AU1381" s="318">
        <v>-9531.8000000000047</v>
      </c>
      <c r="AV1381" s="318">
        <f ca="1">Calc!AH85</f>
        <v>-9531.8000000000047</v>
      </c>
      <c r="AX1381" s="88" t="str">
        <f t="shared" ca="1" si="109"/>
        <v>NVS</v>
      </c>
    </row>
    <row r="1382" spans="1:50" hidden="1" x14ac:dyDescent="0.3">
      <c r="A1382" s="88" t="str">
        <f t="shared" ca="1" si="108"/>
        <v>ORA</v>
      </c>
      <c r="F1382" s="981">
        <v>1200</v>
      </c>
      <c r="G1382" s="981">
        <v>1200</v>
      </c>
      <c r="H1382" s="981">
        <v>1200</v>
      </c>
      <c r="I1382" s="981">
        <v>1200</v>
      </c>
      <c r="J1382" s="981">
        <v>1200</v>
      </c>
      <c r="K1382" s="981">
        <v>1200</v>
      </c>
      <c r="L1382" s="981">
        <v>1200</v>
      </c>
      <c r="M1382" s="981">
        <v>1200</v>
      </c>
      <c r="N1382" s="981">
        <v>1200</v>
      </c>
      <c r="O1382" s="981">
        <v>1200</v>
      </c>
      <c r="P1382" s="981">
        <v>1200</v>
      </c>
      <c r="Q1382" s="981">
        <v>1200</v>
      </c>
      <c r="R1382" s="981">
        <v>1200</v>
      </c>
      <c r="S1382" s="981">
        <v>1200</v>
      </c>
      <c r="T1382" s="981">
        <v>1200</v>
      </c>
      <c r="U1382" s="981">
        <v>1200</v>
      </c>
      <c r="V1382" s="981">
        <v>1200</v>
      </c>
      <c r="W1382" s="981">
        <v>1200</v>
      </c>
      <c r="X1382" s="981">
        <v>1200</v>
      </c>
      <c r="Y1382" s="981">
        <v>1200</v>
      </c>
      <c r="Z1382" s="981">
        <f ca="1">Calc!G86</f>
        <v>1200</v>
      </c>
      <c r="AB1382" s="318">
        <v>-3080.0000000000018</v>
      </c>
      <c r="AC1382" s="318">
        <v>-3970.0000000000023</v>
      </c>
      <c r="AD1382" s="318">
        <v>-4110.0000000000027</v>
      </c>
      <c r="AE1382" s="318">
        <v>-4610.0000000000027</v>
      </c>
      <c r="AF1382" s="318">
        <v>-4260.0000000000018</v>
      </c>
      <c r="AG1382" s="318">
        <v>-4190.0000000000009</v>
      </c>
      <c r="AH1382" s="318">
        <v>-4080.0000000000018</v>
      </c>
      <c r="AI1382" s="318">
        <v>-4080.0000000000018</v>
      </c>
      <c r="AJ1382" s="318">
        <v>-4240.0000000000018</v>
      </c>
      <c r="AK1382" s="318">
        <v>-3780.0000000000009</v>
      </c>
      <c r="AL1382" s="318">
        <v>-3640.0000000000005</v>
      </c>
      <c r="AM1382" s="318">
        <v>-3720.0000000000023</v>
      </c>
      <c r="AN1382" s="318">
        <v>-3650.0000000000023</v>
      </c>
      <c r="AO1382" s="318">
        <v>-3370.0000000000009</v>
      </c>
      <c r="AP1382" s="318">
        <v>-3370.0000000000009</v>
      </c>
      <c r="AQ1382" s="318">
        <v>-3820.0000000000005</v>
      </c>
      <c r="AR1382" s="318">
        <v>-4270</v>
      </c>
      <c r="AS1382" s="318">
        <v>-3980.0000000000005</v>
      </c>
      <c r="AT1382" s="318">
        <v>-3320.0000000000005</v>
      </c>
      <c r="AU1382" s="318">
        <v>-3500</v>
      </c>
      <c r="AV1382" s="318">
        <f ca="1">Calc!AH86</f>
        <v>-3500</v>
      </c>
      <c r="AX1382" s="88" t="str">
        <f t="shared" ca="1" si="109"/>
        <v>ORA</v>
      </c>
    </row>
    <row r="1383" spans="1:50" hidden="1" x14ac:dyDescent="0.3">
      <c r="A1383" s="88" t="str">
        <f t="shared" ca="1" si="108"/>
        <v>OXY</v>
      </c>
      <c r="F1383" s="981">
        <v>4000</v>
      </c>
      <c r="G1383" s="981">
        <v>4000</v>
      </c>
      <c r="H1383" s="981">
        <v>4000</v>
      </c>
      <c r="I1383" s="981">
        <v>4000</v>
      </c>
      <c r="J1383" s="981">
        <v>4000</v>
      </c>
      <c r="K1383" s="981">
        <v>4000</v>
      </c>
      <c r="L1383" s="981">
        <v>4000</v>
      </c>
      <c r="M1383" s="981">
        <v>4000</v>
      </c>
      <c r="N1383" s="981">
        <v>4000</v>
      </c>
      <c r="O1383" s="981">
        <v>4000</v>
      </c>
      <c r="P1383" s="981">
        <v>4000</v>
      </c>
      <c r="Q1383" s="981">
        <v>4000</v>
      </c>
      <c r="R1383" s="981">
        <v>4000</v>
      </c>
      <c r="S1383" s="981">
        <v>4000</v>
      </c>
      <c r="T1383" s="981">
        <v>4000</v>
      </c>
      <c r="U1383" s="981">
        <v>4000</v>
      </c>
      <c r="V1383" s="981">
        <v>4000</v>
      </c>
      <c r="W1383" s="981">
        <v>4000</v>
      </c>
      <c r="X1383" s="981">
        <v>4000</v>
      </c>
      <c r="Y1383" s="981">
        <v>4000</v>
      </c>
      <c r="Z1383" s="981">
        <f ca="1">Calc!G87</f>
        <v>4000</v>
      </c>
      <c r="AB1383" s="318">
        <v>9579.9999999999982</v>
      </c>
      <c r="AC1383" s="318">
        <v>10005.000000000002</v>
      </c>
      <c r="AD1383" s="318">
        <v>10820</v>
      </c>
      <c r="AE1383" s="318">
        <v>10960</v>
      </c>
      <c r="AF1383" s="318">
        <v>10829.999999999998</v>
      </c>
      <c r="AG1383" s="318">
        <v>10950.000000000004</v>
      </c>
      <c r="AH1383" s="318">
        <v>10125</v>
      </c>
      <c r="AI1383" s="318">
        <v>10125</v>
      </c>
      <c r="AJ1383" s="318">
        <v>8979.9999999999964</v>
      </c>
      <c r="AK1383" s="318">
        <v>9280.0000000000018</v>
      </c>
      <c r="AL1383" s="318">
        <v>9570</v>
      </c>
      <c r="AM1383" s="318">
        <v>11009.999999999998</v>
      </c>
      <c r="AN1383" s="318">
        <v>11155.000000000002</v>
      </c>
      <c r="AO1383" s="318">
        <v>11765</v>
      </c>
      <c r="AP1383" s="318">
        <v>12085</v>
      </c>
      <c r="AQ1383" s="318">
        <v>11589.999999999996</v>
      </c>
      <c r="AR1383" s="318">
        <v>10670.699999999997</v>
      </c>
      <c r="AS1383" s="318">
        <v>9089.9999999999964</v>
      </c>
      <c r="AT1383" s="318">
        <v>9344.9999999999982</v>
      </c>
      <c r="AU1383" s="318">
        <v>10375</v>
      </c>
      <c r="AV1383" s="318">
        <f ca="1">Calc!AH87</f>
        <v>10375</v>
      </c>
      <c r="AX1383" s="88" t="str">
        <f t="shared" ca="1" si="109"/>
        <v>OXY</v>
      </c>
    </row>
    <row r="1384" spans="1:50" hidden="1" x14ac:dyDescent="0.3">
      <c r="A1384" s="88" t="str">
        <f t="shared" ca="1" si="108"/>
        <v>PFE</v>
      </c>
      <c r="F1384" s="981">
        <v>1600</v>
      </c>
      <c r="G1384" s="981">
        <v>1600</v>
      </c>
      <c r="H1384" s="981">
        <v>1600</v>
      </c>
      <c r="I1384" s="981">
        <v>1600</v>
      </c>
      <c r="J1384" s="981">
        <v>1600</v>
      </c>
      <c r="K1384" s="981">
        <v>1600</v>
      </c>
      <c r="L1384" s="981">
        <v>1600</v>
      </c>
      <c r="M1384" s="981">
        <v>1600</v>
      </c>
      <c r="N1384" s="981">
        <v>1600</v>
      </c>
      <c r="O1384" s="981">
        <v>1600</v>
      </c>
      <c r="P1384" s="981">
        <v>1600</v>
      </c>
      <c r="Q1384" s="981">
        <v>1600</v>
      </c>
      <c r="R1384" s="981">
        <v>1600</v>
      </c>
      <c r="S1384" s="981">
        <v>1600</v>
      </c>
      <c r="T1384" s="981">
        <v>1600</v>
      </c>
      <c r="U1384" s="981">
        <v>1600</v>
      </c>
      <c r="V1384" s="981">
        <v>1600</v>
      </c>
      <c r="W1384" s="981">
        <v>1600</v>
      </c>
      <c r="X1384" s="981">
        <v>1600</v>
      </c>
      <c r="Y1384" s="981">
        <v>1600</v>
      </c>
      <c r="Z1384" s="981">
        <f ca="1">Calc!G88</f>
        <v>1600</v>
      </c>
      <c r="AB1384" s="318">
        <v>10808.172000000004</v>
      </c>
      <c r="AC1384" s="318">
        <v>11159.921999999999</v>
      </c>
      <c r="AD1384" s="318">
        <v>11401.121999999999</v>
      </c>
      <c r="AE1384" s="318">
        <v>10838.321999999998</v>
      </c>
      <c r="AF1384" s="318">
        <v>10486.572000000004</v>
      </c>
      <c r="AG1384" s="318">
        <v>10205.172000000002</v>
      </c>
      <c r="AH1384" s="318">
        <v>10386.072000000002</v>
      </c>
      <c r="AI1384" s="318">
        <v>10386.072000000002</v>
      </c>
      <c r="AJ1384" s="318">
        <v>10486.572000000004</v>
      </c>
      <c r="AK1384" s="318">
        <v>10295.621999999999</v>
      </c>
      <c r="AL1384" s="318">
        <v>10345.872000000003</v>
      </c>
      <c r="AM1384" s="318">
        <v>10808.172000000004</v>
      </c>
      <c r="AN1384" s="318">
        <v>11260.422</v>
      </c>
      <c r="AO1384" s="318">
        <v>11200.122000000005</v>
      </c>
      <c r="AP1384" s="318">
        <v>10587.071999999998</v>
      </c>
      <c r="AQ1384" s="318">
        <v>10104.672</v>
      </c>
      <c r="AR1384" s="318">
        <v>11109.672</v>
      </c>
      <c r="AS1384" s="318">
        <v>9682.5720000000001</v>
      </c>
      <c r="AT1384" s="318">
        <v>8948.9220000000023</v>
      </c>
      <c r="AU1384" s="318">
        <v>9823.2720000000008</v>
      </c>
      <c r="AV1384" s="318">
        <f ca="1">Calc!AH88</f>
        <v>9823.2720000000008</v>
      </c>
      <c r="AX1384" s="88" t="str">
        <f t="shared" ca="1" si="109"/>
        <v>PFE</v>
      </c>
    </row>
    <row r="1385" spans="1:50" hidden="1" x14ac:dyDescent="0.3">
      <c r="A1385" s="88" t="str">
        <f t="shared" ca="1" si="108"/>
        <v>RIG</v>
      </c>
      <c r="F1385" s="981">
        <v>48000</v>
      </c>
      <c r="G1385" s="981">
        <v>48000</v>
      </c>
      <c r="H1385" s="981">
        <v>48000</v>
      </c>
      <c r="I1385" s="981">
        <v>48000</v>
      </c>
      <c r="J1385" s="981">
        <v>48000</v>
      </c>
      <c r="K1385" s="981">
        <v>48000</v>
      </c>
      <c r="L1385" s="981">
        <v>48000</v>
      </c>
      <c r="M1385" s="981">
        <v>48000</v>
      </c>
      <c r="N1385" s="981">
        <v>48000</v>
      </c>
      <c r="O1385" s="981">
        <v>48000</v>
      </c>
      <c r="P1385" s="981">
        <v>48000</v>
      </c>
      <c r="Q1385" s="981">
        <v>48000</v>
      </c>
      <c r="R1385" s="981">
        <v>48000</v>
      </c>
      <c r="S1385" s="981">
        <v>48000</v>
      </c>
      <c r="T1385" s="981">
        <v>48000</v>
      </c>
      <c r="U1385" s="981">
        <v>48000</v>
      </c>
      <c r="V1385" s="981">
        <v>43000</v>
      </c>
      <c r="W1385" s="981">
        <v>43000</v>
      </c>
      <c r="X1385" s="981">
        <v>43000</v>
      </c>
      <c r="Y1385" s="981">
        <v>43000</v>
      </c>
      <c r="Z1385" s="981">
        <f ca="1">Calc!G89</f>
        <v>43000</v>
      </c>
      <c r="AB1385" s="318">
        <v>8154.9000000000005</v>
      </c>
      <c r="AC1385" s="318">
        <v>7629.9000000000015</v>
      </c>
      <c r="AD1385" s="318">
        <v>7824.9000000000005</v>
      </c>
      <c r="AE1385" s="318">
        <v>7719.9000000000015</v>
      </c>
      <c r="AF1385" s="318">
        <v>7644.9000000000005</v>
      </c>
      <c r="AG1385" s="318">
        <v>7584.9000000000005</v>
      </c>
      <c r="AH1385" s="318">
        <v>7224.9000000000015</v>
      </c>
      <c r="AI1385" s="318">
        <v>7224.9000000000015</v>
      </c>
      <c r="AJ1385" s="318">
        <v>5844.9000000000015</v>
      </c>
      <c r="AK1385" s="318">
        <v>5814.9000000000015</v>
      </c>
      <c r="AL1385" s="318">
        <v>5934.9000000000015</v>
      </c>
      <c r="AM1385" s="318">
        <v>6234.9000000000015</v>
      </c>
      <c r="AN1385" s="318">
        <v>5754.9000000000015</v>
      </c>
      <c r="AO1385" s="318">
        <v>5784.300000000002</v>
      </c>
      <c r="AP1385" s="318">
        <v>5814.9000000000015</v>
      </c>
      <c r="AQ1385" s="318">
        <v>5724.9000000000015</v>
      </c>
      <c r="AR1385" s="318">
        <v>-24.999999999999467</v>
      </c>
      <c r="AS1385" s="318">
        <v>-274.99999999999858</v>
      </c>
      <c r="AT1385" s="318">
        <v>-874.99999999999909</v>
      </c>
      <c r="AU1385" s="318">
        <v>-699.99999999999841</v>
      </c>
      <c r="AV1385" s="318">
        <f ca="1">Calc!AH89</f>
        <v>-699.99999999999841</v>
      </c>
      <c r="AX1385" s="88" t="str">
        <f t="shared" ca="1" si="109"/>
        <v>RIG</v>
      </c>
    </row>
    <row r="1386" spans="1:50" x14ac:dyDescent="0.3">
      <c r="A1386" s="88" t="str">
        <f t="shared" ca="1" si="108"/>
        <v>RRC</v>
      </c>
      <c r="F1386" s="981">
        <v>0</v>
      </c>
      <c r="G1386" s="981">
        <v>0</v>
      </c>
      <c r="H1386" s="981">
        <v>0</v>
      </c>
      <c r="I1386" s="981">
        <v>0</v>
      </c>
      <c r="J1386" s="981">
        <v>0</v>
      </c>
      <c r="K1386" s="981">
        <v>0</v>
      </c>
      <c r="L1386" s="981">
        <v>0</v>
      </c>
      <c r="M1386" s="981">
        <v>0</v>
      </c>
      <c r="N1386" s="981">
        <v>0</v>
      </c>
      <c r="O1386" s="981">
        <v>0</v>
      </c>
      <c r="P1386" s="981">
        <v>0</v>
      </c>
      <c r="Q1386" s="981">
        <v>0</v>
      </c>
      <c r="R1386" s="981">
        <v>0</v>
      </c>
      <c r="S1386" s="981">
        <v>0</v>
      </c>
      <c r="T1386" s="981">
        <v>0</v>
      </c>
      <c r="U1386" s="981">
        <v>0</v>
      </c>
      <c r="V1386" s="981">
        <v>0</v>
      </c>
      <c r="W1386" s="981">
        <v>0</v>
      </c>
      <c r="X1386" s="981">
        <v>0</v>
      </c>
      <c r="Y1386" s="981">
        <v>0</v>
      </c>
      <c r="Z1386" s="981">
        <f ca="1">Calc!G90</f>
        <v>0</v>
      </c>
      <c r="AB1386" s="318">
        <v>-1355.0000000000041</v>
      </c>
      <c r="AC1386" s="318">
        <v>-6905.0000000000009</v>
      </c>
      <c r="AD1386" s="318">
        <v>845.00000000002024</v>
      </c>
      <c r="AE1386" s="318">
        <v>-554.99999999998545</v>
      </c>
      <c r="AF1386" s="318">
        <v>-6355.0000000000036</v>
      </c>
      <c r="AG1386" s="318">
        <v>-4604.9999999999973</v>
      </c>
      <c r="AH1386" s="318">
        <v>-1954.9999999999911</v>
      </c>
      <c r="AI1386" s="318">
        <v>-1954.9999999999911</v>
      </c>
      <c r="AJ1386" s="318">
        <v>-8204.9999999999909</v>
      </c>
      <c r="AK1386" s="318">
        <v>-8729.9999999999764</v>
      </c>
      <c r="AL1386" s="318">
        <v>-7504.9999999999882</v>
      </c>
      <c r="AM1386" s="318">
        <v>-5554.9999999999854</v>
      </c>
      <c r="AN1386" s="318">
        <v>6344.9999999999918</v>
      </c>
      <c r="AO1386" s="318">
        <v>-5930</v>
      </c>
      <c r="AP1386" s="318">
        <v>-6104.9999999999827</v>
      </c>
      <c r="AQ1386" s="318">
        <v>-4755.0000000000027</v>
      </c>
      <c r="AR1386" s="318">
        <v>-7854.99999999999</v>
      </c>
      <c r="AS1386" s="318">
        <v>-11854.999999999976</v>
      </c>
      <c r="AT1386" s="318">
        <v>-15854.999999999996</v>
      </c>
      <c r="AU1386" s="318">
        <v>-16080.000000000005</v>
      </c>
      <c r="AV1386" s="318">
        <f ca="1">Calc!AH90</f>
        <v>-16080.000000000005</v>
      </c>
      <c r="AX1386" s="88" t="str">
        <f t="shared" ca="1" si="109"/>
        <v>RRC</v>
      </c>
    </row>
    <row r="1387" spans="1:50" x14ac:dyDescent="0.3">
      <c r="A1387" s="88" t="str">
        <f t="shared" ca="1" si="108"/>
        <v>XYZ</v>
      </c>
      <c r="F1387" s="981">
        <v>600</v>
      </c>
      <c r="G1387" s="981">
        <v>600</v>
      </c>
      <c r="H1387" s="981">
        <v>600</v>
      </c>
      <c r="I1387" s="981">
        <v>600</v>
      </c>
      <c r="J1387" s="981">
        <v>600</v>
      </c>
      <c r="K1387" s="981">
        <v>600</v>
      </c>
      <c r="L1387" s="981">
        <v>600</v>
      </c>
      <c r="M1387" s="981">
        <v>600</v>
      </c>
      <c r="N1387" s="981">
        <v>600</v>
      </c>
      <c r="O1387" s="981">
        <v>600</v>
      </c>
      <c r="P1387" s="981">
        <v>600</v>
      </c>
      <c r="Q1387" s="981">
        <v>600</v>
      </c>
      <c r="R1387" s="981">
        <v>600</v>
      </c>
      <c r="S1387" s="981">
        <v>600</v>
      </c>
      <c r="T1387" s="981">
        <v>600</v>
      </c>
      <c r="U1387" s="981">
        <v>600</v>
      </c>
      <c r="V1387" s="981">
        <v>600</v>
      </c>
      <c r="W1387" s="981">
        <v>600</v>
      </c>
      <c r="X1387" s="981">
        <v>600</v>
      </c>
      <c r="Y1387" s="981">
        <v>600</v>
      </c>
      <c r="Z1387" s="981">
        <f ca="1">Calc!G91</f>
        <v>600</v>
      </c>
      <c r="AB1387" s="318">
        <v>-29840.000000000018</v>
      </c>
      <c r="AC1387" s="318">
        <v>-29420</v>
      </c>
      <c r="AD1387" s="318">
        <v>-26580</v>
      </c>
      <c r="AE1387" s="318">
        <v>-27880.000000000011</v>
      </c>
      <c r="AF1387" s="318">
        <v>-30480.000000000004</v>
      </c>
      <c r="AG1387" s="318">
        <v>-32899.999999999993</v>
      </c>
      <c r="AH1387" s="318">
        <v>-29340.000000000018</v>
      </c>
      <c r="AI1387" s="318">
        <v>-29340.000000000018</v>
      </c>
      <c r="AJ1387" s="318">
        <v>-34580</v>
      </c>
      <c r="AK1387" s="318">
        <v>-36560.000000000015</v>
      </c>
      <c r="AL1387" s="318">
        <v>-37820.000000000007</v>
      </c>
      <c r="AM1387" s="318">
        <v>-37860</v>
      </c>
      <c r="AN1387" s="318">
        <v>-25299.999999999996</v>
      </c>
      <c r="AO1387" s="318">
        <v>-22799.999999999996</v>
      </c>
      <c r="AP1387" s="318">
        <v>-24780.000000000015</v>
      </c>
      <c r="AQ1387" s="318">
        <v>-19959.999999999993</v>
      </c>
      <c r="AR1387" s="318">
        <v>-8519.9999999999964</v>
      </c>
      <c r="AS1387" s="318">
        <v>1589.9999999999891</v>
      </c>
      <c r="AT1387" s="318">
        <v>7239.9999999999945</v>
      </c>
      <c r="AU1387" s="318">
        <v>7530.0000000000009</v>
      </c>
      <c r="AV1387" s="318">
        <f ca="1">Calc!AH91</f>
        <v>7530.0000000000009</v>
      </c>
      <c r="AX1387" s="88" t="str">
        <f t="shared" ca="1" si="109"/>
        <v>XYZ</v>
      </c>
    </row>
    <row r="1388" spans="1:50" x14ac:dyDescent="0.3">
      <c r="A1388" s="88" t="str">
        <f t="shared" ca="1" si="108"/>
        <v>THC</v>
      </c>
      <c r="F1388" s="981">
        <v>1500</v>
      </c>
      <c r="G1388" s="981">
        <v>1500</v>
      </c>
      <c r="H1388" s="981">
        <v>1500</v>
      </c>
      <c r="I1388" s="981">
        <v>1500</v>
      </c>
      <c r="J1388" s="981">
        <v>1500</v>
      </c>
      <c r="K1388" s="981">
        <v>1500</v>
      </c>
      <c r="L1388" s="981">
        <v>1500</v>
      </c>
      <c r="M1388" s="981">
        <v>1500</v>
      </c>
      <c r="N1388" s="981">
        <v>1500</v>
      </c>
      <c r="O1388" s="981">
        <v>1500</v>
      </c>
      <c r="P1388" s="981">
        <v>1500</v>
      </c>
      <c r="Q1388" s="981">
        <v>1500</v>
      </c>
      <c r="R1388" s="981">
        <v>1500</v>
      </c>
      <c r="S1388" s="981">
        <v>1500</v>
      </c>
      <c r="T1388" s="981">
        <v>1500</v>
      </c>
      <c r="U1388" s="981">
        <v>1500</v>
      </c>
      <c r="V1388" s="981">
        <v>1500</v>
      </c>
      <c r="W1388" s="981">
        <v>1500</v>
      </c>
      <c r="X1388" s="981">
        <v>1500</v>
      </c>
      <c r="Y1388" s="981">
        <v>1500</v>
      </c>
      <c r="Z1388" s="981">
        <f ca="1">Calc!G92</f>
        <v>1500</v>
      </c>
      <c r="AB1388" s="318">
        <v>8090.0000000000036</v>
      </c>
      <c r="AC1388" s="318">
        <v>6539.9999999999918</v>
      </c>
      <c r="AD1388" s="318">
        <v>5409.9999999999964</v>
      </c>
      <c r="AE1388" s="318">
        <v>4539.9999999999918</v>
      </c>
      <c r="AF1388" s="318">
        <v>2484.9999999999854</v>
      </c>
      <c r="AG1388" s="318">
        <v>2179.9999999999782</v>
      </c>
      <c r="AH1388" s="318">
        <v>-580.00000000001251</v>
      </c>
      <c r="AI1388" s="318">
        <v>-580.00000000001251</v>
      </c>
      <c r="AJ1388" s="318">
        <v>-2370.0000000000045</v>
      </c>
      <c r="AK1388" s="318">
        <v>-5840.0000000000036</v>
      </c>
      <c r="AL1388" s="318">
        <v>-11629.999999999996</v>
      </c>
      <c r="AM1388" s="318">
        <v>-80.000000000012506</v>
      </c>
      <c r="AN1388" s="318">
        <v>-4090.0000000000036</v>
      </c>
      <c r="AO1388" s="318">
        <v>-3645.00000000001</v>
      </c>
      <c r="AP1388" s="318">
        <v>-4080.0000000000127</v>
      </c>
      <c r="AQ1388" s="318">
        <v>-1290.0000000000205</v>
      </c>
      <c r="AR1388" s="318">
        <v>-305.00000000000682</v>
      </c>
      <c r="AS1388" s="318">
        <v>11629.999999999996</v>
      </c>
      <c r="AT1388" s="318">
        <v>11539.999999999993</v>
      </c>
      <c r="AU1388" s="318">
        <v>10959.99999999998</v>
      </c>
      <c r="AV1388" s="318">
        <f ca="1">Calc!AH92</f>
        <v>10959.99999999998</v>
      </c>
      <c r="AX1388" s="88" t="str">
        <f t="shared" ca="1" si="109"/>
        <v>THC</v>
      </c>
    </row>
    <row r="1389" spans="1:50" x14ac:dyDescent="0.3">
      <c r="A1389" s="88" t="str">
        <f t="shared" ca="1" si="108"/>
        <v>X</v>
      </c>
      <c r="F1389" s="981">
        <v>10</v>
      </c>
      <c r="G1389" s="981">
        <v>10</v>
      </c>
      <c r="H1389" s="981">
        <v>10</v>
      </c>
      <c r="I1389" s="981">
        <v>10</v>
      </c>
      <c r="J1389" s="981">
        <v>10</v>
      </c>
      <c r="K1389" s="981">
        <v>10</v>
      </c>
      <c r="L1389" s="981">
        <v>10</v>
      </c>
      <c r="M1389" s="981">
        <v>10</v>
      </c>
      <c r="N1389" s="981">
        <v>10</v>
      </c>
      <c r="O1389" s="981">
        <v>10</v>
      </c>
      <c r="P1389" s="981">
        <v>10</v>
      </c>
      <c r="Q1389" s="981">
        <v>10</v>
      </c>
      <c r="R1389" s="981">
        <v>10</v>
      </c>
      <c r="S1389" s="981">
        <v>10</v>
      </c>
      <c r="T1389" s="981">
        <v>10</v>
      </c>
      <c r="U1389" s="981">
        <v>10</v>
      </c>
      <c r="V1389" s="981">
        <v>10</v>
      </c>
      <c r="W1389" s="981">
        <v>10</v>
      </c>
      <c r="X1389" s="981">
        <v>10</v>
      </c>
      <c r="Y1389" s="981">
        <v>10</v>
      </c>
      <c r="Z1389" s="981">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1">
        <v>77100</v>
      </c>
      <c r="G1390" s="981">
        <v>77100</v>
      </c>
      <c r="H1390" s="981">
        <v>77100</v>
      </c>
      <c r="I1390" s="981">
        <v>77100</v>
      </c>
      <c r="J1390" s="981">
        <v>77100</v>
      </c>
      <c r="K1390" s="981">
        <v>77100</v>
      </c>
      <c r="L1390" s="981">
        <v>77100</v>
      </c>
      <c r="M1390" s="981">
        <v>77100</v>
      </c>
      <c r="N1390" s="981">
        <v>77100</v>
      </c>
      <c r="O1390" s="981">
        <v>77100</v>
      </c>
      <c r="P1390" s="981">
        <v>77100</v>
      </c>
      <c r="Q1390" s="981">
        <v>77100</v>
      </c>
      <c r="R1390" s="981">
        <v>77100</v>
      </c>
      <c r="S1390" s="981">
        <v>77100</v>
      </c>
      <c r="T1390" s="981">
        <v>77100</v>
      </c>
      <c r="U1390" s="981">
        <v>77100</v>
      </c>
      <c r="V1390" s="981">
        <v>77100</v>
      </c>
      <c r="W1390" s="981">
        <v>77100</v>
      </c>
      <c r="X1390" s="981">
        <v>77100</v>
      </c>
      <c r="Y1390" s="981">
        <v>77100</v>
      </c>
      <c r="Z1390" s="981">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1">
        <v>200</v>
      </c>
      <c r="G1391" s="981">
        <v>200</v>
      </c>
      <c r="H1391" s="981">
        <v>200</v>
      </c>
      <c r="I1391" s="981">
        <v>200</v>
      </c>
      <c r="J1391" s="981">
        <v>200</v>
      </c>
      <c r="K1391" s="981">
        <v>200</v>
      </c>
      <c r="L1391" s="981">
        <v>200</v>
      </c>
      <c r="M1391" s="1109">
        <v>200</v>
      </c>
      <c r="N1391" s="981">
        <v>200</v>
      </c>
      <c r="O1391" s="981">
        <v>200</v>
      </c>
      <c r="P1391" s="981">
        <v>200</v>
      </c>
      <c r="Q1391" s="981">
        <v>200</v>
      </c>
      <c r="R1391" s="981">
        <v>200</v>
      </c>
      <c r="S1391" s="981">
        <v>200</v>
      </c>
      <c r="T1391" s="981">
        <v>200</v>
      </c>
      <c r="U1391" s="981">
        <v>200</v>
      </c>
      <c r="V1391" s="981">
        <v>200</v>
      </c>
      <c r="W1391" s="981">
        <v>200</v>
      </c>
      <c r="X1391" s="1109">
        <v>200</v>
      </c>
      <c r="Y1391" s="981">
        <v>200</v>
      </c>
      <c r="Z1391" s="981">
        <f ca="1">Calc!G95</f>
        <v>200</v>
      </c>
      <c r="AB1391" s="318">
        <v>-5519.9999999999927</v>
      </c>
      <c r="AC1391" s="318">
        <v>-13439.999999999985</v>
      </c>
      <c r="AD1391" s="318">
        <v>-14759.99999999998</v>
      </c>
      <c r="AE1391" s="318">
        <v>-14250</v>
      </c>
      <c r="AF1391" s="318">
        <v>-21239.999999999985</v>
      </c>
      <c r="AG1391" s="318">
        <v>-18479.999999999971</v>
      </c>
      <c r="AH1391" s="318">
        <v>-12569.999999999993</v>
      </c>
      <c r="AI1391" s="318">
        <v>-12569.999999999993</v>
      </c>
      <c r="AJ1391" s="318">
        <v>-17850</v>
      </c>
      <c r="AK1391" s="318">
        <v>-19859.999999999978</v>
      </c>
      <c r="AL1391" s="318">
        <v>-23969.999999999993</v>
      </c>
      <c r="AM1391" s="318">
        <v>-23759.999999999978</v>
      </c>
      <c r="AN1391" s="318">
        <v>-32789.999999999985</v>
      </c>
      <c r="AO1391" s="318">
        <v>-26939.999999999985</v>
      </c>
      <c r="AP1391" s="318">
        <v>-23519.999999999993</v>
      </c>
      <c r="AQ1391" s="318">
        <v>-20129.999999999971</v>
      </c>
      <c r="AR1391" s="318">
        <v>-12779.999999999973</v>
      </c>
      <c r="AS1391" s="318">
        <v>-13769.999999999993</v>
      </c>
      <c r="AT1391" s="318">
        <v>-9359.99999999998</v>
      </c>
      <c r="AU1391" s="318">
        <v>-17519.999999999993</v>
      </c>
      <c r="AV1391" s="318">
        <f ca="1">Calc!AH95</f>
        <v>-17519.999999999993</v>
      </c>
      <c r="AX1391" s="88" t="str">
        <f t="shared" ca="1" si="109"/>
        <v>JBASML</v>
      </c>
    </row>
    <row r="1392" spans="1:50" x14ac:dyDescent="0.3">
      <c r="A1392" s="88" t="str">
        <f t="shared" ca="1" si="108"/>
        <v>JBEOAN</v>
      </c>
      <c r="F1392" s="981">
        <v>18000</v>
      </c>
      <c r="G1392" s="981">
        <v>18000</v>
      </c>
      <c r="H1392" s="981">
        <v>18000</v>
      </c>
      <c r="I1392" s="981">
        <v>18000</v>
      </c>
      <c r="J1392" s="981">
        <v>18000</v>
      </c>
      <c r="K1392" s="981">
        <v>18000</v>
      </c>
      <c r="L1392" s="981">
        <v>18000</v>
      </c>
      <c r="M1392" s="981">
        <v>18000</v>
      </c>
      <c r="N1392" s="981">
        <v>18000</v>
      </c>
      <c r="O1392" s="981">
        <v>18000</v>
      </c>
      <c r="P1392" s="981">
        <v>18000</v>
      </c>
      <c r="Q1392" s="981">
        <v>18000</v>
      </c>
      <c r="R1392" s="981">
        <v>18000</v>
      </c>
      <c r="S1392" s="981">
        <v>18000</v>
      </c>
      <c r="T1392" s="981">
        <v>18000</v>
      </c>
      <c r="U1392" s="981">
        <v>18000</v>
      </c>
      <c r="V1392" s="981">
        <v>18000</v>
      </c>
      <c r="W1392" s="981">
        <v>21000</v>
      </c>
      <c r="X1392" s="981">
        <v>21000</v>
      </c>
      <c r="Y1392" s="981">
        <v>21000</v>
      </c>
      <c r="Z1392" s="981">
        <f ca="1">Calc!G96</f>
        <v>21000</v>
      </c>
      <c r="AB1392" s="318">
        <v>-750</v>
      </c>
      <c r="AC1392" s="318">
        <v>-239.99999999999488</v>
      </c>
      <c r="AD1392" s="318">
        <v>-389.99999999999704</v>
      </c>
      <c r="AE1392" s="318">
        <v>-449.99999999999574</v>
      </c>
      <c r="AF1392" s="318">
        <v>-900.00000000000216</v>
      </c>
      <c r="AG1392" s="318">
        <v>-734.99999999999227</v>
      </c>
      <c r="AH1392" s="318">
        <v>59.999999999998721</v>
      </c>
      <c r="AI1392" s="318">
        <v>59.999999999998721</v>
      </c>
      <c r="AJ1392" s="318">
        <v>420.00000000000171</v>
      </c>
      <c r="AK1392" s="318">
        <v>180.00000000000682</v>
      </c>
      <c r="AL1392" s="318">
        <v>75.000000000006395</v>
      </c>
      <c r="AM1392" s="318">
        <v>-359.99999999999233</v>
      </c>
      <c r="AN1392" s="318">
        <v>-404.99999999999403</v>
      </c>
      <c r="AO1392" s="318">
        <v>1110.000000000003</v>
      </c>
      <c r="AP1392" s="318">
        <v>210.00000000000085</v>
      </c>
      <c r="AQ1392" s="318">
        <v>120.0000000000081</v>
      </c>
      <c r="AR1392" s="318">
        <v>45.000000000001705</v>
      </c>
      <c r="AS1392" s="318">
        <v>2625.0000000000055</v>
      </c>
      <c r="AT1392" s="318">
        <v>2670.0000000000018</v>
      </c>
      <c r="AU1392" s="318">
        <v>2460.0000000000009</v>
      </c>
      <c r="AV1392" s="318">
        <f ca="1">Calc!AH96</f>
        <v>2460.0000000000009</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45952</v>
      </c>
      <c r="G1396" s="117">
        <f t="shared" ca="1" si="110"/>
        <v>45953</v>
      </c>
      <c r="H1396" s="117">
        <f t="shared" ca="1" si="110"/>
        <v>45954</v>
      </c>
      <c r="I1396" s="117">
        <f t="shared" ca="1" si="110"/>
        <v>45957</v>
      </c>
      <c r="J1396" s="117">
        <f t="shared" ca="1" si="110"/>
        <v>45958</v>
      </c>
      <c r="K1396" s="117">
        <f t="shared" ca="1" si="110"/>
        <v>45959</v>
      </c>
      <c r="L1396" s="117">
        <f t="shared" ca="1" si="110"/>
        <v>45960</v>
      </c>
      <c r="M1396" s="117">
        <f t="shared" ca="1" si="110"/>
        <v>45961</v>
      </c>
      <c r="N1396" s="117">
        <f t="shared" ca="1" si="110"/>
        <v>45964</v>
      </c>
      <c r="O1396" s="117">
        <f t="shared" ca="1" si="110"/>
        <v>45965</v>
      </c>
      <c r="P1396" s="117">
        <f t="shared" ca="1" si="110"/>
        <v>45966</v>
      </c>
      <c r="Q1396" s="117">
        <f t="shared" ca="1" si="110"/>
        <v>45967</v>
      </c>
      <c r="R1396" s="117">
        <f t="shared" ca="1" si="110"/>
        <v>45968</v>
      </c>
      <c r="S1396" s="117">
        <f t="shared" ca="1" si="110"/>
        <v>45971</v>
      </c>
      <c r="T1396" s="117">
        <f t="shared" ca="1" si="110"/>
        <v>45972</v>
      </c>
      <c r="U1396" s="117">
        <f t="shared" ca="1" si="110"/>
        <v>45973</v>
      </c>
      <c r="V1396" s="117">
        <f t="shared" ca="1" si="110"/>
        <v>45974</v>
      </c>
      <c r="W1396" s="117">
        <f t="shared" ca="1" si="110"/>
        <v>45975</v>
      </c>
      <c r="X1396" s="117">
        <f t="shared" ca="1" si="110"/>
        <v>45978</v>
      </c>
      <c r="Y1396" s="117">
        <f t="shared" ca="1" si="110"/>
        <v>45979</v>
      </c>
      <c r="Z1396" s="117">
        <f t="shared" ca="1" si="110"/>
        <v>45980</v>
      </c>
      <c r="AB1396" s="117">
        <f t="shared" ref="AB1396:AV1396" ca="1" si="111">F1297</f>
        <v>45952</v>
      </c>
      <c r="AC1396" s="117">
        <f t="shared" ca="1" si="111"/>
        <v>45953</v>
      </c>
      <c r="AD1396" s="117">
        <f t="shared" ca="1" si="111"/>
        <v>45954</v>
      </c>
      <c r="AE1396" s="117">
        <f t="shared" ca="1" si="111"/>
        <v>45957</v>
      </c>
      <c r="AF1396" s="117">
        <f t="shared" ca="1" si="111"/>
        <v>45958</v>
      </c>
      <c r="AG1396" s="117">
        <f t="shared" ca="1" si="111"/>
        <v>45959</v>
      </c>
      <c r="AH1396" s="117">
        <f t="shared" ca="1" si="111"/>
        <v>45960</v>
      </c>
      <c r="AI1396" s="117">
        <f t="shared" ca="1" si="111"/>
        <v>45961</v>
      </c>
      <c r="AJ1396" s="117">
        <f t="shared" ca="1" si="111"/>
        <v>45964</v>
      </c>
      <c r="AK1396" s="117">
        <f t="shared" ca="1" si="111"/>
        <v>45965</v>
      </c>
      <c r="AL1396" s="117">
        <f t="shared" ca="1" si="111"/>
        <v>45966</v>
      </c>
      <c r="AM1396" s="117">
        <f t="shared" ca="1" si="111"/>
        <v>45967</v>
      </c>
      <c r="AN1396" s="117">
        <f t="shared" ca="1" si="111"/>
        <v>45968</v>
      </c>
      <c r="AO1396" s="117">
        <f t="shared" ca="1" si="111"/>
        <v>45971</v>
      </c>
      <c r="AP1396" s="117">
        <f t="shared" ca="1" si="111"/>
        <v>45972</v>
      </c>
      <c r="AQ1396" s="117">
        <f t="shared" ca="1" si="111"/>
        <v>45973</v>
      </c>
      <c r="AR1396" s="117">
        <f t="shared" ca="1" si="111"/>
        <v>45974</v>
      </c>
      <c r="AS1396" s="117">
        <f t="shared" ca="1" si="111"/>
        <v>45975</v>
      </c>
      <c r="AT1396" s="117">
        <f t="shared" ca="1" si="111"/>
        <v>45978</v>
      </c>
      <c r="AU1396" s="117">
        <f t="shared" ca="1" si="111"/>
        <v>45979</v>
      </c>
      <c r="AV1396" s="117">
        <f t="shared" ca="1" si="111"/>
        <v>45980</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1.0873999999999999</v>
      </c>
      <c r="G1398" s="243">
        <v>1.0872999999999999</v>
      </c>
      <c r="H1398" s="243">
        <v>1.0864</v>
      </c>
      <c r="I1398" s="243">
        <v>1.0848</v>
      </c>
      <c r="J1398" s="243">
        <v>1.0848</v>
      </c>
      <c r="K1398" s="243">
        <v>1.0827</v>
      </c>
      <c r="L1398" s="243">
        <v>1.0826</v>
      </c>
      <c r="M1398" s="243">
        <v>1.0826</v>
      </c>
      <c r="N1398" s="243">
        <v>1.0826</v>
      </c>
      <c r="O1398" s="243">
        <v>1.0826</v>
      </c>
      <c r="P1398" s="243">
        <v>1.0834999999999999</v>
      </c>
      <c r="Q1398" s="243">
        <v>1.0864</v>
      </c>
      <c r="R1398" s="243">
        <v>1.087</v>
      </c>
      <c r="S1398" s="243">
        <v>1.1099000000000001</v>
      </c>
      <c r="T1398" s="243">
        <v>1.1076999999999999</v>
      </c>
      <c r="U1398" s="243">
        <v>1.1085</v>
      </c>
      <c r="V1398" s="243">
        <v>1.1053999999999999</v>
      </c>
      <c r="W1398" s="243">
        <v>1.1035999999999999</v>
      </c>
      <c r="X1398" s="243">
        <v>1.1082000000000001</v>
      </c>
      <c r="Y1398" s="243">
        <v>1.1049</v>
      </c>
      <c r="Z1398" s="245">
        <f ca="1">[1]ExtEntry!$R3</f>
        <v>1.1049</v>
      </c>
      <c r="AB1398" s="318">
        <v>1362735</v>
      </c>
      <c r="AC1398" s="318">
        <v>1371700</v>
      </c>
      <c r="AD1398" s="318">
        <v>1360975</v>
      </c>
      <c r="AE1398" s="318">
        <v>1387595</v>
      </c>
      <c r="AF1398" s="318">
        <v>1442320</v>
      </c>
      <c r="AG1398" s="318">
        <v>1313850</v>
      </c>
      <c r="AH1398" s="318">
        <v>1292250</v>
      </c>
      <c r="AI1398" s="318">
        <v>1292250</v>
      </c>
      <c r="AJ1398" s="318">
        <v>1297900</v>
      </c>
      <c r="AK1398" s="318">
        <v>1314100</v>
      </c>
      <c r="AL1398" s="318">
        <v>1344050</v>
      </c>
      <c r="AM1398" s="318">
        <v>1345000</v>
      </c>
      <c r="AN1398" s="318">
        <v>1357000</v>
      </c>
      <c r="AO1398" s="318">
        <v>1215134.9999999998</v>
      </c>
      <c r="AP1398" s="318">
        <v>1215630</v>
      </c>
      <c r="AQ1398" s="318">
        <v>1217250</v>
      </c>
      <c r="AR1398" s="318">
        <v>1205986.5</v>
      </c>
      <c r="AS1398" s="318">
        <v>1225845</v>
      </c>
      <c r="AT1398" s="318">
        <v>1203480</v>
      </c>
      <c r="AU1398" s="318">
        <v>1215134.9999999998</v>
      </c>
      <c r="AV1398" s="318">
        <f ca="1">IF(_xlfn.XLOOKUP(A1398,TabCalc[Ticker],ListExtra_n)&gt;0,             _xlfn.XLOOKUP(A1398,TabCalc[Ticker],ListExtra_n)*_xlfn.XLOOKUP(A1398,TabTRADER[ClickTick],TabTRADER[M])*_xlfn.XLOOKUP(A1398,TabCalc[Ticker],ListScale),               "")</f>
        <v>1215134.9999999998</v>
      </c>
      <c r="AX1398" s="88" t="str">
        <f t="shared" ca="1" si="109"/>
        <v>AAPL</v>
      </c>
      <c r="BQ1398" t="s">
        <v>195</v>
      </c>
      <c r="BR1398" t="s">
        <v>702</v>
      </c>
    </row>
    <row r="1399" spans="1:70" x14ac:dyDescent="0.3">
      <c r="A1399" s="88" t="str">
        <f t="shared" ca="1" si="112"/>
        <v>ADEA</v>
      </c>
      <c r="F1399" s="251">
        <v>2.5853000000000002</v>
      </c>
      <c r="G1399" s="251">
        <v>2.5775999999999999</v>
      </c>
      <c r="H1399" s="251">
        <v>2.5731999999999999</v>
      </c>
      <c r="I1399" s="251">
        <v>2.5783999999999998</v>
      </c>
      <c r="J1399" s="251">
        <v>2.5783999999999998</v>
      </c>
      <c r="K1399" s="251">
        <v>2.5773000000000001</v>
      </c>
      <c r="L1399" s="251">
        <v>2.5766</v>
      </c>
      <c r="M1399" s="251">
        <v>2.5766</v>
      </c>
      <c r="N1399" s="251">
        <v>2.5766</v>
      </c>
      <c r="O1399" s="251">
        <v>2.5766</v>
      </c>
      <c r="P1399" s="251">
        <v>2.5771999999999999</v>
      </c>
      <c r="Q1399" s="251">
        <v>2.5709</v>
      </c>
      <c r="R1399" s="251">
        <v>2.569</v>
      </c>
      <c r="S1399" s="251">
        <v>2.3765999999999998</v>
      </c>
      <c r="T1399" s="251">
        <v>2.4068999999999998</v>
      </c>
      <c r="U1399" s="251">
        <v>2.3910999999999998</v>
      </c>
      <c r="V1399" s="251">
        <v>2.3993000000000002</v>
      </c>
      <c r="W1399" s="251">
        <v>2.4091999999999998</v>
      </c>
      <c r="X1399" s="251">
        <v>2.42</v>
      </c>
      <c r="Y1399" s="251">
        <v>2.4336000000000002</v>
      </c>
      <c r="Z1399" s="245">
        <f ca="1">[1]ExtEntry!$R4</f>
        <v>2.4336000000000002</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1.1482000000000001</v>
      </c>
      <c r="G1400" s="243">
        <v>1.1486000000000001</v>
      </c>
      <c r="H1400" s="243">
        <v>1.1556999999999999</v>
      </c>
      <c r="I1400" s="243">
        <v>1.1795</v>
      </c>
      <c r="J1400" s="243">
        <v>1.1795</v>
      </c>
      <c r="K1400" s="243">
        <v>1.1778999999999999</v>
      </c>
      <c r="L1400" s="243">
        <v>1.1551</v>
      </c>
      <c r="M1400" s="243">
        <v>1.1551</v>
      </c>
      <c r="N1400" s="243">
        <v>1.1551</v>
      </c>
      <c r="O1400" s="243">
        <v>1.1551</v>
      </c>
      <c r="P1400" s="243">
        <v>1.1262000000000001</v>
      </c>
      <c r="Q1400" s="243">
        <v>1.0885</v>
      </c>
      <c r="R1400" s="243">
        <v>1.0524</v>
      </c>
      <c r="S1400" s="243">
        <v>1.6194999999999999</v>
      </c>
      <c r="T1400" s="243">
        <v>1.6406000000000001</v>
      </c>
      <c r="U1400" s="243">
        <v>1.6374</v>
      </c>
      <c r="V1400" s="243">
        <v>1.6443000000000001</v>
      </c>
      <c r="W1400" s="243">
        <v>1.6375</v>
      </c>
      <c r="X1400" s="243">
        <v>1.6284000000000001</v>
      </c>
      <c r="Y1400" s="243">
        <v>1.6225000000000001</v>
      </c>
      <c r="Z1400" s="245">
        <f ca="1">[1]ExtEntry!$R5</f>
        <v>1.6225000000000001</v>
      </c>
      <c r="AB1400" s="318">
        <v>180180</v>
      </c>
      <c r="AC1400" s="318">
        <v>176820</v>
      </c>
      <c r="AD1400" s="318">
        <v>172200</v>
      </c>
      <c r="AE1400" s="318">
        <v>176400</v>
      </c>
      <c r="AF1400" s="318">
        <v>177660</v>
      </c>
      <c r="AG1400" s="318">
        <v>180600</v>
      </c>
      <c r="AH1400" s="318">
        <v>182280</v>
      </c>
      <c r="AI1400" s="318">
        <v>182280</v>
      </c>
      <c r="AJ1400" s="318">
        <v>186480</v>
      </c>
      <c r="AK1400" s="318">
        <v>192360</v>
      </c>
      <c r="AL1400" s="318">
        <v>188160</v>
      </c>
      <c r="AM1400" s="318">
        <v>183960</v>
      </c>
      <c r="AN1400" s="318">
        <v>189000</v>
      </c>
      <c r="AO1400" s="318">
        <v>189000</v>
      </c>
      <c r="AP1400" s="318">
        <v>193200</v>
      </c>
      <c r="AQ1400" s="318">
        <v>186480</v>
      </c>
      <c r="AR1400" s="318">
        <v>187740</v>
      </c>
      <c r="AS1400" s="318">
        <v>189840</v>
      </c>
      <c r="AT1400" s="318">
        <v>189000</v>
      </c>
      <c r="AU1400" s="318">
        <v>189000</v>
      </c>
      <c r="AV1400" s="318">
        <f ca="1">IF(_xlfn.XLOOKUP(A1400,TabCalc[Ticker],ListExtra_n)&gt;0,             _xlfn.XLOOKUP(A1400,TabCalc[Ticker],ListExtra_n)*_xlfn.XLOOKUP(A1400,TabTRADER[ClickTick],TabTRADER[M])*_xlfn.XLOOKUP(A1400,TabCalc[Ticker],ListScale),               "")</f>
        <v>189000</v>
      </c>
      <c r="AX1400" s="88" t="str">
        <f t="shared" ca="1" si="109"/>
        <v>AET</v>
      </c>
      <c r="BQ1400" t="s">
        <v>2206</v>
      </c>
      <c r="BR1400" t="s">
        <v>2207</v>
      </c>
    </row>
    <row r="1401" spans="1:70" x14ac:dyDescent="0.3">
      <c r="A1401" s="88" t="str">
        <f t="shared" ca="1" si="112"/>
        <v>AMZN</v>
      </c>
      <c r="F1401" s="251">
        <v>1.2814000000000001</v>
      </c>
      <c r="G1401" s="251">
        <v>1.2835000000000001</v>
      </c>
      <c r="H1401" s="251">
        <v>1.2847</v>
      </c>
      <c r="I1401" s="251">
        <v>1.2862</v>
      </c>
      <c r="J1401" s="251">
        <v>1.2862</v>
      </c>
      <c r="K1401" s="251">
        <v>1.2845</v>
      </c>
      <c r="L1401" s="251">
        <v>1.2831999999999999</v>
      </c>
      <c r="M1401" s="251">
        <v>1.2831999999999999</v>
      </c>
      <c r="N1401" s="251">
        <v>1.2831999999999999</v>
      </c>
      <c r="O1401" s="251">
        <v>1.2831999999999999</v>
      </c>
      <c r="P1401" s="251">
        <v>1.2842</v>
      </c>
      <c r="Q1401" s="251">
        <v>1.2842</v>
      </c>
      <c r="R1401" s="251">
        <v>1.286</v>
      </c>
      <c r="S1401" s="251">
        <v>1.3634999999999999</v>
      </c>
      <c r="T1401" s="251">
        <v>1.3596999999999999</v>
      </c>
      <c r="U1401" s="251">
        <v>1.3612</v>
      </c>
      <c r="V1401" s="251">
        <v>1.3611</v>
      </c>
      <c r="W1401" s="251">
        <v>1.3676999999999999</v>
      </c>
      <c r="X1401" s="251">
        <v>1.3721000000000001</v>
      </c>
      <c r="Y1401" s="251">
        <v>1.3831</v>
      </c>
      <c r="Z1401" s="245">
        <f ca="1">[1]ExtEntry!$R6</f>
        <v>1.3831</v>
      </c>
      <c r="AB1401" s="318">
        <v>865560</v>
      </c>
      <c r="AC1401" s="318">
        <v>860640</v>
      </c>
      <c r="AD1401" s="318">
        <v>857880</v>
      </c>
      <c r="AE1401" s="318">
        <v>852160</v>
      </c>
      <c r="AF1401" s="318">
        <v>865920</v>
      </c>
      <c r="AG1401" s="318">
        <v>888120</v>
      </c>
      <c r="AH1401" s="318">
        <v>871800</v>
      </c>
      <c r="AI1401" s="318">
        <v>871800</v>
      </c>
      <c r="AJ1401" s="318">
        <v>884360</v>
      </c>
      <c r="AK1401" s="318">
        <v>896840</v>
      </c>
      <c r="AL1401" s="318">
        <v>907880</v>
      </c>
      <c r="AM1401" s="318">
        <v>917000</v>
      </c>
      <c r="AN1401" s="318">
        <v>891440</v>
      </c>
      <c r="AO1401" s="318">
        <v>995280</v>
      </c>
      <c r="AP1401" s="318">
        <v>1000800</v>
      </c>
      <c r="AQ1401" s="318">
        <v>975225.6</v>
      </c>
      <c r="AR1401" s="318">
        <v>978240</v>
      </c>
      <c r="AS1401" s="318">
        <v>938760</v>
      </c>
      <c r="AT1401" s="318">
        <v>890200</v>
      </c>
      <c r="AU1401" s="318">
        <v>884728</v>
      </c>
      <c r="AV1401" s="318">
        <f ca="1">IF(_xlfn.XLOOKUP(A1401,TabCalc[Ticker],ListExtra_n)&gt;0,             _xlfn.XLOOKUP(A1401,TabCalc[Ticker],ListExtra_n)*_xlfn.XLOOKUP(A1401,TabTRADER[ClickTick],TabTRADER[M])*_xlfn.XLOOKUP(A1401,TabCalc[Ticker],ListScale),               "")</f>
        <v>884728</v>
      </c>
      <c r="AX1401" s="88" t="str">
        <f t="shared" ca="1" si="109"/>
        <v>AMZN</v>
      </c>
      <c r="BQ1401" t="s">
        <v>2208</v>
      </c>
      <c r="BR1401" t="s">
        <v>662</v>
      </c>
    </row>
    <row r="1402" spans="1:70" x14ac:dyDescent="0.3">
      <c r="A1402" s="88" t="str">
        <f t="shared" ca="1" si="112"/>
        <v>ALDNE</v>
      </c>
      <c r="F1402" s="243">
        <v>1.0415000000000001</v>
      </c>
      <c r="G1402" s="243">
        <v>1.0416000000000001</v>
      </c>
      <c r="H1402" s="243">
        <v>1.0415000000000001</v>
      </c>
      <c r="I1402" s="243">
        <v>1.0349999999999999</v>
      </c>
      <c r="J1402" s="243">
        <v>1.0349999999999999</v>
      </c>
      <c r="K1402" s="243">
        <v>1.0337000000000001</v>
      </c>
      <c r="L1402" s="243">
        <v>1.0339</v>
      </c>
      <c r="M1402" s="243">
        <v>1.0339</v>
      </c>
      <c r="N1402" s="243">
        <v>1.0339</v>
      </c>
      <c r="O1402" s="243">
        <v>1.0339</v>
      </c>
      <c r="P1402" s="243">
        <v>1.0333000000000001</v>
      </c>
      <c r="Q1402" s="243">
        <v>1.0294000000000001</v>
      </c>
      <c r="R1402" s="243">
        <v>1.0219</v>
      </c>
      <c r="S1402" s="243">
        <v>0.96289999999999998</v>
      </c>
      <c r="T1402" s="243">
        <v>0.95879999999999999</v>
      </c>
      <c r="U1402" s="243">
        <v>0.95520000000000005</v>
      </c>
      <c r="V1402" s="243">
        <v>0.95709999999999995</v>
      </c>
      <c r="W1402" s="243">
        <v>0.95879999999999999</v>
      </c>
      <c r="X1402" s="243">
        <v>0.96430000000000005</v>
      </c>
      <c r="Y1402" s="243">
        <v>0.97</v>
      </c>
      <c r="Z1402" s="245">
        <f ca="1">[1]ExtEntry!$R7</f>
        <v>0.97</v>
      </c>
      <c r="AB1402" s="318">
        <v>68838</v>
      </c>
      <c r="AC1402" s="318">
        <v>68674.099999999991</v>
      </c>
      <c r="AD1402" s="318">
        <v>68018.5</v>
      </c>
      <c r="AE1402" s="318">
        <v>68018.5</v>
      </c>
      <c r="AF1402" s="318">
        <v>67199</v>
      </c>
      <c r="AG1402" s="318">
        <v>68018.5</v>
      </c>
      <c r="AH1402" s="318">
        <v>68838</v>
      </c>
      <c r="AI1402" s="318">
        <v>68838</v>
      </c>
      <c r="AJ1402" s="318">
        <v>68674.099999999991</v>
      </c>
      <c r="AK1402" s="318">
        <v>67690.7</v>
      </c>
      <c r="AL1402" s="318">
        <v>67035.099999999991</v>
      </c>
      <c r="AM1402" s="318">
        <v>67199</v>
      </c>
      <c r="AN1402" s="318">
        <v>66379.5</v>
      </c>
      <c r="AO1402" s="318">
        <v>64576.600000000006</v>
      </c>
      <c r="AP1402" s="318">
        <v>64740.5</v>
      </c>
      <c r="AQ1402" s="318">
        <v>64084.9</v>
      </c>
      <c r="AR1402" s="318">
        <v>63921</v>
      </c>
      <c r="AS1402" s="318">
        <v>54578.700000000004</v>
      </c>
      <c r="AT1402" s="318">
        <v>54906.5</v>
      </c>
      <c r="AU1402" s="318">
        <v>56381.599999999999</v>
      </c>
      <c r="AV1402" s="318">
        <f ca="1">IF(_xlfn.XLOOKUP(A1402,TabCalc[Ticker],ListExtra_n)&gt;0,             _xlfn.XLOOKUP(A1402,TabCalc[Ticker],ListExtra_n)*_xlfn.XLOOKUP(A1402,TabTRADER[ClickTick],TabTRADER[M])*_xlfn.XLOOKUP(A1402,TabCalc[Ticker],ListScale),               "")</f>
        <v>56381.599999999999</v>
      </c>
      <c r="AX1402" s="88" t="str">
        <f t="shared" ca="1" si="109"/>
        <v>ALDNE</v>
      </c>
      <c r="BQ1402" t="s">
        <v>199</v>
      </c>
      <c r="BR1402" t="s">
        <v>2209</v>
      </c>
    </row>
    <row r="1403" spans="1:70" x14ac:dyDescent="0.3">
      <c r="A1403" s="88" t="str">
        <f t="shared" ca="1" si="112"/>
        <v>ASML</v>
      </c>
      <c r="F1403" s="251">
        <v>1.9578</v>
      </c>
      <c r="G1403" s="251">
        <v>1.9605999999999999</v>
      </c>
      <c r="H1403" s="251">
        <v>1.9593</v>
      </c>
      <c r="I1403" s="251">
        <v>1.962</v>
      </c>
      <c r="J1403" s="251">
        <v>1.962</v>
      </c>
      <c r="K1403" s="251">
        <v>1.9623999999999999</v>
      </c>
      <c r="L1403" s="251">
        <v>1.9639</v>
      </c>
      <c r="M1403" s="251">
        <v>1.9639</v>
      </c>
      <c r="N1403" s="251">
        <v>1.9639</v>
      </c>
      <c r="O1403" s="251">
        <v>1.9639</v>
      </c>
      <c r="P1403" s="251">
        <v>1.9605999999999999</v>
      </c>
      <c r="Q1403" s="251">
        <v>1.9659</v>
      </c>
      <c r="R1403" s="251">
        <v>1.97</v>
      </c>
      <c r="S1403" s="251">
        <v>2.1156000000000001</v>
      </c>
      <c r="T1403" s="251">
        <v>2.1158000000000001</v>
      </c>
      <c r="U1403" s="251">
        <v>2.1168999999999998</v>
      </c>
      <c r="V1403" s="251">
        <v>2.1183000000000001</v>
      </c>
      <c r="W1403" s="251">
        <v>2.1202999999999999</v>
      </c>
      <c r="X1403" s="251">
        <v>2.1173000000000002</v>
      </c>
      <c r="Y1403" s="251">
        <v>2.1166999999999998</v>
      </c>
      <c r="Z1403" s="245">
        <f ca="1">[1]ExtEntry!$R8</f>
        <v>2.1166999999999998</v>
      </c>
      <c r="AB1403" s="318">
        <v>2963100</v>
      </c>
      <c r="AC1403" s="318">
        <v>3055500</v>
      </c>
      <c r="AD1403" s="318">
        <v>2983160</v>
      </c>
      <c r="AE1403" s="318">
        <v>2889810</v>
      </c>
      <c r="AF1403" s="318">
        <v>2966700</v>
      </c>
      <c r="AG1403" s="318">
        <v>2936340</v>
      </c>
      <c r="AH1403" s="318">
        <v>2871330</v>
      </c>
      <c r="AI1403" s="318">
        <v>2871330</v>
      </c>
      <c r="AJ1403" s="318">
        <v>2929410</v>
      </c>
      <c r="AK1403" s="318">
        <v>2862080</v>
      </c>
      <c r="AL1403" s="318">
        <v>2815110</v>
      </c>
      <c r="AM1403" s="318">
        <v>2812940</v>
      </c>
      <c r="AN1403" s="318">
        <v>2906250</v>
      </c>
      <c r="AO1403" s="318">
        <v>2845800</v>
      </c>
      <c r="AP1403" s="318">
        <v>2810460</v>
      </c>
      <c r="AQ1403" s="318">
        <v>2327780</v>
      </c>
      <c r="AR1403" s="318">
        <v>2264080</v>
      </c>
      <c r="AS1403" s="318">
        <v>2185250</v>
      </c>
      <c r="AT1403" s="318">
        <v>2578200</v>
      </c>
      <c r="AU1403" s="318">
        <v>2659800</v>
      </c>
      <c r="AV1403" s="318">
        <f ca="1">IF(_xlfn.XLOOKUP(A1403,TabCalc[Ticker],ListExtra_n)&gt;0,             _xlfn.XLOOKUP(A1403,TabCalc[Ticker],ListExtra_n)*_xlfn.XLOOKUP(A1403,TabTRADER[ClickTick],TabTRADER[M])*_xlfn.XLOOKUP(A1403,TabCalc[Ticker],ListScale),               "")</f>
        <v>2659800</v>
      </c>
      <c r="AX1403" s="88" t="str">
        <f t="shared" ca="1" si="109"/>
        <v>ASML</v>
      </c>
      <c r="BQ1403" t="s">
        <v>2210</v>
      </c>
      <c r="BR1403" t="s">
        <v>177</v>
      </c>
    </row>
    <row r="1404" spans="1:70" hidden="1" x14ac:dyDescent="0.3">
      <c r="A1404" s="88" t="str">
        <f t="shared" ca="1" si="112"/>
        <v>AVGO</v>
      </c>
      <c r="F1404" s="251">
        <v>1.1875</v>
      </c>
      <c r="G1404" s="251">
        <v>1.1926000000000001</v>
      </c>
      <c r="H1404" s="251">
        <v>1.1911</v>
      </c>
      <c r="I1404" s="251">
        <v>1.1914</v>
      </c>
      <c r="J1404" s="251">
        <v>1.1914</v>
      </c>
      <c r="K1404" s="251">
        <v>1.1951000000000001</v>
      </c>
      <c r="L1404" s="251">
        <v>1.1960999999999999</v>
      </c>
      <c r="M1404" s="251">
        <v>1.1960999999999999</v>
      </c>
      <c r="N1404" s="251">
        <v>1.1960999999999999</v>
      </c>
      <c r="O1404" s="251">
        <v>1.1960999999999999</v>
      </c>
      <c r="P1404" s="251">
        <v>1.1964999999999999</v>
      </c>
      <c r="Q1404" s="251">
        <v>1.2004999999999999</v>
      </c>
      <c r="R1404" s="251">
        <v>1.2107000000000001</v>
      </c>
      <c r="S1404" s="251">
        <v>1.214</v>
      </c>
      <c r="T1404" s="251">
        <v>1.2219</v>
      </c>
      <c r="U1404" s="251">
        <v>1.2176</v>
      </c>
      <c r="V1404" s="251">
        <v>1.2213000000000001</v>
      </c>
      <c r="W1404" s="251">
        <v>1.2309000000000001</v>
      </c>
      <c r="X1404" s="251">
        <v>1.2294</v>
      </c>
      <c r="Y1404" s="251">
        <v>1.2342</v>
      </c>
      <c r="Z1404" s="245">
        <f ca="1">[1]ExtEntry!$R9</f>
        <v>1.2342</v>
      </c>
      <c r="AB1404" s="318">
        <v>72267.3</v>
      </c>
      <c r="AC1404" s="318">
        <v>73665.900000000009</v>
      </c>
      <c r="AD1404" s="318">
        <v>74371.5</v>
      </c>
      <c r="AE1404" s="318">
        <v>73359.3</v>
      </c>
      <c r="AF1404" s="318">
        <v>73340.400000000009</v>
      </c>
      <c r="AG1404" s="318">
        <v>71958.600000000006</v>
      </c>
      <c r="AH1404" s="318">
        <v>71463</v>
      </c>
      <c r="AI1404" s="318">
        <v>71463</v>
      </c>
      <c r="AJ1404" s="318">
        <v>72300.900000000009</v>
      </c>
      <c r="AK1404" s="318">
        <v>74367.3</v>
      </c>
      <c r="AL1404" s="318">
        <v>76030.5</v>
      </c>
      <c r="AM1404" s="318">
        <v>78323.700000000012</v>
      </c>
      <c r="AN1404" s="318">
        <v>79058.700000000012</v>
      </c>
      <c r="AO1404" s="318">
        <v>73970.168999999994</v>
      </c>
      <c r="AP1404" s="318">
        <v>75385.8</v>
      </c>
      <c r="AQ1404" s="318">
        <v>74676</v>
      </c>
      <c r="AR1404" s="318">
        <v>72950.849999999991</v>
      </c>
      <c r="AS1404" s="318">
        <v>71916.599999999991</v>
      </c>
      <c r="AT1404" s="318">
        <v>3405</v>
      </c>
      <c r="AU1404" s="318">
        <v>3479.7000000000003</v>
      </c>
      <c r="AV1404" s="318">
        <f ca="1">IF(_xlfn.XLOOKUP(A1404,TabCalc[Ticker],ListExtra_n)&gt;0,             _xlfn.XLOOKUP(A1404,TabCalc[Ticker],ListExtra_n)*_xlfn.XLOOKUP(A1404,TabTRADER[ClickTick],TabTRADER[M])*_xlfn.XLOOKUP(A1404,TabCalc[Ticker],ListScale),               "")</f>
        <v>3479.7000000000003</v>
      </c>
      <c r="AX1404" s="88" t="str">
        <f t="shared" ca="1" si="109"/>
        <v>AVGO</v>
      </c>
      <c r="BQ1404" t="s">
        <v>179</v>
      </c>
      <c r="BR1404" t="s">
        <v>2211</v>
      </c>
    </row>
    <row r="1405" spans="1:70" hidden="1" x14ac:dyDescent="0.3">
      <c r="A1405" s="88" t="str">
        <f t="shared" ca="1" si="112"/>
        <v>AZN</v>
      </c>
      <c r="F1405" s="251">
        <v>0.32850000000000001</v>
      </c>
      <c r="G1405" s="251">
        <v>0.32579999999999998</v>
      </c>
      <c r="H1405" s="251">
        <v>0.33</v>
      </c>
      <c r="I1405" s="251">
        <v>0.32929999999999998</v>
      </c>
      <c r="J1405" s="251">
        <v>0.32929999999999998</v>
      </c>
      <c r="K1405" s="251">
        <v>0.3387</v>
      </c>
      <c r="L1405" s="251">
        <v>0.33910000000000001</v>
      </c>
      <c r="M1405" s="251">
        <v>0.33910000000000001</v>
      </c>
      <c r="N1405" s="251">
        <v>0.33910000000000001</v>
      </c>
      <c r="O1405" s="251">
        <v>0.33910000000000001</v>
      </c>
      <c r="P1405" s="251">
        <v>0.33900000000000002</v>
      </c>
      <c r="Q1405" s="251">
        <v>0.3528</v>
      </c>
      <c r="R1405" s="251">
        <v>0.35089999999999999</v>
      </c>
      <c r="S1405" s="251">
        <v>0.3382</v>
      </c>
      <c r="T1405" s="251">
        <v>0.3382</v>
      </c>
      <c r="U1405" s="251">
        <v>0.33989999999999998</v>
      </c>
      <c r="V1405" s="251">
        <v>0.33260000000000001</v>
      </c>
      <c r="W1405" s="251">
        <v>0.31950000000000001</v>
      </c>
      <c r="X1405" s="251">
        <v>0.31680000000000003</v>
      </c>
      <c r="Y1405" s="251">
        <v>0.30880000000000002</v>
      </c>
      <c r="Z1405" s="245">
        <f ca="1">[1]ExtEntry!$R10</f>
        <v>0.30880000000000002</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1.9704999999999999</v>
      </c>
      <c r="G1406" s="251">
        <v>1.8653</v>
      </c>
      <c r="H1406" s="251">
        <v>1.9767999999999999</v>
      </c>
      <c r="I1406" s="251">
        <v>1.9931000000000001</v>
      </c>
      <c r="J1406" s="251">
        <v>1.9931000000000001</v>
      </c>
      <c r="K1406" s="251">
        <v>1.9383999999999999</v>
      </c>
      <c r="L1406" s="251">
        <v>1.9851000000000001</v>
      </c>
      <c r="M1406" s="251">
        <v>1.9851000000000001</v>
      </c>
      <c r="N1406" s="251">
        <v>1.9228000000000001</v>
      </c>
      <c r="O1406" s="251">
        <v>1.9228000000000001</v>
      </c>
      <c r="P1406" s="251">
        <v>1.9281999999999999</v>
      </c>
      <c r="Q1406" s="251">
        <v>1.9781</v>
      </c>
      <c r="R1406" s="251">
        <v>1.9866999999999999</v>
      </c>
      <c r="S1406" s="251">
        <v>1.7123999999999999</v>
      </c>
      <c r="T1406" s="251">
        <v>1.7142999999999999</v>
      </c>
      <c r="U1406" s="251">
        <v>1.6777</v>
      </c>
      <c r="V1406" s="251">
        <v>1.7018</v>
      </c>
      <c r="W1406" s="251">
        <v>1.7003999999999999</v>
      </c>
      <c r="X1406" s="251">
        <v>1.7289000000000001</v>
      </c>
      <c r="Y1406" s="251">
        <v>1.7453000000000001</v>
      </c>
      <c r="Z1406" s="245">
        <f ca="1">[1]ExtEntry!$R11</f>
        <v>1.7453000000000001</v>
      </c>
      <c r="AB1406" s="318">
        <v>39800</v>
      </c>
      <c r="AC1406" s="318">
        <v>37750</v>
      </c>
      <c r="AD1406" s="318">
        <v>36700</v>
      </c>
      <c r="AE1406" s="318">
        <v>36300</v>
      </c>
      <c r="AF1406" s="318">
        <v>36400</v>
      </c>
      <c r="AG1406" s="318">
        <v>33300</v>
      </c>
      <c r="AH1406" s="318">
        <v>32800</v>
      </c>
      <c r="AI1406" s="318">
        <v>32800</v>
      </c>
      <c r="AJ1406" s="318">
        <v>32800</v>
      </c>
      <c r="AK1406" s="318">
        <v>34400</v>
      </c>
      <c r="AL1406" s="318">
        <v>34100</v>
      </c>
      <c r="AM1406" s="318">
        <v>34400</v>
      </c>
      <c r="AN1406" s="318">
        <v>34400</v>
      </c>
      <c r="AO1406" s="318">
        <v>33950</v>
      </c>
      <c r="AP1406" s="318">
        <v>36500</v>
      </c>
      <c r="AQ1406" s="318">
        <v>35700</v>
      </c>
      <c r="AR1406" s="318">
        <v>34850</v>
      </c>
      <c r="AS1406" s="318">
        <v>30299.999999999996</v>
      </c>
      <c r="AT1406" s="318">
        <v>28900</v>
      </c>
      <c r="AU1406" s="318">
        <v>28420</v>
      </c>
      <c r="AV1406" s="318">
        <f ca="1">IF(_xlfn.XLOOKUP(A1406,TabCalc[Ticker],ListExtra_n)&gt;0,             _xlfn.XLOOKUP(A1406,TabCalc[Ticker],ListExtra_n)*_xlfn.XLOOKUP(A1406,TabTRADER[ClickTick],TabTRADER[M])*_xlfn.XLOOKUP(A1406,TabCalc[Ticker],ListScale),               "")</f>
        <v>28420</v>
      </c>
      <c r="AX1406" s="88" t="str">
        <f t="shared" ca="1" si="109"/>
        <v>BLDP</v>
      </c>
      <c r="BR1406" t="s">
        <v>2213</v>
      </c>
    </row>
    <row r="1407" spans="1:70" hidden="1" x14ac:dyDescent="0.3">
      <c r="A1407" s="88" t="str">
        <f t="shared" ca="1" si="112"/>
        <v>BMRA</v>
      </c>
      <c r="F1407" s="251">
        <v>0.27460000000000001</v>
      </c>
      <c r="G1407" s="251">
        <v>0.2697</v>
      </c>
      <c r="H1407" s="251">
        <v>0.27229999999999999</v>
      </c>
      <c r="I1407" s="251">
        <v>0.2661</v>
      </c>
      <c r="J1407" s="251">
        <v>0.2661</v>
      </c>
      <c r="K1407" s="251">
        <v>0.27079999999999999</v>
      </c>
      <c r="L1407" s="251">
        <v>0.26950000000000002</v>
      </c>
      <c r="M1407" s="251">
        <v>0.26950000000000002</v>
      </c>
      <c r="N1407" s="251">
        <v>0.26950000000000002</v>
      </c>
      <c r="O1407" s="251">
        <v>0.26950000000000002</v>
      </c>
      <c r="P1407" s="251">
        <v>0.27429999999999999</v>
      </c>
      <c r="Q1407" s="251">
        <v>0.2853</v>
      </c>
      <c r="R1407" s="251">
        <v>0.2782</v>
      </c>
      <c r="S1407" s="251">
        <v>4.6899999999999997E-2</v>
      </c>
      <c r="T1407" s="251">
        <v>6.2199999999999998E-2</v>
      </c>
      <c r="U1407" s="251">
        <v>5.3999999999999999E-2</v>
      </c>
      <c r="V1407" s="251">
        <v>6.0999999999999999E-2</v>
      </c>
      <c r="W1407" s="251">
        <v>6.4000000000000001E-2</v>
      </c>
      <c r="X1407" s="251">
        <v>8.2199999999999995E-2</v>
      </c>
      <c r="Y1407" s="251">
        <v>9.7900000000000001E-2</v>
      </c>
      <c r="Z1407" s="245">
        <f ca="1">[1]ExtEntry!$R12</f>
        <v>9.7900000000000001E-2</v>
      </c>
      <c r="AB1407" s="318"/>
      <c r="AC1407" s="318"/>
      <c r="AD1407" s="318"/>
      <c r="AE1407" s="318"/>
      <c r="AF1407" s="318"/>
      <c r="AG1407" s="318"/>
      <c r="AH1407" s="318"/>
      <c r="AI1407" s="318"/>
      <c r="AJ1407" s="318"/>
      <c r="AK1407" s="318"/>
      <c r="AL1407" s="318"/>
      <c r="AM1407" s="318"/>
      <c r="AN1407" s="318"/>
      <c r="AO1407" s="318">
        <v>31000</v>
      </c>
      <c r="AP1407" s="318">
        <v>32250</v>
      </c>
      <c r="AQ1407" s="318"/>
      <c r="AR1407" s="318"/>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1.3635999999999999</v>
      </c>
      <c r="G1408" s="251">
        <v>1.3579000000000001</v>
      </c>
      <c r="H1408" s="251">
        <v>1.3584000000000001</v>
      </c>
      <c r="I1408" s="251">
        <v>1.3620000000000001</v>
      </c>
      <c r="J1408" s="251">
        <v>1.3620000000000001</v>
      </c>
      <c r="K1408" s="251">
        <v>1.3582000000000001</v>
      </c>
      <c r="L1408" s="251">
        <v>1.3587</v>
      </c>
      <c r="M1408" s="251">
        <v>1.3587</v>
      </c>
      <c r="N1408" s="251">
        <v>1.3587</v>
      </c>
      <c r="O1408" s="251">
        <v>1.3587</v>
      </c>
      <c r="P1408" s="251">
        <v>1.3595999999999999</v>
      </c>
      <c r="Q1408" s="251">
        <v>1.3512</v>
      </c>
      <c r="R1408" s="251">
        <v>1.3473999999999999</v>
      </c>
      <c r="S1408" s="251">
        <v>1.1977</v>
      </c>
      <c r="T1408" s="251">
        <v>1.1959</v>
      </c>
      <c r="U1408" s="251">
        <v>1.1959</v>
      </c>
      <c r="V1408" s="251">
        <v>1.1934</v>
      </c>
      <c r="W1408" s="251">
        <v>1.1949000000000001</v>
      </c>
      <c r="X1408" s="251">
        <v>1.2004999999999999</v>
      </c>
      <c r="Y1408" s="251">
        <v>1.1976</v>
      </c>
      <c r="Z1408" s="245">
        <f ca="1">[1]ExtEntry!$R13</f>
        <v>1.1976</v>
      </c>
      <c r="AB1408" s="318"/>
      <c r="AC1408" s="318"/>
      <c r="AD1408" s="318"/>
      <c r="AE1408" s="318"/>
      <c r="AF1408" s="318"/>
      <c r="AG1408" s="318"/>
      <c r="AH1408" s="318"/>
      <c r="AI1408" s="318"/>
      <c r="AJ1408" s="318"/>
      <c r="AK1408" s="318"/>
      <c r="AL1408" s="318"/>
      <c r="AM1408" s="318"/>
      <c r="AN1408" s="318"/>
      <c r="AO1408" s="318">
        <v>504.79999999999995</v>
      </c>
      <c r="AP1408" s="318">
        <v>508.6</v>
      </c>
      <c r="AQ1408" s="318">
        <v>505.05</v>
      </c>
      <c r="AR1408" s="318">
        <v>502.59999999999997</v>
      </c>
      <c r="AS1408" s="318">
        <v>501.5</v>
      </c>
      <c r="AT1408" s="318">
        <v>491.59999999999997</v>
      </c>
      <c r="AU1408" s="318">
        <v>498</v>
      </c>
      <c r="AV1408" s="318">
        <f ca="1">IF(_xlfn.XLOOKUP(A1408,TabCalc[Ticker],ListExtra_n)&gt;0,             _xlfn.XLOOKUP(A1408,TabCalc[Ticker],ListExtra_n)*_xlfn.XLOOKUP(A1408,TabTRADER[ClickTick],TabTRADER[M])*_xlfn.XLOOKUP(A1408,TabCalc[Ticker],ListScale),               "")</f>
        <v>498</v>
      </c>
      <c r="AX1408" s="88" t="str">
        <f t="shared" ca="1" si="109"/>
        <v>C</v>
      </c>
    </row>
    <row r="1409" spans="1:50" hidden="1" x14ac:dyDescent="0.3">
      <c r="A1409" s="88" t="str">
        <f t="shared" ca="1" si="112"/>
        <v>CSCO</v>
      </c>
      <c r="F1409" s="251">
        <v>0.94720000000000004</v>
      </c>
      <c r="G1409" s="251">
        <v>0.94430000000000003</v>
      </c>
      <c r="H1409" s="251">
        <v>0.94350000000000001</v>
      </c>
      <c r="I1409" s="251">
        <v>0.94199999999999995</v>
      </c>
      <c r="J1409" s="251">
        <v>0.94199999999999995</v>
      </c>
      <c r="K1409" s="251">
        <v>0.94450000000000001</v>
      </c>
      <c r="L1409" s="251">
        <v>0.94440000000000002</v>
      </c>
      <c r="M1409" s="251">
        <v>0.94440000000000002</v>
      </c>
      <c r="N1409" s="251">
        <v>0.94440000000000002</v>
      </c>
      <c r="O1409" s="251">
        <v>0.94440000000000002</v>
      </c>
      <c r="P1409" s="251">
        <v>0.94450000000000001</v>
      </c>
      <c r="Q1409" s="251">
        <v>0.94769999999999999</v>
      </c>
      <c r="R1409" s="251">
        <v>0.9476</v>
      </c>
      <c r="S1409" s="251">
        <v>0.86709999999999998</v>
      </c>
      <c r="T1409" s="251">
        <v>0.86899999999999999</v>
      </c>
      <c r="U1409" s="251">
        <v>0.86990000000000001</v>
      </c>
      <c r="V1409" s="251">
        <v>0.872</v>
      </c>
      <c r="W1409" s="251">
        <v>0.85199999999999998</v>
      </c>
      <c r="X1409" s="251">
        <v>0.85029999999999994</v>
      </c>
      <c r="Y1409" s="251">
        <v>0.84370000000000001</v>
      </c>
      <c r="Z1409" s="245">
        <f ca="1">[1]ExtEntry!$R14</f>
        <v>0.84370000000000001</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0.59570000000000001</v>
      </c>
      <c r="G1410" s="251">
        <v>0.59240000000000004</v>
      </c>
      <c r="H1410" s="251">
        <v>0.59289999999999998</v>
      </c>
      <c r="I1410" s="251">
        <v>0.58889999999999998</v>
      </c>
      <c r="J1410" s="251">
        <v>0.58889999999999998</v>
      </c>
      <c r="K1410" s="251">
        <v>0.59750000000000003</v>
      </c>
      <c r="L1410" s="251">
        <v>0.59709999999999996</v>
      </c>
      <c r="M1410" s="251">
        <v>0.59709999999999996</v>
      </c>
      <c r="N1410" s="251">
        <v>0.59709999999999996</v>
      </c>
      <c r="O1410" s="251">
        <v>0.59709999999999996</v>
      </c>
      <c r="P1410" s="251">
        <v>0.5978</v>
      </c>
      <c r="Q1410" s="251">
        <v>0.61099999999999999</v>
      </c>
      <c r="R1410" s="251">
        <v>0.60880000000000001</v>
      </c>
      <c r="S1410" s="251">
        <v>0.48220000000000002</v>
      </c>
      <c r="T1410" s="251">
        <v>0.48180000000000001</v>
      </c>
      <c r="U1410" s="251">
        <v>0.48120000000000002</v>
      </c>
      <c r="V1410" s="251">
        <v>0.47870000000000001</v>
      </c>
      <c r="W1410" s="251">
        <v>0.47760000000000002</v>
      </c>
      <c r="X1410" s="251">
        <v>0.48</v>
      </c>
      <c r="Y1410" s="251">
        <v>0.47970000000000002</v>
      </c>
      <c r="Z1410" s="245">
        <f ca="1">[1]ExtEntry!$R15</f>
        <v>0.47970000000000002</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2.1745000000000001</v>
      </c>
      <c r="G1411" s="251">
        <v>2.1745999999999999</v>
      </c>
      <c r="H1411" s="251">
        <v>2.1697000000000002</v>
      </c>
      <c r="I1411" s="251">
        <v>2.1758000000000002</v>
      </c>
      <c r="J1411" s="251">
        <v>2.1758000000000002</v>
      </c>
      <c r="K1411" s="251">
        <v>2.1718000000000002</v>
      </c>
      <c r="L1411" s="251">
        <v>2.1789000000000001</v>
      </c>
      <c r="M1411" s="251">
        <v>2.1789000000000001</v>
      </c>
      <c r="N1411" s="251">
        <v>2.1789000000000001</v>
      </c>
      <c r="O1411" s="251">
        <v>2.1789000000000001</v>
      </c>
      <c r="P1411" s="251">
        <v>2.1852999999999998</v>
      </c>
      <c r="Q1411" s="251">
        <v>2.1855000000000002</v>
      </c>
      <c r="R1411" s="251">
        <v>2.1827999999999999</v>
      </c>
      <c r="S1411" s="251">
        <v>1.8685</v>
      </c>
      <c r="T1411" s="251">
        <v>1.8775999999999999</v>
      </c>
      <c r="U1411" s="251">
        <v>1.8776999999999999</v>
      </c>
      <c r="V1411" s="251">
        <v>1.9112</v>
      </c>
      <c r="W1411" s="251">
        <v>1.9157999999999999</v>
      </c>
      <c r="X1411" s="251">
        <v>1.9231</v>
      </c>
      <c r="Y1411" s="251">
        <v>1.9366000000000001</v>
      </c>
      <c r="Z1411" s="245">
        <f ca="1">[1]ExtEntry!$R16</f>
        <v>1.9366000000000001</v>
      </c>
      <c r="AB1411" s="318">
        <v>138600</v>
      </c>
      <c r="AC1411" s="318">
        <v>146250</v>
      </c>
      <c r="AD1411" s="318">
        <v>146700</v>
      </c>
      <c r="AE1411" s="318">
        <v>139950</v>
      </c>
      <c r="AF1411" s="318">
        <v>170325</v>
      </c>
      <c r="AG1411" s="318">
        <v>151650</v>
      </c>
      <c r="AH1411" s="318">
        <v>135225</v>
      </c>
      <c r="AI1411" s="318">
        <v>135225</v>
      </c>
      <c r="AJ1411" s="318">
        <v>138375</v>
      </c>
      <c r="AK1411" s="318">
        <v>140625</v>
      </c>
      <c r="AL1411" s="318">
        <v>138375</v>
      </c>
      <c r="AM1411" s="318">
        <v>143775</v>
      </c>
      <c r="AN1411" s="318">
        <v>126900</v>
      </c>
      <c r="AO1411" s="318">
        <v>116766.00000000001</v>
      </c>
      <c r="AP1411" s="318">
        <v>117000</v>
      </c>
      <c r="AQ1411" s="318">
        <v>101925</v>
      </c>
      <c r="AR1411" s="318">
        <v>100125</v>
      </c>
      <c r="AS1411" s="318">
        <v>97200</v>
      </c>
      <c r="AT1411" s="318">
        <v>93600</v>
      </c>
      <c r="AU1411" s="318">
        <v>92025</v>
      </c>
      <c r="AV1411" s="318">
        <f ca="1">IF(_xlfn.XLOOKUP(A1411,TabCalc[Ticker],ListExtra_n)&gt;0,             _xlfn.XLOOKUP(A1411,TabCalc[Ticker],ListExtra_n)*_xlfn.XLOOKUP(A1411,TabTRADER[ClickTick],TabTRADER[M])*_xlfn.XLOOKUP(A1411,TabCalc[Ticker],ListScale),               "")</f>
        <v>92025</v>
      </c>
      <c r="AX1411" s="88" t="str">
        <f t="shared" ca="1" si="109"/>
        <v>DDD</v>
      </c>
    </row>
    <row r="1412" spans="1:50" hidden="1" x14ac:dyDescent="0.3">
      <c r="A1412" s="88" t="str">
        <f t="shared" ca="1" si="112"/>
        <v>DIS</v>
      </c>
      <c r="F1412" s="251">
        <v>1.5557000000000001</v>
      </c>
      <c r="G1412" s="251">
        <v>1.5542</v>
      </c>
      <c r="H1412" s="251">
        <v>1.5543</v>
      </c>
      <c r="I1412" s="251">
        <v>1.5552999999999999</v>
      </c>
      <c r="J1412" s="251">
        <v>1.5552999999999999</v>
      </c>
      <c r="K1412" s="251">
        <v>1.5546</v>
      </c>
      <c r="L1412" s="251">
        <v>1.5536000000000001</v>
      </c>
      <c r="M1412" s="251">
        <v>1.5536000000000001</v>
      </c>
      <c r="N1412" s="251">
        <v>1.5536000000000001</v>
      </c>
      <c r="O1412" s="251">
        <v>1.5536000000000001</v>
      </c>
      <c r="P1412" s="251">
        <v>1.5541</v>
      </c>
      <c r="Q1412" s="251">
        <v>1.5483</v>
      </c>
      <c r="R1412" s="251">
        <v>1.5445</v>
      </c>
      <c r="S1412" s="251">
        <v>1.4897</v>
      </c>
      <c r="T1412" s="251">
        <v>1.4863999999999999</v>
      </c>
      <c r="U1412" s="251">
        <v>1.4881</v>
      </c>
      <c r="V1412" s="251">
        <v>1.4843999999999999</v>
      </c>
      <c r="W1412" s="251">
        <v>1.4917</v>
      </c>
      <c r="X1412" s="251">
        <v>1.4956</v>
      </c>
      <c r="Y1412" s="251">
        <v>1.4914000000000001</v>
      </c>
      <c r="Z1412" s="245">
        <f ca="1">[1]ExtEntry!$R17</f>
        <v>1.4914000000000001</v>
      </c>
      <c r="AB1412" s="318">
        <v>72257.25</v>
      </c>
      <c r="AC1412" s="318">
        <v>72803.25</v>
      </c>
      <c r="AD1412" s="318">
        <v>71431.75</v>
      </c>
      <c r="AE1412" s="318">
        <v>71935.5</v>
      </c>
      <c r="AF1412" s="318">
        <v>72787</v>
      </c>
      <c r="AG1412" s="318">
        <v>74301.5</v>
      </c>
      <c r="AH1412" s="318">
        <v>73515</v>
      </c>
      <c r="AI1412" s="318">
        <v>73515</v>
      </c>
      <c r="AJ1412" s="318">
        <v>73463</v>
      </c>
      <c r="AK1412" s="318">
        <v>72585.5</v>
      </c>
      <c r="AL1412" s="318">
        <v>73001.5</v>
      </c>
      <c r="AM1412" s="318">
        <v>72582.25</v>
      </c>
      <c r="AN1412" s="318">
        <v>72696</v>
      </c>
      <c r="AO1412" s="318">
        <v>72371</v>
      </c>
      <c r="AP1412" s="318">
        <v>72371</v>
      </c>
      <c r="AQ1412" s="318">
        <v>71604</v>
      </c>
      <c r="AR1412" s="318">
        <v>71974.5</v>
      </c>
      <c r="AS1412" s="318">
        <v>68770</v>
      </c>
      <c r="AT1412" s="318">
        <v>69082</v>
      </c>
      <c r="AU1412" s="318">
        <v>68445</v>
      </c>
      <c r="AV1412" s="318">
        <f ca="1">IF(_xlfn.XLOOKUP(A1412,TabCalc[Ticker],ListExtra_n)&gt;0,             _xlfn.XLOOKUP(A1412,TabCalc[Ticker],ListExtra_n)*_xlfn.XLOOKUP(A1412,TabTRADER[ClickTick],TabTRADER[M])*_xlfn.XLOOKUP(A1412,TabCalc[Ticker],ListScale),               "")</f>
        <v>68445</v>
      </c>
      <c r="AX1412" s="88" t="str">
        <f t="shared" ca="1" si="109"/>
        <v>DIS</v>
      </c>
    </row>
    <row r="1413" spans="1:50" hidden="1" x14ac:dyDescent="0.3">
      <c r="A1413" s="88" t="str">
        <f t="shared" ca="1" si="112"/>
        <v>DSY</v>
      </c>
      <c r="F1413" s="251">
        <v>0.67330000000000001</v>
      </c>
      <c r="G1413" s="251">
        <v>0.67420000000000002</v>
      </c>
      <c r="H1413" s="251">
        <v>0.67320000000000002</v>
      </c>
      <c r="I1413" s="251">
        <v>0.67569999999999997</v>
      </c>
      <c r="J1413" s="251">
        <v>0.67569999999999997</v>
      </c>
      <c r="K1413" s="251">
        <v>0.67879999999999996</v>
      </c>
      <c r="L1413" s="251">
        <v>0.68259999999999998</v>
      </c>
      <c r="M1413" s="251">
        <v>0.68259999999999998</v>
      </c>
      <c r="N1413" s="251">
        <v>0.68330000000000002</v>
      </c>
      <c r="O1413" s="251">
        <v>0.68330000000000002</v>
      </c>
      <c r="P1413" s="251">
        <v>0.68200000000000005</v>
      </c>
      <c r="Q1413" s="251">
        <v>0.64359999999999995</v>
      </c>
      <c r="R1413" s="251">
        <v>0.63800000000000001</v>
      </c>
      <c r="S1413" s="251">
        <v>0.78769999999999996</v>
      </c>
      <c r="T1413" s="251">
        <v>0.78910000000000002</v>
      </c>
      <c r="U1413" s="251">
        <v>0.78969999999999996</v>
      </c>
      <c r="V1413" s="251">
        <v>0.79359999999999997</v>
      </c>
      <c r="W1413" s="251">
        <v>0.78610000000000002</v>
      </c>
      <c r="X1413" s="251">
        <v>0.7883</v>
      </c>
      <c r="Y1413" s="251">
        <v>0.79759999999999998</v>
      </c>
      <c r="Z1413" s="245">
        <f ca="1">[1]ExtEntry!$R18</f>
        <v>0.79759999999999998</v>
      </c>
      <c r="AB1413" s="318">
        <v>106312.5</v>
      </c>
      <c r="AC1413" s="318">
        <v>108300</v>
      </c>
      <c r="AD1413" s="318">
        <v>110175</v>
      </c>
      <c r="AE1413" s="318">
        <v>109987.5</v>
      </c>
      <c r="AF1413" s="318">
        <v>111675</v>
      </c>
      <c r="AG1413" s="318">
        <v>113512.5</v>
      </c>
      <c r="AH1413" s="318">
        <v>112950</v>
      </c>
      <c r="AI1413" s="318">
        <v>112950</v>
      </c>
      <c r="AJ1413" s="318">
        <v>98287.5</v>
      </c>
      <c r="AK1413" s="318">
        <v>96337.5</v>
      </c>
      <c r="AL1413" s="318">
        <v>95287.5</v>
      </c>
      <c r="AM1413" s="318">
        <v>93637.5</v>
      </c>
      <c r="AN1413" s="318">
        <v>92062.5</v>
      </c>
      <c r="AO1413" s="318">
        <v>90150</v>
      </c>
      <c r="AP1413" s="318">
        <v>89925</v>
      </c>
      <c r="AQ1413" s="318">
        <v>87225</v>
      </c>
      <c r="AR1413" s="318">
        <v>87525</v>
      </c>
      <c r="AS1413" s="318">
        <v>89962.5</v>
      </c>
      <c r="AT1413" s="318">
        <v>86887.5</v>
      </c>
      <c r="AU1413" s="318">
        <v>87675</v>
      </c>
      <c r="AV1413" s="318">
        <f ca="1">IF(_xlfn.XLOOKUP(A1413,TabCalc[Ticker],ListExtra_n)&gt;0,             _xlfn.XLOOKUP(A1413,TabCalc[Ticker],ListExtra_n)*_xlfn.XLOOKUP(A1413,TabTRADER[ClickTick],TabTRADER[M])*_xlfn.XLOOKUP(A1413,TabCalc[Ticker],ListScale),               "")</f>
        <v>87675</v>
      </c>
      <c r="AX1413" s="88" t="str">
        <f t="shared" ca="1" si="109"/>
        <v>DSY</v>
      </c>
    </row>
    <row r="1414" spans="1:50" hidden="1" x14ac:dyDescent="0.3">
      <c r="A1414" s="88" t="str">
        <f t="shared" ca="1" si="112"/>
        <v>DVA</v>
      </c>
      <c r="F1414" s="251">
        <v>1.1466000000000001</v>
      </c>
      <c r="G1414" s="251">
        <v>1.1437999999999999</v>
      </c>
      <c r="H1414" s="251">
        <v>1.1437999999999999</v>
      </c>
      <c r="I1414" s="251">
        <v>1.1440999999999999</v>
      </c>
      <c r="J1414" s="251">
        <v>1.1440999999999999</v>
      </c>
      <c r="K1414" s="251">
        <v>1.1399999999999999</v>
      </c>
      <c r="L1414" s="251">
        <v>1.1397999999999999</v>
      </c>
      <c r="M1414" s="251">
        <v>1.1397999999999999</v>
      </c>
      <c r="N1414" s="251">
        <v>1.1397999999999999</v>
      </c>
      <c r="O1414" s="251">
        <v>1.1397999999999999</v>
      </c>
      <c r="P1414" s="251">
        <v>1.1395999999999999</v>
      </c>
      <c r="Q1414" s="251">
        <v>1.1314</v>
      </c>
      <c r="R1414" s="251">
        <v>1.127</v>
      </c>
      <c r="S1414" s="251">
        <v>0.99390000000000001</v>
      </c>
      <c r="T1414" s="251">
        <v>0.98980000000000001</v>
      </c>
      <c r="U1414" s="251">
        <v>0.98950000000000005</v>
      </c>
      <c r="V1414" s="251">
        <v>0.98299999999999998</v>
      </c>
      <c r="W1414" s="251">
        <v>0.98160000000000003</v>
      </c>
      <c r="X1414" s="251">
        <v>0.99280000000000002</v>
      </c>
      <c r="Y1414" s="251">
        <v>0.99129999999999996</v>
      </c>
      <c r="Z1414" s="245">
        <f ca="1">[1]ExtEntry!$R19</f>
        <v>0.99129999999999996</v>
      </c>
      <c r="AB1414" s="318">
        <v>50644.799999999996</v>
      </c>
      <c r="AC1414" s="318">
        <v>50710</v>
      </c>
      <c r="AD1414" s="318">
        <v>50100</v>
      </c>
      <c r="AE1414" s="318">
        <v>50352</v>
      </c>
      <c r="AF1414" s="318">
        <v>51220.000000000007</v>
      </c>
      <c r="AG1414" s="318">
        <v>51364</v>
      </c>
      <c r="AH1414" s="318">
        <v>51632.000000000007</v>
      </c>
      <c r="AI1414" s="318">
        <v>51632.000000000007</v>
      </c>
      <c r="AJ1414" s="318">
        <v>51208.000000000007</v>
      </c>
      <c r="AK1414" s="318">
        <v>51676</v>
      </c>
      <c r="AL1414" s="318">
        <v>51805.999999999993</v>
      </c>
      <c r="AM1414" s="318">
        <v>51844.000000000007</v>
      </c>
      <c r="AN1414" s="318">
        <v>47476</v>
      </c>
      <c r="AO1414" s="318">
        <v>240280</v>
      </c>
      <c r="AP1414" s="318">
        <v>242320</v>
      </c>
      <c r="AQ1414" s="318">
        <v>243640</v>
      </c>
      <c r="AR1414" s="318">
        <v>49330</v>
      </c>
      <c r="AS1414" s="318">
        <v>48624</v>
      </c>
      <c r="AT1414" s="318">
        <v>46624</v>
      </c>
      <c r="AU1414" s="318">
        <v>46062</v>
      </c>
      <c r="AV1414" s="318">
        <f ca="1">IF(_xlfn.XLOOKUP(A1414,TabCalc[Ticker],ListExtra_n)&gt;0,             _xlfn.XLOOKUP(A1414,TabCalc[Ticker],ListExtra_n)*_xlfn.XLOOKUP(A1414,TabTRADER[ClickTick],TabTRADER[M])*_xlfn.XLOOKUP(A1414,TabCalc[Ticker],ListScale),               "")</f>
        <v>46062</v>
      </c>
      <c r="AX1414" s="88" t="str">
        <f t="shared" ca="1" si="109"/>
        <v>DVA</v>
      </c>
    </row>
    <row r="1415" spans="1:50" hidden="1" x14ac:dyDescent="0.3">
      <c r="A1415" s="88" t="str">
        <f t="shared" ca="1" si="112"/>
        <v>DXC</v>
      </c>
      <c r="F1415" s="251">
        <v>1.1533</v>
      </c>
      <c r="G1415" s="251">
        <v>1.1519999999999999</v>
      </c>
      <c r="H1415" s="251">
        <v>1.1546000000000001</v>
      </c>
      <c r="I1415" s="251">
        <v>1.1571</v>
      </c>
      <c r="J1415" s="251">
        <v>1.1571</v>
      </c>
      <c r="K1415" s="251">
        <v>1.1538999999999999</v>
      </c>
      <c r="L1415" s="251">
        <v>1.1529</v>
      </c>
      <c r="M1415" s="251">
        <v>1.1529</v>
      </c>
      <c r="N1415" s="251">
        <v>1.1529</v>
      </c>
      <c r="O1415" s="251">
        <v>1.1529</v>
      </c>
      <c r="P1415" s="251">
        <v>1.1529</v>
      </c>
      <c r="Q1415" s="251">
        <v>1.1479999999999999</v>
      </c>
      <c r="R1415" s="251">
        <v>1.1444000000000001</v>
      </c>
      <c r="S1415" s="251">
        <v>1.0912999999999999</v>
      </c>
      <c r="T1415" s="251">
        <v>1.0907</v>
      </c>
      <c r="U1415" s="251">
        <v>1.0875999999999999</v>
      </c>
      <c r="V1415" s="251">
        <v>1.0882000000000001</v>
      </c>
      <c r="W1415" s="251">
        <v>1.0939000000000001</v>
      </c>
      <c r="X1415" s="251">
        <v>1.1083000000000001</v>
      </c>
      <c r="Y1415" s="251">
        <v>1.1175999999999999</v>
      </c>
      <c r="Z1415" s="245">
        <f ca="1">[1]ExtEntry!$R20</f>
        <v>1.1175999999999999</v>
      </c>
      <c r="AB1415" s="318">
        <v>54737.964999999997</v>
      </c>
      <c r="AC1415" s="318">
        <v>53977.43</v>
      </c>
      <c r="AD1415" s="318">
        <v>52703.020000000004</v>
      </c>
      <c r="AE1415" s="318">
        <v>52826.35</v>
      </c>
      <c r="AF1415" s="318">
        <v>53422.445</v>
      </c>
      <c r="AG1415" s="318">
        <v>54573.525000000001</v>
      </c>
      <c r="AH1415" s="318">
        <v>54552.97</v>
      </c>
      <c r="AI1415" s="318">
        <v>54552.97</v>
      </c>
      <c r="AJ1415" s="318">
        <v>54964.07</v>
      </c>
      <c r="AK1415" s="318">
        <v>55662.939999999995</v>
      </c>
      <c r="AL1415" s="318">
        <v>55210.729999999996</v>
      </c>
      <c r="AM1415" s="318">
        <v>54922.96</v>
      </c>
      <c r="AN1415" s="318">
        <v>53196.34</v>
      </c>
      <c r="AO1415" s="318">
        <v>55724.604999999996</v>
      </c>
      <c r="AP1415" s="318">
        <v>56772.91</v>
      </c>
      <c r="AQ1415" s="318">
        <v>56464.584999999999</v>
      </c>
      <c r="AR1415" s="318">
        <v>54162.425000000003</v>
      </c>
      <c r="AS1415" s="318">
        <v>53073.01</v>
      </c>
      <c r="AT1415" s="318">
        <v>50236.420000000006</v>
      </c>
      <c r="AU1415" s="318">
        <v>49784.21</v>
      </c>
      <c r="AV1415" s="318">
        <f ca="1">IF(_xlfn.XLOOKUP(A1415,TabCalc[Ticker],ListExtra_n)&gt;0,             _xlfn.XLOOKUP(A1415,TabCalc[Ticker],ListExtra_n)*_xlfn.XLOOKUP(A1415,TabTRADER[ClickTick],TabTRADER[M])*_xlfn.XLOOKUP(A1415,TabCalc[Ticker],ListScale),               "")</f>
        <v>49784.21</v>
      </c>
      <c r="AX1415" s="88" t="str">
        <f t="shared" ca="1" si="109"/>
        <v>DXC</v>
      </c>
    </row>
    <row r="1416" spans="1:50" hidden="1" x14ac:dyDescent="0.3">
      <c r="A1416" s="88" t="str">
        <f t="shared" ca="1" si="112"/>
        <v>EOAN</v>
      </c>
      <c r="F1416" s="251">
        <v>0.72060000000000002</v>
      </c>
      <c r="G1416" s="251">
        <v>0.72050000000000003</v>
      </c>
      <c r="H1416" s="251">
        <v>0.72060000000000002</v>
      </c>
      <c r="I1416" s="251">
        <v>0.72060000000000002</v>
      </c>
      <c r="J1416" s="251">
        <v>0.72060000000000002</v>
      </c>
      <c r="K1416" s="251">
        <v>0.71760000000000002</v>
      </c>
      <c r="L1416" s="251">
        <v>0.72070000000000001</v>
      </c>
      <c r="M1416" s="251">
        <v>0.72070000000000001</v>
      </c>
      <c r="N1416" s="251">
        <v>0.72070000000000001</v>
      </c>
      <c r="O1416" s="251">
        <v>0.72070000000000001</v>
      </c>
      <c r="P1416" s="251">
        <v>0.72009999999999996</v>
      </c>
      <c r="Q1416" s="251">
        <v>0.72040000000000004</v>
      </c>
      <c r="R1416" s="251">
        <v>0.72060000000000002</v>
      </c>
      <c r="S1416" s="251">
        <v>0.85270000000000001</v>
      </c>
      <c r="T1416" s="251">
        <v>0.85360000000000003</v>
      </c>
      <c r="U1416" s="251">
        <v>0.85350000000000004</v>
      </c>
      <c r="V1416" s="251">
        <v>0.85299999999999998</v>
      </c>
      <c r="W1416" s="251">
        <v>0.84770000000000001</v>
      </c>
      <c r="X1416" s="251">
        <v>0.8599</v>
      </c>
      <c r="Y1416" s="251">
        <v>0.86180000000000001</v>
      </c>
      <c r="Z1416" s="245">
        <f ca="1">[1]ExtEntry!$R21</f>
        <v>0.86180000000000001</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1.4162999999999999</v>
      </c>
      <c r="G1418" s="251">
        <v>1.4129</v>
      </c>
      <c r="H1418" s="251">
        <v>1.4107000000000001</v>
      </c>
      <c r="I1418" s="251">
        <v>1.4096</v>
      </c>
      <c r="J1418" s="251">
        <v>1.4096</v>
      </c>
      <c r="K1418" s="251">
        <v>1.4077</v>
      </c>
      <c r="L1418" s="251">
        <v>1.4006000000000001</v>
      </c>
      <c r="M1418" s="251">
        <v>1.4006000000000001</v>
      </c>
      <c r="N1418" s="251">
        <v>1.4006000000000001</v>
      </c>
      <c r="O1418" s="251">
        <v>1.4006000000000001</v>
      </c>
      <c r="P1418" s="251">
        <v>1.4</v>
      </c>
      <c r="Q1418" s="251">
        <v>1.4171</v>
      </c>
      <c r="R1418" s="251">
        <v>1.4179999999999999</v>
      </c>
      <c r="S1418" s="251">
        <v>1.3120000000000001</v>
      </c>
      <c r="T1418" s="251">
        <v>1.3140000000000001</v>
      </c>
      <c r="U1418" s="251">
        <v>1.3099000000000001</v>
      </c>
      <c r="V1418" s="251">
        <v>1.3052999999999999</v>
      </c>
      <c r="W1418" s="251">
        <v>1.2962</v>
      </c>
      <c r="X1418" s="251">
        <v>1.3095000000000001</v>
      </c>
      <c r="Y1418" s="251">
        <v>1.3051999999999999</v>
      </c>
      <c r="Z1418" s="245">
        <f ca="1">[1]ExtEntry!$R23</f>
        <v>1.3051999999999999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1.4419999999999999</v>
      </c>
      <c r="G1419" s="251">
        <v>1.4401999999999999</v>
      </c>
      <c r="H1419" s="251">
        <v>1.4415</v>
      </c>
      <c r="I1419" s="251">
        <v>1.4527000000000001</v>
      </c>
      <c r="J1419" s="251">
        <v>1.4527000000000001</v>
      </c>
      <c r="K1419" s="251">
        <v>1.4481999999999999</v>
      </c>
      <c r="L1419" s="251">
        <v>1.4474</v>
      </c>
      <c r="M1419" s="251">
        <v>1.4474</v>
      </c>
      <c r="N1419" s="251">
        <v>1.4474</v>
      </c>
      <c r="O1419" s="251">
        <v>1.4474</v>
      </c>
      <c r="P1419" s="251">
        <v>1.4478</v>
      </c>
      <c r="Q1419" s="251">
        <v>1.4371</v>
      </c>
      <c r="R1419" s="251">
        <v>1.4359999999999999</v>
      </c>
      <c r="S1419" s="251">
        <v>1.3383</v>
      </c>
      <c r="T1419" s="251">
        <v>1.3427</v>
      </c>
      <c r="U1419" s="251">
        <v>1.3418000000000001</v>
      </c>
      <c r="V1419" s="251">
        <v>1.3432999999999999</v>
      </c>
      <c r="W1419" s="251">
        <v>1.3482000000000001</v>
      </c>
      <c r="X1419" s="251">
        <v>1.3647</v>
      </c>
      <c r="Y1419" s="251">
        <v>1.3736999999999999</v>
      </c>
      <c r="Z1419" s="245">
        <f ca="1">[1]ExtEntry!$R24</f>
        <v>1.3736999999999999</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1.2934000000000001</v>
      </c>
      <c r="G1420" s="251">
        <v>1.2858000000000001</v>
      </c>
      <c r="H1420" s="251">
        <v>1.2882</v>
      </c>
      <c r="I1420" s="251">
        <v>1.2937000000000001</v>
      </c>
      <c r="J1420" s="251">
        <v>1.2937000000000001</v>
      </c>
      <c r="K1420" s="251">
        <v>1.2951999999999999</v>
      </c>
      <c r="L1420" s="251">
        <v>1.2943</v>
      </c>
      <c r="M1420" s="251">
        <v>1.2943</v>
      </c>
      <c r="N1420" s="251">
        <v>1.2943</v>
      </c>
      <c r="O1420" s="251">
        <v>1.2943</v>
      </c>
      <c r="P1420" s="251">
        <v>1.2951999999999999</v>
      </c>
      <c r="Q1420" s="251">
        <v>1.2952999999999999</v>
      </c>
      <c r="R1420" s="251">
        <v>1.2937000000000001</v>
      </c>
      <c r="S1420" s="251">
        <v>1.2221</v>
      </c>
      <c r="T1420" s="251">
        <v>1.2286999999999999</v>
      </c>
      <c r="U1420" s="251">
        <v>1.224</v>
      </c>
      <c r="V1420" s="251">
        <v>1.2271000000000001</v>
      </c>
      <c r="W1420" s="251">
        <v>1.2373000000000001</v>
      </c>
      <c r="X1420" s="251">
        <v>1.2555000000000001</v>
      </c>
      <c r="Y1420" s="251">
        <v>1.2653000000000001</v>
      </c>
      <c r="Z1420" s="245">
        <f ca="1">[1]ExtEntry!$R25</f>
        <v>1.2653000000000001</v>
      </c>
      <c r="AB1420" s="318">
        <v>114140</v>
      </c>
      <c r="AC1420" s="318">
        <v>86040</v>
      </c>
      <c r="AD1420" s="318">
        <v>108860</v>
      </c>
      <c r="AE1420" s="318">
        <v>109480</v>
      </c>
      <c r="AF1420" s="318">
        <v>110620</v>
      </c>
      <c r="AG1420" s="318">
        <v>112640</v>
      </c>
      <c r="AH1420" s="318">
        <v>110640</v>
      </c>
      <c r="AI1420" s="318">
        <v>110640</v>
      </c>
      <c r="AJ1420" s="318">
        <v>111300</v>
      </c>
      <c r="AK1420" s="318">
        <v>110640</v>
      </c>
      <c r="AL1420" s="318">
        <v>111660</v>
      </c>
      <c r="AM1420" s="318">
        <v>112260</v>
      </c>
      <c r="AN1420" s="318">
        <v>110040</v>
      </c>
      <c r="AO1420" s="318">
        <v>103940</v>
      </c>
      <c r="AP1420" s="318">
        <v>106560</v>
      </c>
      <c r="AQ1420" s="318">
        <v>104720</v>
      </c>
      <c r="AR1420" s="318">
        <v>104860</v>
      </c>
      <c r="AS1420" s="318">
        <v>98052</v>
      </c>
      <c r="AT1420" s="318">
        <v>90840</v>
      </c>
      <c r="AU1420" s="318">
        <v>90160</v>
      </c>
      <c r="AV1420" s="318">
        <f ca="1">IF(_xlfn.XLOOKUP(A1420,TabCalc[Ticker],ListExtra_n)&gt;0,             _xlfn.XLOOKUP(A1420,TabCalc[Ticker],ListExtra_n)*_xlfn.XLOOKUP(A1420,TabTRADER[ClickTick],TabTRADER[M])*_xlfn.XLOOKUP(A1420,TabCalc[Ticker],ListScale),               "")</f>
        <v>90160</v>
      </c>
      <c r="AX1420" s="88" t="str">
        <f t="shared" ca="1" si="109"/>
        <v>HPQ</v>
      </c>
    </row>
    <row r="1421" spans="1:50" hidden="1" x14ac:dyDescent="0.3">
      <c r="A1421" s="88" t="str">
        <f t="shared" ca="1" si="112"/>
        <v>IAG</v>
      </c>
      <c r="F1421" s="251">
        <v>2.8881000000000001</v>
      </c>
      <c r="G1421" s="251">
        <v>2.8883000000000001</v>
      </c>
      <c r="H1421" s="251">
        <v>2.8873000000000002</v>
      </c>
      <c r="I1421" s="251">
        <v>2.8868</v>
      </c>
      <c r="J1421" s="251">
        <v>2.8868</v>
      </c>
      <c r="K1421" s="251">
        <v>2.8875999999999999</v>
      </c>
      <c r="L1421" s="251">
        <v>2.8881999999999999</v>
      </c>
      <c r="M1421" s="251">
        <v>2.8881999999999999</v>
      </c>
      <c r="N1421" s="251">
        <v>2.8881999999999999</v>
      </c>
      <c r="O1421" s="251">
        <v>2.8881999999999999</v>
      </c>
      <c r="P1421" s="251">
        <v>2.8862999999999999</v>
      </c>
      <c r="Q1421" s="251">
        <v>2.8740999999999999</v>
      </c>
      <c r="R1421" s="251">
        <v>2.8527999999999998</v>
      </c>
      <c r="S1421" s="251">
        <v>2.2942</v>
      </c>
      <c r="T1421" s="251">
        <v>2.2967</v>
      </c>
      <c r="U1421" s="251">
        <v>2.2978000000000001</v>
      </c>
      <c r="V1421" s="251">
        <v>2.3001999999999998</v>
      </c>
      <c r="W1421" s="251">
        <v>2.2976000000000001</v>
      </c>
      <c r="X1421" s="251">
        <v>2.3203999999999998</v>
      </c>
      <c r="Y1421" s="251">
        <v>2.3380999999999998</v>
      </c>
      <c r="Z1421" s="245">
        <f ca="1">[1]ExtEntry!$R26</f>
        <v>2.3380999999999998</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0.55400000000000005</v>
      </c>
      <c r="G1422" s="251">
        <v>0.54920000000000002</v>
      </c>
      <c r="H1422" s="251">
        <v>0.55020000000000002</v>
      </c>
      <c r="I1422" s="251">
        <v>0.55020000000000002</v>
      </c>
      <c r="J1422" s="251">
        <v>0.55020000000000002</v>
      </c>
      <c r="K1422" s="251">
        <v>0.55189999999999995</v>
      </c>
      <c r="L1422" s="251">
        <v>0.55310000000000004</v>
      </c>
      <c r="M1422" s="251">
        <v>0.55310000000000004</v>
      </c>
      <c r="N1422" s="251">
        <v>0.55310000000000004</v>
      </c>
      <c r="O1422" s="251">
        <v>0.55310000000000004</v>
      </c>
      <c r="P1422" s="251">
        <v>0.55230000000000001</v>
      </c>
      <c r="Q1422" s="251">
        <v>0.55100000000000005</v>
      </c>
      <c r="R1422" s="251">
        <v>0.54649999999999999</v>
      </c>
      <c r="S1422" s="251">
        <v>0.58240000000000003</v>
      </c>
      <c r="T1422" s="251">
        <v>0.58120000000000005</v>
      </c>
      <c r="U1422" s="251">
        <v>0.58309999999999995</v>
      </c>
      <c r="V1422" s="251">
        <v>0.58130000000000004</v>
      </c>
      <c r="W1422" s="251">
        <v>0.57240000000000002</v>
      </c>
      <c r="X1422" s="251">
        <v>0.5716</v>
      </c>
      <c r="Y1422" s="251">
        <v>0.5605</v>
      </c>
      <c r="Z1422" s="245">
        <f ca="1">[1]ExtEntry!$R27</f>
        <v>0.5605</v>
      </c>
      <c r="AB1422" s="318"/>
      <c r="AC1422" s="318"/>
      <c r="AD1422" s="318"/>
      <c r="AE1422" s="318"/>
      <c r="AF1422" s="318"/>
      <c r="AG1422" s="318"/>
      <c r="AH1422" s="318"/>
      <c r="AI1422" s="318"/>
      <c r="AJ1422" s="318"/>
      <c r="AK1422" s="318"/>
      <c r="AL1422" s="318"/>
      <c r="AM1422" s="318"/>
      <c r="AN1422" s="318"/>
      <c r="AO1422" s="318">
        <v>127400</v>
      </c>
      <c r="AP1422" s="318">
        <v>126300</v>
      </c>
      <c r="AQ1422" s="318">
        <v>126800</v>
      </c>
      <c r="AR1422" s="318">
        <v>64905</v>
      </c>
      <c r="AS1422" s="318">
        <v>66715</v>
      </c>
      <c r="AT1422" s="318">
        <v>67405</v>
      </c>
      <c r="AU1422" s="318">
        <v>67550</v>
      </c>
      <c r="AV1422" s="318">
        <f ca="1">IF(_xlfn.XLOOKUP(A1422,TabCalc[Ticker],ListExtra_n)&gt;0,             _xlfn.XLOOKUP(A1422,TabCalc[Ticker],ListExtra_n)*_xlfn.XLOOKUP(A1422,TabTRADER[ClickTick],TabTRADER[M])*_xlfn.XLOOKUP(A1422,TabCalc[Ticker],ListScale),               "")</f>
        <v>67550</v>
      </c>
      <c r="AX1422" s="88" t="str">
        <f t="shared" ca="1" si="109"/>
        <v>KR</v>
      </c>
    </row>
    <row r="1423" spans="1:50" hidden="1" x14ac:dyDescent="0.3">
      <c r="A1423" s="88" t="str">
        <f t="shared" ca="1" si="112"/>
        <v>LNSR</v>
      </c>
      <c r="F1423" s="251">
        <v>0.49590000000000001</v>
      </c>
      <c r="G1423" s="251">
        <v>0.49609999999999999</v>
      </c>
      <c r="H1423" s="251">
        <v>0.501</v>
      </c>
      <c r="I1423" s="251">
        <v>0.49690000000000001</v>
      </c>
      <c r="J1423" s="251">
        <v>0.49690000000000001</v>
      </c>
      <c r="K1423" s="251">
        <v>0.49099999999999999</v>
      </c>
      <c r="L1423" s="251">
        <v>0.49099999999999999</v>
      </c>
      <c r="M1423" s="251">
        <v>0.49099999999999999</v>
      </c>
      <c r="N1423" s="251">
        <v>0.49099999999999999</v>
      </c>
      <c r="O1423" s="251">
        <v>0.49099999999999999</v>
      </c>
      <c r="P1423" s="251">
        <v>0.49120000000000003</v>
      </c>
      <c r="Q1423" s="251">
        <v>0.48880000000000001</v>
      </c>
      <c r="R1423" s="251">
        <v>0.48110000000000003</v>
      </c>
      <c r="S1423" s="251">
        <v>0.64670000000000005</v>
      </c>
      <c r="T1423" s="251">
        <v>0.65010000000000001</v>
      </c>
      <c r="U1423" s="251">
        <v>0.64459999999999995</v>
      </c>
      <c r="V1423" s="251">
        <v>0.65920000000000001</v>
      </c>
      <c r="W1423" s="251">
        <v>0.68640000000000001</v>
      </c>
      <c r="X1423" s="251">
        <v>0.6946</v>
      </c>
      <c r="Y1423" s="251">
        <v>0.70540000000000003</v>
      </c>
      <c r="Z1423" s="245">
        <f ca="1">[1]ExtEntry!$R28</f>
        <v>0.70540000000000003</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1.3851</v>
      </c>
      <c r="G1424" s="251">
        <v>1.3803000000000001</v>
      </c>
      <c r="H1424" s="251">
        <v>1.3767</v>
      </c>
      <c r="I1424" s="251">
        <v>1.3832</v>
      </c>
      <c r="J1424" s="251">
        <v>1.3832</v>
      </c>
      <c r="K1424" s="251">
        <v>1.3927</v>
      </c>
      <c r="L1424" s="251">
        <v>1.3926000000000001</v>
      </c>
      <c r="M1424" s="251">
        <v>1.3926000000000001</v>
      </c>
      <c r="N1424" s="251">
        <v>1.3926000000000001</v>
      </c>
      <c r="O1424" s="251">
        <v>1.3926000000000001</v>
      </c>
      <c r="P1424" s="251">
        <v>1.3936999999999999</v>
      </c>
      <c r="Q1424" s="251">
        <v>1.4581</v>
      </c>
      <c r="R1424" s="251">
        <v>1.5035000000000001</v>
      </c>
      <c r="S1424" s="251">
        <v>1.4033</v>
      </c>
      <c r="T1424" s="251">
        <v>1.4104000000000001</v>
      </c>
      <c r="U1424" s="251">
        <v>1.407</v>
      </c>
      <c r="V1424" s="251">
        <v>1.3963000000000001</v>
      </c>
      <c r="W1424" s="251">
        <v>1.4626999999999999</v>
      </c>
      <c r="X1424" s="251">
        <v>1.4646999999999999</v>
      </c>
      <c r="Y1424" s="251">
        <v>1.4903</v>
      </c>
      <c r="Z1424" s="245">
        <f ca="1">[1]ExtEntry!$R29</f>
        <v>1.4903</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2.0064000000000002</v>
      </c>
      <c r="G1425" s="251">
        <v>2.0082</v>
      </c>
      <c r="H1425" s="251">
        <v>2.0034000000000001</v>
      </c>
      <c r="I1425" s="251">
        <v>2.0114000000000001</v>
      </c>
      <c r="J1425" s="251">
        <v>2.0114000000000001</v>
      </c>
      <c r="K1425" s="251">
        <v>2.0127999999999999</v>
      </c>
      <c r="L1425" s="251">
        <v>2.0123000000000002</v>
      </c>
      <c r="M1425" s="251">
        <v>2.0123000000000002</v>
      </c>
      <c r="N1425" s="251">
        <v>2.0123000000000002</v>
      </c>
      <c r="O1425" s="251">
        <v>2.0123000000000002</v>
      </c>
      <c r="P1425" s="251">
        <v>2.0135000000000001</v>
      </c>
      <c r="Q1425" s="251">
        <v>2.0148999999999999</v>
      </c>
      <c r="R1425" s="251">
        <v>2.0036999999999998</v>
      </c>
      <c r="S1425" s="251">
        <v>1.1157999999999999</v>
      </c>
      <c r="T1425" s="251">
        <v>1.1276999999999999</v>
      </c>
      <c r="U1425" s="251">
        <v>1.1266</v>
      </c>
      <c r="V1425" s="251">
        <v>1.1258999999999999</v>
      </c>
      <c r="W1425" s="251">
        <v>1.1197999999999999</v>
      </c>
      <c r="X1425" s="251">
        <v>1.1215999999999999</v>
      </c>
      <c r="Y1425" s="251">
        <v>1.1202000000000001</v>
      </c>
      <c r="Z1425" s="245">
        <f ca="1">[1]ExtEntry!$R30</f>
        <v>1.1202000000000001</v>
      </c>
      <c r="AB1425" s="318">
        <v>309750</v>
      </c>
      <c r="AC1425" s="318">
        <v>327509</v>
      </c>
      <c r="AD1425" s="318">
        <v>320252</v>
      </c>
      <c r="AE1425" s="318">
        <v>306918</v>
      </c>
      <c r="AF1425" s="318">
        <v>321432</v>
      </c>
      <c r="AG1425" s="318">
        <v>324382</v>
      </c>
      <c r="AH1425" s="318">
        <v>316830</v>
      </c>
      <c r="AI1425" s="318">
        <v>316830</v>
      </c>
      <c r="AJ1425" s="318">
        <v>309750</v>
      </c>
      <c r="AK1425" s="318">
        <v>315532</v>
      </c>
      <c r="AL1425" s="318">
        <v>314588</v>
      </c>
      <c r="AM1425" s="318">
        <v>299130</v>
      </c>
      <c r="AN1425" s="318">
        <v>332052</v>
      </c>
      <c r="AO1425" s="318">
        <v>280545</v>
      </c>
      <c r="AP1425" s="318">
        <v>278008</v>
      </c>
      <c r="AQ1425" s="318">
        <v>284439</v>
      </c>
      <c r="AR1425" s="318">
        <v>289395</v>
      </c>
      <c r="AS1425" s="318">
        <v>292286</v>
      </c>
      <c r="AT1425" s="318">
        <v>294056</v>
      </c>
      <c r="AU1425" s="318">
        <v>286504</v>
      </c>
      <c r="AV1425" s="318">
        <f ca="1">IF(_xlfn.XLOOKUP(A1425,TabCalc[Ticker],ListExtra_n)&gt;0,             _xlfn.XLOOKUP(A1425,TabCalc[Ticker],ListExtra_n)*_xlfn.XLOOKUP(A1425,TabTRADER[ClickTick],TabTRADER[M])*_xlfn.XLOOKUP(A1425,TabCalc[Ticker],ListScale),               "")</f>
        <v>286504</v>
      </c>
      <c r="AX1425" s="88" t="str">
        <f t="shared" ca="1" si="109"/>
        <v>MRNA</v>
      </c>
    </row>
    <row r="1426" spans="1:50" hidden="1" x14ac:dyDescent="0.3">
      <c r="A1426" s="88" t="str">
        <f t="shared" ca="1" si="112"/>
        <v>MSFT</v>
      </c>
      <c r="F1426" s="251">
        <v>1.0203</v>
      </c>
      <c r="G1426" s="251">
        <v>1.0203</v>
      </c>
      <c r="H1426" s="251">
        <v>1.0206</v>
      </c>
      <c r="I1426" s="251">
        <v>1.0205</v>
      </c>
      <c r="J1426" s="251">
        <v>1.0205</v>
      </c>
      <c r="K1426" s="251">
        <v>1.02</v>
      </c>
      <c r="L1426" s="251">
        <v>1.0199</v>
      </c>
      <c r="M1426" s="251">
        <v>1.0199</v>
      </c>
      <c r="N1426" s="251">
        <v>1.0199</v>
      </c>
      <c r="O1426" s="251">
        <v>1.0199</v>
      </c>
      <c r="P1426" s="251">
        <v>1.0196000000000001</v>
      </c>
      <c r="Q1426" s="251">
        <v>1.0184</v>
      </c>
      <c r="R1426" s="251">
        <v>1.0206999999999999</v>
      </c>
      <c r="S1426" s="251">
        <v>1.0657000000000001</v>
      </c>
      <c r="T1426" s="251">
        <v>1.0650999999999999</v>
      </c>
      <c r="U1426" s="251">
        <v>1.0679000000000001</v>
      </c>
      <c r="V1426" s="251">
        <v>1.0716000000000001</v>
      </c>
      <c r="W1426" s="251">
        <v>1.0689</v>
      </c>
      <c r="X1426" s="251">
        <v>1.0669</v>
      </c>
      <c r="Y1426" s="251">
        <v>1.0728</v>
      </c>
      <c r="Z1426" s="245">
        <f ca="1">[1]ExtEntry!$R31</f>
        <v>1.0728</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0.65990000000000004</v>
      </c>
      <c r="G1427" s="251">
        <v>0.65739999999999998</v>
      </c>
      <c r="H1427" s="251">
        <v>0.66010000000000002</v>
      </c>
      <c r="I1427" s="251">
        <v>0.66100000000000003</v>
      </c>
      <c r="J1427" s="251">
        <v>0.66100000000000003</v>
      </c>
      <c r="K1427" s="251">
        <v>0.67220000000000002</v>
      </c>
      <c r="L1427" s="251">
        <v>0.67279999999999995</v>
      </c>
      <c r="M1427" s="251">
        <v>0.67279999999999995</v>
      </c>
      <c r="N1427" s="251">
        <v>0.67279999999999995</v>
      </c>
      <c r="O1427" s="251">
        <v>0.67279999999999995</v>
      </c>
      <c r="P1427" s="251">
        <v>0.67359999999999998</v>
      </c>
      <c r="Q1427" s="251">
        <v>0.69359999999999999</v>
      </c>
      <c r="R1427" s="251">
        <v>0.68789999999999996</v>
      </c>
      <c r="S1427" s="251">
        <v>0.73729999999999996</v>
      </c>
      <c r="T1427" s="251">
        <v>0.73509999999999998</v>
      </c>
      <c r="U1427" s="251">
        <v>0.73509999999999998</v>
      </c>
      <c r="V1427" s="251">
        <v>0.73170000000000002</v>
      </c>
      <c r="W1427" s="251">
        <v>0.72699999999999998</v>
      </c>
      <c r="X1427" s="251">
        <v>0.72150000000000003</v>
      </c>
      <c r="Y1427" s="251">
        <v>0.71840000000000004</v>
      </c>
      <c r="Z1427" s="245">
        <f ca="1">[1]ExtEntry!$R32</f>
        <v>0.71840000000000004</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0.34599999999999997</v>
      </c>
      <c r="G1428" s="251">
        <v>0.34300000000000003</v>
      </c>
      <c r="H1428" s="251">
        <v>0.34089999999999998</v>
      </c>
      <c r="I1428" s="251">
        <v>0.34449999999999997</v>
      </c>
      <c r="J1428" s="251">
        <v>0.34449999999999997</v>
      </c>
      <c r="K1428" s="251">
        <v>0.34839999999999999</v>
      </c>
      <c r="L1428" s="251">
        <v>0.35349999999999998</v>
      </c>
      <c r="M1428" s="251">
        <v>0.35349999999999998</v>
      </c>
      <c r="N1428" s="251">
        <v>0.35349999999999998</v>
      </c>
      <c r="O1428" s="251">
        <v>0.35349999999999998</v>
      </c>
      <c r="P1428" s="251">
        <v>0.35310000000000002</v>
      </c>
      <c r="Q1428" s="251">
        <v>0.34449999999999997</v>
      </c>
      <c r="R1428" s="251">
        <v>0.34449999999999997</v>
      </c>
      <c r="S1428" s="251">
        <v>0.44090000000000001</v>
      </c>
      <c r="T1428" s="251">
        <v>0.4461</v>
      </c>
      <c r="U1428" s="251">
        <v>0.44019999999999998</v>
      </c>
      <c r="V1428" s="251">
        <v>0.43559999999999999</v>
      </c>
      <c r="W1428" s="251">
        <v>0.41560000000000002</v>
      </c>
      <c r="X1428" s="251">
        <v>0.42280000000000001</v>
      </c>
      <c r="Y1428" s="251">
        <v>0.41749999999999998</v>
      </c>
      <c r="Z1428" s="245">
        <f ca="1">[1]ExtEntry!$R33</f>
        <v>0.41749999999999998</v>
      </c>
      <c r="AB1428" s="318"/>
      <c r="AC1428" s="318"/>
      <c r="AD1428" s="318"/>
      <c r="AE1428" s="318"/>
      <c r="AF1428" s="318"/>
      <c r="AG1428" s="318">
        <v>172610</v>
      </c>
      <c r="AH1428" s="318">
        <v>174000</v>
      </c>
      <c r="AI1428" s="318">
        <v>174000</v>
      </c>
      <c r="AJ1428" s="318"/>
      <c r="AK1428" s="318">
        <v>166660</v>
      </c>
      <c r="AL1428" s="318">
        <v>157240</v>
      </c>
      <c r="AM1428" s="318">
        <v>237990</v>
      </c>
      <c r="AN1428" s="318">
        <v>246990</v>
      </c>
      <c r="AO1428" s="318">
        <v>552720</v>
      </c>
      <c r="AP1428" s="318">
        <v>408100</v>
      </c>
      <c r="AQ1428" s="318">
        <v>413074</v>
      </c>
      <c r="AR1428" s="318">
        <v>416750</v>
      </c>
      <c r="AS1428" s="318">
        <v>439000</v>
      </c>
      <c r="AT1428" s="318">
        <v>433050</v>
      </c>
      <c r="AU1428" s="318">
        <v>437975</v>
      </c>
      <c r="AV1428" s="318">
        <f ca="1">IF(_xlfn.XLOOKUP(A1428,TabCalc[Ticker],ListExtra_n)&gt;0,             _xlfn.XLOOKUP(A1428,TabCalc[Ticker],ListExtra_n)*_xlfn.XLOOKUP(A1428,TabTRADER[ClickTick],TabTRADER[M])*_xlfn.XLOOKUP(A1428,TabCalc[Ticker],ListScale),               "")</f>
        <v>437975</v>
      </c>
      <c r="AX1428" s="88" t="str">
        <f t="shared" ca="1" si="113"/>
        <v>NEM</v>
      </c>
    </row>
    <row r="1429" spans="1:50" hidden="1" x14ac:dyDescent="0.3">
      <c r="A1429" s="88" t="str">
        <f t="shared" ca="1" si="112"/>
        <v>NFLX</v>
      </c>
      <c r="F1429" s="251">
        <v>1.5873999999999999</v>
      </c>
      <c r="G1429" s="251">
        <v>1.5872999999999999</v>
      </c>
      <c r="H1429" s="251">
        <v>1.59</v>
      </c>
      <c r="I1429" s="251">
        <v>1.5902000000000001</v>
      </c>
      <c r="J1429" s="251">
        <v>1.5902000000000001</v>
      </c>
      <c r="K1429" s="251">
        <v>1.5896999999999999</v>
      </c>
      <c r="L1429" s="251">
        <v>1.5895999999999999</v>
      </c>
      <c r="M1429" s="251">
        <v>1.5895999999999999</v>
      </c>
      <c r="N1429" s="251">
        <v>1.5895999999999999</v>
      </c>
      <c r="O1429" s="251">
        <v>1.5895999999999999</v>
      </c>
      <c r="P1429" s="251">
        <v>1.5948</v>
      </c>
      <c r="Q1429" s="251">
        <v>1.5746</v>
      </c>
      <c r="R1429" s="251">
        <v>1.5723</v>
      </c>
      <c r="S1429" s="251">
        <v>1.7040999999999999</v>
      </c>
      <c r="T1429" s="251">
        <v>1.7038</v>
      </c>
      <c r="U1429" s="251">
        <v>1.7038</v>
      </c>
      <c r="V1429" s="251">
        <v>1.7001999999999999</v>
      </c>
      <c r="W1429" s="251">
        <v>1.6895</v>
      </c>
      <c r="X1429" s="251">
        <v>1.6999</v>
      </c>
      <c r="Y1429" s="251">
        <v>1.6837</v>
      </c>
      <c r="Z1429" s="245">
        <f ca="1">[1]ExtEntry!$R34</f>
        <v>1.6837</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v>2966340</v>
      </c>
      <c r="AU1429" s="318">
        <v>2854280</v>
      </c>
      <c r="AV1429" s="318">
        <f ca="1">IF(_xlfn.XLOOKUP(A1429,TabCalc[Ticker],ListExtra_n)&gt;0,             _xlfn.XLOOKUP(A1429,TabCalc[Ticker],ListExtra_n)*_xlfn.XLOOKUP(A1429,TabTRADER[ClickTick],TabTRADER[M])*_xlfn.XLOOKUP(A1429,TabCalc[Ticker],ListScale),               "")</f>
        <v>2854280</v>
      </c>
      <c r="AX1429" s="88" t="str">
        <f t="shared" ca="1" si="113"/>
        <v>NFLX</v>
      </c>
    </row>
    <row r="1430" spans="1:50" hidden="1" x14ac:dyDescent="0.3">
      <c r="A1430" s="88" t="str">
        <f t="shared" ca="1" si="112"/>
        <v>NOTE</v>
      </c>
      <c r="F1430" s="251">
        <v>0.54559999999999997</v>
      </c>
      <c r="G1430" s="251">
        <v>0.54079999999999995</v>
      </c>
      <c r="H1430" s="251">
        <v>0.54510000000000003</v>
      </c>
      <c r="I1430" s="251">
        <v>0.55630000000000002</v>
      </c>
      <c r="J1430" s="251">
        <v>0.55630000000000002</v>
      </c>
      <c r="K1430" s="251">
        <v>0.55169999999999997</v>
      </c>
      <c r="L1430" s="251">
        <v>0.55130000000000001</v>
      </c>
      <c r="M1430" s="251">
        <v>0.55130000000000001</v>
      </c>
      <c r="N1430" s="251">
        <v>0.55130000000000001</v>
      </c>
      <c r="O1430" s="251">
        <v>0.55130000000000001</v>
      </c>
      <c r="P1430" s="251">
        <v>0.55330000000000001</v>
      </c>
      <c r="Q1430" s="251">
        <v>0.54549999999999998</v>
      </c>
      <c r="R1430" s="251">
        <v>0.53359999999999996</v>
      </c>
      <c r="S1430" s="251">
        <v>0.54139999999999999</v>
      </c>
      <c r="T1430" s="251">
        <v>0.55159999999999998</v>
      </c>
      <c r="U1430" s="251">
        <v>0.56569999999999998</v>
      </c>
      <c r="V1430" s="251">
        <v>0.59709999999999996</v>
      </c>
      <c r="W1430" s="251">
        <v>0.61919999999999997</v>
      </c>
      <c r="X1430" s="251">
        <v>0.62919999999999998</v>
      </c>
      <c r="Y1430" s="251">
        <v>0.66659999999999997</v>
      </c>
      <c r="Z1430" s="245">
        <f ca="1">[1]ExtEntry!$R35</f>
        <v>0.66659999999999997</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0.90139999999999998</v>
      </c>
      <c r="G1431" s="251">
        <v>0.89349999999999996</v>
      </c>
      <c r="H1431" s="251">
        <v>0.90049999999999997</v>
      </c>
      <c r="I1431" s="251">
        <v>0.90059999999999996</v>
      </c>
      <c r="J1431" s="251">
        <v>0.90059999999999996</v>
      </c>
      <c r="K1431" s="251">
        <v>0.89870000000000005</v>
      </c>
      <c r="L1431" s="251">
        <v>0.89970000000000006</v>
      </c>
      <c r="M1431" s="251">
        <v>0.89970000000000006</v>
      </c>
      <c r="N1431" s="251">
        <v>0.89970000000000006</v>
      </c>
      <c r="O1431" s="251">
        <v>0.89970000000000006</v>
      </c>
      <c r="P1431" s="251">
        <v>0.91439999999999999</v>
      </c>
      <c r="Q1431" s="251">
        <v>0.9022</v>
      </c>
      <c r="R1431" s="251">
        <v>0.89929999999999999</v>
      </c>
      <c r="S1431" s="251">
        <v>1.1551</v>
      </c>
      <c r="T1431" s="251">
        <v>1.1623000000000001</v>
      </c>
      <c r="U1431" s="251">
        <v>1.1606000000000001</v>
      </c>
      <c r="V1431" s="251">
        <v>1.1608000000000001</v>
      </c>
      <c r="W1431" s="251">
        <v>1.1391</v>
      </c>
      <c r="X1431" s="251">
        <v>1.1480999999999999</v>
      </c>
      <c r="Y1431" s="251">
        <v>1.1358999999999999</v>
      </c>
      <c r="Z1431" s="245">
        <f ca="1">[1]ExtEntry!$R36</f>
        <v>1.1358999999999999</v>
      </c>
      <c r="AB1431" s="318"/>
      <c r="AC1431" s="318"/>
      <c r="AD1431" s="318"/>
      <c r="AE1431" s="318"/>
      <c r="AF1431" s="318"/>
      <c r="AG1431" s="318">
        <v>35435</v>
      </c>
      <c r="AH1431" s="318">
        <v>35875</v>
      </c>
      <c r="AI1431" s="318">
        <v>35875</v>
      </c>
      <c r="AJ1431" s="318">
        <v>36210</v>
      </c>
      <c r="AK1431" s="318">
        <v>36330</v>
      </c>
      <c r="AL1431" s="318">
        <v>34740</v>
      </c>
      <c r="AM1431" s="318">
        <v>35240</v>
      </c>
      <c r="AN1431" s="318">
        <v>35550</v>
      </c>
      <c r="AO1431" s="318">
        <v>33280.199999999997</v>
      </c>
      <c r="AP1431" s="318">
        <v>33770</v>
      </c>
      <c r="AQ1431" s="318">
        <v>33745</v>
      </c>
      <c r="AR1431" s="318">
        <v>34719.9</v>
      </c>
      <c r="AS1431" s="318"/>
      <c r="AT1431" s="318"/>
      <c r="AU1431" s="318"/>
      <c r="AV1431" s="318" t="str">
        <f ca="1">IF(_xlfn.XLOOKUP(A1431,TabCalc[Ticker],ListExtra_n)&gt;0,             _xlfn.XLOOKUP(A1431,TabCalc[Ticker],ListExtra_n)*_xlfn.XLOOKUP(A1431,TabTRADER[ClickTick],TabTRADER[M])*_xlfn.XLOOKUP(A1431,TabCalc[Ticker],ListScale),               "")</f>
        <v/>
      </c>
      <c r="AX1431" s="88" t="str">
        <f t="shared" ca="1" si="113"/>
        <v>PAAS</v>
      </c>
    </row>
    <row r="1432" spans="1:50" hidden="1" x14ac:dyDescent="0.3">
      <c r="A1432" s="88" t="str">
        <f t="shared" ca="1" si="112"/>
        <v>PROF</v>
      </c>
      <c r="F1432" s="251">
        <v>0.34329999999999999</v>
      </c>
      <c r="G1432" s="251">
        <v>0.30869999999999997</v>
      </c>
      <c r="H1432" s="251">
        <v>0.34949999999999998</v>
      </c>
      <c r="I1432" s="251">
        <v>0.35539999999999999</v>
      </c>
      <c r="J1432" s="251">
        <v>0.35539999999999999</v>
      </c>
      <c r="K1432" s="251">
        <v>0.32869999999999999</v>
      </c>
      <c r="L1432" s="251">
        <v>0.35460000000000003</v>
      </c>
      <c r="M1432" s="251">
        <v>0.35460000000000003</v>
      </c>
      <c r="N1432" s="251">
        <v>0.35460000000000003</v>
      </c>
      <c r="O1432" s="251">
        <v>0.35460000000000003</v>
      </c>
      <c r="P1432" s="251">
        <v>0.32529999999999998</v>
      </c>
      <c r="Q1432" s="251">
        <v>0.3498</v>
      </c>
      <c r="R1432" s="251">
        <v>0.35580000000000001</v>
      </c>
      <c r="S1432" s="251">
        <v>0.19259999999999999</v>
      </c>
      <c r="T1432" s="251">
        <v>0.19259999999999999</v>
      </c>
      <c r="U1432" s="251">
        <v>0.1913</v>
      </c>
      <c r="V1432" s="251">
        <v>0.19359999999999999</v>
      </c>
      <c r="W1432" s="251">
        <v>0.18049999999999999</v>
      </c>
      <c r="X1432" s="251">
        <v>0.18310000000000001</v>
      </c>
      <c r="Y1432" s="251">
        <v>0.186</v>
      </c>
      <c r="Z1432" s="245">
        <f ca="1">[1]ExtEntry!$R37</f>
        <v>0.186</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0.3044</v>
      </c>
      <c r="G1433" s="251">
        <v>0.2802</v>
      </c>
      <c r="H1433" s="251">
        <v>0.31669999999999998</v>
      </c>
      <c r="I1433" s="251">
        <v>0.3448</v>
      </c>
      <c r="J1433" s="251">
        <v>0.3448</v>
      </c>
      <c r="K1433" s="251">
        <v>0.36009999999999998</v>
      </c>
      <c r="L1433" s="251">
        <v>0.36149999999999999</v>
      </c>
      <c r="M1433" s="251">
        <v>0.36149999999999999</v>
      </c>
      <c r="N1433" s="251">
        <v>0.36149999999999999</v>
      </c>
      <c r="O1433" s="251">
        <v>0.36149999999999999</v>
      </c>
      <c r="P1433" s="251">
        <v>0.36220000000000002</v>
      </c>
      <c r="Q1433" s="251">
        <v>0.41220000000000001</v>
      </c>
      <c r="R1433" s="251">
        <v>0.3982</v>
      </c>
      <c r="S1433" s="251">
        <v>0.4516</v>
      </c>
      <c r="T1433" s="251">
        <v>0.4708</v>
      </c>
      <c r="U1433" s="251">
        <v>0.4657</v>
      </c>
      <c r="V1433" s="251">
        <v>0.50170000000000003</v>
      </c>
      <c r="W1433" s="251">
        <v>0.52010000000000001</v>
      </c>
      <c r="X1433" s="251">
        <v>0.54090000000000005</v>
      </c>
      <c r="Y1433" s="251">
        <v>0.56289999999999996</v>
      </c>
      <c r="Z1433" s="245">
        <f ca="1">[1]ExtEntry!$R38</f>
        <v>0.56289999999999996</v>
      </c>
      <c r="AB1433" s="318"/>
      <c r="AC1433" s="318"/>
      <c r="AD1433" s="318"/>
      <c r="AE1433" s="318"/>
      <c r="AF1433" s="318"/>
      <c r="AG1433" s="318"/>
      <c r="AH1433" s="318"/>
      <c r="AI1433" s="318"/>
      <c r="AJ1433" s="318"/>
      <c r="AK1433" s="318"/>
      <c r="AL1433" s="318"/>
      <c r="AM1433" s="318"/>
      <c r="AN1433" s="318"/>
      <c r="AO1433" s="318"/>
      <c r="AP1433" s="318"/>
      <c r="AQ1433" s="318"/>
      <c r="AR1433" s="318"/>
      <c r="AS1433" s="318">
        <v>11000</v>
      </c>
      <c r="AT1433" s="318">
        <v>10725</v>
      </c>
      <c r="AU1433" s="318">
        <v>10461</v>
      </c>
      <c r="AV1433" s="318">
        <f ca="1">IF(_xlfn.XLOOKUP(A1433,TabCalc[Ticker],ListExtra_n)&gt;0,             _xlfn.XLOOKUP(A1433,TabCalc[Ticker],ListExtra_n)*_xlfn.XLOOKUP(A1433,TabTRADER[ClickTick],TabTRADER[M])*_xlfn.XLOOKUP(A1433,TabCalc[Ticker],ListScale),               "")</f>
        <v>10461</v>
      </c>
      <c r="AX1433" s="88" t="str">
        <f t="shared" ca="1" si="113"/>
        <v>POET</v>
      </c>
    </row>
    <row r="1434" spans="1:50" hidden="1" x14ac:dyDescent="0.3">
      <c r="A1434" s="88" t="str">
        <f t="shared" ca="1" si="112"/>
        <v>PW</v>
      </c>
      <c r="F1434" s="251">
        <v>1.5992999999999999</v>
      </c>
      <c r="G1434" s="251">
        <v>1.6046</v>
      </c>
      <c r="H1434" s="251">
        <v>1.5988</v>
      </c>
      <c r="I1434" s="251">
        <v>1.6113999999999999</v>
      </c>
      <c r="J1434" s="251">
        <v>1.6113999999999999</v>
      </c>
      <c r="K1434" s="251">
        <v>1.6025</v>
      </c>
      <c r="L1434" s="251">
        <v>1.6032999999999999</v>
      </c>
      <c r="M1434" s="251">
        <v>1.6032999999999999</v>
      </c>
      <c r="N1434" s="251">
        <v>1.6032999999999999</v>
      </c>
      <c r="O1434" s="251">
        <v>1.6032999999999999</v>
      </c>
      <c r="P1434" s="251">
        <v>1.6061000000000001</v>
      </c>
      <c r="Q1434" s="251">
        <v>1.5698000000000001</v>
      </c>
      <c r="R1434" s="251">
        <v>1.5488</v>
      </c>
      <c r="S1434" s="251">
        <v>1.5353000000000001</v>
      </c>
      <c r="T1434" s="251">
        <v>1.5404</v>
      </c>
      <c r="U1434" s="251">
        <v>1.5295000000000001</v>
      </c>
      <c r="V1434" s="251">
        <v>1.5435000000000001</v>
      </c>
      <c r="W1434" s="251">
        <v>1.5623</v>
      </c>
      <c r="X1434" s="251">
        <v>1.5356000000000001</v>
      </c>
      <c r="Y1434" s="251">
        <v>1.5496000000000001</v>
      </c>
      <c r="Z1434" s="245">
        <f ca="1">[1]ExtEntry!$R39</f>
        <v>1.5496000000000001</v>
      </c>
      <c r="AB1434" s="318">
        <v>6101.2000000000007</v>
      </c>
      <c r="AC1434" s="318">
        <v>6300</v>
      </c>
      <c r="AD1434" s="318">
        <v>6299.3</v>
      </c>
      <c r="AE1434" s="318">
        <v>5742.8</v>
      </c>
      <c r="AF1434" s="318">
        <v>5467.7</v>
      </c>
      <c r="AG1434" s="318">
        <v>5348.7</v>
      </c>
      <c r="AH1434" s="318">
        <v>4966.5</v>
      </c>
      <c r="AI1434" s="318">
        <v>4966.5</v>
      </c>
      <c r="AJ1434" s="318">
        <v>4795</v>
      </c>
      <c r="AK1434" s="318">
        <v>5274.5</v>
      </c>
      <c r="AL1434" s="318">
        <v>5698</v>
      </c>
      <c r="AM1434" s="318">
        <v>5285.7</v>
      </c>
      <c r="AN1434" s="318">
        <v>4896.5</v>
      </c>
      <c r="AO1434" s="318">
        <v>4980.5</v>
      </c>
      <c r="AP1434" s="318">
        <v>5215</v>
      </c>
      <c r="AQ1434" s="318">
        <v>5107.9000000000005</v>
      </c>
      <c r="AR1434" s="318">
        <v>4620</v>
      </c>
      <c r="AS1434" s="318">
        <v>4951.8</v>
      </c>
      <c r="AT1434" s="318">
        <v>4479.3</v>
      </c>
      <c r="AU1434" s="318">
        <v>4500.3</v>
      </c>
      <c r="AV1434" s="318">
        <f ca="1">IF(_xlfn.XLOOKUP(A1434,TabCalc[Ticker],ListExtra_n)&gt;0,             _xlfn.XLOOKUP(A1434,TabCalc[Ticker],ListExtra_n)*_xlfn.XLOOKUP(A1434,TabTRADER[ClickTick],TabTRADER[M])*_xlfn.XLOOKUP(A1434,TabCalc[Ticker],ListScale),               "")</f>
        <v>4500.3</v>
      </c>
      <c r="AX1434" s="88" t="str">
        <f t="shared" ca="1" si="113"/>
        <v>PW</v>
      </c>
    </row>
    <row r="1435" spans="1:50" hidden="1" x14ac:dyDescent="0.3">
      <c r="A1435" s="88" t="str">
        <f t="shared" ca="1" si="112"/>
        <v>RIGL</v>
      </c>
      <c r="F1435" s="251">
        <v>1.2232000000000001</v>
      </c>
      <c r="G1435" s="251">
        <v>1.2205999999999999</v>
      </c>
      <c r="H1435" s="251">
        <v>1.2163999999999999</v>
      </c>
      <c r="I1435" s="251">
        <v>1.2173</v>
      </c>
      <c r="J1435" s="251">
        <v>1.2173</v>
      </c>
      <c r="K1435" s="251">
        <v>1.2125999999999999</v>
      </c>
      <c r="L1435" s="251">
        <v>1.2112000000000001</v>
      </c>
      <c r="M1435" s="251">
        <v>1.2112000000000001</v>
      </c>
      <c r="N1435" s="251">
        <v>1.2112000000000001</v>
      </c>
      <c r="O1435" s="251">
        <v>1.2112000000000001</v>
      </c>
      <c r="P1435" s="251">
        <v>1.2103999999999999</v>
      </c>
      <c r="Q1435" s="251">
        <v>1.2118</v>
      </c>
      <c r="R1435" s="251">
        <v>1.2103999999999999</v>
      </c>
      <c r="S1435" s="251">
        <v>1.1645000000000001</v>
      </c>
      <c r="T1435" s="251">
        <v>1.181</v>
      </c>
      <c r="U1435" s="251">
        <v>1.1305000000000001</v>
      </c>
      <c r="V1435" s="251">
        <v>1.1234999999999999</v>
      </c>
      <c r="W1435" s="251">
        <v>1.0994999999999999</v>
      </c>
      <c r="X1435" s="251">
        <v>1.0785</v>
      </c>
      <c r="Y1435" s="251">
        <v>1.0119</v>
      </c>
      <c r="Z1435" s="245">
        <f ca="1">[1]ExtEntry!$R40</f>
        <v>1.0119</v>
      </c>
      <c r="AB1435" s="318">
        <v>35594</v>
      </c>
      <c r="AC1435" s="318">
        <v>36504</v>
      </c>
      <c r="AD1435" s="318">
        <v>36543</v>
      </c>
      <c r="AE1435" s="318">
        <v>36322</v>
      </c>
      <c r="AF1435" s="318">
        <v>38298</v>
      </c>
      <c r="AG1435" s="318"/>
      <c r="AH1435" s="318"/>
      <c r="AI1435" s="318"/>
      <c r="AJ1435" s="318"/>
      <c r="AK1435" s="318"/>
      <c r="AL1435" s="318"/>
      <c r="AM1435" s="318"/>
      <c r="AN1435" s="318"/>
      <c r="AO1435" s="318">
        <v>8499</v>
      </c>
      <c r="AP1435" s="318"/>
      <c r="AQ1435" s="318"/>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0.51570000000000005</v>
      </c>
      <c r="G1436" s="251">
        <v>0.51870000000000005</v>
      </c>
      <c r="H1436" s="251">
        <v>0.51549999999999996</v>
      </c>
      <c r="I1436" s="251">
        <v>0.51639999999999997</v>
      </c>
      <c r="J1436" s="251">
        <v>0.51639999999999997</v>
      </c>
      <c r="K1436" s="251">
        <v>0.50360000000000005</v>
      </c>
      <c r="L1436" s="251">
        <v>0.51600000000000001</v>
      </c>
      <c r="M1436" s="251">
        <v>0.51600000000000001</v>
      </c>
      <c r="N1436" s="251">
        <v>0.51759999999999995</v>
      </c>
      <c r="O1436" s="251">
        <v>0.51759999999999995</v>
      </c>
      <c r="P1436" s="251">
        <v>0.51729999999999998</v>
      </c>
      <c r="Q1436" s="251">
        <v>0.51539999999999997</v>
      </c>
      <c r="R1436" s="251">
        <v>0.51759999999999995</v>
      </c>
      <c r="S1436" s="251">
        <v>0.48</v>
      </c>
      <c r="T1436" s="251">
        <v>0.48039999999999999</v>
      </c>
      <c r="U1436" s="251">
        <v>0.4803</v>
      </c>
      <c r="V1436" s="251">
        <v>0.47949999999999998</v>
      </c>
      <c r="W1436" s="251">
        <v>0.48420000000000002</v>
      </c>
      <c r="X1436" s="251">
        <v>0.4703</v>
      </c>
      <c r="Y1436" s="251">
        <v>0.46560000000000001</v>
      </c>
      <c r="Z1436" s="245">
        <f ca="1">[1]ExtEntry!$R41</f>
        <v>0.46560000000000001</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0.99119999999999997</v>
      </c>
      <c r="G1437" s="251">
        <v>0.9909</v>
      </c>
      <c r="H1437" s="251">
        <v>0.99129999999999996</v>
      </c>
      <c r="I1437" s="251">
        <v>0.99099999999999999</v>
      </c>
      <c r="J1437" s="251">
        <v>0.99099999999999999</v>
      </c>
      <c r="K1437" s="251">
        <v>0.98560000000000003</v>
      </c>
      <c r="L1437" s="251">
        <v>0.9919</v>
      </c>
      <c r="M1437" s="251">
        <v>0.9919</v>
      </c>
      <c r="N1437" s="251">
        <v>0.99260000000000004</v>
      </c>
      <c r="O1437" s="251">
        <v>0.99260000000000004</v>
      </c>
      <c r="P1437" s="251">
        <v>0.9919</v>
      </c>
      <c r="Q1437" s="251">
        <v>0.99139999999999995</v>
      </c>
      <c r="R1437" s="251">
        <v>0.99019999999999997</v>
      </c>
      <c r="S1437" s="251">
        <v>1.0462</v>
      </c>
      <c r="T1437" s="251">
        <v>1.0464</v>
      </c>
      <c r="U1437" s="251">
        <v>1.0449999999999999</v>
      </c>
      <c r="V1437" s="251">
        <v>1.0488</v>
      </c>
      <c r="W1437" s="251">
        <v>1.0428999999999999</v>
      </c>
      <c r="X1437" s="251">
        <v>1.0570999999999999</v>
      </c>
      <c r="Y1437" s="251">
        <v>1.0648</v>
      </c>
      <c r="Z1437" s="245">
        <f ca="1">[1]ExtEntry!$R42</f>
        <v>1.0648</v>
      </c>
      <c r="AB1437" s="318">
        <v>535210</v>
      </c>
      <c r="AC1437" s="318">
        <v>538660</v>
      </c>
      <c r="AD1437" s="318">
        <v>536360</v>
      </c>
      <c r="AE1437" s="318">
        <v>531185</v>
      </c>
      <c r="AF1437" s="318">
        <v>548780</v>
      </c>
      <c r="AG1437" s="318">
        <v>552920</v>
      </c>
      <c r="AH1437" s="318">
        <v>544755</v>
      </c>
      <c r="AI1437" s="318">
        <v>544755</v>
      </c>
      <c r="AJ1437" s="318">
        <v>556600</v>
      </c>
      <c r="AK1437" s="318">
        <v>536705</v>
      </c>
      <c r="AL1437" s="318">
        <v>541765</v>
      </c>
      <c r="AM1437" s="318">
        <v>538430</v>
      </c>
      <c r="AN1437" s="318">
        <v>519455</v>
      </c>
      <c r="AO1437" s="318">
        <v>519915</v>
      </c>
      <c r="AP1437" s="318">
        <v>524285</v>
      </c>
      <c r="AQ1437" s="318">
        <v>501285</v>
      </c>
      <c r="AR1437" s="318">
        <v>495995</v>
      </c>
      <c r="AS1437" s="318">
        <v>485530</v>
      </c>
      <c r="AT1437" s="318">
        <v>472305</v>
      </c>
      <c r="AU1437" s="318">
        <v>472650</v>
      </c>
      <c r="AV1437" s="318">
        <f ca="1">IF(_xlfn.XLOOKUP(A1437,TabCalc[Ticker],ListExtra_n)&gt;0,             _xlfn.XLOOKUP(A1437,TabCalc[Ticker],ListExtra_n)*_xlfn.XLOOKUP(A1437,TabTRADER[ClickTick],TabTRADER[M])*_xlfn.XLOOKUP(A1437,TabCalc[Ticker],ListScale),               "")</f>
        <v>472650</v>
      </c>
      <c r="AX1437" s="88" t="str">
        <f t="shared" ca="1" si="113"/>
        <v>SAP</v>
      </c>
    </row>
    <row r="1438" spans="1:50" hidden="1" x14ac:dyDescent="0.3">
      <c r="A1438" s="88" t="str">
        <f t="shared" ca="1" si="112"/>
        <v>SHECY</v>
      </c>
      <c r="F1438" s="251">
        <v>1.5268999999999999</v>
      </c>
      <c r="G1438" s="251">
        <v>1.5172000000000001</v>
      </c>
      <c r="H1438" s="251">
        <v>1.5262</v>
      </c>
      <c r="I1438" s="251">
        <v>1.5257000000000001</v>
      </c>
      <c r="J1438" s="251">
        <v>1.5257000000000001</v>
      </c>
      <c r="K1438" s="251">
        <v>1.5258</v>
      </c>
      <c r="L1438" s="251">
        <v>1.5137</v>
      </c>
      <c r="M1438" s="251">
        <v>1.5137</v>
      </c>
      <c r="N1438" s="251">
        <v>1.5149999999999999</v>
      </c>
      <c r="O1438" s="251">
        <v>1.5089999999999999</v>
      </c>
      <c r="P1438" s="251">
        <v>1.5089999999999999</v>
      </c>
      <c r="Q1438" s="251">
        <v>1.448</v>
      </c>
      <c r="R1438" s="251">
        <v>1.4729000000000001</v>
      </c>
      <c r="S1438" s="251">
        <v>1.4318</v>
      </c>
      <c r="T1438" s="251">
        <v>1.2863</v>
      </c>
      <c r="U1438" s="251">
        <v>1.2843</v>
      </c>
      <c r="V1438" s="251">
        <v>1.2955000000000001</v>
      </c>
      <c r="W1438" s="251">
        <v>1.2892999999999999</v>
      </c>
      <c r="X1438" s="251">
        <v>1.2907999999999999</v>
      </c>
      <c r="Y1438" s="251">
        <v>1.29</v>
      </c>
      <c r="Z1438" s="245">
        <f ca="1">[1]ExtEntry!$R43</f>
        <v>1.29</v>
      </c>
      <c r="AB1438" s="318">
        <v>173985</v>
      </c>
      <c r="AC1438" s="318">
        <v>171240.73339999997</v>
      </c>
      <c r="AD1438" s="318">
        <v>162328.6</v>
      </c>
      <c r="AE1438" s="318">
        <v>162822</v>
      </c>
      <c r="AF1438" s="318">
        <v>161243.12</v>
      </c>
      <c r="AG1438" s="318">
        <v>160552.35999999999</v>
      </c>
      <c r="AH1438" s="318">
        <v>158282.72</v>
      </c>
      <c r="AI1438" s="318">
        <v>158282.72</v>
      </c>
      <c r="AJ1438" s="318">
        <v>159368.19999999998</v>
      </c>
      <c r="AK1438" s="318">
        <v>154631.56</v>
      </c>
      <c r="AL1438" s="318">
        <v>151671.16</v>
      </c>
      <c r="AM1438" s="318">
        <v>152164.56</v>
      </c>
      <c r="AN1438" s="318">
        <v>186750</v>
      </c>
      <c r="AO1438" s="318">
        <v>186750</v>
      </c>
      <c r="AP1438" s="318">
        <v>186250</v>
      </c>
      <c r="AQ1438" s="318">
        <v>181250</v>
      </c>
      <c r="AR1438" s="318">
        <v>183625</v>
      </c>
      <c r="AS1438" s="318">
        <v>187375</v>
      </c>
      <c r="AT1438" s="318">
        <v>179125</v>
      </c>
      <c r="AU1438" s="318">
        <v>177681.25</v>
      </c>
      <c r="AV1438" s="318">
        <f ca="1">IF(_xlfn.XLOOKUP(A1438,TabCalc[Ticker],ListExtra_n)&gt;0,             _xlfn.XLOOKUP(A1438,TabCalc[Ticker],ListExtra_n)*_xlfn.XLOOKUP(A1438,TabTRADER[ClickTick],TabTRADER[M])*_xlfn.XLOOKUP(A1438,TabCalc[Ticker],ListScale),               "")</f>
        <v>177681.25</v>
      </c>
      <c r="AX1438" s="88" t="str">
        <f t="shared" ca="1" si="113"/>
        <v>SHECY</v>
      </c>
    </row>
    <row r="1439" spans="1:50" hidden="1" x14ac:dyDescent="0.3">
      <c r="A1439" s="88" t="str">
        <f t="shared" ca="1" si="112"/>
        <v>SSYS</v>
      </c>
      <c r="F1439" s="251">
        <v>1.6181000000000001</v>
      </c>
      <c r="G1439" s="251">
        <v>1.6180000000000001</v>
      </c>
      <c r="H1439" s="251">
        <v>1.6106</v>
      </c>
      <c r="I1439" s="251">
        <v>1.6175999999999999</v>
      </c>
      <c r="J1439" s="251">
        <v>1.6175999999999999</v>
      </c>
      <c r="K1439" s="251">
        <v>1.6105</v>
      </c>
      <c r="L1439" s="251">
        <v>1.611</v>
      </c>
      <c r="M1439" s="251">
        <v>1.611</v>
      </c>
      <c r="N1439" s="251">
        <v>1.611</v>
      </c>
      <c r="O1439" s="251">
        <v>1.611</v>
      </c>
      <c r="P1439" s="251">
        <v>1.6156999999999999</v>
      </c>
      <c r="Q1439" s="251">
        <v>1.6188</v>
      </c>
      <c r="R1439" s="251">
        <v>1.6088</v>
      </c>
      <c r="S1439" s="251">
        <v>1.4621</v>
      </c>
      <c r="T1439" s="251">
        <v>1.4714</v>
      </c>
      <c r="U1439" s="251">
        <v>1.4711000000000001</v>
      </c>
      <c r="V1439" s="251">
        <v>1.4815</v>
      </c>
      <c r="W1439" s="251">
        <v>1.4836</v>
      </c>
      <c r="X1439" s="251">
        <v>1.5017</v>
      </c>
      <c r="Y1439" s="251">
        <v>1.5111000000000001</v>
      </c>
      <c r="Z1439" s="245">
        <f ca="1">[1]ExtEntry!$R44</f>
        <v>1.5111000000000001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2.0733999999999999</v>
      </c>
      <c r="G1440" s="251">
        <v>2.0754999999999999</v>
      </c>
      <c r="H1440" s="251">
        <v>2.0739000000000001</v>
      </c>
      <c r="I1440" s="251">
        <v>2.0724999999999998</v>
      </c>
      <c r="J1440" s="251">
        <v>2.0724999999999998</v>
      </c>
      <c r="K1440" s="251">
        <v>2.0714999999999999</v>
      </c>
      <c r="L1440" s="251">
        <v>2.0720000000000001</v>
      </c>
      <c r="M1440" s="251">
        <v>2.0720000000000001</v>
      </c>
      <c r="N1440" s="251">
        <v>2.0720000000000001</v>
      </c>
      <c r="O1440" s="251">
        <v>2.0720000000000001</v>
      </c>
      <c r="P1440" s="251">
        <v>2.0724</v>
      </c>
      <c r="Q1440" s="251">
        <v>2.0646</v>
      </c>
      <c r="R1440" s="251">
        <v>2.0657999999999999</v>
      </c>
      <c r="S1440" s="251">
        <v>1.87</v>
      </c>
      <c r="T1440" s="251">
        <v>1.8744000000000001</v>
      </c>
      <c r="U1440" s="251">
        <v>1.8687</v>
      </c>
      <c r="V1440" s="251">
        <v>1.8709</v>
      </c>
      <c r="W1440" s="251">
        <v>1.8945000000000001</v>
      </c>
      <c r="X1440" s="251">
        <v>1.8911</v>
      </c>
      <c r="Y1440" s="251">
        <v>1.8974</v>
      </c>
      <c r="Z1440" s="245">
        <f ca="1">[1]ExtEntry!$R45</f>
        <v>1.8974</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1.2985</v>
      </c>
      <c r="G1441" s="251">
        <v>1.3010999999999999</v>
      </c>
      <c r="H1441" s="251">
        <v>1.2997000000000001</v>
      </c>
      <c r="I1441" s="251">
        <v>1.3035000000000001</v>
      </c>
      <c r="J1441" s="251">
        <v>1.3035000000000001</v>
      </c>
      <c r="K1441" s="251">
        <v>1.3083</v>
      </c>
      <c r="L1441" s="251">
        <v>1.3088</v>
      </c>
      <c r="M1441" s="251">
        <v>1.3088</v>
      </c>
      <c r="N1441" s="251">
        <v>1.3088</v>
      </c>
      <c r="O1441" s="251">
        <v>1.3088</v>
      </c>
      <c r="P1441" s="251">
        <v>1.3099000000000001</v>
      </c>
      <c r="Q1441" s="251">
        <v>1.3134999999999999</v>
      </c>
      <c r="R1441" s="251">
        <v>1.3168</v>
      </c>
      <c r="S1441" s="251">
        <v>1.3075000000000001</v>
      </c>
      <c r="T1441" s="251">
        <v>1.3110999999999999</v>
      </c>
      <c r="U1441" s="251">
        <v>1.3115000000000001</v>
      </c>
      <c r="V1441" s="251">
        <v>1.3138000000000001</v>
      </c>
      <c r="W1441" s="251">
        <v>1.3194999999999999</v>
      </c>
      <c r="X1441" s="251">
        <v>1.3197000000000001</v>
      </c>
      <c r="Y1441" s="251">
        <v>1.3241000000000001</v>
      </c>
      <c r="Z1441" s="245">
        <f ca="1">[1]ExtEntry!$R46</f>
        <v>1.3241000000000001</v>
      </c>
      <c r="AB1441" s="318">
        <v>739937.5</v>
      </c>
      <c r="AC1441" s="318">
        <v>762662.5</v>
      </c>
      <c r="AD1441" s="318">
        <v>749925.00000000012</v>
      </c>
      <c r="AE1441" s="318">
        <v>590160</v>
      </c>
      <c r="AF1441" s="318">
        <v>595588</v>
      </c>
      <c r="AG1441" s="318">
        <v>589040</v>
      </c>
      <c r="AH1441" s="318">
        <v>808919.99999999988</v>
      </c>
      <c r="AI1441" s="318">
        <v>808919.99999999988</v>
      </c>
      <c r="AJ1441" s="318">
        <v>814072</v>
      </c>
      <c r="AK1441" s="318">
        <v>826000</v>
      </c>
      <c r="AL1441" s="318">
        <v>835072</v>
      </c>
      <c r="AM1441" s="318">
        <v>844256</v>
      </c>
      <c r="AN1441" s="318">
        <v>849240</v>
      </c>
      <c r="AO1441" s="318">
        <v>826126</v>
      </c>
      <c r="AP1441" s="318">
        <v>823060</v>
      </c>
      <c r="AQ1441" s="318">
        <v>723575</v>
      </c>
      <c r="AR1441" s="318">
        <v>714625</v>
      </c>
      <c r="AS1441" s="318">
        <v>712175</v>
      </c>
      <c r="AT1441" s="318">
        <v>695025</v>
      </c>
      <c r="AU1441" s="318">
        <v>698725</v>
      </c>
      <c r="AV1441" s="318">
        <f ca="1">IF(_xlfn.XLOOKUP(A1441,TabCalc[Ticker],ListExtra_n)&gt;0,             _xlfn.XLOOKUP(A1441,TabCalc[Ticker],ListExtra_n)*_xlfn.XLOOKUP(A1441,TabTRADER[ClickTick],TabTRADER[M])*_xlfn.XLOOKUP(A1441,TabCalc[Ticker],ListScale),               "")</f>
        <v>698725</v>
      </c>
      <c r="AX1441" s="88" t="str">
        <f t="shared" ca="1" si="113"/>
        <v>TSM</v>
      </c>
    </row>
    <row r="1442" spans="1:50" hidden="1" x14ac:dyDescent="0.3">
      <c r="A1442" s="88" t="str">
        <f t="shared" ca="1" si="112"/>
        <v>UN0</v>
      </c>
      <c r="F1442" s="251">
        <v>1.0705</v>
      </c>
      <c r="G1442" s="251">
        <v>1.0669</v>
      </c>
      <c r="H1442" s="251">
        <v>1.0704</v>
      </c>
      <c r="I1442" s="251">
        <v>1.0698000000000001</v>
      </c>
      <c r="J1442" s="251">
        <v>1.0698000000000001</v>
      </c>
      <c r="K1442" s="251">
        <v>1.0736000000000001</v>
      </c>
      <c r="L1442" s="251">
        <v>1.0701000000000001</v>
      </c>
      <c r="M1442" s="251">
        <v>1.0701000000000001</v>
      </c>
      <c r="N1442" s="251">
        <v>1.0701000000000001</v>
      </c>
      <c r="O1442" s="251">
        <v>1.0701000000000001</v>
      </c>
      <c r="P1442" s="251">
        <v>1.0680000000000001</v>
      </c>
      <c r="Q1442" s="251">
        <v>1.07</v>
      </c>
      <c r="R1442" s="251">
        <v>1.0687</v>
      </c>
      <c r="S1442" s="251">
        <v>1.0952</v>
      </c>
      <c r="T1442" s="251">
        <v>1.0946</v>
      </c>
      <c r="U1442" s="251">
        <v>1.0945</v>
      </c>
      <c r="V1442" s="251">
        <v>1.0959000000000001</v>
      </c>
      <c r="W1442" s="251">
        <v>1.0938000000000001</v>
      </c>
      <c r="X1442" s="251">
        <v>1.0875999999999999</v>
      </c>
      <c r="Y1442" s="251">
        <v>1.0843</v>
      </c>
      <c r="Z1442" s="245">
        <f ca="1">[1]ExtEntry!$R47</f>
        <v>1.0843</v>
      </c>
      <c r="AB1442" s="318">
        <v>72565</v>
      </c>
      <c r="AC1442" s="318">
        <v>72680</v>
      </c>
      <c r="AD1442" s="318">
        <v>73025</v>
      </c>
      <c r="AE1442" s="318">
        <v>72565</v>
      </c>
      <c r="AF1442" s="318">
        <v>75900</v>
      </c>
      <c r="AG1442" s="318">
        <v>72910</v>
      </c>
      <c r="AH1442" s="318">
        <v>73140</v>
      </c>
      <c r="AI1442" s="318">
        <v>73140</v>
      </c>
      <c r="AJ1442" s="318">
        <v>71185</v>
      </c>
      <c r="AK1442" s="318">
        <v>69345</v>
      </c>
      <c r="AL1442" s="318">
        <v>70955</v>
      </c>
      <c r="AM1442" s="318">
        <v>69575</v>
      </c>
      <c r="AN1442" s="318">
        <v>69115</v>
      </c>
      <c r="AO1442" s="318">
        <v>68080</v>
      </c>
      <c r="AP1442" s="318">
        <v>67850</v>
      </c>
      <c r="AQ1442" s="318">
        <v>64285</v>
      </c>
      <c r="AR1442" s="318">
        <v>65550</v>
      </c>
      <c r="AS1442" s="318">
        <v>65780</v>
      </c>
      <c r="AT1442" s="318">
        <v>67965</v>
      </c>
      <c r="AU1442" s="318">
        <v>69575</v>
      </c>
      <c r="AV1442" s="318">
        <f ca="1">IF(_xlfn.XLOOKUP(A1442,TabCalc[Ticker],ListExtra_n)&gt;0,             _xlfn.XLOOKUP(A1442,TabCalc[Ticker],ListExtra_n)*_xlfn.XLOOKUP(A1442,TabTRADER[ClickTick],TabTRADER[M])*_xlfn.XLOOKUP(A1442,TabCalc[Ticker],ListScale),               "")</f>
        <v>69575</v>
      </c>
      <c r="AX1442" s="88" t="str">
        <f t="shared" ca="1" si="113"/>
        <v>UN0</v>
      </c>
    </row>
    <row r="1443" spans="1:50" hidden="1" x14ac:dyDescent="0.3">
      <c r="A1443" s="88" t="str">
        <f t="shared" ca="1" si="112"/>
        <v>UNIT</v>
      </c>
      <c r="F1443" s="251">
        <v>1.5479000000000001</v>
      </c>
      <c r="G1443" s="251">
        <v>1.5508</v>
      </c>
      <c r="H1443" s="251">
        <v>1.5410999999999999</v>
      </c>
      <c r="I1443" s="251">
        <v>1.5427999999999999</v>
      </c>
      <c r="J1443" s="251">
        <v>1.5427999999999999</v>
      </c>
      <c r="K1443" s="251">
        <v>1.5399</v>
      </c>
      <c r="L1443" s="251">
        <v>1.5399</v>
      </c>
      <c r="M1443" s="251">
        <v>1.5399</v>
      </c>
      <c r="N1443" s="251">
        <v>1.5399</v>
      </c>
      <c r="O1443" s="251">
        <v>1.5399</v>
      </c>
      <c r="P1443" s="251">
        <v>1.5403</v>
      </c>
      <c r="Q1443" s="251">
        <v>1.5357000000000001</v>
      </c>
      <c r="R1443" s="251">
        <v>1.5266</v>
      </c>
      <c r="S1443" s="251">
        <v>1.5023</v>
      </c>
      <c r="T1443" s="251">
        <v>1.4944999999999999</v>
      </c>
      <c r="U1443" s="251">
        <v>1.4869000000000001</v>
      </c>
      <c r="V1443" s="251">
        <v>1.4749000000000001</v>
      </c>
      <c r="W1443" s="251">
        <v>1.4879</v>
      </c>
      <c r="X1443" s="251">
        <v>1.4767999999999999</v>
      </c>
      <c r="Y1443" s="251">
        <v>1.4695</v>
      </c>
      <c r="Z1443" s="245">
        <f ca="1">[1]ExtEntry!$R48</f>
        <v>1.4695</v>
      </c>
      <c r="AB1443" s="318">
        <v>86226.32</v>
      </c>
      <c r="AC1443" s="318">
        <v>90408.94</v>
      </c>
      <c r="AD1443" s="318">
        <v>90248.07</v>
      </c>
      <c r="AE1443" s="318">
        <v>90891.55</v>
      </c>
      <c r="AF1443" s="318">
        <v>29315.999999999996</v>
      </c>
      <c r="AG1443" s="318">
        <v>29315.999999999996</v>
      </c>
      <c r="AH1443" s="318">
        <v>29054.25</v>
      </c>
      <c r="AI1443" s="318">
        <v>29054.25</v>
      </c>
      <c r="AJ1443" s="318">
        <v>30363</v>
      </c>
      <c r="AK1443" s="318">
        <v>31410</v>
      </c>
      <c r="AL1443" s="318">
        <v>32561.699999999997</v>
      </c>
      <c r="AM1443" s="318">
        <v>31619.4</v>
      </c>
      <c r="AN1443" s="318">
        <v>30415.35</v>
      </c>
      <c r="AO1443" s="318">
        <v>32169.074999999997</v>
      </c>
      <c r="AP1443" s="318">
        <v>33504</v>
      </c>
      <c r="AQ1443" s="318">
        <v>32640.225000000002</v>
      </c>
      <c r="AR1443" s="318">
        <v>34367.775000000001</v>
      </c>
      <c r="AS1443" s="318">
        <v>32875.800000000003</v>
      </c>
      <c r="AT1443" s="318">
        <v>32195.250000000004</v>
      </c>
      <c r="AU1443" s="318">
        <v>30965.025000000001</v>
      </c>
      <c r="AV1443" s="318">
        <f ca="1">IF(_xlfn.XLOOKUP(A1443,TabCalc[Ticker],ListExtra_n)&gt;0,             _xlfn.XLOOKUP(A1443,TabCalc[Ticker],ListExtra_n)*_xlfn.XLOOKUP(A1443,TabTRADER[ClickTick],TabTRADER[M])*_xlfn.XLOOKUP(A1443,TabCalc[Ticker],ListScale),               "")</f>
        <v>30965.025000000001</v>
      </c>
      <c r="AX1443" s="88" t="str">
        <f t="shared" ca="1" si="113"/>
        <v>UNIT</v>
      </c>
    </row>
    <row r="1444" spans="1:50" hidden="1" x14ac:dyDescent="0.3">
      <c r="A1444" s="88" t="str">
        <f t="shared" ca="1" si="112"/>
        <v>VLVLY</v>
      </c>
      <c r="F1444" s="251">
        <v>0.92749999999999999</v>
      </c>
      <c r="G1444" s="251">
        <v>0.9264</v>
      </c>
      <c r="H1444" s="251">
        <v>0.9264</v>
      </c>
      <c r="I1444" s="251">
        <v>0.91520000000000001</v>
      </c>
      <c r="J1444" s="251">
        <v>0.91520000000000001</v>
      </c>
      <c r="K1444" s="251">
        <v>0.92649999999999999</v>
      </c>
      <c r="L1444" s="251">
        <v>0.92090000000000005</v>
      </c>
      <c r="M1444" s="251">
        <v>0.92090000000000005</v>
      </c>
      <c r="N1444" s="251">
        <v>0.92090000000000005</v>
      </c>
      <c r="O1444" s="251">
        <v>0.9163</v>
      </c>
      <c r="P1444" s="251">
        <v>0.91510000000000002</v>
      </c>
      <c r="Q1444" s="251">
        <v>0.90620000000000001</v>
      </c>
      <c r="R1444" s="251">
        <v>0.9083</v>
      </c>
      <c r="S1444" s="251">
        <v>0.89810000000000001</v>
      </c>
      <c r="T1444" s="251">
        <v>0.8992</v>
      </c>
      <c r="U1444" s="251">
        <v>0.89610000000000001</v>
      </c>
      <c r="V1444" s="251">
        <v>0.89739999999999998</v>
      </c>
      <c r="W1444" s="251">
        <v>0.8982</v>
      </c>
      <c r="X1444" s="251">
        <v>0.89639999999999997</v>
      </c>
      <c r="Y1444" s="251">
        <v>0.89629999999999999</v>
      </c>
      <c r="Z1444" s="245">
        <f ca="1">[1]ExtEntry!$R49</f>
        <v>0.89629999999999999</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1.0185999999999999</v>
      </c>
      <c r="G1445" s="251">
        <v>1.0196000000000001</v>
      </c>
      <c r="H1445" s="251">
        <v>1.0192000000000001</v>
      </c>
      <c r="I1445" s="251">
        <v>0.9899</v>
      </c>
      <c r="J1445" s="251">
        <v>0.9899</v>
      </c>
      <c r="K1445" s="251">
        <v>0.99680000000000002</v>
      </c>
      <c r="L1445" s="251">
        <v>0.99439999999999995</v>
      </c>
      <c r="M1445" s="251">
        <v>0.99439999999999995</v>
      </c>
      <c r="N1445" s="251">
        <v>0.99439999999999995</v>
      </c>
      <c r="O1445" s="251">
        <v>0.99439999999999995</v>
      </c>
      <c r="P1445" s="251">
        <v>1.0084</v>
      </c>
      <c r="Q1445" s="251">
        <v>1.0186999999999999</v>
      </c>
      <c r="R1445" s="251">
        <v>1.0222</v>
      </c>
      <c r="S1445" s="251">
        <v>0.84560000000000002</v>
      </c>
      <c r="T1445" s="251">
        <v>0.84670000000000001</v>
      </c>
      <c r="U1445" s="251">
        <v>0.84440000000000004</v>
      </c>
      <c r="V1445" s="251">
        <v>0.84019999999999995</v>
      </c>
      <c r="W1445" s="251">
        <v>0.81679999999999997</v>
      </c>
      <c r="X1445" s="251">
        <v>0.82520000000000004</v>
      </c>
      <c r="Y1445" s="251">
        <v>0.82389999999999997</v>
      </c>
      <c r="Z1445" s="245">
        <f ca="1">[1]ExtEntry!$R50</f>
        <v>0.82389999999999997</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0.89359999999999995</v>
      </c>
      <c r="G1446" s="251">
        <v>0.8921</v>
      </c>
      <c r="H1446" s="251">
        <v>0.89259999999999995</v>
      </c>
      <c r="I1446" s="251">
        <v>0.88970000000000005</v>
      </c>
      <c r="J1446" s="251">
        <v>0.88970000000000005</v>
      </c>
      <c r="K1446" s="251">
        <v>0.89319999999999999</v>
      </c>
      <c r="L1446" s="251">
        <v>0.89280000000000004</v>
      </c>
      <c r="M1446" s="251">
        <v>0.89280000000000004</v>
      </c>
      <c r="N1446" s="251">
        <v>0.89280000000000004</v>
      </c>
      <c r="O1446" s="251">
        <v>0.89280000000000004</v>
      </c>
      <c r="P1446" s="251">
        <v>0.89270000000000005</v>
      </c>
      <c r="Q1446" s="251">
        <v>0.90059999999999996</v>
      </c>
      <c r="R1446" s="251">
        <v>0.89900000000000002</v>
      </c>
      <c r="S1446" s="251">
        <v>0.83399999999999996</v>
      </c>
      <c r="T1446" s="251">
        <v>0.83</v>
      </c>
      <c r="U1446" s="251">
        <v>0.82750000000000001</v>
      </c>
      <c r="V1446" s="251">
        <v>0.83550000000000002</v>
      </c>
      <c r="W1446" s="251">
        <v>0.81810000000000005</v>
      </c>
      <c r="X1446" s="251">
        <v>0.82340000000000002</v>
      </c>
      <c r="Y1446" s="251">
        <v>0.81520000000000004</v>
      </c>
      <c r="Z1446" s="245">
        <f ca="1">[1]ExtEntry!$R51</f>
        <v>0.81520000000000004</v>
      </c>
      <c r="AB1446" s="318">
        <v>49650</v>
      </c>
      <c r="AC1446" s="318">
        <v>49875</v>
      </c>
      <c r="AD1446" s="318"/>
      <c r="AE1446" s="318"/>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0.46899999999999997</v>
      </c>
      <c r="G1448" s="251">
        <v>0.46910000000000002</v>
      </c>
      <c r="H1448" s="251">
        <v>0.46949999999999997</v>
      </c>
      <c r="I1448" s="251">
        <v>0.46889999999999998</v>
      </c>
      <c r="J1448" s="251">
        <v>0.46889999999999998</v>
      </c>
      <c r="K1448" s="251">
        <v>0.46710000000000002</v>
      </c>
      <c r="L1448" s="251">
        <v>0.46710000000000002</v>
      </c>
      <c r="M1448" s="251">
        <v>0.46710000000000002</v>
      </c>
      <c r="N1448" s="251">
        <v>0.46710000000000002</v>
      </c>
      <c r="O1448" s="251">
        <v>0.46710000000000002</v>
      </c>
      <c r="P1448" s="251">
        <v>0.4662</v>
      </c>
      <c r="Q1448" s="251">
        <v>0.4657</v>
      </c>
      <c r="R1448" s="251">
        <v>0.46610000000000001</v>
      </c>
      <c r="S1448" s="251">
        <v>0.38080000000000003</v>
      </c>
      <c r="T1448" s="251">
        <v>0.38169999999999998</v>
      </c>
      <c r="U1448" s="251">
        <v>0.3821</v>
      </c>
      <c r="V1448" s="251">
        <v>0.38119999999999998</v>
      </c>
      <c r="W1448" s="251">
        <v>0.37240000000000001</v>
      </c>
      <c r="X1448" s="251">
        <v>0.37459999999999999</v>
      </c>
      <c r="Y1448" s="251">
        <v>0.36840000000000001</v>
      </c>
      <c r="Z1448" s="245">
        <f ca="1">[1]ExtEntry!$R53</f>
        <v>0.36840000000000001</v>
      </c>
      <c r="AB1448" s="318">
        <v>33693</v>
      </c>
      <c r="AC1448" s="318">
        <v>33532.5</v>
      </c>
      <c r="AD1448" s="318">
        <v>33192</v>
      </c>
      <c r="AE1448" s="318">
        <v>33672</v>
      </c>
      <c r="AF1448" s="318">
        <v>33811.5</v>
      </c>
      <c r="AG1448" s="318">
        <v>33810</v>
      </c>
      <c r="AH1448" s="318">
        <v>34419</v>
      </c>
      <c r="AI1448" s="318">
        <v>34419</v>
      </c>
      <c r="AJ1448" s="318">
        <v>34785</v>
      </c>
      <c r="AK1448" s="318">
        <v>34620</v>
      </c>
      <c r="AL1448" s="318">
        <v>34788</v>
      </c>
      <c r="AM1448" s="318">
        <v>34512</v>
      </c>
      <c r="AN1448" s="318">
        <v>34407</v>
      </c>
      <c r="AO1448" s="318">
        <v>34228.5</v>
      </c>
      <c r="AP1448" s="318">
        <v>34113</v>
      </c>
      <c r="AQ1448" s="318">
        <v>34467</v>
      </c>
      <c r="AR1448" s="318">
        <v>35217</v>
      </c>
      <c r="AS1448" s="318">
        <v>35784</v>
      </c>
      <c r="AT1448" s="318">
        <v>35709</v>
      </c>
      <c r="AU1448" s="318">
        <v>35274</v>
      </c>
      <c r="AV1448" s="318">
        <f ca="1">IF(_xlfn.XLOOKUP(A1448,TabCalc[Ticker],ListExtra_n)&gt;0,             _xlfn.XLOOKUP(A1448,TabCalc[Ticker],ListExtra_n)*_xlfn.XLOOKUP(A1448,TabTRADER[ClickTick],TabTRADER[M])*_xlfn.XLOOKUP(A1448,TabCalc[Ticker],ListScale),               "")</f>
        <v>35274</v>
      </c>
      <c r="AX1448" s="88" t="str">
        <f t="shared" ca="1" si="113"/>
        <v>XOM</v>
      </c>
    </row>
    <row r="1449" spans="1:50" hidden="1" x14ac:dyDescent="0.3">
      <c r="A1449" s="88" t="str">
        <f t="shared" ca="1" si="112"/>
        <v>XPER</v>
      </c>
      <c r="F1449" s="251">
        <v>1.1379999999999999</v>
      </c>
      <c r="G1449" s="251">
        <v>1.1379999999999999</v>
      </c>
      <c r="H1449" s="251">
        <v>1.1379999999999999</v>
      </c>
      <c r="I1449" s="251">
        <v>1.1579999999999999</v>
      </c>
      <c r="J1449" s="251">
        <v>1.1579999999999999</v>
      </c>
      <c r="K1449" s="251">
        <v>1.1579999999999999</v>
      </c>
      <c r="L1449" s="251">
        <v>1.1579999999999999</v>
      </c>
      <c r="M1449" s="251">
        <v>1.1579999999999999</v>
      </c>
      <c r="N1449" s="251">
        <v>1.1579999999999999</v>
      </c>
      <c r="O1449" s="251">
        <v>1.1459999999999999</v>
      </c>
      <c r="P1449" s="251">
        <v>1.1459999999999999</v>
      </c>
      <c r="Q1449" s="251">
        <v>1.1459999999999999</v>
      </c>
      <c r="R1449" s="251">
        <v>1.1459999999999999</v>
      </c>
      <c r="S1449" s="251">
        <v>1.1930000000000001</v>
      </c>
      <c r="T1449" s="251">
        <v>1.1930000000000001</v>
      </c>
      <c r="U1449" s="251">
        <v>1.1930000000000001</v>
      </c>
      <c r="V1449" s="251">
        <v>1.135</v>
      </c>
      <c r="W1449" s="251">
        <v>1.1910000000000001</v>
      </c>
      <c r="X1449" s="251">
        <v>1.1910000000000001</v>
      </c>
      <c r="Y1449" s="251">
        <v>1.1910000000000001</v>
      </c>
      <c r="Z1449" s="245">
        <f ca="1">[1]ExtEntry!$R54</f>
        <v>1.1910000000000001</v>
      </c>
      <c r="AB1449" s="318">
        <v>61732</v>
      </c>
      <c r="AC1449" s="318">
        <v>62284.920000000006</v>
      </c>
      <c r="AD1449" s="318">
        <v>61824</v>
      </c>
      <c r="AE1449" s="318">
        <v>60812</v>
      </c>
      <c r="AF1449" s="318">
        <v>61916.000000000007</v>
      </c>
      <c r="AG1449" s="318">
        <v>62376</v>
      </c>
      <c r="AH1449" s="318">
        <v>60352</v>
      </c>
      <c r="AI1449" s="318">
        <v>60260</v>
      </c>
      <c r="AJ1449" s="318">
        <v>60812</v>
      </c>
      <c r="AK1449" s="318">
        <v>61548</v>
      </c>
      <c r="AL1449" s="318">
        <v>61088</v>
      </c>
      <c r="AM1449" s="318">
        <v>62008</v>
      </c>
      <c r="AN1449" s="318">
        <v>60628</v>
      </c>
      <c r="AO1449" s="318">
        <v>58650</v>
      </c>
      <c r="AP1449" s="318">
        <v>62008</v>
      </c>
      <c r="AQ1449" s="318">
        <v>63388</v>
      </c>
      <c r="AR1449" s="318">
        <v>60706.2</v>
      </c>
      <c r="AS1449" s="318">
        <v>56948</v>
      </c>
      <c r="AT1449" s="318">
        <v>53544</v>
      </c>
      <c r="AU1449" s="318">
        <v>52348</v>
      </c>
      <c r="AV1449" s="318">
        <f ca="1">IF(_xlfn.XLOOKUP(A1449,TabCalc[Ticker],ListExtra_n)&gt;0,             _xlfn.XLOOKUP(A1449,TabCalc[Ticker],ListExtra_n)*_xlfn.XLOOKUP(A1449,TabTRADER[ClickTick],TabTRADER[M])*_xlfn.XLOOKUP(A1449,TabCalc[Ticker],ListScale),               "")</f>
        <v>52348</v>
      </c>
      <c r="AX1449" s="88" t="str">
        <f t="shared" ca="1" si="113"/>
        <v>XPER</v>
      </c>
    </row>
    <row r="1450" spans="1:50" hidden="1" x14ac:dyDescent="0.3">
      <c r="A1450" s="88" t="str">
        <f t="shared" ca="1" si="112"/>
        <v>MVEALDNE</v>
      </c>
      <c r="F1450" s="251">
        <v>1.0415000000000001</v>
      </c>
      <c r="G1450" s="251">
        <v>1.0416000000000001</v>
      </c>
      <c r="H1450" s="251">
        <v>1.0415000000000001</v>
      </c>
      <c r="I1450" s="251">
        <v>1.0349999999999999</v>
      </c>
      <c r="J1450" s="251">
        <v>1.0349999999999999</v>
      </c>
      <c r="K1450" s="251">
        <v>1.0337000000000001</v>
      </c>
      <c r="L1450" s="251">
        <v>1.0339</v>
      </c>
      <c r="M1450" s="251">
        <v>1.0339</v>
      </c>
      <c r="N1450" s="251">
        <v>1.0339</v>
      </c>
      <c r="O1450" s="251">
        <v>1.0339</v>
      </c>
      <c r="P1450" s="251">
        <v>1.0333000000000001</v>
      </c>
      <c r="Q1450" s="251">
        <v>1.0294000000000001</v>
      </c>
      <c r="R1450" s="251">
        <v>1.0219</v>
      </c>
      <c r="S1450" s="251">
        <v>0.96289999999999998</v>
      </c>
      <c r="T1450" s="251">
        <v>0.95879999999999999</v>
      </c>
      <c r="U1450" s="251">
        <v>0.95520000000000005</v>
      </c>
      <c r="V1450" s="251">
        <v>0.95709999999999995</v>
      </c>
      <c r="W1450" s="251">
        <v>0.95879999999999999</v>
      </c>
      <c r="X1450" s="251">
        <v>0.96430000000000005</v>
      </c>
      <c r="Y1450" s="251">
        <v>0.97</v>
      </c>
      <c r="Z1450" s="245">
        <f ca="1">[1]ExtEntry!$R55</f>
        <v>0.97</v>
      </c>
      <c r="AB1450" s="318">
        <v>92373.959999999992</v>
      </c>
      <c r="AC1450" s="318">
        <v>92154.021999999997</v>
      </c>
      <c r="AD1450" s="318">
        <v>91274.26999999999</v>
      </c>
      <c r="AE1450" s="318">
        <v>91274.26999999999</v>
      </c>
      <c r="AF1450" s="318">
        <v>90174.58</v>
      </c>
      <c r="AG1450" s="318">
        <v>91274.26999999999</v>
      </c>
      <c r="AH1450" s="318">
        <v>92373.959999999992</v>
      </c>
      <c r="AI1450" s="318">
        <v>92373.959999999992</v>
      </c>
      <c r="AJ1450" s="318">
        <v>92154.021999999997</v>
      </c>
      <c r="AK1450" s="318">
        <v>90834.394</v>
      </c>
      <c r="AL1450" s="318">
        <v>89954.641999999993</v>
      </c>
      <c r="AM1450" s="318">
        <v>90174.58</v>
      </c>
      <c r="AN1450" s="318">
        <v>89074.89</v>
      </c>
      <c r="AO1450" s="318">
        <v>86655.572</v>
      </c>
      <c r="AP1450" s="318">
        <v>86875.510000000009</v>
      </c>
      <c r="AQ1450" s="318">
        <v>85995.758000000002</v>
      </c>
      <c r="AR1450" s="318">
        <v>85775.82</v>
      </c>
      <c r="AS1450" s="318">
        <v>73239.354000000007</v>
      </c>
      <c r="AT1450" s="318">
        <v>73679.23000000001</v>
      </c>
      <c r="AU1450" s="318">
        <v>75658.671999999991</v>
      </c>
      <c r="AV1450" s="318">
        <f ca="1">IF(_xlfn.XLOOKUP(A1450,TabCalc[Ticker],ListExtra_n)&gt;0,             _xlfn.XLOOKUP(A1450,TabCalc[Ticker],ListExtra_n)*_xlfn.XLOOKUP(A1450,TabTRADER[ClickTick],TabTRADER[M])*_xlfn.XLOOKUP(A1450,TabCalc[Ticker],ListScale),               "")</f>
        <v>75658.671999999991</v>
      </c>
      <c r="AX1450" s="88" t="str">
        <f t="shared" ca="1" si="113"/>
        <v>MVEALDNE</v>
      </c>
    </row>
    <row r="1451" spans="1:50" hidden="1" x14ac:dyDescent="0.3">
      <c r="A1451" s="88" t="str">
        <f t="shared" ca="1" si="112"/>
        <v>MVEDDD</v>
      </c>
      <c r="F1451" s="251">
        <v>2.1745000000000001</v>
      </c>
      <c r="G1451" s="251">
        <v>2.1745999999999999</v>
      </c>
      <c r="H1451" s="251">
        <v>2.1697000000000002</v>
      </c>
      <c r="I1451" s="251">
        <v>2.1758000000000002</v>
      </c>
      <c r="J1451" s="251">
        <v>2.1758000000000002</v>
      </c>
      <c r="K1451" s="251">
        <v>2.1718000000000002</v>
      </c>
      <c r="L1451" s="251">
        <v>2.1789000000000001</v>
      </c>
      <c r="M1451" s="251">
        <v>2.1789000000000001</v>
      </c>
      <c r="N1451" s="251">
        <v>2.1789000000000001</v>
      </c>
      <c r="O1451" s="251">
        <v>2.1789000000000001</v>
      </c>
      <c r="P1451" s="251">
        <v>2.1852999999999998</v>
      </c>
      <c r="Q1451" s="251">
        <v>2.1855000000000002</v>
      </c>
      <c r="R1451" s="251">
        <v>2.1827999999999999</v>
      </c>
      <c r="S1451" s="251">
        <v>1.8685</v>
      </c>
      <c r="T1451" s="251">
        <v>1.8775999999999999</v>
      </c>
      <c r="U1451" s="251">
        <v>1.8776999999999999</v>
      </c>
      <c r="V1451" s="251">
        <v>1.9112</v>
      </c>
      <c r="W1451" s="251">
        <v>1.9157999999999999</v>
      </c>
      <c r="X1451" s="251">
        <v>1.9231</v>
      </c>
      <c r="Y1451" s="251">
        <v>1.9366000000000001</v>
      </c>
      <c r="Z1451" s="245">
        <f ca="1">[1]ExtEntry!$R56</f>
        <v>1.9366000000000001</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0.67330000000000001</v>
      </c>
      <c r="G1452" s="251">
        <v>0.67420000000000002</v>
      </c>
      <c r="H1452" s="251">
        <v>0.67320000000000002</v>
      </c>
      <c r="I1452" s="251">
        <v>0.67569999999999997</v>
      </c>
      <c r="J1452" s="251">
        <v>0.67569999999999997</v>
      </c>
      <c r="K1452" s="251">
        <v>0.67879999999999996</v>
      </c>
      <c r="L1452" s="251">
        <v>0.68259999999999998</v>
      </c>
      <c r="M1452" s="251">
        <v>0.68259999999999998</v>
      </c>
      <c r="N1452" s="251">
        <v>0.68330000000000002</v>
      </c>
      <c r="O1452" s="251">
        <v>0.68330000000000002</v>
      </c>
      <c r="P1452" s="251">
        <v>0.68200000000000005</v>
      </c>
      <c r="Q1452" s="251">
        <v>0.64359999999999995</v>
      </c>
      <c r="R1452" s="251">
        <v>0.63800000000000001</v>
      </c>
      <c r="S1452" s="251">
        <v>0.78769999999999996</v>
      </c>
      <c r="T1452" s="251">
        <v>0.78910000000000002</v>
      </c>
      <c r="U1452" s="251">
        <v>0.78969999999999996</v>
      </c>
      <c r="V1452" s="251">
        <v>0.79359999999999997</v>
      </c>
      <c r="W1452" s="251">
        <v>0.78610000000000002</v>
      </c>
      <c r="X1452" s="251">
        <v>0.7883</v>
      </c>
      <c r="Y1452" s="251">
        <v>0.79759999999999998</v>
      </c>
      <c r="Z1452" s="245">
        <f ca="1">[1]ExtEntry!$R57</f>
        <v>0.79759999999999998</v>
      </c>
      <c r="AB1452" s="318">
        <v>283500</v>
      </c>
      <c r="AC1452" s="318">
        <v>288800</v>
      </c>
      <c r="AD1452" s="318">
        <v>293800</v>
      </c>
      <c r="AE1452" s="318">
        <v>293300</v>
      </c>
      <c r="AF1452" s="318">
        <v>297800</v>
      </c>
      <c r="AG1452" s="318">
        <v>302700</v>
      </c>
      <c r="AH1452" s="318">
        <v>301200</v>
      </c>
      <c r="AI1452" s="318">
        <v>301200</v>
      </c>
      <c r="AJ1452" s="318">
        <v>262100</v>
      </c>
      <c r="AK1452" s="318">
        <v>256900</v>
      </c>
      <c r="AL1452" s="318">
        <v>254100</v>
      </c>
      <c r="AM1452" s="318">
        <v>249700</v>
      </c>
      <c r="AN1452" s="318">
        <v>245500</v>
      </c>
      <c r="AO1452" s="318">
        <v>240400</v>
      </c>
      <c r="AP1452" s="318">
        <v>239800</v>
      </c>
      <c r="AQ1452" s="318">
        <v>232600.00000000003</v>
      </c>
      <c r="AR1452" s="318">
        <v>233400</v>
      </c>
      <c r="AS1452" s="318">
        <v>239899.99999999997</v>
      </c>
      <c r="AT1452" s="318">
        <v>231700.00000000003</v>
      </c>
      <c r="AU1452" s="318">
        <v>233800</v>
      </c>
      <c r="AV1452" s="318">
        <f ca="1">IF(_xlfn.XLOOKUP(A1452,TabCalc[Ticker],ListExtra_n)&gt;0,             _xlfn.XLOOKUP(A1452,TabCalc[Ticker],ListExtra_n)*_xlfn.XLOOKUP(A1452,TabTRADER[ClickTick],TabTRADER[M])*_xlfn.XLOOKUP(A1452,TabCalc[Ticker],ListScale),               "")</f>
        <v>233800</v>
      </c>
      <c r="AX1452" s="88" t="str">
        <f t="shared" ca="1" si="113"/>
        <v>MVEDSY</v>
      </c>
    </row>
    <row r="1453" spans="1:50" hidden="1" x14ac:dyDescent="0.3">
      <c r="A1453" s="88" t="str">
        <f t="shared" ca="1" si="112"/>
        <v>MVEEOAN</v>
      </c>
      <c r="F1453" s="251">
        <v>0.72060000000000002</v>
      </c>
      <c r="G1453" s="251">
        <v>0.72050000000000003</v>
      </c>
      <c r="H1453" s="251">
        <v>0.72060000000000002</v>
      </c>
      <c r="I1453" s="251">
        <v>0.72060000000000002</v>
      </c>
      <c r="J1453" s="251">
        <v>0.72060000000000002</v>
      </c>
      <c r="K1453" s="251">
        <v>0.71760000000000002</v>
      </c>
      <c r="L1453" s="251">
        <v>0.72070000000000001</v>
      </c>
      <c r="M1453" s="251">
        <v>0.72070000000000001</v>
      </c>
      <c r="N1453" s="251">
        <v>0.72070000000000001</v>
      </c>
      <c r="O1453" s="251">
        <v>0.72070000000000001</v>
      </c>
      <c r="P1453" s="251">
        <v>0.72009999999999996</v>
      </c>
      <c r="Q1453" s="251">
        <v>0.72040000000000004</v>
      </c>
      <c r="R1453" s="251">
        <v>0.72060000000000002</v>
      </c>
      <c r="S1453" s="251">
        <v>0.85270000000000001</v>
      </c>
      <c r="T1453" s="251">
        <v>0.85360000000000003</v>
      </c>
      <c r="U1453" s="251">
        <v>0.85350000000000004</v>
      </c>
      <c r="V1453" s="251">
        <v>0.85299999999999998</v>
      </c>
      <c r="W1453" s="251">
        <v>0.84770000000000001</v>
      </c>
      <c r="X1453" s="251">
        <v>0.8599</v>
      </c>
      <c r="Y1453" s="251">
        <v>0.86180000000000001</v>
      </c>
      <c r="Z1453" s="245">
        <f ca="1">[1]ExtEntry!$R58</f>
        <v>0.86180000000000001</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1.0807</v>
      </c>
      <c r="G1454" s="251">
        <v>1.0831999999999999</v>
      </c>
      <c r="H1454" s="251">
        <v>1.0819000000000001</v>
      </c>
      <c r="I1454" s="251">
        <v>1.079</v>
      </c>
      <c r="J1454" s="251">
        <v>1.079</v>
      </c>
      <c r="K1454" s="251">
        <v>1.0827</v>
      </c>
      <c r="L1454" s="251">
        <v>1.0833999999999999</v>
      </c>
      <c r="M1454" s="251">
        <v>1.0833999999999999</v>
      </c>
      <c r="N1454" s="251">
        <v>1.0833999999999999</v>
      </c>
      <c r="O1454" s="251">
        <v>1.0833999999999999</v>
      </c>
      <c r="P1454" s="251">
        <v>1.0790999999999999</v>
      </c>
      <c r="Q1454" s="251">
        <v>1.0793999999999999</v>
      </c>
      <c r="R1454" s="251">
        <v>1.0823</v>
      </c>
      <c r="S1454" s="251">
        <v>0.83030000000000004</v>
      </c>
      <c r="T1454" s="251">
        <v>0.83050000000000002</v>
      </c>
      <c r="U1454" s="251">
        <v>0.83030000000000004</v>
      </c>
      <c r="V1454" s="251">
        <v>0.82989999999999997</v>
      </c>
      <c r="W1454" s="251">
        <v>0.82989999999999997</v>
      </c>
      <c r="X1454" s="251">
        <v>0.82989999999999997</v>
      </c>
      <c r="Y1454" s="251">
        <v>0.82489999999999997</v>
      </c>
      <c r="Z1454" s="245">
        <f ca="1">[1]ExtEntry!$R59</f>
        <v>0.82489999999999997</v>
      </c>
      <c r="AB1454" s="318">
        <v>382200</v>
      </c>
      <c r="AC1454" s="318">
        <v>382772</v>
      </c>
      <c r="AD1454" s="318">
        <v>383916</v>
      </c>
      <c r="AE1454" s="318">
        <v>385944</v>
      </c>
      <c r="AF1454" s="318">
        <v>386776</v>
      </c>
      <c r="AG1454" s="318">
        <v>387400</v>
      </c>
      <c r="AH1454" s="318">
        <v>393276</v>
      </c>
      <c r="AI1454" s="318">
        <v>393276</v>
      </c>
      <c r="AJ1454" s="318">
        <v>405236</v>
      </c>
      <c r="AK1454" s="318">
        <v>411736</v>
      </c>
      <c r="AL1454" s="318">
        <v>414492</v>
      </c>
      <c r="AM1454" s="318">
        <v>413036</v>
      </c>
      <c r="AN1454" s="318">
        <v>413920</v>
      </c>
      <c r="AO1454" s="318">
        <v>413660</v>
      </c>
      <c r="AP1454" s="318">
        <v>415168</v>
      </c>
      <c r="AQ1454" s="318">
        <v>414648</v>
      </c>
      <c r="AR1454" s="318">
        <v>414232</v>
      </c>
      <c r="AS1454" s="318">
        <v>428324</v>
      </c>
      <c r="AT1454" s="318">
        <v>425360</v>
      </c>
      <c r="AU1454" s="318">
        <v>421668</v>
      </c>
      <c r="AV1454" s="318">
        <f ca="1">IF(_xlfn.XLOOKUP(A1454,TabCalc[Ticker],ListExtra_n)&gt;0,             _xlfn.XLOOKUP(A1454,TabCalc[Ticker],ListExtra_n)*_xlfn.XLOOKUP(A1454,TabTRADER[ClickTick],TabTRADER[M])*_xlfn.XLOOKUP(A1454,TabCalc[Ticker],ListScale),               "")</f>
        <v>421668</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1.6016999999999999</v>
      </c>
      <c r="G1456" s="251">
        <v>1.5999000000000001</v>
      </c>
      <c r="H1456" s="251">
        <v>1.5998000000000001</v>
      </c>
      <c r="I1456" s="251">
        <v>1.5733999999999999</v>
      </c>
      <c r="J1456" s="251">
        <v>1.5733999999999999</v>
      </c>
      <c r="K1456" s="251">
        <v>1.5734999999999999</v>
      </c>
      <c r="L1456" s="251">
        <v>1.5686</v>
      </c>
      <c r="M1456" s="251">
        <v>1.5686</v>
      </c>
      <c r="N1456" s="251">
        <v>1.5591999999999999</v>
      </c>
      <c r="O1456" s="251">
        <v>1.5591999999999999</v>
      </c>
      <c r="P1456" s="251">
        <v>1.5581</v>
      </c>
      <c r="Q1456" s="251">
        <v>1.5671999999999999</v>
      </c>
      <c r="R1456" s="251">
        <v>1.5741000000000001</v>
      </c>
      <c r="S1456" s="251">
        <v>1.3874</v>
      </c>
      <c r="T1456" s="251">
        <v>1.389</v>
      </c>
      <c r="U1456" s="251">
        <v>1.3888</v>
      </c>
      <c r="V1456" s="251">
        <v>1.3861000000000001</v>
      </c>
      <c r="W1456" s="251">
        <v>1.3906000000000001</v>
      </c>
      <c r="X1456" s="251">
        <v>1.3869</v>
      </c>
      <c r="Y1456" s="251">
        <v>1.3862000000000001</v>
      </c>
      <c r="Z1456" s="245">
        <f ca="1">[1]ExtEntry!$R61</f>
        <v>1.3862000000000001</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0.31</v>
      </c>
      <c r="G1457" s="251">
        <v>0.30909999999999999</v>
      </c>
      <c r="H1457" s="251">
        <v>0.30769999999999997</v>
      </c>
      <c r="I1457" s="251">
        <v>0.31259999999999999</v>
      </c>
      <c r="J1457" s="251">
        <v>0.31259999999999999</v>
      </c>
      <c r="K1457" s="251">
        <v>0.31</v>
      </c>
      <c r="L1457" s="251">
        <v>0.3095</v>
      </c>
      <c r="M1457" s="251">
        <v>0.3095</v>
      </c>
      <c r="N1457" s="251">
        <v>0.30930000000000002</v>
      </c>
      <c r="O1457" s="251">
        <v>0.30930000000000002</v>
      </c>
      <c r="P1457" s="251">
        <v>0.30830000000000002</v>
      </c>
      <c r="Q1457" s="251">
        <v>0.3049</v>
      </c>
      <c r="R1457" s="251">
        <v>0.3029</v>
      </c>
      <c r="S1457" s="251">
        <v>0.2389</v>
      </c>
      <c r="T1457" s="251">
        <v>0.24</v>
      </c>
      <c r="U1457" s="251">
        <v>0.24049999999999999</v>
      </c>
      <c r="V1457" s="251">
        <v>0.2382</v>
      </c>
      <c r="W1457" s="251">
        <v>0.24099999999999999</v>
      </c>
      <c r="X1457" s="251">
        <v>0.2387</v>
      </c>
      <c r="Y1457" s="251">
        <v>0.23849999999999999</v>
      </c>
      <c r="Z1457" s="245">
        <f ca="1">[1]ExtEntry!$R62</f>
        <v>0.23849999999999999</v>
      </c>
      <c r="AB1457" s="318">
        <v>169625</v>
      </c>
      <c r="AC1457" s="318">
        <v>175187.5</v>
      </c>
      <c r="AD1457" s="318">
        <v>176062.5</v>
      </c>
      <c r="AE1457" s="318">
        <v>179187.5</v>
      </c>
      <c r="AF1457" s="318">
        <v>177000</v>
      </c>
      <c r="AG1457" s="318">
        <v>176562.5</v>
      </c>
      <c r="AH1457" s="318">
        <v>175875</v>
      </c>
      <c r="AI1457" s="318">
        <v>175875</v>
      </c>
      <c r="AJ1457" s="318">
        <v>176875</v>
      </c>
      <c r="AK1457" s="318">
        <v>174000</v>
      </c>
      <c r="AL1457" s="318">
        <v>173125</v>
      </c>
      <c r="AM1457" s="318">
        <v>173625</v>
      </c>
      <c r="AN1457" s="318">
        <v>173187.5</v>
      </c>
      <c r="AO1457" s="318">
        <v>171437.5</v>
      </c>
      <c r="AP1457" s="318">
        <v>171437.5</v>
      </c>
      <c r="AQ1457" s="318">
        <v>174250</v>
      </c>
      <c r="AR1457" s="318">
        <v>177062.5</v>
      </c>
      <c r="AS1457" s="318">
        <v>175250</v>
      </c>
      <c r="AT1457" s="318">
        <v>171125</v>
      </c>
      <c r="AU1457" s="318">
        <v>172250</v>
      </c>
      <c r="AV1457" s="318">
        <f ca="1">IF(_xlfn.XLOOKUP(A1457,TabCalc[Ticker],ListExtra_n)&gt;0,             _xlfn.XLOOKUP(A1457,TabCalc[Ticker],ListExtra_n)*_xlfn.XLOOKUP(A1457,TabTRADER[ClickTick],TabTRADER[M])*_xlfn.XLOOKUP(A1457,TabCalc[Ticker],ListScale),               "")</f>
        <v>172250</v>
      </c>
      <c r="AX1457" s="88" t="str">
        <f t="shared" ca="1" si="113"/>
        <v>MVEORA</v>
      </c>
    </row>
    <row r="1458" spans="1:50" hidden="1" x14ac:dyDescent="0.3">
      <c r="A1458" s="88" t="str">
        <f t="shared" ref="A1458:A1491" ca="1" si="114">A1359</f>
        <v>MVERWE</v>
      </c>
      <c r="F1458" s="251">
        <v>0.51570000000000005</v>
      </c>
      <c r="G1458" s="251">
        <v>0.51870000000000005</v>
      </c>
      <c r="H1458" s="251">
        <v>0.51549999999999996</v>
      </c>
      <c r="I1458" s="251">
        <v>0.51639999999999997</v>
      </c>
      <c r="J1458" s="251">
        <v>0.51639999999999997</v>
      </c>
      <c r="K1458" s="251">
        <v>0.50360000000000005</v>
      </c>
      <c r="L1458" s="251">
        <v>0.51600000000000001</v>
      </c>
      <c r="M1458" s="251">
        <v>0.51600000000000001</v>
      </c>
      <c r="N1458" s="251">
        <v>0.51759999999999995</v>
      </c>
      <c r="O1458" s="251">
        <v>0.51759999999999995</v>
      </c>
      <c r="P1458" s="251">
        <v>0.51729999999999998</v>
      </c>
      <c r="Q1458" s="251">
        <v>0.51539999999999997</v>
      </c>
      <c r="R1458" s="251">
        <v>0.51759999999999995</v>
      </c>
      <c r="S1458" s="251">
        <v>0.48</v>
      </c>
      <c r="T1458" s="251">
        <v>0.48039999999999999</v>
      </c>
      <c r="U1458" s="251">
        <v>0.4803</v>
      </c>
      <c r="V1458" s="251">
        <v>0.47949999999999998</v>
      </c>
      <c r="W1458" s="251">
        <v>0.48420000000000002</v>
      </c>
      <c r="X1458" s="251">
        <v>0.4703</v>
      </c>
      <c r="Y1458" s="251">
        <v>0.46560000000000001</v>
      </c>
      <c r="Z1458" s="245">
        <f ca="1">[1]ExtEntry!$R63</f>
        <v>0.46560000000000001</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0.99119999999999997</v>
      </c>
      <c r="G1459" s="251">
        <v>0.9909</v>
      </c>
      <c r="H1459" s="251">
        <v>0.99129999999999996</v>
      </c>
      <c r="I1459" s="251">
        <v>0.99099999999999999</v>
      </c>
      <c r="J1459" s="251">
        <v>0.99099999999999999</v>
      </c>
      <c r="K1459" s="251">
        <v>0.98560000000000003</v>
      </c>
      <c r="L1459" s="251">
        <v>0.9919</v>
      </c>
      <c r="M1459" s="251">
        <v>0.9919</v>
      </c>
      <c r="N1459" s="251">
        <v>0.99260000000000004</v>
      </c>
      <c r="O1459" s="251">
        <v>0.99260000000000004</v>
      </c>
      <c r="P1459" s="251">
        <v>0.9919</v>
      </c>
      <c r="Q1459" s="251">
        <v>0.99139999999999995</v>
      </c>
      <c r="R1459" s="251">
        <v>0.99019999999999997</v>
      </c>
      <c r="S1459" s="251">
        <v>1.0462</v>
      </c>
      <c r="T1459" s="251">
        <v>1.0464</v>
      </c>
      <c r="U1459" s="251">
        <v>1.0449999999999999</v>
      </c>
      <c r="V1459" s="251">
        <v>1.0488</v>
      </c>
      <c r="W1459" s="251">
        <v>1.0428999999999999</v>
      </c>
      <c r="X1459" s="251">
        <v>1.0570999999999999</v>
      </c>
      <c r="Y1459" s="251">
        <v>1.0648</v>
      </c>
      <c r="Z1459" s="245">
        <f ca="1">[1]ExtEntry!$R64</f>
        <v>1.0648</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1.0705</v>
      </c>
      <c r="G1460" s="251">
        <v>1.0669</v>
      </c>
      <c r="H1460" s="251">
        <v>1.0704</v>
      </c>
      <c r="I1460" s="251">
        <v>1.0698000000000001</v>
      </c>
      <c r="J1460" s="251">
        <v>1.0698000000000001</v>
      </c>
      <c r="K1460" s="251">
        <v>1.0736000000000001</v>
      </c>
      <c r="L1460" s="251">
        <v>1.0701000000000001</v>
      </c>
      <c r="M1460" s="251">
        <v>1.0701000000000001</v>
      </c>
      <c r="N1460" s="251">
        <v>1.0701000000000001</v>
      </c>
      <c r="O1460" s="251">
        <v>1.0701000000000001</v>
      </c>
      <c r="P1460" s="251">
        <v>1.0680000000000001</v>
      </c>
      <c r="Q1460" s="251">
        <v>1.07</v>
      </c>
      <c r="R1460" s="251">
        <v>1.0687</v>
      </c>
      <c r="S1460" s="251">
        <v>1.0952</v>
      </c>
      <c r="T1460" s="251">
        <v>1.0946</v>
      </c>
      <c r="U1460" s="251">
        <v>1.0945</v>
      </c>
      <c r="V1460" s="251">
        <v>1.0959000000000001</v>
      </c>
      <c r="W1460" s="251">
        <v>1.0938000000000001</v>
      </c>
      <c r="X1460" s="251">
        <v>1.0875999999999999</v>
      </c>
      <c r="Y1460" s="251">
        <v>1.0843</v>
      </c>
      <c r="Z1460" s="245">
        <f ca="1">[1]ExtEntry!$R65</f>
        <v>1.0843</v>
      </c>
      <c r="AB1460" s="318">
        <v>16248.25</v>
      </c>
      <c r="AC1460" s="318">
        <v>16274</v>
      </c>
      <c r="AD1460" s="318">
        <v>16351.25</v>
      </c>
      <c r="AE1460" s="318">
        <v>16248.25</v>
      </c>
      <c r="AF1460" s="318">
        <v>16995</v>
      </c>
      <c r="AG1460" s="318">
        <v>16325.5</v>
      </c>
      <c r="AH1460" s="318">
        <v>16377</v>
      </c>
      <c r="AI1460" s="318">
        <v>16377</v>
      </c>
      <c r="AJ1460" s="318">
        <v>15939.25</v>
      </c>
      <c r="AK1460" s="318">
        <v>15527.25</v>
      </c>
      <c r="AL1460" s="318">
        <v>15887.75</v>
      </c>
      <c r="AM1460" s="318">
        <v>15578.75</v>
      </c>
      <c r="AN1460" s="318">
        <v>15475.75</v>
      </c>
      <c r="AO1460" s="318">
        <v>15244</v>
      </c>
      <c r="AP1460" s="318">
        <v>15192.5</v>
      </c>
      <c r="AQ1460" s="318">
        <v>14394.25</v>
      </c>
      <c r="AR1460" s="318">
        <v>14677.5</v>
      </c>
      <c r="AS1460" s="318">
        <v>14729</v>
      </c>
      <c r="AT1460" s="318">
        <v>15218.25</v>
      </c>
      <c r="AU1460" s="318">
        <v>15578.75</v>
      </c>
      <c r="AV1460" s="318">
        <f ca="1">IF(_xlfn.XLOOKUP(A1460,TabCalc[Ticker],ListExtra_n)&gt;0,             _xlfn.XLOOKUP(A1460,TabCalc[Ticker],ListExtra_n)*_xlfn.XLOOKUP(A1460,TabTRADER[ClickTick],TabTRADER[M])*_xlfn.XLOOKUP(A1460,TabCalc[Ticker],ListScale),               "")</f>
        <v>15578.75</v>
      </c>
      <c r="AX1460" s="88" t="str">
        <f t="shared" ca="1" si="113"/>
        <v>MVEUN0</v>
      </c>
    </row>
    <row r="1461" spans="1:50" hidden="1" x14ac:dyDescent="0.3">
      <c r="A1461" s="88" t="str">
        <f t="shared" ca="1" si="114"/>
        <v>SAFAAPL</v>
      </c>
      <c r="F1461" s="251">
        <v>1.0873999999999999</v>
      </c>
      <c r="G1461" s="251">
        <v>1.0872999999999999</v>
      </c>
      <c r="H1461" s="251">
        <v>1.0864</v>
      </c>
      <c r="I1461" s="251">
        <v>1.0848</v>
      </c>
      <c r="J1461" s="251">
        <v>1.0848</v>
      </c>
      <c r="K1461" s="251">
        <v>1.0827</v>
      </c>
      <c r="L1461" s="251">
        <v>1.0826</v>
      </c>
      <c r="M1461" s="251">
        <v>1.0826</v>
      </c>
      <c r="N1461" s="251">
        <v>1.0826</v>
      </c>
      <c r="O1461" s="251">
        <v>1.0826</v>
      </c>
      <c r="P1461" s="251">
        <v>1.0834999999999999</v>
      </c>
      <c r="Q1461" s="251">
        <v>1.0864</v>
      </c>
      <c r="R1461" s="251">
        <v>1.087</v>
      </c>
      <c r="S1461" s="251">
        <v>1.1099000000000001</v>
      </c>
      <c r="T1461" s="251">
        <v>1.1076999999999999</v>
      </c>
      <c r="U1461" s="251">
        <v>1.1085</v>
      </c>
      <c r="V1461" s="251">
        <v>1.1053999999999999</v>
      </c>
      <c r="W1461" s="251">
        <v>1.1035999999999999</v>
      </c>
      <c r="X1461" s="251">
        <v>1.1082000000000001</v>
      </c>
      <c r="Y1461" s="251">
        <v>1.1049</v>
      </c>
      <c r="Z1461" s="245">
        <f ca="1">[1]ExtEntry!$R66</f>
        <v>1.1049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1.2814000000000001</v>
      </c>
      <c r="G1462" s="251">
        <v>1.2835000000000001</v>
      </c>
      <c r="H1462" s="251">
        <v>1.2847</v>
      </c>
      <c r="I1462" s="251">
        <v>1.2862</v>
      </c>
      <c r="J1462" s="251">
        <v>1.2862</v>
      </c>
      <c r="K1462" s="251">
        <v>1.2845</v>
      </c>
      <c r="L1462" s="251">
        <v>1.2831999999999999</v>
      </c>
      <c r="M1462" s="251">
        <v>1.2831999999999999</v>
      </c>
      <c r="N1462" s="251">
        <v>1.2831999999999999</v>
      </c>
      <c r="O1462" s="251">
        <v>1.2831999999999999</v>
      </c>
      <c r="P1462" s="251">
        <v>1.2842</v>
      </c>
      <c r="Q1462" s="251">
        <v>1.2842</v>
      </c>
      <c r="R1462" s="251">
        <v>1.286</v>
      </c>
      <c r="S1462" s="251">
        <v>1.3634999999999999</v>
      </c>
      <c r="T1462" s="251">
        <v>1.3596999999999999</v>
      </c>
      <c r="U1462" s="251">
        <v>1.3612</v>
      </c>
      <c r="V1462" s="251">
        <v>1.3611</v>
      </c>
      <c r="W1462" s="251">
        <v>1.3676999999999999</v>
      </c>
      <c r="X1462" s="251">
        <v>1.3721000000000001</v>
      </c>
      <c r="Y1462" s="251">
        <v>1.3831</v>
      </c>
      <c r="Z1462" s="245">
        <f ca="1">[1]ExtEntry!$R67</f>
        <v>1.3831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1.9578</v>
      </c>
      <c r="G1463" s="251">
        <v>1.9605999999999999</v>
      </c>
      <c r="H1463" s="251">
        <v>1.9593</v>
      </c>
      <c r="I1463" s="251">
        <v>1.962</v>
      </c>
      <c r="J1463" s="251">
        <v>1.962</v>
      </c>
      <c r="K1463" s="251">
        <v>1.9623999999999999</v>
      </c>
      <c r="L1463" s="251">
        <v>1.9639</v>
      </c>
      <c r="M1463" s="251">
        <v>1.9639</v>
      </c>
      <c r="N1463" s="251">
        <v>1.9639</v>
      </c>
      <c r="O1463" s="251">
        <v>1.9639</v>
      </c>
      <c r="P1463" s="251">
        <v>1.9605999999999999</v>
      </c>
      <c r="Q1463" s="251">
        <v>1.9659</v>
      </c>
      <c r="R1463" s="251">
        <v>1.97</v>
      </c>
      <c r="S1463" s="251">
        <v>2.1156000000000001</v>
      </c>
      <c r="T1463" s="251">
        <v>2.1158000000000001</v>
      </c>
      <c r="U1463" s="251">
        <v>2.1168999999999998</v>
      </c>
      <c r="V1463" s="251">
        <v>2.1183000000000001</v>
      </c>
      <c r="W1463" s="251">
        <v>2.1202999999999999</v>
      </c>
      <c r="X1463" s="251">
        <v>2.1173000000000002</v>
      </c>
      <c r="Y1463" s="251">
        <v>2.1166999999999998</v>
      </c>
      <c r="Z1463" s="245">
        <f ca="1">[1]ExtEntry!$R68</f>
        <v>2.1166999999999998</v>
      </c>
      <c r="AB1463" s="318">
        <v>76194</v>
      </c>
      <c r="AC1463" s="318">
        <v>78570</v>
      </c>
      <c r="AD1463" s="318">
        <v>78966</v>
      </c>
      <c r="AE1463" s="318">
        <v>78813</v>
      </c>
      <c r="AF1463" s="318">
        <v>80910</v>
      </c>
      <c r="AG1463" s="318">
        <v>80082</v>
      </c>
      <c r="AH1463" s="318">
        <v>78309</v>
      </c>
      <c r="AI1463" s="318">
        <v>78309</v>
      </c>
      <c r="AJ1463" s="318">
        <v>79893</v>
      </c>
      <c r="AK1463" s="318">
        <v>80496</v>
      </c>
      <c r="AL1463" s="318">
        <v>81729</v>
      </c>
      <c r="AM1463" s="318">
        <v>81666</v>
      </c>
      <c r="AN1463" s="318">
        <v>84375</v>
      </c>
      <c r="AO1463" s="318">
        <v>82620</v>
      </c>
      <c r="AP1463" s="318">
        <v>81594</v>
      </c>
      <c r="AQ1463" s="318">
        <v>80577</v>
      </c>
      <c r="AR1463" s="318">
        <v>78372</v>
      </c>
      <c r="AS1463" s="318">
        <v>78669</v>
      </c>
      <c r="AT1463" s="318">
        <v>77346</v>
      </c>
      <c r="AU1463" s="318">
        <v>79794</v>
      </c>
      <c r="AV1463" s="318">
        <f ca="1">IF(_xlfn.XLOOKUP(A1463,TabCalc[Ticker],ListExtra_n)&gt;0,             _xlfn.XLOOKUP(A1463,TabCalc[Ticker],ListExtra_n)*_xlfn.XLOOKUP(A1463,TabTRADER[ClickTick],TabTRADER[M])*_xlfn.XLOOKUP(A1463,TabCalc[Ticker],ListScale),               "")</f>
        <v>79794</v>
      </c>
      <c r="AX1463" s="88" t="str">
        <f t="shared" ca="1" si="113"/>
        <v>SAFASML</v>
      </c>
    </row>
    <row r="1464" spans="1:50" hidden="1" x14ac:dyDescent="0.3">
      <c r="A1464" s="88" t="str">
        <f t="shared" ca="1" si="114"/>
        <v>SAFDDD</v>
      </c>
      <c r="F1464" s="251">
        <v>2.1745000000000001</v>
      </c>
      <c r="G1464" s="251">
        <v>2.1745999999999999</v>
      </c>
      <c r="H1464" s="251">
        <v>2.1697000000000002</v>
      </c>
      <c r="I1464" s="251">
        <v>2.1758000000000002</v>
      </c>
      <c r="J1464" s="251">
        <v>2.1758000000000002</v>
      </c>
      <c r="K1464" s="251">
        <v>2.1718000000000002</v>
      </c>
      <c r="L1464" s="251">
        <v>2.1789000000000001</v>
      </c>
      <c r="M1464" s="251">
        <v>2.1789000000000001</v>
      </c>
      <c r="N1464" s="251">
        <v>2.1789000000000001</v>
      </c>
      <c r="O1464" s="251">
        <v>2.1789000000000001</v>
      </c>
      <c r="P1464" s="251">
        <v>2.1852999999999998</v>
      </c>
      <c r="Q1464" s="251">
        <v>2.1855000000000002</v>
      </c>
      <c r="R1464" s="251">
        <v>2.1827999999999999</v>
      </c>
      <c r="S1464" s="251">
        <v>1.8685</v>
      </c>
      <c r="T1464" s="251">
        <v>1.8775999999999999</v>
      </c>
      <c r="U1464" s="251">
        <v>1.8776999999999999</v>
      </c>
      <c r="V1464" s="251">
        <v>1.9112</v>
      </c>
      <c r="W1464" s="251">
        <v>1.9157999999999999</v>
      </c>
      <c r="X1464" s="251">
        <v>1.9231</v>
      </c>
      <c r="Y1464" s="251">
        <v>1.9366000000000001</v>
      </c>
      <c r="Z1464" s="245">
        <f ca="1">[1]ExtEntry!$R69</f>
        <v>1.9366000000000001</v>
      </c>
      <c r="AB1464" s="318">
        <v>336182</v>
      </c>
      <c r="AC1464" s="318">
        <v>354737.5</v>
      </c>
      <c r="AD1464" s="318">
        <v>355829</v>
      </c>
      <c r="AE1464" s="318">
        <v>339456.5</v>
      </c>
      <c r="AF1464" s="318">
        <v>413132.75</v>
      </c>
      <c r="AG1464" s="318">
        <v>367835.5</v>
      </c>
      <c r="AH1464" s="318">
        <v>327995.75</v>
      </c>
      <c r="AI1464" s="318">
        <v>327995.75</v>
      </c>
      <c r="AJ1464" s="318">
        <v>335636.25</v>
      </c>
      <c r="AK1464" s="318">
        <v>341093.75</v>
      </c>
      <c r="AL1464" s="318">
        <v>335636.25</v>
      </c>
      <c r="AM1464" s="318">
        <v>348734.25</v>
      </c>
      <c r="AN1464" s="318">
        <v>307803</v>
      </c>
      <c r="AO1464" s="318">
        <v>283222.42000000004</v>
      </c>
      <c r="AP1464" s="318">
        <v>283790</v>
      </c>
      <c r="AQ1464" s="318">
        <v>247224.75</v>
      </c>
      <c r="AR1464" s="318">
        <v>242858.75</v>
      </c>
      <c r="AS1464" s="318">
        <v>235764.00000000003</v>
      </c>
      <c r="AT1464" s="318">
        <v>227032</v>
      </c>
      <c r="AU1464" s="318">
        <v>223211.75</v>
      </c>
      <c r="AV1464" s="318">
        <f ca="1">IF(_xlfn.XLOOKUP(A1464,TabCalc[Ticker],ListExtra_n)&gt;0,             _xlfn.XLOOKUP(A1464,TabCalc[Ticker],ListExtra_n)*_xlfn.XLOOKUP(A1464,TabTRADER[ClickTick],TabTRADER[M])*_xlfn.XLOOKUP(A1464,TabCalc[Ticker],ListScale),               "")</f>
        <v>223211.75</v>
      </c>
      <c r="AX1464" s="88" t="str">
        <f t="shared" ca="1" si="113"/>
        <v>SAFDDD</v>
      </c>
    </row>
    <row r="1465" spans="1:50" hidden="1" x14ac:dyDescent="0.3">
      <c r="A1465" s="88" t="str">
        <f t="shared" ca="1" si="114"/>
        <v>SAFDIS</v>
      </c>
      <c r="F1465" s="251">
        <v>1.5557000000000001</v>
      </c>
      <c r="G1465" s="251">
        <v>1.5542</v>
      </c>
      <c r="H1465" s="251">
        <v>1.5543</v>
      </c>
      <c r="I1465" s="251">
        <v>1.5552999999999999</v>
      </c>
      <c r="J1465" s="251">
        <v>1.5552999999999999</v>
      </c>
      <c r="K1465" s="251">
        <v>1.5546</v>
      </c>
      <c r="L1465" s="251">
        <v>1.5536000000000001</v>
      </c>
      <c r="M1465" s="251">
        <v>1.5536000000000001</v>
      </c>
      <c r="N1465" s="251">
        <v>1.5536000000000001</v>
      </c>
      <c r="O1465" s="251">
        <v>1.5536000000000001</v>
      </c>
      <c r="P1465" s="251">
        <v>1.5541</v>
      </c>
      <c r="Q1465" s="251">
        <v>1.5483</v>
      </c>
      <c r="R1465" s="251">
        <v>1.5445</v>
      </c>
      <c r="S1465" s="251">
        <v>1.4897</v>
      </c>
      <c r="T1465" s="251">
        <v>1.4863999999999999</v>
      </c>
      <c r="U1465" s="251">
        <v>1.4881</v>
      </c>
      <c r="V1465" s="251">
        <v>1.4843999999999999</v>
      </c>
      <c r="W1465" s="251">
        <v>1.4917</v>
      </c>
      <c r="X1465" s="251">
        <v>1.4956</v>
      </c>
      <c r="Y1465" s="251">
        <v>1.4914000000000001</v>
      </c>
      <c r="Z1465" s="245">
        <f ca="1">[1]ExtEntry!$R70</f>
        <v>1.4914000000000001</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1.4162999999999999</v>
      </c>
      <c r="G1466" s="251">
        <v>1.4129</v>
      </c>
      <c r="H1466" s="251">
        <v>1.4107000000000001</v>
      </c>
      <c r="I1466" s="251">
        <v>1.4096</v>
      </c>
      <c r="J1466" s="251">
        <v>1.4096</v>
      </c>
      <c r="K1466" s="251">
        <v>1.4077</v>
      </c>
      <c r="L1466" s="251">
        <v>1.4006000000000001</v>
      </c>
      <c r="M1466" s="251">
        <v>1.4006000000000001</v>
      </c>
      <c r="N1466" s="251">
        <v>1.4006000000000001</v>
      </c>
      <c r="O1466" s="251">
        <v>1.4006000000000001</v>
      </c>
      <c r="P1466" s="251">
        <v>1.4</v>
      </c>
      <c r="Q1466" s="251">
        <v>1.4171</v>
      </c>
      <c r="R1466" s="251">
        <v>1.4179999999999999</v>
      </c>
      <c r="S1466" s="251">
        <v>1.3120000000000001</v>
      </c>
      <c r="T1466" s="251">
        <v>1.3140000000000001</v>
      </c>
      <c r="U1466" s="251">
        <v>1.3099000000000001</v>
      </c>
      <c r="V1466" s="251">
        <v>1.3052999999999999</v>
      </c>
      <c r="W1466" s="251">
        <v>1.2962</v>
      </c>
      <c r="X1466" s="251">
        <v>1.3095000000000001</v>
      </c>
      <c r="Y1466" s="251">
        <v>1.3051999999999999</v>
      </c>
      <c r="Z1466" s="245">
        <f ca="1">[1]ExtEntry!$R71</f>
        <v>1.3051999999999999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2.8881000000000001</v>
      </c>
      <c r="G1467" s="251">
        <v>2.8883000000000001</v>
      </c>
      <c r="H1467" s="251">
        <v>2.8873000000000002</v>
      </c>
      <c r="I1467" s="251">
        <v>2.8868</v>
      </c>
      <c r="J1467" s="251">
        <v>2.8868</v>
      </c>
      <c r="K1467" s="251">
        <v>2.8875999999999999</v>
      </c>
      <c r="L1467" s="251">
        <v>2.8881999999999999</v>
      </c>
      <c r="M1467" s="251">
        <v>2.8881999999999999</v>
      </c>
      <c r="N1467" s="251">
        <v>2.8881999999999999</v>
      </c>
      <c r="O1467" s="251">
        <v>2.8881999999999999</v>
      </c>
      <c r="P1467" s="251">
        <v>2.8862999999999999</v>
      </c>
      <c r="Q1467" s="251">
        <v>2.8740999999999999</v>
      </c>
      <c r="R1467" s="251">
        <v>2.8527999999999998</v>
      </c>
      <c r="S1467" s="251">
        <v>2.2942</v>
      </c>
      <c r="T1467" s="251">
        <v>2.2967</v>
      </c>
      <c r="U1467" s="251">
        <v>2.2978000000000001</v>
      </c>
      <c r="V1467" s="251">
        <v>2.3001999999999998</v>
      </c>
      <c r="W1467" s="251">
        <v>2.2976000000000001</v>
      </c>
      <c r="X1467" s="251">
        <v>2.3203999999999998</v>
      </c>
      <c r="Y1467" s="251">
        <v>2.3380999999999998</v>
      </c>
      <c r="Z1467" s="245">
        <f ca="1">[1]ExtEntry!$R72</f>
        <v>2.3380999999999998</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2.0064000000000002</v>
      </c>
      <c r="G1468" s="251">
        <v>2.0082</v>
      </c>
      <c r="H1468" s="251">
        <v>2.0034000000000001</v>
      </c>
      <c r="I1468" s="251">
        <v>2.0114000000000001</v>
      </c>
      <c r="J1468" s="251">
        <v>2.0114000000000001</v>
      </c>
      <c r="K1468" s="251">
        <v>2.0127999999999999</v>
      </c>
      <c r="L1468" s="251">
        <v>2.0123000000000002</v>
      </c>
      <c r="M1468" s="251">
        <v>2.0123000000000002</v>
      </c>
      <c r="N1468" s="251">
        <v>2.0123000000000002</v>
      </c>
      <c r="O1468" s="251">
        <v>2.0123000000000002</v>
      </c>
      <c r="P1468" s="251">
        <v>2.0135000000000001</v>
      </c>
      <c r="Q1468" s="251">
        <v>2.0148999999999999</v>
      </c>
      <c r="R1468" s="251">
        <v>2.0036999999999998</v>
      </c>
      <c r="S1468" s="251">
        <v>1.1157999999999999</v>
      </c>
      <c r="T1468" s="251">
        <v>1.1276999999999999</v>
      </c>
      <c r="U1468" s="251">
        <v>1.1266</v>
      </c>
      <c r="V1468" s="251">
        <v>1.1258999999999999</v>
      </c>
      <c r="W1468" s="251">
        <v>1.1197999999999999</v>
      </c>
      <c r="X1468" s="251">
        <v>1.1215999999999999</v>
      </c>
      <c r="Y1468" s="251">
        <v>1.1202000000000001</v>
      </c>
      <c r="Z1468" s="245">
        <f ca="1">[1]ExtEntry!$R73</f>
        <v>1.1202000000000001</v>
      </c>
      <c r="AB1468" s="318">
        <v>118125</v>
      </c>
      <c r="AC1468" s="318">
        <v>124897.5</v>
      </c>
      <c r="AD1468" s="318">
        <v>122130</v>
      </c>
      <c r="AE1468" s="318">
        <v>117045</v>
      </c>
      <c r="AF1468" s="318">
        <v>122580</v>
      </c>
      <c r="AG1468" s="318">
        <v>123705</v>
      </c>
      <c r="AH1468" s="318">
        <v>120825</v>
      </c>
      <c r="AI1468" s="318">
        <v>120825</v>
      </c>
      <c r="AJ1468" s="318">
        <v>118125</v>
      </c>
      <c r="AK1468" s="318">
        <v>120330</v>
      </c>
      <c r="AL1468" s="318">
        <v>119970</v>
      </c>
      <c r="AM1468" s="318">
        <v>114075</v>
      </c>
      <c r="AN1468" s="318">
        <v>126630</v>
      </c>
      <c r="AO1468" s="318">
        <v>106987.5</v>
      </c>
      <c r="AP1468" s="318">
        <v>106020</v>
      </c>
      <c r="AQ1468" s="318">
        <v>108472.5</v>
      </c>
      <c r="AR1468" s="318">
        <v>110362.5</v>
      </c>
      <c r="AS1468" s="318">
        <v>111465</v>
      </c>
      <c r="AT1468" s="318">
        <v>112140.00000000001</v>
      </c>
      <c r="AU1468" s="318">
        <v>109260</v>
      </c>
      <c r="AV1468" s="318">
        <f ca="1">IF(_xlfn.XLOOKUP(A1468,TabCalc[Ticker],ListExtra_n)&gt;0,             _xlfn.XLOOKUP(A1468,TabCalc[Ticker],ListExtra_n)*_xlfn.XLOOKUP(A1468,TabTRADER[ClickTick],TabTRADER[M])*_xlfn.XLOOKUP(A1468,TabCalc[Ticker],ListScale),               "")</f>
        <v>109260</v>
      </c>
      <c r="AX1468" s="88" t="str">
        <f t="shared" ca="1" si="113"/>
        <v>SAFMRNA</v>
      </c>
    </row>
    <row r="1469" spans="1:50" hidden="1" x14ac:dyDescent="0.3">
      <c r="A1469" s="88" t="str">
        <f t="shared" ca="1" si="114"/>
        <v>BLNK</v>
      </c>
      <c r="F1469" s="251">
        <v>3.4411999999999998</v>
      </c>
      <c r="G1469" s="251">
        <v>3.4312999999999998</v>
      </c>
      <c r="H1469" s="251">
        <v>3.4558</v>
      </c>
      <c r="I1469" s="251">
        <v>3.4805999999999999</v>
      </c>
      <c r="J1469" s="251">
        <v>3.4805999999999999</v>
      </c>
      <c r="K1469" s="251">
        <v>3.4935</v>
      </c>
      <c r="L1469" s="251">
        <v>3.4971999999999999</v>
      </c>
      <c r="M1469" s="251">
        <v>3.4971999999999999</v>
      </c>
      <c r="N1469" s="251">
        <v>3.4971999999999999</v>
      </c>
      <c r="O1469" s="251">
        <v>3.4971999999999999</v>
      </c>
      <c r="P1469" s="251">
        <v>3.4965999999999999</v>
      </c>
      <c r="Q1469" s="251">
        <v>3.5066000000000002</v>
      </c>
      <c r="R1469" s="251">
        <v>3.4954000000000001</v>
      </c>
      <c r="S1469" s="251">
        <v>1.8775999999999999</v>
      </c>
      <c r="T1469" s="251">
        <v>1.8866000000000001</v>
      </c>
      <c r="U1469" s="251">
        <v>1.8706</v>
      </c>
      <c r="V1469" s="251">
        <v>1.8828</v>
      </c>
      <c r="W1469" s="251">
        <v>1.89</v>
      </c>
      <c r="X1469" s="251">
        <v>1.8985000000000001</v>
      </c>
      <c r="Y1469" s="251">
        <v>1.8993</v>
      </c>
      <c r="Z1469" s="245">
        <f ca="1">[1]ExtEntry!$R74</f>
        <v>1.8993</v>
      </c>
      <c r="AB1469" s="318">
        <v>231540</v>
      </c>
      <c r="AC1469" s="318">
        <v>220830</v>
      </c>
      <c r="AD1469" s="318">
        <v>171900</v>
      </c>
      <c r="AE1469" s="318">
        <v>163800</v>
      </c>
      <c r="AF1469" s="318">
        <v>170100</v>
      </c>
      <c r="AG1469" s="318">
        <v>159300</v>
      </c>
      <c r="AH1469" s="318">
        <v>161100</v>
      </c>
      <c r="AI1469" s="318">
        <v>161100</v>
      </c>
      <c r="AJ1469" s="318">
        <v>161100</v>
      </c>
      <c r="AK1469" s="318">
        <v>173700</v>
      </c>
      <c r="AL1469" s="318">
        <v>163800</v>
      </c>
      <c r="AM1469" s="318">
        <v>154800</v>
      </c>
      <c r="AN1469" s="318">
        <v>144900</v>
      </c>
      <c r="AO1469" s="318">
        <v>134649</v>
      </c>
      <c r="AP1469" s="318">
        <v>147600</v>
      </c>
      <c r="AQ1469" s="318">
        <v>135450</v>
      </c>
      <c r="AR1469" s="318">
        <v>143091</v>
      </c>
      <c r="AS1469" s="318">
        <v>126900</v>
      </c>
      <c r="AT1469" s="318">
        <v>126900</v>
      </c>
      <c r="AU1469" s="318">
        <v>122850</v>
      </c>
      <c r="AV1469" s="318">
        <f ca="1">IF(_xlfn.XLOOKUP(A1469,TabCalc[Ticker],ListExtra_n)&gt;0,             _xlfn.XLOOKUP(A1469,TabCalc[Ticker],ListExtra_n)*_xlfn.XLOOKUP(A1469,TabTRADER[ClickTick],TabTRADER[M])*_xlfn.XLOOKUP(A1469,TabCalc[Ticker],ListScale),               "")</f>
        <v>122850</v>
      </c>
      <c r="AX1469" s="88" t="str">
        <f t="shared" ca="1" si="113"/>
        <v>BLNK</v>
      </c>
    </row>
    <row r="1470" spans="1:50" hidden="1" x14ac:dyDescent="0.3">
      <c r="A1470" s="88" t="str">
        <f t="shared" ca="1" si="114"/>
        <v>ENI</v>
      </c>
      <c r="F1470" s="251">
        <v>1.0807</v>
      </c>
      <c r="G1470" s="251">
        <v>1.0831999999999999</v>
      </c>
      <c r="H1470" s="251">
        <v>1.0819000000000001</v>
      </c>
      <c r="I1470" s="251">
        <v>1.079</v>
      </c>
      <c r="J1470" s="251">
        <v>1.079</v>
      </c>
      <c r="K1470" s="251">
        <v>1.0827</v>
      </c>
      <c r="L1470" s="251">
        <v>1.0833999999999999</v>
      </c>
      <c r="M1470" s="251">
        <v>1.0833999999999999</v>
      </c>
      <c r="N1470" s="251">
        <v>1.0833999999999999</v>
      </c>
      <c r="O1470" s="251">
        <v>1.0833999999999999</v>
      </c>
      <c r="P1470" s="251">
        <v>1.0790999999999999</v>
      </c>
      <c r="Q1470" s="251">
        <v>1.0793999999999999</v>
      </c>
      <c r="R1470" s="251">
        <v>1.0823</v>
      </c>
      <c r="S1470" s="251">
        <v>0.83030000000000004</v>
      </c>
      <c r="T1470" s="251">
        <v>0.83050000000000002</v>
      </c>
      <c r="U1470" s="251">
        <v>0.83030000000000004</v>
      </c>
      <c r="V1470" s="251">
        <v>0.82989999999999997</v>
      </c>
      <c r="W1470" s="251">
        <v>0.82989999999999997</v>
      </c>
      <c r="X1470" s="251">
        <v>0.82989999999999997</v>
      </c>
      <c r="Y1470" s="251">
        <v>0.82489999999999997</v>
      </c>
      <c r="Z1470" s="245">
        <f ca="1">[1]ExtEntry!$R75</f>
        <v>0.82489999999999997</v>
      </c>
      <c r="AB1470" s="318">
        <v>216090</v>
      </c>
      <c r="AC1470" s="318">
        <v>216413.4</v>
      </c>
      <c r="AD1470" s="318">
        <v>217060.2</v>
      </c>
      <c r="AE1470" s="318">
        <v>218206.8</v>
      </c>
      <c r="AF1470" s="318">
        <v>218677.19999999998</v>
      </c>
      <c r="AG1470" s="318">
        <v>219030</v>
      </c>
      <c r="AH1470" s="318">
        <v>222352.19999999998</v>
      </c>
      <c r="AI1470" s="318">
        <v>222352.19999999998</v>
      </c>
      <c r="AJ1470" s="318">
        <v>229114.2</v>
      </c>
      <c r="AK1470" s="318">
        <v>232789.2</v>
      </c>
      <c r="AL1470" s="318">
        <v>234347.4</v>
      </c>
      <c r="AM1470" s="318">
        <v>233524.19999999998</v>
      </c>
      <c r="AN1470" s="318">
        <v>234024</v>
      </c>
      <c r="AO1470" s="318">
        <v>154327</v>
      </c>
      <c r="AP1470" s="318">
        <v>154889.60000000001</v>
      </c>
      <c r="AQ1470" s="318">
        <v>154695.6</v>
      </c>
      <c r="AR1470" s="318">
        <v>154540.4</v>
      </c>
      <c r="AS1470" s="318">
        <v>159797.79999999999</v>
      </c>
      <c r="AT1470" s="318">
        <v>158692</v>
      </c>
      <c r="AU1470" s="318">
        <v>157314.6</v>
      </c>
      <c r="AV1470" s="318">
        <f ca="1">IF(_xlfn.XLOOKUP(A1470,TabCalc[Ticker],ListExtra_n)&gt;0,             _xlfn.XLOOKUP(A1470,TabCalc[Ticker],ListExtra_n)*_xlfn.XLOOKUP(A1470,TabTRADER[ClickTick],TabTRADER[M])*_xlfn.XLOOKUP(A1470,TabCalc[Ticker],ListScale),               "")</f>
        <v>157314.6</v>
      </c>
      <c r="AX1470" s="88" t="str">
        <f t="shared" ca="1" si="113"/>
        <v>ENI</v>
      </c>
    </row>
    <row r="1471" spans="1:50" hidden="1" x14ac:dyDescent="0.3">
      <c r="A1471" s="88" t="str">
        <f t="shared" ca="1" si="114"/>
        <v>EZJ</v>
      </c>
      <c r="F1471" s="251">
        <v>2.8786</v>
      </c>
      <c r="G1471" s="251">
        <v>2.8797999999999999</v>
      </c>
      <c r="H1471" s="251">
        <v>2.8778999999999999</v>
      </c>
      <c r="I1471" s="251">
        <v>2.8683000000000001</v>
      </c>
      <c r="J1471" s="251">
        <v>2.8683000000000001</v>
      </c>
      <c r="K1471" s="251">
        <v>2.8752</v>
      </c>
      <c r="L1471" s="251">
        <v>2.8776999999999999</v>
      </c>
      <c r="M1471" s="251">
        <v>2.8776999999999999</v>
      </c>
      <c r="N1471" s="251">
        <v>2.8776999999999999</v>
      </c>
      <c r="O1471" s="251">
        <v>2.8776999999999999</v>
      </c>
      <c r="P1471" s="251">
        <v>2.8824999999999998</v>
      </c>
      <c r="Q1471" s="251">
        <v>2.8681999999999999</v>
      </c>
      <c r="R1471" s="251">
        <v>2.8399000000000001</v>
      </c>
      <c r="S1471" s="251">
        <v>2.2332999999999998</v>
      </c>
      <c r="T1471" s="251">
        <v>2.2376</v>
      </c>
      <c r="U1471" s="251">
        <v>2.2389000000000001</v>
      </c>
      <c r="V1471" s="251">
        <v>2.2387999999999999</v>
      </c>
      <c r="W1471" s="251">
        <v>2.2389000000000001</v>
      </c>
      <c r="X1471" s="251">
        <v>2.2444999999999999</v>
      </c>
      <c r="Y1471" s="251">
        <v>2.2404999999999999</v>
      </c>
      <c r="Z1471" s="245">
        <f ca="1">[1]ExtEntry!$R76</f>
        <v>2.2404999999999999</v>
      </c>
      <c r="AB1471" s="318">
        <v>103046.72</v>
      </c>
      <c r="AC1471" s="318">
        <v>98831.92</v>
      </c>
      <c r="AD1471" s="318">
        <v>100682.32</v>
      </c>
      <c r="AE1471" s="318">
        <v>100312.24</v>
      </c>
      <c r="AF1471" s="318">
        <v>99921.600000000006</v>
      </c>
      <c r="AG1471" s="318">
        <v>98749.680000000008</v>
      </c>
      <c r="AH1471" s="318">
        <v>52092.480000000003</v>
      </c>
      <c r="AI1471" s="318">
        <v>52092.480000000003</v>
      </c>
      <c r="AJ1471" s="318">
        <v>50635.200000000004</v>
      </c>
      <c r="AK1471" s="318">
        <v>51332.160000000003</v>
      </c>
      <c r="AL1471" s="318">
        <v>51321.599999999999</v>
      </c>
      <c r="AM1471" s="318">
        <v>50909.760000000002</v>
      </c>
      <c r="AN1471" s="318">
        <v>50698.559999999998</v>
      </c>
      <c r="AO1471" s="318">
        <v>50719.68</v>
      </c>
      <c r="AP1471" s="318">
        <v>51120.959999999999</v>
      </c>
      <c r="AQ1471" s="318">
        <v>50529.599999999999</v>
      </c>
      <c r="AR1471" s="318">
        <v>49779.840000000004</v>
      </c>
      <c r="AS1471" s="318">
        <v>49547.520000000004</v>
      </c>
      <c r="AT1471" s="318">
        <v>47921.279999999999</v>
      </c>
      <c r="AU1471" s="318">
        <v>48797.760000000002</v>
      </c>
      <c r="AV1471" s="318">
        <f ca="1">IF(_xlfn.XLOOKUP(A1471,TabCalc[Ticker],ListExtra_n)&gt;0,             _xlfn.XLOOKUP(A1471,TabCalc[Ticker],ListExtra_n)*_xlfn.XLOOKUP(A1471,TabTRADER[ClickTick],TabTRADER[M])*_xlfn.XLOOKUP(A1471,TabCalc[Ticker],ListScale),               "")</f>
        <v>48797.760000000002</v>
      </c>
      <c r="AX1471" s="88" t="str">
        <f t="shared" ca="1" si="113"/>
        <v>EZJ</v>
      </c>
    </row>
    <row r="1472" spans="1:50" hidden="1" x14ac:dyDescent="0.3">
      <c r="A1472" s="88" t="str">
        <f t="shared" ca="1" si="114"/>
        <v>F</v>
      </c>
      <c r="F1472" s="251">
        <v>1.6054999999999999</v>
      </c>
      <c r="G1472" s="251">
        <v>1.6039000000000001</v>
      </c>
      <c r="H1472" s="251">
        <v>1.6032999999999999</v>
      </c>
      <c r="I1472" s="251">
        <v>1.6012999999999999</v>
      </c>
      <c r="J1472" s="251">
        <v>1.6012999999999999</v>
      </c>
      <c r="K1472" s="251">
        <v>1.6025</v>
      </c>
      <c r="L1472" s="251">
        <v>1.6001000000000001</v>
      </c>
      <c r="M1472" s="251">
        <v>1.6001000000000001</v>
      </c>
      <c r="N1472" s="251">
        <v>1.6001000000000001</v>
      </c>
      <c r="O1472" s="251">
        <v>1.6001000000000001</v>
      </c>
      <c r="P1472" s="251">
        <v>1.6007</v>
      </c>
      <c r="Q1472" s="251">
        <v>1.6107</v>
      </c>
      <c r="R1472" s="251">
        <v>1.6112</v>
      </c>
      <c r="S1472" s="251">
        <v>1.6027</v>
      </c>
      <c r="T1472" s="251">
        <v>1.603</v>
      </c>
      <c r="U1472" s="251">
        <v>1.5999000000000001</v>
      </c>
      <c r="V1472" s="251">
        <v>1.5939000000000001</v>
      </c>
      <c r="W1472" s="251">
        <v>1.5927</v>
      </c>
      <c r="X1472" s="251">
        <v>1.5994999999999999</v>
      </c>
      <c r="Y1472" s="251">
        <v>1.5908</v>
      </c>
      <c r="Z1472" s="245">
        <f ca="1">[1]ExtEntry!$R77</f>
        <v>1.5908</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1.6016999999999999</v>
      </c>
      <c r="G1473" s="251">
        <v>1.5999000000000001</v>
      </c>
      <c r="H1473" s="251">
        <v>1.5998000000000001</v>
      </c>
      <c r="I1473" s="251">
        <v>1.5733999999999999</v>
      </c>
      <c r="J1473" s="251">
        <v>1.5733999999999999</v>
      </c>
      <c r="K1473" s="251">
        <v>1.5734999999999999</v>
      </c>
      <c r="L1473" s="251">
        <v>1.5686</v>
      </c>
      <c r="M1473" s="251">
        <v>1.5686</v>
      </c>
      <c r="N1473" s="251">
        <v>1.5591999999999999</v>
      </c>
      <c r="O1473" s="251">
        <v>1.5591999999999999</v>
      </c>
      <c r="P1473" s="251">
        <v>1.5581</v>
      </c>
      <c r="Q1473" s="251">
        <v>1.5671999999999999</v>
      </c>
      <c r="R1473" s="251">
        <v>1.5741000000000001</v>
      </c>
      <c r="S1473" s="251">
        <v>1.3874</v>
      </c>
      <c r="T1473" s="251">
        <v>1.389</v>
      </c>
      <c r="U1473" s="251">
        <v>1.3888</v>
      </c>
      <c r="V1473" s="251">
        <v>1.3861000000000001</v>
      </c>
      <c r="W1473" s="251">
        <v>1.3906000000000001</v>
      </c>
      <c r="X1473" s="251">
        <v>1.3869</v>
      </c>
      <c r="Y1473" s="251">
        <v>1.3862000000000001</v>
      </c>
      <c r="Z1473" s="245">
        <f ca="1">[1]ExtEntry!$R78</f>
        <v>1.3862000000000001</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1.6818</v>
      </c>
      <c r="G1474" s="251">
        <v>1.6713</v>
      </c>
      <c r="H1474" s="251">
        <v>1.6700999999999999</v>
      </c>
      <c r="I1474" s="251">
        <v>1.6694</v>
      </c>
      <c r="J1474" s="251">
        <v>1.6694</v>
      </c>
      <c r="K1474" s="251">
        <v>1.6822999999999999</v>
      </c>
      <c r="L1474" s="251">
        <v>1.6833</v>
      </c>
      <c r="M1474" s="251">
        <v>1.6833</v>
      </c>
      <c r="N1474" s="251">
        <v>1.6833</v>
      </c>
      <c r="O1474" s="251">
        <v>1.6833</v>
      </c>
      <c r="P1474" s="251">
        <v>1.6861999999999999</v>
      </c>
      <c r="Q1474" s="251">
        <v>1.7033</v>
      </c>
      <c r="R1474" s="251">
        <v>1.6969000000000001</v>
      </c>
      <c r="S1474" s="251">
        <v>1.8117000000000001</v>
      </c>
      <c r="T1474" s="251">
        <v>1.8173999999999999</v>
      </c>
      <c r="U1474" s="251">
        <v>1.8148</v>
      </c>
      <c r="V1474" s="251">
        <v>1.8205</v>
      </c>
      <c r="W1474" s="251">
        <v>1.8196000000000001</v>
      </c>
      <c r="X1474" s="251">
        <v>1.8394999999999999</v>
      </c>
      <c r="Y1474" s="251">
        <v>1.8402000000000001</v>
      </c>
      <c r="Z1474" s="245">
        <f ca="1">[1]ExtEntry!$R79</f>
        <v>1.8402000000000001</v>
      </c>
      <c r="AB1474" s="318">
        <v>45981.25</v>
      </c>
      <c r="AC1474" s="318">
        <v>48323.75</v>
      </c>
      <c r="AD1474" s="318">
        <v>9632.75</v>
      </c>
      <c r="AE1474" s="318">
        <v>9524.5</v>
      </c>
      <c r="AF1474" s="318">
        <v>9788.5</v>
      </c>
      <c r="AG1474" s="318">
        <v>9626</v>
      </c>
      <c r="AH1474" s="318">
        <v>64081.5</v>
      </c>
      <c r="AI1474" s="318">
        <v>64081.5</v>
      </c>
      <c r="AJ1474" s="318">
        <v>66164</v>
      </c>
      <c r="AK1474" s="318">
        <v>67203.5</v>
      </c>
      <c r="AL1474" s="318">
        <v>66661</v>
      </c>
      <c r="AM1474" s="318">
        <v>66549</v>
      </c>
      <c r="AN1474" s="318">
        <v>58019.5</v>
      </c>
      <c r="AO1474" s="318">
        <v>54978.000000000007</v>
      </c>
      <c r="AP1474" s="318">
        <v>55713</v>
      </c>
      <c r="AQ1474" s="318">
        <v>53735.5</v>
      </c>
      <c r="AR1474" s="318">
        <v>54117</v>
      </c>
      <c r="AS1474" s="318">
        <v>52888.500000000007</v>
      </c>
      <c r="AT1474" s="318">
        <v>49861</v>
      </c>
      <c r="AU1474" s="318">
        <v>51411.499999999993</v>
      </c>
      <c r="AV1474" s="318">
        <f ca="1">IF(_xlfn.XLOOKUP(A1474,TabCalc[Ticker],ListExtra_n)&gt;0,             _xlfn.XLOOKUP(A1474,TabCalc[Ticker],ListExtra_n)*_xlfn.XLOOKUP(A1474,TabTRADER[ClickTick],TabTRADER[M])*_xlfn.XLOOKUP(A1474,TabCalc[Ticker],ListScale),               "")</f>
        <v>51411.499999999993</v>
      </c>
      <c r="AX1474" s="88" t="str">
        <f t="shared" ca="1" si="113"/>
        <v>GNRC</v>
      </c>
    </row>
    <row r="1475" spans="1:70" hidden="1" x14ac:dyDescent="0.3">
      <c r="A1475" s="88" t="str">
        <f t="shared" ca="1" si="114"/>
        <v>GS</v>
      </c>
      <c r="F1475" s="251">
        <v>1.4076</v>
      </c>
      <c r="G1475" s="251">
        <v>1.4106000000000001</v>
      </c>
      <c r="H1475" s="251">
        <v>1.4108000000000001</v>
      </c>
      <c r="I1475" s="251">
        <v>1.4138999999999999</v>
      </c>
      <c r="J1475" s="251">
        <v>1.4138999999999999</v>
      </c>
      <c r="K1475" s="251">
        <v>1.4085000000000001</v>
      </c>
      <c r="L1475" s="251">
        <v>1.4088000000000001</v>
      </c>
      <c r="M1475" s="251">
        <v>1.4088000000000001</v>
      </c>
      <c r="N1475" s="251">
        <v>1.4088000000000001</v>
      </c>
      <c r="O1475" s="251">
        <v>1.4088000000000001</v>
      </c>
      <c r="P1475" s="251">
        <v>1.4097</v>
      </c>
      <c r="Q1475" s="251">
        <v>1.3987000000000001</v>
      </c>
      <c r="R1475" s="251">
        <v>1.3959999999999999</v>
      </c>
      <c r="S1475" s="251">
        <v>1.3515999999999999</v>
      </c>
      <c r="T1475" s="251">
        <v>1.3489</v>
      </c>
      <c r="U1475" s="251">
        <v>1.3493999999999999</v>
      </c>
      <c r="V1475" s="251">
        <v>1.3469</v>
      </c>
      <c r="W1475" s="251">
        <v>1.3427</v>
      </c>
      <c r="X1475" s="251">
        <v>1.3513999999999999</v>
      </c>
      <c r="Y1475" s="251">
        <v>1.3475999999999999</v>
      </c>
      <c r="Z1475" s="245">
        <f ca="1">[1]ExtEntry!$R80</f>
        <v>1.3475999999999999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2.0285000000000002</v>
      </c>
      <c r="G1476" s="251">
        <v>2.0266000000000002</v>
      </c>
      <c r="H1476" s="251">
        <v>2.0381</v>
      </c>
      <c r="I1476" s="251">
        <v>2.0424000000000002</v>
      </c>
      <c r="J1476" s="251">
        <v>2.0424000000000002</v>
      </c>
      <c r="K1476" s="251">
        <v>2.0501</v>
      </c>
      <c r="L1476" s="251">
        <v>2.0550000000000002</v>
      </c>
      <c r="M1476" s="251">
        <v>2.0550000000000002</v>
      </c>
      <c r="N1476" s="251">
        <v>2.0550000000000002</v>
      </c>
      <c r="O1476" s="251">
        <v>2.0550000000000002</v>
      </c>
      <c r="P1476" s="251">
        <v>2.0575000000000001</v>
      </c>
      <c r="Q1476" s="251">
        <v>2.0825999999999998</v>
      </c>
      <c r="R1476" s="251">
        <v>2.0695999999999999</v>
      </c>
      <c r="S1476" s="251">
        <v>1.4396</v>
      </c>
      <c r="T1476" s="251">
        <v>1.4121999999999999</v>
      </c>
      <c r="U1476" s="251">
        <v>1.4362999999999999</v>
      </c>
      <c r="V1476" s="251">
        <v>1.4366000000000001</v>
      </c>
      <c r="W1476" s="251">
        <v>1.4576</v>
      </c>
      <c r="X1476" s="251">
        <v>1.4885999999999999</v>
      </c>
      <c r="Y1476" s="251">
        <v>1.5044</v>
      </c>
      <c r="Z1476" s="245">
        <f ca="1">[1]ExtEntry!$R81</f>
        <v>1.5044</v>
      </c>
      <c r="AB1476" s="318">
        <v>21244.85</v>
      </c>
      <c r="AC1476" s="318">
        <v>20380.825000000001</v>
      </c>
      <c r="AD1476" s="318">
        <v>19211.849999999999</v>
      </c>
      <c r="AE1476" s="318">
        <v>19720.099999999999</v>
      </c>
      <c r="AF1476" s="318">
        <v>20330</v>
      </c>
      <c r="AG1476" s="318">
        <v>18449.474999999999</v>
      </c>
      <c r="AH1476" s="318">
        <v>17483.8</v>
      </c>
      <c r="AI1476" s="318">
        <v>17483.8</v>
      </c>
      <c r="AJ1476" s="318">
        <v>17178.849999999999</v>
      </c>
      <c r="AK1476" s="318">
        <v>22566.300000000003</v>
      </c>
      <c r="AL1476" s="318">
        <v>23582.799999999999</v>
      </c>
      <c r="AM1476" s="318">
        <v>20939.900000000001</v>
      </c>
      <c r="AN1476" s="318">
        <v>21448.149999999998</v>
      </c>
      <c r="AO1476" s="318">
        <v>13976.875</v>
      </c>
      <c r="AP1476" s="318">
        <v>12604.6</v>
      </c>
      <c r="AQ1476" s="318">
        <v>12079.0695</v>
      </c>
      <c r="AR1476" s="318">
        <v>12655.425000000001</v>
      </c>
      <c r="AS1476" s="318">
        <v>10266.65</v>
      </c>
      <c r="AT1476" s="318">
        <v>8803.9064999999991</v>
      </c>
      <c r="AU1476" s="318">
        <v>9004.1570000000011</v>
      </c>
      <c r="AV1476" s="318">
        <f ca="1">IF(_xlfn.XLOOKUP(A1476,TabCalc[Ticker],ListExtra_n)&gt;0,             _xlfn.XLOOKUP(A1476,TabCalc[Ticker],ListExtra_n)*_xlfn.XLOOKUP(A1476,TabTRADER[ClickTick],TabTRADER[M])*_xlfn.XLOOKUP(A1476,TabCalc[Ticker],ListScale),               "")</f>
        <v>9004.1570000000011</v>
      </c>
      <c r="AX1476" s="88" t="str">
        <f t="shared" ca="1" si="113"/>
        <v>LAZR</v>
      </c>
    </row>
    <row r="1477" spans="1:70" hidden="1" x14ac:dyDescent="0.3">
      <c r="A1477" s="88" t="str">
        <f t="shared" ca="1" si="114"/>
        <v>LUV</v>
      </c>
      <c r="F1477" s="251">
        <v>1.2310000000000001</v>
      </c>
      <c r="G1477" s="251">
        <v>1.2228000000000001</v>
      </c>
      <c r="H1477" s="251">
        <v>1.2251000000000001</v>
      </c>
      <c r="I1477" s="251">
        <v>1.2244999999999999</v>
      </c>
      <c r="J1477" s="251">
        <v>1.2244999999999999</v>
      </c>
      <c r="K1477" s="251">
        <v>1.2297</v>
      </c>
      <c r="L1477" s="251">
        <v>1.2293000000000001</v>
      </c>
      <c r="M1477" s="251">
        <v>1.2293000000000001</v>
      </c>
      <c r="N1477" s="251">
        <v>1.2293000000000001</v>
      </c>
      <c r="O1477" s="251">
        <v>1.2293000000000001</v>
      </c>
      <c r="P1477" s="251">
        <v>1.2307999999999999</v>
      </c>
      <c r="Q1477" s="251">
        <v>1.2329000000000001</v>
      </c>
      <c r="R1477" s="251">
        <v>1.2255</v>
      </c>
      <c r="S1477" s="251">
        <v>1.18</v>
      </c>
      <c r="T1477" s="251">
        <v>1.1802999999999999</v>
      </c>
      <c r="U1477" s="251">
        <v>1.171</v>
      </c>
      <c r="V1477" s="251">
        <v>1.1620999999999999</v>
      </c>
      <c r="W1477" s="251">
        <v>1.1527000000000001</v>
      </c>
      <c r="X1477" s="251">
        <v>1.1614</v>
      </c>
      <c r="Y1477" s="251">
        <v>1.1503000000000001</v>
      </c>
      <c r="Z1477" s="245">
        <f ca="1">[1]ExtEntry!$R82</f>
        <v>1.1503000000000001</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0.92949999999999999</v>
      </c>
      <c r="G1478" s="251">
        <v>0.92689999999999995</v>
      </c>
      <c r="H1478" s="251">
        <v>0.92869999999999997</v>
      </c>
      <c r="I1478" s="251">
        <v>0.92910000000000004</v>
      </c>
      <c r="J1478" s="251">
        <v>0.92910000000000004</v>
      </c>
      <c r="K1478" s="251">
        <v>0.92810000000000004</v>
      </c>
      <c r="L1478" s="251">
        <v>0.92759999999999998</v>
      </c>
      <c r="M1478" s="251">
        <v>0.92759999999999998</v>
      </c>
      <c r="N1478" s="251">
        <v>0.92759999999999998</v>
      </c>
      <c r="O1478" s="251">
        <v>0.92759999999999998</v>
      </c>
      <c r="P1478" s="251">
        <v>0.92759999999999998</v>
      </c>
      <c r="Q1478" s="251">
        <v>0.92490000000000006</v>
      </c>
      <c r="R1478" s="251">
        <v>0.91990000000000005</v>
      </c>
      <c r="S1478" s="251">
        <v>0.86870000000000003</v>
      </c>
      <c r="T1478" s="251">
        <v>0.86539999999999995</v>
      </c>
      <c r="U1478" s="251">
        <v>0.86609999999999998</v>
      </c>
      <c r="V1478" s="251">
        <v>0.8629</v>
      </c>
      <c r="W1478" s="251">
        <v>0.86280000000000001</v>
      </c>
      <c r="X1478" s="251">
        <v>0.87070000000000003</v>
      </c>
      <c r="Y1478" s="251">
        <v>0.87460000000000004</v>
      </c>
      <c r="Z1478" s="245">
        <f ca="1">[1]ExtEntry!$R83</f>
        <v>0.87460000000000004</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2.6890000000000001</v>
      </c>
      <c r="G1479" s="251">
        <v>2.6829999999999998</v>
      </c>
      <c r="H1479" s="251">
        <v>2.6861000000000002</v>
      </c>
      <c r="I1479" s="251">
        <v>2.698</v>
      </c>
      <c r="J1479" s="251">
        <v>2.698</v>
      </c>
      <c r="K1479" s="251">
        <v>2.6922999999999999</v>
      </c>
      <c r="L1479" s="251">
        <v>2.6934999999999998</v>
      </c>
      <c r="M1479" s="251">
        <v>2.6934999999999998</v>
      </c>
      <c r="N1479" s="251">
        <v>2.6934999999999998</v>
      </c>
      <c r="O1479" s="251">
        <v>2.6934999999999998</v>
      </c>
      <c r="P1479" s="251">
        <v>2.6943000000000001</v>
      </c>
      <c r="Q1479" s="251">
        <v>2.6869999999999998</v>
      </c>
      <c r="R1479" s="251">
        <v>2.6800999999999999</v>
      </c>
      <c r="S1479" s="251">
        <v>2.2984</v>
      </c>
      <c r="T1479" s="251">
        <v>2.3062</v>
      </c>
      <c r="U1479" s="251">
        <v>2.3022999999999998</v>
      </c>
      <c r="V1479" s="251">
        <v>2.3031999999999999</v>
      </c>
      <c r="W1479" s="251">
        <v>2.3184999999999998</v>
      </c>
      <c r="X1479" s="251">
        <v>2.3260000000000001</v>
      </c>
      <c r="Y1479" s="251">
        <v>2.3382000000000001</v>
      </c>
      <c r="Z1479" s="245">
        <f ca="1">[1]ExtEntry!$R84</f>
        <v>2.3382000000000001</v>
      </c>
      <c r="AB1479" s="318">
        <v>33782</v>
      </c>
      <c r="AC1479" s="318">
        <v>34257</v>
      </c>
      <c r="AD1479" s="318">
        <v>32224</v>
      </c>
      <c r="AE1479" s="318">
        <v>30780</v>
      </c>
      <c r="AF1479" s="318">
        <v>33402</v>
      </c>
      <c r="AG1479" s="318">
        <v>32642</v>
      </c>
      <c r="AH1479" s="318">
        <v>32148.000000000004</v>
      </c>
      <c r="AI1479" s="318">
        <v>32148.000000000004</v>
      </c>
      <c r="AJ1479" s="318">
        <v>31767.999999999996</v>
      </c>
      <c r="AK1479" s="318">
        <v>32376</v>
      </c>
      <c r="AL1479" s="318">
        <v>33060</v>
      </c>
      <c r="AM1479" s="318">
        <v>32376</v>
      </c>
      <c r="AN1479" s="318">
        <v>32034</v>
      </c>
      <c r="AO1479" s="318">
        <v>28633</v>
      </c>
      <c r="AP1479" s="318">
        <v>29222</v>
      </c>
      <c r="AQ1479" s="318">
        <v>29260.38</v>
      </c>
      <c r="AR1479" s="318">
        <v>28154.2</v>
      </c>
      <c r="AS1479" s="318">
        <v>26486</v>
      </c>
      <c r="AT1479" s="318">
        <v>11826</v>
      </c>
      <c r="AU1479" s="318">
        <v>11511</v>
      </c>
      <c r="AV1479" s="318">
        <f ca="1">IF(_xlfn.XLOOKUP(A1479,TabCalc[Ticker],ListExtra_n)&gt;0,             _xlfn.XLOOKUP(A1479,TabCalc[Ticker],ListExtra_n)*_xlfn.XLOOKUP(A1479,TabTRADER[ClickTick],TabTRADER[M])*_xlfn.XLOOKUP(A1479,TabCalc[Ticker],ListScale),               "")</f>
        <v>11511</v>
      </c>
      <c r="AX1479" s="88" t="str">
        <f t="shared" ca="1" si="113"/>
        <v>NVAX</v>
      </c>
    </row>
    <row r="1480" spans="1:70" hidden="1" x14ac:dyDescent="0.3">
      <c r="A1480" s="88" t="str">
        <f t="shared" ca="1" si="114"/>
        <v>NVS</v>
      </c>
      <c r="F1480" s="251">
        <v>0.60270000000000001</v>
      </c>
      <c r="G1480" s="251">
        <v>0.60109999999999997</v>
      </c>
      <c r="H1480" s="251">
        <v>0.60219999999999996</v>
      </c>
      <c r="I1480" s="251">
        <v>0.60050000000000003</v>
      </c>
      <c r="J1480" s="251">
        <v>0.60050000000000003</v>
      </c>
      <c r="K1480" s="251">
        <v>0.60270000000000001</v>
      </c>
      <c r="L1480" s="251">
        <v>0.60289999999999999</v>
      </c>
      <c r="M1480" s="251">
        <v>0.60289999999999999</v>
      </c>
      <c r="N1480" s="251">
        <v>0.60289999999999999</v>
      </c>
      <c r="O1480" s="251">
        <v>0.60289999999999999</v>
      </c>
      <c r="P1480" s="251">
        <v>0.60289999999999999</v>
      </c>
      <c r="Q1480" s="251">
        <v>0.60219999999999996</v>
      </c>
      <c r="R1480" s="251">
        <v>0.59389999999999998</v>
      </c>
      <c r="S1480" s="251">
        <v>0.51759999999999995</v>
      </c>
      <c r="T1480" s="251">
        <v>0.51480000000000004</v>
      </c>
      <c r="U1480" s="251">
        <v>0.51490000000000002</v>
      </c>
      <c r="V1480" s="251">
        <v>0.50970000000000004</v>
      </c>
      <c r="W1480" s="251">
        <v>0.50060000000000004</v>
      </c>
      <c r="X1480" s="251">
        <v>0.50090000000000001</v>
      </c>
      <c r="Y1480" s="251">
        <v>0.50309999999999999</v>
      </c>
      <c r="Z1480" s="245">
        <f ca="1">[1]ExtEntry!$R85</f>
        <v>0.50309999999999999</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0.31</v>
      </c>
      <c r="G1481" s="251">
        <v>0.30909999999999999</v>
      </c>
      <c r="H1481" s="251">
        <v>0.30769999999999997</v>
      </c>
      <c r="I1481" s="251">
        <v>0.31259999999999999</v>
      </c>
      <c r="J1481" s="251">
        <v>0.31259999999999999</v>
      </c>
      <c r="K1481" s="251">
        <v>0.31</v>
      </c>
      <c r="L1481" s="251">
        <v>0.3095</v>
      </c>
      <c r="M1481" s="251">
        <v>0.3095</v>
      </c>
      <c r="N1481" s="251">
        <v>0.30930000000000002</v>
      </c>
      <c r="O1481" s="251">
        <v>0.30930000000000002</v>
      </c>
      <c r="P1481" s="251">
        <v>0.30830000000000002</v>
      </c>
      <c r="Q1481" s="251">
        <v>0.3049</v>
      </c>
      <c r="R1481" s="251">
        <v>0.3029</v>
      </c>
      <c r="S1481" s="251">
        <v>0.2389</v>
      </c>
      <c r="T1481" s="251">
        <v>0.24</v>
      </c>
      <c r="U1481" s="251">
        <v>0.24049999999999999</v>
      </c>
      <c r="V1481" s="251">
        <v>0.2382</v>
      </c>
      <c r="W1481" s="251">
        <v>0.24099999999999999</v>
      </c>
      <c r="X1481" s="251">
        <v>0.2387</v>
      </c>
      <c r="Y1481" s="251">
        <v>0.23849999999999999</v>
      </c>
      <c r="Z1481" s="245">
        <f ca="1">[1]ExtEntry!$R86</f>
        <v>0.23849999999999999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0.9405</v>
      </c>
      <c r="G1482" s="251">
        <v>0.94230000000000003</v>
      </c>
      <c r="H1482" s="251">
        <v>0.93979999999999997</v>
      </c>
      <c r="I1482" s="251">
        <v>0.94369999999999998</v>
      </c>
      <c r="J1482" s="251">
        <v>0.94369999999999998</v>
      </c>
      <c r="K1482" s="251">
        <v>0.93069999999999997</v>
      </c>
      <c r="L1482" s="251">
        <v>0.93079999999999996</v>
      </c>
      <c r="M1482" s="251">
        <v>0.93079999999999996</v>
      </c>
      <c r="N1482" s="251">
        <v>0.93079999999999996</v>
      </c>
      <c r="O1482" s="251">
        <v>0.93079999999999996</v>
      </c>
      <c r="P1482" s="251">
        <v>0.92989999999999995</v>
      </c>
      <c r="Q1482" s="251">
        <v>0.90400000000000003</v>
      </c>
      <c r="R1482" s="251">
        <v>0.89580000000000004</v>
      </c>
      <c r="S1482" s="251">
        <v>0.39429999999999998</v>
      </c>
      <c r="T1482" s="251">
        <v>0.39989999999999998</v>
      </c>
      <c r="U1482" s="251">
        <v>0.40010000000000001</v>
      </c>
      <c r="V1482" s="251">
        <v>0.40039999999999998</v>
      </c>
      <c r="W1482" s="251">
        <v>0.39019999999999999</v>
      </c>
      <c r="X1482" s="251">
        <v>0.3921</v>
      </c>
      <c r="Y1482" s="251">
        <v>0.3846</v>
      </c>
      <c r="Z1482" s="245">
        <f ca="1">[1]ExtEntry!$R87</f>
        <v>0.3846</v>
      </c>
      <c r="AB1482" s="318">
        <v>122612</v>
      </c>
      <c r="AC1482" s="318">
        <v>121379.49999999999</v>
      </c>
      <c r="AD1482" s="318">
        <v>119016</v>
      </c>
      <c r="AE1482" s="318">
        <v>118610</v>
      </c>
      <c r="AF1482" s="318">
        <v>118987</v>
      </c>
      <c r="AG1482" s="318">
        <v>118638.99999999999</v>
      </c>
      <c r="AH1482" s="318">
        <v>121031.5</v>
      </c>
      <c r="AI1482" s="318">
        <v>121031.5</v>
      </c>
      <c r="AJ1482" s="318">
        <v>124352.00000000001</v>
      </c>
      <c r="AK1482" s="318">
        <v>123482</v>
      </c>
      <c r="AL1482" s="318">
        <v>122641</v>
      </c>
      <c r="AM1482" s="318">
        <v>118465</v>
      </c>
      <c r="AN1482" s="318">
        <v>118044.5</v>
      </c>
      <c r="AO1482" s="318">
        <v>116275.5</v>
      </c>
      <c r="AP1482" s="318">
        <v>115347.5</v>
      </c>
      <c r="AQ1482" s="318">
        <v>116783.00000000001</v>
      </c>
      <c r="AR1482" s="318">
        <v>119448.97</v>
      </c>
      <c r="AS1482" s="318">
        <v>124033.00000000001</v>
      </c>
      <c r="AT1482" s="318">
        <v>123293.5</v>
      </c>
      <c r="AU1482" s="318">
        <v>120306.5</v>
      </c>
      <c r="AV1482" s="318">
        <f ca="1">IF(_xlfn.XLOOKUP(A1482,TabCalc[Ticker],ListExtra_n)&gt;0,             _xlfn.XLOOKUP(A1482,TabCalc[Ticker],ListExtra_n)*_xlfn.XLOOKUP(A1482,TabTRADER[ClickTick],TabTRADER[M])*_xlfn.XLOOKUP(A1482,TabCalc[Ticker],ListScale),               "")</f>
        <v>120306.5</v>
      </c>
      <c r="AX1482" s="88" t="str">
        <f t="shared" ca="1" si="113"/>
        <v>OXY</v>
      </c>
      <c r="BQ1482" t="s">
        <v>191</v>
      </c>
      <c r="BR1482" t="s">
        <v>2200</v>
      </c>
    </row>
    <row r="1483" spans="1:70" hidden="1" x14ac:dyDescent="0.3">
      <c r="A1483" s="88" t="str">
        <f t="shared" ca="1" si="114"/>
        <v>PFE</v>
      </c>
      <c r="F1483" s="251">
        <v>0.51049999999999995</v>
      </c>
      <c r="G1483" s="251">
        <v>0.51190000000000002</v>
      </c>
      <c r="H1483" s="251">
        <v>0.51200000000000001</v>
      </c>
      <c r="I1483" s="251">
        <v>0.51149999999999995</v>
      </c>
      <c r="J1483" s="251">
        <v>0.51149999999999995</v>
      </c>
      <c r="K1483" s="251">
        <v>0.5091</v>
      </c>
      <c r="L1483" s="251">
        <v>0.50880000000000003</v>
      </c>
      <c r="M1483" s="251">
        <v>0.50880000000000003</v>
      </c>
      <c r="N1483" s="251">
        <v>0.50880000000000003</v>
      </c>
      <c r="O1483" s="251">
        <v>0.50880000000000003</v>
      </c>
      <c r="P1483" s="251">
        <v>0.5091</v>
      </c>
      <c r="Q1483" s="251">
        <v>0.50390000000000001</v>
      </c>
      <c r="R1483" s="251">
        <v>0.50060000000000004</v>
      </c>
      <c r="S1483" s="251">
        <v>0.4239</v>
      </c>
      <c r="T1483" s="251">
        <v>0.42470000000000002</v>
      </c>
      <c r="U1483" s="251">
        <v>0.4229</v>
      </c>
      <c r="V1483" s="251">
        <v>0.41820000000000002</v>
      </c>
      <c r="W1483" s="251">
        <v>0.41010000000000002</v>
      </c>
      <c r="X1483" s="251">
        <v>0.41660000000000003</v>
      </c>
      <c r="Y1483" s="251">
        <v>0.40799999999999997</v>
      </c>
      <c r="Z1483" s="245">
        <f ca="1">[1]ExtEntry!$R88</f>
        <v>0.40799999999999997</v>
      </c>
      <c r="AB1483" s="318">
        <v>7357.5</v>
      </c>
      <c r="AC1483" s="318">
        <v>7305</v>
      </c>
      <c r="AD1483" s="318">
        <v>7269</v>
      </c>
      <c r="AE1483" s="318">
        <v>7353.0000000000009</v>
      </c>
      <c r="AF1483" s="318">
        <v>7405.5</v>
      </c>
      <c r="AG1483" s="318">
        <v>7447.5</v>
      </c>
      <c r="AH1483" s="318">
        <v>7420.5</v>
      </c>
      <c r="AI1483" s="318">
        <v>7420.5</v>
      </c>
      <c r="AJ1483" s="318">
        <v>7405.5</v>
      </c>
      <c r="AK1483" s="318">
        <v>7434</v>
      </c>
      <c r="AL1483" s="318">
        <v>7426.5</v>
      </c>
      <c r="AM1483" s="318">
        <v>7357.5</v>
      </c>
      <c r="AN1483" s="318">
        <v>7290</v>
      </c>
      <c r="AO1483" s="318">
        <v>7298.9999999999991</v>
      </c>
      <c r="AP1483" s="318">
        <v>7390.5000000000009</v>
      </c>
      <c r="AQ1483" s="318">
        <v>7462.5</v>
      </c>
      <c r="AR1483" s="318">
        <v>7312.5</v>
      </c>
      <c r="AS1483" s="318">
        <v>7525.5</v>
      </c>
      <c r="AT1483" s="318">
        <v>7635</v>
      </c>
      <c r="AU1483" s="318">
        <v>7504.5</v>
      </c>
      <c r="AV1483" s="318">
        <f ca="1">IF(_xlfn.XLOOKUP(A1483,TabCalc[Ticker],ListExtra_n)&gt;0,             _xlfn.XLOOKUP(A1483,TabCalc[Ticker],ListExtra_n)*_xlfn.XLOOKUP(A1483,TabTRADER[ClickTick],TabTRADER[M])*_xlfn.XLOOKUP(A1483,TabCalc[Ticker],ListScale),               "")</f>
        <v>7504.5</v>
      </c>
      <c r="AX1483" s="88" t="str">
        <f t="shared" ca="1" si="113"/>
        <v>PFE</v>
      </c>
      <c r="BQ1483" t="s">
        <v>139</v>
      </c>
      <c r="BR1483" t="s">
        <v>2201</v>
      </c>
    </row>
    <row r="1484" spans="1:70" hidden="1" x14ac:dyDescent="0.3">
      <c r="A1484" s="88" t="str">
        <f t="shared" ca="1" si="114"/>
        <v>RIG</v>
      </c>
      <c r="F1484" s="251">
        <v>2.6339999999999999</v>
      </c>
      <c r="G1484" s="251">
        <v>2.6372</v>
      </c>
      <c r="H1484" s="251">
        <v>2.6307</v>
      </c>
      <c r="I1484" s="251">
        <v>2.6320999999999999</v>
      </c>
      <c r="J1484" s="251">
        <v>2.6320999999999999</v>
      </c>
      <c r="K1484" s="251">
        <v>2.6360999999999999</v>
      </c>
      <c r="L1484" s="251">
        <v>2.6358000000000001</v>
      </c>
      <c r="M1484" s="251">
        <v>2.6358000000000001</v>
      </c>
      <c r="N1484" s="251">
        <v>2.6358000000000001</v>
      </c>
      <c r="O1484" s="251">
        <v>2.6358000000000001</v>
      </c>
      <c r="P1484" s="251">
        <v>2.6339999999999999</v>
      </c>
      <c r="Q1484" s="251">
        <v>2.6541000000000001</v>
      </c>
      <c r="R1484" s="251">
        <v>2.6547000000000001</v>
      </c>
      <c r="S1484" s="251">
        <v>1.4086000000000001</v>
      </c>
      <c r="T1484" s="251">
        <v>1.4067000000000001</v>
      </c>
      <c r="U1484" s="251">
        <v>1.4079999999999999</v>
      </c>
      <c r="V1484" s="251">
        <v>1.4028</v>
      </c>
      <c r="W1484" s="251">
        <v>1.3976</v>
      </c>
      <c r="X1484" s="251">
        <v>1.3928</v>
      </c>
      <c r="Y1484" s="251">
        <v>1.3791</v>
      </c>
      <c r="Z1484" s="245">
        <f ca="1">[1]ExtEntry!$R89</f>
        <v>1.3791</v>
      </c>
      <c r="AB1484" s="318">
        <v>127715.00000000001</v>
      </c>
      <c r="AC1484" s="318">
        <v>134890</v>
      </c>
      <c r="AD1484" s="318">
        <v>132225</v>
      </c>
      <c r="AE1484" s="318">
        <v>133660</v>
      </c>
      <c r="AF1484" s="318">
        <v>134685</v>
      </c>
      <c r="AG1484" s="318">
        <v>135505</v>
      </c>
      <c r="AH1484" s="318">
        <v>140425</v>
      </c>
      <c r="AI1484" s="318">
        <v>140425</v>
      </c>
      <c r="AJ1484" s="318">
        <v>159285</v>
      </c>
      <c r="AK1484" s="318">
        <v>159695</v>
      </c>
      <c r="AL1484" s="318">
        <v>158055</v>
      </c>
      <c r="AM1484" s="318">
        <v>153955</v>
      </c>
      <c r="AN1484" s="318">
        <v>160515</v>
      </c>
      <c r="AO1484" s="318">
        <v>160113.19999999998</v>
      </c>
      <c r="AP1484" s="318">
        <v>159695</v>
      </c>
      <c r="AQ1484" s="318">
        <v>160925</v>
      </c>
      <c r="AR1484" s="318">
        <v>142560</v>
      </c>
      <c r="AS1484" s="318">
        <v>144360</v>
      </c>
      <c r="AT1484" s="318">
        <v>148680</v>
      </c>
      <c r="AU1484" s="318">
        <v>147420</v>
      </c>
      <c r="AV1484" s="318">
        <f ca="1">IF(_xlfn.XLOOKUP(A1484,TabCalc[Ticker],ListExtra_n)&gt;0,             _xlfn.XLOOKUP(A1484,TabCalc[Ticker],ListExtra_n)*_xlfn.XLOOKUP(A1484,TabTRADER[ClickTick],TabTRADER[M])*_xlfn.XLOOKUP(A1484,TabCalc[Ticker],ListScale),               "")</f>
        <v>147420</v>
      </c>
      <c r="AX1484" s="88" t="str">
        <f t="shared" ca="1" si="113"/>
        <v>RIG</v>
      </c>
      <c r="BQ1484" t="s">
        <v>192</v>
      </c>
      <c r="BR1484" t="s">
        <v>1892</v>
      </c>
    </row>
    <row r="1485" spans="1:70" x14ac:dyDescent="0.3">
      <c r="A1485" s="88" t="str">
        <f t="shared" ca="1" si="114"/>
        <v>RRC</v>
      </c>
      <c r="F1485" s="243">
        <v>0.51280000000000003</v>
      </c>
      <c r="G1485" s="243">
        <v>0.51680000000000004</v>
      </c>
      <c r="H1485" s="243">
        <v>0.51139999999999997</v>
      </c>
      <c r="I1485" s="243">
        <v>0.51600000000000001</v>
      </c>
      <c r="J1485" s="243">
        <v>0.51600000000000001</v>
      </c>
      <c r="K1485" s="243">
        <v>0.50819999999999999</v>
      </c>
      <c r="L1485" s="243">
        <v>0.50870000000000004</v>
      </c>
      <c r="M1485" s="243">
        <v>0.50870000000000004</v>
      </c>
      <c r="N1485" s="243">
        <v>0.50870000000000004</v>
      </c>
      <c r="O1485" s="243">
        <v>0.50870000000000004</v>
      </c>
      <c r="P1485" s="243">
        <v>0.50939999999999996</v>
      </c>
      <c r="Q1485" s="243">
        <v>0.49919999999999998</v>
      </c>
      <c r="R1485" s="243">
        <v>0.4894</v>
      </c>
      <c r="S1485" s="243">
        <v>0.47649999999999998</v>
      </c>
      <c r="T1485" s="243">
        <v>0.47420000000000001</v>
      </c>
      <c r="U1485" s="243">
        <v>0.4748</v>
      </c>
      <c r="V1485" s="243">
        <v>0.47449999999999998</v>
      </c>
      <c r="W1485" s="243">
        <v>0.46650000000000003</v>
      </c>
      <c r="X1485" s="243">
        <v>0.46539999999999998</v>
      </c>
      <c r="Y1485" s="243">
        <v>0.45250000000000001</v>
      </c>
      <c r="Z1485" s="245">
        <f ca="1">[1]ExtEntry!$R90</f>
        <v>0.45250000000000001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2.7223999999999999</v>
      </c>
      <c r="G1486" s="251">
        <v>2.7181000000000002</v>
      </c>
      <c r="H1486" s="251">
        <v>2.7231000000000001</v>
      </c>
      <c r="I1486" s="251">
        <v>2.7235999999999998</v>
      </c>
      <c r="J1486" s="251">
        <v>2.7235999999999998</v>
      </c>
      <c r="K1486" s="251">
        <v>2.7315</v>
      </c>
      <c r="L1486" s="251">
        <v>2.7307000000000001</v>
      </c>
      <c r="M1486" s="251">
        <v>2.7307000000000001</v>
      </c>
      <c r="N1486" s="251">
        <v>2.7307000000000001</v>
      </c>
      <c r="O1486" s="251">
        <v>2.7307000000000001</v>
      </c>
      <c r="P1486" s="251">
        <v>2.7320000000000002</v>
      </c>
      <c r="Q1486" s="251">
        <v>2.7433999999999998</v>
      </c>
      <c r="R1486" s="251">
        <v>2.7368999999999999</v>
      </c>
      <c r="S1486" s="251">
        <v>2.6488999999999998</v>
      </c>
      <c r="T1486" s="251">
        <v>2.6463000000000001</v>
      </c>
      <c r="U1486" s="251">
        <v>2.6461999999999999</v>
      </c>
      <c r="V1486" s="251">
        <v>2.6457000000000002</v>
      </c>
      <c r="W1486" s="251">
        <v>2.6739999999999999</v>
      </c>
      <c r="X1486" s="251">
        <v>2.6848000000000001</v>
      </c>
      <c r="Y1486" s="251">
        <v>2.6939000000000002</v>
      </c>
      <c r="Z1486" s="245">
        <f ca="1">[1]ExtEntry!$R91</f>
        <v>2.6939000000000002</v>
      </c>
      <c r="AB1486" s="318">
        <v>11427.000000000002</v>
      </c>
      <c r="AC1486" s="318">
        <v>11395.5</v>
      </c>
      <c r="AD1486" s="318">
        <v>11182.5</v>
      </c>
      <c r="AE1486" s="318">
        <v>11280</v>
      </c>
      <c r="AF1486" s="318">
        <v>11475</v>
      </c>
      <c r="AG1486" s="318">
        <v>11656.499999999998</v>
      </c>
      <c r="AH1486" s="318">
        <v>11389.500000000002</v>
      </c>
      <c r="AI1486" s="318">
        <v>11389.500000000002</v>
      </c>
      <c r="AJ1486" s="318">
        <v>11782.5</v>
      </c>
      <c r="AK1486" s="318">
        <v>11931.000000000002</v>
      </c>
      <c r="AL1486" s="318">
        <v>12025.5</v>
      </c>
      <c r="AM1486" s="318">
        <v>12028.5</v>
      </c>
      <c r="AN1486" s="318">
        <v>11086.5</v>
      </c>
      <c r="AO1486" s="318">
        <v>10899</v>
      </c>
      <c r="AP1486" s="318">
        <v>11047.5</v>
      </c>
      <c r="AQ1486" s="318">
        <v>10686</v>
      </c>
      <c r="AR1486" s="318">
        <v>9828</v>
      </c>
      <c r="AS1486" s="318">
        <v>9069.75</v>
      </c>
      <c r="AT1486" s="318">
        <v>8646</v>
      </c>
      <c r="AU1486" s="318">
        <v>8624.25</v>
      </c>
      <c r="AV1486" s="318">
        <f ca="1">IF(_xlfn.XLOOKUP(A1486,TabCalc[Ticker],ListExtra_n)&gt;0,             _xlfn.XLOOKUP(A1486,TabCalc[Ticker],ListExtra_n)*_xlfn.XLOOKUP(A1486,TabTRADER[ClickTick],TabTRADER[M])*_xlfn.XLOOKUP(A1486,TabCalc[Ticker],ListScale),               "")</f>
        <v>8624.25</v>
      </c>
      <c r="AX1486" s="88" t="str">
        <f t="shared" ca="1" si="113"/>
        <v>XYZ</v>
      </c>
      <c r="BQ1486" t="s">
        <v>2203</v>
      </c>
      <c r="BR1486" t="s">
        <v>1835</v>
      </c>
    </row>
    <row r="1487" spans="1:70" x14ac:dyDescent="0.3">
      <c r="A1487" s="88" t="str">
        <f t="shared" ca="1" si="114"/>
        <v>THC</v>
      </c>
      <c r="F1487" s="243">
        <v>1.5418000000000001</v>
      </c>
      <c r="G1487" s="243">
        <v>1.5374000000000001</v>
      </c>
      <c r="H1487" s="243">
        <v>1.5347999999999999</v>
      </c>
      <c r="I1487" s="243">
        <v>1.5344</v>
      </c>
      <c r="J1487" s="243">
        <v>1.5344</v>
      </c>
      <c r="K1487" s="243">
        <v>1.5319</v>
      </c>
      <c r="L1487" s="243">
        <v>1.5318000000000001</v>
      </c>
      <c r="M1487" s="243">
        <v>1.5318000000000001</v>
      </c>
      <c r="N1487" s="243">
        <v>1.5318000000000001</v>
      </c>
      <c r="O1487" s="243">
        <v>1.5318000000000001</v>
      </c>
      <c r="P1487" s="243">
        <v>1.5310999999999999</v>
      </c>
      <c r="Q1487" s="243">
        <v>1.5298</v>
      </c>
      <c r="R1487" s="243">
        <v>1.5245</v>
      </c>
      <c r="S1487" s="243">
        <v>1.4512</v>
      </c>
      <c r="T1487" s="243">
        <v>1.4472</v>
      </c>
      <c r="U1487" s="243">
        <v>1.4473</v>
      </c>
      <c r="V1487" s="243">
        <v>1.4489000000000001</v>
      </c>
      <c r="W1487" s="243">
        <v>1.4581</v>
      </c>
      <c r="X1487" s="243">
        <v>1.4630000000000001</v>
      </c>
      <c r="Y1487" s="243">
        <v>1.4632000000000001</v>
      </c>
      <c r="Z1487" s="245">
        <f ca="1">[1]ExtEntry!$R92</f>
        <v>1.4632000000000001</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0.57769999999999999</v>
      </c>
      <c r="T1489" s="243">
        <v>0.57769999999999999</v>
      </c>
      <c r="U1489" s="243">
        <v>0.57769999999999999</v>
      </c>
      <c r="V1489" s="243">
        <v>0.57769999999999999</v>
      </c>
      <c r="W1489" s="243">
        <v>0.58169999999999999</v>
      </c>
      <c r="X1489" s="243">
        <v>0.58169999999999999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1.9578</v>
      </c>
      <c r="G1490" s="251">
        <v>1.9605999999999999</v>
      </c>
      <c r="H1490" s="251">
        <v>1.9593</v>
      </c>
      <c r="I1490" s="251">
        <v>1.962</v>
      </c>
      <c r="J1490" s="251">
        <v>1.962</v>
      </c>
      <c r="K1490" s="251">
        <v>1.9623999999999999</v>
      </c>
      <c r="L1490" s="251">
        <v>1.9639</v>
      </c>
      <c r="M1490" s="251">
        <v>1.9639</v>
      </c>
      <c r="N1490" s="251">
        <v>1.9639</v>
      </c>
      <c r="O1490" s="251">
        <v>1.9639</v>
      </c>
      <c r="P1490" s="251">
        <v>1.9605999999999999</v>
      </c>
      <c r="Q1490" s="251">
        <v>1.9659</v>
      </c>
      <c r="R1490" s="251">
        <v>1.97</v>
      </c>
      <c r="S1490" s="251">
        <v>2.1156000000000001</v>
      </c>
      <c r="T1490" s="251">
        <v>2.1158000000000001</v>
      </c>
      <c r="U1490" s="251">
        <v>2.1168999999999998</v>
      </c>
      <c r="V1490" s="251">
        <v>2.1183000000000001</v>
      </c>
      <c r="W1490" s="251">
        <v>2.1202999999999999</v>
      </c>
      <c r="X1490" s="251">
        <v>2.1173000000000002</v>
      </c>
      <c r="Y1490" s="251">
        <v>2.1166999999999998</v>
      </c>
      <c r="Z1490" s="245">
        <f ca="1">[1]ExtEntry!$R95</f>
        <v>2.1166999999999998</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0.72060000000000002</v>
      </c>
      <c r="G1491" s="243">
        <v>0.72050000000000003</v>
      </c>
      <c r="H1491" s="243">
        <v>0.72060000000000002</v>
      </c>
      <c r="I1491" s="243">
        <v>0.72060000000000002</v>
      </c>
      <c r="J1491" s="243">
        <v>0.72060000000000002</v>
      </c>
      <c r="K1491" s="243">
        <v>0.71760000000000002</v>
      </c>
      <c r="L1491" s="243">
        <v>0.72070000000000001</v>
      </c>
      <c r="M1491" s="243">
        <v>0.72070000000000001</v>
      </c>
      <c r="N1491" s="243">
        <v>0.72070000000000001</v>
      </c>
      <c r="O1491" s="243">
        <v>0.72070000000000001</v>
      </c>
      <c r="P1491" s="243">
        <v>0.72009999999999996</v>
      </c>
      <c r="Q1491" s="243">
        <v>0.72040000000000004</v>
      </c>
      <c r="R1491" s="243">
        <v>0.72060000000000002</v>
      </c>
      <c r="S1491" s="243">
        <v>0.85270000000000001</v>
      </c>
      <c r="T1491" s="243">
        <v>0.85360000000000003</v>
      </c>
      <c r="U1491" s="243">
        <v>0.85350000000000004</v>
      </c>
      <c r="V1491" s="243">
        <v>0.85299999999999998</v>
      </c>
      <c r="W1491" s="243">
        <v>0.84770000000000001</v>
      </c>
      <c r="X1491" s="243">
        <v>0.8599</v>
      </c>
      <c r="Y1491" s="243">
        <v>0.86180000000000001</v>
      </c>
      <c r="Z1491" s="245">
        <f ca="1">[1]ExtEntry!$R96</f>
        <v>0.86180000000000001</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45952</v>
      </c>
      <c r="G1495" s="117">
        <f t="shared" ref="G1495:Z1495" ca="1" si="116">G1396</f>
        <v>45953</v>
      </c>
      <c r="H1495" s="117">
        <f t="shared" ca="1" si="116"/>
        <v>45954</v>
      </c>
      <c r="I1495" s="117">
        <f t="shared" ca="1" si="116"/>
        <v>45957</v>
      </c>
      <c r="J1495" s="117">
        <f t="shared" ca="1" si="116"/>
        <v>45958</v>
      </c>
      <c r="K1495" s="117">
        <f t="shared" ca="1" si="116"/>
        <v>45959</v>
      </c>
      <c r="L1495" s="117">
        <f t="shared" ca="1" si="116"/>
        <v>45960</v>
      </c>
      <c r="M1495" s="117">
        <f t="shared" ca="1" si="116"/>
        <v>45961</v>
      </c>
      <c r="N1495" s="117">
        <f t="shared" ca="1" si="116"/>
        <v>45964</v>
      </c>
      <c r="O1495" s="117">
        <f t="shared" ca="1" si="116"/>
        <v>45965</v>
      </c>
      <c r="P1495" s="117">
        <f t="shared" ca="1" si="116"/>
        <v>45966</v>
      </c>
      <c r="Q1495" s="117">
        <f t="shared" ca="1" si="116"/>
        <v>45967</v>
      </c>
      <c r="R1495" s="117">
        <f t="shared" ca="1" si="116"/>
        <v>45968</v>
      </c>
      <c r="S1495" s="117">
        <f t="shared" ca="1" si="116"/>
        <v>45971</v>
      </c>
      <c r="T1495" s="117">
        <f t="shared" ca="1" si="116"/>
        <v>45972</v>
      </c>
      <c r="U1495" s="117">
        <f t="shared" ca="1" si="116"/>
        <v>45973</v>
      </c>
      <c r="V1495" s="117">
        <f t="shared" ca="1" si="116"/>
        <v>45974</v>
      </c>
      <c r="W1495" s="117">
        <f t="shared" ca="1" si="116"/>
        <v>45975</v>
      </c>
      <c r="X1495" s="117">
        <f t="shared" ca="1" si="116"/>
        <v>45978</v>
      </c>
      <c r="Y1495" s="117">
        <f t="shared" ca="1" si="116"/>
        <v>45979</v>
      </c>
      <c r="Z1495" s="117">
        <f t="shared" ca="1" si="116"/>
        <v>45980</v>
      </c>
      <c r="AB1495" s="117">
        <f t="shared" ref="AB1495:AV1495" ca="1" si="117">F1396</f>
        <v>45952</v>
      </c>
      <c r="AC1495" s="117">
        <f t="shared" ca="1" si="117"/>
        <v>45953</v>
      </c>
      <c r="AD1495" s="117">
        <f t="shared" ca="1" si="117"/>
        <v>45954</v>
      </c>
      <c r="AE1495" s="117">
        <f t="shared" ca="1" si="117"/>
        <v>45957</v>
      </c>
      <c r="AF1495" s="117">
        <f t="shared" ca="1" si="117"/>
        <v>45958</v>
      </c>
      <c r="AG1495" s="117">
        <f t="shared" ca="1" si="117"/>
        <v>45959</v>
      </c>
      <c r="AH1495" s="117">
        <f t="shared" ca="1" si="117"/>
        <v>45960</v>
      </c>
      <c r="AI1495" s="117">
        <f t="shared" ca="1" si="117"/>
        <v>45961</v>
      </c>
      <c r="AJ1495" s="117">
        <f t="shared" ca="1" si="117"/>
        <v>45964</v>
      </c>
      <c r="AK1495" s="117">
        <f t="shared" ca="1" si="117"/>
        <v>45965</v>
      </c>
      <c r="AL1495" s="117">
        <f t="shared" ca="1" si="117"/>
        <v>45966</v>
      </c>
      <c r="AM1495" s="117">
        <f t="shared" ca="1" si="117"/>
        <v>45967</v>
      </c>
      <c r="AN1495" s="117">
        <f t="shared" ca="1" si="117"/>
        <v>45968</v>
      </c>
      <c r="AO1495" s="117">
        <f t="shared" ca="1" si="117"/>
        <v>45971</v>
      </c>
      <c r="AP1495" s="117">
        <f t="shared" ca="1" si="117"/>
        <v>45972</v>
      </c>
      <c r="AQ1495" s="117">
        <f t="shared" ca="1" si="117"/>
        <v>45973</v>
      </c>
      <c r="AR1495" s="117">
        <f t="shared" ca="1" si="117"/>
        <v>45974</v>
      </c>
      <c r="AS1495" s="117">
        <f t="shared" ca="1" si="117"/>
        <v>45975</v>
      </c>
      <c r="AT1495" s="117">
        <f t="shared" ca="1" si="117"/>
        <v>45978</v>
      </c>
      <c r="AU1495" s="117">
        <f t="shared" ca="1" si="117"/>
        <v>45979</v>
      </c>
      <c r="AV1495" s="117">
        <f t="shared" ca="1" si="117"/>
        <v>45980</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24" t="e">
        <v>#N/A</v>
      </c>
      <c r="G1497" s="924" t="e">
        <v>#N/A</v>
      </c>
      <c r="H1497" s="924" t="e">
        <v>#N/A</v>
      </c>
      <c r="I1497" s="924" t="e">
        <v>#N/A</v>
      </c>
      <c r="J1497" s="924" t="e">
        <v>#N/A</v>
      </c>
      <c r="K1497" s="924" t="e">
        <v>#N/A</v>
      </c>
      <c r="L1497" s="924" t="e">
        <v>#N/A</v>
      </c>
      <c r="M1497" s="924" t="e">
        <v>#N/A</v>
      </c>
      <c r="N1497" s="924" t="e">
        <v>#N/A</v>
      </c>
      <c r="O1497" s="924" t="e">
        <v>#N/A</v>
      </c>
      <c r="P1497" s="924" t="e">
        <v>#N/A</v>
      </c>
      <c r="Q1497" s="924" t="e">
        <v>#N/A</v>
      </c>
      <c r="R1497" s="924" t="e">
        <v>#N/A</v>
      </c>
      <c r="S1497" s="924" t="e">
        <v>#N/A</v>
      </c>
      <c r="T1497" s="924" t="e">
        <v>#N/A</v>
      </c>
      <c r="U1497" s="924" t="e">
        <v>#N/A</v>
      </c>
      <c r="V1497" s="924" t="e">
        <v>#N/A</v>
      </c>
      <c r="W1497" s="924" t="e">
        <v>#N/A</v>
      </c>
      <c r="X1497" s="924" t="e">
        <v>#N/A</v>
      </c>
      <c r="Y1497" s="924" t="e">
        <v>#N/A</v>
      </c>
      <c r="Z1497" s="924" t="e">
        <f ca="1">_xlfn.XLOOKUP(A1393,TabCalc[Ticker],TabCalc[Imp20])</f>
        <v>#N/A</v>
      </c>
      <c r="AB1497" s="924" t="e">
        <v>#N/A</v>
      </c>
      <c r="AC1497" s="924" t="e">
        <v>#N/A</v>
      </c>
      <c r="AD1497" s="924" t="e">
        <v>#N/A</v>
      </c>
      <c r="AE1497" s="924" t="e">
        <v>#N/A</v>
      </c>
      <c r="AF1497" s="924" t="e">
        <v>#N/A</v>
      </c>
      <c r="AG1497" s="924" t="e">
        <v>#N/A</v>
      </c>
      <c r="AH1497" s="924" t="e">
        <v>#N/A</v>
      </c>
      <c r="AI1497" s="924" t="e">
        <v>#N/A</v>
      </c>
      <c r="AJ1497" s="924" t="e">
        <v>#N/A</v>
      </c>
      <c r="AK1497" s="924" t="e">
        <v>#N/A</v>
      </c>
      <c r="AL1497" s="924">
        <v>0.13846153846153839</v>
      </c>
      <c r="AM1497" s="924">
        <v>0.15384615384615374</v>
      </c>
      <c r="AN1497" s="924">
        <v>0.15384615384615374</v>
      </c>
      <c r="AO1497" s="924">
        <v>-9.0909090909090884E-2</v>
      </c>
      <c r="AP1497" s="924">
        <v>-0.25</v>
      </c>
      <c r="AQ1497" s="924">
        <v>-0.25</v>
      </c>
      <c r="AR1497" s="924">
        <v>-0.33333333333333343</v>
      </c>
      <c r="AS1497" s="924">
        <v>-0.39999999999999997</v>
      </c>
      <c r="AT1497" s="924">
        <v>0</v>
      </c>
      <c r="AU1497" s="924">
        <v>0</v>
      </c>
      <c r="AV1497" s="924">
        <f ca="1">_xlfn.XLOOKUP(A1497,TabCalc[Ticker],TabCalc[Imp150])</f>
        <v>0</v>
      </c>
      <c r="AX1497" s="88" t="str">
        <f t="shared" ca="1" si="115"/>
        <v>AAPL</v>
      </c>
    </row>
    <row r="1498" spans="1:70" x14ac:dyDescent="0.3">
      <c r="A1498" s="88" t="str">
        <f t="shared" ca="1" si="118"/>
        <v>ADEA</v>
      </c>
      <c r="F1498" s="924" t="e">
        <v>#N/A</v>
      </c>
      <c r="G1498" s="924" t="e">
        <v>#N/A</v>
      </c>
      <c r="H1498" s="924" t="e">
        <v>#N/A</v>
      </c>
      <c r="I1498" s="924" t="e">
        <v>#N/A</v>
      </c>
      <c r="J1498" s="924" t="e">
        <v>#N/A</v>
      </c>
      <c r="K1498" s="924" t="e">
        <v>#N/A</v>
      </c>
      <c r="L1498" s="924" t="e">
        <v>#N/A</v>
      </c>
      <c r="M1498" s="924" t="e">
        <v>#N/A</v>
      </c>
      <c r="N1498" s="924" t="e">
        <v>#N/A</v>
      </c>
      <c r="O1498" s="924" t="e">
        <v>#N/A</v>
      </c>
      <c r="P1498" s="924" t="e">
        <v>#N/A</v>
      </c>
      <c r="Q1498" s="924" t="e">
        <v>#N/A</v>
      </c>
      <c r="R1498" s="924" t="e">
        <v>#N/A</v>
      </c>
      <c r="S1498" s="924" t="e">
        <v>#N/A</v>
      </c>
      <c r="T1498" s="924" t="e">
        <v>#N/A</v>
      </c>
      <c r="U1498" s="924" t="e">
        <v>#N/A</v>
      </c>
      <c r="V1498" s="924" t="e">
        <v>#N/A</v>
      </c>
      <c r="W1498" s="924" t="e">
        <v>#N/A</v>
      </c>
      <c r="X1498" s="924" t="e">
        <v>#N/A</v>
      </c>
      <c r="Y1498" s="924" t="e">
        <v>#N/A</v>
      </c>
      <c r="Z1498" s="924" t="e">
        <f ca="1">_xlfn.XLOOKUP(A1394,TabCalc[Ticker],TabCalc[Imp20])</f>
        <v>#N/A</v>
      </c>
      <c r="AB1498" s="924" t="e">
        <v>#N/A</v>
      </c>
      <c r="AC1498" s="924" t="e">
        <v>#N/A</v>
      </c>
      <c r="AD1498" s="924" t="e">
        <v>#N/A</v>
      </c>
      <c r="AE1498" s="924" t="e">
        <v>#N/A</v>
      </c>
      <c r="AF1498" s="924" t="e">
        <v>#N/A</v>
      </c>
      <c r="AG1498" s="924" t="e">
        <v>#N/A</v>
      </c>
      <c r="AH1498" s="924" t="e">
        <v>#N/A</v>
      </c>
      <c r="AI1498" s="924" t="e">
        <v>#N/A</v>
      </c>
      <c r="AJ1498" s="924" t="e">
        <v>#N/A</v>
      </c>
      <c r="AK1498" s="924" t="e">
        <v>#N/A</v>
      </c>
      <c r="AL1498" s="924">
        <v>3.3333333333333284E-2</v>
      </c>
      <c r="AM1498" s="924">
        <v>3.7037037037036979E-2</v>
      </c>
      <c r="AN1498" s="924">
        <v>3.7037037037036979E-2</v>
      </c>
      <c r="AO1498" s="924">
        <v>3.7037037037036979E-2</v>
      </c>
      <c r="AP1498" s="924">
        <v>-0.33333333333333343</v>
      </c>
      <c r="AQ1498" s="924">
        <v>-0.33333333333333343</v>
      </c>
      <c r="AR1498" s="924">
        <v>-0.33333333333333343</v>
      </c>
      <c r="AS1498" s="924">
        <v>-0.33333333333333343</v>
      </c>
      <c r="AT1498" s="924">
        <v>-0.27272727272727271</v>
      </c>
      <c r="AU1498" s="924">
        <v>-0.27272727272727271</v>
      </c>
      <c r="AV1498" s="924">
        <f ca="1">_xlfn.XLOOKUP(A1498,TabCalc[Ticker],TabCalc[Imp150])</f>
        <v>-0.27272727272727271</v>
      </c>
      <c r="AX1498" s="88" t="str">
        <f t="shared" ca="1" si="115"/>
        <v>ADEA</v>
      </c>
    </row>
    <row r="1499" spans="1:70" x14ac:dyDescent="0.3">
      <c r="A1499" s="88" t="str">
        <f t="shared" ca="1" si="118"/>
        <v>AET</v>
      </c>
      <c r="F1499" s="924" t="e">
        <v>#N/A</v>
      </c>
      <c r="G1499" s="924" t="e">
        <v>#N/A</v>
      </c>
      <c r="H1499" s="924" t="e">
        <v>#N/A</v>
      </c>
      <c r="I1499" s="924" t="e">
        <v>#N/A</v>
      </c>
      <c r="J1499" s="924" t="e">
        <v>#N/A</v>
      </c>
      <c r="K1499" s="924" t="e">
        <v>#N/A</v>
      </c>
      <c r="L1499" s="924" t="e">
        <v>#N/A</v>
      </c>
      <c r="M1499" s="924" t="e">
        <v>#N/A</v>
      </c>
      <c r="N1499" s="924" t="e">
        <v>#N/A</v>
      </c>
      <c r="O1499" s="924" t="e">
        <v>#N/A</v>
      </c>
      <c r="P1499" s="924" t="e">
        <v>#N/A</v>
      </c>
      <c r="Q1499" s="924" t="e">
        <v>#N/A</v>
      </c>
      <c r="R1499" s="924" t="e">
        <v>#N/A</v>
      </c>
      <c r="S1499" s="924" t="e">
        <v>#N/A</v>
      </c>
      <c r="T1499" s="924" t="e">
        <v>#N/A</v>
      </c>
      <c r="U1499" s="924" t="e">
        <v>#N/A</v>
      </c>
      <c r="V1499" s="924" t="e">
        <v>#N/A</v>
      </c>
      <c r="W1499" s="924" t="e">
        <v>#N/A</v>
      </c>
      <c r="X1499" s="924" t="e">
        <v>#N/A</v>
      </c>
      <c r="Y1499" s="924" t="e">
        <v>#N/A</v>
      </c>
      <c r="Z1499" s="924" t="e">
        <f ca="1">_xlfn.XLOOKUP(A1395,TabCalc[Ticker],TabCalc[Imp20])</f>
        <v>#N/A</v>
      </c>
      <c r="AB1499" s="924" t="e">
        <v>#N/A</v>
      </c>
      <c r="AC1499" s="924" t="e">
        <v>#N/A</v>
      </c>
      <c r="AD1499" s="924" t="e">
        <v>#N/A</v>
      </c>
      <c r="AE1499" s="924" t="e">
        <v>#N/A</v>
      </c>
      <c r="AF1499" s="924" t="e">
        <v>#N/A</v>
      </c>
      <c r="AG1499" s="924" t="e">
        <v>#N/A</v>
      </c>
      <c r="AH1499" s="924" t="e">
        <v>#N/A</v>
      </c>
      <c r="AI1499" s="924" t="e">
        <v>#N/A</v>
      </c>
      <c r="AJ1499" s="924" t="e">
        <v>#N/A</v>
      </c>
      <c r="AK1499" s="924" t="e">
        <v>#N/A</v>
      </c>
      <c r="AL1499" s="924">
        <v>-0.22500000000000001</v>
      </c>
      <c r="AM1499" s="924">
        <v>-0.25</v>
      </c>
      <c r="AN1499" s="924">
        <v>-0.25</v>
      </c>
      <c r="AO1499" s="924">
        <v>-0.25</v>
      </c>
      <c r="AP1499" s="924">
        <v>-0.25</v>
      </c>
      <c r="AQ1499" s="924">
        <v>-0.25</v>
      </c>
      <c r="AR1499" s="924">
        <v>-0.25</v>
      </c>
      <c r="AS1499" s="924">
        <v>-0.25</v>
      </c>
      <c r="AT1499" s="924">
        <v>-0.25</v>
      </c>
      <c r="AU1499" s="924">
        <v>-0.25</v>
      </c>
      <c r="AV1499" s="924">
        <f ca="1">_xlfn.XLOOKUP(A1499,TabCalc[Ticker],TabCalc[Imp150])</f>
        <v>-0.25</v>
      </c>
      <c r="AX1499" s="88" t="str">
        <f t="shared" ca="1" si="115"/>
        <v>AET</v>
      </c>
    </row>
    <row r="1500" spans="1:70" x14ac:dyDescent="0.3">
      <c r="A1500" s="88" t="str">
        <f t="shared" ca="1" si="118"/>
        <v>AMZN</v>
      </c>
      <c r="F1500" s="924" t="e">
        <v>#N/A</v>
      </c>
      <c r="G1500" s="924" t="e">
        <v>#N/A</v>
      </c>
      <c r="H1500" s="924" t="e">
        <v>#N/A</v>
      </c>
      <c r="I1500" s="924" t="e">
        <v>#N/A</v>
      </c>
      <c r="J1500" s="924" t="e">
        <v>#N/A</v>
      </c>
      <c r="K1500" s="924" t="e">
        <v>#N/A</v>
      </c>
      <c r="L1500" s="924" t="e">
        <v>#N/A</v>
      </c>
      <c r="M1500" s="924" t="e">
        <v>#N/A</v>
      </c>
      <c r="N1500" s="924" t="e">
        <v>#N/A</v>
      </c>
      <c r="O1500" s="924" t="e">
        <v>#N/A</v>
      </c>
      <c r="P1500" s="924" t="e">
        <v>#N/A</v>
      </c>
      <c r="Q1500" s="924" t="e">
        <v>#N/A</v>
      </c>
      <c r="R1500" s="924" t="e">
        <v>#N/A</v>
      </c>
      <c r="S1500" s="924" t="e">
        <v>#N/A</v>
      </c>
      <c r="T1500" s="924" t="e">
        <v>#N/A</v>
      </c>
      <c r="U1500" s="924" t="e">
        <v>#N/A</v>
      </c>
      <c r="V1500" s="924" t="e">
        <v>#N/A</v>
      </c>
      <c r="W1500" s="924" t="e">
        <v>#N/A</v>
      </c>
      <c r="X1500" s="924" t="e">
        <v>#N/A</v>
      </c>
      <c r="Y1500" s="924" t="e">
        <v>#N/A</v>
      </c>
      <c r="Z1500" s="924" t="e">
        <f ca="1">_xlfn.XLOOKUP(A1396,TabCalc[Ticker],TabCalc[Imp20])</f>
        <v>#N/A</v>
      </c>
      <c r="AB1500" s="924" t="e">
        <v>#N/A</v>
      </c>
      <c r="AC1500" s="924" t="e">
        <v>#N/A</v>
      </c>
      <c r="AD1500" s="924" t="e">
        <v>#N/A</v>
      </c>
      <c r="AE1500" s="924" t="e">
        <v>#N/A</v>
      </c>
      <c r="AF1500" s="924" t="e">
        <v>#N/A</v>
      </c>
      <c r="AG1500" s="924" t="e">
        <v>#N/A</v>
      </c>
      <c r="AH1500" s="924" t="e">
        <v>#N/A</v>
      </c>
      <c r="AI1500" s="924" t="e">
        <v>#N/A</v>
      </c>
      <c r="AJ1500" s="924" t="e">
        <v>#N/A</v>
      </c>
      <c r="AK1500" s="924" t="e">
        <v>#N/A</v>
      </c>
      <c r="AL1500" s="924">
        <v>2.3893805309734551E-2</v>
      </c>
      <c r="AM1500" s="924">
        <v>2.6548672566371723E-2</v>
      </c>
      <c r="AN1500" s="924">
        <v>2.6548672566371723E-2</v>
      </c>
      <c r="AO1500" s="924">
        <v>-0.33333333333333343</v>
      </c>
      <c r="AP1500" s="924">
        <v>-0.5</v>
      </c>
      <c r="AQ1500" s="924">
        <v>-0.5</v>
      </c>
      <c r="AR1500" s="924">
        <v>-0.5</v>
      </c>
      <c r="AS1500" s="924">
        <v>-0.25</v>
      </c>
      <c r="AT1500" s="924">
        <v>-1</v>
      </c>
      <c r="AU1500" s="924">
        <v>-1</v>
      </c>
      <c r="AV1500" s="924">
        <f ca="1">_xlfn.XLOOKUP(A1500,TabCalc[Ticker],TabCalc[Imp150])</f>
        <v>-0.11111111111111116</v>
      </c>
      <c r="AX1500" s="88" t="str">
        <f t="shared" ca="1" si="115"/>
        <v>AMZN</v>
      </c>
    </row>
    <row r="1501" spans="1:70" x14ac:dyDescent="0.3">
      <c r="A1501" s="88" t="str">
        <f t="shared" ca="1" si="118"/>
        <v>ALDNE</v>
      </c>
      <c r="F1501" s="924" t="e">
        <v>#N/A</v>
      </c>
      <c r="G1501" s="924" t="e">
        <v>#N/A</v>
      </c>
      <c r="H1501" s="924" t="e">
        <v>#N/A</v>
      </c>
      <c r="I1501" s="924" t="e">
        <v>#N/A</v>
      </c>
      <c r="J1501" s="924" t="e">
        <v>#N/A</v>
      </c>
      <c r="K1501" s="924" t="e">
        <v>#N/A</v>
      </c>
      <c r="L1501" s="924" t="e">
        <v>#N/A</v>
      </c>
      <c r="M1501" s="924" t="e">
        <v>#N/A</v>
      </c>
      <c r="N1501" s="924" t="e">
        <v>#N/A</v>
      </c>
      <c r="O1501" s="924" t="e">
        <v>#N/A</v>
      </c>
      <c r="P1501" s="924" t="e">
        <v>#N/A</v>
      </c>
      <c r="Q1501" s="924" t="e">
        <v>#N/A</v>
      </c>
      <c r="R1501" s="924" t="e">
        <v>#N/A</v>
      </c>
      <c r="S1501" s="924" t="e">
        <v>#N/A</v>
      </c>
      <c r="T1501" s="924" t="e">
        <v>#N/A</v>
      </c>
      <c r="U1501" s="924" t="e">
        <v>#N/A</v>
      </c>
      <c r="V1501" s="924" t="e">
        <v>#N/A</v>
      </c>
      <c r="W1501" s="924" t="e">
        <v>#N/A</v>
      </c>
      <c r="X1501" s="924" t="e">
        <v>#N/A</v>
      </c>
      <c r="Y1501" s="924" t="e">
        <v>#N/A</v>
      </c>
      <c r="Z1501" s="924" t="e">
        <f ca="1">_xlfn.XLOOKUP(A1397,TabCalc[Ticker],TabCalc[Imp20])</f>
        <v>#N/A</v>
      </c>
      <c r="AB1501" s="924" t="e">
        <v>#N/A</v>
      </c>
      <c r="AC1501" s="924" t="e">
        <v>#N/A</v>
      </c>
      <c r="AD1501" s="924" t="e">
        <v>#N/A</v>
      </c>
      <c r="AE1501" s="924" t="e">
        <v>#N/A</v>
      </c>
      <c r="AF1501" s="924" t="e">
        <v>#N/A</v>
      </c>
      <c r="AG1501" s="924" t="e">
        <v>#N/A</v>
      </c>
      <c r="AH1501" s="924" t="e">
        <v>#N/A</v>
      </c>
      <c r="AI1501" s="924" t="e">
        <v>#N/A</v>
      </c>
      <c r="AJ1501" s="924" t="e">
        <v>#N/A</v>
      </c>
      <c r="AK1501" s="924" t="e">
        <v>#N/A</v>
      </c>
      <c r="AL1501" s="924">
        <v>-5.6756756756756781E-2</v>
      </c>
      <c r="AM1501" s="924">
        <v>-6.3063063063063085E-2</v>
      </c>
      <c r="AN1501" s="924">
        <v>-6.3063063063063085E-2</v>
      </c>
      <c r="AO1501" s="924">
        <v>-6.3063063063063085E-2</v>
      </c>
      <c r="AP1501" s="924">
        <v>-1</v>
      </c>
      <c r="AQ1501" s="924">
        <v>-1</v>
      </c>
      <c r="AR1501" s="924">
        <v>-1</v>
      </c>
      <c r="AS1501" s="924">
        <v>-1</v>
      </c>
      <c r="AT1501" s="924">
        <v>-1</v>
      </c>
      <c r="AU1501" s="924">
        <v>-1</v>
      </c>
      <c r="AV1501" s="924">
        <f ca="1">_xlfn.XLOOKUP(A1501,TabCalc[Ticker],TabCalc[Imp150])</f>
        <v>-1</v>
      </c>
      <c r="AX1501" s="88" t="str">
        <f t="shared" ca="1" si="115"/>
        <v>ALDNE</v>
      </c>
    </row>
    <row r="1502" spans="1:70" x14ac:dyDescent="0.3">
      <c r="A1502" s="88" t="str">
        <f t="shared" ca="1" si="118"/>
        <v>ASML</v>
      </c>
      <c r="F1502" s="924">
        <v>-1</v>
      </c>
      <c r="G1502" s="924">
        <v>-1</v>
      </c>
      <c r="H1502" s="924">
        <v>1</v>
      </c>
      <c r="I1502" s="924">
        <v>0.14285714285714279</v>
      </c>
      <c r="J1502" s="924">
        <v>-1</v>
      </c>
      <c r="K1502" s="924">
        <v>0.14285714285714279</v>
      </c>
      <c r="L1502" s="924">
        <v>-1</v>
      </c>
      <c r="M1502" s="924">
        <v>-1</v>
      </c>
      <c r="N1502" s="924">
        <v>0</v>
      </c>
      <c r="O1502" s="924">
        <v>0</v>
      </c>
      <c r="P1502" s="924">
        <v>-0.60000000000000009</v>
      </c>
      <c r="Q1502" s="924">
        <v>-0.60000000000000009</v>
      </c>
      <c r="R1502" s="924">
        <v>-0.60000000000000009</v>
      </c>
      <c r="S1502" s="924">
        <v>-1</v>
      </c>
      <c r="T1502" s="924">
        <v>-1</v>
      </c>
      <c r="U1502" s="924">
        <v>-1</v>
      </c>
      <c r="V1502" s="924">
        <v>-1</v>
      </c>
      <c r="W1502" s="924">
        <v>-1</v>
      </c>
      <c r="X1502" s="924">
        <v>-1</v>
      </c>
      <c r="Y1502" s="924">
        <v>-1</v>
      </c>
      <c r="Z1502" s="924">
        <f ca="1">_xlfn.XLOOKUP(A1398,TabCalc[Ticker],TabCalc[Imp20])</f>
        <v>-1</v>
      </c>
      <c r="AB1502" s="924">
        <v>9.4339622641509413E-2</v>
      </c>
      <c r="AC1502" s="924">
        <v>0.10476190476190483</v>
      </c>
      <c r="AD1502" s="924">
        <v>0.12380952380952381</v>
      </c>
      <c r="AE1502" s="924">
        <v>0.14285714285714279</v>
      </c>
      <c r="AF1502" s="924">
        <v>-1</v>
      </c>
      <c r="AG1502" s="924">
        <v>0.14285714285714279</v>
      </c>
      <c r="AH1502" s="924">
        <v>-1</v>
      </c>
      <c r="AI1502" s="924">
        <v>-1</v>
      </c>
      <c r="AJ1502" s="924">
        <v>0.14285714285714279</v>
      </c>
      <c r="AK1502" s="924">
        <v>0.14285714285714279</v>
      </c>
      <c r="AL1502" s="924">
        <v>0.10327868852459009</v>
      </c>
      <c r="AM1502" s="924">
        <v>0.11475409836065564</v>
      </c>
      <c r="AN1502" s="924">
        <v>0.11475409836065564</v>
      </c>
      <c r="AO1502" s="924">
        <v>0.11475409836065564</v>
      </c>
      <c r="AP1502" s="924">
        <v>-0.33333333333333343</v>
      </c>
      <c r="AQ1502" s="924">
        <v>0.125</v>
      </c>
      <c r="AR1502" s="924">
        <v>9.0909090909090828E-2</v>
      </c>
      <c r="AS1502" s="924">
        <v>9.0909090909090828E-2</v>
      </c>
      <c r="AT1502" s="924">
        <v>0.125</v>
      </c>
      <c r="AU1502" s="924">
        <v>0.125</v>
      </c>
      <c r="AV1502" s="924">
        <f ca="1">_xlfn.XLOOKUP(A1502,TabCalc[Ticker],TabCalc[Imp150])</f>
        <v>0.125</v>
      </c>
      <c r="AX1502" s="88" t="str">
        <f t="shared" ca="1" si="115"/>
        <v>ASML</v>
      </c>
    </row>
    <row r="1503" spans="1:70" hidden="1" x14ac:dyDescent="0.3">
      <c r="A1503" s="88" t="str">
        <f t="shared" ca="1" si="118"/>
        <v>AVGO</v>
      </c>
      <c r="F1503" s="924">
        <v>-1</v>
      </c>
      <c r="G1503" s="924">
        <v>-1</v>
      </c>
      <c r="H1503" s="924">
        <v>-1</v>
      </c>
      <c r="I1503" s="924">
        <v>-1</v>
      </c>
      <c r="J1503" s="924">
        <v>-1</v>
      </c>
      <c r="K1503" s="924">
        <v>-1</v>
      </c>
      <c r="L1503" s="924">
        <v>-0.71428571428571441</v>
      </c>
      <c r="M1503" s="924">
        <v>-0.71428571428571441</v>
      </c>
      <c r="N1503" s="924">
        <v>-0.66666666666666674</v>
      </c>
      <c r="O1503" s="924">
        <v>-0.66666666666666674</v>
      </c>
      <c r="P1503" s="924">
        <v>0.19999999999999996</v>
      </c>
      <c r="Q1503" s="924">
        <v>0.19999999999999996</v>
      </c>
      <c r="R1503" s="924">
        <v>0.19999999999999996</v>
      </c>
      <c r="S1503" s="924">
        <v>0.19999999999999996</v>
      </c>
      <c r="T1503" s="924">
        <v>-1</v>
      </c>
      <c r="U1503" s="924">
        <v>-1</v>
      </c>
      <c r="V1503" s="924">
        <v>-1</v>
      </c>
      <c r="W1503" s="924">
        <v>-1</v>
      </c>
      <c r="X1503" s="924">
        <v>-1</v>
      </c>
      <c r="Y1503" s="924">
        <v>-1</v>
      </c>
      <c r="Z1503" s="924">
        <f ca="1">_xlfn.XLOOKUP(A1399,TabCalc[Ticker],TabCalc[Imp20])</f>
        <v>-1</v>
      </c>
      <c r="AB1503" s="924">
        <v>-1</v>
      </c>
      <c r="AC1503" s="924">
        <v>-1</v>
      </c>
      <c r="AD1503" s="924">
        <v>-1</v>
      </c>
      <c r="AE1503" s="924">
        <v>-1</v>
      </c>
      <c r="AF1503" s="924">
        <v>-1</v>
      </c>
      <c r="AG1503" s="924">
        <v>-1</v>
      </c>
      <c r="AH1503" s="924">
        <v>3.7037037037036979E-2</v>
      </c>
      <c r="AI1503" s="924">
        <v>3.7037037037036979E-2</v>
      </c>
      <c r="AJ1503" s="924">
        <v>3.7037037037036979E-2</v>
      </c>
      <c r="AK1503" s="924">
        <v>3.7037037037036979E-2</v>
      </c>
      <c r="AL1503" s="924">
        <v>0.15254237288135594</v>
      </c>
      <c r="AM1503" s="924">
        <v>0.16949152542372881</v>
      </c>
      <c r="AN1503" s="924">
        <v>0.16949152542372881</v>
      </c>
      <c r="AO1503" s="924">
        <v>0.16949152542372881</v>
      </c>
      <c r="AP1503" s="924">
        <v>0.14285714285714279</v>
      </c>
      <c r="AQ1503" s="924">
        <v>0.14285714285714279</v>
      </c>
      <c r="AR1503" s="924">
        <v>0.14285714285714279</v>
      </c>
      <c r="AS1503" s="924">
        <v>0.14285714285714279</v>
      </c>
      <c r="AT1503" s="924">
        <v>-0.26315789473684209</v>
      </c>
      <c r="AU1503" s="924">
        <v>-0.26315789473684209</v>
      </c>
      <c r="AV1503" s="924">
        <f ca="1">_xlfn.XLOOKUP(A1503,TabCalc[Ticker],TabCalc[Imp150])</f>
        <v>-0.26315789473684209</v>
      </c>
      <c r="AX1503" s="88" t="str">
        <f t="shared" ca="1" si="115"/>
        <v>AVGO</v>
      </c>
    </row>
    <row r="1504" spans="1:70" hidden="1" x14ac:dyDescent="0.3">
      <c r="A1504" s="88" t="str">
        <f t="shared" ca="1" si="118"/>
        <v>AZN</v>
      </c>
      <c r="F1504" s="924">
        <v>-0.41176470588235287</v>
      </c>
      <c r="G1504" s="924">
        <v>-0.38461538461538458</v>
      </c>
      <c r="H1504" s="924">
        <v>-0.38461538461538458</v>
      </c>
      <c r="I1504" s="924">
        <v>-0.38461538461538458</v>
      </c>
      <c r="J1504" s="924">
        <v>-0.14285714285714285</v>
      </c>
      <c r="K1504" s="924">
        <v>-0.14285714285714285</v>
      </c>
      <c r="L1504" s="924">
        <v>-1</v>
      </c>
      <c r="M1504" s="924">
        <v>-1</v>
      </c>
      <c r="N1504" s="924">
        <v>-1</v>
      </c>
      <c r="O1504" s="924">
        <v>-0.60000000000000009</v>
      </c>
      <c r="P1504" s="924">
        <v>-0.33333333333333343</v>
      </c>
      <c r="Q1504" s="924">
        <v>-0.33333333333333343</v>
      </c>
      <c r="R1504" s="924">
        <v>-1</v>
      </c>
      <c r="S1504" s="924">
        <v>-1</v>
      </c>
      <c r="T1504" s="924">
        <v>-1</v>
      </c>
      <c r="U1504" s="924">
        <v>-1</v>
      </c>
      <c r="V1504" s="924">
        <v>-1</v>
      </c>
      <c r="W1504" s="924">
        <v>-1</v>
      </c>
      <c r="X1504" s="924">
        <v>-1</v>
      </c>
      <c r="Y1504" s="924">
        <v>-1</v>
      </c>
      <c r="Z1504" s="924">
        <f ca="1">_xlfn.XLOOKUP(A1400,TabCalc[Ticker],TabCalc[Imp20])</f>
        <v>-1</v>
      </c>
      <c r="AB1504" s="924">
        <v>-8.9430894308943076E-2</v>
      </c>
      <c r="AC1504" s="924">
        <v>-8.9430894308943076E-2</v>
      </c>
      <c r="AD1504" s="924">
        <v>-8.9430894308943076E-2</v>
      </c>
      <c r="AE1504" s="924">
        <v>-8.9430894308943076E-2</v>
      </c>
      <c r="AF1504" s="924">
        <v>-0.12195121951219517</v>
      </c>
      <c r="AG1504" s="924">
        <v>-0.12195121951219517</v>
      </c>
      <c r="AH1504" s="924">
        <v>-9.6774193548387066E-2</v>
      </c>
      <c r="AI1504" s="924">
        <v>-9.6774193548387066E-2</v>
      </c>
      <c r="AJ1504" s="924">
        <v>-8.0645161290322565E-2</v>
      </c>
      <c r="AK1504" s="924">
        <v>-8.0645161290322565E-2</v>
      </c>
      <c r="AL1504" s="924">
        <v>0</v>
      </c>
      <c r="AM1504" s="924">
        <v>0</v>
      </c>
      <c r="AN1504" s="924">
        <v>0</v>
      </c>
      <c r="AO1504" s="924">
        <v>-0.33333333333333343</v>
      </c>
      <c r="AP1504" s="924">
        <v>0.14285714285714279</v>
      </c>
      <c r="AQ1504" s="924">
        <v>0.14285714285714279</v>
      </c>
      <c r="AR1504" s="924">
        <v>0.14285714285714279</v>
      </c>
      <c r="AS1504" s="924">
        <v>-0.14285714285714285</v>
      </c>
      <c r="AT1504" s="924">
        <v>-1</v>
      </c>
      <c r="AU1504" s="924">
        <v>-1</v>
      </c>
      <c r="AV1504" s="924">
        <f ca="1">_xlfn.XLOOKUP(A1504,TabCalc[Ticker],TabCalc[Imp150])</f>
        <v>-1</v>
      </c>
      <c r="AX1504" s="88" t="str">
        <f t="shared" ca="1" si="115"/>
        <v>AZN</v>
      </c>
    </row>
    <row r="1505" spans="1:50" hidden="1" x14ac:dyDescent="0.3">
      <c r="A1505" s="88" t="str">
        <f t="shared" ca="1" si="118"/>
        <v>BLDP</v>
      </c>
      <c r="F1505" s="924">
        <v>-1</v>
      </c>
      <c r="G1505" s="924">
        <v>-1</v>
      </c>
      <c r="H1505" s="924">
        <v>-0.33333333333333343</v>
      </c>
      <c r="I1505" s="924">
        <v>-0.33333333333333343</v>
      </c>
      <c r="J1505" s="924">
        <v>-1</v>
      </c>
      <c r="K1505" s="924">
        <v>-1</v>
      </c>
      <c r="L1505" s="924">
        <v>-1</v>
      </c>
      <c r="M1505" s="924">
        <v>-1</v>
      </c>
      <c r="N1505" s="924">
        <v>-0.8</v>
      </c>
      <c r="O1505" s="924">
        <v>-0.8</v>
      </c>
      <c r="P1505" s="924">
        <v>-1</v>
      </c>
      <c r="Q1505" s="924">
        <v>-1</v>
      </c>
      <c r="R1505" s="924">
        <v>-1</v>
      </c>
      <c r="S1505" s="924">
        <v>-1</v>
      </c>
      <c r="T1505" s="924">
        <v>-1</v>
      </c>
      <c r="U1505" s="924">
        <v>-1</v>
      </c>
      <c r="V1505" s="924">
        <v>-1</v>
      </c>
      <c r="W1505" s="924">
        <v>-1</v>
      </c>
      <c r="X1505" s="924">
        <v>-1</v>
      </c>
      <c r="Y1505" s="924">
        <v>-1</v>
      </c>
      <c r="Z1505" s="924">
        <f ca="1">_xlfn.XLOOKUP(A1401,TabCalc[Ticker],TabCalc[Imp20])</f>
        <v>-1</v>
      </c>
      <c r="AB1505" s="924">
        <v>-1</v>
      </c>
      <c r="AC1505" s="924">
        <v>-1</v>
      </c>
      <c r="AD1505" s="924">
        <v>1.7857142857142794E-2</v>
      </c>
      <c r="AE1505" s="924">
        <v>1.7857142857142794E-2</v>
      </c>
      <c r="AF1505" s="924">
        <v>-1</v>
      </c>
      <c r="AG1505" s="924">
        <v>-1</v>
      </c>
      <c r="AH1505" s="924">
        <v>1.7857142857142794E-2</v>
      </c>
      <c r="AI1505" s="924">
        <v>1.7857142857142794E-2</v>
      </c>
      <c r="AJ1505" s="924">
        <v>1.7857142857142794E-2</v>
      </c>
      <c r="AK1505" s="924">
        <v>1.7857142857142794E-2</v>
      </c>
      <c r="AL1505" s="924">
        <v>-0.9</v>
      </c>
      <c r="AM1505" s="924">
        <v>-1</v>
      </c>
      <c r="AN1505" s="924">
        <v>-1</v>
      </c>
      <c r="AO1505" s="924">
        <v>-1</v>
      </c>
      <c r="AP1505" s="924">
        <v>-0.19999999999999996</v>
      </c>
      <c r="AQ1505" s="924">
        <v>-0.19999999999999996</v>
      </c>
      <c r="AR1505" s="924">
        <v>-0.19999999999999996</v>
      </c>
      <c r="AS1505" s="924">
        <v>0</v>
      </c>
      <c r="AT1505" s="924">
        <v>0</v>
      </c>
      <c r="AU1505" s="924">
        <v>0</v>
      </c>
      <c r="AV1505" s="924">
        <f ca="1">_xlfn.XLOOKUP(A1505,TabCalc[Ticker],TabCalc[Imp150])</f>
        <v>0</v>
      </c>
      <c r="AX1505" s="88" t="str">
        <f t="shared" ca="1" si="115"/>
        <v>BLDP</v>
      </c>
    </row>
    <row r="1506" spans="1:50" hidden="1" x14ac:dyDescent="0.3">
      <c r="A1506" s="88" t="str">
        <f t="shared" ca="1" si="118"/>
        <v>BMRA</v>
      </c>
      <c r="F1506" s="924">
        <v>0.19999999999999996</v>
      </c>
      <c r="G1506" s="924">
        <v>0.19999999999999996</v>
      </c>
      <c r="H1506" s="924">
        <v>-1</v>
      </c>
      <c r="I1506" s="924">
        <v>-1</v>
      </c>
      <c r="J1506" s="924">
        <v>-0.33333333333333343</v>
      </c>
      <c r="K1506" s="924">
        <v>-0.33333333333333343</v>
      </c>
      <c r="L1506" s="924">
        <v>-1</v>
      </c>
      <c r="M1506" s="924">
        <v>-1</v>
      </c>
      <c r="N1506" s="924">
        <v>-0.4285714285714286</v>
      </c>
      <c r="O1506" s="924">
        <v>-0.4285714285714286</v>
      </c>
      <c r="P1506" s="924">
        <v>-0.4285714285714286</v>
      </c>
      <c r="Q1506" s="924">
        <v>-0.4285714285714286</v>
      </c>
      <c r="R1506" s="924">
        <v>-0.4285714285714286</v>
      </c>
      <c r="S1506" s="924">
        <v>-0.4285714285714286</v>
      </c>
      <c r="T1506" s="924">
        <v>-1</v>
      </c>
      <c r="U1506" s="924">
        <v>-1</v>
      </c>
      <c r="V1506" s="924">
        <v>-1</v>
      </c>
      <c r="W1506" s="924">
        <v>-1</v>
      </c>
      <c r="X1506" s="924">
        <v>-1</v>
      </c>
      <c r="Y1506" s="924">
        <v>-1</v>
      </c>
      <c r="Z1506" s="924">
        <f ca="1">_xlfn.XLOOKUP(A1402,TabCalc[Ticker],TabCalc[Imp20])</f>
        <v>-1</v>
      </c>
      <c r="AB1506" s="924">
        <v>-0.10344827586206895</v>
      </c>
      <c r="AC1506" s="924">
        <v>-0.10344827586206895</v>
      </c>
      <c r="AD1506" s="924">
        <v>-1</v>
      </c>
      <c r="AE1506" s="924">
        <v>-1</v>
      </c>
      <c r="AF1506" s="924">
        <v>-7.2727272727272751E-2</v>
      </c>
      <c r="AG1506" s="924">
        <v>-7.2727272727272751E-2</v>
      </c>
      <c r="AH1506" s="924">
        <v>-1</v>
      </c>
      <c r="AI1506" s="924">
        <v>-1</v>
      </c>
      <c r="AJ1506" s="924">
        <v>-6.3063063063063085E-2</v>
      </c>
      <c r="AK1506" s="924">
        <v>-6.3063063063063085E-2</v>
      </c>
      <c r="AL1506" s="924">
        <v>0.29999999999999993</v>
      </c>
      <c r="AM1506" s="924">
        <v>0.33333333333333326</v>
      </c>
      <c r="AN1506" s="924">
        <v>0.33333333333333326</v>
      </c>
      <c r="AO1506" s="924">
        <v>0.33333333333333326</v>
      </c>
      <c r="AP1506" s="924">
        <v>0.33333333333333326</v>
      </c>
      <c r="AQ1506" s="924">
        <v>0.33333333333333326</v>
      </c>
      <c r="AR1506" s="924">
        <v>0.33333333333333326</v>
      </c>
      <c r="AS1506" s="924">
        <v>0.33333333333333326</v>
      </c>
      <c r="AT1506" s="924">
        <v>0.33333333333333326</v>
      </c>
      <c r="AU1506" s="924">
        <v>0.33333333333333326</v>
      </c>
      <c r="AV1506" s="924">
        <f ca="1">_xlfn.XLOOKUP(A1506,TabCalc[Ticker],TabCalc[Imp150])</f>
        <v>0.33333333333333326</v>
      </c>
      <c r="AX1506" s="88" t="str">
        <f t="shared" ca="1" si="115"/>
        <v>BMRA</v>
      </c>
    </row>
    <row r="1507" spans="1:50" hidden="1" x14ac:dyDescent="0.3">
      <c r="A1507" s="88" t="str">
        <f t="shared" ca="1" si="118"/>
        <v>C</v>
      </c>
      <c r="F1507" s="924">
        <v>0.5714285714285714</v>
      </c>
      <c r="G1507" s="924">
        <v>0.27272727272727271</v>
      </c>
      <c r="H1507" s="924">
        <v>0.27272727272727271</v>
      </c>
      <c r="I1507" s="924">
        <v>-0.33333333333333343</v>
      </c>
      <c r="J1507" s="924">
        <v>0</v>
      </c>
      <c r="K1507" s="924">
        <v>0.60000000000000009</v>
      </c>
      <c r="L1507" s="924">
        <v>-1</v>
      </c>
      <c r="M1507" s="924">
        <v>-1</v>
      </c>
      <c r="N1507" s="924">
        <v>0.16666666666666674</v>
      </c>
      <c r="O1507" s="924">
        <v>-0.27272727272727271</v>
      </c>
      <c r="P1507" s="924">
        <v>-0.5</v>
      </c>
      <c r="Q1507" s="924">
        <v>-0.5</v>
      </c>
      <c r="R1507" s="924">
        <v>-0.5</v>
      </c>
      <c r="S1507" s="924">
        <v>-0.5</v>
      </c>
      <c r="T1507" s="924">
        <v>-1</v>
      </c>
      <c r="U1507" s="924">
        <v>-1</v>
      </c>
      <c r="V1507" s="924">
        <v>-1</v>
      </c>
      <c r="W1507" s="924">
        <v>-1</v>
      </c>
      <c r="X1507" s="924">
        <v>-1</v>
      </c>
      <c r="Y1507" s="924">
        <v>-1</v>
      </c>
      <c r="Z1507" s="924">
        <f ca="1">_xlfn.XLOOKUP(A1403,TabCalc[Ticker],TabCalc[Imp20])</f>
        <v>-1</v>
      </c>
      <c r="AB1507" s="924">
        <v>0.10569105691056913</v>
      </c>
      <c r="AC1507" s="924">
        <v>0.10569105691056913</v>
      </c>
      <c r="AD1507" s="924">
        <v>0.10569105691056913</v>
      </c>
      <c r="AE1507" s="924">
        <v>0.13114754098360648</v>
      </c>
      <c r="AF1507" s="924">
        <v>0.12396694214876036</v>
      </c>
      <c r="AG1507" s="924">
        <v>0.12396694214876036</v>
      </c>
      <c r="AH1507" s="924">
        <v>-1</v>
      </c>
      <c r="AI1507" s="924">
        <v>-1</v>
      </c>
      <c r="AJ1507" s="924">
        <v>9.8360655737705027E-2</v>
      </c>
      <c r="AK1507" s="924">
        <v>0.11475409836065564</v>
      </c>
      <c r="AL1507" s="924">
        <v>0.20000000000000009</v>
      </c>
      <c r="AM1507" s="924">
        <v>0.22222222222222232</v>
      </c>
      <c r="AN1507" s="924">
        <v>0.22222222222222232</v>
      </c>
      <c r="AO1507" s="924">
        <v>6.6666666666666652E-2</v>
      </c>
      <c r="AP1507" s="924">
        <v>0</v>
      </c>
      <c r="AQ1507" s="924">
        <v>0.4285714285714286</v>
      </c>
      <c r="AR1507" s="924">
        <v>0.4285714285714286</v>
      </c>
      <c r="AS1507" s="924">
        <v>0.4285714285714286</v>
      </c>
      <c r="AT1507" s="924">
        <v>0.4285714285714286</v>
      </c>
      <c r="AU1507" s="924">
        <v>0.4285714285714286</v>
      </c>
      <c r="AV1507" s="924">
        <f ca="1">_xlfn.XLOOKUP(A1507,TabCalc[Ticker],TabCalc[Imp150])</f>
        <v>0.4285714285714286</v>
      </c>
      <c r="AX1507" s="88" t="str">
        <f t="shared" ca="1" si="115"/>
        <v>C</v>
      </c>
    </row>
    <row r="1508" spans="1:50" hidden="1" x14ac:dyDescent="0.3">
      <c r="A1508" s="88" t="str">
        <f t="shared" ca="1" si="118"/>
        <v>CSCO</v>
      </c>
      <c r="F1508" s="924">
        <v>-1</v>
      </c>
      <c r="G1508" s="924">
        <v>-1</v>
      </c>
      <c r="H1508" s="924">
        <v>-1</v>
      </c>
      <c r="I1508" s="924">
        <v>-1</v>
      </c>
      <c r="J1508" s="924">
        <v>-1</v>
      </c>
      <c r="K1508" s="924">
        <v>-1</v>
      </c>
      <c r="L1508" s="924">
        <v>-1</v>
      </c>
      <c r="M1508" s="924">
        <v>-1</v>
      </c>
      <c r="N1508" s="924">
        <v>-1</v>
      </c>
      <c r="O1508" s="924">
        <v>-1</v>
      </c>
      <c r="P1508" s="924">
        <v>9.0909090909090828E-2</v>
      </c>
      <c r="Q1508" s="924">
        <v>9.0909090909090828E-2</v>
      </c>
      <c r="R1508" s="924">
        <v>9.0909090909090828E-2</v>
      </c>
      <c r="S1508" s="924">
        <v>9.0909090909090828E-2</v>
      </c>
      <c r="T1508" s="924">
        <v>-1</v>
      </c>
      <c r="U1508" s="924">
        <v>-1</v>
      </c>
      <c r="V1508" s="924">
        <v>-1</v>
      </c>
      <c r="W1508" s="924">
        <v>-1</v>
      </c>
      <c r="X1508" s="924">
        <v>-1</v>
      </c>
      <c r="Y1508" s="924">
        <v>-1</v>
      </c>
      <c r="Z1508" s="924">
        <f ca="1">_xlfn.XLOOKUP(A1404,TabCalc[Ticker],TabCalc[Imp20])</f>
        <v>-1</v>
      </c>
      <c r="AB1508" s="924">
        <v>-1</v>
      </c>
      <c r="AC1508" s="924">
        <v>-1</v>
      </c>
      <c r="AD1508" s="924">
        <v>-1</v>
      </c>
      <c r="AE1508" s="924">
        <v>-1</v>
      </c>
      <c r="AF1508" s="924">
        <v>-1</v>
      </c>
      <c r="AG1508" s="924">
        <v>-1</v>
      </c>
      <c r="AH1508" s="924">
        <v>-1</v>
      </c>
      <c r="AI1508" s="924">
        <v>-1</v>
      </c>
      <c r="AJ1508" s="924">
        <v>-1</v>
      </c>
      <c r="AK1508" s="924">
        <v>-1</v>
      </c>
      <c r="AL1508" s="924">
        <v>0.13636363636363644</v>
      </c>
      <c r="AM1508" s="924">
        <v>0.1515151515151516</v>
      </c>
      <c r="AN1508" s="924">
        <v>0.1515151515151516</v>
      </c>
      <c r="AO1508" s="924">
        <v>0.1515151515151516</v>
      </c>
      <c r="AP1508" s="924">
        <v>-0.5</v>
      </c>
      <c r="AQ1508" s="924">
        <v>-0.5</v>
      </c>
      <c r="AR1508" s="924">
        <v>-0.5</v>
      </c>
      <c r="AS1508" s="924">
        <v>-0.5</v>
      </c>
      <c r="AT1508" s="924">
        <v>-0.5</v>
      </c>
      <c r="AU1508" s="924">
        <v>-0.5</v>
      </c>
      <c r="AV1508" s="924">
        <f ca="1">_xlfn.XLOOKUP(A1508,TabCalc[Ticker],TabCalc[Imp150])</f>
        <v>-0.5</v>
      </c>
      <c r="AX1508" s="88" t="str">
        <f t="shared" ca="1" si="115"/>
        <v>CSCO</v>
      </c>
    </row>
    <row r="1509" spans="1:50" hidden="1" x14ac:dyDescent="0.3">
      <c r="A1509" s="88" t="str">
        <f t="shared" ca="1" si="118"/>
        <v>CVS</v>
      </c>
      <c r="F1509" s="924">
        <v>-1</v>
      </c>
      <c r="G1509" s="924">
        <v>-1</v>
      </c>
      <c r="H1509" s="924">
        <v>-1</v>
      </c>
      <c r="I1509" s="924">
        <v>-1</v>
      </c>
      <c r="J1509" s="924">
        <v>-1</v>
      </c>
      <c r="K1509" s="924">
        <v>-1</v>
      </c>
      <c r="L1509" s="924">
        <v>-1</v>
      </c>
      <c r="M1509" s="924">
        <v>-1</v>
      </c>
      <c r="N1509" s="924">
        <v>-1</v>
      </c>
      <c r="O1509" s="924">
        <v>-1</v>
      </c>
      <c r="P1509" s="924">
        <v>-0.19999999999999996</v>
      </c>
      <c r="Q1509" s="924">
        <v>-0.19999999999999996</v>
      </c>
      <c r="R1509" s="924">
        <v>-0.19999999999999996</v>
      </c>
      <c r="S1509" s="924">
        <v>-1</v>
      </c>
      <c r="T1509" s="924">
        <v>-1</v>
      </c>
      <c r="U1509" s="924">
        <v>-1</v>
      </c>
      <c r="V1509" s="924">
        <v>-1</v>
      </c>
      <c r="W1509" s="924">
        <v>-1</v>
      </c>
      <c r="X1509" s="924">
        <v>-1</v>
      </c>
      <c r="Y1509" s="924">
        <v>-1</v>
      </c>
      <c r="Z1509" s="924">
        <f ca="1">_xlfn.XLOOKUP(A1405,TabCalc[Ticker],TabCalc[Imp20])</f>
        <v>-1</v>
      </c>
      <c r="AB1509" s="924">
        <v>-1</v>
      </c>
      <c r="AC1509" s="924">
        <v>-1</v>
      </c>
      <c r="AD1509" s="924">
        <v>-1</v>
      </c>
      <c r="AE1509" s="924">
        <v>-1</v>
      </c>
      <c r="AF1509" s="924">
        <v>-1</v>
      </c>
      <c r="AG1509" s="924">
        <v>-1</v>
      </c>
      <c r="AH1509" s="924">
        <v>-1</v>
      </c>
      <c r="AI1509" s="924">
        <v>-1</v>
      </c>
      <c r="AJ1509" s="924">
        <v>-1</v>
      </c>
      <c r="AK1509" s="924">
        <v>-1</v>
      </c>
      <c r="AL1509" s="924">
        <v>-0.9</v>
      </c>
      <c r="AM1509" s="924">
        <v>-1</v>
      </c>
      <c r="AN1509" s="924">
        <v>-1</v>
      </c>
      <c r="AO1509" s="924">
        <v>-1</v>
      </c>
      <c r="AP1509" s="924">
        <v>-0.19999999999999996</v>
      </c>
      <c r="AQ1509" s="924">
        <v>-0.19999999999999996</v>
      </c>
      <c r="AR1509" s="924">
        <v>-0.19999999999999996</v>
      </c>
      <c r="AS1509" s="924">
        <v>0</v>
      </c>
      <c r="AT1509" s="924">
        <v>0</v>
      </c>
      <c r="AU1509" s="924">
        <v>0</v>
      </c>
      <c r="AV1509" s="924">
        <f ca="1">_xlfn.XLOOKUP(A1509,TabCalc[Ticker],TabCalc[Imp150])</f>
        <v>0</v>
      </c>
      <c r="AX1509" s="88" t="str">
        <f t="shared" ca="1" si="115"/>
        <v>CVS</v>
      </c>
    </row>
    <row r="1510" spans="1:50" hidden="1" x14ac:dyDescent="0.3">
      <c r="A1510" s="88" t="str">
        <f t="shared" ca="1" si="118"/>
        <v>DDD</v>
      </c>
      <c r="F1510" s="924">
        <v>-1</v>
      </c>
      <c r="G1510" s="924">
        <v>0.53846153846153855</v>
      </c>
      <c r="H1510" s="924">
        <v>-0.45454545454545459</v>
      </c>
      <c r="I1510" s="924">
        <v>-0.45454545454545459</v>
      </c>
      <c r="J1510" s="924">
        <v>-1</v>
      </c>
      <c r="K1510" s="924">
        <v>-1</v>
      </c>
      <c r="L1510" s="924">
        <v>-1</v>
      </c>
      <c r="M1510" s="924">
        <v>-1</v>
      </c>
      <c r="N1510" s="924">
        <v>-1</v>
      </c>
      <c r="O1510" s="924">
        <v>-1</v>
      </c>
      <c r="P1510" s="924">
        <v>-1</v>
      </c>
      <c r="Q1510" s="924">
        <v>-1</v>
      </c>
      <c r="R1510" s="924">
        <v>-1</v>
      </c>
      <c r="S1510" s="924">
        <v>-1</v>
      </c>
      <c r="T1510" s="924">
        <v>-1</v>
      </c>
      <c r="U1510" s="924">
        <v>-1</v>
      </c>
      <c r="V1510" s="924">
        <v>-1</v>
      </c>
      <c r="W1510" s="924">
        <v>-1</v>
      </c>
      <c r="X1510" s="924">
        <v>-1</v>
      </c>
      <c r="Y1510" s="924">
        <v>-1</v>
      </c>
      <c r="Z1510" s="924">
        <f ca="1">_xlfn.XLOOKUP(A1406,TabCalc[Ticker],TabCalc[Imp20])</f>
        <v>-1</v>
      </c>
      <c r="AB1510" s="924">
        <v>-1</v>
      </c>
      <c r="AC1510" s="924">
        <v>7.2463768115942129E-2</v>
      </c>
      <c r="AD1510" s="924">
        <v>7.2463768115942129E-2</v>
      </c>
      <c r="AE1510" s="924">
        <v>7.2463768115942129E-2</v>
      </c>
      <c r="AF1510" s="924">
        <v>-1</v>
      </c>
      <c r="AG1510" s="924">
        <v>-1</v>
      </c>
      <c r="AH1510" s="924">
        <v>-1</v>
      </c>
      <c r="AI1510" s="924">
        <v>-1</v>
      </c>
      <c r="AJ1510" s="924">
        <v>-1</v>
      </c>
      <c r="AK1510" s="924">
        <v>-1</v>
      </c>
      <c r="AL1510" s="924">
        <v>-4.6666666666666634E-2</v>
      </c>
      <c r="AM1510" s="924">
        <v>-5.1851851851851816E-2</v>
      </c>
      <c r="AN1510" s="924">
        <v>-5.1851851851851816E-2</v>
      </c>
      <c r="AO1510" s="924">
        <v>-5.1851851851851816E-2</v>
      </c>
      <c r="AP1510" s="924">
        <v>-5.1851851851851816E-2</v>
      </c>
      <c r="AQ1510" s="924">
        <v>-5.1851851851851816E-2</v>
      </c>
      <c r="AR1510" s="924">
        <v>-5.1851851851851816E-2</v>
      </c>
      <c r="AS1510" s="924">
        <v>-0.2592592592592593</v>
      </c>
      <c r="AT1510" s="924">
        <v>-0.2592592592592593</v>
      </c>
      <c r="AU1510" s="924">
        <v>-0.2592592592592593</v>
      </c>
      <c r="AV1510" s="924">
        <f ca="1">_xlfn.XLOOKUP(A1510,TabCalc[Ticker],TabCalc[Imp150])</f>
        <v>-0.2592592592592593</v>
      </c>
      <c r="AX1510" s="88" t="str">
        <f t="shared" ca="1" si="115"/>
        <v>DDD</v>
      </c>
    </row>
    <row r="1511" spans="1:50" hidden="1" x14ac:dyDescent="0.3">
      <c r="A1511" s="88" t="str">
        <f t="shared" ca="1" si="118"/>
        <v>DIS</v>
      </c>
      <c r="F1511" s="924">
        <v>-0.63636363636363624</v>
      </c>
      <c r="G1511" s="924">
        <v>-0.63636363636363624</v>
      </c>
      <c r="H1511" s="924">
        <v>-0.4285714285714286</v>
      </c>
      <c r="I1511" s="924">
        <v>-0.4285714285714286</v>
      </c>
      <c r="J1511" s="924">
        <v>-1</v>
      </c>
      <c r="K1511" s="924">
        <v>-1</v>
      </c>
      <c r="L1511" s="924">
        <v>0</v>
      </c>
      <c r="M1511" s="924">
        <v>0</v>
      </c>
      <c r="N1511" s="924">
        <v>0</v>
      </c>
      <c r="O1511" s="924">
        <v>0</v>
      </c>
      <c r="P1511" s="924">
        <v>0</v>
      </c>
      <c r="Q1511" s="924">
        <v>0.33333333333333326</v>
      </c>
      <c r="R1511" s="924">
        <v>0.33333333333333326</v>
      </c>
      <c r="S1511" s="924">
        <v>0.33333333333333326</v>
      </c>
      <c r="T1511" s="924">
        <v>0.33333333333333326</v>
      </c>
      <c r="U1511" s="924">
        <v>0.33333333333333326</v>
      </c>
      <c r="V1511" s="924">
        <v>0.33333333333333326</v>
      </c>
      <c r="W1511" s="924">
        <v>0.33333333333333326</v>
      </c>
      <c r="X1511" s="924">
        <v>0.33333333333333326</v>
      </c>
      <c r="Y1511" s="924">
        <v>0.33333333333333326</v>
      </c>
      <c r="Z1511" s="924">
        <f ca="1">_xlfn.XLOOKUP(A1407,TabCalc[Ticker],TabCalc[Imp20])</f>
        <v>0.33333333333333326</v>
      </c>
      <c r="AB1511" s="924">
        <v>-0.16535433070866151</v>
      </c>
      <c r="AC1511" s="924">
        <v>-0.16535433070866151</v>
      </c>
      <c r="AD1511" s="924">
        <v>-0.15625</v>
      </c>
      <c r="AE1511" s="924">
        <v>-0.15625</v>
      </c>
      <c r="AF1511" s="924">
        <v>-1</v>
      </c>
      <c r="AG1511" s="924">
        <v>-1</v>
      </c>
      <c r="AH1511" s="924">
        <v>-0.140625</v>
      </c>
      <c r="AI1511" s="924">
        <v>-0.140625</v>
      </c>
      <c r="AJ1511" s="924">
        <v>-0.140625</v>
      </c>
      <c r="AK1511" s="924">
        <v>-0.140625</v>
      </c>
      <c r="AL1511" s="924">
        <v>0.29999999999999993</v>
      </c>
      <c r="AM1511" s="924">
        <v>0.33333333333333326</v>
      </c>
      <c r="AN1511" s="924">
        <v>0.33333333333333326</v>
      </c>
      <c r="AO1511" s="924">
        <v>0.33333333333333326</v>
      </c>
      <c r="AP1511" s="924">
        <v>0.60000000000000009</v>
      </c>
      <c r="AQ1511" s="924">
        <v>0.60000000000000009</v>
      </c>
      <c r="AR1511" s="924">
        <v>0.60000000000000009</v>
      </c>
      <c r="AS1511" s="924">
        <v>0.60000000000000009</v>
      </c>
      <c r="AT1511" s="924">
        <v>0.60000000000000009</v>
      </c>
      <c r="AU1511" s="924">
        <v>0.60000000000000009</v>
      </c>
      <c r="AV1511" s="924">
        <f ca="1">_xlfn.XLOOKUP(A1511,TabCalc[Ticker],TabCalc[Imp150])</f>
        <v>0.60000000000000009</v>
      </c>
      <c r="AX1511" s="88" t="str">
        <f t="shared" ca="1" si="115"/>
        <v>DIS</v>
      </c>
    </row>
    <row r="1512" spans="1:50" hidden="1" x14ac:dyDescent="0.3">
      <c r="A1512" s="88" t="str">
        <f t="shared" ca="1" si="118"/>
        <v>DSY</v>
      </c>
      <c r="F1512" s="924">
        <v>-1</v>
      </c>
      <c r="G1512" s="924">
        <v>-1</v>
      </c>
      <c r="H1512" s="924">
        <v>0.39999999999999991</v>
      </c>
      <c r="I1512" s="924">
        <v>0.39999999999999991</v>
      </c>
      <c r="J1512" s="924">
        <v>-1</v>
      </c>
      <c r="K1512" s="924">
        <v>-1</v>
      </c>
      <c r="L1512" s="924">
        <v>0.19999999999999996</v>
      </c>
      <c r="M1512" s="924">
        <v>0.19999999999999996</v>
      </c>
      <c r="N1512" s="924">
        <v>0.19999999999999996</v>
      </c>
      <c r="O1512" s="924">
        <v>0.19999999999999996</v>
      </c>
      <c r="P1512" s="924">
        <v>0.19999999999999996</v>
      </c>
      <c r="Q1512" s="924">
        <v>0.19999999999999996</v>
      </c>
      <c r="R1512" s="924">
        <v>0.19999999999999996</v>
      </c>
      <c r="S1512" s="924">
        <v>-1</v>
      </c>
      <c r="T1512" s="924">
        <v>-1</v>
      </c>
      <c r="U1512" s="924">
        <v>-1</v>
      </c>
      <c r="V1512" s="924">
        <v>-1</v>
      </c>
      <c r="W1512" s="924">
        <v>-1</v>
      </c>
      <c r="X1512" s="924">
        <v>-1</v>
      </c>
      <c r="Y1512" s="924">
        <v>-1</v>
      </c>
      <c r="Z1512" s="924">
        <f ca="1">_xlfn.XLOOKUP(A1408,TabCalc[Ticker],TabCalc[Imp20])</f>
        <v>-1</v>
      </c>
      <c r="AB1512" s="924">
        <v>0.22222222222222232</v>
      </c>
      <c r="AC1512" s="924">
        <v>0.22222222222222232</v>
      </c>
      <c r="AD1512" s="924">
        <v>0.2407407407407407</v>
      </c>
      <c r="AE1512" s="924">
        <v>0.2407407407407407</v>
      </c>
      <c r="AF1512" s="924">
        <v>-1</v>
      </c>
      <c r="AG1512" s="924">
        <v>-1</v>
      </c>
      <c r="AH1512" s="924">
        <v>0.22222222222222232</v>
      </c>
      <c r="AI1512" s="924">
        <v>0.22222222222222232</v>
      </c>
      <c r="AJ1512" s="924">
        <v>0.22222222222222232</v>
      </c>
      <c r="AK1512" s="924">
        <v>0.22222222222222232</v>
      </c>
      <c r="AL1512" s="924">
        <v>-8.2568807339449043E-3</v>
      </c>
      <c r="AM1512" s="924">
        <v>-9.1743119266054496E-3</v>
      </c>
      <c r="AN1512" s="924">
        <v>-9.1743119266054496E-3</v>
      </c>
      <c r="AO1512" s="924">
        <v>-0.4285714285714286</v>
      </c>
      <c r="AP1512" s="924">
        <v>0</v>
      </c>
      <c r="AQ1512" s="924">
        <v>-1</v>
      </c>
      <c r="AR1512" s="924">
        <v>-1</v>
      </c>
      <c r="AS1512" s="924">
        <v>0.14285714285714279</v>
      </c>
      <c r="AT1512" s="924">
        <v>-0.25</v>
      </c>
      <c r="AU1512" s="924">
        <v>-0.19999999999999996</v>
      </c>
      <c r="AV1512" s="924">
        <f ca="1">_xlfn.XLOOKUP(A1512,TabCalc[Ticker],TabCalc[Imp150])</f>
        <v>-0.19999999999999996</v>
      </c>
      <c r="AX1512" s="88" t="str">
        <f t="shared" ca="1" si="115"/>
        <v>DSY</v>
      </c>
    </row>
    <row r="1513" spans="1:50" hidden="1" x14ac:dyDescent="0.3">
      <c r="A1513" s="88" t="str">
        <f t="shared" ca="1" si="118"/>
        <v>DVA</v>
      </c>
      <c r="F1513" s="924">
        <v>0</v>
      </c>
      <c r="G1513" s="924">
        <v>-1</v>
      </c>
      <c r="H1513" s="924">
        <v>0</v>
      </c>
      <c r="I1513" s="924">
        <v>0</v>
      </c>
      <c r="J1513" s="924">
        <v>-1</v>
      </c>
      <c r="K1513" s="924">
        <v>-1</v>
      </c>
      <c r="L1513" s="924">
        <v>-0.19999999999999996</v>
      </c>
      <c r="M1513" s="924">
        <v>-0.19999999999999996</v>
      </c>
      <c r="N1513" s="924">
        <v>-0.19999999999999996</v>
      </c>
      <c r="O1513" s="924">
        <v>-0.19999999999999996</v>
      </c>
      <c r="P1513" s="924">
        <v>-0.60000000000000009</v>
      </c>
      <c r="Q1513" s="924">
        <v>-0.60000000000000009</v>
      </c>
      <c r="R1513" s="924">
        <v>-0.60000000000000009</v>
      </c>
      <c r="S1513" s="924">
        <v>-0.60000000000000009</v>
      </c>
      <c r="T1513" s="924">
        <v>-1</v>
      </c>
      <c r="U1513" s="924">
        <v>-1</v>
      </c>
      <c r="V1513" s="924">
        <v>-1</v>
      </c>
      <c r="W1513" s="924">
        <v>-1</v>
      </c>
      <c r="X1513" s="924">
        <v>-1</v>
      </c>
      <c r="Y1513" s="924">
        <v>-1</v>
      </c>
      <c r="Z1513" s="924">
        <f ca="1">_xlfn.XLOOKUP(A1409,TabCalc[Ticker],TabCalc[Imp20])</f>
        <v>-1</v>
      </c>
      <c r="AB1513" s="924">
        <v>0.10000000000000009</v>
      </c>
      <c r="AC1513" s="924">
        <v>-1</v>
      </c>
      <c r="AD1513" s="924">
        <v>0.1399999999999999</v>
      </c>
      <c r="AE1513" s="924">
        <v>0.1399999999999999</v>
      </c>
      <c r="AF1513" s="924">
        <v>-1</v>
      </c>
      <c r="AG1513" s="924">
        <v>-1</v>
      </c>
      <c r="AH1513" s="924">
        <v>0.1399999999999999</v>
      </c>
      <c r="AI1513" s="924">
        <v>0.1399999999999999</v>
      </c>
      <c r="AJ1513" s="924">
        <v>0.1399999999999999</v>
      </c>
      <c r="AK1513" s="924">
        <v>0.1399999999999999</v>
      </c>
      <c r="AL1513" s="924">
        <v>0</v>
      </c>
      <c r="AM1513" s="924">
        <v>0</v>
      </c>
      <c r="AN1513" s="924">
        <v>0</v>
      </c>
      <c r="AO1513" s="924">
        <v>0.19999999999999996</v>
      </c>
      <c r="AP1513" s="924">
        <v>-0.33333333333333343</v>
      </c>
      <c r="AQ1513" s="924">
        <v>-0.33333333333333343</v>
      </c>
      <c r="AR1513" s="924">
        <v>0</v>
      </c>
      <c r="AS1513" s="924">
        <v>-0.33333333333333343</v>
      </c>
      <c r="AT1513" s="924">
        <v>-0.33333333333333343</v>
      </c>
      <c r="AU1513" s="924">
        <v>-0.33333333333333343</v>
      </c>
      <c r="AV1513" s="924">
        <f ca="1">_xlfn.XLOOKUP(A1513,TabCalc[Ticker],TabCalc[Imp150])</f>
        <v>-0.33333333333333343</v>
      </c>
      <c r="AX1513" s="88" t="str">
        <f t="shared" ca="1" si="115"/>
        <v>DVA</v>
      </c>
    </row>
    <row r="1514" spans="1:50" hidden="1" x14ac:dyDescent="0.3">
      <c r="A1514" s="88" t="str">
        <f t="shared" ca="1" si="118"/>
        <v>DXC</v>
      </c>
      <c r="F1514" s="924">
        <v>0.4285714285714286</v>
      </c>
      <c r="G1514" s="924">
        <v>0.4285714285714286</v>
      </c>
      <c r="H1514" s="924">
        <v>-1</v>
      </c>
      <c r="I1514" s="924">
        <v>-1</v>
      </c>
      <c r="J1514" s="924">
        <v>-1</v>
      </c>
      <c r="K1514" s="924">
        <v>-1</v>
      </c>
      <c r="L1514" s="924">
        <v>-1</v>
      </c>
      <c r="M1514" s="924">
        <v>-1</v>
      </c>
      <c r="N1514" s="924">
        <v>-1</v>
      </c>
      <c r="O1514" s="924">
        <v>-1</v>
      </c>
      <c r="P1514" s="924">
        <v>-1</v>
      </c>
      <c r="Q1514" s="924">
        <v>-1</v>
      </c>
      <c r="R1514" s="924">
        <v>-1</v>
      </c>
      <c r="S1514" s="924">
        <v>-1</v>
      </c>
      <c r="T1514" s="924">
        <v>-1</v>
      </c>
      <c r="U1514" s="924">
        <v>-1</v>
      </c>
      <c r="V1514" s="924">
        <v>-1</v>
      </c>
      <c r="W1514" s="924">
        <v>-1</v>
      </c>
      <c r="X1514" s="924">
        <v>-1</v>
      </c>
      <c r="Y1514" s="924">
        <v>-1</v>
      </c>
      <c r="Z1514" s="924">
        <f ca="1">_xlfn.XLOOKUP(A1410,TabCalc[Ticker],TabCalc[Imp20])</f>
        <v>-1</v>
      </c>
      <c r="AB1514" s="924">
        <v>0.18584070796460184</v>
      </c>
      <c r="AC1514" s="924">
        <v>0.18584070796460184</v>
      </c>
      <c r="AD1514" s="924">
        <v>-1</v>
      </c>
      <c r="AE1514" s="924">
        <v>-1</v>
      </c>
      <c r="AF1514" s="924">
        <v>-1</v>
      </c>
      <c r="AG1514" s="924">
        <v>-1</v>
      </c>
      <c r="AH1514" s="924">
        <v>-1</v>
      </c>
      <c r="AI1514" s="924">
        <v>-1</v>
      </c>
      <c r="AJ1514" s="924">
        <v>-1</v>
      </c>
      <c r="AK1514" s="924">
        <v>-1</v>
      </c>
      <c r="AL1514" s="924">
        <v>0.29999999999999993</v>
      </c>
      <c r="AM1514" s="924">
        <v>0.33333333333333326</v>
      </c>
      <c r="AN1514" s="924">
        <v>0.33333333333333326</v>
      </c>
      <c r="AO1514" s="924">
        <v>0.33333333333333326</v>
      </c>
      <c r="AP1514" s="924">
        <v>-0.45454545454545459</v>
      </c>
      <c r="AQ1514" s="924">
        <v>-0.45454545454545459</v>
      </c>
      <c r="AR1514" s="924">
        <v>-0.45454545454545459</v>
      </c>
      <c r="AS1514" s="924">
        <v>-0.45454545454545459</v>
      </c>
      <c r="AT1514" s="924">
        <v>-0.45454545454545459</v>
      </c>
      <c r="AU1514" s="924">
        <v>-0.45454545454545459</v>
      </c>
      <c r="AV1514" s="924">
        <f ca="1">_xlfn.XLOOKUP(A1514,TabCalc[Ticker],TabCalc[Imp150])</f>
        <v>-0.45454545454545459</v>
      </c>
      <c r="AX1514" s="88" t="str">
        <f t="shared" ca="1" si="115"/>
        <v>DXC</v>
      </c>
    </row>
    <row r="1515" spans="1:50" hidden="1" x14ac:dyDescent="0.3">
      <c r="A1515" s="88" t="str">
        <f t="shared" ca="1" si="118"/>
        <v>EOAN</v>
      </c>
      <c r="F1515" s="924">
        <v>0.15789473684210531</v>
      </c>
      <c r="G1515" s="924">
        <v>0.15789473684210531</v>
      </c>
      <c r="H1515" s="924">
        <v>-9.0909090909090884E-2</v>
      </c>
      <c r="I1515" s="924">
        <v>-9.0909090909090884E-2</v>
      </c>
      <c r="J1515" s="924">
        <v>-1</v>
      </c>
      <c r="K1515" s="924">
        <v>-0.33333333333333343</v>
      </c>
      <c r="L1515" s="924">
        <v>-0.28571428571428564</v>
      </c>
      <c r="M1515" s="924">
        <v>-0.28571428571428564</v>
      </c>
      <c r="N1515" s="924">
        <v>-0.28571428571428564</v>
      </c>
      <c r="O1515" s="924">
        <v>-0.28571428571428564</v>
      </c>
      <c r="P1515" s="924">
        <v>-0.28571428571428564</v>
      </c>
      <c r="Q1515" s="924">
        <v>-0.28571428571428564</v>
      </c>
      <c r="R1515" s="924">
        <v>-0.28571428571428564</v>
      </c>
      <c r="S1515" s="924">
        <v>-0.28571428571428564</v>
      </c>
      <c r="T1515" s="924">
        <v>-0.28571428571428564</v>
      </c>
      <c r="U1515" s="924">
        <v>-0.28571428571428564</v>
      </c>
      <c r="V1515" s="924">
        <v>-0.28571428571428564</v>
      </c>
      <c r="W1515" s="924">
        <v>-1</v>
      </c>
      <c r="X1515" s="924">
        <v>-1</v>
      </c>
      <c r="Y1515" s="924">
        <v>-1</v>
      </c>
      <c r="Z1515" s="924">
        <f ca="1">_xlfn.XLOOKUP(A1411,TabCalc[Ticker],TabCalc[Imp20])</f>
        <v>-1</v>
      </c>
      <c r="AB1515" s="924">
        <v>-7.4626865671641784E-2</v>
      </c>
      <c r="AC1515" s="924">
        <v>-7.4626865671641784E-2</v>
      </c>
      <c r="AD1515" s="924">
        <v>-4.4117647058823428E-2</v>
      </c>
      <c r="AE1515" s="924">
        <v>-4.4117647058823428E-2</v>
      </c>
      <c r="AF1515" s="924">
        <v>-1</v>
      </c>
      <c r="AG1515" s="924">
        <v>-3.7037037037037146E-2</v>
      </c>
      <c r="AH1515" s="924">
        <v>-5.1851851851851816E-2</v>
      </c>
      <c r="AI1515" s="924">
        <v>-5.1851851851851816E-2</v>
      </c>
      <c r="AJ1515" s="924">
        <v>-5.1851851851851816E-2</v>
      </c>
      <c r="AK1515" s="924">
        <v>-5.1851851851851816E-2</v>
      </c>
      <c r="AL1515" s="924">
        <v>-0.9</v>
      </c>
      <c r="AM1515" s="924">
        <v>-1</v>
      </c>
      <c r="AN1515" s="924">
        <v>-1</v>
      </c>
      <c r="AO1515" s="924">
        <v>-1</v>
      </c>
      <c r="AP1515" s="924">
        <v>0</v>
      </c>
      <c r="AQ1515" s="924">
        <v>0</v>
      </c>
      <c r="AR1515" s="924">
        <v>0</v>
      </c>
      <c r="AS1515" s="924">
        <v>0</v>
      </c>
      <c r="AT1515" s="924">
        <v>-1</v>
      </c>
      <c r="AU1515" s="924">
        <v>-1</v>
      </c>
      <c r="AV1515" s="924">
        <f ca="1">_xlfn.XLOOKUP(A1515,TabCalc[Ticker],TabCalc[Imp150])</f>
        <v>-1</v>
      </c>
      <c r="AX1515" s="88" t="str">
        <f t="shared" ca="1" si="115"/>
        <v>EOAN</v>
      </c>
    </row>
    <row r="1516" spans="1:50" hidden="1" x14ac:dyDescent="0.3">
      <c r="A1516" s="88" t="str">
        <f t="shared" ca="1" si="118"/>
        <v>EPIX</v>
      </c>
      <c r="F1516" s="924">
        <v>-0.5</v>
      </c>
      <c r="G1516" s="924">
        <v>-0.5</v>
      </c>
      <c r="H1516" s="924">
        <v>-0.5</v>
      </c>
      <c r="I1516" s="924">
        <v>-0.5</v>
      </c>
      <c r="J1516" s="924">
        <v>-1</v>
      </c>
      <c r="K1516" s="924">
        <v>-1</v>
      </c>
      <c r="L1516" s="924">
        <v>-1</v>
      </c>
      <c r="M1516" s="924">
        <v>-1</v>
      </c>
      <c r="N1516" s="924">
        <v>-1</v>
      </c>
      <c r="O1516" s="924">
        <v>-1</v>
      </c>
      <c r="P1516" s="924">
        <v>-1</v>
      </c>
      <c r="Q1516" s="924">
        <v>-1</v>
      </c>
      <c r="R1516" s="924">
        <v>-1</v>
      </c>
      <c r="S1516" s="924">
        <v>-1</v>
      </c>
      <c r="T1516" s="924">
        <v>-1</v>
      </c>
      <c r="U1516" s="924">
        <v>-1</v>
      </c>
      <c r="V1516" s="924">
        <v>-1</v>
      </c>
      <c r="W1516" s="924">
        <v>-1</v>
      </c>
      <c r="X1516" s="924">
        <v>-1</v>
      </c>
      <c r="Y1516" s="924">
        <v>-1</v>
      </c>
      <c r="Z1516" s="924">
        <f ca="1">_xlfn.XLOOKUP(A1412,TabCalc[Ticker],TabCalc[Imp20])</f>
        <v>-1</v>
      </c>
      <c r="AB1516" s="924">
        <v>3.8461538461538547E-2</v>
      </c>
      <c r="AC1516" s="924">
        <v>3.8461538461538547E-2</v>
      </c>
      <c r="AD1516" s="924">
        <v>7.6923076923076872E-2</v>
      </c>
      <c r="AE1516" s="924">
        <v>7.6923076923076872E-2</v>
      </c>
      <c r="AF1516" s="924">
        <v>-1</v>
      </c>
      <c r="AG1516" s="924">
        <v>-1</v>
      </c>
      <c r="AH1516" s="924">
        <v>-1</v>
      </c>
      <c r="AI1516" s="924">
        <v>-1</v>
      </c>
      <c r="AJ1516" s="924">
        <v>-1</v>
      </c>
      <c r="AK1516" s="924">
        <v>-1</v>
      </c>
      <c r="AL1516" s="924">
        <v>7.4380165289255956E-3</v>
      </c>
      <c r="AM1516" s="924">
        <v>8.2644628099173278E-3</v>
      </c>
      <c r="AN1516" s="924">
        <v>8.2644628099173278E-3</v>
      </c>
      <c r="AO1516" s="924">
        <v>8.2644628099173278E-3</v>
      </c>
      <c r="AP1516" s="924">
        <v>8.2644628099173278E-3</v>
      </c>
      <c r="AQ1516" s="924">
        <v>8.2644628099173278E-3</v>
      </c>
      <c r="AR1516" s="924">
        <v>8.2644628099173278E-3</v>
      </c>
      <c r="AS1516" s="924">
        <v>8.2644628099173278E-3</v>
      </c>
      <c r="AT1516" s="924">
        <v>8.2644628099173278E-3</v>
      </c>
      <c r="AU1516" s="924">
        <v>8.2644628099173278E-3</v>
      </c>
      <c r="AV1516" s="924">
        <f ca="1">_xlfn.XLOOKUP(A1516,TabCalc[Ticker],TabCalc[Imp150])</f>
        <v>8.2644628099173278E-3</v>
      </c>
      <c r="AX1516" s="88" t="str">
        <f t="shared" ca="1" si="115"/>
        <v>EPIX</v>
      </c>
    </row>
    <row r="1517" spans="1:50" hidden="1" x14ac:dyDescent="0.3">
      <c r="A1517" s="88" t="str">
        <f t="shared" ca="1" si="118"/>
        <v>GM</v>
      </c>
      <c r="F1517" s="924">
        <v>7.6923076923076872E-2</v>
      </c>
      <c r="G1517" s="924">
        <v>7.6923076923076872E-2</v>
      </c>
      <c r="H1517" s="924">
        <v>-1</v>
      </c>
      <c r="I1517" s="924">
        <v>-1</v>
      </c>
      <c r="J1517" s="924">
        <v>-1</v>
      </c>
      <c r="K1517" s="924">
        <v>-1</v>
      </c>
      <c r="L1517" s="924">
        <v>-1</v>
      </c>
      <c r="M1517" s="924">
        <v>-1</v>
      </c>
      <c r="N1517" s="924">
        <v>0.19999999999999996</v>
      </c>
      <c r="O1517" s="924">
        <v>-0.33333333333333343</v>
      </c>
      <c r="P1517" s="924">
        <v>0</v>
      </c>
      <c r="Q1517" s="924">
        <v>0</v>
      </c>
      <c r="R1517" s="924">
        <v>0</v>
      </c>
      <c r="S1517" s="924">
        <v>-1</v>
      </c>
      <c r="T1517" s="924">
        <v>-1</v>
      </c>
      <c r="U1517" s="924">
        <v>-1</v>
      </c>
      <c r="V1517" s="924">
        <v>-1</v>
      </c>
      <c r="W1517" s="924">
        <v>-0.71428571428571441</v>
      </c>
      <c r="X1517" s="924">
        <v>-1</v>
      </c>
      <c r="Y1517" s="924">
        <v>-1</v>
      </c>
      <c r="Z1517" s="924">
        <f ca="1">_xlfn.XLOOKUP(A1413,TabCalc[Ticker],TabCalc[Imp20])</f>
        <v>-1</v>
      </c>
      <c r="AB1517" s="924">
        <v>-6.4220183486238425E-2</v>
      </c>
      <c r="AC1517" s="924">
        <v>-6.4220183486238425E-2</v>
      </c>
      <c r="AD1517" s="924">
        <v>-1</v>
      </c>
      <c r="AE1517" s="924">
        <v>-1</v>
      </c>
      <c r="AF1517" s="924">
        <v>-1</v>
      </c>
      <c r="AG1517" s="924">
        <v>-1</v>
      </c>
      <c r="AH1517" s="924">
        <v>-1</v>
      </c>
      <c r="AI1517" s="924">
        <v>-1</v>
      </c>
      <c r="AJ1517" s="924">
        <v>-9.1743119266054496E-3</v>
      </c>
      <c r="AK1517" s="924">
        <v>-9.1743119266054496E-3</v>
      </c>
      <c r="AL1517" s="924">
        <v>0.11359223300970869</v>
      </c>
      <c r="AM1517" s="924">
        <v>0.12621359223300965</v>
      </c>
      <c r="AN1517" s="924">
        <v>0.12621359223300965</v>
      </c>
      <c r="AO1517" s="924">
        <v>0.12621359223300965</v>
      </c>
      <c r="AP1517" s="924">
        <v>-0.11111111111111116</v>
      </c>
      <c r="AQ1517" s="924">
        <v>-0.11111111111111116</v>
      </c>
      <c r="AR1517" s="924">
        <v>-0.11111111111111116</v>
      </c>
      <c r="AS1517" s="924">
        <v>-0.11111111111111116</v>
      </c>
      <c r="AT1517" s="924">
        <v>-0.11111111111111116</v>
      </c>
      <c r="AU1517" s="924">
        <v>0.60000000000000009</v>
      </c>
      <c r="AV1517" s="924">
        <f ca="1">_xlfn.XLOOKUP(A1517,TabCalc[Ticker],TabCalc[Imp150])</f>
        <v>0.60000000000000009</v>
      </c>
      <c r="AX1517" s="88" t="str">
        <f t="shared" ca="1" si="115"/>
        <v>GM</v>
      </c>
    </row>
    <row r="1518" spans="1:50" hidden="1" x14ac:dyDescent="0.3">
      <c r="A1518" s="88" t="str">
        <f t="shared" ca="1" si="118"/>
        <v>HPE</v>
      </c>
      <c r="F1518" s="924">
        <v>-0.25</v>
      </c>
      <c r="G1518" s="924">
        <v>-1</v>
      </c>
      <c r="H1518" s="924">
        <v>-1</v>
      </c>
      <c r="I1518" s="924">
        <v>-1</v>
      </c>
      <c r="J1518" s="924">
        <v>-1</v>
      </c>
      <c r="K1518" s="924">
        <v>-1</v>
      </c>
      <c r="L1518" s="924">
        <v>-1</v>
      </c>
      <c r="M1518" s="924">
        <v>-1</v>
      </c>
      <c r="N1518" s="924">
        <v>-1</v>
      </c>
      <c r="O1518" s="924">
        <v>0</v>
      </c>
      <c r="P1518" s="924">
        <v>0</v>
      </c>
      <c r="Q1518" s="924">
        <v>0</v>
      </c>
      <c r="R1518" s="924">
        <v>0</v>
      </c>
      <c r="S1518" s="924">
        <v>-1</v>
      </c>
      <c r="T1518" s="924">
        <v>-1</v>
      </c>
      <c r="U1518" s="924">
        <v>-1</v>
      </c>
      <c r="V1518" s="924">
        <v>-1</v>
      </c>
      <c r="W1518" s="924">
        <v>-1</v>
      </c>
      <c r="X1518" s="924">
        <v>-1</v>
      </c>
      <c r="Y1518" s="924">
        <v>-1</v>
      </c>
      <c r="Z1518" s="924">
        <f ca="1">_xlfn.XLOOKUP(A1414,TabCalc[Ticker],TabCalc[Imp20])</f>
        <v>-1</v>
      </c>
      <c r="AB1518" s="924">
        <v>9.009009009008917E-3</v>
      </c>
      <c r="AC1518" s="924">
        <v>0</v>
      </c>
      <c r="AD1518" s="924">
        <v>-1</v>
      </c>
      <c r="AE1518" s="924">
        <v>-1</v>
      </c>
      <c r="AF1518" s="924">
        <v>-1</v>
      </c>
      <c r="AG1518" s="924">
        <v>-1</v>
      </c>
      <c r="AH1518" s="924">
        <v>-1</v>
      </c>
      <c r="AI1518" s="924">
        <v>-1</v>
      </c>
      <c r="AJ1518" s="924">
        <v>-1</v>
      </c>
      <c r="AK1518" s="924">
        <v>1.8181818181818077E-2</v>
      </c>
      <c r="AL1518" s="924">
        <v>0.29999999999999993</v>
      </c>
      <c r="AM1518" s="924">
        <v>0.33333333333333326</v>
      </c>
      <c r="AN1518" s="924">
        <v>0.33333333333333326</v>
      </c>
      <c r="AO1518" s="924">
        <v>0.5</v>
      </c>
      <c r="AP1518" s="924">
        <v>0.5</v>
      </c>
      <c r="AQ1518" s="924">
        <v>0.5</v>
      </c>
      <c r="AR1518" s="924">
        <v>0.5</v>
      </c>
      <c r="AS1518" s="924">
        <v>0.5</v>
      </c>
      <c r="AT1518" s="924">
        <v>0.5</v>
      </c>
      <c r="AU1518" s="924">
        <v>0.5</v>
      </c>
      <c r="AV1518" s="924">
        <f ca="1">_xlfn.XLOOKUP(A1518,TabCalc[Ticker],TabCalc[Imp150])</f>
        <v>0.5</v>
      </c>
      <c r="AX1518" s="88" t="str">
        <f t="shared" ca="1" si="115"/>
        <v>HPE</v>
      </c>
    </row>
    <row r="1519" spans="1:50" hidden="1" x14ac:dyDescent="0.3">
      <c r="A1519" s="88" t="str">
        <f t="shared" ca="1" si="118"/>
        <v>HPQ</v>
      </c>
      <c r="F1519" s="924">
        <v>-1</v>
      </c>
      <c r="G1519" s="924">
        <v>-1</v>
      </c>
      <c r="H1519" s="924">
        <v>-1</v>
      </c>
      <c r="I1519" s="924">
        <v>-1</v>
      </c>
      <c r="J1519" s="924">
        <v>-1</v>
      </c>
      <c r="K1519" s="924">
        <v>-1</v>
      </c>
      <c r="L1519" s="924">
        <v>-0.5</v>
      </c>
      <c r="M1519" s="924">
        <v>-0.5</v>
      </c>
      <c r="N1519" s="924">
        <v>-0.5</v>
      </c>
      <c r="O1519" s="924">
        <v>-0.5</v>
      </c>
      <c r="P1519" s="924">
        <v>-0.5</v>
      </c>
      <c r="Q1519" s="924">
        <v>-1</v>
      </c>
      <c r="R1519" s="924">
        <v>-1</v>
      </c>
      <c r="S1519" s="924">
        <v>-1</v>
      </c>
      <c r="T1519" s="924">
        <v>-1</v>
      </c>
      <c r="U1519" s="924">
        <v>-1</v>
      </c>
      <c r="V1519" s="924">
        <v>-1</v>
      </c>
      <c r="W1519" s="924">
        <v>-1</v>
      </c>
      <c r="X1519" s="924">
        <v>-1</v>
      </c>
      <c r="Y1519" s="924">
        <v>-1</v>
      </c>
      <c r="Z1519" s="924">
        <f ca="1">_xlfn.XLOOKUP(A1415,TabCalc[Ticker],TabCalc[Imp20])</f>
        <v>-1</v>
      </c>
      <c r="AB1519" s="924">
        <v>-1</v>
      </c>
      <c r="AC1519" s="924">
        <v>-1</v>
      </c>
      <c r="AD1519" s="924">
        <v>-1</v>
      </c>
      <c r="AE1519" s="924">
        <v>-1</v>
      </c>
      <c r="AF1519" s="924">
        <v>-1</v>
      </c>
      <c r="AG1519" s="924">
        <v>-1</v>
      </c>
      <c r="AH1519" s="924">
        <v>-3.8167938931297662E-2</v>
      </c>
      <c r="AI1519" s="924">
        <v>-3.8167938931297662E-2</v>
      </c>
      <c r="AJ1519" s="924">
        <v>-3.8167938931297662E-2</v>
      </c>
      <c r="AK1519" s="924">
        <v>-3.8167938931297662E-2</v>
      </c>
      <c r="AL1519" s="924">
        <v>2.4324324324324277E-2</v>
      </c>
      <c r="AM1519" s="924">
        <v>2.7027027027026973E-2</v>
      </c>
      <c r="AN1519" s="924">
        <v>2.7027027027026973E-2</v>
      </c>
      <c r="AO1519" s="924">
        <v>-0.14285714285714285</v>
      </c>
      <c r="AP1519" s="924">
        <v>-0.27272727272727271</v>
      </c>
      <c r="AQ1519" s="924">
        <v>-0.27272727272727271</v>
      </c>
      <c r="AR1519" s="924">
        <v>-0.27272727272727271</v>
      </c>
      <c r="AS1519" s="924">
        <v>-0.33333333333333343</v>
      </c>
      <c r="AT1519" s="924">
        <v>-0.33333333333333343</v>
      </c>
      <c r="AU1519" s="924">
        <v>-0.33333333333333343</v>
      </c>
      <c r="AV1519" s="924">
        <f ca="1">_xlfn.XLOOKUP(A1519,TabCalc[Ticker],TabCalc[Imp150])</f>
        <v>-0.33333333333333343</v>
      </c>
      <c r="AX1519" s="88" t="str">
        <f t="shared" ca="1" si="115"/>
        <v>HPQ</v>
      </c>
    </row>
    <row r="1520" spans="1:50" hidden="1" x14ac:dyDescent="0.3">
      <c r="A1520" s="88" t="str">
        <f t="shared" ca="1" si="118"/>
        <v>IAG</v>
      </c>
      <c r="F1520" s="924">
        <v>0.53846153846153855</v>
      </c>
      <c r="G1520" s="924">
        <v>0.53846153846153855</v>
      </c>
      <c r="H1520" s="924">
        <v>-1</v>
      </c>
      <c r="I1520" s="924">
        <v>-1</v>
      </c>
      <c r="J1520" s="924">
        <v>-1</v>
      </c>
      <c r="K1520" s="924">
        <v>-1</v>
      </c>
      <c r="L1520" s="924">
        <v>-1</v>
      </c>
      <c r="M1520" s="924">
        <v>-1</v>
      </c>
      <c r="N1520" s="924">
        <v>-1</v>
      </c>
      <c r="O1520" s="924">
        <v>-1</v>
      </c>
      <c r="P1520" s="924">
        <v>-1</v>
      </c>
      <c r="Q1520" s="924">
        <v>-1</v>
      </c>
      <c r="R1520" s="924">
        <v>-1</v>
      </c>
      <c r="S1520" s="924">
        <v>-1</v>
      </c>
      <c r="T1520" s="924">
        <v>-1</v>
      </c>
      <c r="U1520" s="924">
        <v>-1</v>
      </c>
      <c r="V1520" s="924">
        <v>-1</v>
      </c>
      <c r="W1520" s="924">
        <v>-1</v>
      </c>
      <c r="X1520" s="924">
        <v>-1</v>
      </c>
      <c r="Y1520" s="924">
        <v>-1</v>
      </c>
      <c r="Z1520" s="924">
        <f ca="1">_xlfn.XLOOKUP(A1416,TabCalc[Ticker],TabCalc[Imp20])</f>
        <v>-1</v>
      </c>
      <c r="AB1520" s="924">
        <v>0.24271844660194164</v>
      </c>
      <c r="AC1520" s="924">
        <v>0.24271844660194164</v>
      </c>
      <c r="AD1520" s="924">
        <v>-1</v>
      </c>
      <c r="AE1520" s="924">
        <v>-1</v>
      </c>
      <c r="AF1520" s="924">
        <v>-1</v>
      </c>
      <c r="AG1520" s="924">
        <v>-1</v>
      </c>
      <c r="AH1520" s="924">
        <v>-1</v>
      </c>
      <c r="AI1520" s="924">
        <v>-1</v>
      </c>
      <c r="AJ1520" s="924">
        <v>-1</v>
      </c>
      <c r="AK1520" s="924">
        <v>-1</v>
      </c>
      <c r="AL1520" s="924">
        <v>0.23333333333333336</v>
      </c>
      <c r="AM1520" s="924">
        <v>0.2592592592592593</v>
      </c>
      <c r="AN1520" s="924">
        <v>0.2592592592592593</v>
      </c>
      <c r="AO1520" s="924">
        <v>-0.19999999999999996</v>
      </c>
      <c r="AP1520" s="924">
        <v>0.60000000000000009</v>
      </c>
      <c r="AQ1520" s="924">
        <v>0.60000000000000009</v>
      </c>
      <c r="AR1520" s="924">
        <v>4.3478260869565188E-2</v>
      </c>
      <c r="AS1520" s="924">
        <v>0.1333333333333333</v>
      </c>
      <c r="AT1520" s="924">
        <v>0.1333333333333333</v>
      </c>
      <c r="AU1520" s="924">
        <v>0.11111111111111116</v>
      </c>
      <c r="AV1520" s="924">
        <f ca="1">_xlfn.XLOOKUP(A1520,TabCalc[Ticker],TabCalc[Imp150])</f>
        <v>0.11111111111111116</v>
      </c>
      <c r="AX1520" s="88" t="str">
        <f t="shared" ca="1" si="115"/>
        <v>IAG</v>
      </c>
    </row>
    <row r="1521" spans="1:50" hidden="1" x14ac:dyDescent="0.3">
      <c r="A1521" s="88" t="str">
        <f t="shared" ca="1" si="118"/>
        <v>KR</v>
      </c>
      <c r="F1521" s="924">
        <v>-1</v>
      </c>
      <c r="G1521" s="924">
        <v>-1</v>
      </c>
      <c r="H1521" s="924">
        <v>-1</v>
      </c>
      <c r="I1521" s="924">
        <v>-1</v>
      </c>
      <c r="J1521" s="924">
        <v>-1</v>
      </c>
      <c r="K1521" s="924">
        <v>-1</v>
      </c>
      <c r="L1521" s="924">
        <v>-1</v>
      </c>
      <c r="M1521" s="924">
        <v>-1</v>
      </c>
      <c r="N1521" s="924">
        <v>-1</v>
      </c>
      <c r="O1521" s="924">
        <v>-1</v>
      </c>
      <c r="P1521" s="924">
        <v>-1</v>
      </c>
      <c r="Q1521" s="924">
        <v>-1</v>
      </c>
      <c r="R1521" s="924">
        <v>-1</v>
      </c>
      <c r="S1521" s="924">
        <v>-1</v>
      </c>
      <c r="T1521" s="924">
        <v>-1</v>
      </c>
      <c r="U1521" s="924">
        <v>-1</v>
      </c>
      <c r="V1521" s="924">
        <v>-1</v>
      </c>
      <c r="W1521" s="924">
        <v>-1</v>
      </c>
      <c r="X1521" s="924">
        <v>-1</v>
      </c>
      <c r="Y1521" s="924">
        <v>-1</v>
      </c>
      <c r="Z1521" s="924">
        <f ca="1">_xlfn.XLOOKUP(A1417,TabCalc[Ticker],TabCalc[Imp20])</f>
        <v>-1</v>
      </c>
      <c r="AB1521" s="924">
        <v>-1</v>
      </c>
      <c r="AC1521" s="924">
        <v>-1</v>
      </c>
      <c r="AD1521" s="924">
        <v>-1</v>
      </c>
      <c r="AE1521" s="924">
        <v>-1</v>
      </c>
      <c r="AF1521" s="924">
        <v>8.2644628099173278E-3</v>
      </c>
      <c r="AG1521" s="924">
        <v>8.2644628099173278E-3</v>
      </c>
      <c r="AH1521" s="924">
        <v>-1</v>
      </c>
      <c r="AI1521" s="924">
        <v>-1</v>
      </c>
      <c r="AJ1521" s="924">
        <v>8.2644628099173278E-3</v>
      </c>
      <c r="AK1521" s="924">
        <v>8.2644628099173278E-3</v>
      </c>
      <c r="AL1521" s="924">
        <v>-0.9</v>
      </c>
      <c r="AM1521" s="924">
        <v>-1</v>
      </c>
      <c r="AN1521" s="924">
        <v>-1</v>
      </c>
      <c r="AO1521" s="924">
        <v>-0.75</v>
      </c>
      <c r="AP1521" s="924">
        <v>-1</v>
      </c>
      <c r="AQ1521" s="924">
        <v>-1</v>
      </c>
      <c r="AR1521" s="924">
        <v>-0.75</v>
      </c>
      <c r="AS1521" s="924">
        <v>-0.75</v>
      </c>
      <c r="AT1521" s="924">
        <v>-0.75</v>
      </c>
      <c r="AU1521" s="924">
        <v>-0.75</v>
      </c>
      <c r="AV1521" s="924">
        <f ca="1">_xlfn.XLOOKUP(A1521,TabCalc[Ticker],TabCalc[Imp150])</f>
        <v>-0.75</v>
      </c>
      <c r="AX1521" s="88" t="str">
        <f t="shared" ca="1" si="115"/>
        <v>KR</v>
      </c>
    </row>
    <row r="1522" spans="1:50" hidden="1" x14ac:dyDescent="0.3">
      <c r="A1522" s="88" t="str">
        <f t="shared" ca="1" si="118"/>
        <v>LNSR</v>
      </c>
      <c r="F1522" s="924">
        <v>-1</v>
      </c>
      <c r="G1522" s="924">
        <v>-1</v>
      </c>
      <c r="H1522" s="924">
        <v>-1</v>
      </c>
      <c r="I1522" s="924">
        <v>-1</v>
      </c>
      <c r="J1522" s="924">
        <v>-1</v>
      </c>
      <c r="K1522" s="924">
        <v>-1</v>
      </c>
      <c r="L1522" s="924">
        <v>-0.11111111111111116</v>
      </c>
      <c r="M1522" s="924">
        <v>-0.11111111111111116</v>
      </c>
      <c r="N1522" s="924">
        <v>-0.11111111111111116</v>
      </c>
      <c r="O1522" s="924">
        <v>-0.11111111111111116</v>
      </c>
      <c r="P1522" s="924">
        <v>-0.11111111111111116</v>
      </c>
      <c r="Q1522" s="924">
        <v>-0.11111111111111116</v>
      </c>
      <c r="R1522" s="924">
        <v>-0.11111111111111116</v>
      </c>
      <c r="S1522" s="924">
        <v>-0.11111111111111116</v>
      </c>
      <c r="T1522" s="924">
        <v>-1</v>
      </c>
      <c r="U1522" s="924">
        <v>-1</v>
      </c>
      <c r="V1522" s="924">
        <v>-1</v>
      </c>
      <c r="W1522" s="924">
        <v>-1</v>
      </c>
      <c r="X1522" s="924">
        <v>-1</v>
      </c>
      <c r="Y1522" s="924">
        <v>-1</v>
      </c>
      <c r="Z1522" s="924">
        <f ca="1">_xlfn.XLOOKUP(A1418,TabCalc[Ticker],TabCalc[Imp20])</f>
        <v>-1</v>
      </c>
      <c r="AB1522" s="924">
        <v>-1</v>
      </c>
      <c r="AC1522" s="924">
        <v>-1</v>
      </c>
      <c r="AD1522" s="924">
        <v>-1</v>
      </c>
      <c r="AE1522" s="924">
        <v>-1</v>
      </c>
      <c r="AF1522" s="924">
        <v>-1</v>
      </c>
      <c r="AG1522" s="924">
        <v>-1</v>
      </c>
      <c r="AH1522" s="924">
        <v>0.12621359223300965</v>
      </c>
      <c r="AI1522" s="924">
        <v>0.12621359223300965</v>
      </c>
      <c r="AJ1522" s="924">
        <v>0.12621359223300965</v>
      </c>
      <c r="AK1522" s="924">
        <v>0.12621359223300965</v>
      </c>
      <c r="AL1522" s="924">
        <v>-0.9</v>
      </c>
      <c r="AM1522" s="924">
        <v>-1</v>
      </c>
      <c r="AN1522" s="924">
        <v>-1</v>
      </c>
      <c r="AO1522" s="924">
        <v>-1</v>
      </c>
      <c r="AP1522" s="924">
        <v>-1</v>
      </c>
      <c r="AQ1522" s="924">
        <v>-1</v>
      </c>
      <c r="AR1522" s="924">
        <v>-1</v>
      </c>
      <c r="AS1522" s="924">
        <v>-1</v>
      </c>
      <c r="AT1522" s="924">
        <v>-1</v>
      </c>
      <c r="AU1522" s="924">
        <v>-1</v>
      </c>
      <c r="AV1522" s="924">
        <f ca="1">_xlfn.XLOOKUP(A1522,TabCalc[Ticker],TabCalc[Imp150])</f>
        <v>-1</v>
      </c>
      <c r="AX1522" s="88" t="str">
        <f t="shared" ca="1" si="115"/>
        <v>LNSR</v>
      </c>
    </row>
    <row r="1523" spans="1:50" hidden="1" x14ac:dyDescent="0.3">
      <c r="A1523" s="88" t="str">
        <f t="shared" ca="1" si="118"/>
        <v>LUMN</v>
      </c>
      <c r="F1523" s="924">
        <v>0.11111111111111116</v>
      </c>
      <c r="G1523" s="924">
        <v>0.11111111111111116</v>
      </c>
      <c r="H1523" s="924">
        <v>-1</v>
      </c>
      <c r="I1523" s="924">
        <v>-1</v>
      </c>
      <c r="J1523" s="924">
        <v>-1</v>
      </c>
      <c r="K1523" s="924">
        <v>-1</v>
      </c>
      <c r="L1523" s="924">
        <v>-1</v>
      </c>
      <c r="M1523" s="924">
        <v>-1</v>
      </c>
      <c r="N1523" s="924">
        <v>-1</v>
      </c>
      <c r="O1523" s="924">
        <v>-0.14285714285714285</v>
      </c>
      <c r="P1523" s="924">
        <v>0</v>
      </c>
      <c r="Q1523" s="924">
        <v>-1</v>
      </c>
      <c r="R1523" s="924">
        <v>-1</v>
      </c>
      <c r="S1523" s="924">
        <v>-1</v>
      </c>
      <c r="T1523" s="924">
        <v>-1</v>
      </c>
      <c r="U1523" s="924">
        <v>-1</v>
      </c>
      <c r="V1523" s="924">
        <v>-1</v>
      </c>
      <c r="W1523" s="924">
        <v>-1</v>
      </c>
      <c r="X1523" s="924">
        <v>-1</v>
      </c>
      <c r="Y1523" s="924">
        <v>-1</v>
      </c>
      <c r="Z1523" s="924">
        <f ca="1">_xlfn.XLOOKUP(A1419,TabCalc[Ticker],TabCalc[Imp20])</f>
        <v>-1</v>
      </c>
      <c r="AB1523" s="924">
        <v>0.11290322580645151</v>
      </c>
      <c r="AC1523" s="924">
        <v>0.11290322580645151</v>
      </c>
      <c r="AD1523" s="924">
        <v>-1</v>
      </c>
      <c r="AE1523" s="924">
        <v>-1</v>
      </c>
      <c r="AF1523" s="924">
        <v>-1</v>
      </c>
      <c r="AG1523" s="924">
        <v>0.13114754098360648</v>
      </c>
      <c r="AH1523" s="924">
        <v>-1</v>
      </c>
      <c r="AI1523" s="924">
        <v>-1</v>
      </c>
      <c r="AJ1523" s="924">
        <v>-1</v>
      </c>
      <c r="AK1523" s="924">
        <v>0.10743801652892571</v>
      </c>
      <c r="AL1523" s="924">
        <v>0.29999999999999993</v>
      </c>
      <c r="AM1523" s="924">
        <v>0.33333333333333326</v>
      </c>
      <c r="AN1523" s="924">
        <v>0.33333333333333326</v>
      </c>
      <c r="AO1523" s="924">
        <v>0.33333333333333326</v>
      </c>
      <c r="AP1523" s="924">
        <v>7.6923076923076872E-2</v>
      </c>
      <c r="AQ1523" s="924">
        <v>7.6923076923076872E-2</v>
      </c>
      <c r="AR1523" s="924">
        <v>7.6923076923076872E-2</v>
      </c>
      <c r="AS1523" s="924">
        <v>7.6923076923076872E-2</v>
      </c>
      <c r="AT1523" s="924">
        <v>-0.125</v>
      </c>
      <c r="AU1523" s="924">
        <v>-0.125</v>
      </c>
      <c r="AV1523" s="924">
        <f ca="1">_xlfn.XLOOKUP(A1523,TabCalc[Ticker],TabCalc[Imp150])</f>
        <v>-0.125</v>
      </c>
      <c r="AX1523" s="88" t="str">
        <f t="shared" ca="1" si="115"/>
        <v>LUMN</v>
      </c>
    </row>
    <row r="1524" spans="1:50" hidden="1" x14ac:dyDescent="0.3">
      <c r="A1524" s="88" t="str">
        <f t="shared" ca="1" si="118"/>
        <v>MRNA</v>
      </c>
      <c r="F1524" s="924">
        <v>-1</v>
      </c>
      <c r="G1524" s="924">
        <v>-1</v>
      </c>
      <c r="H1524" s="924">
        <v>-0.60000000000000009</v>
      </c>
      <c r="I1524" s="924">
        <v>-0.60000000000000009</v>
      </c>
      <c r="J1524" s="924">
        <v>-1</v>
      </c>
      <c r="K1524" s="924">
        <v>-1</v>
      </c>
      <c r="L1524" s="924">
        <v>-1</v>
      </c>
      <c r="M1524" s="924">
        <v>-1</v>
      </c>
      <c r="N1524" s="924">
        <v>-1</v>
      </c>
      <c r="O1524" s="924">
        <v>-1</v>
      </c>
      <c r="P1524" s="924">
        <v>-1</v>
      </c>
      <c r="Q1524" s="924">
        <v>-1</v>
      </c>
      <c r="R1524" s="924">
        <v>-1</v>
      </c>
      <c r="S1524" s="924">
        <v>-1</v>
      </c>
      <c r="T1524" s="924">
        <v>-1</v>
      </c>
      <c r="U1524" s="924">
        <v>-1</v>
      </c>
      <c r="V1524" s="924">
        <v>-1</v>
      </c>
      <c r="W1524" s="924">
        <v>-1</v>
      </c>
      <c r="X1524" s="924">
        <v>-1</v>
      </c>
      <c r="Y1524" s="924">
        <v>-1</v>
      </c>
      <c r="Z1524" s="924">
        <f ca="1">_xlfn.XLOOKUP(A1420,TabCalc[Ticker],TabCalc[Imp20])</f>
        <v>-1</v>
      </c>
      <c r="AB1524" s="924">
        <v>-1</v>
      </c>
      <c r="AC1524" s="924">
        <v>-1</v>
      </c>
      <c r="AD1524" s="924">
        <v>9.009009009008917E-3</v>
      </c>
      <c r="AE1524" s="924">
        <v>9.009009009008917E-3</v>
      </c>
      <c r="AF1524" s="924">
        <v>-1</v>
      </c>
      <c r="AG1524" s="924">
        <v>-1</v>
      </c>
      <c r="AH1524" s="924">
        <v>2.7027027027026973E-2</v>
      </c>
      <c r="AI1524" s="924">
        <v>2.7027027027026973E-2</v>
      </c>
      <c r="AJ1524" s="924">
        <v>2.7027027027026973E-2</v>
      </c>
      <c r="AK1524" s="924">
        <v>2.7027027027026973E-2</v>
      </c>
      <c r="AL1524" s="924">
        <v>-8.4172661870503526E-2</v>
      </c>
      <c r="AM1524" s="924">
        <v>-9.3525179856115026E-2</v>
      </c>
      <c r="AN1524" s="924">
        <v>-9.3525179856115026E-2</v>
      </c>
      <c r="AO1524" s="924">
        <v>-9.3525179856115026E-2</v>
      </c>
      <c r="AP1524" s="924">
        <v>0.15789473684210531</v>
      </c>
      <c r="AQ1524" s="924">
        <v>0.15789473684210531</v>
      </c>
      <c r="AR1524" s="924">
        <v>0.15789473684210531</v>
      </c>
      <c r="AS1524" s="924">
        <v>0.15789473684210531</v>
      </c>
      <c r="AT1524" s="924">
        <v>0.15789473684210531</v>
      </c>
      <c r="AU1524" s="924">
        <v>0.15789473684210531</v>
      </c>
      <c r="AV1524" s="924">
        <f ca="1">_xlfn.XLOOKUP(A1524,TabCalc[Ticker],TabCalc[Imp150])</f>
        <v>0.15789473684210531</v>
      </c>
      <c r="AX1524" s="88" t="str">
        <f t="shared" ca="1" si="115"/>
        <v>MRNA</v>
      </c>
    </row>
    <row r="1525" spans="1:50" hidden="1" x14ac:dyDescent="0.3">
      <c r="A1525" s="88" t="str">
        <f t="shared" ca="1" si="118"/>
        <v>MSFT</v>
      </c>
      <c r="F1525" s="924">
        <v>0.52941176470588225</v>
      </c>
      <c r="G1525" s="924">
        <v>-0.5</v>
      </c>
      <c r="H1525" s="924">
        <v>-1</v>
      </c>
      <c r="I1525" s="924">
        <v>0</v>
      </c>
      <c r="J1525" s="924">
        <v>-1</v>
      </c>
      <c r="K1525" s="924">
        <v>-1</v>
      </c>
      <c r="L1525" s="924">
        <v>-1</v>
      </c>
      <c r="M1525" s="924">
        <v>-1</v>
      </c>
      <c r="N1525" s="924">
        <v>0.55555555555555558</v>
      </c>
      <c r="O1525" s="924">
        <v>-1</v>
      </c>
      <c r="P1525" s="924">
        <v>1</v>
      </c>
      <c r="Q1525" s="924">
        <v>1</v>
      </c>
      <c r="R1525" s="924">
        <v>1</v>
      </c>
      <c r="S1525" s="924">
        <v>-1</v>
      </c>
      <c r="T1525" s="924">
        <v>-1</v>
      </c>
      <c r="U1525" s="924">
        <v>-1</v>
      </c>
      <c r="V1525" s="924">
        <v>-1</v>
      </c>
      <c r="W1525" s="924">
        <v>-1</v>
      </c>
      <c r="X1525" s="924">
        <v>-1</v>
      </c>
      <c r="Y1525" s="924">
        <v>-1</v>
      </c>
      <c r="Z1525" s="924">
        <f ca="1">_xlfn.XLOOKUP(A1421,TabCalc[Ticker],TabCalc[Imp20])</f>
        <v>-1</v>
      </c>
      <c r="AB1525" s="924">
        <v>0.29411764705882359</v>
      </c>
      <c r="AC1525" s="924">
        <v>0.30882352941176472</v>
      </c>
      <c r="AD1525" s="924">
        <v>0.30882352941176472</v>
      </c>
      <c r="AE1525" s="924">
        <v>0.30882352941176472</v>
      </c>
      <c r="AF1525" s="924">
        <v>-1</v>
      </c>
      <c r="AG1525" s="924">
        <v>-1</v>
      </c>
      <c r="AH1525" s="924">
        <v>-1</v>
      </c>
      <c r="AI1525" s="924">
        <v>-1</v>
      </c>
      <c r="AJ1525" s="924">
        <v>0.27941176470588225</v>
      </c>
      <c r="AK1525" s="924">
        <v>0.27407407407407414</v>
      </c>
      <c r="AL1525" s="924">
        <v>0.13146067415730331</v>
      </c>
      <c r="AM1525" s="924">
        <v>0.14606741573033699</v>
      </c>
      <c r="AN1525" s="924">
        <v>0.14606741573033699</v>
      </c>
      <c r="AO1525" s="924">
        <v>0.14606741573033699</v>
      </c>
      <c r="AP1525" s="924">
        <v>-0.19999999999999996</v>
      </c>
      <c r="AQ1525" s="924">
        <v>-0.19999999999999996</v>
      </c>
      <c r="AR1525" s="924">
        <v>-0.19999999999999996</v>
      </c>
      <c r="AS1525" s="924">
        <v>-0.19999999999999996</v>
      </c>
      <c r="AT1525" s="924">
        <v>-0.19999999999999996</v>
      </c>
      <c r="AU1525" s="924">
        <v>-0.19999999999999996</v>
      </c>
      <c r="AV1525" s="924">
        <f ca="1">_xlfn.XLOOKUP(A1525,TabCalc[Ticker],TabCalc[Imp150])</f>
        <v>-0.19999999999999996</v>
      </c>
      <c r="AX1525" s="88" t="str">
        <f t="shared" ca="1" si="115"/>
        <v>MSFT</v>
      </c>
    </row>
    <row r="1526" spans="1:50" hidden="1" x14ac:dyDescent="0.3">
      <c r="A1526" s="88" t="str">
        <f t="shared" ca="1" si="118"/>
        <v>NEE</v>
      </c>
      <c r="F1526" s="924">
        <v>-0.28571428571428564</v>
      </c>
      <c r="G1526" s="924">
        <v>-1</v>
      </c>
      <c r="H1526" s="924">
        <v>0</v>
      </c>
      <c r="I1526" s="924">
        <v>0</v>
      </c>
      <c r="J1526" s="924">
        <v>-1</v>
      </c>
      <c r="K1526" s="924">
        <v>-1</v>
      </c>
      <c r="L1526" s="924">
        <v>-1</v>
      </c>
      <c r="M1526" s="924">
        <v>-1</v>
      </c>
      <c r="N1526" s="924">
        <v>-1</v>
      </c>
      <c r="O1526" s="924">
        <v>-0.14285714285714285</v>
      </c>
      <c r="P1526" s="924">
        <v>-0.33333333333333343</v>
      </c>
      <c r="Q1526" s="924">
        <v>-1</v>
      </c>
      <c r="R1526" s="924">
        <v>-1</v>
      </c>
      <c r="S1526" s="924">
        <v>-1</v>
      </c>
      <c r="T1526" s="924">
        <v>-1</v>
      </c>
      <c r="U1526" s="924">
        <v>-1</v>
      </c>
      <c r="V1526" s="924">
        <v>-1</v>
      </c>
      <c r="W1526" s="924">
        <v>-1</v>
      </c>
      <c r="X1526" s="924">
        <v>-1</v>
      </c>
      <c r="Y1526" s="924">
        <v>-1</v>
      </c>
      <c r="Z1526" s="924">
        <f ca="1">_xlfn.XLOOKUP(A1422,TabCalc[Ticker],TabCalc[Imp20])</f>
        <v>-1</v>
      </c>
      <c r="AB1526" s="924">
        <v>-9.7345132743362817E-2</v>
      </c>
      <c r="AC1526" s="924">
        <v>-1</v>
      </c>
      <c r="AD1526" s="924">
        <v>-8.9285714285714357E-2</v>
      </c>
      <c r="AE1526" s="924">
        <v>-8.9285714285714357E-2</v>
      </c>
      <c r="AF1526" s="924">
        <v>-1</v>
      </c>
      <c r="AG1526" s="924">
        <v>-1</v>
      </c>
      <c r="AH1526" s="924">
        <v>-1</v>
      </c>
      <c r="AI1526" s="924">
        <v>-1</v>
      </c>
      <c r="AJ1526" s="924">
        <v>-1</v>
      </c>
      <c r="AK1526" s="924">
        <v>-7.4074074074074014E-2</v>
      </c>
      <c r="AL1526" s="924">
        <v>-0.9</v>
      </c>
      <c r="AM1526" s="924">
        <v>-1</v>
      </c>
      <c r="AN1526" s="924">
        <v>-1</v>
      </c>
      <c r="AO1526" s="924">
        <v>0</v>
      </c>
      <c r="AP1526" s="924">
        <v>0</v>
      </c>
      <c r="AQ1526" s="924">
        <v>0</v>
      </c>
      <c r="AR1526" s="924">
        <v>0</v>
      </c>
      <c r="AS1526" s="924">
        <v>0</v>
      </c>
      <c r="AT1526" s="924">
        <v>0</v>
      </c>
      <c r="AU1526" s="924">
        <v>0</v>
      </c>
      <c r="AV1526" s="924">
        <f ca="1">_xlfn.XLOOKUP(A1526,TabCalc[Ticker],TabCalc[Imp150])</f>
        <v>0</v>
      </c>
      <c r="AX1526" s="88" t="str">
        <f t="shared" ca="1" si="115"/>
        <v>NEE</v>
      </c>
    </row>
    <row r="1527" spans="1:50" hidden="1" x14ac:dyDescent="0.3">
      <c r="A1527" s="88" t="str">
        <f t="shared" ca="1" si="118"/>
        <v>NEM</v>
      </c>
      <c r="F1527" s="924">
        <v>-1</v>
      </c>
      <c r="G1527" s="924">
        <v>-1</v>
      </c>
      <c r="H1527" s="924">
        <v>-1</v>
      </c>
      <c r="I1527" s="924">
        <v>-1</v>
      </c>
      <c r="J1527" s="924">
        <v>-1</v>
      </c>
      <c r="K1527" s="924">
        <v>-1</v>
      </c>
      <c r="L1527" s="924">
        <v>-1</v>
      </c>
      <c r="M1527" s="924">
        <v>-1</v>
      </c>
      <c r="N1527" s="924">
        <v>-1</v>
      </c>
      <c r="O1527" s="924">
        <v>-1</v>
      </c>
      <c r="P1527" s="924">
        <v>-1</v>
      </c>
      <c r="Q1527" s="924">
        <v>-1</v>
      </c>
      <c r="R1527" s="924">
        <v>-1</v>
      </c>
      <c r="S1527" s="924">
        <v>-1</v>
      </c>
      <c r="T1527" s="924">
        <v>-1</v>
      </c>
      <c r="U1527" s="924">
        <v>-1</v>
      </c>
      <c r="V1527" s="924">
        <v>-1</v>
      </c>
      <c r="W1527" s="924">
        <v>-1</v>
      </c>
      <c r="X1527" s="924">
        <v>-1</v>
      </c>
      <c r="Y1527" s="924">
        <v>-1</v>
      </c>
      <c r="Z1527" s="924">
        <f ca="1">_xlfn.XLOOKUP(A1423,TabCalc[Ticker],TabCalc[Imp20])</f>
        <v>-1</v>
      </c>
      <c r="AB1527" s="924">
        <v>-1</v>
      </c>
      <c r="AC1527" s="924">
        <v>-1</v>
      </c>
      <c r="AD1527" s="924">
        <v>-1</v>
      </c>
      <c r="AE1527" s="924">
        <v>-1</v>
      </c>
      <c r="AF1527" s="924">
        <v>-1</v>
      </c>
      <c r="AG1527" s="924">
        <v>-1</v>
      </c>
      <c r="AH1527" s="924">
        <v>-1</v>
      </c>
      <c r="AI1527" s="924">
        <v>-1</v>
      </c>
      <c r="AJ1527" s="924">
        <v>-1</v>
      </c>
      <c r="AK1527" s="924">
        <v>-1</v>
      </c>
      <c r="AL1527" s="924">
        <v>0.45</v>
      </c>
      <c r="AM1527" s="924">
        <v>0.5</v>
      </c>
      <c r="AN1527" s="924">
        <v>0.5</v>
      </c>
      <c r="AO1527" s="924">
        <v>-0.16666666666666657</v>
      </c>
      <c r="AP1527" s="924">
        <v>-0.39999999999999997</v>
      </c>
      <c r="AQ1527" s="924">
        <v>-0.23076923076923078</v>
      </c>
      <c r="AR1527" s="924">
        <v>0.33333333333333326</v>
      </c>
      <c r="AS1527" s="924">
        <v>0.33333333333333326</v>
      </c>
      <c r="AT1527" s="924">
        <v>0.33333333333333326</v>
      </c>
      <c r="AU1527" s="924">
        <v>0.33333333333333326</v>
      </c>
      <c r="AV1527" s="924">
        <f ca="1">_xlfn.XLOOKUP(A1527,TabCalc[Ticker],TabCalc[Imp150])</f>
        <v>0.33333333333333326</v>
      </c>
      <c r="AX1527" s="88" t="str">
        <f t="shared" ca="1" si="115"/>
        <v>NEM</v>
      </c>
    </row>
    <row r="1528" spans="1:50" hidden="1" x14ac:dyDescent="0.3">
      <c r="A1528" s="88" t="str">
        <f t="shared" ca="1" si="118"/>
        <v>NFLX</v>
      </c>
      <c r="F1528" s="924">
        <v>-4.7619047619047672E-2</v>
      </c>
      <c r="G1528" s="924">
        <v>-4.7619047619047672E-2</v>
      </c>
      <c r="H1528" s="924">
        <v>-1</v>
      </c>
      <c r="I1528" s="924">
        <v>-1</v>
      </c>
      <c r="J1528" s="924">
        <v>-1</v>
      </c>
      <c r="K1528" s="924">
        <v>-1</v>
      </c>
      <c r="L1528" s="924">
        <v>-1</v>
      </c>
      <c r="M1528" s="924">
        <v>-1</v>
      </c>
      <c r="N1528" s="924">
        <v>-1</v>
      </c>
      <c r="O1528" s="924">
        <v>-1</v>
      </c>
      <c r="P1528" s="924">
        <v>-1</v>
      </c>
      <c r="Q1528" s="924">
        <v>-1</v>
      </c>
      <c r="R1528" s="924">
        <v>-1</v>
      </c>
      <c r="S1528" s="924">
        <v>-1</v>
      </c>
      <c r="T1528" s="924">
        <v>-1</v>
      </c>
      <c r="U1528" s="924">
        <v>-1</v>
      </c>
      <c r="V1528" s="924">
        <v>-1</v>
      </c>
      <c r="W1528" s="924">
        <v>-1</v>
      </c>
      <c r="X1528" s="924">
        <v>-1</v>
      </c>
      <c r="Y1528" s="924">
        <v>-1</v>
      </c>
      <c r="Z1528" s="924">
        <f ca="1">_xlfn.XLOOKUP(A1424,TabCalc[Ticker],TabCalc[Imp20])</f>
        <v>-1</v>
      </c>
      <c r="AB1528" s="924">
        <v>-9.6296296296296324E-2</v>
      </c>
      <c r="AC1528" s="924">
        <v>-9.6296296296296324E-2</v>
      </c>
      <c r="AD1528" s="924">
        <v>-1</v>
      </c>
      <c r="AE1528" s="924">
        <v>-1</v>
      </c>
      <c r="AF1528" s="924">
        <v>-1</v>
      </c>
      <c r="AG1528" s="924">
        <v>-1</v>
      </c>
      <c r="AH1528" s="924">
        <v>-0.10447761194029853</v>
      </c>
      <c r="AI1528" s="924">
        <v>-0.10447761194029853</v>
      </c>
      <c r="AJ1528" s="924">
        <v>-0.10447761194029853</v>
      </c>
      <c r="AK1528" s="924">
        <v>-0.10447761194029853</v>
      </c>
      <c r="AL1528" s="924">
        <v>0.15688073394495419</v>
      </c>
      <c r="AM1528" s="924">
        <v>0.17431192660550465</v>
      </c>
      <c r="AN1528" s="924">
        <v>0.17431192660550465</v>
      </c>
      <c r="AO1528" s="924">
        <v>0.17431192660550465</v>
      </c>
      <c r="AP1528" s="924">
        <v>-0.33333333333333343</v>
      </c>
      <c r="AQ1528" s="924">
        <v>-0.33333333333333343</v>
      </c>
      <c r="AR1528" s="924">
        <v>-0.33333333333333343</v>
      </c>
      <c r="AS1528" s="924">
        <v>-0.33333333333333343</v>
      </c>
      <c r="AT1528" s="924">
        <v>0</v>
      </c>
      <c r="AU1528" s="924">
        <v>0</v>
      </c>
      <c r="AV1528" s="924">
        <f ca="1">_xlfn.XLOOKUP(A1528,TabCalc[Ticker],TabCalc[Imp150])</f>
        <v>0</v>
      </c>
      <c r="AX1528" s="88" t="str">
        <f t="shared" ca="1" si="115"/>
        <v>NFLX</v>
      </c>
    </row>
    <row r="1529" spans="1:50" hidden="1" x14ac:dyDescent="0.3">
      <c r="A1529" s="88" t="str">
        <f t="shared" ca="1" si="118"/>
        <v>NOTE</v>
      </c>
      <c r="F1529" s="924">
        <v>0.22222222222222232</v>
      </c>
      <c r="G1529" s="924">
        <v>0.22222222222222232</v>
      </c>
      <c r="H1529" s="924">
        <v>1</v>
      </c>
      <c r="I1529" s="924">
        <v>1</v>
      </c>
      <c r="J1529" s="924">
        <v>-1</v>
      </c>
      <c r="K1529" s="924">
        <v>-1</v>
      </c>
      <c r="L1529" s="924">
        <v>-0.14285714285714285</v>
      </c>
      <c r="M1529" s="924">
        <v>-0.14285714285714285</v>
      </c>
      <c r="N1529" s="924">
        <v>-0.14285714285714285</v>
      </c>
      <c r="O1529" s="924">
        <v>-0.14285714285714285</v>
      </c>
      <c r="P1529" s="924">
        <v>-0.14285714285714285</v>
      </c>
      <c r="Q1529" s="924">
        <v>-0.14285714285714285</v>
      </c>
      <c r="R1529" s="924">
        <v>-0.14285714285714285</v>
      </c>
      <c r="S1529" s="924">
        <v>-0.14285714285714285</v>
      </c>
      <c r="T1529" s="924">
        <v>-1</v>
      </c>
      <c r="U1529" s="924">
        <v>-1</v>
      </c>
      <c r="V1529" s="924">
        <v>-1</v>
      </c>
      <c r="W1529" s="924">
        <v>-1</v>
      </c>
      <c r="X1529" s="924">
        <v>-1</v>
      </c>
      <c r="Y1529" s="924">
        <v>-1</v>
      </c>
      <c r="Z1529" s="924">
        <f ca="1">_xlfn.XLOOKUP(A1425,TabCalc[Ticker],TabCalc[Imp20])</f>
        <v>-1</v>
      </c>
      <c r="AB1529" s="924">
        <v>-7.9136690647481966E-2</v>
      </c>
      <c r="AC1529" s="924">
        <v>-7.9136690647481966E-2</v>
      </c>
      <c r="AD1529" s="924">
        <v>-8.6956521739130432E-2</v>
      </c>
      <c r="AE1529" s="924">
        <v>-8.6956521739130432E-2</v>
      </c>
      <c r="AF1529" s="924">
        <v>-1</v>
      </c>
      <c r="AG1529" s="924">
        <v>-1</v>
      </c>
      <c r="AH1529" s="924">
        <v>-9.3525179856115026E-2</v>
      </c>
      <c r="AI1529" s="924">
        <v>-9.3525179856115026E-2</v>
      </c>
      <c r="AJ1529" s="924">
        <v>-9.3525179856115026E-2</v>
      </c>
      <c r="AK1529" s="924">
        <v>-9.3525179856115026E-2</v>
      </c>
      <c r="AL1529" s="924">
        <v>-9.0000000000000038E-2</v>
      </c>
      <c r="AM1529" s="924">
        <v>-0.10000000000000003</v>
      </c>
      <c r="AN1529" s="924">
        <v>-0.10000000000000003</v>
      </c>
      <c r="AO1529" s="924">
        <v>0</v>
      </c>
      <c r="AP1529" s="924">
        <v>-0.16666666666666657</v>
      </c>
      <c r="AQ1529" s="924">
        <v>-0.16666666666666657</v>
      </c>
      <c r="AR1529" s="924">
        <v>-0.16666666666666657</v>
      </c>
      <c r="AS1529" s="924">
        <v>-0.16666666666666657</v>
      </c>
      <c r="AT1529" s="924">
        <v>-0.16666666666666657</v>
      </c>
      <c r="AU1529" s="924">
        <v>-0.16666666666666657</v>
      </c>
      <c r="AV1529" s="924">
        <f ca="1">_xlfn.XLOOKUP(A1529,TabCalc[Ticker],TabCalc[Imp150])</f>
        <v>-0.16666666666666657</v>
      </c>
      <c r="AX1529" s="88" t="str">
        <f t="shared" ca="1" si="115"/>
        <v>NOTE</v>
      </c>
    </row>
    <row r="1530" spans="1:50" hidden="1" x14ac:dyDescent="0.3">
      <c r="A1530" s="88" t="str">
        <f t="shared" ca="1" si="118"/>
        <v>PAAS</v>
      </c>
      <c r="F1530" s="924">
        <v>0.23076923076923084</v>
      </c>
      <c r="G1530" s="924">
        <v>0.23076923076923084</v>
      </c>
      <c r="H1530" s="924">
        <v>-0.33333333333333343</v>
      </c>
      <c r="I1530" s="924">
        <v>-0.33333333333333343</v>
      </c>
      <c r="J1530" s="924">
        <v>-1</v>
      </c>
      <c r="K1530" s="924">
        <v>-1</v>
      </c>
      <c r="L1530" s="924">
        <v>-1</v>
      </c>
      <c r="M1530" s="924">
        <v>-1</v>
      </c>
      <c r="N1530" s="924">
        <v>-1</v>
      </c>
      <c r="O1530" s="924">
        <v>0</v>
      </c>
      <c r="P1530" s="924">
        <v>-0.77777777777777768</v>
      </c>
      <c r="Q1530" s="924">
        <v>-0.77777777777777768</v>
      </c>
      <c r="R1530" s="924">
        <v>-0.77777777777777768</v>
      </c>
      <c r="S1530" s="924">
        <v>-0.77777777777777768</v>
      </c>
      <c r="T1530" s="924">
        <v>-1</v>
      </c>
      <c r="U1530" s="924">
        <v>-1</v>
      </c>
      <c r="V1530" s="924">
        <v>-1</v>
      </c>
      <c r="W1530" s="924">
        <v>-1</v>
      </c>
      <c r="X1530" s="924">
        <v>-1</v>
      </c>
      <c r="Y1530" s="924">
        <v>-1</v>
      </c>
      <c r="Z1530" s="924">
        <f ca="1">_xlfn.XLOOKUP(A1426,TabCalc[Ticker],TabCalc[Imp20])</f>
        <v>-1</v>
      </c>
      <c r="AB1530" s="924">
        <v>9.6774193548387011E-2</v>
      </c>
      <c r="AC1530" s="924">
        <v>9.6774193548387011E-2</v>
      </c>
      <c r="AD1530" s="924">
        <v>0.12087912087912089</v>
      </c>
      <c r="AE1530" s="924">
        <v>0.12087912087912089</v>
      </c>
      <c r="AF1530" s="924">
        <v>-1</v>
      </c>
      <c r="AG1530" s="924">
        <v>-1</v>
      </c>
      <c r="AH1530" s="924">
        <v>-1</v>
      </c>
      <c r="AI1530" s="924">
        <v>-1</v>
      </c>
      <c r="AJ1530" s="924">
        <v>-1</v>
      </c>
      <c r="AK1530" s="924">
        <v>0.13636363636363646</v>
      </c>
      <c r="AL1530" s="924">
        <v>0.17999999999999997</v>
      </c>
      <c r="AM1530" s="924">
        <v>0.19999999999999996</v>
      </c>
      <c r="AN1530" s="924">
        <v>0.19999999999999996</v>
      </c>
      <c r="AO1530" s="924">
        <v>0.19999999999999996</v>
      </c>
      <c r="AP1530" s="924">
        <v>0.33333333333333326</v>
      </c>
      <c r="AQ1530" s="924">
        <v>0.33333333333333326</v>
      </c>
      <c r="AR1530" s="924">
        <v>0.33333333333333326</v>
      </c>
      <c r="AS1530" s="924">
        <v>0.33333333333333326</v>
      </c>
      <c r="AT1530" s="924">
        <v>0.33333333333333326</v>
      </c>
      <c r="AU1530" s="924">
        <v>0.33333333333333326</v>
      </c>
      <c r="AV1530" s="924">
        <f ca="1">_xlfn.XLOOKUP(A1530,TabCalc[Ticker],TabCalc[Imp150])</f>
        <v>0.33333333333333326</v>
      </c>
      <c r="AX1530" s="88" t="str">
        <f t="shared" ca="1" si="115"/>
        <v>PAAS</v>
      </c>
    </row>
    <row r="1531" spans="1:50" hidden="1" x14ac:dyDescent="0.3">
      <c r="A1531" s="88" t="str">
        <f t="shared" ca="1" si="118"/>
        <v>PROF</v>
      </c>
      <c r="F1531" s="924">
        <v>0</v>
      </c>
      <c r="G1531" s="924">
        <v>0</v>
      </c>
      <c r="H1531" s="924">
        <v>-9.0909090909090884E-2</v>
      </c>
      <c r="I1531" s="924">
        <v>-9.0909090909090884E-2</v>
      </c>
      <c r="J1531" s="924">
        <v>-1</v>
      </c>
      <c r="K1531" s="924">
        <v>-1</v>
      </c>
      <c r="L1531" s="924">
        <v>-1</v>
      </c>
      <c r="M1531" s="924">
        <v>-1</v>
      </c>
      <c r="N1531" s="924">
        <v>-1</v>
      </c>
      <c r="O1531" s="924">
        <v>-1</v>
      </c>
      <c r="P1531" s="924">
        <v>-1</v>
      </c>
      <c r="Q1531" s="924">
        <v>-1</v>
      </c>
      <c r="R1531" s="924">
        <v>-1</v>
      </c>
      <c r="S1531" s="924">
        <v>-1</v>
      </c>
      <c r="T1531" s="924">
        <v>-1</v>
      </c>
      <c r="U1531" s="924">
        <v>-1</v>
      </c>
      <c r="V1531" s="924">
        <v>-1</v>
      </c>
      <c r="W1531" s="924">
        <v>-1</v>
      </c>
      <c r="X1531" s="924">
        <v>-1</v>
      </c>
      <c r="Y1531" s="924">
        <v>-1</v>
      </c>
      <c r="Z1531" s="924">
        <f ca="1">_xlfn.XLOOKUP(A1427,TabCalc[Ticker],TabCalc[Imp20])</f>
        <v>-1</v>
      </c>
      <c r="AB1531" s="924">
        <v>0.1272727272727272</v>
      </c>
      <c r="AC1531" s="924">
        <v>0.1272727272727272</v>
      </c>
      <c r="AD1531" s="924">
        <v>0.13761467889908263</v>
      </c>
      <c r="AE1531" s="924">
        <v>0.13761467889908263</v>
      </c>
      <c r="AF1531" s="924">
        <v>-1</v>
      </c>
      <c r="AG1531" s="924">
        <v>-1</v>
      </c>
      <c r="AH1531" s="924">
        <v>-1</v>
      </c>
      <c r="AI1531" s="924">
        <v>-1</v>
      </c>
      <c r="AJ1531" s="924">
        <v>-1</v>
      </c>
      <c r="AK1531" s="924">
        <v>-1</v>
      </c>
      <c r="AL1531" s="924">
        <v>-0.9</v>
      </c>
      <c r="AM1531" s="924">
        <v>-1</v>
      </c>
      <c r="AN1531" s="924">
        <v>-1</v>
      </c>
      <c r="AO1531" s="924">
        <v>-1</v>
      </c>
      <c r="AP1531" s="924">
        <v>5.2631578947368363E-2</v>
      </c>
      <c r="AQ1531" s="924">
        <v>5.2631578947368363E-2</v>
      </c>
      <c r="AR1531" s="924">
        <v>5.2631578947368363E-2</v>
      </c>
      <c r="AS1531" s="924">
        <v>-1</v>
      </c>
      <c r="AT1531" s="924">
        <v>-0.5</v>
      </c>
      <c r="AU1531" s="924">
        <v>0.10000000000000009</v>
      </c>
      <c r="AV1531" s="924">
        <f ca="1">_xlfn.XLOOKUP(A1531,TabCalc[Ticker],TabCalc[Imp150])</f>
        <v>0.10000000000000009</v>
      </c>
      <c r="AX1531" s="88" t="str">
        <f t="shared" ca="1" si="115"/>
        <v>PROF</v>
      </c>
    </row>
    <row r="1532" spans="1:50" hidden="1" x14ac:dyDescent="0.3">
      <c r="A1532" s="88" t="str">
        <f t="shared" ca="1" si="118"/>
        <v>POET</v>
      </c>
      <c r="F1532" s="924">
        <v>-1</v>
      </c>
      <c r="G1532" s="924">
        <v>0.11111111111111116</v>
      </c>
      <c r="H1532" s="924">
        <v>-0.25</v>
      </c>
      <c r="I1532" s="924">
        <v>-1</v>
      </c>
      <c r="J1532" s="924">
        <v>-1</v>
      </c>
      <c r="K1532" s="924">
        <v>-0.19999999999999996</v>
      </c>
      <c r="L1532" s="924">
        <v>-1</v>
      </c>
      <c r="M1532" s="924">
        <v>-1</v>
      </c>
      <c r="N1532" s="924">
        <v>-0.33333333333333343</v>
      </c>
      <c r="O1532" s="924">
        <v>-0.33333333333333343</v>
      </c>
      <c r="P1532" s="924">
        <v>-0.33333333333333343</v>
      </c>
      <c r="Q1532" s="924">
        <v>0.5</v>
      </c>
      <c r="R1532" s="924">
        <v>0.5</v>
      </c>
      <c r="S1532" s="924">
        <v>-1</v>
      </c>
      <c r="T1532" s="924">
        <v>-1</v>
      </c>
      <c r="U1532" s="924">
        <v>-1</v>
      </c>
      <c r="V1532" s="924">
        <v>-0.77777777777777768</v>
      </c>
      <c r="W1532" s="924">
        <v>-0.77777777777777768</v>
      </c>
      <c r="X1532" s="924">
        <v>-1</v>
      </c>
      <c r="Y1532" s="924">
        <v>-1</v>
      </c>
      <c r="Z1532" s="924">
        <f ca="1">_xlfn.XLOOKUP(A1428,TabCalc[Ticker],TabCalc[Imp20])</f>
        <v>-1</v>
      </c>
      <c r="AB1532" s="924">
        <v>-1</v>
      </c>
      <c r="AC1532" s="924">
        <v>0.27777777777777768</v>
      </c>
      <c r="AD1532" s="924">
        <v>0.27777777777777768</v>
      </c>
      <c r="AE1532" s="924">
        <v>-1</v>
      </c>
      <c r="AF1532" s="924">
        <v>-1</v>
      </c>
      <c r="AG1532" s="924">
        <v>0.26605504587155959</v>
      </c>
      <c r="AH1532" s="924">
        <v>-1</v>
      </c>
      <c r="AI1532" s="924">
        <v>-1</v>
      </c>
      <c r="AJ1532" s="924">
        <v>0.24770642201834869</v>
      </c>
      <c r="AK1532" s="924">
        <v>0.24770642201834869</v>
      </c>
      <c r="AL1532" s="924">
        <v>-0.9</v>
      </c>
      <c r="AM1532" s="924">
        <v>-1</v>
      </c>
      <c r="AN1532" s="924">
        <v>-1</v>
      </c>
      <c r="AO1532" s="924">
        <v>-1</v>
      </c>
      <c r="AP1532" s="924">
        <v>-1</v>
      </c>
      <c r="AQ1532" s="924">
        <v>-1</v>
      </c>
      <c r="AR1532" s="924">
        <v>-1</v>
      </c>
      <c r="AS1532" s="924">
        <v>-1</v>
      </c>
      <c r="AT1532" s="924">
        <v>-1</v>
      </c>
      <c r="AU1532" s="924">
        <v>-1</v>
      </c>
      <c r="AV1532" s="924">
        <f ca="1">_xlfn.XLOOKUP(A1532,TabCalc[Ticker],TabCalc[Imp150])</f>
        <v>-1</v>
      </c>
      <c r="AX1532" s="88" t="str">
        <f t="shared" ca="1" si="115"/>
        <v>POET</v>
      </c>
    </row>
    <row r="1533" spans="1:50" hidden="1" x14ac:dyDescent="0.3">
      <c r="A1533" s="88" t="str">
        <f t="shared" ca="1" si="118"/>
        <v>PW</v>
      </c>
      <c r="F1533" s="924">
        <v>-1</v>
      </c>
      <c r="G1533" s="924">
        <v>-1</v>
      </c>
      <c r="H1533" s="924">
        <v>-1</v>
      </c>
      <c r="I1533" s="924">
        <v>-1</v>
      </c>
      <c r="J1533" s="924">
        <v>-1</v>
      </c>
      <c r="K1533" s="924">
        <v>-1</v>
      </c>
      <c r="L1533" s="924">
        <v>-1</v>
      </c>
      <c r="M1533" s="924">
        <v>-1</v>
      </c>
      <c r="N1533" s="924">
        <v>0</v>
      </c>
      <c r="O1533" s="924">
        <v>0.33333333333333326</v>
      </c>
      <c r="P1533" s="924">
        <v>0.33333333333333326</v>
      </c>
      <c r="Q1533" s="924">
        <v>0.33333333333333326</v>
      </c>
      <c r="R1533" s="924">
        <v>0.33333333333333326</v>
      </c>
      <c r="S1533" s="924">
        <v>0.33333333333333326</v>
      </c>
      <c r="T1533" s="924">
        <v>-1</v>
      </c>
      <c r="U1533" s="924">
        <v>-1</v>
      </c>
      <c r="V1533" s="924">
        <v>-1</v>
      </c>
      <c r="W1533" s="924">
        <v>-1</v>
      </c>
      <c r="X1533" s="924">
        <v>-1</v>
      </c>
      <c r="Y1533" s="924">
        <v>-1</v>
      </c>
      <c r="Z1533" s="924">
        <f ca="1">_xlfn.XLOOKUP(A1429,TabCalc[Ticker],TabCalc[Imp20])</f>
        <v>-1</v>
      </c>
      <c r="AB1533" s="924">
        <v>-1</v>
      </c>
      <c r="AC1533" s="924">
        <v>-1</v>
      </c>
      <c r="AD1533" s="924">
        <v>-1</v>
      </c>
      <c r="AE1533" s="924">
        <v>-1</v>
      </c>
      <c r="AF1533" s="924">
        <v>-1</v>
      </c>
      <c r="AG1533" s="924">
        <v>-1</v>
      </c>
      <c r="AH1533" s="924">
        <v>-1</v>
      </c>
      <c r="AI1533" s="924">
        <v>-1</v>
      </c>
      <c r="AJ1533" s="924">
        <v>0.18181818181818188</v>
      </c>
      <c r="AK1533" s="924">
        <v>0.17431192660550465</v>
      </c>
      <c r="AL1533" s="924">
        <v>-0.9</v>
      </c>
      <c r="AM1533" s="924">
        <v>-1</v>
      </c>
      <c r="AN1533" s="924">
        <v>-1</v>
      </c>
      <c r="AO1533" s="924">
        <v>-1</v>
      </c>
      <c r="AP1533" s="924">
        <v>-0.33333333333333343</v>
      </c>
      <c r="AQ1533" s="924">
        <v>-0.33333333333333343</v>
      </c>
      <c r="AR1533" s="924">
        <v>-0.33333333333333343</v>
      </c>
      <c r="AS1533" s="924">
        <v>-0.33333333333333343</v>
      </c>
      <c r="AT1533" s="924">
        <v>-0.33333333333333343</v>
      </c>
      <c r="AU1533" s="924">
        <v>-0.33333333333333343</v>
      </c>
      <c r="AV1533" s="924">
        <f ca="1">_xlfn.XLOOKUP(A1533,TabCalc[Ticker],TabCalc[Imp150])</f>
        <v>-0.33333333333333343</v>
      </c>
      <c r="AX1533" s="88" t="str">
        <f t="shared" ca="1" si="115"/>
        <v>PW</v>
      </c>
    </row>
    <row r="1534" spans="1:50" hidden="1" x14ac:dyDescent="0.3">
      <c r="A1534" s="88" t="str">
        <f t="shared" ca="1" si="118"/>
        <v>RIGL</v>
      </c>
      <c r="F1534" s="924">
        <v>-0.15789473684210531</v>
      </c>
      <c r="G1534" s="924">
        <v>-0.41176470588235287</v>
      </c>
      <c r="H1534" s="924">
        <v>-1</v>
      </c>
      <c r="I1534" s="924">
        <v>-1</v>
      </c>
      <c r="J1534" s="924">
        <v>-1</v>
      </c>
      <c r="K1534" s="924">
        <v>-1</v>
      </c>
      <c r="L1534" s="924">
        <v>9.0909090909090828E-2</v>
      </c>
      <c r="M1534" s="924">
        <v>9.0909090909090828E-2</v>
      </c>
      <c r="N1534" s="924">
        <v>9.0909090909090828E-2</v>
      </c>
      <c r="O1534" s="924">
        <v>9.0909090909090828E-2</v>
      </c>
      <c r="P1534" s="924">
        <v>9.0909090909090828E-2</v>
      </c>
      <c r="Q1534" s="924">
        <v>9.0909090909090828E-2</v>
      </c>
      <c r="R1534" s="924">
        <v>9.0909090909090828E-2</v>
      </c>
      <c r="S1534" s="924">
        <v>-1</v>
      </c>
      <c r="T1534" s="924">
        <v>-1</v>
      </c>
      <c r="U1534" s="924">
        <v>-1</v>
      </c>
      <c r="V1534" s="924">
        <v>-1</v>
      </c>
      <c r="W1534" s="924">
        <v>-1</v>
      </c>
      <c r="X1534" s="924">
        <v>-1</v>
      </c>
      <c r="Y1534" s="924">
        <v>-1</v>
      </c>
      <c r="Z1534" s="924">
        <f ca="1">_xlfn.XLOOKUP(A1430,TabCalc[Ticker],TabCalc[Imp20])</f>
        <v>-1</v>
      </c>
      <c r="AB1534" s="924">
        <v>-0.10000000000000003</v>
      </c>
      <c r="AC1534" s="924">
        <v>-0.10000000000000003</v>
      </c>
      <c r="AD1534" s="924">
        <v>-1</v>
      </c>
      <c r="AE1534" s="924">
        <v>-1</v>
      </c>
      <c r="AF1534" s="924">
        <v>-1</v>
      </c>
      <c r="AG1534" s="924">
        <v>-1</v>
      </c>
      <c r="AH1534" s="924">
        <v>-0.10000000000000003</v>
      </c>
      <c r="AI1534" s="924">
        <v>-0.10000000000000003</v>
      </c>
      <c r="AJ1534" s="924">
        <v>-0.10000000000000003</v>
      </c>
      <c r="AK1534" s="924">
        <v>-0.10000000000000003</v>
      </c>
      <c r="AL1534" s="924">
        <v>-0.9</v>
      </c>
      <c r="AM1534" s="924">
        <v>-1</v>
      </c>
      <c r="AN1534" s="924">
        <v>-1</v>
      </c>
      <c r="AO1534" s="924">
        <v>0.5</v>
      </c>
      <c r="AP1534" s="924">
        <v>-0.5</v>
      </c>
      <c r="AQ1534" s="924">
        <v>-0.5</v>
      </c>
      <c r="AR1534" s="924">
        <v>-0.5</v>
      </c>
      <c r="AS1534" s="924">
        <v>-0.5</v>
      </c>
      <c r="AT1534" s="924">
        <v>-0.5</v>
      </c>
      <c r="AU1534" s="924">
        <v>0.30434782608695654</v>
      </c>
      <c r="AV1534" s="924">
        <f ca="1">_xlfn.XLOOKUP(A1534,TabCalc[Ticker],TabCalc[Imp150])</f>
        <v>0.30434782608695654</v>
      </c>
      <c r="AX1534" s="88" t="str">
        <f t="shared" ca="1" si="115"/>
        <v>RIGL</v>
      </c>
    </row>
    <row r="1535" spans="1:50" hidden="1" x14ac:dyDescent="0.3">
      <c r="A1535" s="88" t="str">
        <f t="shared" ca="1" si="118"/>
        <v>RWE</v>
      </c>
      <c r="F1535" s="924">
        <v>0.33333333333333326</v>
      </c>
      <c r="G1535" s="924">
        <v>0.33333333333333326</v>
      </c>
      <c r="H1535" s="924">
        <v>6.6666666666666652E-2</v>
      </c>
      <c r="I1535" s="924">
        <v>6.6666666666666652E-2</v>
      </c>
      <c r="J1535" s="924">
        <v>0.33333333333333326</v>
      </c>
      <c r="K1535" s="924">
        <v>0.125</v>
      </c>
      <c r="L1535" s="924">
        <v>-1</v>
      </c>
      <c r="M1535" s="924">
        <v>-1</v>
      </c>
      <c r="N1535" s="924">
        <v>5.8823529411764719E-2</v>
      </c>
      <c r="O1535" s="924">
        <v>-0.38461538461538458</v>
      </c>
      <c r="P1535" s="924">
        <v>-0.38461538461538458</v>
      </c>
      <c r="Q1535" s="924">
        <v>-0.38461538461538458</v>
      </c>
      <c r="R1535" s="924">
        <v>-0.38461538461538458</v>
      </c>
      <c r="S1535" s="924">
        <v>-0.38461538461538458</v>
      </c>
      <c r="T1535" s="924">
        <v>-1</v>
      </c>
      <c r="U1535" s="924">
        <v>-1</v>
      </c>
      <c r="V1535" s="924">
        <v>-1</v>
      </c>
      <c r="W1535" s="924">
        <v>-1</v>
      </c>
      <c r="X1535" s="924">
        <v>-1</v>
      </c>
      <c r="Y1535" s="924">
        <v>-1</v>
      </c>
      <c r="Z1535" s="924">
        <f ca="1">_xlfn.XLOOKUP(A1431,TabCalc[Ticker],TabCalc[Imp20])</f>
        <v>-1</v>
      </c>
      <c r="AB1535" s="924">
        <v>0.20967741935483875</v>
      </c>
      <c r="AC1535" s="924">
        <v>0.20967741935483875</v>
      </c>
      <c r="AD1535" s="924">
        <v>0.21951219512195119</v>
      </c>
      <c r="AE1535" s="924">
        <v>0.21951219512195119</v>
      </c>
      <c r="AF1535" s="924">
        <v>0.20325203252032531</v>
      </c>
      <c r="AG1535" s="924">
        <v>0.20325203252032531</v>
      </c>
      <c r="AH1535" s="924">
        <v>-1</v>
      </c>
      <c r="AI1535" s="924">
        <v>-1</v>
      </c>
      <c r="AJ1535" s="924">
        <v>0.19354838709677424</v>
      </c>
      <c r="AK1535" s="924">
        <v>0.19999999999999996</v>
      </c>
      <c r="AL1535" s="924">
        <v>-0.9</v>
      </c>
      <c r="AM1535" s="924">
        <v>-1</v>
      </c>
      <c r="AN1535" s="924">
        <v>-1</v>
      </c>
      <c r="AO1535" s="924">
        <v>-1</v>
      </c>
      <c r="AP1535" s="924">
        <v>0</v>
      </c>
      <c r="AQ1535" s="924">
        <v>0</v>
      </c>
      <c r="AR1535" s="924">
        <v>0</v>
      </c>
      <c r="AS1535" s="924">
        <v>0</v>
      </c>
      <c r="AT1535" s="924">
        <v>0</v>
      </c>
      <c r="AU1535" s="924">
        <v>0</v>
      </c>
      <c r="AV1535" s="924">
        <f ca="1">_xlfn.XLOOKUP(A1535,TabCalc[Ticker],TabCalc[Imp150])</f>
        <v>0</v>
      </c>
      <c r="AX1535" s="88" t="str">
        <f t="shared" ca="1" si="115"/>
        <v>RWE</v>
      </c>
    </row>
    <row r="1536" spans="1:50" hidden="1" x14ac:dyDescent="0.3">
      <c r="A1536" s="88" t="str">
        <f t="shared" ca="1" si="118"/>
        <v>SAP</v>
      </c>
      <c r="F1536" s="924">
        <v>0.23809523809523814</v>
      </c>
      <c r="G1536" s="924">
        <v>-0.14285714285714285</v>
      </c>
      <c r="H1536" s="924">
        <v>0.14285714285714279</v>
      </c>
      <c r="I1536" s="924">
        <v>0.14285714285714279</v>
      </c>
      <c r="J1536" s="924">
        <v>-0.16666666666666657</v>
      </c>
      <c r="K1536" s="924">
        <v>-0.16666666666666657</v>
      </c>
      <c r="L1536" s="924">
        <v>-1</v>
      </c>
      <c r="M1536" s="924">
        <v>-1</v>
      </c>
      <c r="N1536" s="924">
        <v>-1</v>
      </c>
      <c r="O1536" s="924">
        <v>-1</v>
      </c>
      <c r="P1536" s="924">
        <v>-1</v>
      </c>
      <c r="Q1536" s="924">
        <v>-1</v>
      </c>
      <c r="R1536" s="924">
        <v>-1</v>
      </c>
      <c r="S1536" s="924">
        <v>-1</v>
      </c>
      <c r="T1536" s="924">
        <v>-1</v>
      </c>
      <c r="U1536" s="924">
        <v>-1</v>
      </c>
      <c r="V1536" s="924">
        <v>-1</v>
      </c>
      <c r="W1536" s="924">
        <v>-1</v>
      </c>
      <c r="X1536" s="924">
        <v>-1</v>
      </c>
      <c r="Y1536" s="924">
        <v>-1</v>
      </c>
      <c r="Z1536" s="924">
        <f ca="1">_xlfn.XLOOKUP(A1432,TabCalc[Ticker],TabCalc[Imp20])</f>
        <v>-1</v>
      </c>
      <c r="AB1536" s="924">
        <v>-5.1851851851851816E-2</v>
      </c>
      <c r="AC1536" s="924">
        <v>-5.1851851851851816E-2</v>
      </c>
      <c r="AD1536" s="924">
        <v>-6.6666666666666652E-2</v>
      </c>
      <c r="AE1536" s="924">
        <v>-6.6666666666666652E-2</v>
      </c>
      <c r="AF1536" s="924">
        <v>-8.1481481481481488E-2</v>
      </c>
      <c r="AG1536" s="924">
        <v>-8.1481481481481488E-2</v>
      </c>
      <c r="AH1536" s="924">
        <v>-1</v>
      </c>
      <c r="AI1536" s="924">
        <v>-1</v>
      </c>
      <c r="AJ1536" s="924">
        <v>-1</v>
      </c>
      <c r="AK1536" s="924">
        <v>-1</v>
      </c>
      <c r="AL1536" s="924">
        <v>2.4324324324324277E-2</v>
      </c>
      <c r="AM1536" s="924">
        <v>2.7027027027026973E-2</v>
      </c>
      <c r="AN1536" s="924">
        <v>2.7027027027026973E-2</v>
      </c>
      <c r="AO1536" s="924">
        <v>9.0909090909090828E-2</v>
      </c>
      <c r="AP1536" s="924">
        <v>0.14285714285714279</v>
      </c>
      <c r="AQ1536" s="924">
        <v>0</v>
      </c>
      <c r="AR1536" s="924">
        <v>0.19999999999999996</v>
      </c>
      <c r="AS1536" s="924">
        <v>0.19999999999999996</v>
      </c>
      <c r="AT1536" s="924">
        <v>0.19999999999999996</v>
      </c>
      <c r="AU1536" s="924">
        <v>0</v>
      </c>
      <c r="AV1536" s="924">
        <f ca="1">_xlfn.XLOOKUP(A1536,TabCalc[Ticker],TabCalc[Imp150])</f>
        <v>0</v>
      </c>
      <c r="AX1536" s="88" t="str">
        <f t="shared" ca="1" si="115"/>
        <v>SAP</v>
      </c>
    </row>
    <row r="1537" spans="1:50" hidden="1" x14ac:dyDescent="0.3">
      <c r="A1537" s="88" t="str">
        <f t="shared" ca="1" si="118"/>
        <v>SHECY</v>
      </c>
      <c r="F1537" s="924">
        <v>-1</v>
      </c>
      <c r="G1537" s="924">
        <v>-1</v>
      </c>
      <c r="H1537" s="924">
        <v>-1</v>
      </c>
      <c r="I1537" s="924">
        <v>-1</v>
      </c>
      <c r="J1537" s="924">
        <v>-1</v>
      </c>
      <c r="K1537" s="924">
        <v>0.125</v>
      </c>
      <c r="L1537" s="924">
        <v>-1</v>
      </c>
      <c r="M1537" s="924">
        <v>-1</v>
      </c>
      <c r="N1537" s="924">
        <v>-1</v>
      </c>
      <c r="O1537" s="924">
        <v>-1</v>
      </c>
      <c r="P1537" s="924">
        <v>-1</v>
      </c>
      <c r="Q1537" s="924">
        <v>-1</v>
      </c>
      <c r="R1537" s="924">
        <v>-1</v>
      </c>
      <c r="S1537" s="924">
        <v>-1</v>
      </c>
      <c r="T1537" s="924">
        <v>-1</v>
      </c>
      <c r="U1537" s="924">
        <v>-1</v>
      </c>
      <c r="V1537" s="924">
        <v>-1</v>
      </c>
      <c r="W1537" s="924">
        <v>-1</v>
      </c>
      <c r="X1537" s="924">
        <v>-1</v>
      </c>
      <c r="Y1537" s="924">
        <v>-1</v>
      </c>
      <c r="Z1537" s="924">
        <f ca="1">_xlfn.XLOOKUP(A1433,TabCalc[Ticker],TabCalc[Imp20])</f>
        <v>-1</v>
      </c>
      <c r="AB1537" s="924">
        <v>-1</v>
      </c>
      <c r="AC1537" s="924">
        <v>-1</v>
      </c>
      <c r="AD1537" s="924">
        <v>-1</v>
      </c>
      <c r="AE1537" s="924">
        <v>-1</v>
      </c>
      <c r="AF1537" s="924">
        <v>-1</v>
      </c>
      <c r="AG1537" s="924">
        <v>0</v>
      </c>
      <c r="AH1537" s="924">
        <v>-1</v>
      </c>
      <c r="AI1537" s="924">
        <v>-1</v>
      </c>
      <c r="AJ1537" s="924">
        <v>-1</v>
      </c>
      <c r="AK1537" s="924">
        <v>-1</v>
      </c>
      <c r="AL1537" s="924">
        <v>-0.9</v>
      </c>
      <c r="AM1537" s="924">
        <v>-1</v>
      </c>
      <c r="AN1537" s="924">
        <v>-1</v>
      </c>
      <c r="AO1537" s="924">
        <v>-1</v>
      </c>
      <c r="AP1537" s="924">
        <v>0.5</v>
      </c>
      <c r="AQ1537" s="924">
        <v>0.5</v>
      </c>
      <c r="AR1537" s="924">
        <v>0.5</v>
      </c>
      <c r="AS1537" s="924">
        <v>0.5</v>
      </c>
      <c r="AT1537" s="924">
        <v>0.5</v>
      </c>
      <c r="AU1537" s="924">
        <v>0.5</v>
      </c>
      <c r="AV1537" s="924">
        <f ca="1">_xlfn.XLOOKUP(A1537,TabCalc[Ticker],TabCalc[Imp150])</f>
        <v>0.5</v>
      </c>
      <c r="AX1537" s="88" t="str">
        <f t="shared" ca="1" si="115"/>
        <v>SHECY</v>
      </c>
    </row>
    <row r="1538" spans="1:50" hidden="1" x14ac:dyDescent="0.3">
      <c r="A1538" s="88" t="str">
        <f t="shared" ca="1" si="118"/>
        <v>SSYS</v>
      </c>
      <c r="F1538" s="924">
        <v>-1</v>
      </c>
      <c r="G1538" s="924">
        <v>-1</v>
      </c>
      <c r="H1538" s="924">
        <v>0</v>
      </c>
      <c r="I1538" s="924">
        <v>0</v>
      </c>
      <c r="J1538" s="924">
        <v>-1</v>
      </c>
      <c r="K1538" s="924">
        <v>-1</v>
      </c>
      <c r="L1538" s="924">
        <v>-1</v>
      </c>
      <c r="M1538" s="924">
        <v>-1</v>
      </c>
      <c r="N1538" s="924">
        <v>-1</v>
      </c>
      <c r="O1538" s="924">
        <v>-1</v>
      </c>
      <c r="P1538" s="924">
        <v>-1</v>
      </c>
      <c r="Q1538" s="924">
        <v>-1</v>
      </c>
      <c r="R1538" s="924">
        <v>-1</v>
      </c>
      <c r="S1538" s="924">
        <v>-1</v>
      </c>
      <c r="T1538" s="924">
        <v>-1</v>
      </c>
      <c r="U1538" s="924">
        <v>-1</v>
      </c>
      <c r="V1538" s="924">
        <v>-1</v>
      </c>
      <c r="W1538" s="924">
        <v>-1</v>
      </c>
      <c r="X1538" s="924">
        <v>-1</v>
      </c>
      <c r="Y1538" s="924">
        <v>-1</v>
      </c>
      <c r="Z1538" s="924">
        <f ca="1">_xlfn.XLOOKUP(A1434,TabCalc[Ticker],TabCalc[Imp20])</f>
        <v>-1</v>
      </c>
      <c r="AB1538" s="924">
        <v>-1</v>
      </c>
      <c r="AC1538" s="924">
        <v>-1</v>
      </c>
      <c r="AD1538" s="924">
        <v>8.5470085470085166E-3</v>
      </c>
      <c r="AE1538" s="924">
        <v>8.5470085470085166E-3</v>
      </c>
      <c r="AF1538" s="924">
        <v>-1</v>
      </c>
      <c r="AG1538" s="924">
        <v>-1</v>
      </c>
      <c r="AH1538" s="924">
        <v>-1</v>
      </c>
      <c r="AI1538" s="924">
        <v>-1</v>
      </c>
      <c r="AJ1538" s="924">
        <v>-1</v>
      </c>
      <c r="AK1538" s="924">
        <v>-1</v>
      </c>
      <c r="AL1538" s="924">
        <v>-8.1818181818181804E-2</v>
      </c>
      <c r="AM1538" s="924">
        <v>-9.0909090909090884E-2</v>
      </c>
      <c r="AN1538" s="924">
        <v>-9.0909090909090884E-2</v>
      </c>
      <c r="AO1538" s="924">
        <v>-9.0909090909090884E-2</v>
      </c>
      <c r="AP1538" s="924">
        <v>-9.0909090909090884E-2</v>
      </c>
      <c r="AQ1538" s="924">
        <v>-9.0909090909090884E-2</v>
      </c>
      <c r="AR1538" s="924">
        <v>-9.0909090909090884E-2</v>
      </c>
      <c r="AS1538" s="924">
        <v>-9.0909090909090884E-2</v>
      </c>
      <c r="AT1538" s="924">
        <v>-9.0909090909090884E-2</v>
      </c>
      <c r="AU1538" s="924">
        <v>-9.0909090909090884E-2</v>
      </c>
      <c r="AV1538" s="924">
        <f ca="1">_xlfn.XLOOKUP(A1538,TabCalc[Ticker],TabCalc[Imp150])</f>
        <v>-9.0909090909090884E-2</v>
      </c>
      <c r="AX1538" s="88" t="str">
        <f t="shared" ca="1" si="115"/>
        <v>SSYS</v>
      </c>
    </row>
    <row r="1539" spans="1:50" hidden="1" x14ac:dyDescent="0.3">
      <c r="A1539" s="88" t="str">
        <f t="shared" ca="1" si="118"/>
        <v>TSLA</v>
      </c>
      <c r="F1539" s="924">
        <v>-0.39999999999999997</v>
      </c>
      <c r="G1539" s="924">
        <v>-0.39999999999999997</v>
      </c>
      <c r="H1539" s="924">
        <v>-0.39999999999999997</v>
      </c>
      <c r="I1539" s="924">
        <v>-0.39999999999999997</v>
      </c>
      <c r="J1539" s="924">
        <v>-1</v>
      </c>
      <c r="K1539" s="924">
        <v>-0.19999999999999996</v>
      </c>
      <c r="L1539" s="924">
        <v>-1</v>
      </c>
      <c r="M1539" s="924">
        <v>-1</v>
      </c>
      <c r="N1539" s="924">
        <v>-1</v>
      </c>
      <c r="O1539" s="924">
        <v>-1</v>
      </c>
      <c r="P1539" s="924">
        <v>-1</v>
      </c>
      <c r="Q1539" s="924">
        <v>-1</v>
      </c>
      <c r="R1539" s="924">
        <v>-1</v>
      </c>
      <c r="S1539" s="924">
        <v>-1</v>
      </c>
      <c r="T1539" s="924">
        <v>-1</v>
      </c>
      <c r="U1539" s="924">
        <v>-1</v>
      </c>
      <c r="V1539" s="924">
        <v>-1</v>
      </c>
      <c r="W1539" s="924">
        <v>-1</v>
      </c>
      <c r="X1539" s="924">
        <v>-1</v>
      </c>
      <c r="Y1539" s="924">
        <v>-1</v>
      </c>
      <c r="Z1539" s="924">
        <f ca="1">_xlfn.XLOOKUP(A1435,TabCalc[Ticker],TabCalc[Imp20])</f>
        <v>-1</v>
      </c>
      <c r="AB1539" s="924">
        <v>3.0303030303030276E-2</v>
      </c>
      <c r="AC1539" s="924">
        <v>3.0303030303030276E-2</v>
      </c>
      <c r="AD1539" s="924">
        <v>5.2631578947368363E-2</v>
      </c>
      <c r="AE1539" s="924">
        <v>5.2631578947368363E-2</v>
      </c>
      <c r="AF1539" s="924">
        <v>-1</v>
      </c>
      <c r="AG1539" s="924">
        <v>4.5454545454545414E-2</v>
      </c>
      <c r="AH1539" s="924">
        <v>-1</v>
      </c>
      <c r="AI1539" s="924">
        <v>-1</v>
      </c>
      <c r="AJ1539" s="924">
        <v>-1</v>
      </c>
      <c r="AK1539" s="924">
        <v>-1</v>
      </c>
      <c r="AL1539" s="924">
        <v>6.1832061068702295E-2</v>
      </c>
      <c r="AM1539" s="924">
        <v>6.8702290076335881E-2</v>
      </c>
      <c r="AN1539" s="924">
        <v>6.8702290076335881E-2</v>
      </c>
      <c r="AO1539" s="924">
        <v>6.8702290076335881E-2</v>
      </c>
      <c r="AP1539" s="924">
        <v>7.6923076923076872E-2</v>
      </c>
      <c r="AQ1539" s="924">
        <v>7.6923076923076872E-2</v>
      </c>
      <c r="AR1539" s="924">
        <v>7.6923076923076872E-2</v>
      </c>
      <c r="AS1539" s="924">
        <v>7.6923076923076872E-2</v>
      </c>
      <c r="AT1539" s="924">
        <v>7.6923076923076872E-2</v>
      </c>
      <c r="AU1539" s="924">
        <v>7.6923076923076872E-2</v>
      </c>
      <c r="AV1539" s="924">
        <f ca="1">_xlfn.XLOOKUP(A1539,TabCalc[Ticker],TabCalc[Imp150])</f>
        <v>7.6923076923076872E-2</v>
      </c>
      <c r="AX1539" s="88" t="str">
        <f t="shared" ca="1" si="115"/>
        <v>TSLA</v>
      </c>
    </row>
    <row r="1540" spans="1:50" hidden="1" x14ac:dyDescent="0.3">
      <c r="A1540" s="88" t="str">
        <f t="shared" ca="1" si="118"/>
        <v>TSM</v>
      </c>
      <c r="F1540" s="924">
        <v>0.66666666666666674</v>
      </c>
      <c r="G1540" s="924">
        <v>0.66666666666666674</v>
      </c>
      <c r="H1540" s="924">
        <v>-1</v>
      </c>
      <c r="I1540" s="924">
        <v>-1</v>
      </c>
      <c r="J1540" s="924">
        <v>-1</v>
      </c>
      <c r="K1540" s="924">
        <v>-1</v>
      </c>
      <c r="L1540" s="924">
        <v>-1</v>
      </c>
      <c r="M1540" s="924">
        <v>-1</v>
      </c>
      <c r="N1540" s="924">
        <v>-1</v>
      </c>
      <c r="O1540" s="924">
        <v>-1</v>
      </c>
      <c r="P1540" s="924">
        <v>-1</v>
      </c>
      <c r="Q1540" s="924">
        <v>-1</v>
      </c>
      <c r="R1540" s="924">
        <v>-1</v>
      </c>
      <c r="S1540" s="924">
        <v>-1</v>
      </c>
      <c r="T1540" s="924">
        <v>-1</v>
      </c>
      <c r="U1540" s="924">
        <v>-1</v>
      </c>
      <c r="V1540" s="924">
        <v>-1</v>
      </c>
      <c r="W1540" s="924">
        <v>-1</v>
      </c>
      <c r="X1540" s="924">
        <v>-1</v>
      </c>
      <c r="Y1540" s="924">
        <v>-1</v>
      </c>
      <c r="Z1540" s="924">
        <f ca="1">_xlfn.XLOOKUP(A1436,TabCalc[Ticker],TabCalc[Imp20])</f>
        <v>-1</v>
      </c>
      <c r="AB1540" s="924">
        <v>0.1399999999999999</v>
      </c>
      <c r="AC1540" s="924">
        <v>0.1399999999999999</v>
      </c>
      <c r="AD1540" s="924">
        <v>-1</v>
      </c>
      <c r="AE1540" s="924">
        <v>-1</v>
      </c>
      <c r="AF1540" s="924">
        <v>-1</v>
      </c>
      <c r="AG1540" s="924">
        <v>-1</v>
      </c>
      <c r="AH1540" s="924">
        <v>-1</v>
      </c>
      <c r="AI1540" s="924">
        <v>-1</v>
      </c>
      <c r="AJ1540" s="924">
        <v>-1</v>
      </c>
      <c r="AK1540" s="924">
        <v>-1</v>
      </c>
      <c r="AL1540" s="924">
        <v>0.11612903225806462</v>
      </c>
      <c r="AM1540" s="924">
        <v>0.12903225806451624</v>
      </c>
      <c r="AN1540" s="924">
        <v>0.12903225806451624</v>
      </c>
      <c r="AO1540" s="924">
        <v>0.33333333333333326</v>
      </c>
      <c r="AP1540" s="924">
        <v>-0.36842105263157898</v>
      </c>
      <c r="AQ1540" s="924">
        <v>-0.36842105263157898</v>
      </c>
      <c r="AR1540" s="924">
        <v>-0.36842105263157898</v>
      </c>
      <c r="AS1540" s="924">
        <v>-0.36842105263157898</v>
      </c>
      <c r="AT1540" s="924">
        <v>-0.36842105263157898</v>
      </c>
      <c r="AU1540" s="924">
        <v>-0.36842105263157898</v>
      </c>
      <c r="AV1540" s="924">
        <f ca="1">_xlfn.XLOOKUP(A1540,TabCalc[Ticker],TabCalc[Imp150])</f>
        <v>-0.36842105263157898</v>
      </c>
      <c r="AX1540" s="88" t="str">
        <f t="shared" ca="1" si="115"/>
        <v>TSM</v>
      </c>
    </row>
    <row r="1541" spans="1:50" hidden="1" x14ac:dyDescent="0.3">
      <c r="A1541" s="88" t="str">
        <f t="shared" ca="1" si="118"/>
        <v>UN0</v>
      </c>
      <c r="F1541" s="924">
        <v>0.11111111111111116</v>
      </c>
      <c r="G1541" s="924">
        <v>-0.33333333333333343</v>
      </c>
      <c r="H1541" s="924">
        <v>0.5</v>
      </c>
      <c r="I1541" s="924">
        <v>0.19999999999999996</v>
      </c>
      <c r="J1541" s="924">
        <v>-1</v>
      </c>
      <c r="K1541" s="924">
        <v>0</v>
      </c>
      <c r="L1541" s="924">
        <v>-0.55555555555555558</v>
      </c>
      <c r="M1541" s="924">
        <v>-0.55555555555555558</v>
      </c>
      <c r="N1541" s="924">
        <v>-0.55555555555555558</v>
      </c>
      <c r="O1541" s="924">
        <v>-0.55555555555555558</v>
      </c>
      <c r="P1541" s="924">
        <v>-0.55555555555555558</v>
      </c>
      <c r="Q1541" s="924">
        <v>-0.55555555555555558</v>
      </c>
      <c r="R1541" s="924">
        <v>-0.55555555555555558</v>
      </c>
      <c r="S1541" s="924">
        <v>-1</v>
      </c>
      <c r="T1541" s="924">
        <v>-1</v>
      </c>
      <c r="U1541" s="924">
        <v>-1</v>
      </c>
      <c r="V1541" s="924">
        <v>-1</v>
      </c>
      <c r="W1541" s="924">
        <v>-1</v>
      </c>
      <c r="X1541" s="924">
        <v>-1</v>
      </c>
      <c r="Y1541" s="924">
        <v>-1</v>
      </c>
      <c r="Z1541" s="924">
        <f ca="1">_xlfn.XLOOKUP(A1437,TabCalc[Ticker],TabCalc[Imp20])</f>
        <v>-1</v>
      </c>
      <c r="AB1541" s="924">
        <v>8.8495575221239076E-3</v>
      </c>
      <c r="AC1541" s="924">
        <v>8.8495575221239076E-3</v>
      </c>
      <c r="AD1541" s="924">
        <v>4.5045045045045029E-2</v>
      </c>
      <c r="AE1541" s="924">
        <v>3.6363636363636376E-2</v>
      </c>
      <c r="AF1541" s="924">
        <v>-1</v>
      </c>
      <c r="AG1541" s="924">
        <v>2.7027027027026973E-2</v>
      </c>
      <c r="AH1541" s="924">
        <v>2.7027027027026973E-2</v>
      </c>
      <c r="AI1541" s="924">
        <v>2.7027027027026973E-2</v>
      </c>
      <c r="AJ1541" s="924">
        <v>2.7027027027026973E-2</v>
      </c>
      <c r="AK1541" s="924">
        <v>2.7027027027026973E-2</v>
      </c>
      <c r="AL1541" s="924">
        <v>-0.19285714285714292</v>
      </c>
      <c r="AM1541" s="924">
        <v>-0.21428571428571436</v>
      </c>
      <c r="AN1541" s="924">
        <v>-0.21428571428571436</v>
      </c>
      <c r="AO1541" s="924">
        <v>-0.21428571428571436</v>
      </c>
      <c r="AP1541" s="924">
        <v>-0.5</v>
      </c>
      <c r="AQ1541" s="924">
        <v>-0.5</v>
      </c>
      <c r="AR1541" s="924">
        <v>-0.5</v>
      </c>
      <c r="AS1541" s="924">
        <v>-0.5</v>
      </c>
      <c r="AT1541" s="924">
        <v>-0.5</v>
      </c>
      <c r="AU1541" s="924">
        <v>-0.5</v>
      </c>
      <c r="AV1541" s="924">
        <f ca="1">_xlfn.XLOOKUP(A1541,TabCalc[Ticker],TabCalc[Imp150])</f>
        <v>-0.5</v>
      </c>
      <c r="AX1541" s="88" t="str">
        <f t="shared" ca="1" si="115"/>
        <v>UN0</v>
      </c>
    </row>
    <row r="1542" spans="1:50" hidden="1" x14ac:dyDescent="0.3">
      <c r="A1542" s="88" t="str">
        <f t="shared" ca="1" si="118"/>
        <v>UNIT</v>
      </c>
      <c r="F1542" s="924">
        <v>0.28571428571428581</v>
      </c>
      <c r="G1542" s="924">
        <v>-9.0909090909090884E-2</v>
      </c>
      <c r="H1542" s="924">
        <v>-0.33333333333333343</v>
      </c>
      <c r="I1542" s="924">
        <v>-0.33333333333333343</v>
      </c>
      <c r="J1542" s="924">
        <v>0</v>
      </c>
      <c r="K1542" s="924">
        <v>0</v>
      </c>
      <c r="L1542" s="924">
        <v>-1</v>
      </c>
      <c r="M1542" s="924">
        <v>-1</v>
      </c>
      <c r="N1542" s="924">
        <v>-1</v>
      </c>
      <c r="O1542" s="924">
        <v>-1</v>
      </c>
      <c r="P1542" s="924">
        <v>-1</v>
      </c>
      <c r="Q1542" s="924">
        <v>-1</v>
      </c>
      <c r="R1542" s="924">
        <v>-1</v>
      </c>
      <c r="S1542" s="924">
        <v>-1</v>
      </c>
      <c r="T1542" s="924">
        <v>-1</v>
      </c>
      <c r="U1542" s="924">
        <v>-1</v>
      </c>
      <c r="V1542" s="924">
        <v>-1</v>
      </c>
      <c r="W1542" s="924">
        <v>-1</v>
      </c>
      <c r="X1542" s="924">
        <v>-1</v>
      </c>
      <c r="Y1542" s="924">
        <v>-1</v>
      </c>
      <c r="Z1542" s="924">
        <f ca="1">_xlfn.XLOOKUP(A1438,TabCalc[Ticker],TabCalc[Imp20])</f>
        <v>-1</v>
      </c>
      <c r="AB1542" s="924">
        <v>2.564102564102555E-2</v>
      </c>
      <c r="AC1542" s="924">
        <v>4.2735042735042805E-2</v>
      </c>
      <c r="AD1542" s="924">
        <v>5.1724137931034475E-2</v>
      </c>
      <c r="AE1542" s="924">
        <v>5.1724137931034475E-2</v>
      </c>
      <c r="AF1542" s="924">
        <v>4.3478260869565188E-2</v>
      </c>
      <c r="AG1542" s="924">
        <v>4.3478260869565188E-2</v>
      </c>
      <c r="AH1542" s="924">
        <v>-1</v>
      </c>
      <c r="AI1542" s="924">
        <v>-1</v>
      </c>
      <c r="AJ1542" s="924">
        <v>-1</v>
      </c>
      <c r="AK1542" s="924">
        <v>-1</v>
      </c>
      <c r="AL1542" s="924">
        <v>-0.9</v>
      </c>
      <c r="AM1542" s="924">
        <v>-1</v>
      </c>
      <c r="AN1542" s="924">
        <v>-1</v>
      </c>
      <c r="AO1542" s="924">
        <v>-1</v>
      </c>
      <c r="AP1542" s="924">
        <v>-1</v>
      </c>
      <c r="AQ1542" s="924">
        <v>-1</v>
      </c>
      <c r="AR1542" s="924">
        <v>-1</v>
      </c>
      <c r="AS1542" s="924">
        <v>-1</v>
      </c>
      <c r="AT1542" s="924">
        <v>-1</v>
      </c>
      <c r="AU1542" s="924">
        <v>-1</v>
      </c>
      <c r="AV1542" s="924">
        <f ca="1">_xlfn.XLOOKUP(A1542,TabCalc[Ticker],TabCalc[Imp150])</f>
        <v>-1</v>
      </c>
      <c r="AX1542" s="88" t="str">
        <f t="shared" ca="1" si="115"/>
        <v>UNIT</v>
      </c>
    </row>
    <row r="1543" spans="1:50" hidden="1" x14ac:dyDescent="0.3">
      <c r="A1543" s="88" t="str">
        <f t="shared" ca="1" si="118"/>
        <v>VLVLY</v>
      </c>
      <c r="F1543" s="924">
        <v>-5.8823529411764719E-2</v>
      </c>
      <c r="G1543" s="924">
        <v>-0.4285714285714286</v>
      </c>
      <c r="H1543" s="924">
        <v>-1</v>
      </c>
      <c r="I1543" s="924">
        <v>-1</v>
      </c>
      <c r="J1543" s="924">
        <v>-1</v>
      </c>
      <c r="K1543" s="924">
        <v>-0.38461538461538458</v>
      </c>
      <c r="L1543" s="924">
        <v>-9.0909090909090884E-2</v>
      </c>
      <c r="M1543" s="924">
        <v>-9.0909090909090884E-2</v>
      </c>
      <c r="N1543" s="924">
        <v>-9.0909090909090884E-2</v>
      </c>
      <c r="O1543" s="924">
        <v>-9.0909090909090884E-2</v>
      </c>
      <c r="P1543" s="924">
        <v>-9.0909090909090884E-2</v>
      </c>
      <c r="Q1543" s="924">
        <v>-9.0909090909090884E-2</v>
      </c>
      <c r="R1543" s="924">
        <v>-9.0909090909090884E-2</v>
      </c>
      <c r="S1543" s="924">
        <v>-9.0909090909090884E-2</v>
      </c>
      <c r="T1543" s="924">
        <v>-9.0909090909090884E-2</v>
      </c>
      <c r="U1543" s="924">
        <v>-9.0909090909090884E-2</v>
      </c>
      <c r="V1543" s="924">
        <v>-9.0909090909090884E-2</v>
      </c>
      <c r="W1543" s="924">
        <v>-9.0909090909090884E-2</v>
      </c>
      <c r="X1543" s="924">
        <v>-9.0909090909090884E-2</v>
      </c>
      <c r="Y1543" s="924">
        <v>-9.0909090909090884E-2</v>
      </c>
      <c r="Z1543" s="924">
        <f ca="1">_xlfn.XLOOKUP(A1439,TabCalc[Ticker],TabCalc[Imp20])</f>
        <v>-9.0909090909090884E-2</v>
      </c>
      <c r="AB1543" s="924">
        <v>-7.4380165289256173E-2</v>
      </c>
      <c r="AC1543" s="924">
        <v>-6.6666666666666652E-2</v>
      </c>
      <c r="AD1543" s="924">
        <v>-6.6666666666666652E-2</v>
      </c>
      <c r="AE1543" s="924">
        <v>-6.6666666666666652E-2</v>
      </c>
      <c r="AF1543" s="924">
        <v>-1</v>
      </c>
      <c r="AG1543" s="924">
        <v>-7.4380165289256173E-2</v>
      </c>
      <c r="AH1543" s="924">
        <v>-9.0909090909090884E-2</v>
      </c>
      <c r="AI1543" s="924">
        <v>-9.0909090909090884E-2</v>
      </c>
      <c r="AJ1543" s="924">
        <v>-9.0909090909090884E-2</v>
      </c>
      <c r="AK1543" s="924">
        <v>-9.0909090909090884E-2</v>
      </c>
      <c r="AL1543" s="924">
        <v>-0.9</v>
      </c>
      <c r="AM1543" s="924">
        <v>-1</v>
      </c>
      <c r="AN1543" s="924">
        <v>-1</v>
      </c>
      <c r="AO1543" s="924">
        <v>-1</v>
      </c>
      <c r="AP1543" s="924">
        <v>-0.33333333333333343</v>
      </c>
      <c r="AQ1543" s="924">
        <v>-0.33333333333333343</v>
      </c>
      <c r="AR1543" s="924">
        <v>-0.33333333333333343</v>
      </c>
      <c r="AS1543" s="924">
        <v>-0.33333333333333343</v>
      </c>
      <c r="AT1543" s="924">
        <v>-0.33333333333333343</v>
      </c>
      <c r="AU1543" s="924">
        <v>-0.33333333333333343</v>
      </c>
      <c r="AV1543" s="924">
        <f ca="1">_xlfn.XLOOKUP(A1543,TabCalc[Ticker],TabCalc[Imp150])</f>
        <v>-0.33333333333333343</v>
      </c>
      <c r="AX1543" s="88" t="str">
        <f t="shared" ca="1" si="115"/>
        <v>VLVLY</v>
      </c>
    </row>
    <row r="1544" spans="1:50" hidden="1" x14ac:dyDescent="0.3">
      <c r="A1544" s="88" t="str">
        <f t="shared" ca="1" si="118"/>
        <v>VONN</v>
      </c>
      <c r="F1544" s="924">
        <v>-0.27272727272727271</v>
      </c>
      <c r="G1544" s="924">
        <v>-0.27272727272727271</v>
      </c>
      <c r="H1544" s="924">
        <v>-1</v>
      </c>
      <c r="I1544" s="924">
        <v>-1</v>
      </c>
      <c r="J1544" s="924">
        <v>-1</v>
      </c>
      <c r="K1544" s="924">
        <v>-1</v>
      </c>
      <c r="L1544" s="924">
        <v>0</v>
      </c>
      <c r="M1544" s="924">
        <v>0</v>
      </c>
      <c r="N1544" s="924">
        <v>0</v>
      </c>
      <c r="O1544" s="924">
        <v>0</v>
      </c>
      <c r="P1544" s="924">
        <v>0</v>
      </c>
      <c r="Q1544" s="924">
        <v>0</v>
      </c>
      <c r="R1544" s="924">
        <v>0</v>
      </c>
      <c r="S1544" s="924">
        <v>0</v>
      </c>
      <c r="T1544" s="924">
        <v>-1</v>
      </c>
      <c r="U1544" s="924">
        <v>-1</v>
      </c>
      <c r="V1544" s="924">
        <v>-1</v>
      </c>
      <c r="W1544" s="924">
        <v>-1</v>
      </c>
      <c r="X1544" s="924">
        <v>-1</v>
      </c>
      <c r="Y1544" s="924">
        <v>-1</v>
      </c>
      <c r="Z1544" s="924">
        <f ca="1">_xlfn.XLOOKUP(A1440,TabCalc[Ticker],TabCalc[Imp20])</f>
        <v>-1</v>
      </c>
      <c r="AB1544" s="924">
        <v>6.8702290076335881E-2</v>
      </c>
      <c r="AC1544" s="924">
        <v>6.8702290076335881E-2</v>
      </c>
      <c r="AD1544" s="924">
        <v>-1</v>
      </c>
      <c r="AE1544" s="924">
        <v>-1</v>
      </c>
      <c r="AF1544" s="924">
        <v>-1</v>
      </c>
      <c r="AG1544" s="924">
        <v>-1</v>
      </c>
      <c r="AH1544" s="924">
        <v>6.8702290076335881E-2</v>
      </c>
      <c r="AI1544" s="924">
        <v>6.8702290076335881E-2</v>
      </c>
      <c r="AJ1544" s="924">
        <v>6.8702290076335881E-2</v>
      </c>
      <c r="AK1544" s="924">
        <v>6.8702290076335881E-2</v>
      </c>
      <c r="AL1544" s="924">
        <v>0.17560975609756094</v>
      </c>
      <c r="AM1544" s="924">
        <v>0.19512195121951215</v>
      </c>
      <c r="AN1544" s="924">
        <v>0.19512195121951215</v>
      </c>
      <c r="AO1544" s="924">
        <v>-0.33333333333333343</v>
      </c>
      <c r="AP1544" s="924">
        <v>-0.33333333333333343</v>
      </c>
      <c r="AQ1544" s="924">
        <v>-0.33333333333333343</v>
      </c>
      <c r="AR1544" s="924">
        <v>0.33333333333333326</v>
      </c>
      <c r="AS1544" s="924">
        <v>0.33333333333333326</v>
      </c>
      <c r="AT1544" s="924">
        <v>0.33333333333333326</v>
      </c>
      <c r="AU1544" s="924">
        <v>0.33333333333333326</v>
      </c>
      <c r="AV1544" s="924">
        <f ca="1">_xlfn.XLOOKUP(A1544,TabCalc[Ticker],TabCalc[Imp150])</f>
        <v>0.33333333333333326</v>
      </c>
      <c r="AX1544" s="88" t="str">
        <f t="shared" ca="1" si="115"/>
        <v>VONN</v>
      </c>
    </row>
    <row r="1545" spans="1:50" hidden="1" x14ac:dyDescent="0.3">
      <c r="A1545" s="88" t="str">
        <f t="shared" ca="1" si="118"/>
        <v>VTRS</v>
      </c>
      <c r="F1545" s="924">
        <v>-1</v>
      </c>
      <c r="G1545" s="924">
        <v>-1</v>
      </c>
      <c r="H1545" s="924">
        <v>-0.19999999999999996</v>
      </c>
      <c r="I1545" s="924">
        <v>0.19999999999999996</v>
      </c>
      <c r="J1545" s="924">
        <v>-1</v>
      </c>
      <c r="K1545" s="924">
        <v>-1</v>
      </c>
      <c r="L1545" s="924">
        <v>-1</v>
      </c>
      <c r="M1545" s="924">
        <v>-1</v>
      </c>
      <c r="N1545" s="924">
        <v>0.27272727272727271</v>
      </c>
      <c r="O1545" s="924">
        <v>-1</v>
      </c>
      <c r="P1545" s="924">
        <v>0.5</v>
      </c>
      <c r="Q1545" s="924">
        <v>0.5</v>
      </c>
      <c r="R1545" s="924">
        <v>0.5</v>
      </c>
      <c r="S1545" s="924">
        <v>-1</v>
      </c>
      <c r="T1545" s="924">
        <v>-1</v>
      </c>
      <c r="U1545" s="924">
        <v>-1</v>
      </c>
      <c r="V1545" s="924">
        <v>-1</v>
      </c>
      <c r="W1545" s="924">
        <v>-1</v>
      </c>
      <c r="X1545" s="924">
        <v>-1</v>
      </c>
      <c r="Y1545" s="924">
        <v>-1</v>
      </c>
      <c r="Z1545" s="924">
        <f ca="1">_xlfn.XLOOKUP(A1441,TabCalc[Ticker],TabCalc[Imp20])</f>
        <v>-1</v>
      </c>
      <c r="AB1545" s="924">
        <v>-1</v>
      </c>
      <c r="AC1545" s="924">
        <v>-1</v>
      </c>
      <c r="AD1545" s="924">
        <v>0.15447154471544722</v>
      </c>
      <c r="AE1545" s="924">
        <v>0.13821138211382111</v>
      </c>
      <c r="AF1545" s="924">
        <v>-1</v>
      </c>
      <c r="AG1545" s="924">
        <v>-1</v>
      </c>
      <c r="AH1545" s="924">
        <v>-1</v>
      </c>
      <c r="AI1545" s="924">
        <v>-1</v>
      </c>
      <c r="AJ1545" s="924">
        <v>0.12195121951219523</v>
      </c>
      <c r="AK1545" s="924">
        <v>-1</v>
      </c>
      <c r="AL1545" s="924">
        <v>8.6086956521739033E-2</v>
      </c>
      <c r="AM1545" s="924">
        <v>9.565217391304337E-2</v>
      </c>
      <c r="AN1545" s="924">
        <v>9.565217391304337E-2</v>
      </c>
      <c r="AO1545" s="924">
        <v>9.565217391304337E-2</v>
      </c>
      <c r="AP1545" s="924">
        <v>0.33333333333333326</v>
      </c>
      <c r="AQ1545" s="924">
        <v>0.33333333333333326</v>
      </c>
      <c r="AR1545" s="924">
        <v>0.33333333333333326</v>
      </c>
      <c r="AS1545" s="924">
        <v>0.33333333333333326</v>
      </c>
      <c r="AT1545" s="924">
        <v>0.33333333333333326</v>
      </c>
      <c r="AU1545" s="924">
        <v>0.33333333333333326</v>
      </c>
      <c r="AV1545" s="924">
        <f ca="1">_xlfn.XLOOKUP(A1545,TabCalc[Ticker],TabCalc[Imp150])</f>
        <v>0.33333333333333326</v>
      </c>
      <c r="AX1545" s="88" t="str">
        <f t="shared" ca="1" si="115"/>
        <v>VTRS</v>
      </c>
    </row>
    <row r="1546" spans="1:50" hidden="1" x14ac:dyDescent="0.3">
      <c r="A1546" s="88" t="str">
        <f t="shared" ca="1" si="118"/>
        <v>WBA</v>
      </c>
      <c r="F1546" s="924">
        <v>-1</v>
      </c>
      <c r="G1546" s="924">
        <v>-1</v>
      </c>
      <c r="H1546" s="924">
        <v>-1</v>
      </c>
      <c r="I1546" s="924">
        <v>-1</v>
      </c>
      <c r="J1546" s="924">
        <v>0</v>
      </c>
      <c r="K1546" s="924">
        <v>0</v>
      </c>
      <c r="L1546" s="924">
        <v>-0.29411764705882343</v>
      </c>
      <c r="M1546" s="924">
        <v>-0.29411764705882343</v>
      </c>
      <c r="N1546" s="924">
        <v>-0.29411764705882343</v>
      </c>
      <c r="O1546" s="924">
        <v>-0.29411764705882343</v>
      </c>
      <c r="P1546" s="924">
        <v>-0.29411764705882343</v>
      </c>
      <c r="Q1546" s="924">
        <v>-0.29411764705882343</v>
      </c>
      <c r="R1546" s="924">
        <v>-0.29411764705882343</v>
      </c>
      <c r="S1546" s="924">
        <v>-0.29411764705882343</v>
      </c>
      <c r="T1546" s="924">
        <v>-1</v>
      </c>
      <c r="U1546" s="924">
        <v>-1</v>
      </c>
      <c r="V1546" s="924">
        <v>-1</v>
      </c>
      <c r="W1546" s="924">
        <v>-1</v>
      </c>
      <c r="X1546" s="924">
        <v>-1</v>
      </c>
      <c r="Y1546" s="924">
        <v>-1</v>
      </c>
      <c r="Z1546" s="924">
        <f ca="1">_xlfn.XLOOKUP(A1442,TabCalc[Ticker],TabCalc[Imp20])</f>
        <v>-1</v>
      </c>
      <c r="AB1546" s="924">
        <v>-1</v>
      </c>
      <c r="AC1546" s="924">
        <v>-1</v>
      </c>
      <c r="AD1546" s="924">
        <v>-1</v>
      </c>
      <c r="AE1546" s="924">
        <v>-1</v>
      </c>
      <c r="AF1546" s="924">
        <v>-0.21428571428571436</v>
      </c>
      <c r="AG1546" s="924">
        <v>-0.21428571428571436</v>
      </c>
      <c r="AH1546" s="924">
        <v>-0.21428571428571436</v>
      </c>
      <c r="AI1546" s="924">
        <v>-0.21428571428571436</v>
      </c>
      <c r="AJ1546" s="924">
        <v>-0.21428571428571436</v>
      </c>
      <c r="AK1546" s="924">
        <v>-0.21428571428571436</v>
      </c>
      <c r="AL1546" s="924">
        <v>0.11408450704225358</v>
      </c>
      <c r="AM1546" s="924">
        <v>0.12676056338028174</v>
      </c>
      <c r="AN1546" s="924">
        <v>0.12676056338028174</v>
      </c>
      <c r="AO1546" s="924">
        <v>0.12676056338028174</v>
      </c>
      <c r="AP1546" s="924">
        <v>-0.39999999999999997</v>
      </c>
      <c r="AQ1546" s="924">
        <v>-0.39999999999999997</v>
      </c>
      <c r="AR1546" s="924">
        <v>-0.39999999999999997</v>
      </c>
      <c r="AS1546" s="924">
        <v>-0.39999999999999997</v>
      </c>
      <c r="AT1546" s="924">
        <v>-0.39999999999999997</v>
      </c>
      <c r="AU1546" s="924">
        <v>-0.39999999999999997</v>
      </c>
      <c r="AV1546" s="924">
        <f ca="1">_xlfn.XLOOKUP(A1546,TabCalc[Ticker],TabCalc[Imp150])</f>
        <v>-0.39999999999999997</v>
      </c>
      <c r="AX1546" s="88" t="str">
        <f t="shared" ca="1" si="115"/>
        <v>WBA</v>
      </c>
    </row>
    <row r="1547" spans="1:50" hidden="1" x14ac:dyDescent="0.3">
      <c r="A1547" s="88" t="str">
        <f t="shared" ca="1" si="118"/>
        <v>XOM</v>
      </c>
      <c r="F1547" s="924">
        <v>-5.2631578947368529E-2</v>
      </c>
      <c r="G1547" s="924">
        <v>-5.2631578947368529E-2</v>
      </c>
      <c r="H1547" s="924">
        <v>0.25</v>
      </c>
      <c r="I1547" s="924">
        <v>0.25</v>
      </c>
      <c r="J1547" s="924">
        <v>0.38461538461538458</v>
      </c>
      <c r="K1547" s="924">
        <v>0.38461538461538458</v>
      </c>
      <c r="L1547" s="924">
        <v>-1</v>
      </c>
      <c r="M1547" s="924">
        <v>-1</v>
      </c>
      <c r="N1547" s="924">
        <v>-1</v>
      </c>
      <c r="O1547" s="924">
        <v>-1</v>
      </c>
      <c r="P1547" s="924">
        <v>-1</v>
      </c>
      <c r="Q1547" s="924">
        <v>-1</v>
      </c>
      <c r="R1547" s="924">
        <v>-1</v>
      </c>
      <c r="S1547" s="924">
        <v>-1</v>
      </c>
      <c r="T1547" s="924">
        <v>-1</v>
      </c>
      <c r="U1547" s="924">
        <v>-1</v>
      </c>
      <c r="V1547" s="924">
        <v>-1</v>
      </c>
      <c r="W1547" s="924">
        <v>-1</v>
      </c>
      <c r="X1547" s="924">
        <v>-1</v>
      </c>
      <c r="Y1547" s="924">
        <v>-1</v>
      </c>
      <c r="Z1547" s="924">
        <f ca="1">_xlfn.XLOOKUP(A1443,TabCalc[Ticker],TabCalc[Imp20])</f>
        <v>-1</v>
      </c>
      <c r="AB1547" s="924">
        <v>-7.6335877862594992E-3</v>
      </c>
      <c r="AC1547" s="924">
        <v>-7.6335877862594992E-3</v>
      </c>
      <c r="AD1547" s="924">
        <v>0</v>
      </c>
      <c r="AE1547" s="924">
        <v>0</v>
      </c>
      <c r="AF1547" s="924">
        <v>0</v>
      </c>
      <c r="AG1547" s="924">
        <v>0</v>
      </c>
      <c r="AH1547" s="924">
        <v>-1</v>
      </c>
      <c r="AI1547" s="924">
        <v>-1</v>
      </c>
      <c r="AJ1547" s="924">
        <v>-1</v>
      </c>
      <c r="AK1547" s="924">
        <v>-1</v>
      </c>
      <c r="AL1547" s="924">
        <v>7.8640776699029094E-2</v>
      </c>
      <c r="AM1547" s="924">
        <v>8.737864077669899E-2</v>
      </c>
      <c r="AN1547" s="924">
        <v>8.737864077669899E-2</v>
      </c>
      <c r="AO1547" s="924">
        <v>0.19999999999999996</v>
      </c>
      <c r="AP1547" s="924">
        <v>0</v>
      </c>
      <c r="AQ1547" s="924">
        <v>0</v>
      </c>
      <c r="AR1547" s="924">
        <v>0</v>
      </c>
      <c r="AS1547" s="924">
        <v>0</v>
      </c>
      <c r="AT1547" s="924">
        <v>0</v>
      </c>
      <c r="AU1547" s="924">
        <v>0</v>
      </c>
      <c r="AV1547" s="924">
        <f ca="1">_xlfn.XLOOKUP(A1547,TabCalc[Ticker],TabCalc[Imp150])</f>
        <v>0</v>
      </c>
      <c r="AX1547" s="88" t="str">
        <f t="shared" ca="1" si="115"/>
        <v>XOM</v>
      </c>
    </row>
    <row r="1548" spans="1:50" hidden="1" x14ac:dyDescent="0.3">
      <c r="A1548" s="88" t="str">
        <f t="shared" ca="1" si="118"/>
        <v>XPER</v>
      </c>
      <c r="F1548" s="924">
        <v>-1</v>
      </c>
      <c r="G1548" s="924">
        <v>-1</v>
      </c>
      <c r="H1548" s="924">
        <v>-0.33333333333333343</v>
      </c>
      <c r="I1548" s="924">
        <v>-0.33333333333333343</v>
      </c>
      <c r="J1548" s="924">
        <v>-1</v>
      </c>
      <c r="K1548" s="924">
        <v>-1</v>
      </c>
      <c r="L1548" s="924">
        <v>-1</v>
      </c>
      <c r="M1548" s="924">
        <v>-1</v>
      </c>
      <c r="N1548" s="924">
        <v>-1</v>
      </c>
      <c r="O1548" s="924">
        <v>-1</v>
      </c>
      <c r="P1548" s="924">
        <v>-1</v>
      </c>
      <c r="Q1548" s="924">
        <v>-1</v>
      </c>
      <c r="R1548" s="924">
        <v>-1</v>
      </c>
      <c r="S1548" s="924">
        <v>-1</v>
      </c>
      <c r="T1548" s="924">
        <v>-1</v>
      </c>
      <c r="U1548" s="924">
        <v>-1</v>
      </c>
      <c r="V1548" s="924">
        <v>-1</v>
      </c>
      <c r="W1548" s="924">
        <v>-1</v>
      </c>
      <c r="X1548" s="924">
        <v>-1</v>
      </c>
      <c r="Y1548" s="924">
        <v>-1</v>
      </c>
      <c r="Z1548" s="924">
        <f ca="1">_xlfn.XLOOKUP(A1444,TabCalc[Ticker],TabCalc[Imp20])</f>
        <v>-1</v>
      </c>
      <c r="AB1548" s="924">
        <v>-1</v>
      </c>
      <c r="AC1548" s="924">
        <v>-1</v>
      </c>
      <c r="AD1548" s="924">
        <v>-9.4017094017094072E-2</v>
      </c>
      <c r="AE1548" s="924">
        <v>-9.4017094017094072E-2</v>
      </c>
      <c r="AF1548" s="924">
        <v>-1</v>
      </c>
      <c r="AG1548" s="924">
        <v>-1</v>
      </c>
      <c r="AH1548" s="924">
        <v>-1</v>
      </c>
      <c r="AI1548" s="924">
        <v>-1</v>
      </c>
      <c r="AJ1548" s="924">
        <v>-1</v>
      </c>
      <c r="AK1548" s="924">
        <v>-1</v>
      </c>
      <c r="AL1548" s="924">
        <v>-4.0540540540540529E-2</v>
      </c>
      <c r="AM1548" s="924">
        <v>-4.5045045045045029E-2</v>
      </c>
      <c r="AN1548" s="924">
        <v>-4.5045045045045029E-2</v>
      </c>
      <c r="AO1548" s="924">
        <v>-4.5045045045045029E-2</v>
      </c>
      <c r="AP1548" s="924">
        <v>-4.5045045045045029E-2</v>
      </c>
      <c r="AQ1548" s="924">
        <v>-0.75</v>
      </c>
      <c r="AR1548" s="924">
        <v>-0.75</v>
      </c>
      <c r="AS1548" s="924">
        <v>-0.75</v>
      </c>
      <c r="AT1548" s="924">
        <v>-0.75</v>
      </c>
      <c r="AU1548" s="924">
        <v>-0.75</v>
      </c>
      <c r="AV1548" s="924">
        <f ca="1">_xlfn.XLOOKUP(A1548,TabCalc[Ticker],TabCalc[Imp150])</f>
        <v>-0.75</v>
      </c>
      <c r="AX1548" s="88" t="str">
        <f t="shared" ca="1" si="115"/>
        <v>XPER</v>
      </c>
    </row>
    <row r="1549" spans="1:50" hidden="1" x14ac:dyDescent="0.3">
      <c r="A1549" s="88" t="str">
        <f t="shared" ca="1" si="118"/>
        <v>MVEALDNE</v>
      </c>
      <c r="F1549" s="924">
        <v>-0.11111111111111116</v>
      </c>
      <c r="G1549" s="924">
        <v>-0.11111111111111116</v>
      </c>
      <c r="H1549" s="924">
        <v>-1</v>
      </c>
      <c r="I1549" s="924">
        <v>1</v>
      </c>
      <c r="J1549" s="924">
        <v>1</v>
      </c>
      <c r="K1549" s="924">
        <v>1</v>
      </c>
      <c r="L1549" s="924">
        <v>-0.33333333333333343</v>
      </c>
      <c r="M1549" s="924">
        <v>-0.33333333333333343</v>
      </c>
      <c r="N1549" s="924">
        <v>-0.33333333333333343</v>
      </c>
      <c r="O1549" s="924">
        <v>-1</v>
      </c>
      <c r="P1549" s="924">
        <v>-0.25</v>
      </c>
      <c r="Q1549" s="924">
        <v>-0.25</v>
      </c>
      <c r="R1549" s="924">
        <v>-0.25</v>
      </c>
      <c r="S1549" s="924">
        <v>-1</v>
      </c>
      <c r="T1549" s="924">
        <v>-1</v>
      </c>
      <c r="U1549" s="924">
        <v>-1</v>
      </c>
      <c r="V1549" s="924">
        <v>-1</v>
      </c>
      <c r="W1549" s="924">
        <v>-1</v>
      </c>
      <c r="X1549" s="924">
        <v>-1</v>
      </c>
      <c r="Y1549" s="924">
        <v>-1</v>
      </c>
      <c r="Z1549" s="924">
        <f ca="1">_xlfn.XLOOKUP(A1445,TabCalc[Ticker],TabCalc[Imp20])</f>
        <v>-1</v>
      </c>
      <c r="AB1549" s="924">
        <v>0.23456790123456783</v>
      </c>
      <c r="AC1549" s="924">
        <v>0.23456790123456783</v>
      </c>
      <c r="AD1549" s="924">
        <v>-1</v>
      </c>
      <c r="AE1549" s="924">
        <v>0.20987654320987659</v>
      </c>
      <c r="AF1549" s="924">
        <v>0.20987654320987659</v>
      </c>
      <c r="AG1549" s="924">
        <v>0.20987654320987659</v>
      </c>
      <c r="AH1549" s="924">
        <v>0.18518518518518512</v>
      </c>
      <c r="AI1549" s="924">
        <v>0.18518518518518512</v>
      </c>
      <c r="AJ1549" s="924">
        <v>0.18518518518518512</v>
      </c>
      <c r="AK1549" s="924">
        <v>0.19512195121951215</v>
      </c>
      <c r="AL1549" s="924">
        <v>-7.2972972972972977E-2</v>
      </c>
      <c r="AM1549" s="924">
        <v>-8.1081081081081086E-2</v>
      </c>
      <c r="AN1549" s="924">
        <v>-8.1081081081081086E-2</v>
      </c>
      <c r="AO1549" s="924">
        <v>-8.1081081081081086E-2</v>
      </c>
      <c r="AP1549" s="924">
        <v>-1</v>
      </c>
      <c r="AQ1549" s="924">
        <v>-1</v>
      </c>
      <c r="AR1549" s="924">
        <v>-1</v>
      </c>
      <c r="AS1549" s="924">
        <v>-1</v>
      </c>
      <c r="AT1549" s="924">
        <v>-1</v>
      </c>
      <c r="AU1549" s="924">
        <v>-1</v>
      </c>
      <c r="AV1549" s="924">
        <f ca="1">_xlfn.XLOOKUP(A1549,TabCalc[Ticker],TabCalc[Imp150])</f>
        <v>-1</v>
      </c>
      <c r="AX1549" s="88" t="str">
        <f t="shared" ca="1" si="115"/>
        <v>MVEALDNE</v>
      </c>
    </row>
    <row r="1550" spans="1:50" hidden="1" x14ac:dyDescent="0.3">
      <c r="A1550" s="88" t="str">
        <f t="shared" ca="1" si="118"/>
        <v>MVEDDD</v>
      </c>
      <c r="F1550" s="924">
        <v>6.6666666666666652E-2</v>
      </c>
      <c r="G1550" s="924">
        <v>-1</v>
      </c>
      <c r="H1550" s="924">
        <v>0.28571428571428581</v>
      </c>
      <c r="I1550" s="924">
        <v>0.28571428571428581</v>
      </c>
      <c r="J1550" s="924">
        <v>0.33333333333333326</v>
      </c>
      <c r="K1550" s="924">
        <v>0.33333333333333326</v>
      </c>
      <c r="L1550" s="924">
        <v>-1</v>
      </c>
      <c r="M1550" s="924">
        <v>-1</v>
      </c>
      <c r="N1550" s="924">
        <v>-1</v>
      </c>
      <c r="O1550" s="924">
        <v>0</v>
      </c>
      <c r="P1550" s="924">
        <v>0</v>
      </c>
      <c r="Q1550" s="924">
        <v>0</v>
      </c>
      <c r="R1550" s="924">
        <v>0</v>
      </c>
      <c r="S1550" s="924">
        <v>0</v>
      </c>
      <c r="T1550" s="924">
        <v>-1</v>
      </c>
      <c r="U1550" s="924">
        <v>-1</v>
      </c>
      <c r="V1550" s="924">
        <v>-1</v>
      </c>
      <c r="W1550" s="924">
        <v>-1</v>
      </c>
      <c r="X1550" s="924">
        <v>-1</v>
      </c>
      <c r="Y1550" s="924">
        <v>-1</v>
      </c>
      <c r="Z1550" s="924">
        <f ca="1">_xlfn.XLOOKUP(A1446,TabCalc[Ticker],TabCalc[Imp20])</f>
        <v>-1</v>
      </c>
      <c r="AB1550" s="924">
        <v>3.4482758620689724E-2</v>
      </c>
      <c r="AC1550" s="924">
        <v>-1</v>
      </c>
      <c r="AD1550" s="924">
        <v>6.8965517241379226E-2</v>
      </c>
      <c r="AE1550" s="924">
        <v>6.8965517241379226E-2</v>
      </c>
      <c r="AF1550" s="924">
        <v>0.10344827586206895</v>
      </c>
      <c r="AG1550" s="924">
        <v>0.10344827586206895</v>
      </c>
      <c r="AH1550" s="924">
        <v>-1</v>
      </c>
      <c r="AI1550" s="924">
        <v>-1</v>
      </c>
      <c r="AJ1550" s="924">
        <v>-1</v>
      </c>
      <c r="AK1550" s="924">
        <v>9.565217391304337E-2</v>
      </c>
      <c r="AL1550" s="924">
        <v>-0.9</v>
      </c>
      <c r="AM1550" s="924">
        <v>-1</v>
      </c>
      <c r="AN1550" s="924">
        <v>-1</v>
      </c>
      <c r="AO1550" s="924">
        <v>-1</v>
      </c>
      <c r="AP1550" s="924">
        <v>-1</v>
      </c>
      <c r="AQ1550" s="924">
        <v>-1</v>
      </c>
      <c r="AR1550" s="924">
        <v>-1</v>
      </c>
      <c r="AS1550" s="924">
        <v>-1</v>
      </c>
      <c r="AT1550" s="924">
        <v>-1</v>
      </c>
      <c r="AU1550" s="924">
        <v>-1</v>
      </c>
      <c r="AV1550" s="924">
        <f ca="1">_xlfn.XLOOKUP(A1550,TabCalc[Ticker],TabCalc[Imp150])</f>
        <v>-1</v>
      </c>
      <c r="AX1550" s="88" t="str">
        <f t="shared" ca="1" si="115"/>
        <v>MVEDDD</v>
      </c>
    </row>
    <row r="1551" spans="1:50" hidden="1" x14ac:dyDescent="0.3">
      <c r="A1551" s="88" t="str">
        <f t="shared" ca="1" si="118"/>
        <v>MVEDSY</v>
      </c>
      <c r="F1551" s="924">
        <v>0.19999999999999996</v>
      </c>
      <c r="G1551" s="924">
        <v>0.19999999999999996</v>
      </c>
      <c r="H1551" s="924">
        <v>-1</v>
      </c>
      <c r="I1551" s="924">
        <v>-1</v>
      </c>
      <c r="J1551" s="924">
        <v>-1</v>
      </c>
      <c r="K1551" s="924">
        <v>-1</v>
      </c>
      <c r="L1551" s="924">
        <v>-0.55555555555555558</v>
      </c>
      <c r="M1551" s="924">
        <v>-0.55555555555555558</v>
      </c>
      <c r="N1551" s="924">
        <v>-0.55555555555555558</v>
      </c>
      <c r="O1551" s="924">
        <v>-0.55555555555555558</v>
      </c>
      <c r="P1551" s="924">
        <v>-0.55555555555555558</v>
      </c>
      <c r="Q1551" s="924">
        <v>-0.55555555555555558</v>
      </c>
      <c r="R1551" s="924">
        <v>-0.55555555555555558</v>
      </c>
      <c r="S1551" s="924">
        <v>-0.55555555555555558</v>
      </c>
      <c r="T1551" s="924">
        <v>-1</v>
      </c>
      <c r="U1551" s="924">
        <v>-1</v>
      </c>
      <c r="V1551" s="924">
        <v>-1</v>
      </c>
      <c r="W1551" s="924">
        <v>-1</v>
      </c>
      <c r="X1551" s="924">
        <v>-1</v>
      </c>
      <c r="Y1551" s="924">
        <v>-1</v>
      </c>
      <c r="Z1551" s="924">
        <f ca="1">_xlfn.XLOOKUP(A1447,TabCalc[Ticker],TabCalc[Imp20])</f>
        <v>-1</v>
      </c>
      <c r="AB1551" s="924">
        <v>0.12676056338028174</v>
      </c>
      <c r="AC1551" s="924">
        <v>0.12676056338028174</v>
      </c>
      <c r="AD1551" s="924">
        <v>-1</v>
      </c>
      <c r="AE1551" s="924">
        <v>-1</v>
      </c>
      <c r="AF1551" s="924">
        <v>-1</v>
      </c>
      <c r="AG1551" s="924">
        <v>-1</v>
      </c>
      <c r="AH1551" s="924">
        <v>0.12676056338028174</v>
      </c>
      <c r="AI1551" s="924">
        <v>0.12676056338028174</v>
      </c>
      <c r="AJ1551" s="924">
        <v>0.12676056338028174</v>
      </c>
      <c r="AK1551" s="924">
        <v>0.12676056338028174</v>
      </c>
      <c r="AL1551" s="924">
        <v>-0.9</v>
      </c>
      <c r="AM1551" s="924">
        <v>-1</v>
      </c>
      <c r="AN1551" s="924">
        <v>-1</v>
      </c>
      <c r="AO1551" s="924">
        <v>-1</v>
      </c>
      <c r="AP1551" s="924">
        <v>0</v>
      </c>
      <c r="AQ1551" s="924">
        <v>0</v>
      </c>
      <c r="AR1551" s="924">
        <v>0</v>
      </c>
      <c r="AS1551" s="924">
        <v>0</v>
      </c>
      <c r="AT1551" s="924">
        <v>0</v>
      </c>
      <c r="AU1551" s="924">
        <v>0</v>
      </c>
      <c r="AV1551" s="924">
        <f ca="1">_xlfn.XLOOKUP(A1551,TabCalc[Ticker],TabCalc[Imp150])</f>
        <v>0</v>
      </c>
      <c r="AX1551" s="88" t="str">
        <f t="shared" ca="1" si="115"/>
        <v>MVEDSY</v>
      </c>
    </row>
    <row r="1552" spans="1:50" hidden="1" x14ac:dyDescent="0.3">
      <c r="A1552" s="88" t="str">
        <f t="shared" ca="1" si="118"/>
        <v>MVEEOAN</v>
      </c>
      <c r="F1552" s="924">
        <v>-1</v>
      </c>
      <c r="G1552" s="924">
        <v>-1</v>
      </c>
      <c r="H1552" s="924">
        <v>-1</v>
      </c>
      <c r="I1552" s="924">
        <v>-1</v>
      </c>
      <c r="J1552" s="924">
        <v>0</v>
      </c>
      <c r="K1552" s="924">
        <v>0</v>
      </c>
      <c r="L1552" s="924">
        <v>-0.25</v>
      </c>
      <c r="M1552" s="924">
        <v>-0.25</v>
      </c>
      <c r="N1552" s="924">
        <v>-0.25</v>
      </c>
      <c r="O1552" s="924">
        <v>-0.25</v>
      </c>
      <c r="P1552" s="924">
        <v>-0.25</v>
      </c>
      <c r="Q1552" s="924">
        <v>-0.25</v>
      </c>
      <c r="R1552" s="924">
        <v>-0.25</v>
      </c>
      <c r="S1552" s="924">
        <v>-1</v>
      </c>
      <c r="T1552" s="924">
        <v>-1</v>
      </c>
      <c r="U1552" s="924">
        <v>-1</v>
      </c>
      <c r="V1552" s="924">
        <v>-1</v>
      </c>
      <c r="W1552" s="924">
        <v>-1</v>
      </c>
      <c r="X1552" s="924">
        <v>-1</v>
      </c>
      <c r="Y1552" s="924">
        <v>-1</v>
      </c>
      <c r="Z1552" s="924">
        <f ca="1">_xlfn.XLOOKUP(A1448,TabCalc[Ticker],TabCalc[Imp20])</f>
        <v>-1</v>
      </c>
      <c r="AB1552" s="924">
        <v>-1</v>
      </c>
      <c r="AC1552" s="924">
        <v>-1</v>
      </c>
      <c r="AD1552" s="924">
        <v>0.10679611650485432</v>
      </c>
      <c r="AE1552" s="924">
        <v>0.10679611650485432</v>
      </c>
      <c r="AF1552" s="924">
        <v>0.10476190476190483</v>
      </c>
      <c r="AG1552" s="924">
        <v>0.10476190476190483</v>
      </c>
      <c r="AH1552" s="924">
        <v>8.737864077669899E-2</v>
      </c>
      <c r="AI1552" s="924">
        <v>8.737864077669899E-2</v>
      </c>
      <c r="AJ1552" s="924">
        <v>8.737864077669899E-2</v>
      </c>
      <c r="AK1552" s="924">
        <v>8.737864077669899E-2</v>
      </c>
      <c r="AL1552" s="924">
        <v>-0.9</v>
      </c>
      <c r="AM1552" s="924">
        <v>-1</v>
      </c>
      <c r="AN1552" s="924">
        <v>-1</v>
      </c>
      <c r="AO1552" s="924">
        <v>-1</v>
      </c>
      <c r="AP1552" s="924">
        <v>0</v>
      </c>
      <c r="AQ1552" s="924">
        <v>0</v>
      </c>
      <c r="AR1552" s="924">
        <v>0</v>
      </c>
      <c r="AS1552" s="924">
        <v>0</v>
      </c>
      <c r="AT1552" s="924">
        <v>-1</v>
      </c>
      <c r="AU1552" s="924">
        <v>-1</v>
      </c>
      <c r="AV1552" s="924">
        <f ca="1">_xlfn.XLOOKUP(A1552,TabCalc[Ticker],TabCalc[Imp150])</f>
        <v>-1</v>
      </c>
      <c r="AX1552" s="88" t="str">
        <f t="shared" ca="1" si="115"/>
        <v>MVEEOAN</v>
      </c>
    </row>
    <row r="1553" spans="1:50" hidden="1" x14ac:dyDescent="0.3">
      <c r="A1553" s="88" t="str">
        <f t="shared" ca="1" si="118"/>
        <v>MVEENI</v>
      </c>
      <c r="F1553" s="924">
        <v>0.19999999999999996</v>
      </c>
      <c r="G1553" s="924">
        <v>0.19999999999999996</v>
      </c>
      <c r="H1553" s="924">
        <v>-1</v>
      </c>
      <c r="I1553" s="924">
        <v>-1</v>
      </c>
      <c r="J1553" s="924">
        <v>-1</v>
      </c>
      <c r="K1553" s="924">
        <v>-1</v>
      </c>
      <c r="L1553" s="924">
        <v>0.14285714285714279</v>
      </c>
      <c r="M1553" s="924">
        <v>0.14285714285714279</v>
      </c>
      <c r="N1553" s="924">
        <v>0.14285714285714279</v>
      </c>
      <c r="O1553" s="924">
        <v>0.14285714285714279</v>
      </c>
      <c r="P1553" s="924">
        <v>0.14285714285714279</v>
      </c>
      <c r="Q1553" s="924">
        <v>0.14285714285714279</v>
      </c>
      <c r="R1553" s="924">
        <v>0.14285714285714279</v>
      </c>
      <c r="S1553" s="924">
        <v>0.14285714285714279</v>
      </c>
      <c r="T1553" s="924">
        <v>0.14285714285714279</v>
      </c>
      <c r="U1553" s="924">
        <v>-1</v>
      </c>
      <c r="V1553" s="924">
        <v>-1</v>
      </c>
      <c r="W1553" s="924">
        <v>-1</v>
      </c>
      <c r="X1553" s="924">
        <v>-1</v>
      </c>
      <c r="Y1553" s="924">
        <v>-1</v>
      </c>
      <c r="Z1553" s="924">
        <f ca="1">_xlfn.XLOOKUP(A1449,TabCalc[Ticker],TabCalc[Imp20])</f>
        <v>-1</v>
      </c>
      <c r="AB1553" s="924">
        <v>-7.2727272727272751E-2</v>
      </c>
      <c r="AC1553" s="924">
        <v>-7.2727272727272751E-2</v>
      </c>
      <c r="AD1553" s="924">
        <v>-1</v>
      </c>
      <c r="AE1553" s="924">
        <v>-1</v>
      </c>
      <c r="AF1553" s="924">
        <v>-1</v>
      </c>
      <c r="AG1553" s="924">
        <v>-1</v>
      </c>
      <c r="AH1553" s="924">
        <v>-4.5045045045045029E-2</v>
      </c>
      <c r="AI1553" s="924">
        <v>-4.5045045045045029E-2</v>
      </c>
      <c r="AJ1553" s="924">
        <v>-4.5045045045045029E-2</v>
      </c>
      <c r="AK1553" s="924">
        <v>-4.5045045045045029E-2</v>
      </c>
      <c r="AL1553" s="924">
        <v>0.20454545454545456</v>
      </c>
      <c r="AM1553" s="924">
        <v>0.22727272727272729</v>
      </c>
      <c r="AN1553" s="924">
        <v>0.22727272727272729</v>
      </c>
      <c r="AO1553" s="924">
        <v>-0.48148148148148145</v>
      </c>
      <c r="AP1553" s="924">
        <v>-0.5</v>
      </c>
      <c r="AQ1553" s="924">
        <v>-0.5</v>
      </c>
      <c r="AR1553" s="924">
        <v>-0.5</v>
      </c>
      <c r="AS1553" s="924">
        <v>-0.5</v>
      </c>
      <c r="AT1553" s="924">
        <v>-0.5</v>
      </c>
      <c r="AU1553" s="924">
        <v>-0.5</v>
      </c>
      <c r="AV1553" s="924">
        <f ca="1">_xlfn.XLOOKUP(A1553,TabCalc[Ticker],TabCalc[Imp150])</f>
        <v>-0.5</v>
      </c>
      <c r="AX1553" s="88" t="str">
        <f t="shared" ca="1" si="115"/>
        <v>MVEENI</v>
      </c>
    </row>
    <row r="1554" spans="1:50" hidden="1" x14ac:dyDescent="0.3">
      <c r="A1554" s="88" t="str">
        <f t="shared" ca="1" si="118"/>
        <v>MVEEPIX</v>
      </c>
      <c r="F1554" s="924">
        <v>-1</v>
      </c>
      <c r="G1554" s="924">
        <v>-1</v>
      </c>
      <c r="H1554" s="924">
        <v>0</v>
      </c>
      <c r="I1554" s="924">
        <v>0</v>
      </c>
      <c r="J1554" s="924">
        <v>-1</v>
      </c>
      <c r="K1554" s="924">
        <v>-1</v>
      </c>
      <c r="L1554" s="924">
        <v>-1</v>
      </c>
      <c r="M1554" s="924">
        <v>-1</v>
      </c>
      <c r="N1554" s="924">
        <v>-1</v>
      </c>
      <c r="O1554" s="924">
        <v>-1</v>
      </c>
      <c r="P1554" s="924">
        <v>-1</v>
      </c>
      <c r="Q1554" s="924">
        <v>-1</v>
      </c>
      <c r="R1554" s="924">
        <v>-1</v>
      </c>
      <c r="S1554" s="924">
        <v>-1</v>
      </c>
      <c r="T1554" s="924">
        <v>-1</v>
      </c>
      <c r="U1554" s="924">
        <v>-1</v>
      </c>
      <c r="V1554" s="924">
        <v>-1</v>
      </c>
      <c r="W1554" s="924">
        <v>-1</v>
      </c>
      <c r="X1554" s="924">
        <v>-1</v>
      </c>
      <c r="Y1554" s="924">
        <v>-1</v>
      </c>
      <c r="Z1554" s="924">
        <f ca="1">_xlfn.XLOOKUP(A1450,TabCalc[Ticker],TabCalc[Imp20])</f>
        <v>-1</v>
      </c>
      <c r="AB1554" s="924">
        <v>-1</v>
      </c>
      <c r="AC1554" s="924">
        <v>-1</v>
      </c>
      <c r="AD1554" s="924">
        <v>-0.10526315789473678</v>
      </c>
      <c r="AE1554" s="924">
        <v>-0.10526315789473678</v>
      </c>
      <c r="AF1554" s="924">
        <v>-1</v>
      </c>
      <c r="AG1554" s="924">
        <v>-1</v>
      </c>
      <c r="AH1554" s="924">
        <v>-8.1081081081081086E-2</v>
      </c>
      <c r="AI1554" s="924">
        <v>-8.1081081081081086E-2</v>
      </c>
      <c r="AJ1554" s="924">
        <v>-8.1081081081081086E-2</v>
      </c>
      <c r="AK1554" s="924">
        <v>-8.1081081081081086E-2</v>
      </c>
      <c r="AL1554" s="924">
        <v>7.4380165289255956E-3</v>
      </c>
      <c r="AM1554" s="924">
        <v>8.2644628099173278E-3</v>
      </c>
      <c r="AN1554" s="924">
        <v>8.2644628099173278E-3</v>
      </c>
      <c r="AO1554" s="924">
        <v>8.2644628099173278E-3</v>
      </c>
      <c r="AP1554" s="924">
        <v>8.2644628099173278E-3</v>
      </c>
      <c r="AQ1554" s="924">
        <v>8.2644628099173278E-3</v>
      </c>
      <c r="AR1554" s="924">
        <v>8.2644628099173278E-3</v>
      </c>
      <c r="AS1554" s="924">
        <v>8.2644628099173278E-3</v>
      </c>
      <c r="AT1554" s="924">
        <v>8.2644628099173278E-3</v>
      </c>
      <c r="AU1554" s="924">
        <v>8.2644628099173278E-3</v>
      </c>
      <c r="AV1554" s="924">
        <f ca="1">_xlfn.XLOOKUP(A1554,TabCalc[Ticker],TabCalc[Imp150])</f>
        <v>8.2644628099173278E-3</v>
      </c>
      <c r="AX1554" s="88" t="str">
        <f t="shared" ca="1" si="115"/>
        <v>MVEEPIX</v>
      </c>
    </row>
    <row r="1555" spans="1:50" hidden="1" x14ac:dyDescent="0.3">
      <c r="A1555" s="88" t="str">
        <f t="shared" ca="1" si="118"/>
        <v>MVEGLE</v>
      </c>
      <c r="F1555" s="924">
        <v>0.15789473684210531</v>
      </c>
      <c r="G1555" s="924">
        <v>0.15789473684210531</v>
      </c>
      <c r="H1555" s="924">
        <v>-9.0909090909090884E-2</v>
      </c>
      <c r="I1555" s="924">
        <v>-9.0909090909090884E-2</v>
      </c>
      <c r="J1555" s="924">
        <v>-1</v>
      </c>
      <c r="K1555" s="924">
        <v>-1</v>
      </c>
      <c r="L1555" s="924">
        <v>-1</v>
      </c>
      <c r="M1555" s="924">
        <v>-1</v>
      </c>
      <c r="N1555" s="924">
        <v>-1</v>
      </c>
      <c r="O1555" s="924">
        <v>-1</v>
      </c>
      <c r="P1555" s="924">
        <v>-1</v>
      </c>
      <c r="Q1555" s="924">
        <v>-1</v>
      </c>
      <c r="R1555" s="924">
        <v>-1</v>
      </c>
      <c r="S1555" s="924">
        <v>-1</v>
      </c>
      <c r="T1555" s="924">
        <v>-1</v>
      </c>
      <c r="U1555" s="924">
        <v>-1</v>
      </c>
      <c r="V1555" s="924">
        <v>-1</v>
      </c>
      <c r="W1555" s="924">
        <v>-1</v>
      </c>
      <c r="X1555" s="924">
        <v>-1</v>
      </c>
      <c r="Y1555" s="924">
        <v>-1</v>
      </c>
      <c r="Z1555" s="924">
        <f ca="1">_xlfn.XLOOKUP(A1451,TabCalc[Ticker],TabCalc[Imp20])</f>
        <v>-1</v>
      </c>
      <c r="AB1555" s="924">
        <v>-7.4626865671641784E-2</v>
      </c>
      <c r="AC1555" s="924">
        <v>-7.4626865671641784E-2</v>
      </c>
      <c r="AD1555" s="924">
        <v>-4.4117647058823428E-2</v>
      </c>
      <c r="AE1555" s="924">
        <v>-4.4117647058823428E-2</v>
      </c>
      <c r="AF1555" s="924">
        <v>-1</v>
      </c>
      <c r="AG1555" s="924">
        <v>-1</v>
      </c>
      <c r="AH1555" s="924">
        <v>-1</v>
      </c>
      <c r="AI1555" s="924">
        <v>-1</v>
      </c>
      <c r="AJ1555" s="924">
        <v>-1</v>
      </c>
      <c r="AK1555" s="924">
        <v>-1</v>
      </c>
      <c r="AL1555" s="924">
        <v>0.1536585365853658</v>
      </c>
      <c r="AM1555" s="924">
        <v>0.1707317073170731</v>
      </c>
      <c r="AN1555" s="924">
        <v>0.1707317073170731</v>
      </c>
      <c r="AO1555" s="924">
        <v>0.1707317073170731</v>
      </c>
      <c r="AP1555" s="924">
        <v>0.4285714285714286</v>
      </c>
      <c r="AQ1555" s="924">
        <v>0.4285714285714286</v>
      </c>
      <c r="AR1555" s="924">
        <v>0.4285714285714286</v>
      </c>
      <c r="AS1555" s="924">
        <v>-0.4285714285714286</v>
      </c>
      <c r="AT1555" s="924">
        <v>-0.35999999999999993</v>
      </c>
      <c r="AU1555" s="924">
        <v>-0.35999999999999993</v>
      </c>
      <c r="AV1555" s="924">
        <f ca="1">_xlfn.XLOOKUP(A1555,TabCalc[Ticker],TabCalc[Imp150])</f>
        <v>-0.35999999999999993</v>
      </c>
      <c r="AX1555" s="88" t="str">
        <f t="shared" ref="AX1555:AX1618" ca="1" si="119">A1555</f>
        <v>MVEGLE</v>
      </c>
    </row>
    <row r="1556" spans="1:50" hidden="1" x14ac:dyDescent="0.3">
      <c r="A1556" s="88" t="str">
        <f t="shared" ca="1" si="118"/>
        <v>MVEORA</v>
      </c>
      <c r="F1556" s="924">
        <v>0.53846153846153855</v>
      </c>
      <c r="G1556" s="924">
        <v>0.53846153846153855</v>
      </c>
      <c r="H1556" s="924">
        <v>0</v>
      </c>
      <c r="I1556" s="924">
        <v>-1</v>
      </c>
      <c r="J1556" s="924">
        <v>0</v>
      </c>
      <c r="K1556" s="924">
        <v>0</v>
      </c>
      <c r="L1556" s="924">
        <v>-1</v>
      </c>
      <c r="M1556" s="924">
        <v>-1</v>
      </c>
      <c r="N1556" s="924">
        <v>-1</v>
      </c>
      <c r="O1556" s="924">
        <v>-1</v>
      </c>
      <c r="P1556" s="924">
        <v>-1</v>
      </c>
      <c r="Q1556" s="924">
        <v>-1</v>
      </c>
      <c r="R1556" s="924">
        <v>-1</v>
      </c>
      <c r="S1556" s="924">
        <v>-1</v>
      </c>
      <c r="T1556" s="924">
        <v>-1</v>
      </c>
      <c r="U1556" s="924">
        <v>-1</v>
      </c>
      <c r="V1556" s="924">
        <v>-1</v>
      </c>
      <c r="W1556" s="924">
        <v>-1</v>
      </c>
      <c r="X1556" s="924">
        <v>-1</v>
      </c>
      <c r="Y1556" s="924">
        <v>-1</v>
      </c>
      <c r="Z1556" s="924">
        <f ca="1">_xlfn.XLOOKUP(A1452,TabCalc[Ticker],TabCalc[Imp20])</f>
        <v>-1</v>
      </c>
      <c r="AB1556" s="924">
        <v>-2.7522935779816515E-2</v>
      </c>
      <c r="AC1556" s="924">
        <v>-2.7522935779816515E-2</v>
      </c>
      <c r="AD1556" s="924">
        <v>-6.4220183486238425E-2</v>
      </c>
      <c r="AE1556" s="924">
        <v>-1</v>
      </c>
      <c r="AF1556" s="924">
        <v>-2.7522935779816515E-2</v>
      </c>
      <c r="AG1556" s="924">
        <v>-2.7522935779816515E-2</v>
      </c>
      <c r="AH1556" s="924">
        <v>-1</v>
      </c>
      <c r="AI1556" s="924">
        <v>-1</v>
      </c>
      <c r="AJ1556" s="924">
        <v>-1</v>
      </c>
      <c r="AK1556" s="924">
        <v>-1</v>
      </c>
      <c r="AL1556" s="924">
        <v>-0.9</v>
      </c>
      <c r="AM1556" s="924">
        <v>-1</v>
      </c>
      <c r="AN1556" s="924">
        <v>-1</v>
      </c>
      <c r="AO1556" s="924">
        <v>-1</v>
      </c>
      <c r="AP1556" s="924">
        <v>-0.38461538461538458</v>
      </c>
      <c r="AQ1556" s="924">
        <v>-0.38461538461538458</v>
      </c>
      <c r="AR1556" s="924">
        <v>-0.38461538461538458</v>
      </c>
      <c r="AS1556" s="924">
        <v>-0.38461538461538458</v>
      </c>
      <c r="AT1556" s="924">
        <v>-0.38461538461538458</v>
      </c>
      <c r="AU1556" s="924">
        <v>-0.38461538461538458</v>
      </c>
      <c r="AV1556" s="924">
        <f ca="1">_xlfn.XLOOKUP(A1556,TabCalc[Ticker],TabCalc[Imp150])</f>
        <v>-0.38461538461538458</v>
      </c>
      <c r="AX1556" s="88" t="str">
        <f t="shared" ca="1" si="119"/>
        <v>MVEORA</v>
      </c>
    </row>
    <row r="1557" spans="1:50" hidden="1" x14ac:dyDescent="0.3">
      <c r="A1557" s="88" t="str">
        <f t="shared" ref="A1557:A1590" ca="1" si="120">A1458</f>
        <v>MVERWE</v>
      </c>
      <c r="F1557" s="924">
        <v>0.69230769230769229</v>
      </c>
      <c r="G1557" s="924">
        <v>0.69230769230769229</v>
      </c>
      <c r="H1557" s="924">
        <v>-1</v>
      </c>
      <c r="I1557" s="924">
        <v>-1</v>
      </c>
      <c r="J1557" s="924">
        <v>-1</v>
      </c>
      <c r="K1557" s="924">
        <v>-1</v>
      </c>
      <c r="L1557" s="924">
        <v>-1</v>
      </c>
      <c r="M1557" s="924">
        <v>-1</v>
      </c>
      <c r="N1557" s="924">
        <v>-1</v>
      </c>
      <c r="O1557" s="924">
        <v>-1</v>
      </c>
      <c r="P1557" s="924">
        <v>-1</v>
      </c>
      <c r="Q1557" s="924">
        <v>-1</v>
      </c>
      <c r="R1557" s="924">
        <v>-1</v>
      </c>
      <c r="S1557" s="924">
        <v>-1</v>
      </c>
      <c r="T1557" s="924">
        <v>-1</v>
      </c>
      <c r="U1557" s="924">
        <v>-1</v>
      </c>
      <c r="V1557" s="924">
        <v>-1</v>
      </c>
      <c r="W1557" s="924">
        <v>-1</v>
      </c>
      <c r="X1557" s="924">
        <v>-1</v>
      </c>
      <c r="Y1557" s="924">
        <v>-1</v>
      </c>
      <c r="Z1557" s="924">
        <f ca="1">_xlfn.XLOOKUP(A1453,TabCalc[Ticker],TabCalc[Imp20])</f>
        <v>-1</v>
      </c>
      <c r="AB1557" s="924">
        <v>0.24752475247524752</v>
      </c>
      <c r="AC1557" s="924">
        <v>0.24752475247524752</v>
      </c>
      <c r="AD1557" s="924">
        <v>-1</v>
      </c>
      <c r="AE1557" s="924">
        <v>-1</v>
      </c>
      <c r="AF1557" s="924">
        <v>0.21568627450980382</v>
      </c>
      <c r="AG1557" s="924">
        <v>0.21568627450980382</v>
      </c>
      <c r="AH1557" s="924">
        <v>-1</v>
      </c>
      <c r="AI1557" s="924">
        <v>-1</v>
      </c>
      <c r="AJ1557" s="924">
        <v>-1</v>
      </c>
      <c r="AK1557" s="924">
        <v>-1</v>
      </c>
      <c r="AL1557" s="924">
        <v>-0.9</v>
      </c>
      <c r="AM1557" s="924">
        <v>-1</v>
      </c>
      <c r="AN1557" s="924">
        <v>-1</v>
      </c>
      <c r="AO1557" s="924">
        <v>-1</v>
      </c>
      <c r="AP1557" s="924">
        <v>0</v>
      </c>
      <c r="AQ1557" s="924">
        <v>0</v>
      </c>
      <c r="AR1557" s="924">
        <v>0</v>
      </c>
      <c r="AS1557" s="924">
        <v>-0.19999999999999996</v>
      </c>
      <c r="AT1557" s="924">
        <v>-0.19999999999999996</v>
      </c>
      <c r="AU1557" s="924">
        <v>-0.19999999999999996</v>
      </c>
      <c r="AV1557" s="924">
        <f ca="1">_xlfn.XLOOKUP(A1557,TabCalc[Ticker],TabCalc[Imp150])</f>
        <v>-0.19999999999999996</v>
      </c>
      <c r="AX1557" s="88" t="str">
        <f t="shared" ca="1" si="119"/>
        <v>MVERWE</v>
      </c>
    </row>
    <row r="1558" spans="1:50" hidden="1" x14ac:dyDescent="0.3">
      <c r="A1558" s="88" t="str">
        <f t="shared" ca="1" si="120"/>
        <v>MVESAP</v>
      </c>
      <c r="F1558" s="924">
        <v>7.6923076923076872E-2</v>
      </c>
      <c r="G1558" s="924">
        <v>7.6923076923076872E-2</v>
      </c>
      <c r="H1558" s="924">
        <v>0.33333333333333326</v>
      </c>
      <c r="I1558" s="924">
        <v>0.33333333333333326</v>
      </c>
      <c r="J1558" s="924">
        <v>-1</v>
      </c>
      <c r="K1558" s="924">
        <v>-1</v>
      </c>
      <c r="L1558" s="924">
        <v>-1</v>
      </c>
      <c r="M1558" s="924">
        <v>-1</v>
      </c>
      <c r="N1558" s="924">
        <v>-1</v>
      </c>
      <c r="O1558" s="924">
        <v>-0.75</v>
      </c>
      <c r="P1558" s="924">
        <v>0</v>
      </c>
      <c r="Q1558" s="924">
        <v>0</v>
      </c>
      <c r="R1558" s="924">
        <v>0</v>
      </c>
      <c r="S1558" s="924">
        <v>-1</v>
      </c>
      <c r="T1558" s="924">
        <v>-1</v>
      </c>
      <c r="U1558" s="924">
        <v>-1</v>
      </c>
      <c r="V1558" s="924">
        <v>-1</v>
      </c>
      <c r="W1558" s="924">
        <v>-1</v>
      </c>
      <c r="X1558" s="924">
        <v>-1</v>
      </c>
      <c r="Y1558" s="924">
        <v>-1</v>
      </c>
      <c r="Z1558" s="924">
        <f ca="1">_xlfn.XLOOKUP(A1454,TabCalc[Ticker],TabCalc[Imp20])</f>
        <v>-1</v>
      </c>
      <c r="AB1558" s="924">
        <v>0.26666666666666661</v>
      </c>
      <c r="AC1558" s="924">
        <v>0.26666666666666661</v>
      </c>
      <c r="AD1558" s="924">
        <v>0.22727272727272729</v>
      </c>
      <c r="AE1558" s="924">
        <v>0.22727272727272729</v>
      </c>
      <c r="AF1558" s="924">
        <v>-1</v>
      </c>
      <c r="AG1558" s="924">
        <v>-1</v>
      </c>
      <c r="AH1558" s="924">
        <v>-1</v>
      </c>
      <c r="AI1558" s="924">
        <v>-1</v>
      </c>
      <c r="AJ1558" s="924">
        <v>-1</v>
      </c>
      <c r="AK1558" s="924">
        <v>0.21839080459770122</v>
      </c>
      <c r="AL1558" s="924">
        <v>2.4324324324324277E-2</v>
      </c>
      <c r="AM1558" s="924">
        <v>2.7027027027026973E-2</v>
      </c>
      <c r="AN1558" s="924">
        <v>2.7027027027026973E-2</v>
      </c>
      <c r="AO1558" s="924">
        <v>2.7027027027026973E-2</v>
      </c>
      <c r="AP1558" s="924">
        <v>0.14285714285714279</v>
      </c>
      <c r="AQ1558" s="924">
        <v>0.14285714285714279</v>
      </c>
      <c r="AR1558" s="924">
        <v>0.19999999999999996</v>
      </c>
      <c r="AS1558" s="924">
        <v>-0.33333333333333343</v>
      </c>
      <c r="AT1558" s="924">
        <v>-0.33333333333333343</v>
      </c>
      <c r="AU1558" s="924">
        <v>-0.33333333333333343</v>
      </c>
      <c r="AV1558" s="924">
        <f ca="1">_xlfn.XLOOKUP(A1558,TabCalc[Ticker],TabCalc[Imp150])</f>
        <v>-0.33333333333333343</v>
      </c>
      <c r="AX1558" s="88" t="str">
        <f t="shared" ca="1" si="119"/>
        <v>MVESAP</v>
      </c>
    </row>
    <row r="1559" spans="1:50" hidden="1" x14ac:dyDescent="0.3">
      <c r="A1559" s="88" t="str">
        <f t="shared" ca="1" si="120"/>
        <v>MVEUN0</v>
      </c>
      <c r="F1559" s="924">
        <v>0</v>
      </c>
      <c r="G1559" s="924">
        <v>0</v>
      </c>
      <c r="H1559" s="924">
        <v>-1</v>
      </c>
      <c r="I1559" s="924">
        <v>-1</v>
      </c>
      <c r="J1559" s="924">
        <v>-1</v>
      </c>
      <c r="K1559" s="924">
        <v>-1</v>
      </c>
      <c r="L1559" s="924">
        <v>-1</v>
      </c>
      <c r="M1559" s="924">
        <v>-1</v>
      </c>
      <c r="N1559" s="924">
        <v>-1</v>
      </c>
      <c r="O1559" s="924">
        <v>-1</v>
      </c>
      <c r="P1559" s="924">
        <v>-1</v>
      </c>
      <c r="Q1559" s="924">
        <v>-1</v>
      </c>
      <c r="R1559" s="924">
        <v>-1</v>
      </c>
      <c r="S1559" s="924">
        <v>-1</v>
      </c>
      <c r="T1559" s="924">
        <v>-1</v>
      </c>
      <c r="U1559" s="924">
        <v>-1</v>
      </c>
      <c r="V1559" s="924">
        <v>-1</v>
      </c>
      <c r="W1559" s="924">
        <v>-1</v>
      </c>
      <c r="X1559" s="924">
        <v>-1</v>
      </c>
      <c r="Y1559" s="924">
        <v>-1</v>
      </c>
      <c r="Z1559" s="924">
        <f ca="1">_xlfn.XLOOKUP(A1455,TabCalc[Ticker],TabCalc[Imp20])</f>
        <v>-1</v>
      </c>
      <c r="AB1559" s="924">
        <v>2.4793388429751984E-2</v>
      </c>
      <c r="AC1559" s="924">
        <v>2.4793388429751984E-2</v>
      </c>
      <c r="AD1559" s="924">
        <v>-1</v>
      </c>
      <c r="AE1559" s="924">
        <v>-1</v>
      </c>
      <c r="AF1559" s="924">
        <v>-1</v>
      </c>
      <c r="AG1559" s="924">
        <v>-1</v>
      </c>
      <c r="AH1559" s="924">
        <v>8.2644628099173278E-3</v>
      </c>
      <c r="AI1559" s="924">
        <v>8.2644628099173278E-3</v>
      </c>
      <c r="AJ1559" s="924">
        <v>8.2644628099173278E-3</v>
      </c>
      <c r="AK1559" s="924">
        <v>8.2644628099173278E-3</v>
      </c>
      <c r="AL1559" s="924">
        <v>-0.9</v>
      </c>
      <c r="AM1559" s="924">
        <v>-1</v>
      </c>
      <c r="AN1559" s="924">
        <v>-1</v>
      </c>
      <c r="AO1559" s="924">
        <v>-1</v>
      </c>
      <c r="AP1559" s="924">
        <v>-0.5</v>
      </c>
      <c r="AQ1559" s="924">
        <v>-0.5</v>
      </c>
      <c r="AR1559" s="924">
        <v>-0.5</v>
      </c>
      <c r="AS1559" s="924">
        <v>-0.5</v>
      </c>
      <c r="AT1559" s="924">
        <v>-0.5</v>
      </c>
      <c r="AU1559" s="924">
        <v>-0.5</v>
      </c>
      <c r="AV1559" s="924">
        <f ca="1">_xlfn.XLOOKUP(A1559,TabCalc[Ticker],TabCalc[Imp150])</f>
        <v>-0.5</v>
      </c>
      <c r="AX1559" s="88" t="str">
        <f t="shared" ca="1" si="119"/>
        <v>MVEUN0</v>
      </c>
    </row>
    <row r="1560" spans="1:50" hidden="1" x14ac:dyDescent="0.3">
      <c r="A1560" s="88" t="str">
        <f t="shared" ca="1" si="120"/>
        <v>SAFAAPL</v>
      </c>
      <c r="F1560" s="924">
        <v>5.8823529411764719E-2</v>
      </c>
      <c r="G1560" s="924">
        <v>-0.14285714285714285</v>
      </c>
      <c r="H1560" s="924">
        <v>0.55555555555555558</v>
      </c>
      <c r="I1560" s="924">
        <v>-0.38461538461538458</v>
      </c>
      <c r="J1560" s="924">
        <v>0.39999999999999991</v>
      </c>
      <c r="K1560" s="924">
        <v>0.39999999999999991</v>
      </c>
      <c r="L1560" s="924">
        <v>0</v>
      </c>
      <c r="M1560" s="924">
        <v>0</v>
      </c>
      <c r="N1560" s="924">
        <v>0</v>
      </c>
      <c r="O1560" s="924">
        <v>0</v>
      </c>
      <c r="P1560" s="924">
        <v>0</v>
      </c>
      <c r="Q1560" s="924">
        <v>0</v>
      </c>
      <c r="R1560" s="924">
        <v>0</v>
      </c>
      <c r="S1560" s="924">
        <v>0</v>
      </c>
      <c r="T1560" s="924">
        <v>-1</v>
      </c>
      <c r="U1560" s="924">
        <v>-1</v>
      </c>
      <c r="V1560" s="924">
        <v>-1</v>
      </c>
      <c r="W1560" s="924">
        <v>-1</v>
      </c>
      <c r="X1560" s="924">
        <v>-1</v>
      </c>
      <c r="Y1560" s="924">
        <v>-1</v>
      </c>
      <c r="Z1560" s="924">
        <f ca="1">_xlfn.XLOOKUP(A1456,TabCalc[Ticker],TabCalc[Imp20])</f>
        <v>-1</v>
      </c>
      <c r="AB1560" s="924">
        <v>0.18032786885245899</v>
      </c>
      <c r="AC1560" s="924">
        <v>0.18032786885245899</v>
      </c>
      <c r="AD1560" s="924">
        <v>0.20325203252032531</v>
      </c>
      <c r="AE1560" s="924">
        <v>0.20325203252032531</v>
      </c>
      <c r="AF1560" s="924">
        <v>0.18699186991869921</v>
      </c>
      <c r="AG1560" s="924">
        <v>0.18699186991869921</v>
      </c>
      <c r="AH1560" s="924">
        <v>0.1707317073170731</v>
      </c>
      <c r="AI1560" s="924">
        <v>0.1707317073170731</v>
      </c>
      <c r="AJ1560" s="924">
        <v>0.1707317073170731</v>
      </c>
      <c r="AK1560" s="924">
        <v>0.1707317073170731</v>
      </c>
      <c r="AL1560" s="924">
        <v>0.12857142857142853</v>
      </c>
      <c r="AM1560" s="924">
        <v>0.14285714285714279</v>
      </c>
      <c r="AN1560" s="924">
        <v>0.14285714285714279</v>
      </c>
      <c r="AO1560" s="924">
        <v>0.14285714285714279</v>
      </c>
      <c r="AP1560" s="924">
        <v>-0.25</v>
      </c>
      <c r="AQ1560" s="924">
        <v>-0.25</v>
      </c>
      <c r="AR1560" s="924">
        <v>-0.25</v>
      </c>
      <c r="AS1560" s="924">
        <v>-0.25</v>
      </c>
      <c r="AT1560" s="924">
        <v>0</v>
      </c>
      <c r="AU1560" s="924">
        <v>0.60000000000000009</v>
      </c>
      <c r="AV1560" s="924">
        <f ca="1">_xlfn.XLOOKUP(A1560,TabCalc[Ticker],TabCalc[Imp150])</f>
        <v>0.60000000000000009</v>
      </c>
      <c r="AX1560" s="88" t="str">
        <f t="shared" ca="1" si="119"/>
        <v>SAFAAPL</v>
      </c>
    </row>
    <row r="1561" spans="1:50" hidden="1" x14ac:dyDescent="0.3">
      <c r="A1561" s="88" t="str">
        <f t="shared" ca="1" si="120"/>
        <v>SAFAMZN</v>
      </c>
      <c r="F1561" s="924">
        <v>0.52941176470588225</v>
      </c>
      <c r="G1561" s="924">
        <v>0.52941176470588225</v>
      </c>
      <c r="H1561" s="924">
        <v>-1</v>
      </c>
      <c r="I1561" s="924">
        <v>-1</v>
      </c>
      <c r="J1561" s="924">
        <v>-1</v>
      </c>
      <c r="K1561" s="924">
        <v>-1</v>
      </c>
      <c r="L1561" s="924">
        <v>-1</v>
      </c>
      <c r="M1561" s="924">
        <v>-1</v>
      </c>
      <c r="N1561" s="924">
        <v>-1</v>
      </c>
      <c r="O1561" s="924">
        <v>-1</v>
      </c>
      <c r="P1561" s="924">
        <v>-1</v>
      </c>
      <c r="Q1561" s="924">
        <v>-1</v>
      </c>
      <c r="R1561" s="924">
        <v>-1</v>
      </c>
      <c r="S1561" s="924">
        <v>-1</v>
      </c>
      <c r="T1561" s="924">
        <v>-1</v>
      </c>
      <c r="U1561" s="924">
        <v>-1</v>
      </c>
      <c r="V1561" s="924">
        <v>-1</v>
      </c>
      <c r="W1561" s="924">
        <v>-1</v>
      </c>
      <c r="X1561" s="924">
        <v>-1</v>
      </c>
      <c r="Y1561" s="924">
        <v>-1</v>
      </c>
      <c r="Z1561" s="924">
        <f ca="1">_xlfn.XLOOKUP(A1457,TabCalc[Ticker],TabCalc[Imp20])</f>
        <v>-1</v>
      </c>
      <c r="AB1561" s="924">
        <v>0.16071428571428581</v>
      </c>
      <c r="AC1561" s="924">
        <v>0.16071428571428581</v>
      </c>
      <c r="AD1561" s="924">
        <v>-1</v>
      </c>
      <c r="AE1561" s="924">
        <v>-1</v>
      </c>
      <c r="AF1561" s="924">
        <v>-1</v>
      </c>
      <c r="AG1561" s="924">
        <v>-1</v>
      </c>
      <c r="AH1561" s="924">
        <v>-1</v>
      </c>
      <c r="AI1561" s="924">
        <v>-1</v>
      </c>
      <c r="AJ1561" s="924">
        <v>-1</v>
      </c>
      <c r="AK1561" s="924">
        <v>-1</v>
      </c>
      <c r="AL1561" s="924">
        <v>0</v>
      </c>
      <c r="AM1561" s="924">
        <v>0</v>
      </c>
      <c r="AN1561" s="924">
        <v>0</v>
      </c>
      <c r="AO1561" s="924">
        <v>0</v>
      </c>
      <c r="AP1561" s="924">
        <v>-0.5</v>
      </c>
      <c r="AQ1561" s="924">
        <v>-0.5</v>
      </c>
      <c r="AR1561" s="924">
        <v>-0.5</v>
      </c>
      <c r="AS1561" s="924">
        <v>-0.5</v>
      </c>
      <c r="AT1561" s="924">
        <v>-0.5</v>
      </c>
      <c r="AU1561" s="924">
        <v>-0.5</v>
      </c>
      <c r="AV1561" s="924">
        <f ca="1">_xlfn.XLOOKUP(A1561,TabCalc[Ticker],TabCalc[Imp150])</f>
        <v>-0.5</v>
      </c>
      <c r="AX1561" s="88" t="str">
        <f t="shared" ca="1" si="119"/>
        <v>SAFAMZN</v>
      </c>
    </row>
    <row r="1562" spans="1:50" hidden="1" x14ac:dyDescent="0.3">
      <c r="A1562" s="88" t="str">
        <f t="shared" ca="1" si="120"/>
        <v>SAFASML</v>
      </c>
      <c r="F1562" s="924">
        <v>0.66666666666666674</v>
      </c>
      <c r="G1562" s="924">
        <v>0.66666666666666674</v>
      </c>
      <c r="H1562" s="924">
        <v>-1</v>
      </c>
      <c r="I1562" s="924">
        <v>-1</v>
      </c>
      <c r="J1562" s="924">
        <v>-1</v>
      </c>
      <c r="K1562" s="924">
        <v>-1</v>
      </c>
      <c r="L1562" s="924">
        <v>-1</v>
      </c>
      <c r="M1562" s="924">
        <v>-1</v>
      </c>
      <c r="N1562" s="924">
        <v>-1</v>
      </c>
      <c r="O1562" s="924">
        <v>-1</v>
      </c>
      <c r="P1562" s="924">
        <v>-1</v>
      </c>
      <c r="Q1562" s="924">
        <v>-1</v>
      </c>
      <c r="R1562" s="924">
        <v>-1</v>
      </c>
      <c r="S1562" s="924">
        <v>-1</v>
      </c>
      <c r="T1562" s="924">
        <v>-1</v>
      </c>
      <c r="U1562" s="924">
        <v>-1</v>
      </c>
      <c r="V1562" s="924">
        <v>-1</v>
      </c>
      <c r="W1562" s="924">
        <v>-1</v>
      </c>
      <c r="X1562" s="924">
        <v>-1</v>
      </c>
      <c r="Y1562" s="924">
        <v>-1</v>
      </c>
      <c r="Z1562" s="924">
        <f ca="1">_xlfn.XLOOKUP(A1458,TabCalc[Ticker],TabCalc[Imp20])</f>
        <v>-1</v>
      </c>
      <c r="AB1562" s="924">
        <v>0.13131313131313127</v>
      </c>
      <c r="AC1562" s="924">
        <v>0.13131313131313127</v>
      </c>
      <c r="AD1562" s="924">
        <v>-1</v>
      </c>
      <c r="AE1562" s="924">
        <v>-1</v>
      </c>
      <c r="AF1562" s="924">
        <v>-1</v>
      </c>
      <c r="AG1562" s="924">
        <v>-1</v>
      </c>
      <c r="AH1562" s="924">
        <v>-1</v>
      </c>
      <c r="AI1562" s="924">
        <v>-1</v>
      </c>
      <c r="AJ1562" s="924">
        <v>-1</v>
      </c>
      <c r="AK1562" s="924">
        <v>-1</v>
      </c>
      <c r="AL1562" s="924">
        <v>0.10327868852459009</v>
      </c>
      <c r="AM1562" s="924">
        <v>0.11475409836065564</v>
      </c>
      <c r="AN1562" s="924">
        <v>0.11475409836065564</v>
      </c>
      <c r="AO1562" s="924">
        <v>0.11475409836065564</v>
      </c>
      <c r="AP1562" s="924">
        <v>-0.33333333333333343</v>
      </c>
      <c r="AQ1562" s="924">
        <v>-0.33333333333333343</v>
      </c>
      <c r="AR1562" s="924">
        <v>-0.33333333333333343</v>
      </c>
      <c r="AS1562" s="924">
        <v>9.0909090909090828E-2</v>
      </c>
      <c r="AT1562" s="924">
        <v>0.125</v>
      </c>
      <c r="AU1562" s="924">
        <v>0.125</v>
      </c>
      <c r="AV1562" s="924">
        <f ca="1">_xlfn.XLOOKUP(A1562,TabCalc[Ticker],TabCalc[Imp150])</f>
        <v>0.125</v>
      </c>
      <c r="AX1562" s="88" t="str">
        <f t="shared" ca="1" si="119"/>
        <v>SAFASML</v>
      </c>
    </row>
    <row r="1563" spans="1:50" hidden="1" x14ac:dyDescent="0.3">
      <c r="A1563" s="88" t="str">
        <f t="shared" ca="1" si="120"/>
        <v>SAFDDD</v>
      </c>
      <c r="F1563" s="924">
        <v>5.8823529411764719E-2</v>
      </c>
      <c r="G1563" s="924">
        <v>5.8823529411764719E-2</v>
      </c>
      <c r="H1563" s="924">
        <v>0.5</v>
      </c>
      <c r="I1563" s="924">
        <v>0.5</v>
      </c>
      <c r="J1563" s="924">
        <v>-0.75</v>
      </c>
      <c r="K1563" s="924">
        <v>-1</v>
      </c>
      <c r="L1563" s="924">
        <v>-0.55555555555555558</v>
      </c>
      <c r="M1563" s="924">
        <v>-0.55555555555555558</v>
      </c>
      <c r="N1563" s="924">
        <v>-0.55555555555555558</v>
      </c>
      <c r="O1563" s="924">
        <v>-0.55555555555555558</v>
      </c>
      <c r="P1563" s="924">
        <v>-0.55555555555555558</v>
      </c>
      <c r="Q1563" s="924">
        <v>-0.55555555555555558</v>
      </c>
      <c r="R1563" s="924">
        <v>-0.55555555555555558</v>
      </c>
      <c r="S1563" s="924">
        <v>-0.55555555555555558</v>
      </c>
      <c r="T1563" s="924">
        <v>-1</v>
      </c>
      <c r="U1563" s="924">
        <v>-1</v>
      </c>
      <c r="V1563" s="924">
        <v>-1</v>
      </c>
      <c r="W1563" s="924">
        <v>-1</v>
      </c>
      <c r="X1563" s="924">
        <v>-1</v>
      </c>
      <c r="Y1563" s="924">
        <v>-1</v>
      </c>
      <c r="Z1563" s="924">
        <f ca="1">_xlfn.XLOOKUP(A1459,TabCalc[Ticker],TabCalc[Imp20])</f>
        <v>-1</v>
      </c>
      <c r="AB1563" s="924">
        <v>-2.6548672566371723E-2</v>
      </c>
      <c r="AC1563" s="924">
        <v>-2.6548672566371723E-2</v>
      </c>
      <c r="AD1563" s="924">
        <v>4.5045045045045029E-2</v>
      </c>
      <c r="AE1563" s="924">
        <v>4.5045045045045029E-2</v>
      </c>
      <c r="AF1563" s="924">
        <v>1.8181818181818077E-2</v>
      </c>
      <c r="AG1563" s="924">
        <v>-1</v>
      </c>
      <c r="AH1563" s="924">
        <v>2.7027027027026973E-2</v>
      </c>
      <c r="AI1563" s="924">
        <v>2.7027027027026973E-2</v>
      </c>
      <c r="AJ1563" s="924">
        <v>2.7027027027026973E-2</v>
      </c>
      <c r="AK1563" s="924">
        <v>2.7027027027026973E-2</v>
      </c>
      <c r="AL1563" s="924">
        <v>-0.9</v>
      </c>
      <c r="AM1563" s="924">
        <v>-1</v>
      </c>
      <c r="AN1563" s="924">
        <v>-1</v>
      </c>
      <c r="AO1563" s="924">
        <v>-1</v>
      </c>
      <c r="AP1563" s="924">
        <v>-4.7619047619047672E-2</v>
      </c>
      <c r="AQ1563" s="924">
        <v>-4.7619047619047672E-2</v>
      </c>
      <c r="AR1563" s="924">
        <v>-4.7619047619047672E-2</v>
      </c>
      <c r="AS1563" s="924">
        <v>-4.7619047619047672E-2</v>
      </c>
      <c r="AT1563" s="924">
        <v>-4.7619047619047672E-2</v>
      </c>
      <c r="AU1563" s="924">
        <v>-4.7619047619047672E-2</v>
      </c>
      <c r="AV1563" s="924">
        <f ca="1">_xlfn.XLOOKUP(A1563,TabCalc[Ticker],TabCalc[Imp150])</f>
        <v>-4.7619047619047672E-2</v>
      </c>
      <c r="AX1563" s="88" t="str">
        <f t="shared" ca="1" si="119"/>
        <v>SAFDDD</v>
      </c>
    </row>
    <row r="1564" spans="1:50" hidden="1" x14ac:dyDescent="0.3">
      <c r="A1564" s="88" t="str">
        <f t="shared" ca="1" si="120"/>
        <v>SAFDIS</v>
      </c>
      <c r="F1564" s="924">
        <v>0</v>
      </c>
      <c r="G1564" s="924">
        <v>0</v>
      </c>
      <c r="H1564" s="924">
        <v>-0.60000000000000009</v>
      </c>
      <c r="I1564" s="924">
        <v>-0.60000000000000009</v>
      </c>
      <c r="J1564" s="924">
        <v>-1</v>
      </c>
      <c r="K1564" s="924">
        <v>-1</v>
      </c>
      <c r="L1564" s="924">
        <v>-1</v>
      </c>
      <c r="M1564" s="924">
        <v>-1</v>
      </c>
      <c r="N1564" s="924">
        <v>-1</v>
      </c>
      <c r="O1564" s="924">
        <v>-1</v>
      </c>
      <c r="P1564" s="924">
        <v>-1</v>
      </c>
      <c r="Q1564" s="924">
        <v>-1</v>
      </c>
      <c r="R1564" s="924">
        <v>-1</v>
      </c>
      <c r="S1564" s="924">
        <v>-1</v>
      </c>
      <c r="T1564" s="924">
        <v>-1</v>
      </c>
      <c r="U1564" s="924">
        <v>-1</v>
      </c>
      <c r="V1564" s="924">
        <v>-1</v>
      </c>
      <c r="W1564" s="924">
        <v>-1</v>
      </c>
      <c r="X1564" s="924">
        <v>-1</v>
      </c>
      <c r="Y1564" s="924">
        <v>-1</v>
      </c>
      <c r="Z1564" s="924">
        <f ca="1">_xlfn.XLOOKUP(A1460,TabCalc[Ticker],TabCalc[Imp20])</f>
        <v>-1</v>
      </c>
      <c r="AB1564" s="924">
        <v>-0.1826086956521738</v>
      </c>
      <c r="AC1564" s="924">
        <v>-0.1826086956521738</v>
      </c>
      <c r="AD1564" s="924">
        <v>-0.16521739130434782</v>
      </c>
      <c r="AE1564" s="924">
        <v>-0.16521739130434782</v>
      </c>
      <c r="AF1564" s="924">
        <v>-1</v>
      </c>
      <c r="AG1564" s="924">
        <v>-1</v>
      </c>
      <c r="AH1564" s="924">
        <v>-1</v>
      </c>
      <c r="AI1564" s="924">
        <v>-1</v>
      </c>
      <c r="AJ1564" s="924">
        <v>-1</v>
      </c>
      <c r="AK1564" s="924">
        <v>-1</v>
      </c>
      <c r="AL1564" s="924">
        <v>-0.9</v>
      </c>
      <c r="AM1564" s="924">
        <v>-1</v>
      </c>
      <c r="AN1564" s="924">
        <v>-1</v>
      </c>
      <c r="AO1564" s="924">
        <v>-1</v>
      </c>
      <c r="AP1564" s="924">
        <v>0.60000000000000009</v>
      </c>
      <c r="AQ1564" s="924">
        <v>0.60000000000000009</v>
      </c>
      <c r="AR1564" s="924">
        <v>0.60000000000000009</v>
      </c>
      <c r="AS1564" s="924">
        <v>0.60000000000000009</v>
      </c>
      <c r="AT1564" s="924">
        <v>0.60000000000000009</v>
      </c>
      <c r="AU1564" s="924">
        <v>0.60000000000000009</v>
      </c>
      <c r="AV1564" s="924">
        <f ca="1">_xlfn.XLOOKUP(A1564,TabCalc[Ticker],TabCalc[Imp150])</f>
        <v>0.60000000000000009</v>
      </c>
      <c r="AX1564" s="88" t="str">
        <f t="shared" ca="1" si="119"/>
        <v>SAFDIS</v>
      </c>
    </row>
    <row r="1565" spans="1:50" hidden="1" x14ac:dyDescent="0.3">
      <c r="A1565" s="88" t="str">
        <f t="shared" ca="1" si="120"/>
        <v>SAFGM</v>
      </c>
      <c r="F1565" s="924">
        <v>0.14285714285714279</v>
      </c>
      <c r="G1565" s="924">
        <v>-1</v>
      </c>
      <c r="H1565" s="924">
        <v>1</v>
      </c>
      <c r="I1565" s="924">
        <v>1</v>
      </c>
      <c r="J1565" s="924">
        <v>-1</v>
      </c>
      <c r="K1565" s="924">
        <v>0.14285714285714279</v>
      </c>
      <c r="L1565" s="924">
        <v>-1</v>
      </c>
      <c r="M1565" s="924">
        <v>-1</v>
      </c>
      <c r="N1565" s="924">
        <v>-1</v>
      </c>
      <c r="O1565" s="924">
        <v>-1</v>
      </c>
      <c r="P1565" s="924">
        <v>-1</v>
      </c>
      <c r="Q1565" s="924">
        <v>-1</v>
      </c>
      <c r="R1565" s="924">
        <v>-1</v>
      </c>
      <c r="S1565" s="924">
        <v>-1</v>
      </c>
      <c r="T1565" s="924">
        <v>-1</v>
      </c>
      <c r="U1565" s="924">
        <v>-1</v>
      </c>
      <c r="V1565" s="924">
        <v>-1</v>
      </c>
      <c r="W1565" s="924">
        <v>-1</v>
      </c>
      <c r="X1565" s="924">
        <v>-1</v>
      </c>
      <c r="Y1565" s="924">
        <v>-1</v>
      </c>
      <c r="Z1565" s="924">
        <f ca="1">_xlfn.XLOOKUP(A1461,TabCalc[Ticker],TabCalc[Imp20])</f>
        <v>-1</v>
      </c>
      <c r="AB1565" s="924">
        <v>9.4339622641509413E-2</v>
      </c>
      <c r="AC1565" s="924">
        <v>0.10476190476190483</v>
      </c>
      <c r="AD1565" s="924">
        <v>0.12380952380952381</v>
      </c>
      <c r="AE1565" s="924">
        <v>0.12380952380952381</v>
      </c>
      <c r="AF1565" s="924">
        <v>-1</v>
      </c>
      <c r="AG1565" s="924">
        <v>0.14285714285714279</v>
      </c>
      <c r="AH1565" s="924">
        <v>0.14285714285714279</v>
      </c>
      <c r="AI1565" s="924">
        <v>0.14285714285714279</v>
      </c>
      <c r="AJ1565" s="924">
        <v>0.14285714285714279</v>
      </c>
      <c r="AK1565" s="924">
        <v>0.14285714285714279</v>
      </c>
      <c r="AL1565" s="924">
        <v>-9.4029850746268684E-2</v>
      </c>
      <c r="AM1565" s="924">
        <v>-0.10447761194029853</v>
      </c>
      <c r="AN1565" s="924">
        <v>-0.10447761194029853</v>
      </c>
      <c r="AO1565" s="924">
        <v>-0.10447761194029853</v>
      </c>
      <c r="AP1565" s="924">
        <v>-0.10447761194029853</v>
      </c>
      <c r="AQ1565" s="924">
        <v>-0.10447761194029853</v>
      </c>
      <c r="AR1565" s="924">
        <v>-0.10447761194029853</v>
      </c>
      <c r="AS1565" s="924">
        <v>-0.10447761194029853</v>
      </c>
      <c r="AT1565" s="924">
        <v>-0.10447761194029853</v>
      </c>
      <c r="AU1565" s="924">
        <v>-0.10447761194029853</v>
      </c>
      <c r="AV1565" s="924">
        <f ca="1">_xlfn.XLOOKUP(A1565,TabCalc[Ticker],TabCalc[Imp150])</f>
        <v>-0.10447761194029853</v>
      </c>
      <c r="AX1565" s="88" t="str">
        <f t="shared" ca="1" si="119"/>
        <v>SAFGM</v>
      </c>
    </row>
    <row r="1566" spans="1:50" hidden="1" x14ac:dyDescent="0.3">
      <c r="A1566" s="88" t="str">
        <f t="shared" ca="1" si="120"/>
        <v>SAFIAG</v>
      </c>
      <c r="F1566" s="924">
        <v>6.6666666666666652E-2</v>
      </c>
      <c r="G1566" s="924">
        <v>6.6666666666666652E-2</v>
      </c>
      <c r="H1566" s="924">
        <v>-1</v>
      </c>
      <c r="I1566" s="924">
        <v>-1</v>
      </c>
      <c r="J1566" s="924">
        <v>0.19999999999999996</v>
      </c>
      <c r="K1566" s="924">
        <v>-1</v>
      </c>
      <c r="L1566" s="924">
        <v>-1</v>
      </c>
      <c r="M1566" s="924">
        <v>-1</v>
      </c>
      <c r="N1566" s="924">
        <v>-1</v>
      </c>
      <c r="O1566" s="924">
        <v>-0.66666666666666674</v>
      </c>
      <c r="P1566" s="924">
        <v>-0.66666666666666674</v>
      </c>
      <c r="Q1566" s="924">
        <v>0</v>
      </c>
      <c r="R1566" s="924">
        <v>0</v>
      </c>
      <c r="S1566" s="924">
        <v>0</v>
      </c>
      <c r="T1566" s="924">
        <v>-1</v>
      </c>
      <c r="U1566" s="924">
        <v>-1</v>
      </c>
      <c r="V1566" s="924">
        <v>-1</v>
      </c>
      <c r="W1566" s="924">
        <v>-1</v>
      </c>
      <c r="X1566" s="924">
        <v>-1</v>
      </c>
      <c r="Y1566" s="924">
        <v>-1</v>
      </c>
      <c r="Z1566" s="924">
        <f ca="1">_xlfn.XLOOKUP(A1462,TabCalc[Ticker],TabCalc[Imp20])</f>
        <v>-1</v>
      </c>
      <c r="AB1566" s="924">
        <v>8.8495575221239076E-3</v>
      </c>
      <c r="AC1566" s="924">
        <v>8.8495575221239076E-3</v>
      </c>
      <c r="AD1566" s="924">
        <v>-1</v>
      </c>
      <c r="AE1566" s="924">
        <v>-1</v>
      </c>
      <c r="AF1566" s="924">
        <v>0</v>
      </c>
      <c r="AG1566" s="924">
        <v>-1</v>
      </c>
      <c r="AH1566" s="924">
        <v>1.7857142857142794E-2</v>
      </c>
      <c r="AI1566" s="924">
        <v>1.7857142857142794E-2</v>
      </c>
      <c r="AJ1566" s="924">
        <v>1.7857142857142794E-2</v>
      </c>
      <c r="AK1566" s="924">
        <v>1.7857142857142794E-2</v>
      </c>
      <c r="AL1566" s="924">
        <v>5.0943396226415083E-2</v>
      </c>
      <c r="AM1566" s="924">
        <v>5.6603773584905648E-2</v>
      </c>
      <c r="AN1566" s="924">
        <v>5.6603773584905648E-2</v>
      </c>
      <c r="AO1566" s="924">
        <v>5.6603773584905648E-2</v>
      </c>
      <c r="AP1566" s="924">
        <v>5.6603773584905648E-2</v>
      </c>
      <c r="AQ1566" s="924">
        <v>5.6603773584905648E-2</v>
      </c>
      <c r="AR1566" s="924">
        <v>5.6603773584905648E-2</v>
      </c>
      <c r="AS1566" s="924">
        <v>5.6603773584905648E-2</v>
      </c>
      <c r="AT1566" s="924">
        <v>5.6603773584905648E-2</v>
      </c>
      <c r="AU1566" s="924">
        <v>5.6603773584905648E-2</v>
      </c>
      <c r="AV1566" s="924">
        <f ca="1">_xlfn.XLOOKUP(A1566,TabCalc[Ticker],TabCalc[Imp150])</f>
        <v>5.6603773584905648E-2</v>
      </c>
      <c r="AX1566" s="88" t="str">
        <f t="shared" ca="1" si="119"/>
        <v>SAFIAG</v>
      </c>
    </row>
    <row r="1567" spans="1:50" hidden="1" x14ac:dyDescent="0.3">
      <c r="A1567" s="88" t="str">
        <f t="shared" ca="1" si="120"/>
        <v>SAFMRNA</v>
      </c>
      <c r="F1567" s="924">
        <v>0.5714285714285714</v>
      </c>
      <c r="G1567" s="924">
        <v>0.5714285714285714</v>
      </c>
      <c r="H1567" s="924">
        <v>0.60000000000000009</v>
      </c>
      <c r="I1567" s="924">
        <v>0.60000000000000009</v>
      </c>
      <c r="J1567" s="924">
        <v>-1</v>
      </c>
      <c r="K1567" s="924">
        <v>0.60000000000000009</v>
      </c>
      <c r="L1567" s="924">
        <v>-1</v>
      </c>
      <c r="M1567" s="924">
        <v>-1</v>
      </c>
      <c r="N1567" s="924">
        <v>-1</v>
      </c>
      <c r="O1567" s="924">
        <v>-1</v>
      </c>
      <c r="P1567" s="924">
        <v>-0.5</v>
      </c>
      <c r="Q1567" s="924">
        <v>-0.5</v>
      </c>
      <c r="R1567" s="924">
        <v>-0.5</v>
      </c>
      <c r="S1567" s="924">
        <v>-0.5</v>
      </c>
      <c r="T1567" s="924">
        <v>-1</v>
      </c>
      <c r="U1567" s="924">
        <v>-1</v>
      </c>
      <c r="V1567" s="924">
        <v>-1</v>
      </c>
      <c r="W1567" s="924">
        <v>-1</v>
      </c>
      <c r="X1567" s="924">
        <v>-1</v>
      </c>
      <c r="Y1567" s="924">
        <v>-1</v>
      </c>
      <c r="Z1567" s="924">
        <f ca="1">_xlfn.XLOOKUP(A1463,TabCalc[Ticker],TabCalc[Imp20])</f>
        <v>-1</v>
      </c>
      <c r="AB1567" s="924">
        <v>0.10569105691056913</v>
      </c>
      <c r="AC1567" s="924">
        <v>0.10569105691056913</v>
      </c>
      <c r="AD1567" s="924">
        <v>0.13114754098360648</v>
      </c>
      <c r="AE1567" s="924">
        <v>0.13114754098360648</v>
      </c>
      <c r="AF1567" s="924">
        <v>-1</v>
      </c>
      <c r="AG1567" s="924">
        <v>0.12396694214876036</v>
      </c>
      <c r="AH1567" s="924">
        <v>-1</v>
      </c>
      <c r="AI1567" s="924">
        <v>-1</v>
      </c>
      <c r="AJ1567" s="924">
        <v>-1</v>
      </c>
      <c r="AK1567" s="924">
        <v>-1</v>
      </c>
      <c r="AL1567" s="924">
        <v>-8.4172661870503526E-2</v>
      </c>
      <c r="AM1567" s="924">
        <v>-9.3525179856115026E-2</v>
      </c>
      <c r="AN1567" s="924">
        <v>-9.3525179856115026E-2</v>
      </c>
      <c r="AO1567" s="924">
        <v>-9.3525179856115026E-2</v>
      </c>
      <c r="AP1567" s="924">
        <v>0.15789473684210531</v>
      </c>
      <c r="AQ1567" s="924">
        <v>0.15789473684210531</v>
      </c>
      <c r="AR1567" s="924">
        <v>0.15789473684210531</v>
      </c>
      <c r="AS1567" s="924">
        <v>0.15789473684210531</v>
      </c>
      <c r="AT1567" s="924">
        <v>0.15789473684210531</v>
      </c>
      <c r="AU1567" s="924">
        <v>0.15789473684210531</v>
      </c>
      <c r="AV1567" s="924">
        <f ca="1">_xlfn.XLOOKUP(A1567,TabCalc[Ticker],TabCalc[Imp150])</f>
        <v>0.15789473684210531</v>
      </c>
      <c r="AX1567" s="88" t="str">
        <f t="shared" ca="1" si="119"/>
        <v>SAFMRNA</v>
      </c>
    </row>
    <row r="1568" spans="1:50" hidden="1" x14ac:dyDescent="0.3">
      <c r="A1568" s="88" t="str">
        <f t="shared" ca="1" si="120"/>
        <v>BLNK</v>
      </c>
      <c r="F1568" s="924">
        <v>-1</v>
      </c>
      <c r="G1568" s="924">
        <v>-1</v>
      </c>
      <c r="H1568" s="924">
        <v>-1</v>
      </c>
      <c r="I1568" s="924">
        <v>-1</v>
      </c>
      <c r="J1568" s="924">
        <v>0</v>
      </c>
      <c r="K1568" s="924">
        <v>0</v>
      </c>
      <c r="L1568" s="924">
        <v>-1</v>
      </c>
      <c r="M1568" s="924">
        <v>-1</v>
      </c>
      <c r="N1568" s="924">
        <v>-1</v>
      </c>
      <c r="O1568" s="924">
        <v>-1</v>
      </c>
      <c r="P1568" s="924">
        <v>-1</v>
      </c>
      <c r="Q1568" s="924">
        <v>-1</v>
      </c>
      <c r="R1568" s="924">
        <v>-1</v>
      </c>
      <c r="S1568" s="924">
        <v>-1</v>
      </c>
      <c r="T1568" s="924">
        <v>-1</v>
      </c>
      <c r="U1568" s="924">
        <v>-1</v>
      </c>
      <c r="V1568" s="924">
        <v>-1</v>
      </c>
      <c r="W1568" s="924">
        <v>-1</v>
      </c>
      <c r="X1568" s="924">
        <v>-1</v>
      </c>
      <c r="Y1568" s="924">
        <v>-1</v>
      </c>
      <c r="Z1568" s="924">
        <f ca="1">_xlfn.XLOOKUP(A1464,TabCalc[Ticker],TabCalc[Imp20])</f>
        <v>-1</v>
      </c>
      <c r="AB1568" s="924">
        <v>-1</v>
      </c>
      <c r="AC1568" s="924">
        <v>-1</v>
      </c>
      <c r="AD1568" s="924">
        <v>-1</v>
      </c>
      <c r="AE1568" s="924">
        <v>-1</v>
      </c>
      <c r="AF1568" s="924">
        <v>-3.7037037037037146E-2</v>
      </c>
      <c r="AG1568" s="924">
        <v>-3.7037037037037146E-2</v>
      </c>
      <c r="AH1568" s="924">
        <v>-1</v>
      </c>
      <c r="AI1568" s="924">
        <v>-1</v>
      </c>
      <c r="AJ1568" s="924">
        <v>-1</v>
      </c>
      <c r="AK1568" s="924">
        <v>-1</v>
      </c>
      <c r="AL1568" s="924">
        <v>-2.5352112676056304E-2</v>
      </c>
      <c r="AM1568" s="924">
        <v>-2.8169014084507005E-2</v>
      </c>
      <c r="AN1568" s="924">
        <v>-2.8169014084507005E-2</v>
      </c>
      <c r="AO1568" s="924">
        <v>-2.8169014084507005E-2</v>
      </c>
      <c r="AP1568" s="924">
        <v>-0.41666666666666657</v>
      </c>
      <c r="AQ1568" s="924">
        <v>-0.41666666666666657</v>
      </c>
      <c r="AR1568" s="924">
        <v>-0.41666666666666657</v>
      </c>
      <c r="AS1568" s="924">
        <v>-0.41666666666666657</v>
      </c>
      <c r="AT1568" s="924">
        <v>-0.41666666666666657</v>
      </c>
      <c r="AU1568" s="924">
        <v>-0.41666666666666657</v>
      </c>
      <c r="AV1568" s="924">
        <f ca="1">_xlfn.XLOOKUP(A1568,TabCalc[Ticker],TabCalc[Imp150])</f>
        <v>-0.41666666666666657</v>
      </c>
      <c r="AX1568" s="88" t="str">
        <f t="shared" ca="1" si="119"/>
        <v>BLNK</v>
      </c>
    </row>
    <row r="1569" spans="1:50" hidden="1" x14ac:dyDescent="0.3">
      <c r="A1569" s="88" t="str">
        <f t="shared" ca="1" si="120"/>
        <v>ENI</v>
      </c>
      <c r="F1569" s="924">
        <v>-1</v>
      </c>
      <c r="G1569" s="924">
        <v>-1</v>
      </c>
      <c r="H1569" s="924">
        <v>-1</v>
      </c>
      <c r="I1569" s="924">
        <v>-1</v>
      </c>
      <c r="J1569" s="924">
        <v>-1</v>
      </c>
      <c r="K1569" s="924">
        <v>-1</v>
      </c>
      <c r="L1569" s="924">
        <v>-1</v>
      </c>
      <c r="M1569" s="924">
        <v>-1</v>
      </c>
      <c r="N1569" s="924">
        <v>-1</v>
      </c>
      <c r="O1569" s="924">
        <v>-1</v>
      </c>
      <c r="P1569" s="924">
        <v>-1</v>
      </c>
      <c r="Q1569" s="924">
        <v>-1</v>
      </c>
      <c r="R1569" s="924">
        <v>-1</v>
      </c>
      <c r="S1569" s="924">
        <v>-1</v>
      </c>
      <c r="T1569" s="924">
        <v>-1</v>
      </c>
      <c r="U1569" s="924">
        <v>-1</v>
      </c>
      <c r="V1569" s="924">
        <v>-1</v>
      </c>
      <c r="W1569" s="924">
        <v>-1</v>
      </c>
      <c r="X1569" s="924">
        <v>-1</v>
      </c>
      <c r="Y1569" s="924">
        <v>-1</v>
      </c>
      <c r="Z1569" s="924">
        <f ca="1">_xlfn.XLOOKUP(A1465,TabCalc[Ticker],TabCalc[Imp20])</f>
        <v>-1</v>
      </c>
      <c r="AB1569" s="924">
        <v>-1</v>
      </c>
      <c r="AC1569" s="924">
        <v>-1</v>
      </c>
      <c r="AD1569" s="924">
        <v>-1</v>
      </c>
      <c r="AE1569" s="924">
        <v>-1</v>
      </c>
      <c r="AF1569" s="924">
        <v>-1</v>
      </c>
      <c r="AG1569" s="924">
        <v>-1</v>
      </c>
      <c r="AH1569" s="924">
        <v>-1</v>
      </c>
      <c r="AI1569" s="924">
        <v>-1</v>
      </c>
      <c r="AJ1569" s="924">
        <v>-1</v>
      </c>
      <c r="AK1569" s="924">
        <v>-1</v>
      </c>
      <c r="AL1569" s="924">
        <v>0.20454545454545456</v>
      </c>
      <c r="AM1569" s="924">
        <v>0.22727272727272729</v>
      </c>
      <c r="AN1569" s="924">
        <v>0.22727272727272729</v>
      </c>
      <c r="AO1569" s="924">
        <v>-0.48148148148148145</v>
      </c>
      <c r="AP1569" s="924">
        <v>-0.5</v>
      </c>
      <c r="AQ1569" s="924">
        <v>-0.5</v>
      </c>
      <c r="AR1569" s="924">
        <v>-0.5</v>
      </c>
      <c r="AS1569" s="924">
        <v>-0.54838709677419351</v>
      </c>
      <c r="AT1569" s="924">
        <v>-0.54838709677419351</v>
      </c>
      <c r="AU1569" s="924">
        <v>0</v>
      </c>
      <c r="AV1569" s="924">
        <f ca="1">_xlfn.XLOOKUP(A1569,TabCalc[Ticker],TabCalc[Imp150])</f>
        <v>0</v>
      </c>
      <c r="AX1569" s="88" t="str">
        <f t="shared" ca="1" si="119"/>
        <v>ENI</v>
      </c>
    </row>
    <row r="1570" spans="1:50" hidden="1" x14ac:dyDescent="0.3">
      <c r="A1570" s="88" t="str">
        <f t="shared" ca="1" si="120"/>
        <v>EZJ</v>
      </c>
      <c r="F1570" s="924">
        <v>0.11111111111111116</v>
      </c>
      <c r="G1570" s="924">
        <v>0.11111111111111116</v>
      </c>
      <c r="H1570" s="924">
        <v>0.11111111111111116</v>
      </c>
      <c r="I1570" s="924">
        <v>0.11111111111111116</v>
      </c>
      <c r="J1570" s="924">
        <v>0.11111111111111116</v>
      </c>
      <c r="K1570" s="924">
        <v>0.11111111111111116</v>
      </c>
      <c r="L1570" s="924">
        <v>0.11111111111111116</v>
      </c>
      <c r="M1570" s="924">
        <v>0.11111111111111116</v>
      </c>
      <c r="N1570" s="924">
        <v>0.11111111111111116</v>
      </c>
      <c r="O1570" s="924">
        <v>0.11111111111111116</v>
      </c>
      <c r="P1570" s="924">
        <v>0.11111111111111116</v>
      </c>
      <c r="Q1570" s="924">
        <v>0.11111111111111116</v>
      </c>
      <c r="R1570" s="924">
        <v>0.11111111111111116</v>
      </c>
      <c r="S1570" s="924">
        <v>0.11111111111111116</v>
      </c>
      <c r="T1570" s="924">
        <v>0.11111111111111116</v>
      </c>
      <c r="U1570" s="924">
        <v>0.11111111111111116</v>
      </c>
      <c r="V1570" s="924">
        <v>0.11111111111111116</v>
      </c>
      <c r="W1570" s="924">
        <v>0.11111111111111116</v>
      </c>
      <c r="X1570" s="924">
        <v>0.11111111111111116</v>
      </c>
      <c r="Y1570" s="924">
        <v>0.11111111111111116</v>
      </c>
      <c r="Z1570" s="924">
        <f ca="1">_xlfn.XLOOKUP(A1466,TabCalc[Ticker],TabCalc[Imp20])</f>
        <v>0.11111111111111116</v>
      </c>
      <c r="AB1570" s="924">
        <v>-0.10447761194029853</v>
      </c>
      <c r="AC1570" s="924">
        <v>-0.10447761194029853</v>
      </c>
      <c r="AD1570" s="924">
        <v>-0.10447761194029853</v>
      </c>
      <c r="AE1570" s="924">
        <v>-0.10447761194029853</v>
      </c>
      <c r="AF1570" s="924">
        <v>-0.10447761194029853</v>
      </c>
      <c r="AG1570" s="924">
        <v>-0.10447761194029853</v>
      </c>
      <c r="AH1570" s="924">
        <v>-0.10447761194029853</v>
      </c>
      <c r="AI1570" s="924">
        <v>-0.10447761194029853</v>
      </c>
      <c r="AJ1570" s="924">
        <v>-0.10447761194029853</v>
      </c>
      <c r="AK1570" s="924">
        <v>-0.10447761194029853</v>
      </c>
      <c r="AL1570" s="924">
        <v>5.6756756756756781E-2</v>
      </c>
      <c r="AM1570" s="924">
        <v>6.3063063063063085E-2</v>
      </c>
      <c r="AN1570" s="924">
        <v>6.3063063063063085E-2</v>
      </c>
      <c r="AO1570" s="924">
        <v>-0.55555555555555558</v>
      </c>
      <c r="AP1570" s="924">
        <v>-0.55555555555555558</v>
      </c>
      <c r="AQ1570" s="924">
        <v>-0.55555555555555558</v>
      </c>
      <c r="AR1570" s="924">
        <v>-0.55555555555555558</v>
      </c>
      <c r="AS1570" s="924">
        <v>-0.81818181818181812</v>
      </c>
      <c r="AT1570" s="924">
        <v>-0.81818181818181812</v>
      </c>
      <c r="AU1570" s="924">
        <v>-0.81818181818181812</v>
      </c>
      <c r="AV1570" s="924">
        <f ca="1">_xlfn.XLOOKUP(A1570,TabCalc[Ticker],TabCalc[Imp150])</f>
        <v>-0.81818181818181812</v>
      </c>
      <c r="AX1570" s="88" t="str">
        <f t="shared" ca="1" si="119"/>
        <v>EZJ</v>
      </c>
    </row>
    <row r="1571" spans="1:50" hidden="1" x14ac:dyDescent="0.3">
      <c r="A1571" s="88" t="str">
        <f t="shared" ca="1" si="120"/>
        <v>F</v>
      </c>
      <c r="F1571" s="924">
        <v>-0.14285714285714285</v>
      </c>
      <c r="G1571" s="924">
        <v>-0.14285714285714285</v>
      </c>
      <c r="H1571" s="924">
        <v>-0.14285714285714285</v>
      </c>
      <c r="I1571" s="924">
        <v>-0.14285714285714285</v>
      </c>
      <c r="J1571" s="924">
        <v>-0.14285714285714285</v>
      </c>
      <c r="K1571" s="924">
        <v>-0.14285714285714285</v>
      </c>
      <c r="L1571" s="924">
        <v>-0.14285714285714285</v>
      </c>
      <c r="M1571" s="924">
        <v>-0.14285714285714285</v>
      </c>
      <c r="N1571" s="924">
        <v>-0.14285714285714285</v>
      </c>
      <c r="O1571" s="924">
        <v>-0.14285714285714285</v>
      </c>
      <c r="P1571" s="924">
        <v>-0.14285714285714285</v>
      </c>
      <c r="Q1571" s="924">
        <v>-0.14285714285714285</v>
      </c>
      <c r="R1571" s="924">
        <v>-0.14285714285714285</v>
      </c>
      <c r="S1571" s="924">
        <v>-0.14285714285714285</v>
      </c>
      <c r="T1571" s="924">
        <v>-0.14285714285714285</v>
      </c>
      <c r="U1571" s="924">
        <v>-0.14285714285714285</v>
      </c>
      <c r="V1571" s="924">
        <v>-0.14285714285714285</v>
      </c>
      <c r="W1571" s="924">
        <v>-0.14285714285714285</v>
      </c>
      <c r="X1571" s="924">
        <v>-0.14285714285714285</v>
      </c>
      <c r="Y1571" s="924">
        <v>-0.14285714285714285</v>
      </c>
      <c r="Z1571" s="924">
        <f ca="1">_xlfn.XLOOKUP(A1467,TabCalc[Ticker],TabCalc[Imp20])</f>
        <v>-0.14285714285714285</v>
      </c>
      <c r="AB1571" s="924">
        <v>5.6603773584905648E-2</v>
      </c>
      <c r="AC1571" s="924">
        <v>5.6603773584905648E-2</v>
      </c>
      <c r="AD1571" s="924">
        <v>5.6603773584905648E-2</v>
      </c>
      <c r="AE1571" s="924">
        <v>5.6603773584905648E-2</v>
      </c>
      <c r="AF1571" s="924">
        <v>5.6603773584905648E-2</v>
      </c>
      <c r="AG1571" s="924">
        <v>5.6603773584905648E-2</v>
      </c>
      <c r="AH1571" s="924">
        <v>5.6603773584905648E-2</v>
      </c>
      <c r="AI1571" s="924">
        <v>5.6603773584905648E-2</v>
      </c>
      <c r="AJ1571" s="924">
        <v>5.6603773584905648E-2</v>
      </c>
      <c r="AK1571" s="924">
        <v>5.6603773584905648E-2</v>
      </c>
      <c r="AL1571" s="924">
        <v>0.11739130434782601</v>
      </c>
      <c r="AM1571" s="924">
        <v>0.13043478260869557</v>
      </c>
      <c r="AN1571" s="924">
        <v>0.13043478260869557</v>
      </c>
      <c r="AO1571" s="924">
        <v>0.13043478260869557</v>
      </c>
      <c r="AP1571" s="924">
        <v>0.13043478260869557</v>
      </c>
      <c r="AQ1571" s="924">
        <v>0.13043478260869557</v>
      </c>
      <c r="AR1571" s="924">
        <v>0.13043478260869557</v>
      </c>
      <c r="AS1571" s="924">
        <v>0.13043478260869557</v>
      </c>
      <c r="AT1571" s="924">
        <v>0.13043478260869557</v>
      </c>
      <c r="AU1571" s="924">
        <v>0.13043478260869557</v>
      </c>
      <c r="AV1571" s="924">
        <f ca="1">_xlfn.XLOOKUP(A1571,TabCalc[Ticker],TabCalc[Imp150])</f>
        <v>0.13043478260869557</v>
      </c>
      <c r="AX1571" s="88" t="str">
        <f t="shared" ca="1" si="119"/>
        <v>F</v>
      </c>
    </row>
    <row r="1572" spans="1:50" hidden="1" x14ac:dyDescent="0.3">
      <c r="A1572" s="88" t="str">
        <f t="shared" ca="1" si="120"/>
        <v>GLE</v>
      </c>
      <c r="F1572" s="924">
        <v>-1</v>
      </c>
      <c r="G1572" s="924">
        <v>-1</v>
      </c>
      <c r="H1572" s="924">
        <v>1</v>
      </c>
      <c r="I1572" s="924">
        <v>1</v>
      </c>
      <c r="J1572" s="924">
        <v>-1</v>
      </c>
      <c r="K1572" s="924">
        <v>-1</v>
      </c>
      <c r="L1572" s="924">
        <v>-0.14285714285714285</v>
      </c>
      <c r="M1572" s="924">
        <v>-0.14285714285714285</v>
      </c>
      <c r="N1572" s="924">
        <v>-0.14285714285714285</v>
      </c>
      <c r="O1572" s="924">
        <v>-0.14285714285714285</v>
      </c>
      <c r="P1572" s="924">
        <v>-0.14285714285714285</v>
      </c>
      <c r="Q1572" s="924">
        <v>-0.14285714285714285</v>
      </c>
      <c r="R1572" s="924">
        <v>-0.14285714285714285</v>
      </c>
      <c r="S1572" s="924">
        <v>-0.14285714285714285</v>
      </c>
      <c r="T1572" s="924">
        <v>-1</v>
      </c>
      <c r="U1572" s="924">
        <v>-1</v>
      </c>
      <c r="V1572" s="924">
        <v>-1</v>
      </c>
      <c r="W1572" s="924">
        <v>-1</v>
      </c>
      <c r="X1572" s="924">
        <v>-1</v>
      </c>
      <c r="Y1572" s="924">
        <v>-1</v>
      </c>
      <c r="Z1572" s="924">
        <f ca="1">_xlfn.XLOOKUP(A1468,TabCalc[Ticker],TabCalc[Imp20])</f>
        <v>-1</v>
      </c>
      <c r="AB1572" s="924">
        <v>-1</v>
      </c>
      <c r="AC1572" s="924">
        <v>-1</v>
      </c>
      <c r="AD1572" s="924">
        <v>-8.6956521739130432E-2</v>
      </c>
      <c r="AE1572" s="924">
        <v>-8.6956521739130432E-2</v>
      </c>
      <c r="AF1572" s="924">
        <v>-1</v>
      </c>
      <c r="AG1572" s="924">
        <v>-1</v>
      </c>
      <c r="AH1572" s="924">
        <v>-9.3525179856115026E-2</v>
      </c>
      <c r="AI1572" s="924">
        <v>-9.3525179856115026E-2</v>
      </c>
      <c r="AJ1572" s="924">
        <v>-9.3525179856115026E-2</v>
      </c>
      <c r="AK1572" s="924">
        <v>-9.3525179856115026E-2</v>
      </c>
      <c r="AL1572" s="924">
        <v>-5.9602649006622824E-3</v>
      </c>
      <c r="AM1572" s="924">
        <v>-6.6225165562914245E-3</v>
      </c>
      <c r="AN1572" s="924">
        <v>-6.6225165562914245E-3</v>
      </c>
      <c r="AO1572" s="924">
        <v>-6.6225165562914245E-3</v>
      </c>
      <c r="AP1572" s="924">
        <v>-6.6225165562914245E-3</v>
      </c>
      <c r="AQ1572" s="924">
        <v>-6.6225165562914245E-3</v>
      </c>
      <c r="AR1572" s="924">
        <v>-6.6225165562914245E-3</v>
      </c>
      <c r="AS1572" s="924">
        <v>-6.6225165562914245E-3</v>
      </c>
      <c r="AT1572" s="924">
        <v>-6.6225165562914245E-3</v>
      </c>
      <c r="AU1572" s="924">
        <v>-6.6225165562914245E-3</v>
      </c>
      <c r="AV1572" s="924">
        <f ca="1">_xlfn.XLOOKUP(A1572,TabCalc[Ticker],TabCalc[Imp150])</f>
        <v>-6.6225165562914245E-3</v>
      </c>
      <c r="AX1572" s="88" t="str">
        <f t="shared" ca="1" si="119"/>
        <v>GLE</v>
      </c>
    </row>
    <row r="1573" spans="1:50" hidden="1" x14ac:dyDescent="0.3">
      <c r="A1573" s="88" t="str">
        <f t="shared" ca="1" si="120"/>
        <v>GNRC</v>
      </c>
      <c r="F1573" s="924">
        <v>0</v>
      </c>
      <c r="G1573" s="924">
        <v>0.29411764705882359</v>
      </c>
      <c r="H1573" s="924">
        <v>-1</v>
      </c>
      <c r="I1573" s="924">
        <v>-1</v>
      </c>
      <c r="J1573" s="924">
        <v>5.8823529411764719E-2</v>
      </c>
      <c r="K1573" s="924">
        <v>5.8823529411764719E-2</v>
      </c>
      <c r="L1573" s="924">
        <v>0</v>
      </c>
      <c r="M1573" s="924">
        <v>0</v>
      </c>
      <c r="N1573" s="924">
        <v>0</v>
      </c>
      <c r="O1573" s="924">
        <v>0</v>
      </c>
      <c r="P1573" s="924">
        <v>0</v>
      </c>
      <c r="Q1573" s="924">
        <v>0</v>
      </c>
      <c r="R1573" s="924">
        <v>0</v>
      </c>
      <c r="S1573" s="924">
        <v>0</v>
      </c>
      <c r="T1573" s="924">
        <v>-1</v>
      </c>
      <c r="U1573" s="924">
        <v>-1</v>
      </c>
      <c r="V1573" s="924">
        <v>-1</v>
      </c>
      <c r="W1573" s="924">
        <v>-1</v>
      </c>
      <c r="X1573" s="924">
        <v>-1</v>
      </c>
      <c r="Y1573" s="924">
        <v>-1</v>
      </c>
      <c r="Z1573" s="924">
        <f ca="1">_xlfn.XLOOKUP(A1469,TabCalc[Ticker],TabCalc[Imp20])</f>
        <v>-1</v>
      </c>
      <c r="AB1573" s="924">
        <v>-1.4084507042253502E-2</v>
      </c>
      <c r="AC1573" s="924">
        <v>0</v>
      </c>
      <c r="AD1573" s="924">
        <v>-1</v>
      </c>
      <c r="AE1573" s="924">
        <v>-1</v>
      </c>
      <c r="AF1573" s="924">
        <v>-1.4084507042253502E-2</v>
      </c>
      <c r="AG1573" s="924">
        <v>-1.4084507042253502E-2</v>
      </c>
      <c r="AH1573" s="924">
        <v>-2.8169014084507005E-2</v>
      </c>
      <c r="AI1573" s="924">
        <v>-2.8169014084507005E-2</v>
      </c>
      <c r="AJ1573" s="924">
        <v>-2.8169014084507005E-2</v>
      </c>
      <c r="AK1573" s="924">
        <v>-2.8169014084507005E-2</v>
      </c>
      <c r="AL1573" s="924">
        <v>0.29999999999999993</v>
      </c>
      <c r="AM1573" s="924">
        <v>0.33333333333333326</v>
      </c>
      <c r="AN1573" s="924">
        <v>0.33333333333333326</v>
      </c>
      <c r="AO1573" s="924">
        <v>0.33333333333333326</v>
      </c>
      <c r="AP1573" s="924">
        <v>-0.16666666666666657</v>
      </c>
      <c r="AQ1573" s="924">
        <v>-0.16666666666666657</v>
      </c>
      <c r="AR1573" s="924">
        <v>-0.16666666666666657</v>
      </c>
      <c r="AS1573" s="924">
        <v>-0.16666666666666657</v>
      </c>
      <c r="AT1573" s="924">
        <v>-0.16666666666666657</v>
      </c>
      <c r="AU1573" s="924">
        <v>-0.16666666666666657</v>
      </c>
      <c r="AV1573" s="924">
        <f ca="1">_xlfn.XLOOKUP(A1573,TabCalc[Ticker],TabCalc[Imp150])</f>
        <v>-0.16666666666666657</v>
      </c>
      <c r="AX1573" s="88" t="str">
        <f t="shared" ca="1" si="119"/>
        <v>GNRC</v>
      </c>
    </row>
    <row r="1574" spans="1:50" hidden="1" x14ac:dyDescent="0.3">
      <c r="A1574" s="88" t="str">
        <f t="shared" ca="1" si="120"/>
        <v>GS</v>
      </c>
      <c r="F1574" s="924">
        <v>0.14285714285714279</v>
      </c>
      <c r="G1574" s="924">
        <v>0.14285714285714279</v>
      </c>
      <c r="H1574" s="924">
        <v>-1</v>
      </c>
      <c r="I1574" s="924">
        <v>-1</v>
      </c>
      <c r="J1574" s="924">
        <v>-1</v>
      </c>
      <c r="K1574" s="924">
        <v>-1</v>
      </c>
      <c r="L1574" s="924">
        <v>-1</v>
      </c>
      <c r="M1574" s="924">
        <v>-1</v>
      </c>
      <c r="N1574" s="924">
        <v>-0.14285714285714285</v>
      </c>
      <c r="O1574" s="924">
        <v>-0.75</v>
      </c>
      <c r="P1574" s="924">
        <v>0</v>
      </c>
      <c r="Q1574" s="924">
        <v>0</v>
      </c>
      <c r="R1574" s="924">
        <v>0</v>
      </c>
      <c r="S1574" s="924">
        <v>-1</v>
      </c>
      <c r="T1574" s="924">
        <v>-1</v>
      </c>
      <c r="U1574" s="924">
        <v>-1</v>
      </c>
      <c r="V1574" s="924">
        <v>-1</v>
      </c>
      <c r="W1574" s="924">
        <v>-1</v>
      </c>
      <c r="X1574" s="924">
        <v>-1</v>
      </c>
      <c r="Y1574" s="924">
        <v>-1</v>
      </c>
      <c r="Z1574" s="924">
        <f ca="1">_xlfn.XLOOKUP(A1470,TabCalc[Ticker],TabCalc[Imp20])</f>
        <v>-1</v>
      </c>
      <c r="AB1574" s="924">
        <v>0.26666666666666661</v>
      </c>
      <c r="AC1574" s="924">
        <v>0.26666666666666661</v>
      </c>
      <c r="AD1574" s="924">
        <v>-1</v>
      </c>
      <c r="AE1574" s="924">
        <v>-1</v>
      </c>
      <c r="AF1574" s="924">
        <v>-1</v>
      </c>
      <c r="AG1574" s="924">
        <v>-1</v>
      </c>
      <c r="AH1574" s="924">
        <v>0.21839080459770122</v>
      </c>
      <c r="AI1574" s="924">
        <v>0.21839080459770122</v>
      </c>
      <c r="AJ1574" s="924">
        <v>0.21839080459770122</v>
      </c>
      <c r="AK1574" s="924">
        <v>0.21839080459770122</v>
      </c>
      <c r="AL1574" s="924">
        <v>0.1728476821192054</v>
      </c>
      <c r="AM1574" s="924">
        <v>0.19205298013245042</v>
      </c>
      <c r="AN1574" s="924">
        <v>0.19205298013245042</v>
      </c>
      <c r="AO1574" s="924">
        <v>0.19205298013245042</v>
      </c>
      <c r="AP1574" s="924">
        <v>0.19205298013245042</v>
      </c>
      <c r="AQ1574" s="924">
        <v>0.19205298013245042</v>
      </c>
      <c r="AR1574" s="924">
        <v>0.19205298013245042</v>
      </c>
      <c r="AS1574" s="924">
        <v>0.19205298013245042</v>
      </c>
      <c r="AT1574" s="924">
        <v>0.19205298013245042</v>
      </c>
      <c r="AU1574" s="924">
        <v>0.19205298013245042</v>
      </c>
      <c r="AV1574" s="924">
        <f ca="1">_xlfn.XLOOKUP(A1574,TabCalc[Ticker],TabCalc[Imp150])</f>
        <v>0.19205298013245042</v>
      </c>
      <c r="AX1574" s="88" t="str">
        <f t="shared" ca="1" si="119"/>
        <v>GS</v>
      </c>
    </row>
    <row r="1575" spans="1:50" hidden="1" x14ac:dyDescent="0.3">
      <c r="A1575" s="88" t="str">
        <f t="shared" ca="1" si="120"/>
        <v>LAZR</v>
      </c>
      <c r="F1575" s="924">
        <v>0.11111111111111116</v>
      </c>
      <c r="G1575" s="924">
        <v>-0.33333333333333343</v>
      </c>
      <c r="H1575" s="924">
        <v>0.33333333333333326</v>
      </c>
      <c r="I1575" s="924">
        <v>0.33333333333333326</v>
      </c>
      <c r="J1575" s="924">
        <v>-1</v>
      </c>
      <c r="K1575" s="924">
        <v>-0.60000000000000009</v>
      </c>
      <c r="L1575" s="924">
        <v>-0.14285714285714285</v>
      </c>
      <c r="M1575" s="924">
        <v>-0.14285714285714285</v>
      </c>
      <c r="N1575" s="924">
        <v>-0.14285714285714285</v>
      </c>
      <c r="O1575" s="924">
        <v>0.27272727272727271</v>
      </c>
      <c r="P1575" s="924">
        <v>0.27272727272727271</v>
      </c>
      <c r="Q1575" s="924">
        <v>0.27272727272727271</v>
      </c>
      <c r="R1575" s="924">
        <v>0.27272727272727271</v>
      </c>
      <c r="S1575" s="924">
        <v>-1</v>
      </c>
      <c r="T1575" s="924">
        <v>-1</v>
      </c>
      <c r="U1575" s="924">
        <v>-1</v>
      </c>
      <c r="V1575" s="924">
        <v>-1</v>
      </c>
      <c r="W1575" s="924">
        <v>-1</v>
      </c>
      <c r="X1575" s="924">
        <v>-1</v>
      </c>
      <c r="Y1575" s="924">
        <v>-1</v>
      </c>
      <c r="Z1575" s="924">
        <f ca="1">_xlfn.XLOOKUP(A1471,TabCalc[Ticker],TabCalc[Imp20])</f>
        <v>-1</v>
      </c>
      <c r="AB1575" s="924">
        <v>2.7027027027026973E-2</v>
      </c>
      <c r="AC1575" s="924">
        <v>2.7027027027026973E-2</v>
      </c>
      <c r="AD1575" s="924">
        <v>6.4220183486238591E-2</v>
      </c>
      <c r="AE1575" s="924">
        <v>6.4220183486238591E-2</v>
      </c>
      <c r="AF1575" s="924">
        <v>-1</v>
      </c>
      <c r="AG1575" s="924">
        <v>6.4220183486238591E-2</v>
      </c>
      <c r="AH1575" s="924">
        <v>5.4545454545454453E-2</v>
      </c>
      <c r="AI1575" s="924">
        <v>5.4545454545454453E-2</v>
      </c>
      <c r="AJ1575" s="924">
        <v>5.4545454545454453E-2</v>
      </c>
      <c r="AK1575" s="924">
        <v>6.3063063063063085E-2</v>
      </c>
      <c r="AL1575" s="924">
        <v>-0.9</v>
      </c>
      <c r="AM1575" s="924">
        <v>-1</v>
      </c>
      <c r="AN1575" s="924">
        <v>-1</v>
      </c>
      <c r="AO1575" s="924">
        <v>-0.66666666666666674</v>
      </c>
      <c r="AP1575" s="924">
        <v>-0.33333333333333343</v>
      </c>
      <c r="AQ1575" s="924">
        <v>-0.33333333333333343</v>
      </c>
      <c r="AR1575" s="924">
        <v>-0.33333333333333343</v>
      </c>
      <c r="AS1575" s="924">
        <v>-0.33333333333333343</v>
      </c>
      <c r="AT1575" s="924">
        <v>-0.33333333333333343</v>
      </c>
      <c r="AU1575" s="924">
        <v>-0.33333333333333343</v>
      </c>
      <c r="AV1575" s="924">
        <f ca="1">_xlfn.XLOOKUP(A1575,TabCalc[Ticker],TabCalc[Imp150])</f>
        <v>-0.33333333333333343</v>
      </c>
      <c r="AX1575" s="88" t="str">
        <f t="shared" ca="1" si="119"/>
        <v>LAZR</v>
      </c>
    </row>
    <row r="1576" spans="1:50" hidden="1" x14ac:dyDescent="0.3">
      <c r="A1576" s="88" t="str">
        <f t="shared" ca="1" si="120"/>
        <v>LUV</v>
      </c>
      <c r="F1576" s="924">
        <v>-6.6666666666666652E-2</v>
      </c>
      <c r="G1576" s="924">
        <v>-6.6666666666666652E-2</v>
      </c>
      <c r="H1576" s="924">
        <v>-0.33333333333333343</v>
      </c>
      <c r="I1576" s="924">
        <v>-0.33333333333333343</v>
      </c>
      <c r="J1576" s="924">
        <v>-0.5</v>
      </c>
      <c r="K1576" s="924">
        <v>-0.5</v>
      </c>
      <c r="L1576" s="924">
        <v>-0.5</v>
      </c>
      <c r="M1576" s="924">
        <v>-0.5</v>
      </c>
      <c r="N1576" s="924">
        <v>-0.5</v>
      </c>
      <c r="O1576" s="924">
        <v>-0.5</v>
      </c>
      <c r="P1576" s="924">
        <v>-0.5</v>
      </c>
      <c r="Q1576" s="924">
        <v>-0.5</v>
      </c>
      <c r="R1576" s="924">
        <v>-0.5</v>
      </c>
      <c r="S1576" s="924">
        <v>-0.5</v>
      </c>
      <c r="T1576" s="924">
        <v>-0.5</v>
      </c>
      <c r="U1576" s="924">
        <v>-0.5</v>
      </c>
      <c r="V1576" s="924">
        <v>-0.5</v>
      </c>
      <c r="W1576" s="924">
        <v>-0.5</v>
      </c>
      <c r="X1576" s="924">
        <v>-0.5</v>
      </c>
      <c r="Y1576" s="924">
        <v>-0.5</v>
      </c>
      <c r="Z1576" s="924">
        <f ca="1">_xlfn.XLOOKUP(A1472,TabCalc[Ticker],TabCalc[Imp20])</f>
        <v>-0.5</v>
      </c>
      <c r="AB1576" s="924">
        <v>8.6206896551724199E-2</v>
      </c>
      <c r="AC1576" s="924">
        <v>8.6206896551724199E-2</v>
      </c>
      <c r="AD1576" s="924">
        <v>0.10344827586206895</v>
      </c>
      <c r="AE1576" s="924">
        <v>0.10344827586206895</v>
      </c>
      <c r="AF1576" s="924">
        <v>0.13043478260869557</v>
      </c>
      <c r="AG1576" s="924">
        <v>0.13043478260869557</v>
      </c>
      <c r="AH1576" s="924">
        <v>0.13043478260869557</v>
      </c>
      <c r="AI1576" s="924">
        <v>0.13043478260869557</v>
      </c>
      <c r="AJ1576" s="924">
        <v>0.13043478260869557</v>
      </c>
      <c r="AK1576" s="924">
        <v>0.13043478260869557</v>
      </c>
      <c r="AL1576" s="924">
        <v>-0.9</v>
      </c>
      <c r="AM1576" s="924">
        <v>-1</v>
      </c>
      <c r="AN1576" s="924">
        <v>-1</v>
      </c>
      <c r="AO1576" s="924">
        <v>-9.0909090909090884E-2</v>
      </c>
      <c r="AP1576" s="924">
        <v>-0.14285714285714285</v>
      </c>
      <c r="AQ1576" s="924">
        <v>-0.14285714285714285</v>
      </c>
      <c r="AR1576" s="924">
        <v>-0.14285714285714285</v>
      </c>
      <c r="AS1576" s="924">
        <v>-0.14285714285714285</v>
      </c>
      <c r="AT1576" s="924">
        <v>-0.14285714285714285</v>
      </c>
      <c r="AU1576" s="924">
        <v>-0.14285714285714285</v>
      </c>
      <c r="AV1576" s="924">
        <f ca="1">_xlfn.XLOOKUP(A1576,TabCalc[Ticker],TabCalc[Imp150])</f>
        <v>-0.14285714285714285</v>
      </c>
      <c r="AX1576" s="88" t="str">
        <f t="shared" ca="1" si="119"/>
        <v>LUV</v>
      </c>
    </row>
    <row r="1577" spans="1:50" hidden="1" x14ac:dyDescent="0.3">
      <c r="A1577" s="88" t="str">
        <f t="shared" ca="1" si="120"/>
        <v>MA</v>
      </c>
      <c r="F1577" s="924">
        <v>-0.23809523809523814</v>
      </c>
      <c r="G1577" s="924">
        <v>-0.23809523809523814</v>
      </c>
      <c r="H1577" s="924">
        <v>-0.23809523809523814</v>
      </c>
      <c r="I1577" s="924">
        <v>-0.23809523809523814</v>
      </c>
      <c r="J1577" s="924">
        <v>-0.23809523809523814</v>
      </c>
      <c r="K1577" s="924">
        <v>-0.23809523809523814</v>
      </c>
      <c r="L1577" s="924">
        <v>-0.23809523809523814</v>
      </c>
      <c r="M1577" s="924">
        <v>-0.23809523809523814</v>
      </c>
      <c r="N1577" s="924">
        <v>-0.23809523809523814</v>
      </c>
      <c r="O1577" s="924">
        <v>-0.23809523809523814</v>
      </c>
      <c r="P1577" s="924">
        <v>-0.23809523809523814</v>
      </c>
      <c r="Q1577" s="924">
        <v>-0.23809523809523814</v>
      </c>
      <c r="R1577" s="924">
        <v>-0.23809523809523814</v>
      </c>
      <c r="S1577" s="924">
        <v>-0.23809523809523814</v>
      </c>
      <c r="T1577" s="924">
        <v>-0.23809523809523814</v>
      </c>
      <c r="U1577" s="924">
        <v>-0.23809523809523814</v>
      </c>
      <c r="V1577" s="924">
        <v>-0.23809523809523814</v>
      </c>
      <c r="W1577" s="924">
        <v>-0.23809523809523814</v>
      </c>
      <c r="X1577" s="924">
        <v>-0.23809523809523814</v>
      </c>
      <c r="Y1577" s="924">
        <v>-0.23809523809523814</v>
      </c>
      <c r="Z1577" s="924">
        <f ca="1">_xlfn.XLOOKUP(A1473,TabCalc[Ticker],TabCalc[Imp20])</f>
        <v>-0.23809523809523814</v>
      </c>
      <c r="AB1577" s="924">
        <v>-6.6225165562914245E-3</v>
      </c>
      <c r="AC1577" s="924">
        <v>-6.6225165562914245E-3</v>
      </c>
      <c r="AD1577" s="924">
        <v>-6.6225165562914245E-3</v>
      </c>
      <c r="AE1577" s="924">
        <v>-6.6225165562914245E-3</v>
      </c>
      <c r="AF1577" s="924">
        <v>-6.6225165562914245E-3</v>
      </c>
      <c r="AG1577" s="924">
        <v>-6.6225165562914245E-3</v>
      </c>
      <c r="AH1577" s="924">
        <v>-6.6225165562914245E-3</v>
      </c>
      <c r="AI1577" s="924">
        <v>-6.6225165562914245E-3</v>
      </c>
      <c r="AJ1577" s="924">
        <v>-6.6225165562914245E-3</v>
      </c>
      <c r="AK1577" s="924">
        <v>-6.6225165562914245E-3</v>
      </c>
      <c r="AL1577" s="924">
        <v>0.29999999999999993</v>
      </c>
      <c r="AM1577" s="924">
        <v>0.33333333333333326</v>
      </c>
      <c r="AN1577" s="924">
        <v>0.33333333333333326</v>
      </c>
      <c r="AO1577" s="924">
        <v>-0.25</v>
      </c>
      <c r="AP1577" s="924">
        <v>-0.75</v>
      </c>
      <c r="AQ1577" s="924">
        <v>-0.75</v>
      </c>
      <c r="AR1577" s="924">
        <v>-0.75</v>
      </c>
      <c r="AS1577" s="924">
        <v>-0.75</v>
      </c>
      <c r="AT1577" s="924">
        <v>-0.75</v>
      </c>
      <c r="AU1577" s="924">
        <v>-0.75</v>
      </c>
      <c r="AV1577" s="924">
        <f ca="1">_xlfn.XLOOKUP(A1577,TabCalc[Ticker],TabCalc[Imp150])</f>
        <v>-0.75</v>
      </c>
      <c r="AX1577" s="88" t="str">
        <f t="shared" ca="1" si="119"/>
        <v>MA</v>
      </c>
    </row>
    <row r="1578" spans="1:50" hidden="1" x14ac:dyDescent="0.3">
      <c r="A1578" s="88" t="str">
        <f t="shared" ca="1" si="120"/>
        <v>NVAX</v>
      </c>
      <c r="F1578" s="924">
        <v>5.2631578947368363E-2</v>
      </c>
      <c r="G1578" s="924">
        <v>-0.39999999999999997</v>
      </c>
      <c r="H1578" s="924">
        <v>-1</v>
      </c>
      <c r="I1578" s="924">
        <v>-1</v>
      </c>
      <c r="J1578" s="924">
        <v>0.25</v>
      </c>
      <c r="K1578" s="924">
        <v>0.25</v>
      </c>
      <c r="L1578" s="924">
        <v>-1</v>
      </c>
      <c r="M1578" s="924">
        <v>-1</v>
      </c>
      <c r="N1578" s="924">
        <v>-0.25</v>
      </c>
      <c r="O1578" s="924">
        <v>-0.25</v>
      </c>
      <c r="P1578" s="924">
        <v>-0.19999999999999996</v>
      </c>
      <c r="Q1578" s="924">
        <v>0.33333333333333326</v>
      </c>
      <c r="R1578" s="924">
        <v>0.33333333333333326</v>
      </c>
      <c r="S1578" s="924">
        <v>0.33333333333333326</v>
      </c>
      <c r="T1578" s="924">
        <v>-1</v>
      </c>
      <c r="U1578" s="924">
        <v>-1</v>
      </c>
      <c r="V1578" s="924">
        <v>-1</v>
      </c>
      <c r="W1578" s="924">
        <v>-1</v>
      </c>
      <c r="X1578" s="924">
        <v>-1</v>
      </c>
      <c r="Y1578" s="924">
        <v>-1</v>
      </c>
      <c r="Z1578" s="924">
        <f ca="1">_xlfn.XLOOKUP(A1474,TabCalc[Ticker],TabCalc[Imp20])</f>
        <v>-1</v>
      </c>
      <c r="AB1578" s="924">
        <v>4.2016806722689148E-2</v>
      </c>
      <c r="AC1578" s="924">
        <v>6.6666666666666652E-2</v>
      </c>
      <c r="AD1578" s="924">
        <v>-1</v>
      </c>
      <c r="AE1578" s="924">
        <v>-1</v>
      </c>
      <c r="AF1578" s="924">
        <v>8.1967213114754189E-2</v>
      </c>
      <c r="AG1578" s="924">
        <v>8.1967213114754189E-2</v>
      </c>
      <c r="AH1578" s="924">
        <v>-1</v>
      </c>
      <c r="AI1578" s="924">
        <v>-1</v>
      </c>
      <c r="AJ1578" s="924">
        <v>5.6910569105691033E-2</v>
      </c>
      <c r="AK1578" s="924">
        <v>5.6910569105691033E-2</v>
      </c>
      <c r="AL1578" s="924">
        <v>-0.9</v>
      </c>
      <c r="AM1578" s="924">
        <v>-1</v>
      </c>
      <c r="AN1578" s="924">
        <v>-1</v>
      </c>
      <c r="AO1578" s="924">
        <v>-1</v>
      </c>
      <c r="AP1578" s="924">
        <v>-0.19999999999999996</v>
      </c>
      <c r="AQ1578" s="924">
        <v>-0.19999999999999996</v>
      </c>
      <c r="AR1578" s="924">
        <v>-0.19999999999999996</v>
      </c>
      <c r="AS1578" s="924">
        <v>-0.19999999999999996</v>
      </c>
      <c r="AT1578" s="924">
        <v>-5.8823529411764719E-2</v>
      </c>
      <c r="AU1578" s="924">
        <v>-0.11111111111111116</v>
      </c>
      <c r="AV1578" s="924">
        <f ca="1">_xlfn.XLOOKUP(A1578,TabCalc[Ticker],TabCalc[Imp150])</f>
        <v>-0.11111111111111116</v>
      </c>
      <c r="AX1578" s="88" t="str">
        <f t="shared" ca="1" si="119"/>
        <v>NVAX</v>
      </c>
    </row>
    <row r="1579" spans="1:50" hidden="1" x14ac:dyDescent="0.3">
      <c r="A1579" s="88" t="str">
        <f t="shared" ca="1" si="120"/>
        <v>NVS</v>
      </c>
      <c r="F1579" s="924">
        <v>0.14285714285714279</v>
      </c>
      <c r="G1579" s="924">
        <v>0.14285714285714279</v>
      </c>
      <c r="H1579" s="924">
        <v>0.14285714285714279</v>
      </c>
      <c r="I1579" s="924">
        <v>0.14285714285714279</v>
      </c>
      <c r="J1579" s="924">
        <v>0.14285714285714279</v>
      </c>
      <c r="K1579" s="924">
        <v>0.14285714285714279</v>
      </c>
      <c r="L1579" s="924">
        <v>0.14285714285714279</v>
      </c>
      <c r="M1579" s="924">
        <v>0.14285714285714279</v>
      </c>
      <c r="N1579" s="924">
        <v>0.14285714285714279</v>
      </c>
      <c r="O1579" s="924">
        <v>0.14285714285714279</v>
      </c>
      <c r="P1579" s="924">
        <v>0.14285714285714279</v>
      </c>
      <c r="Q1579" s="924">
        <v>0.14285714285714279</v>
      </c>
      <c r="R1579" s="924">
        <v>0.14285714285714279</v>
      </c>
      <c r="S1579" s="924">
        <v>0.14285714285714279</v>
      </c>
      <c r="T1579" s="924">
        <v>0.14285714285714279</v>
      </c>
      <c r="U1579" s="924">
        <v>0.14285714285714279</v>
      </c>
      <c r="V1579" s="924">
        <v>0.14285714285714279</v>
      </c>
      <c r="W1579" s="924">
        <v>0.14285714285714279</v>
      </c>
      <c r="X1579" s="924">
        <v>0.14285714285714279</v>
      </c>
      <c r="Y1579" s="924">
        <v>0.14285714285714279</v>
      </c>
      <c r="Z1579" s="924">
        <f ca="1">_xlfn.XLOOKUP(A1475,TabCalc[Ticker],TabCalc[Imp20])</f>
        <v>0.14285714285714279</v>
      </c>
      <c r="AB1579" s="924">
        <v>0.19205298013245042</v>
      </c>
      <c r="AC1579" s="924">
        <v>0.19205298013245042</v>
      </c>
      <c r="AD1579" s="924">
        <v>0.19205298013245042</v>
      </c>
      <c r="AE1579" s="924">
        <v>0.19205298013245042</v>
      </c>
      <c r="AF1579" s="924">
        <v>0.19205298013245042</v>
      </c>
      <c r="AG1579" s="924">
        <v>0.19205298013245042</v>
      </c>
      <c r="AH1579" s="924">
        <v>0.19205298013245042</v>
      </c>
      <c r="AI1579" s="924">
        <v>0.19205298013245042</v>
      </c>
      <c r="AJ1579" s="924">
        <v>0.19205298013245042</v>
      </c>
      <c r="AK1579" s="924">
        <v>0.19205298013245042</v>
      </c>
      <c r="AL1579" s="924">
        <v>-0.9</v>
      </c>
      <c r="AM1579" s="924">
        <v>-1</v>
      </c>
      <c r="AN1579" s="924">
        <v>-1</v>
      </c>
      <c r="AO1579" s="924">
        <v>-1</v>
      </c>
      <c r="AP1579" s="924">
        <v>-1</v>
      </c>
      <c r="AQ1579" s="924">
        <v>-1</v>
      </c>
      <c r="AR1579" s="924">
        <v>-1</v>
      </c>
      <c r="AS1579" s="924">
        <v>-1</v>
      </c>
      <c r="AT1579" s="924">
        <v>-1</v>
      </c>
      <c r="AU1579" s="924">
        <v>-1</v>
      </c>
      <c r="AV1579" s="924">
        <f ca="1">_xlfn.XLOOKUP(A1579,TabCalc[Ticker],TabCalc[Imp150])</f>
        <v>-1</v>
      </c>
      <c r="AX1579" s="88" t="str">
        <f t="shared" ca="1" si="119"/>
        <v>NVS</v>
      </c>
    </row>
    <row r="1580" spans="1:50" hidden="1" x14ac:dyDescent="0.3">
      <c r="A1580" s="88" t="str">
        <f t="shared" ca="1" si="120"/>
        <v>ORA</v>
      </c>
      <c r="F1580" s="924">
        <v>6.6666666666666652E-2</v>
      </c>
      <c r="G1580" s="924">
        <v>6.6666666666666652E-2</v>
      </c>
      <c r="H1580" s="924">
        <v>0</v>
      </c>
      <c r="I1580" s="924">
        <v>0</v>
      </c>
      <c r="J1580" s="924">
        <v>-1</v>
      </c>
      <c r="K1580" s="924">
        <v>-1</v>
      </c>
      <c r="L1580" s="924">
        <v>-1</v>
      </c>
      <c r="M1580" s="924">
        <v>-1</v>
      </c>
      <c r="N1580" s="924">
        <v>-1</v>
      </c>
      <c r="O1580" s="924">
        <v>-1</v>
      </c>
      <c r="P1580" s="924">
        <v>-1</v>
      </c>
      <c r="Q1580" s="924">
        <v>-1</v>
      </c>
      <c r="R1580" s="924">
        <v>-1</v>
      </c>
      <c r="S1580" s="924">
        <v>-1</v>
      </c>
      <c r="T1580" s="924">
        <v>-1</v>
      </c>
      <c r="U1580" s="924">
        <v>-1</v>
      </c>
      <c r="V1580" s="924">
        <v>-1</v>
      </c>
      <c r="W1580" s="924">
        <v>-1</v>
      </c>
      <c r="X1580" s="924">
        <v>-1</v>
      </c>
      <c r="Y1580" s="924">
        <v>-1</v>
      </c>
      <c r="Z1580" s="924">
        <f ca="1">_xlfn.XLOOKUP(A1476,TabCalc[Ticker],TabCalc[Imp20])</f>
        <v>-1</v>
      </c>
      <c r="AB1580" s="924">
        <v>-0.17985611510791366</v>
      </c>
      <c r="AC1580" s="924">
        <v>-0.17985611510791366</v>
      </c>
      <c r="AD1580" s="924">
        <v>-0.18840579710144922</v>
      </c>
      <c r="AE1580" s="924">
        <v>-0.18840579710144922</v>
      </c>
      <c r="AF1580" s="924">
        <v>-1</v>
      </c>
      <c r="AG1580" s="924">
        <v>-1</v>
      </c>
      <c r="AH1580" s="924">
        <v>-1</v>
      </c>
      <c r="AI1580" s="924">
        <v>-1</v>
      </c>
      <c r="AJ1580" s="924">
        <v>-1</v>
      </c>
      <c r="AK1580" s="924">
        <v>-1</v>
      </c>
      <c r="AL1580" s="924">
        <v>0.13965517241379308</v>
      </c>
      <c r="AM1580" s="924">
        <v>0.15517241379310343</v>
      </c>
      <c r="AN1580" s="924">
        <v>0.15517241379310343</v>
      </c>
      <c r="AO1580" s="924">
        <v>0.15517241379310343</v>
      </c>
      <c r="AP1580" s="924">
        <v>-0.38461538461538458</v>
      </c>
      <c r="AQ1580" s="924">
        <v>-0.38461538461538458</v>
      </c>
      <c r="AR1580" s="924">
        <v>-0.38461538461538458</v>
      </c>
      <c r="AS1580" s="924">
        <v>0</v>
      </c>
      <c r="AT1580" s="924">
        <v>0</v>
      </c>
      <c r="AU1580" s="924">
        <v>0</v>
      </c>
      <c r="AV1580" s="924">
        <f ca="1">_xlfn.XLOOKUP(A1580,TabCalc[Ticker],TabCalc[Imp150])</f>
        <v>0</v>
      </c>
      <c r="AX1580" s="88" t="str">
        <f t="shared" ca="1" si="119"/>
        <v>ORA</v>
      </c>
    </row>
    <row r="1581" spans="1:50" hidden="1" x14ac:dyDescent="0.3">
      <c r="A1581" s="88" t="str">
        <f t="shared" ca="1" si="120"/>
        <v>OXY</v>
      </c>
      <c r="F1581" s="924">
        <v>-1</v>
      </c>
      <c r="G1581" s="924">
        <v>-1</v>
      </c>
      <c r="H1581" s="924">
        <v>-1</v>
      </c>
      <c r="I1581" s="924">
        <v>-1</v>
      </c>
      <c r="J1581" s="924">
        <v>0.4285714285714286</v>
      </c>
      <c r="K1581" s="924">
        <v>-1</v>
      </c>
      <c r="L1581" s="924">
        <v>-1</v>
      </c>
      <c r="M1581" s="924">
        <v>-1</v>
      </c>
      <c r="N1581" s="924">
        <v>-1</v>
      </c>
      <c r="O1581" s="924">
        <v>-1</v>
      </c>
      <c r="P1581" s="924">
        <v>-1</v>
      </c>
      <c r="Q1581" s="924">
        <v>-1</v>
      </c>
      <c r="R1581" s="924">
        <v>-1</v>
      </c>
      <c r="S1581" s="924">
        <v>-1</v>
      </c>
      <c r="T1581" s="924">
        <v>-1</v>
      </c>
      <c r="U1581" s="924">
        <v>-1</v>
      </c>
      <c r="V1581" s="924">
        <v>-1</v>
      </c>
      <c r="W1581" s="924">
        <v>-1</v>
      </c>
      <c r="X1581" s="924">
        <v>-1</v>
      </c>
      <c r="Y1581" s="924">
        <v>-1</v>
      </c>
      <c r="Z1581" s="924">
        <f ca="1">_xlfn.XLOOKUP(A1477,TabCalc[Ticker],TabCalc[Imp20])</f>
        <v>-1</v>
      </c>
      <c r="AB1581" s="924">
        <v>-1</v>
      </c>
      <c r="AC1581" s="924">
        <v>-1</v>
      </c>
      <c r="AD1581" s="924">
        <v>-1</v>
      </c>
      <c r="AE1581" s="924">
        <v>-1</v>
      </c>
      <c r="AF1581" s="924">
        <v>9.0909090909090828E-2</v>
      </c>
      <c r="AG1581" s="924">
        <v>-1</v>
      </c>
      <c r="AH1581" s="924">
        <v>-1</v>
      </c>
      <c r="AI1581" s="924">
        <v>-1</v>
      </c>
      <c r="AJ1581" s="924">
        <v>-1</v>
      </c>
      <c r="AK1581" s="924">
        <v>-1</v>
      </c>
      <c r="AL1581" s="924">
        <v>6.9230769230769193E-2</v>
      </c>
      <c r="AM1581" s="924">
        <v>7.6923076923076872E-2</v>
      </c>
      <c r="AN1581" s="924">
        <v>7.6923076923076872E-2</v>
      </c>
      <c r="AO1581" s="924">
        <v>7.6923076923076872E-2</v>
      </c>
      <c r="AP1581" s="924">
        <v>-0.77777777777777768</v>
      </c>
      <c r="AQ1581" s="924">
        <v>-0.77777777777777768</v>
      </c>
      <c r="AR1581" s="924">
        <v>-0.77777777777777768</v>
      </c>
      <c r="AS1581" s="924">
        <v>-0.77777777777777768</v>
      </c>
      <c r="AT1581" s="924">
        <v>-0.77777777777777768</v>
      </c>
      <c r="AU1581" s="924">
        <v>-0.77777777777777768</v>
      </c>
      <c r="AV1581" s="924">
        <f ca="1">_xlfn.XLOOKUP(A1581,TabCalc[Ticker],TabCalc[Imp150])</f>
        <v>-0.77777777777777768</v>
      </c>
      <c r="AX1581" s="88" t="str">
        <f t="shared" ca="1" si="119"/>
        <v>OXY</v>
      </c>
    </row>
    <row r="1582" spans="1:50" hidden="1" x14ac:dyDescent="0.3">
      <c r="A1582" s="88" t="str">
        <f t="shared" ca="1" si="120"/>
        <v>PFE</v>
      </c>
      <c r="F1582" s="924">
        <v>-1</v>
      </c>
      <c r="G1582" s="924">
        <v>-1</v>
      </c>
      <c r="H1582" s="924">
        <v>-1</v>
      </c>
      <c r="I1582" s="924">
        <v>-1</v>
      </c>
      <c r="J1582" s="924">
        <v>0</v>
      </c>
      <c r="K1582" s="924">
        <v>0</v>
      </c>
      <c r="L1582" s="924">
        <v>-1</v>
      </c>
      <c r="M1582" s="924">
        <v>-1</v>
      </c>
      <c r="N1582" s="924">
        <v>-1</v>
      </c>
      <c r="O1582" s="924">
        <v>-1</v>
      </c>
      <c r="P1582" s="924">
        <v>-1</v>
      </c>
      <c r="Q1582" s="924">
        <v>-1</v>
      </c>
      <c r="R1582" s="924">
        <v>-1</v>
      </c>
      <c r="S1582" s="924">
        <v>-1</v>
      </c>
      <c r="T1582" s="924">
        <v>-1</v>
      </c>
      <c r="U1582" s="924">
        <v>-1</v>
      </c>
      <c r="V1582" s="924">
        <v>-1</v>
      </c>
      <c r="W1582" s="924">
        <v>-1</v>
      </c>
      <c r="X1582" s="924">
        <v>-1</v>
      </c>
      <c r="Y1582" s="924">
        <v>-1</v>
      </c>
      <c r="Z1582" s="924">
        <f ca="1">_xlfn.XLOOKUP(A1478,TabCalc[Ticker],TabCalc[Imp20])</f>
        <v>-1</v>
      </c>
      <c r="AB1582" s="924">
        <v>-1</v>
      </c>
      <c r="AC1582" s="924">
        <v>-1</v>
      </c>
      <c r="AD1582" s="924">
        <v>-1</v>
      </c>
      <c r="AE1582" s="924">
        <v>-1</v>
      </c>
      <c r="AF1582" s="924">
        <v>0.15789473684210531</v>
      </c>
      <c r="AG1582" s="924">
        <v>0.15789473684210531</v>
      </c>
      <c r="AH1582" s="924">
        <v>0.15789473684210531</v>
      </c>
      <c r="AI1582" s="924">
        <v>0.15789473684210531</v>
      </c>
      <c r="AJ1582" s="924">
        <v>0.15789473684210531</v>
      </c>
      <c r="AK1582" s="924">
        <v>0.15789473684210531</v>
      </c>
      <c r="AL1582" s="924">
        <v>4.9090909090909012E-2</v>
      </c>
      <c r="AM1582" s="924">
        <v>5.4545454545454453E-2</v>
      </c>
      <c r="AN1582" s="924">
        <v>5.4545454545454453E-2</v>
      </c>
      <c r="AO1582" s="924">
        <v>5.4545454545454453E-2</v>
      </c>
      <c r="AP1582" s="924">
        <v>-0.5</v>
      </c>
      <c r="AQ1582" s="924">
        <v>0</v>
      </c>
      <c r="AR1582" s="924">
        <v>0</v>
      </c>
      <c r="AS1582" s="924">
        <v>0</v>
      </c>
      <c r="AT1582" s="924">
        <v>-0.19999999999999996</v>
      </c>
      <c r="AU1582" s="924">
        <v>-0.19999999999999996</v>
      </c>
      <c r="AV1582" s="924">
        <f ca="1">_xlfn.XLOOKUP(A1582,TabCalc[Ticker],TabCalc[Imp150])</f>
        <v>-0.19999999999999996</v>
      </c>
      <c r="AX1582" s="88" t="str">
        <f t="shared" ca="1" si="119"/>
        <v>PFE</v>
      </c>
    </row>
    <row r="1583" spans="1:50" hidden="1" x14ac:dyDescent="0.3">
      <c r="A1583" s="88" t="str">
        <f t="shared" ca="1" si="120"/>
        <v>RIG</v>
      </c>
      <c r="F1583" s="924">
        <v>-0.4285714285714286</v>
      </c>
      <c r="G1583" s="924">
        <v>-0.4285714285714286</v>
      </c>
      <c r="H1583" s="924">
        <v>-1</v>
      </c>
      <c r="I1583" s="924">
        <v>-1</v>
      </c>
      <c r="J1583" s="924">
        <v>-1</v>
      </c>
      <c r="K1583" s="924">
        <v>-0.4285714285714286</v>
      </c>
      <c r="L1583" s="924">
        <v>-1</v>
      </c>
      <c r="M1583" s="924">
        <v>-1</v>
      </c>
      <c r="N1583" s="924">
        <v>-1</v>
      </c>
      <c r="O1583" s="924">
        <v>-1</v>
      </c>
      <c r="P1583" s="924">
        <v>-1</v>
      </c>
      <c r="Q1583" s="924">
        <v>-1</v>
      </c>
      <c r="R1583" s="924">
        <v>-1</v>
      </c>
      <c r="S1583" s="924">
        <v>-1</v>
      </c>
      <c r="T1583" s="924">
        <v>-1</v>
      </c>
      <c r="U1583" s="924">
        <v>-1</v>
      </c>
      <c r="V1583" s="924">
        <v>-1</v>
      </c>
      <c r="W1583" s="924">
        <v>-1</v>
      </c>
      <c r="X1583" s="924">
        <v>-1</v>
      </c>
      <c r="Y1583" s="924">
        <v>-1</v>
      </c>
      <c r="Z1583" s="924">
        <f ca="1">_xlfn.XLOOKUP(A1479,TabCalc[Ticker],TabCalc[Imp20])</f>
        <v>-1</v>
      </c>
      <c r="AB1583" s="924">
        <v>-5.1094890510948954E-2</v>
      </c>
      <c r="AC1583" s="924">
        <v>-5.1094890510948954E-2</v>
      </c>
      <c r="AD1583" s="924">
        <v>-1</v>
      </c>
      <c r="AE1583" s="924">
        <v>-1</v>
      </c>
      <c r="AF1583" s="924">
        <v>-1</v>
      </c>
      <c r="AG1583" s="924">
        <v>-4.4117647058823428E-2</v>
      </c>
      <c r="AH1583" s="924">
        <v>-1</v>
      </c>
      <c r="AI1583" s="924">
        <v>-1</v>
      </c>
      <c r="AJ1583" s="924">
        <v>-1</v>
      </c>
      <c r="AK1583" s="924">
        <v>-1</v>
      </c>
      <c r="AL1583" s="924">
        <v>0</v>
      </c>
      <c r="AM1583" s="924">
        <v>0</v>
      </c>
      <c r="AN1583" s="924">
        <v>0</v>
      </c>
      <c r="AO1583" s="924">
        <v>-0.18518518518518517</v>
      </c>
      <c r="AP1583" s="924">
        <v>0.28571428571428581</v>
      </c>
      <c r="AQ1583" s="924">
        <v>1</v>
      </c>
      <c r="AR1583" s="924">
        <v>-1</v>
      </c>
      <c r="AS1583" s="924">
        <v>-1</v>
      </c>
      <c r="AT1583" s="924">
        <v>0</v>
      </c>
      <c r="AU1583" s="924">
        <v>0</v>
      </c>
      <c r="AV1583" s="924">
        <f ca="1">_xlfn.XLOOKUP(A1583,TabCalc[Ticker],TabCalc[Imp150])</f>
        <v>0</v>
      </c>
      <c r="AX1583" s="88" t="str">
        <f t="shared" ca="1" si="119"/>
        <v>RIG</v>
      </c>
    </row>
    <row r="1584" spans="1:50" x14ac:dyDescent="0.3">
      <c r="A1584" s="88" t="str">
        <f t="shared" ca="1" si="120"/>
        <v>RRC</v>
      </c>
      <c r="F1584" s="924">
        <v>-1</v>
      </c>
      <c r="G1584" s="924">
        <v>-1</v>
      </c>
      <c r="H1584" s="924">
        <v>-1</v>
      </c>
      <c r="I1584" s="924">
        <v>-1</v>
      </c>
      <c r="J1584" s="924">
        <v>-1</v>
      </c>
      <c r="K1584" s="924">
        <v>-1</v>
      </c>
      <c r="L1584" s="924">
        <v>-1</v>
      </c>
      <c r="M1584" s="924">
        <v>-1</v>
      </c>
      <c r="N1584" s="924">
        <v>-1</v>
      </c>
      <c r="O1584" s="924">
        <v>-1</v>
      </c>
      <c r="P1584" s="924">
        <v>-1</v>
      </c>
      <c r="Q1584" s="924">
        <v>-1</v>
      </c>
      <c r="R1584" s="924">
        <v>-1</v>
      </c>
      <c r="S1584" s="924">
        <v>-1</v>
      </c>
      <c r="T1584" s="924">
        <v>-1</v>
      </c>
      <c r="U1584" s="924">
        <v>-1</v>
      </c>
      <c r="V1584" s="924">
        <v>-1</v>
      </c>
      <c r="W1584" s="924">
        <v>-1</v>
      </c>
      <c r="X1584" s="924">
        <v>-1</v>
      </c>
      <c r="Y1584" s="924">
        <v>-1</v>
      </c>
      <c r="Z1584" s="924">
        <f ca="1">_xlfn.XLOOKUP(A1480,TabCalc[Ticker],TabCalc[Imp20])</f>
        <v>-1</v>
      </c>
      <c r="AB1584" s="924">
        <v>-1</v>
      </c>
      <c r="AC1584" s="924">
        <v>-1</v>
      </c>
      <c r="AD1584" s="924">
        <v>-1</v>
      </c>
      <c r="AE1584" s="924">
        <v>-1</v>
      </c>
      <c r="AF1584" s="924">
        <v>-1</v>
      </c>
      <c r="AG1584" s="924">
        <v>-1</v>
      </c>
      <c r="AH1584" s="924">
        <v>-1</v>
      </c>
      <c r="AI1584" s="924">
        <v>-1</v>
      </c>
      <c r="AJ1584" s="924">
        <v>-1</v>
      </c>
      <c r="AK1584" s="924">
        <v>-1</v>
      </c>
      <c r="AL1584" s="924">
        <v>7.431192660550455E-2</v>
      </c>
      <c r="AM1584" s="924">
        <v>8.256880733944949E-2</v>
      </c>
      <c r="AN1584" s="924">
        <v>8.256880733944949E-2</v>
      </c>
      <c r="AO1584" s="924">
        <v>8.256880733944949E-2</v>
      </c>
      <c r="AP1584" s="924">
        <v>8.256880733944949E-2</v>
      </c>
      <c r="AQ1584" s="924">
        <v>8.256880733944949E-2</v>
      </c>
      <c r="AR1584" s="924">
        <v>8.256880733944949E-2</v>
      </c>
      <c r="AS1584" s="924">
        <v>8.256880733944949E-2</v>
      </c>
      <c r="AT1584" s="924">
        <v>8.256880733944949E-2</v>
      </c>
      <c r="AU1584" s="924">
        <v>8.256880733944949E-2</v>
      </c>
      <c r="AV1584" s="924">
        <f ca="1">_xlfn.XLOOKUP(A1584,TabCalc[Ticker],TabCalc[Imp150])</f>
        <v>8.256880733944949E-2</v>
      </c>
      <c r="AX1584" s="88" t="str">
        <f t="shared" ca="1" si="119"/>
        <v>RRC</v>
      </c>
    </row>
    <row r="1585" spans="1:50" x14ac:dyDescent="0.3">
      <c r="A1585" s="88" t="str">
        <f t="shared" ca="1" si="120"/>
        <v>XYZ</v>
      </c>
      <c r="F1585" s="924">
        <v>0.41176470588235303</v>
      </c>
      <c r="G1585" s="924">
        <v>0.41176470588235303</v>
      </c>
      <c r="H1585" s="924">
        <v>-0.39999999999999997</v>
      </c>
      <c r="I1585" s="924">
        <v>-0.39999999999999997</v>
      </c>
      <c r="J1585" s="924">
        <v>-0.39999999999999997</v>
      </c>
      <c r="K1585" s="924">
        <v>-0.39999999999999997</v>
      </c>
      <c r="L1585" s="924">
        <v>-1</v>
      </c>
      <c r="M1585" s="924">
        <v>-1</v>
      </c>
      <c r="N1585" s="924">
        <v>-1</v>
      </c>
      <c r="O1585" s="924">
        <v>-1</v>
      </c>
      <c r="P1585" s="924">
        <v>9.0909090909090828E-2</v>
      </c>
      <c r="Q1585" s="924">
        <v>9.0909090909090828E-2</v>
      </c>
      <c r="R1585" s="924">
        <v>9.0909090909090828E-2</v>
      </c>
      <c r="S1585" s="924">
        <v>9.0909090909090828E-2</v>
      </c>
      <c r="T1585" s="924">
        <v>-1</v>
      </c>
      <c r="U1585" s="924">
        <v>-1</v>
      </c>
      <c r="V1585" s="924">
        <v>-1</v>
      </c>
      <c r="W1585" s="924">
        <v>-1</v>
      </c>
      <c r="X1585" s="924">
        <v>-1</v>
      </c>
      <c r="Y1585" s="924">
        <v>-1</v>
      </c>
      <c r="Z1585" s="924">
        <f ca="1">_xlfn.XLOOKUP(A1481,TabCalc[Ticker],TabCalc[Imp20])</f>
        <v>-1</v>
      </c>
      <c r="AB1585" s="924">
        <v>0.15044247787610621</v>
      </c>
      <c r="AC1585" s="924">
        <v>0.15044247787610621</v>
      </c>
      <c r="AD1585" s="924">
        <v>0.16814159292035402</v>
      </c>
      <c r="AE1585" s="924">
        <v>0.16814159292035402</v>
      </c>
      <c r="AF1585" s="924">
        <v>0.15789473684210531</v>
      </c>
      <c r="AG1585" s="924">
        <v>0.15789473684210531</v>
      </c>
      <c r="AH1585" s="924">
        <v>-1</v>
      </c>
      <c r="AI1585" s="924">
        <v>-1</v>
      </c>
      <c r="AJ1585" s="924">
        <v>-1</v>
      </c>
      <c r="AK1585" s="924">
        <v>-1</v>
      </c>
      <c r="AL1585" s="924">
        <v>0.15517241379310343</v>
      </c>
      <c r="AM1585" s="924">
        <v>0.21739130434782616</v>
      </c>
      <c r="AN1585" s="924">
        <v>0.21739130434782616</v>
      </c>
      <c r="AO1585" s="924">
        <v>0.11111111111111116</v>
      </c>
      <c r="AP1585" s="924">
        <v>-0.4285714285714286</v>
      </c>
      <c r="AQ1585" s="924">
        <v>-0.4285714285714286</v>
      </c>
      <c r="AR1585" s="924">
        <v>-0.4285714285714286</v>
      </c>
      <c r="AS1585" s="924">
        <v>-0.4285714285714286</v>
      </c>
      <c r="AT1585" s="924">
        <v>-0.4285714285714286</v>
      </c>
      <c r="AU1585" s="924">
        <v>-0.4285714285714286</v>
      </c>
      <c r="AV1585" s="924">
        <f ca="1">_xlfn.XLOOKUP(A1585,TabCalc[Ticker],TabCalc[Imp150])</f>
        <v>-0.4285714285714286</v>
      </c>
      <c r="AX1585" s="88" t="str">
        <f t="shared" ca="1" si="119"/>
        <v>XYZ</v>
      </c>
    </row>
    <row r="1586" spans="1:50" x14ac:dyDescent="0.3">
      <c r="A1586" s="88" t="str">
        <f t="shared" ca="1" si="120"/>
        <v>THC</v>
      </c>
      <c r="F1586" s="924">
        <v>5.8823529411764719E-2</v>
      </c>
      <c r="G1586" s="924">
        <v>0</v>
      </c>
      <c r="H1586" s="924">
        <v>-1</v>
      </c>
      <c r="I1586" s="924">
        <v>-1</v>
      </c>
      <c r="J1586" s="924">
        <v>-1</v>
      </c>
      <c r="K1586" s="924">
        <v>-1</v>
      </c>
      <c r="L1586" s="924">
        <v>0</v>
      </c>
      <c r="M1586" s="924">
        <v>0</v>
      </c>
      <c r="N1586" s="924">
        <v>0</v>
      </c>
      <c r="O1586" s="924">
        <v>0</v>
      </c>
      <c r="P1586" s="924">
        <v>0</v>
      </c>
      <c r="Q1586" s="924">
        <v>0</v>
      </c>
      <c r="R1586" s="924">
        <v>0</v>
      </c>
      <c r="S1586" s="924">
        <v>0</v>
      </c>
      <c r="T1586" s="924">
        <v>-1</v>
      </c>
      <c r="U1586" s="924">
        <v>-1</v>
      </c>
      <c r="V1586" s="924">
        <v>-1</v>
      </c>
      <c r="W1586" s="924">
        <v>-1</v>
      </c>
      <c r="X1586" s="924">
        <v>-1</v>
      </c>
      <c r="Y1586" s="924">
        <v>-1</v>
      </c>
      <c r="Z1586" s="924">
        <f ca="1">_xlfn.XLOOKUP(A1482,TabCalc[Ticker],TabCalc[Imp20])</f>
        <v>-1</v>
      </c>
      <c r="AB1586" s="924">
        <v>0.11111111111111116</v>
      </c>
      <c r="AC1586" s="924">
        <v>9.243697478991586E-2</v>
      </c>
      <c r="AD1586" s="924">
        <v>-1</v>
      </c>
      <c r="AE1586" s="924">
        <v>-1</v>
      </c>
      <c r="AF1586" s="924">
        <v>-1</v>
      </c>
      <c r="AG1586" s="924">
        <v>-1</v>
      </c>
      <c r="AH1586" s="924">
        <v>7.6923076923076872E-2</v>
      </c>
      <c r="AI1586" s="924">
        <v>7.6923076923076872E-2</v>
      </c>
      <c r="AJ1586" s="924">
        <v>7.6923076923076872E-2</v>
      </c>
      <c r="AK1586" s="924">
        <v>7.6923076923076872E-2</v>
      </c>
      <c r="AL1586" s="924">
        <v>7.6923076923076872E-2</v>
      </c>
      <c r="AM1586" s="924">
        <v>0.37815126050420167</v>
      </c>
      <c r="AN1586" s="924">
        <v>0.37815126050420167</v>
      </c>
      <c r="AO1586" s="924">
        <v>0.37815126050420167</v>
      </c>
      <c r="AP1586" s="924">
        <v>0.37815126050420167</v>
      </c>
      <c r="AQ1586" s="924">
        <v>-0.19999999999999996</v>
      </c>
      <c r="AR1586" s="924">
        <v>-0.19999999999999996</v>
      </c>
      <c r="AS1586" s="924">
        <v>-0.19999999999999996</v>
      </c>
      <c r="AT1586" s="924">
        <v>-0.19999999999999996</v>
      </c>
      <c r="AU1586" s="924">
        <v>-0.19999999999999996</v>
      </c>
      <c r="AV1586" s="924">
        <f ca="1">_xlfn.XLOOKUP(A1586,TabCalc[Ticker],TabCalc[Imp150])</f>
        <v>-0.19999999999999996</v>
      </c>
      <c r="AX1586" s="88" t="str">
        <f t="shared" ca="1" si="119"/>
        <v>THC</v>
      </c>
    </row>
    <row r="1587" spans="1:50" x14ac:dyDescent="0.3">
      <c r="A1587" s="88" t="str">
        <f t="shared" ca="1" si="120"/>
        <v>X</v>
      </c>
      <c r="F1587" s="924">
        <v>-1</v>
      </c>
      <c r="G1587" s="924">
        <v>-1</v>
      </c>
      <c r="H1587" s="924">
        <v>-1</v>
      </c>
      <c r="I1587" s="924">
        <v>-1</v>
      </c>
      <c r="J1587" s="924">
        <v>-0.33333333333333343</v>
      </c>
      <c r="K1587" s="924">
        <v>-0.33333333333333343</v>
      </c>
      <c r="L1587" s="924">
        <v>0.11111111111111116</v>
      </c>
      <c r="M1587" s="924">
        <v>0.11111111111111116</v>
      </c>
      <c r="N1587" s="924">
        <v>0.11111111111111116</v>
      </c>
      <c r="O1587" s="924">
        <v>0.11111111111111116</v>
      </c>
      <c r="P1587" s="924">
        <v>0.11111111111111116</v>
      </c>
      <c r="Q1587" s="924">
        <v>0.11111111111111116</v>
      </c>
      <c r="R1587" s="924">
        <v>0.11111111111111116</v>
      </c>
      <c r="S1587" s="924">
        <v>0.11111111111111116</v>
      </c>
      <c r="T1587" s="924">
        <v>-1</v>
      </c>
      <c r="U1587" s="924">
        <v>-1</v>
      </c>
      <c r="V1587" s="924">
        <v>-1</v>
      </c>
      <c r="W1587" s="924">
        <v>-1</v>
      </c>
      <c r="X1587" s="924">
        <v>-1</v>
      </c>
      <c r="Y1587" s="924">
        <v>-1</v>
      </c>
      <c r="Z1587" s="924">
        <f ca="1">_xlfn.XLOOKUP(A1483,TabCalc[Ticker],TabCalc[Imp20])</f>
        <v>-1</v>
      </c>
      <c r="AB1587" s="924">
        <v>-1</v>
      </c>
      <c r="AC1587" s="924">
        <v>-1</v>
      </c>
      <c r="AD1587" s="924">
        <v>-1</v>
      </c>
      <c r="AE1587" s="924">
        <v>-1</v>
      </c>
      <c r="AF1587" s="924">
        <v>4.587155963302747E-2</v>
      </c>
      <c r="AG1587" s="924">
        <v>4.587155963302747E-2</v>
      </c>
      <c r="AH1587" s="924">
        <v>5.4545454545454453E-2</v>
      </c>
      <c r="AI1587" s="924">
        <v>5.4545454545454453E-2</v>
      </c>
      <c r="AJ1587" s="924">
        <v>5.4545454545454453E-2</v>
      </c>
      <c r="AK1587" s="924">
        <v>5.4545454545454453E-2</v>
      </c>
      <c r="AL1587" s="924">
        <v>5.4545454545454453E-2</v>
      </c>
      <c r="AM1587" s="924">
        <v>-4.8543689320388328E-2</v>
      </c>
      <c r="AN1587" s="924">
        <v>-4.8543689320388328E-2</v>
      </c>
      <c r="AO1587" s="924">
        <v>-4.8543689320388328E-2</v>
      </c>
      <c r="AP1587" s="924">
        <v>-0.66666666666666674</v>
      </c>
      <c r="AQ1587" s="924">
        <v>-0.66666666666666674</v>
      </c>
      <c r="AR1587" s="924">
        <v>-0.66666666666666674</v>
      </c>
      <c r="AS1587" s="924">
        <v>-0.66666666666666674</v>
      </c>
      <c r="AT1587" s="924">
        <v>-0.66666666666666674</v>
      </c>
      <c r="AU1587" s="924">
        <v>-0.66666666666666674</v>
      </c>
      <c r="AV1587" s="924">
        <f ca="1">_xlfn.XLOOKUP(A1587,TabCalc[Ticker],TabCalc[Imp150])</f>
        <v>-0.66666666666666674</v>
      </c>
      <c r="AX1587" s="88" t="str">
        <f t="shared" ca="1" si="119"/>
        <v>X</v>
      </c>
    </row>
    <row r="1588" spans="1:50" x14ac:dyDescent="0.3">
      <c r="A1588" s="88" t="str">
        <f t="shared" ca="1" si="120"/>
        <v>LOCK</v>
      </c>
      <c r="F1588" s="924">
        <v>0.47368421052631571</v>
      </c>
      <c r="G1588" s="924">
        <v>0.47368421052631571</v>
      </c>
      <c r="H1588" s="924">
        <v>-1</v>
      </c>
      <c r="I1588" s="924">
        <v>-1</v>
      </c>
      <c r="J1588" s="924">
        <v>-0.30434782608695654</v>
      </c>
      <c r="K1588" s="924">
        <v>-0.30434782608695654</v>
      </c>
      <c r="L1588" s="924">
        <v>-1</v>
      </c>
      <c r="M1588" s="924">
        <v>-1</v>
      </c>
      <c r="N1588" s="924">
        <v>-0.27272727272727271</v>
      </c>
      <c r="O1588" s="924">
        <v>-0.16666666666666657</v>
      </c>
      <c r="P1588" s="924">
        <v>0.19999999999999996</v>
      </c>
      <c r="Q1588" s="924">
        <v>0</v>
      </c>
      <c r="R1588" s="924">
        <v>0</v>
      </c>
      <c r="S1588" s="924">
        <v>-1</v>
      </c>
      <c r="T1588" s="924">
        <v>-1</v>
      </c>
      <c r="U1588" s="924">
        <v>-1</v>
      </c>
      <c r="V1588" s="924">
        <v>-1</v>
      </c>
      <c r="W1588" s="924">
        <v>-1</v>
      </c>
      <c r="X1588" s="924">
        <v>-1</v>
      </c>
      <c r="Y1588" s="924">
        <v>-1</v>
      </c>
      <c r="Z1588" s="924">
        <f ca="1">_xlfn.XLOOKUP(A1484,TabCalc[Ticker],TabCalc[Imp20])</f>
        <v>-1</v>
      </c>
      <c r="AB1588" s="924">
        <v>1.4285714285714235E-2</v>
      </c>
      <c r="AC1588" s="924">
        <v>1.4285714285714235E-2</v>
      </c>
      <c r="AD1588" s="924">
        <v>-1</v>
      </c>
      <c r="AE1588" s="924">
        <v>-1</v>
      </c>
      <c r="AF1588" s="924">
        <v>1.4285714285714235E-2</v>
      </c>
      <c r="AG1588" s="924">
        <v>1.4285714285714235E-2</v>
      </c>
      <c r="AH1588" s="924">
        <v>-1</v>
      </c>
      <c r="AI1588" s="924">
        <v>-1</v>
      </c>
      <c r="AJ1588" s="924">
        <v>1.4285714285714235E-2</v>
      </c>
      <c r="AK1588" s="924">
        <v>2.857142857142847E-2</v>
      </c>
      <c r="AL1588" s="924">
        <v>2.1582733812949728E-2</v>
      </c>
      <c r="AM1588" s="924">
        <v>-1</v>
      </c>
      <c r="AN1588" s="924">
        <v>-1</v>
      </c>
      <c r="AO1588" s="924">
        <v>-1</v>
      </c>
      <c r="AP1588" s="924">
        <v>-0.45454545454545459</v>
      </c>
      <c r="AQ1588" s="924">
        <v>-0.45454545454545459</v>
      </c>
      <c r="AR1588" s="924">
        <v>-0.45454545454545459</v>
      </c>
      <c r="AS1588" s="924">
        <v>-0.45454545454545459</v>
      </c>
      <c r="AT1588" s="924">
        <v>-0.45454545454545459</v>
      </c>
      <c r="AU1588" s="924">
        <v>-0.45454545454545459</v>
      </c>
      <c r="AV1588" s="924">
        <f ca="1">_xlfn.XLOOKUP(A1588,TabCalc[Ticker],TabCalc[Imp150])</f>
        <v>-0.45454545454545459</v>
      </c>
      <c r="AX1588" s="88" t="str">
        <f t="shared" ca="1" si="119"/>
        <v>LOCK</v>
      </c>
    </row>
    <row r="1589" spans="1:50" x14ac:dyDescent="0.3">
      <c r="A1589" s="88" t="str">
        <f t="shared" ca="1" si="120"/>
        <v>JBASML</v>
      </c>
      <c r="F1589" s="924">
        <v>0</v>
      </c>
      <c r="G1589" s="924">
        <v>0</v>
      </c>
      <c r="H1589" s="924">
        <v>0</v>
      </c>
      <c r="I1589" s="924">
        <v>0</v>
      </c>
      <c r="J1589" s="924">
        <v>0</v>
      </c>
      <c r="K1589" s="924">
        <v>0</v>
      </c>
      <c r="L1589" s="924">
        <v>0</v>
      </c>
      <c r="M1589" s="924">
        <v>0</v>
      </c>
      <c r="N1589" s="924">
        <v>0</v>
      </c>
      <c r="O1589" s="924">
        <v>0</v>
      </c>
      <c r="P1589" s="924">
        <v>0</v>
      </c>
      <c r="Q1589" s="924">
        <v>0</v>
      </c>
      <c r="R1589" s="924">
        <v>0</v>
      </c>
      <c r="S1589" s="924">
        <v>0</v>
      </c>
      <c r="T1589" s="924">
        <v>0</v>
      </c>
      <c r="U1589" s="924">
        <v>0</v>
      </c>
      <c r="V1589" s="924">
        <v>0</v>
      </c>
      <c r="W1589" s="924">
        <v>0</v>
      </c>
      <c r="X1589" s="924">
        <v>0</v>
      </c>
      <c r="Y1589" s="924">
        <v>0</v>
      </c>
      <c r="Z1589" s="924">
        <f ca="1">_xlfn.XLOOKUP(A1485,TabCalc[Ticker],TabCalc[Imp20])</f>
        <v>0</v>
      </c>
      <c r="AB1589" s="924">
        <v>8.256880733944949E-2</v>
      </c>
      <c r="AC1589" s="924">
        <v>8.256880733944949E-2</v>
      </c>
      <c r="AD1589" s="924">
        <v>8.256880733944949E-2</v>
      </c>
      <c r="AE1589" s="924">
        <v>8.256880733944949E-2</v>
      </c>
      <c r="AF1589" s="924">
        <v>8.256880733944949E-2</v>
      </c>
      <c r="AG1589" s="924">
        <v>8.256880733944949E-2</v>
      </c>
      <c r="AH1589" s="924">
        <v>8.256880733944949E-2</v>
      </c>
      <c r="AI1589" s="924">
        <v>8.256880733944949E-2</v>
      </c>
      <c r="AJ1589" s="924">
        <v>8.256880733944949E-2</v>
      </c>
      <c r="AK1589" s="924">
        <v>8.256880733944949E-2</v>
      </c>
      <c r="AL1589" s="924">
        <v>8.256880733944949E-2</v>
      </c>
      <c r="AM1589" s="924">
        <v>0.11475409836065564</v>
      </c>
      <c r="AN1589" s="924">
        <v>0.11475409836065564</v>
      </c>
      <c r="AO1589" s="924">
        <v>0.11475409836065564</v>
      </c>
      <c r="AP1589" s="924">
        <v>-0.33333333333333343</v>
      </c>
      <c r="AQ1589" s="924">
        <v>0.125</v>
      </c>
      <c r="AR1589" s="924">
        <v>0.125</v>
      </c>
      <c r="AS1589" s="924">
        <v>0.125</v>
      </c>
      <c r="AT1589" s="924">
        <v>0.125</v>
      </c>
      <c r="AU1589" s="924">
        <v>0.125</v>
      </c>
      <c r="AV1589" s="924">
        <f ca="1">_xlfn.XLOOKUP(A1589,TabCalc[Ticker],TabCalc[Imp150])</f>
        <v>0.125</v>
      </c>
      <c r="AX1589" s="88" t="str">
        <f t="shared" ca="1" si="119"/>
        <v>JBASML</v>
      </c>
    </row>
    <row r="1590" spans="1:50" x14ac:dyDescent="0.3">
      <c r="A1590" s="88" t="str">
        <f t="shared" ca="1" si="120"/>
        <v>JBEOAN</v>
      </c>
      <c r="F1590" s="924">
        <v>0.28571428571428581</v>
      </c>
      <c r="G1590" s="924">
        <v>0.28571428571428581</v>
      </c>
      <c r="H1590" s="924">
        <v>-1</v>
      </c>
      <c r="I1590" s="924">
        <v>-1</v>
      </c>
      <c r="J1590" s="924">
        <v>-1</v>
      </c>
      <c r="K1590" s="924">
        <v>-1</v>
      </c>
      <c r="L1590" s="924">
        <v>-1</v>
      </c>
      <c r="M1590" s="924">
        <v>-1</v>
      </c>
      <c r="N1590" s="924">
        <v>-1</v>
      </c>
      <c r="O1590" s="924">
        <v>0.71428571428571419</v>
      </c>
      <c r="P1590" s="924">
        <v>0</v>
      </c>
      <c r="Q1590" s="924">
        <v>0</v>
      </c>
      <c r="R1590" s="924">
        <v>0</v>
      </c>
      <c r="S1590" s="924">
        <v>-1</v>
      </c>
      <c r="T1590" s="924">
        <v>-1</v>
      </c>
      <c r="U1590" s="924">
        <v>-1</v>
      </c>
      <c r="V1590" s="924">
        <v>-1</v>
      </c>
      <c r="W1590" s="924">
        <v>-1</v>
      </c>
      <c r="X1590" s="924">
        <v>-1</v>
      </c>
      <c r="Y1590" s="924">
        <v>-1</v>
      </c>
      <c r="Z1590" s="924">
        <f ca="1">_xlfn.XLOOKUP(A1486,TabCalc[Ticker],TabCalc[Imp20])</f>
        <v>-1</v>
      </c>
      <c r="AB1590" s="924">
        <v>0.19658119658119655</v>
      </c>
      <c r="AC1590" s="924">
        <v>0.19658119658119655</v>
      </c>
      <c r="AD1590" s="924">
        <v>-1</v>
      </c>
      <c r="AE1590" s="924">
        <v>-1</v>
      </c>
      <c r="AF1590" s="924">
        <v>-1</v>
      </c>
      <c r="AG1590" s="924">
        <v>-1</v>
      </c>
      <c r="AH1590" s="924">
        <v>-1</v>
      </c>
      <c r="AI1590" s="924">
        <v>-1</v>
      </c>
      <c r="AJ1590" s="924">
        <v>-1</v>
      </c>
      <c r="AK1590" s="924">
        <v>0.19999999999999996</v>
      </c>
      <c r="AL1590" s="924">
        <v>0.21739130434782616</v>
      </c>
      <c r="AM1590" s="924">
        <v>-1</v>
      </c>
      <c r="AN1590" s="924">
        <v>-1</v>
      </c>
      <c r="AO1590" s="924">
        <v>-1</v>
      </c>
      <c r="AP1590" s="924">
        <v>0</v>
      </c>
      <c r="AQ1590" s="924">
        <v>0</v>
      </c>
      <c r="AR1590" s="924">
        <v>0</v>
      </c>
      <c r="AS1590" s="924">
        <v>-1</v>
      </c>
      <c r="AT1590" s="924">
        <v>-1</v>
      </c>
      <c r="AU1590" s="924">
        <v>-1</v>
      </c>
      <c r="AV1590" s="924">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45952</v>
      </c>
      <c r="AC1594" s="62">
        <f t="shared" ca="1" si="121"/>
        <v>45953</v>
      </c>
      <c r="AD1594" s="62">
        <f t="shared" ca="1" si="121"/>
        <v>45954</v>
      </c>
      <c r="AE1594" s="62">
        <f t="shared" ca="1" si="121"/>
        <v>45957</v>
      </c>
      <c r="AF1594" s="62">
        <f t="shared" ca="1" si="121"/>
        <v>45958</v>
      </c>
      <c r="AG1594" s="62">
        <f t="shared" ca="1" si="121"/>
        <v>45959</v>
      </c>
      <c r="AH1594" s="62">
        <f t="shared" ca="1" si="121"/>
        <v>45960</v>
      </c>
      <c r="AI1594" s="62">
        <f t="shared" ca="1" si="121"/>
        <v>45961</v>
      </c>
      <c r="AJ1594" s="62">
        <f t="shared" ca="1" si="121"/>
        <v>45964</v>
      </c>
      <c r="AK1594" s="62">
        <f t="shared" ca="1" si="121"/>
        <v>45965</v>
      </c>
      <c r="AL1594" s="62">
        <f t="shared" ca="1" si="121"/>
        <v>45966</v>
      </c>
      <c r="AM1594" s="62">
        <f t="shared" ca="1" si="121"/>
        <v>45967</v>
      </c>
      <c r="AN1594" s="62">
        <f t="shared" ca="1" si="121"/>
        <v>45968</v>
      </c>
      <c r="AO1594" s="62">
        <f t="shared" ca="1" si="121"/>
        <v>45971</v>
      </c>
      <c r="AP1594" s="62">
        <f t="shared" ca="1" si="121"/>
        <v>45972</v>
      </c>
      <c r="AQ1594" s="62">
        <f t="shared" ca="1" si="121"/>
        <v>45973</v>
      </c>
      <c r="AR1594" s="62">
        <f t="shared" ca="1" si="121"/>
        <v>45974</v>
      </c>
      <c r="AS1594" s="62">
        <f t="shared" ca="1" si="121"/>
        <v>45975</v>
      </c>
      <c r="AT1594" s="62">
        <f t="shared" ca="1" si="121"/>
        <v>45978</v>
      </c>
      <c r="AU1594" s="62">
        <f t="shared" ca="1" si="121"/>
        <v>45979</v>
      </c>
      <c r="AV1594" s="62">
        <f t="shared" ca="1" si="121"/>
        <v>45980</v>
      </c>
      <c r="AX1594" s="88"/>
    </row>
    <row r="1595" spans="1:50" x14ac:dyDescent="0.3">
      <c r="A1595" s="88"/>
      <c r="F1595" s="62">
        <f t="shared" ref="F1595:Z1595" ca="1" si="122">F1495</f>
        <v>45952</v>
      </c>
      <c r="G1595" s="62">
        <f t="shared" ca="1" si="122"/>
        <v>45953</v>
      </c>
      <c r="H1595" s="62">
        <f t="shared" ca="1" si="122"/>
        <v>45954</v>
      </c>
      <c r="I1595" s="62">
        <f t="shared" ca="1" si="122"/>
        <v>45957</v>
      </c>
      <c r="J1595" s="62">
        <f t="shared" ca="1" si="122"/>
        <v>45958</v>
      </c>
      <c r="K1595" s="62">
        <f t="shared" ca="1" si="122"/>
        <v>45959</v>
      </c>
      <c r="L1595" s="62">
        <f t="shared" ca="1" si="122"/>
        <v>45960</v>
      </c>
      <c r="M1595" s="62">
        <f t="shared" ca="1" si="122"/>
        <v>45961</v>
      </c>
      <c r="N1595" s="62">
        <f t="shared" ca="1" si="122"/>
        <v>45964</v>
      </c>
      <c r="O1595" s="62">
        <f t="shared" ca="1" si="122"/>
        <v>45965</v>
      </c>
      <c r="P1595" s="62">
        <f t="shared" ca="1" si="122"/>
        <v>45966</v>
      </c>
      <c r="Q1595" s="62">
        <f t="shared" ca="1" si="122"/>
        <v>45967</v>
      </c>
      <c r="R1595" s="62">
        <f t="shared" ca="1" si="122"/>
        <v>45968</v>
      </c>
      <c r="S1595" s="62">
        <f t="shared" ca="1" si="122"/>
        <v>45971</v>
      </c>
      <c r="T1595" s="62">
        <f t="shared" ca="1" si="122"/>
        <v>45972</v>
      </c>
      <c r="U1595" s="62">
        <f t="shared" ca="1" si="122"/>
        <v>45973</v>
      </c>
      <c r="V1595" s="62">
        <f t="shared" ca="1" si="122"/>
        <v>45974</v>
      </c>
      <c r="W1595" s="62">
        <f t="shared" ca="1" si="122"/>
        <v>45975</v>
      </c>
      <c r="X1595" s="62">
        <f t="shared" ca="1" si="122"/>
        <v>45978</v>
      </c>
      <c r="Y1595" s="62">
        <f t="shared" ca="1" si="122"/>
        <v>45979</v>
      </c>
      <c r="Z1595" s="62">
        <f t="shared" ca="1" si="122"/>
        <v>45980</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24" t="e">
        <v>#N/A</v>
      </c>
      <c r="AC1596" s="924" t="e">
        <v>#N/A</v>
      </c>
      <c r="AD1596" s="924" t="e">
        <v>#N/A</v>
      </c>
      <c r="AE1596" s="924" t="e">
        <v>#N/A</v>
      </c>
      <c r="AF1596" s="924" t="e">
        <v>#N/A</v>
      </c>
      <c r="AG1596" s="924" t="e">
        <v>#N/A</v>
      </c>
      <c r="AH1596" s="924" t="e">
        <v>#N/A</v>
      </c>
      <c r="AI1596" s="924" t="e">
        <v>#N/A</v>
      </c>
      <c r="AJ1596" s="924" t="e">
        <v>#N/A</v>
      </c>
      <c r="AK1596" s="924" t="e">
        <v>#N/A</v>
      </c>
      <c r="AL1596" s="924" t="e">
        <v>#N/A</v>
      </c>
      <c r="AM1596" s="924" t="e">
        <v>#N/A</v>
      </c>
      <c r="AN1596" s="924" t="e">
        <v>#N/A</v>
      </c>
      <c r="AO1596" s="924" t="e">
        <v>#N/A</v>
      </c>
      <c r="AP1596" s="924" t="e">
        <v>#N/A</v>
      </c>
      <c r="AQ1596" s="924" t="e">
        <v>#N/A</v>
      </c>
      <c r="AR1596" s="924" t="e">
        <v>#N/A</v>
      </c>
      <c r="AS1596" s="924" t="e">
        <v>#N/A</v>
      </c>
      <c r="AT1596" s="924" t="e">
        <v>#N/A</v>
      </c>
      <c r="AU1596" s="924" t="e">
        <v>#N/A</v>
      </c>
      <c r="AV1596" s="924" t="e">
        <f t="shared" ref="AV1596:AV1659" si="124">SUMPRODUCT(AB1497:AV1497,AB1497:AV1497)</f>
        <v>#N/A</v>
      </c>
      <c r="AX1596" s="88" t="str">
        <f t="shared" ca="1" si="119"/>
        <v>AAPL</v>
      </c>
    </row>
    <row r="1597" spans="1:50" x14ac:dyDescent="0.3">
      <c r="A1597" s="88" t="str">
        <f t="shared" ca="1" si="123"/>
        <v>ADEA</v>
      </c>
      <c r="F1597" s="924" t="e">
        <v>#N/A</v>
      </c>
      <c r="G1597" s="924" t="e">
        <v>#N/A</v>
      </c>
      <c r="H1597" s="924" t="e">
        <v>#N/A</v>
      </c>
      <c r="I1597" s="924" t="e">
        <v>#N/A</v>
      </c>
      <c r="J1597" s="924" t="e">
        <v>#N/A</v>
      </c>
      <c r="K1597" s="924" t="e">
        <v>#N/A</v>
      </c>
      <c r="L1597" s="924" t="e">
        <v>#N/A</v>
      </c>
      <c r="M1597" s="924" t="e">
        <v>#N/A</v>
      </c>
      <c r="N1597" s="924" t="e">
        <v>#N/A</v>
      </c>
      <c r="O1597" s="924" t="e">
        <v>#N/A</v>
      </c>
      <c r="P1597" s="924" t="e">
        <v>#N/A</v>
      </c>
      <c r="Q1597" s="924" t="e">
        <v>#N/A</v>
      </c>
      <c r="R1597" s="924" t="e">
        <v>#N/A</v>
      </c>
      <c r="S1597" s="924" t="e">
        <v>#N/A</v>
      </c>
      <c r="T1597" s="924" t="e">
        <v>#N/A</v>
      </c>
      <c r="U1597" s="924" t="e">
        <v>#N/A</v>
      </c>
      <c r="V1597" s="924" t="e">
        <v>#N/A</v>
      </c>
      <c r="W1597" s="924" t="e">
        <v>#N/A</v>
      </c>
      <c r="X1597" s="924" t="e">
        <v>#N/A</v>
      </c>
      <c r="Y1597" s="924" t="e">
        <v>#N/A</v>
      </c>
      <c r="Z1597" s="924" t="e">
        <f t="shared" ref="Z1597:Z1660" si="125">SUMPRODUCT(F1497:Z1497,F1497:Z1497)</f>
        <v>#N/A</v>
      </c>
      <c r="AB1597" s="924" t="e">
        <v>#N/A</v>
      </c>
      <c r="AC1597" s="924" t="e">
        <v>#N/A</v>
      </c>
      <c r="AD1597" s="924" t="e">
        <v>#N/A</v>
      </c>
      <c r="AE1597" s="924" t="e">
        <v>#N/A</v>
      </c>
      <c r="AF1597" s="924" t="e">
        <v>#N/A</v>
      </c>
      <c r="AG1597" s="924" t="e">
        <v>#N/A</v>
      </c>
      <c r="AH1597" s="924" t="e">
        <v>#N/A</v>
      </c>
      <c r="AI1597" s="924" t="e">
        <v>#N/A</v>
      </c>
      <c r="AJ1597" s="924" t="e">
        <v>#N/A</v>
      </c>
      <c r="AK1597" s="924" t="e">
        <v>#N/A</v>
      </c>
      <c r="AL1597" s="924" t="e">
        <v>#N/A</v>
      </c>
      <c r="AM1597" s="924" t="e">
        <v>#N/A</v>
      </c>
      <c r="AN1597" s="924" t="e">
        <v>#N/A</v>
      </c>
      <c r="AO1597" s="924" t="e">
        <v>#N/A</v>
      </c>
      <c r="AP1597" s="924" t="e">
        <v>#N/A</v>
      </c>
      <c r="AQ1597" s="924" t="e">
        <v>#N/A</v>
      </c>
      <c r="AR1597" s="924" t="e">
        <v>#N/A</v>
      </c>
      <c r="AS1597" s="924" t="e">
        <v>#N/A</v>
      </c>
      <c r="AT1597" s="924" t="e">
        <v>#N/A</v>
      </c>
      <c r="AU1597" s="924" t="e">
        <v>#N/A</v>
      </c>
      <c r="AV1597" s="924" t="e">
        <f t="shared" si="124"/>
        <v>#N/A</v>
      </c>
      <c r="AX1597" s="88" t="str">
        <f t="shared" ca="1" si="119"/>
        <v>ADEA</v>
      </c>
    </row>
    <row r="1598" spans="1:50" x14ac:dyDescent="0.3">
      <c r="A1598" s="88" t="str">
        <f t="shared" ca="1" si="123"/>
        <v>AET</v>
      </c>
      <c r="F1598" s="924" t="e">
        <v>#N/A</v>
      </c>
      <c r="G1598" s="924" t="e">
        <v>#N/A</v>
      </c>
      <c r="H1598" s="924" t="e">
        <v>#N/A</v>
      </c>
      <c r="I1598" s="924" t="e">
        <v>#N/A</v>
      </c>
      <c r="J1598" s="924" t="e">
        <v>#N/A</v>
      </c>
      <c r="K1598" s="924" t="e">
        <v>#N/A</v>
      </c>
      <c r="L1598" s="924" t="e">
        <v>#N/A</v>
      </c>
      <c r="M1598" s="924" t="e">
        <v>#N/A</v>
      </c>
      <c r="N1598" s="924" t="e">
        <v>#N/A</v>
      </c>
      <c r="O1598" s="924" t="e">
        <v>#N/A</v>
      </c>
      <c r="P1598" s="924" t="e">
        <v>#N/A</v>
      </c>
      <c r="Q1598" s="924" t="e">
        <v>#N/A</v>
      </c>
      <c r="R1598" s="924" t="e">
        <v>#N/A</v>
      </c>
      <c r="S1598" s="924" t="e">
        <v>#N/A</v>
      </c>
      <c r="T1598" s="924" t="e">
        <v>#N/A</v>
      </c>
      <c r="U1598" s="924" t="e">
        <v>#N/A</v>
      </c>
      <c r="V1598" s="924" t="e">
        <v>#N/A</v>
      </c>
      <c r="W1598" s="924" t="e">
        <v>#N/A</v>
      </c>
      <c r="X1598" s="924" t="e">
        <v>#N/A</v>
      </c>
      <c r="Y1598" s="924" t="e">
        <v>#N/A</v>
      </c>
      <c r="Z1598" s="924" t="e">
        <f t="shared" si="125"/>
        <v>#N/A</v>
      </c>
      <c r="AB1598" s="924" t="e">
        <v>#N/A</v>
      </c>
      <c r="AC1598" s="924" t="e">
        <v>#N/A</v>
      </c>
      <c r="AD1598" s="924" t="e">
        <v>#N/A</v>
      </c>
      <c r="AE1598" s="924" t="e">
        <v>#N/A</v>
      </c>
      <c r="AF1598" s="924" t="e">
        <v>#N/A</v>
      </c>
      <c r="AG1598" s="924" t="e">
        <v>#N/A</v>
      </c>
      <c r="AH1598" s="924" t="e">
        <v>#N/A</v>
      </c>
      <c r="AI1598" s="924" t="e">
        <v>#N/A</v>
      </c>
      <c r="AJ1598" s="924" t="e">
        <v>#N/A</v>
      </c>
      <c r="AK1598" s="924" t="e">
        <v>#N/A</v>
      </c>
      <c r="AL1598" s="924" t="e">
        <v>#N/A</v>
      </c>
      <c r="AM1598" s="924" t="e">
        <v>#N/A</v>
      </c>
      <c r="AN1598" s="924" t="e">
        <v>#N/A</v>
      </c>
      <c r="AO1598" s="924" t="e">
        <v>#N/A</v>
      </c>
      <c r="AP1598" s="924" t="e">
        <v>#N/A</v>
      </c>
      <c r="AQ1598" s="924" t="e">
        <v>#N/A</v>
      </c>
      <c r="AR1598" s="924" t="e">
        <v>#N/A</v>
      </c>
      <c r="AS1598" s="924" t="e">
        <v>#N/A</v>
      </c>
      <c r="AT1598" s="924" t="e">
        <v>#N/A</v>
      </c>
      <c r="AU1598" s="924" t="e">
        <v>#N/A</v>
      </c>
      <c r="AV1598" s="924" t="e">
        <f t="shared" si="124"/>
        <v>#N/A</v>
      </c>
      <c r="AX1598" s="88" t="str">
        <f t="shared" ca="1" si="119"/>
        <v>AET</v>
      </c>
    </row>
    <row r="1599" spans="1:50" x14ac:dyDescent="0.3">
      <c r="A1599" s="88" t="str">
        <f t="shared" ca="1" si="123"/>
        <v>AMZN</v>
      </c>
      <c r="F1599" s="924" t="e">
        <v>#N/A</v>
      </c>
      <c r="G1599" s="924" t="e">
        <v>#N/A</v>
      </c>
      <c r="H1599" s="924" t="e">
        <v>#N/A</v>
      </c>
      <c r="I1599" s="924" t="e">
        <v>#N/A</v>
      </c>
      <c r="J1599" s="924" t="e">
        <v>#N/A</v>
      </c>
      <c r="K1599" s="924" t="e">
        <v>#N/A</v>
      </c>
      <c r="L1599" s="924" t="e">
        <v>#N/A</v>
      </c>
      <c r="M1599" s="924" t="e">
        <v>#N/A</v>
      </c>
      <c r="N1599" s="924" t="e">
        <v>#N/A</v>
      </c>
      <c r="O1599" s="924" t="e">
        <v>#N/A</v>
      </c>
      <c r="P1599" s="924" t="e">
        <v>#N/A</v>
      </c>
      <c r="Q1599" s="924" t="e">
        <v>#N/A</v>
      </c>
      <c r="R1599" s="924" t="e">
        <v>#N/A</v>
      </c>
      <c r="S1599" s="924" t="e">
        <v>#N/A</v>
      </c>
      <c r="T1599" s="924" t="e">
        <v>#N/A</v>
      </c>
      <c r="U1599" s="924" t="e">
        <v>#N/A</v>
      </c>
      <c r="V1599" s="924" t="e">
        <v>#N/A</v>
      </c>
      <c r="W1599" s="924" t="e">
        <v>#N/A</v>
      </c>
      <c r="X1599" s="924" t="e">
        <v>#N/A</v>
      </c>
      <c r="Y1599" s="924" t="e">
        <v>#N/A</v>
      </c>
      <c r="Z1599" s="924" t="e">
        <f t="shared" si="125"/>
        <v>#N/A</v>
      </c>
      <c r="AB1599" s="924" t="e">
        <v>#N/A</v>
      </c>
      <c r="AC1599" s="924" t="e">
        <v>#N/A</v>
      </c>
      <c r="AD1599" s="924" t="e">
        <v>#N/A</v>
      </c>
      <c r="AE1599" s="924" t="e">
        <v>#N/A</v>
      </c>
      <c r="AF1599" s="924" t="e">
        <v>#N/A</v>
      </c>
      <c r="AG1599" s="924" t="e">
        <v>#N/A</v>
      </c>
      <c r="AH1599" s="924" t="e">
        <v>#N/A</v>
      </c>
      <c r="AI1599" s="924" t="e">
        <v>#N/A</v>
      </c>
      <c r="AJ1599" s="924" t="e">
        <v>#N/A</v>
      </c>
      <c r="AK1599" s="924" t="e">
        <v>#N/A</v>
      </c>
      <c r="AL1599" s="924" t="e">
        <v>#N/A</v>
      </c>
      <c r="AM1599" s="924" t="e">
        <v>#N/A</v>
      </c>
      <c r="AN1599" s="924" t="e">
        <v>#N/A</v>
      </c>
      <c r="AO1599" s="924" t="e">
        <v>#N/A</v>
      </c>
      <c r="AP1599" s="924" t="e">
        <v>#N/A</v>
      </c>
      <c r="AQ1599" s="924" t="e">
        <v>#N/A</v>
      </c>
      <c r="AR1599" s="924" t="e">
        <v>#N/A</v>
      </c>
      <c r="AS1599" s="924" t="e">
        <v>#N/A</v>
      </c>
      <c r="AT1599" s="924" t="e">
        <v>#N/A</v>
      </c>
      <c r="AU1599" s="924" t="e">
        <v>#N/A</v>
      </c>
      <c r="AV1599" s="924" t="e">
        <f t="shared" si="124"/>
        <v>#N/A</v>
      </c>
      <c r="AX1599" s="88" t="str">
        <f t="shared" ca="1" si="119"/>
        <v>AMZN</v>
      </c>
    </row>
    <row r="1600" spans="1:50" x14ac:dyDescent="0.3">
      <c r="A1600" s="88" t="str">
        <f t="shared" ca="1" si="123"/>
        <v>ALDNE</v>
      </c>
      <c r="F1600" s="924" t="e">
        <v>#N/A</v>
      </c>
      <c r="G1600" s="924" t="e">
        <v>#N/A</v>
      </c>
      <c r="H1600" s="924" t="e">
        <v>#N/A</v>
      </c>
      <c r="I1600" s="924" t="e">
        <v>#N/A</v>
      </c>
      <c r="J1600" s="924" t="e">
        <v>#N/A</v>
      </c>
      <c r="K1600" s="924" t="e">
        <v>#N/A</v>
      </c>
      <c r="L1600" s="924" t="e">
        <v>#N/A</v>
      </c>
      <c r="M1600" s="924" t="e">
        <v>#N/A</v>
      </c>
      <c r="N1600" s="924" t="e">
        <v>#N/A</v>
      </c>
      <c r="O1600" s="924" t="e">
        <v>#N/A</v>
      </c>
      <c r="P1600" s="924" t="e">
        <v>#N/A</v>
      </c>
      <c r="Q1600" s="924" t="e">
        <v>#N/A</v>
      </c>
      <c r="R1600" s="924" t="e">
        <v>#N/A</v>
      </c>
      <c r="S1600" s="924" t="e">
        <v>#N/A</v>
      </c>
      <c r="T1600" s="924" t="e">
        <v>#N/A</v>
      </c>
      <c r="U1600" s="924" t="e">
        <v>#N/A</v>
      </c>
      <c r="V1600" s="924" t="e">
        <v>#N/A</v>
      </c>
      <c r="W1600" s="924" t="e">
        <v>#N/A</v>
      </c>
      <c r="X1600" s="924" t="e">
        <v>#N/A</v>
      </c>
      <c r="Y1600" s="924" t="e">
        <v>#N/A</v>
      </c>
      <c r="Z1600" s="924" t="e">
        <f t="shared" si="125"/>
        <v>#N/A</v>
      </c>
      <c r="AB1600" s="924" t="e">
        <v>#N/A</v>
      </c>
      <c r="AC1600" s="924" t="e">
        <v>#N/A</v>
      </c>
      <c r="AD1600" s="924" t="e">
        <v>#N/A</v>
      </c>
      <c r="AE1600" s="924" t="e">
        <v>#N/A</v>
      </c>
      <c r="AF1600" s="924" t="e">
        <v>#N/A</v>
      </c>
      <c r="AG1600" s="924" t="e">
        <v>#N/A</v>
      </c>
      <c r="AH1600" s="924" t="e">
        <v>#N/A</v>
      </c>
      <c r="AI1600" s="924" t="e">
        <v>#N/A</v>
      </c>
      <c r="AJ1600" s="924" t="e">
        <v>#N/A</v>
      </c>
      <c r="AK1600" s="924" t="e">
        <v>#N/A</v>
      </c>
      <c r="AL1600" s="924" t="e">
        <v>#N/A</v>
      </c>
      <c r="AM1600" s="924" t="e">
        <v>#N/A</v>
      </c>
      <c r="AN1600" s="924" t="e">
        <v>#N/A</v>
      </c>
      <c r="AO1600" s="924" t="e">
        <v>#N/A</v>
      </c>
      <c r="AP1600" s="924" t="e">
        <v>#N/A</v>
      </c>
      <c r="AQ1600" s="924" t="e">
        <v>#N/A</v>
      </c>
      <c r="AR1600" s="924" t="e">
        <v>#N/A</v>
      </c>
      <c r="AS1600" s="924" t="e">
        <v>#N/A</v>
      </c>
      <c r="AT1600" s="924" t="e">
        <v>#N/A</v>
      </c>
      <c r="AU1600" s="924" t="e">
        <v>#N/A</v>
      </c>
      <c r="AV1600" s="924" t="e">
        <f t="shared" si="124"/>
        <v>#N/A</v>
      </c>
      <c r="AX1600" s="88" t="str">
        <f t="shared" ca="1" si="119"/>
        <v>ALDNE</v>
      </c>
    </row>
    <row r="1601" spans="1:50" x14ac:dyDescent="0.3">
      <c r="A1601" s="88" t="str">
        <f t="shared" ca="1" si="123"/>
        <v>ASML</v>
      </c>
      <c r="F1601" s="924" t="e">
        <v>#N/A</v>
      </c>
      <c r="G1601" s="924" t="e">
        <v>#N/A</v>
      </c>
      <c r="H1601" s="924" t="e">
        <v>#N/A</v>
      </c>
      <c r="I1601" s="924" t="e">
        <v>#N/A</v>
      </c>
      <c r="J1601" s="924" t="e">
        <v>#N/A</v>
      </c>
      <c r="K1601" s="924" t="e">
        <v>#N/A</v>
      </c>
      <c r="L1601" s="924" t="e">
        <v>#N/A</v>
      </c>
      <c r="M1601" s="924" t="e">
        <v>#N/A</v>
      </c>
      <c r="N1601" s="924" t="e">
        <v>#N/A</v>
      </c>
      <c r="O1601" s="924" t="e">
        <v>#N/A</v>
      </c>
      <c r="P1601" s="924" t="e">
        <v>#N/A</v>
      </c>
      <c r="Q1601" s="924" t="e">
        <v>#N/A</v>
      </c>
      <c r="R1601" s="924" t="e">
        <v>#N/A</v>
      </c>
      <c r="S1601" s="924" t="e">
        <v>#N/A</v>
      </c>
      <c r="T1601" s="924" t="e">
        <v>#N/A</v>
      </c>
      <c r="U1601" s="924" t="e">
        <v>#N/A</v>
      </c>
      <c r="V1601" s="924" t="e">
        <v>#N/A</v>
      </c>
      <c r="W1601" s="924" t="e">
        <v>#N/A</v>
      </c>
      <c r="X1601" s="924" t="e">
        <v>#N/A</v>
      </c>
      <c r="Y1601" s="924" t="e">
        <v>#N/A</v>
      </c>
      <c r="Z1601" s="924" t="e">
        <f t="shared" si="125"/>
        <v>#N/A</v>
      </c>
      <c r="AB1601" s="924">
        <v>2.1039628836956545</v>
      </c>
      <c r="AC1601" s="924">
        <v>1.1170130326741976</v>
      </c>
      <c r="AD1601" s="924">
        <v>1.1363008528268921</v>
      </c>
      <c r="AE1601" s="924">
        <v>1.1606919380331044</v>
      </c>
      <c r="AF1601" s="924">
        <v>3.1391873316293397</v>
      </c>
      <c r="AG1601" s="924">
        <v>2.1789072150214928</v>
      </c>
      <c r="AH1601" s="924">
        <v>4.157402608617728</v>
      </c>
      <c r="AI1601" s="924">
        <v>5.1563061654792692</v>
      </c>
      <c r="AJ1601" s="924">
        <v>4.1960260488714223</v>
      </c>
      <c r="AK1601" s="924">
        <v>4.2153377689982685</v>
      </c>
      <c r="AL1601" s="924">
        <v>4.2401178552880925</v>
      </c>
      <c r="AM1601" s="924">
        <v>4.256711640642334</v>
      </c>
      <c r="AN1601" s="924">
        <v>3.2358777202576303</v>
      </c>
      <c r="AO1601" s="924">
        <v>3.2433502461321062</v>
      </c>
      <c r="AP1601" s="924">
        <v>3.4467079880476703</v>
      </c>
      <c r="AQ1601" s="924">
        <v>3.3558718202472169</v>
      </c>
      <c r="AR1601" s="924">
        <v>3.3458006891777097</v>
      </c>
      <c r="AS1601" s="924">
        <v>3.340751542520171</v>
      </c>
      <c r="AT1601" s="924">
        <v>3.3504234702427982</v>
      </c>
      <c r="AU1601" s="924">
        <v>3.3571485058426558</v>
      </c>
      <c r="AV1601" s="924">
        <f t="shared" ca="1" si="124"/>
        <v>3.3571485058426558</v>
      </c>
      <c r="AX1601" s="88" t="str">
        <f t="shared" ca="1" si="119"/>
        <v>ASML</v>
      </c>
    </row>
    <row r="1602" spans="1:50" hidden="1" x14ac:dyDescent="0.3">
      <c r="A1602" s="88" t="str">
        <f t="shared" ca="1" si="123"/>
        <v>AVGO</v>
      </c>
      <c r="F1602" s="924">
        <v>5.7192077664399088</v>
      </c>
      <c r="G1602" s="924">
        <v>5.7192077664399088</v>
      </c>
      <c r="H1602" s="924">
        <v>6.6080966553287981</v>
      </c>
      <c r="I1602" s="924">
        <v>5.4652395124716548</v>
      </c>
      <c r="J1602" s="924">
        <v>7.2611578798185938</v>
      </c>
      <c r="K1602" s="924">
        <v>6.1183007369614506</v>
      </c>
      <c r="L1602" s="924">
        <v>7.9142191043083905</v>
      </c>
      <c r="M1602" s="924">
        <v>8.7305456349206345</v>
      </c>
      <c r="N1602" s="924">
        <v>7.5468721655328803</v>
      </c>
      <c r="O1602" s="924">
        <v>7.3631986961451243</v>
      </c>
      <c r="P1602" s="924">
        <v>8.0809311224489804</v>
      </c>
      <c r="Q1602" s="924">
        <v>8.4253061224489798</v>
      </c>
      <c r="R1602" s="924">
        <v>7.7853061224489801</v>
      </c>
      <c r="S1602" s="924">
        <v>9.3853061224489807</v>
      </c>
      <c r="T1602" s="924">
        <v>10.34530612244898</v>
      </c>
      <c r="U1602" s="924">
        <v>11.324897959183673</v>
      </c>
      <c r="V1602" s="924">
        <v>12.304489795918368</v>
      </c>
      <c r="W1602" s="924">
        <v>13.222857142857144</v>
      </c>
      <c r="X1602" s="924">
        <v>14.141224489795919</v>
      </c>
      <c r="Y1602" s="924">
        <v>15.120816326530612</v>
      </c>
      <c r="Z1602" s="924">
        <f t="shared" ca="1" si="125"/>
        <v>15.120816326530612</v>
      </c>
      <c r="AB1602" s="924">
        <v>12.009441563611539</v>
      </c>
      <c r="AC1602" s="924">
        <v>12.00944156361154</v>
      </c>
      <c r="AD1602" s="924">
        <v>13.009046844081695</v>
      </c>
      <c r="AE1602" s="924">
        <v>14.007950400943237</v>
      </c>
      <c r="AF1602" s="924">
        <v>15.006853957804777</v>
      </c>
      <c r="AG1602" s="924">
        <v>16.005757514666318</v>
      </c>
      <c r="AH1602" s="924">
        <v>15.007404555752824</v>
      </c>
      <c r="AI1602" s="924">
        <v>15.007679854726849</v>
      </c>
      <c r="AJ1602" s="924">
        <v>15.007955153700872</v>
      </c>
      <c r="AK1602" s="924">
        <v>15.008230452674894</v>
      </c>
      <c r="AL1602" s="924">
        <v>15.008230452674894</v>
      </c>
      <c r="AM1602" s="924">
        <v>14.009602194787377</v>
      </c>
      <c r="AN1602" s="924">
        <v>13.11493827554559</v>
      </c>
      <c r="AO1602" s="924">
        <v>12.143665652736052</v>
      </c>
      <c r="AP1602" s="924">
        <v>11.155754602076204</v>
      </c>
      <c r="AQ1602" s="924">
        <v>10.176162765341511</v>
      </c>
      <c r="AR1602" s="924">
        <v>9.1965709286068176</v>
      </c>
      <c r="AS1602" s="924">
        <v>8.2169790918721244</v>
      </c>
      <c r="AT1602" s="924">
        <v>7.3350750837314731</v>
      </c>
      <c r="AU1602" s="924">
        <v>6.4043271612938</v>
      </c>
      <c r="AV1602" s="924">
        <f t="shared" ca="1" si="124"/>
        <v>6.4043271612938</v>
      </c>
      <c r="AX1602" s="88" t="str">
        <f t="shared" ca="1" si="119"/>
        <v>AVGO</v>
      </c>
    </row>
    <row r="1603" spans="1:50" hidden="1" x14ac:dyDescent="0.3">
      <c r="A1603" s="88" t="str">
        <f t="shared" ca="1" si="123"/>
        <v>AZN</v>
      </c>
      <c r="F1603" s="924">
        <v>12.423150719854016</v>
      </c>
      <c r="G1603" s="924">
        <v>12.423150719854016</v>
      </c>
      <c r="H1603" s="924">
        <v>13.402742556588709</v>
      </c>
      <c r="I1603" s="924">
        <v>14.346053214185083</v>
      </c>
      <c r="J1603" s="924">
        <v>15.289363871781454</v>
      </c>
      <c r="K1603" s="924">
        <v>16.232674529377825</v>
      </c>
      <c r="L1603" s="924">
        <v>16.196393350239504</v>
      </c>
      <c r="M1603" s="924">
        <v>16.649908089468529</v>
      </c>
      <c r="N1603" s="924">
        <v>16.971903554321134</v>
      </c>
      <c r="O1603" s="924">
        <v>17.359658656361947</v>
      </c>
      <c r="P1603" s="924">
        <v>16.989297052154189</v>
      </c>
      <c r="Q1603" s="924">
        <v>16.029297052154192</v>
      </c>
      <c r="R1603" s="924">
        <v>15.069297052154191</v>
      </c>
      <c r="S1603" s="924">
        <v>14.10929705215419</v>
      </c>
      <c r="T1603" s="924">
        <v>15.069297052154191</v>
      </c>
      <c r="U1603" s="924">
        <v>15.069297052154191</v>
      </c>
      <c r="V1603" s="924">
        <v>15.069297052154191</v>
      </c>
      <c r="W1603" s="924">
        <v>15.069297052154191</v>
      </c>
      <c r="X1603" s="924">
        <v>15.069297052154193</v>
      </c>
      <c r="Y1603" s="924">
        <v>15.069297052154194</v>
      </c>
      <c r="Z1603" s="924">
        <f t="shared" ca="1" si="125"/>
        <v>15.069297052154194</v>
      </c>
      <c r="AB1603" s="924">
        <v>6.1301328290747223</v>
      </c>
      <c r="AC1603" s="924">
        <v>5.138130713931619</v>
      </c>
      <c r="AD1603" s="924">
        <v>5.1425761230199099</v>
      </c>
      <c r="AE1603" s="924">
        <v>5.1470215321082007</v>
      </c>
      <c r="AF1603" s="924">
        <v>5.1652153713637201</v>
      </c>
      <c r="AG1603" s="924">
        <v>5.1765349955356248</v>
      </c>
      <c r="AH1603" s="924">
        <v>5.1768409089003882</v>
      </c>
      <c r="AI1603" s="924">
        <v>5.1826536776687222</v>
      </c>
      <c r="AJ1603" s="924">
        <v>5.1827432414422585</v>
      </c>
      <c r="AK1603" s="924">
        <v>5.1856944077131937</v>
      </c>
      <c r="AL1603" s="924">
        <v>5.1337897136997821</v>
      </c>
      <c r="AM1603" s="924">
        <v>4.1379520446050888</v>
      </c>
      <c r="AN1603" s="924">
        <v>3.1254650518891696</v>
      </c>
      <c r="AO1603" s="924">
        <v>2.3476872741113919</v>
      </c>
      <c r="AP1603" s="924">
        <v>1.2773924895308912</v>
      </c>
      <c r="AQ1603" s="924">
        <v>0.29780065279619711</v>
      </c>
      <c r="AR1603" s="924">
        <v>0.31021093120460586</v>
      </c>
      <c r="AS1603" s="924">
        <v>0.32262120961301466</v>
      </c>
      <c r="AT1603" s="924">
        <v>2.2942151614908113</v>
      </c>
      <c r="AU1603" s="924">
        <v>3.2862172766339137</v>
      </c>
      <c r="AV1603" s="924">
        <f t="shared" ca="1" si="124"/>
        <v>3.2862172766339137</v>
      </c>
      <c r="AX1603" s="88" t="str">
        <f t="shared" ca="1" si="119"/>
        <v>AZN</v>
      </c>
    </row>
    <row r="1604" spans="1:50" hidden="1" x14ac:dyDescent="0.3">
      <c r="A1604" s="88" t="str">
        <f t="shared" ca="1" si="123"/>
        <v>BLDP</v>
      </c>
      <c r="F1604" s="924">
        <v>7.0921309700350701</v>
      </c>
      <c r="G1604" s="924">
        <v>6.2184387851903713</v>
      </c>
      <c r="H1604" s="924">
        <v>6.3641002055770661</v>
      </c>
      <c r="I1604" s="924">
        <v>6.5097616259637618</v>
      </c>
      <c r="J1604" s="924">
        <v>6.4003813847153888</v>
      </c>
      <c r="K1604" s="924">
        <v>6.4185219742845492</v>
      </c>
      <c r="L1604" s="924">
        <v>8.3958462373230986</v>
      </c>
      <c r="M1604" s="924">
        <v>9.393578663626954</v>
      </c>
      <c r="N1604" s="924">
        <v>10.391311089930808</v>
      </c>
      <c r="O1604" s="924">
        <v>10.10904351623466</v>
      </c>
      <c r="P1604" s="924">
        <v>9.9145763960532562</v>
      </c>
      <c r="Q1604" s="924">
        <v>9.025687507164367</v>
      </c>
      <c r="R1604" s="924">
        <v>9.914576396053258</v>
      </c>
      <c r="S1604" s="924">
        <v>9.914576396053258</v>
      </c>
      <c r="T1604" s="924">
        <v>9.9145763960532598</v>
      </c>
      <c r="U1604" s="924">
        <v>9.9145763960532598</v>
      </c>
      <c r="V1604" s="924">
        <v>10.745026223042878</v>
      </c>
      <c r="W1604" s="924">
        <v>11.575476050032499</v>
      </c>
      <c r="X1604" s="924">
        <v>12.405925877022117</v>
      </c>
      <c r="Y1604" s="924">
        <v>13.236375704011737</v>
      </c>
      <c r="Z1604" s="924">
        <f t="shared" ca="1" si="125"/>
        <v>13.236375704011737</v>
      </c>
      <c r="AB1604" s="924">
        <v>19.01938511468795</v>
      </c>
      <c r="AC1604" s="924">
        <v>20.000043857725537</v>
      </c>
      <c r="AD1604" s="924">
        <v>18.000681612827577</v>
      </c>
      <c r="AE1604" s="924">
        <v>17.001000490378598</v>
      </c>
      <c r="AF1604" s="924">
        <v>18.000681612827577</v>
      </c>
      <c r="AG1604" s="924">
        <v>18.000681612827577</v>
      </c>
      <c r="AH1604" s="924">
        <v>16.001319367929618</v>
      </c>
      <c r="AI1604" s="924">
        <v>15.00163824548064</v>
      </c>
      <c r="AJ1604" s="924">
        <v>14.00195712303166</v>
      </c>
      <c r="AK1604" s="924">
        <v>13.002276000582681</v>
      </c>
      <c r="AL1604" s="924">
        <v>13.003322929336196</v>
      </c>
      <c r="AM1604" s="924">
        <v>12.004027761351233</v>
      </c>
      <c r="AN1604" s="924">
        <v>14.811913265306123</v>
      </c>
      <c r="AO1604" s="924">
        <v>14.811913265306123</v>
      </c>
      <c r="AP1604" s="924">
        <v>12.891913265306121</v>
      </c>
      <c r="AQ1604" s="924">
        <v>11.93191326530612</v>
      </c>
      <c r="AR1604" s="924">
        <v>10.971913265306119</v>
      </c>
      <c r="AS1604" s="924">
        <v>9.93191326530612</v>
      </c>
      <c r="AT1604" s="924">
        <v>8.93191326530612</v>
      </c>
      <c r="AU1604" s="924">
        <v>7.9319132653061226</v>
      </c>
      <c r="AV1604" s="924">
        <f t="shared" ca="1" si="124"/>
        <v>7.9319132653061226</v>
      </c>
      <c r="AX1604" s="88" t="str">
        <f t="shared" ca="1" si="119"/>
        <v>BLDP</v>
      </c>
    </row>
    <row r="1605" spans="1:50" hidden="1" x14ac:dyDescent="0.3">
      <c r="A1605" s="88" t="str">
        <f t="shared" ca="1" si="123"/>
        <v>BMRA</v>
      </c>
      <c r="F1605" s="924">
        <v>19.02267573696145</v>
      </c>
      <c r="G1605" s="924">
        <v>20.002267573696145</v>
      </c>
      <c r="H1605" s="924">
        <v>18.224489795918366</v>
      </c>
      <c r="I1605" s="924">
        <v>17.335600907029477</v>
      </c>
      <c r="J1605" s="924">
        <v>18.224489795918366</v>
      </c>
      <c r="K1605" s="924">
        <v>18.224489795918366</v>
      </c>
      <c r="L1605" s="924">
        <v>18.224489795918366</v>
      </c>
      <c r="M1605" s="924">
        <v>18.224489795918366</v>
      </c>
      <c r="N1605" s="924">
        <v>17.504489795918367</v>
      </c>
      <c r="O1605" s="924">
        <v>17.144489795918368</v>
      </c>
      <c r="P1605" s="924">
        <v>18.502222222222223</v>
      </c>
      <c r="Q1605" s="924">
        <v>18.502222222222223</v>
      </c>
      <c r="R1605" s="924">
        <v>18.502222222222223</v>
      </c>
      <c r="S1605" s="924">
        <v>18.502222222222223</v>
      </c>
      <c r="T1605" s="924">
        <v>18.502222222222223</v>
      </c>
      <c r="U1605" s="924">
        <v>18.502222222222223</v>
      </c>
      <c r="V1605" s="924">
        <v>18.502222222222223</v>
      </c>
      <c r="W1605" s="924">
        <v>18.502222222222223</v>
      </c>
      <c r="X1605" s="924">
        <v>18.502222222222223</v>
      </c>
      <c r="Y1605" s="924">
        <v>18.502222222222223</v>
      </c>
      <c r="Z1605" s="924">
        <f t="shared" ca="1" si="125"/>
        <v>18.502222222222223</v>
      </c>
      <c r="AB1605" s="924">
        <v>4.2229750233642775</v>
      </c>
      <c r="AC1605" s="924">
        <v>3.2336765691431113</v>
      </c>
      <c r="AD1605" s="924">
        <v>5.2071423844449312</v>
      </c>
      <c r="AE1605" s="924">
        <v>6.1913097455255857</v>
      </c>
      <c r="AF1605" s="924">
        <v>5.1860556190029348</v>
      </c>
      <c r="AG1605" s="924">
        <v>5.1755122362819357</v>
      </c>
      <c r="AH1605" s="924">
        <v>7.1543903411642429</v>
      </c>
      <c r="AI1605" s="924">
        <v>8.1385577022448974</v>
      </c>
      <c r="AJ1605" s="924">
        <v>7.1306789631713432</v>
      </c>
      <c r="AK1605" s="924">
        <v>7.1188232741748934</v>
      </c>
      <c r="AL1605" s="924">
        <v>6.122800224097789</v>
      </c>
      <c r="AM1605" s="924">
        <v>5.1267771740206847</v>
      </c>
      <c r="AN1605" s="924">
        <v>4.5381796575853306</v>
      </c>
      <c r="AO1605" s="924">
        <v>4.6385892229176067</v>
      </c>
      <c r="AP1605" s="924">
        <v>4.7389987882498819</v>
      </c>
      <c r="AQ1605" s="924">
        <v>4.8394083535821579</v>
      </c>
      <c r="AR1605" s="924">
        <v>4.939817918914434</v>
      </c>
      <c r="AS1605" s="924">
        <v>5.0402274842467101</v>
      </c>
      <c r="AT1605" s="924">
        <v>5.1406370495789862</v>
      </c>
      <c r="AU1605" s="924">
        <v>5.2410466149112622</v>
      </c>
      <c r="AV1605" s="924">
        <f t="shared" ca="1" si="124"/>
        <v>5.2410466149112622</v>
      </c>
      <c r="AX1605" s="88" t="str">
        <f t="shared" ca="1" si="119"/>
        <v>BMRA</v>
      </c>
    </row>
    <row r="1606" spans="1:50" hidden="1" x14ac:dyDescent="0.3">
      <c r="A1606" s="88" t="str">
        <f t="shared" ca="1" si="123"/>
        <v>C</v>
      </c>
      <c r="F1606" s="924">
        <v>4.5232653061224495</v>
      </c>
      <c r="G1606" s="924">
        <v>3.5632653061224491</v>
      </c>
      <c r="H1606" s="924">
        <v>5.5028571428571436</v>
      </c>
      <c r="I1606" s="924">
        <v>6.4824489795918367</v>
      </c>
      <c r="J1606" s="924">
        <v>5.684263038548754</v>
      </c>
      <c r="K1606" s="924">
        <v>5.7749659863945597</v>
      </c>
      <c r="L1606" s="924">
        <v>7.6434467120181413</v>
      </c>
      <c r="M1606" s="924">
        <v>8.6230385487528363</v>
      </c>
      <c r="N1606" s="924">
        <v>7.9699773242630396</v>
      </c>
      <c r="O1606" s="924">
        <v>8.1332426303854888</v>
      </c>
      <c r="P1606" s="924">
        <v>7.3169160997732439</v>
      </c>
      <c r="Q1606" s="924">
        <v>6.5005895691609981</v>
      </c>
      <c r="R1606" s="924">
        <v>5.6842630385487531</v>
      </c>
      <c r="S1606" s="924">
        <v>5.8279365079365073</v>
      </c>
      <c r="T1606" s="924">
        <v>7.6042630385487531</v>
      </c>
      <c r="U1606" s="924">
        <v>8.5642630385487521</v>
      </c>
      <c r="V1606" s="924">
        <v>9.524263038548753</v>
      </c>
      <c r="W1606" s="924">
        <v>10.484263038548754</v>
      </c>
      <c r="X1606" s="924">
        <v>11.444263038548753</v>
      </c>
      <c r="Y1606" s="924">
        <v>12.404263038548752</v>
      </c>
      <c r="Z1606" s="924">
        <f t="shared" ca="1" si="125"/>
        <v>12.404263038548752</v>
      </c>
      <c r="AB1606" s="924">
        <v>4.0906388294159903</v>
      </c>
      <c r="AC1606" s="924">
        <v>3.101809428926865</v>
      </c>
      <c r="AD1606" s="924">
        <v>3.1125853089078928</v>
      </c>
      <c r="AE1606" s="924">
        <v>3.135419344879268</v>
      </c>
      <c r="AF1606" s="924">
        <v>3.1485605533348044</v>
      </c>
      <c r="AG1606" s="924">
        <v>3.1635336365506732</v>
      </c>
      <c r="AH1606" s="924">
        <v>5.1477711142751144</v>
      </c>
      <c r="AI1606" s="924">
        <v>6.1473763947452689</v>
      </c>
      <c r="AJ1606" s="924">
        <v>5.1663313124097261</v>
      </c>
      <c r="AK1606" s="924">
        <v>5.1825987804638638</v>
      </c>
      <c r="AL1606" s="924">
        <v>5.1946708404159718</v>
      </c>
      <c r="AM1606" s="924">
        <v>5.1984740989695979</v>
      </c>
      <c r="AN1606" s="924">
        <v>5.3391188529891487</v>
      </c>
      <c r="AO1606" s="924">
        <v>4.2986250258286542</v>
      </c>
      <c r="AP1606" s="924">
        <v>3.2941805813842087</v>
      </c>
      <c r="AQ1606" s="924">
        <v>3.6483590170691516</v>
      </c>
      <c r="AR1606" s="924">
        <v>2.8320324864569075</v>
      </c>
      <c r="AS1606" s="924">
        <v>3.0045353563337893</v>
      </c>
      <c r="AT1606" s="924">
        <v>3.1770382262106711</v>
      </c>
      <c r="AU1606" s="924">
        <v>3.3495410960875533</v>
      </c>
      <c r="AV1606" s="924">
        <f t="shared" ca="1" si="124"/>
        <v>3.3495410960875533</v>
      </c>
      <c r="AX1606" s="88" t="str">
        <f t="shared" ca="1" si="119"/>
        <v>C</v>
      </c>
    </row>
    <row r="1607" spans="1:50" hidden="1" x14ac:dyDescent="0.3">
      <c r="A1607" s="88" t="str">
        <f t="shared" ca="1" si="123"/>
        <v>CSCO</v>
      </c>
      <c r="F1607" s="924">
        <v>7.6447165532879833</v>
      </c>
      <c r="G1607" s="924">
        <v>6.4669462716215991</v>
      </c>
      <c r="H1607" s="924">
        <v>6.5390588632147102</v>
      </c>
      <c r="I1607" s="924">
        <v>6.6846333464515322</v>
      </c>
      <c r="J1607" s="924">
        <v>6.5712546616442751</v>
      </c>
      <c r="K1607" s="924">
        <v>7.2889870879481311</v>
      </c>
      <c r="L1607" s="924">
        <v>8.9267195142519853</v>
      </c>
      <c r="M1607" s="924">
        <v>9.9244519405558407</v>
      </c>
      <c r="N1607" s="924">
        <v>8.9777399224152532</v>
      </c>
      <c r="O1607" s="924">
        <v>9.0964549015198397</v>
      </c>
      <c r="P1607" s="924">
        <v>9.3384012668428298</v>
      </c>
      <c r="Q1607" s="924">
        <v>9.0506234890650514</v>
      </c>
      <c r="R1607" s="924">
        <v>8.7628457112872731</v>
      </c>
      <c r="S1607" s="924">
        <v>8.0128457112872713</v>
      </c>
      <c r="T1607" s="924">
        <v>8.7628457112872695</v>
      </c>
      <c r="U1607" s="924">
        <v>9.0281518337362492</v>
      </c>
      <c r="V1607" s="924">
        <v>9.0281518337362492</v>
      </c>
      <c r="W1607" s="924">
        <v>9.7016212214913509</v>
      </c>
      <c r="X1607" s="924">
        <v>10.375090609246453</v>
      </c>
      <c r="Y1607" s="924">
        <v>11.048559997001556</v>
      </c>
      <c r="Z1607" s="924">
        <f t="shared" ca="1" si="125"/>
        <v>11.048559997001556</v>
      </c>
      <c r="AB1607" s="924">
        <v>21</v>
      </c>
      <c r="AC1607" s="924">
        <v>21</v>
      </c>
      <c r="AD1607" s="924">
        <v>21</v>
      </c>
      <c r="AE1607" s="924">
        <v>21</v>
      </c>
      <c r="AF1607" s="924">
        <v>21</v>
      </c>
      <c r="AG1607" s="924">
        <v>21</v>
      </c>
      <c r="AH1607" s="924">
        <v>21</v>
      </c>
      <c r="AI1607" s="924">
        <v>21</v>
      </c>
      <c r="AJ1607" s="924">
        <v>21</v>
      </c>
      <c r="AK1607" s="924">
        <v>21</v>
      </c>
      <c r="AL1607" s="924">
        <v>19.057454754380927</v>
      </c>
      <c r="AM1607" s="924">
        <v>18.086182131571391</v>
      </c>
      <c r="AN1607" s="924">
        <v>17.087465564738288</v>
      </c>
      <c r="AO1607" s="924">
        <v>16.110422405876946</v>
      </c>
      <c r="AP1607" s="924">
        <v>15.587465564738293</v>
      </c>
      <c r="AQ1607" s="924">
        <v>14.837465564738293</v>
      </c>
      <c r="AR1607" s="924">
        <v>14.087465564738293</v>
      </c>
      <c r="AS1607" s="924">
        <v>13.337465564738293</v>
      </c>
      <c r="AT1607" s="924">
        <v>12.587465564738293</v>
      </c>
      <c r="AU1607" s="924">
        <v>11.837465564738293</v>
      </c>
      <c r="AV1607" s="924">
        <f t="shared" ca="1" si="124"/>
        <v>11.837465564738293</v>
      </c>
      <c r="AX1607" s="88" t="str">
        <f t="shared" ca="1" si="119"/>
        <v>CSCO</v>
      </c>
    </row>
    <row r="1608" spans="1:50" hidden="1" x14ac:dyDescent="0.3">
      <c r="A1608" s="88" t="str">
        <f t="shared" ca="1" si="123"/>
        <v>CVS</v>
      </c>
      <c r="F1608" s="924">
        <v>21</v>
      </c>
      <c r="G1608" s="924">
        <v>21</v>
      </c>
      <c r="H1608" s="924">
        <v>21</v>
      </c>
      <c r="I1608" s="924">
        <v>21</v>
      </c>
      <c r="J1608" s="924">
        <v>21</v>
      </c>
      <c r="K1608" s="924">
        <v>21</v>
      </c>
      <c r="L1608" s="924">
        <v>21</v>
      </c>
      <c r="M1608" s="924">
        <v>21</v>
      </c>
      <c r="N1608" s="924">
        <v>21</v>
      </c>
      <c r="O1608" s="924">
        <v>21</v>
      </c>
      <c r="P1608" s="924">
        <v>19.016528925619838</v>
      </c>
      <c r="Q1608" s="924">
        <v>18.024793388429757</v>
      </c>
      <c r="R1608" s="924">
        <v>17.033057851239676</v>
      </c>
      <c r="S1608" s="924">
        <v>16.041322314049594</v>
      </c>
      <c r="T1608" s="924">
        <v>17.033057851239668</v>
      </c>
      <c r="U1608" s="924">
        <v>17.033057851239668</v>
      </c>
      <c r="V1608" s="924">
        <v>17.033057851239668</v>
      </c>
      <c r="W1608" s="924">
        <v>17.033057851239668</v>
      </c>
      <c r="X1608" s="924">
        <v>17.033057851239668</v>
      </c>
      <c r="Y1608" s="924">
        <v>17.033057851239668</v>
      </c>
      <c r="Z1608" s="924">
        <f t="shared" ca="1" si="125"/>
        <v>17.033057851239668</v>
      </c>
      <c r="AB1608" s="924">
        <v>16.156352791544229</v>
      </c>
      <c r="AC1608" s="924">
        <v>17.119468444366476</v>
      </c>
      <c r="AD1608" s="924">
        <v>18.077321170124119</v>
      </c>
      <c r="AE1608" s="924">
        <v>19.040436822946361</v>
      </c>
      <c r="AF1608" s="924">
        <v>20.003552475768608</v>
      </c>
      <c r="AG1608" s="924">
        <v>20.003552475768608</v>
      </c>
      <c r="AH1608" s="924">
        <v>20.003552475768608</v>
      </c>
      <c r="AI1608" s="924">
        <v>20.003552475768608</v>
      </c>
      <c r="AJ1608" s="924">
        <v>20.003552475768608</v>
      </c>
      <c r="AK1608" s="924">
        <v>20.003552475768608</v>
      </c>
      <c r="AL1608" s="924">
        <v>19</v>
      </c>
      <c r="AM1608" s="924">
        <v>18</v>
      </c>
      <c r="AN1608" s="924">
        <v>20.81</v>
      </c>
      <c r="AO1608" s="924">
        <v>20.81</v>
      </c>
      <c r="AP1608" s="924">
        <v>18.89</v>
      </c>
      <c r="AQ1608" s="924">
        <v>17.93</v>
      </c>
      <c r="AR1608" s="924">
        <v>16.97</v>
      </c>
      <c r="AS1608" s="924">
        <v>15.929999999999998</v>
      </c>
      <c r="AT1608" s="924">
        <v>14.929999999999998</v>
      </c>
      <c r="AU1608" s="924">
        <v>13.929999999999998</v>
      </c>
      <c r="AV1608" s="924">
        <f t="shared" ca="1" si="124"/>
        <v>13.929999999999998</v>
      </c>
      <c r="AX1608" s="88" t="str">
        <f t="shared" ca="1" si="119"/>
        <v>CVS</v>
      </c>
    </row>
    <row r="1609" spans="1:50" hidden="1" x14ac:dyDescent="0.3">
      <c r="A1609" s="88" t="str">
        <f t="shared" ca="1" si="123"/>
        <v>DDD</v>
      </c>
      <c r="F1609" s="924">
        <v>16.029478458049887</v>
      </c>
      <c r="G1609" s="924">
        <v>17.027210884353742</v>
      </c>
      <c r="H1609" s="924">
        <v>18.006802721088434</v>
      </c>
      <c r="I1609" s="924">
        <v>19.004535147392289</v>
      </c>
      <c r="J1609" s="924">
        <v>20.002267573696145</v>
      </c>
      <c r="K1609" s="924">
        <v>20.002267573696145</v>
      </c>
      <c r="L1609" s="924">
        <v>20.002267573696145</v>
      </c>
      <c r="M1609" s="924">
        <v>20.002267573696145</v>
      </c>
      <c r="N1609" s="924">
        <v>20.002267573696145</v>
      </c>
      <c r="O1609" s="924">
        <v>20.002267573696145</v>
      </c>
      <c r="P1609" s="924">
        <v>19.079999999999998</v>
      </c>
      <c r="Q1609" s="924">
        <v>18.119999999999997</v>
      </c>
      <c r="R1609" s="924">
        <v>17.159999999999997</v>
      </c>
      <c r="S1609" s="924">
        <v>18.119999999999997</v>
      </c>
      <c r="T1609" s="924">
        <v>18.119999999999997</v>
      </c>
      <c r="U1609" s="924">
        <v>18.119999999999997</v>
      </c>
      <c r="V1609" s="924">
        <v>18.119999999999997</v>
      </c>
      <c r="W1609" s="924">
        <v>18.119999999999997</v>
      </c>
      <c r="X1609" s="924">
        <v>18.119999999999997</v>
      </c>
      <c r="Y1609" s="924">
        <v>18.119999999999997</v>
      </c>
      <c r="Z1609" s="924">
        <f t="shared" ca="1" si="125"/>
        <v>18.119999999999997</v>
      </c>
      <c r="AB1609" s="924">
        <v>10.037031442359734</v>
      </c>
      <c r="AC1609" s="924">
        <v>8.0475334377388563</v>
      </c>
      <c r="AD1609" s="924">
        <v>8.0492319596598101</v>
      </c>
      <c r="AE1609" s="924">
        <v>8.0509304815807656</v>
      </c>
      <c r="AF1609" s="924">
        <v>10.042127008122598</v>
      </c>
      <c r="AG1609" s="924">
        <v>11.038574532353991</v>
      </c>
      <c r="AH1609" s="924">
        <v>12.035022056585383</v>
      </c>
      <c r="AI1609" s="924">
        <v>13.031469580816779</v>
      </c>
      <c r="AJ1609" s="924">
        <v>14.027917105048171</v>
      </c>
      <c r="AK1609" s="924">
        <v>15.024364629279564</v>
      </c>
      <c r="AL1609" s="924">
        <v>15.024364629279564</v>
      </c>
      <c r="AM1609" s="924">
        <v>15.024364629279564</v>
      </c>
      <c r="AN1609" s="924">
        <v>11.034608250678739</v>
      </c>
      <c r="AO1609" s="924">
        <v>11.033936226697886</v>
      </c>
      <c r="AP1609" s="924">
        <v>11.034734482070109</v>
      </c>
      <c r="AQ1609" s="924">
        <v>10.037423096610574</v>
      </c>
      <c r="AR1609" s="924">
        <v>9.0401117111510398</v>
      </c>
      <c r="AS1609" s="924">
        <v>8.1718538236338922</v>
      </c>
      <c r="AT1609" s="924">
        <v>7.2390691871455584</v>
      </c>
      <c r="AU1609" s="924">
        <v>7.3029239121358991</v>
      </c>
      <c r="AV1609" s="924">
        <f t="shared" ca="1" si="124"/>
        <v>7.3029239121358991</v>
      </c>
      <c r="AX1609" s="88" t="str">
        <f t="shared" ca="1" si="119"/>
        <v>DDD</v>
      </c>
    </row>
    <row r="1610" spans="1:50" hidden="1" x14ac:dyDescent="0.3">
      <c r="A1610" s="88" t="str">
        <f t="shared" ca="1" si="123"/>
        <v>DIS</v>
      </c>
      <c r="F1610" s="924">
        <v>10.793514739229025</v>
      </c>
      <c r="G1610" s="924">
        <v>9.3733963960337583</v>
      </c>
      <c r="H1610" s="924">
        <v>9.4399893657236316</v>
      </c>
      <c r="I1610" s="924">
        <v>9.5899115935679404</v>
      </c>
      <c r="J1610" s="924">
        <v>11.326610680916376</v>
      </c>
      <c r="K1610" s="924">
        <v>12.269921338512749</v>
      </c>
      <c r="L1610" s="924">
        <v>13.213231996109121</v>
      </c>
      <c r="M1610" s="924">
        <v>14.156542653705491</v>
      </c>
      <c r="N1610" s="924">
        <v>15.099853311301864</v>
      </c>
      <c r="O1610" s="924">
        <v>16.043163968898234</v>
      </c>
      <c r="P1610" s="924">
        <v>16.043163968898234</v>
      </c>
      <c r="Q1610" s="924">
        <v>16.043163968898234</v>
      </c>
      <c r="R1610" s="924">
        <v>16.043163968898234</v>
      </c>
      <c r="S1610" s="924">
        <v>16.883163968898234</v>
      </c>
      <c r="T1610" s="924">
        <v>17.793163968898234</v>
      </c>
      <c r="U1610" s="924">
        <v>17.793163968898234</v>
      </c>
      <c r="V1610" s="924">
        <v>17.793163968898234</v>
      </c>
      <c r="W1610" s="924">
        <v>17.793163968898234</v>
      </c>
      <c r="X1610" s="924">
        <v>17.793163968898234</v>
      </c>
      <c r="Y1610" s="924">
        <v>18.703163968898235</v>
      </c>
      <c r="Z1610" s="924">
        <f t="shared" ca="1" si="125"/>
        <v>18.703163968898235</v>
      </c>
      <c r="AB1610" s="924">
        <v>6.3062658283555244</v>
      </c>
      <c r="AC1610" s="924">
        <v>6.3177752441202877</v>
      </c>
      <c r="AD1610" s="924">
        <v>5.3392613144361771</v>
      </c>
      <c r="AE1610" s="924">
        <v>5.3510004942555938</v>
      </c>
      <c r="AF1610" s="924">
        <v>7.3139115490750095</v>
      </c>
      <c r="AG1610" s="924">
        <v>8.3012366663944253</v>
      </c>
      <c r="AH1610" s="924">
        <v>7.328112564963841</v>
      </c>
      <c r="AI1610" s="924">
        <v>7.3352130729082567</v>
      </c>
      <c r="AJ1610" s="924">
        <v>7.3423135808526725</v>
      </c>
      <c r="AK1610" s="924">
        <v>7.3494140887970882</v>
      </c>
      <c r="AL1610" s="924">
        <v>7.3533568405027427</v>
      </c>
      <c r="AM1610" s="924">
        <v>6.5558036720999642</v>
      </c>
      <c r="AN1610" s="924">
        <v>5.7371393925860756</v>
      </c>
      <c r="AO1610" s="924">
        <v>4.8482505036971864</v>
      </c>
      <c r="AP1610" s="924">
        <v>4.4571393925860781</v>
      </c>
      <c r="AQ1610" s="924">
        <v>3.8171393925860775</v>
      </c>
      <c r="AR1610" s="924">
        <v>4.1443413269899469</v>
      </c>
      <c r="AS1610" s="924">
        <v>4.4715432613938155</v>
      </c>
      <c r="AT1610" s="924">
        <v>4.798745195797685</v>
      </c>
      <c r="AU1610" s="924">
        <v>5.1259471302015545</v>
      </c>
      <c r="AV1610" s="924">
        <f t="shared" ca="1" si="124"/>
        <v>5.1259471302015545</v>
      </c>
      <c r="AX1610" s="88" t="str">
        <f t="shared" ca="1" si="119"/>
        <v>DIS</v>
      </c>
    </row>
    <row r="1611" spans="1:50" hidden="1" x14ac:dyDescent="0.3">
      <c r="A1611" s="88" t="str">
        <f t="shared" ca="1" si="123"/>
        <v>DSY</v>
      </c>
      <c r="F1611" s="924">
        <v>7.2475590787279103</v>
      </c>
      <c r="G1611" s="924">
        <v>7.632109593148555</v>
      </c>
      <c r="H1611" s="924">
        <v>6.5944978542381145</v>
      </c>
      <c r="I1611" s="924">
        <v>6.7214819812222411</v>
      </c>
      <c r="J1611" s="924">
        <v>8.4811191694308583</v>
      </c>
      <c r="K1611" s="924">
        <v>9.4244298270272289</v>
      </c>
      <c r="L1611" s="924">
        <v>8.367740484623603</v>
      </c>
      <c r="M1611" s="924">
        <v>8.3110511422199735</v>
      </c>
      <c r="N1611" s="924">
        <v>8.2543617998163459</v>
      </c>
      <c r="O1611" s="924">
        <v>8.1976724574127182</v>
      </c>
      <c r="P1611" s="924">
        <v>8.1772642941474114</v>
      </c>
      <c r="Q1611" s="924">
        <v>7.3994865163696328</v>
      </c>
      <c r="R1611" s="924">
        <v>6.5105976274807427</v>
      </c>
      <c r="S1611" s="924">
        <v>5.6217087385918534</v>
      </c>
      <c r="T1611" s="924">
        <v>4.7328198497029641</v>
      </c>
      <c r="U1611" s="924">
        <v>3.8439309608140775</v>
      </c>
      <c r="V1611" s="924">
        <v>3.9550420719251886</v>
      </c>
      <c r="W1611" s="924">
        <v>4.0661531830362998</v>
      </c>
      <c r="X1611" s="924">
        <v>4.1772642941474105</v>
      </c>
      <c r="Y1611" s="924">
        <v>4.2883754052585212</v>
      </c>
      <c r="Z1611" s="924">
        <f t="shared" ca="1" si="125"/>
        <v>4.2883754052585212</v>
      </c>
      <c r="AB1611" s="924">
        <v>11.528669452192538</v>
      </c>
      <c r="AC1611" s="924">
        <v>10.578052168241921</v>
      </c>
      <c r="AD1611" s="924">
        <v>9.6445816606973409</v>
      </c>
      <c r="AE1611" s="924">
        <v>8.7025377649497422</v>
      </c>
      <c r="AF1611" s="924">
        <v>9.6445816606973391</v>
      </c>
      <c r="AG1611" s="924">
        <v>9.6445816606973391</v>
      </c>
      <c r="AH1611" s="924">
        <v>7.743347092796105</v>
      </c>
      <c r="AI1611" s="924">
        <v>6.7927298088454879</v>
      </c>
      <c r="AJ1611" s="924">
        <v>5.8421125248948709</v>
      </c>
      <c r="AK1611" s="924">
        <v>4.8914952409442538</v>
      </c>
      <c r="AL1611" s="924">
        <v>4.9404832374637913</v>
      </c>
      <c r="AM1611" s="924">
        <v>3.9898659535131724</v>
      </c>
      <c r="AN1611" s="924">
        <v>2.8420384854424587</v>
      </c>
      <c r="AO1611" s="924">
        <v>3.1479427847095103</v>
      </c>
      <c r="AP1611" s="924">
        <v>2.9029108438126228</v>
      </c>
      <c r="AQ1611" s="924">
        <v>4.8415523723034903</v>
      </c>
      <c r="AR1611" s="924">
        <v>5.7801939007943588</v>
      </c>
      <c r="AS1611" s="924">
        <v>4.7596517558158382</v>
      </c>
      <c r="AT1611" s="924">
        <v>4.8028851210413999</v>
      </c>
      <c r="AU1611" s="924">
        <v>4.7590266495322675</v>
      </c>
      <c r="AV1611" s="924">
        <f t="shared" ca="1" si="124"/>
        <v>4.7590266495322675</v>
      </c>
      <c r="AX1611" s="88" t="str">
        <f t="shared" ca="1" si="119"/>
        <v>DSY</v>
      </c>
    </row>
    <row r="1612" spans="1:50" hidden="1" x14ac:dyDescent="0.3">
      <c r="A1612" s="88" t="str">
        <f t="shared" ca="1" si="123"/>
        <v>DVA</v>
      </c>
      <c r="F1612" s="924">
        <v>14.037770532276021</v>
      </c>
      <c r="G1612" s="924">
        <v>14.037770532276021</v>
      </c>
      <c r="H1612" s="924">
        <v>12.357770532276021</v>
      </c>
      <c r="I1612" s="924">
        <v>11.517770532276021</v>
      </c>
      <c r="J1612" s="924">
        <v>12.357770532276028</v>
      </c>
      <c r="K1612" s="924">
        <v>12.357770532276028</v>
      </c>
      <c r="L1612" s="924">
        <v>10.437770532276026</v>
      </c>
      <c r="M1612" s="924">
        <v>9.4777705322760255</v>
      </c>
      <c r="N1612" s="924">
        <v>8.5177705322760247</v>
      </c>
      <c r="O1612" s="924">
        <v>7.5577705322760282</v>
      </c>
      <c r="P1612" s="924">
        <v>7.5955029585798828</v>
      </c>
      <c r="Q1612" s="924">
        <v>6.6355029585798828</v>
      </c>
      <c r="R1612" s="924">
        <v>5.675502958579882</v>
      </c>
      <c r="S1612" s="924">
        <v>7.4875739644970416</v>
      </c>
      <c r="T1612" s="924">
        <v>8.3396449704142022</v>
      </c>
      <c r="U1612" s="924">
        <v>9.1917159763313609</v>
      </c>
      <c r="V1612" s="924">
        <v>10.04378698224852</v>
      </c>
      <c r="W1612" s="924">
        <v>10.89585798816568</v>
      </c>
      <c r="X1612" s="924">
        <v>11.747928994082841</v>
      </c>
      <c r="Y1612" s="924">
        <v>12.600000000000001</v>
      </c>
      <c r="Z1612" s="924">
        <f t="shared" ca="1" si="125"/>
        <v>12.600000000000001</v>
      </c>
      <c r="AB1612" s="924">
        <v>13.118182570070688</v>
      </c>
      <c r="AC1612" s="924">
        <v>14.108182570070689</v>
      </c>
      <c r="AD1612" s="924">
        <v>12.14738257007069</v>
      </c>
      <c r="AE1612" s="924">
        <v>11.16698257007069</v>
      </c>
      <c r="AF1612" s="924">
        <v>12.14738257007069</v>
      </c>
      <c r="AG1612" s="924">
        <v>12.14738257007069</v>
      </c>
      <c r="AH1612" s="924">
        <v>10.186582570070687</v>
      </c>
      <c r="AI1612" s="924">
        <v>9.2061825700706876</v>
      </c>
      <c r="AJ1612" s="924">
        <v>8.2257825700706881</v>
      </c>
      <c r="AK1612" s="924">
        <v>7.2453825700706833</v>
      </c>
      <c r="AL1612" s="924">
        <v>6.2716962523480042</v>
      </c>
      <c r="AM1612" s="924">
        <v>5.2946530934866631</v>
      </c>
      <c r="AN1612" s="924">
        <v>4.2257825700706864</v>
      </c>
      <c r="AO1612" s="924">
        <v>3.3057825700706878</v>
      </c>
      <c r="AP1612" s="924">
        <v>3.4730110396898279</v>
      </c>
      <c r="AQ1612" s="924">
        <v>3.5717764717885934</v>
      </c>
      <c r="AR1612" s="924">
        <v>3.4434222222222228</v>
      </c>
      <c r="AS1612" s="924">
        <v>3.6460444444444451</v>
      </c>
      <c r="AT1612" s="924">
        <v>3.7375555555555562</v>
      </c>
      <c r="AU1612" s="924">
        <v>3.8342666666666672</v>
      </c>
      <c r="AV1612" s="924">
        <f t="shared" ca="1" si="124"/>
        <v>3.8342666666666672</v>
      </c>
      <c r="AX1612" s="88" t="str">
        <f t="shared" ca="1" si="119"/>
        <v>DVA</v>
      </c>
    </row>
    <row r="1613" spans="1:50" hidden="1" x14ac:dyDescent="0.3">
      <c r="A1613" s="88" t="str">
        <f t="shared" ca="1" si="123"/>
        <v>DXC</v>
      </c>
      <c r="F1613" s="924">
        <v>13.051319444444445</v>
      </c>
      <c r="G1613" s="924">
        <v>14.051319444444445</v>
      </c>
      <c r="H1613" s="924">
        <v>12.051319444444445</v>
      </c>
      <c r="I1613" s="924">
        <v>11.051319444444445</v>
      </c>
      <c r="J1613" s="924">
        <v>12.051319444444445</v>
      </c>
      <c r="K1613" s="924">
        <v>12.051319444444445</v>
      </c>
      <c r="L1613" s="924">
        <v>10.131319444444443</v>
      </c>
      <c r="M1613" s="924">
        <v>9.1713194444444426</v>
      </c>
      <c r="N1613" s="924">
        <v>8.2113194444444417</v>
      </c>
      <c r="O1613" s="924">
        <v>7.2513194444444444</v>
      </c>
      <c r="P1613" s="924">
        <v>6.931319444444445</v>
      </c>
      <c r="Q1613" s="924">
        <v>6.2913194444444454</v>
      </c>
      <c r="R1613" s="924">
        <v>5.6513194444444457</v>
      </c>
      <c r="S1613" s="924">
        <v>5.011319444444446</v>
      </c>
      <c r="T1613" s="924">
        <v>6.6468750000000014</v>
      </c>
      <c r="U1613" s="924">
        <v>7.6468750000000014</v>
      </c>
      <c r="V1613" s="924">
        <v>8.6312500000000014</v>
      </c>
      <c r="W1613" s="924">
        <v>9.6156250000000014</v>
      </c>
      <c r="X1613" s="924">
        <v>10.600000000000001</v>
      </c>
      <c r="Y1613" s="924">
        <v>11.600000000000001</v>
      </c>
      <c r="Z1613" s="924">
        <f t="shared" ca="1" si="125"/>
        <v>11.600000000000001</v>
      </c>
      <c r="AB1613" s="924">
        <v>10.356283258764584</v>
      </c>
      <c r="AC1613" s="924">
        <v>9.390820027501368</v>
      </c>
      <c r="AD1613" s="924">
        <v>10.356283258764584</v>
      </c>
      <c r="AE1613" s="924">
        <v>10.356283258764593</v>
      </c>
      <c r="AF1613" s="924">
        <v>10.356283258764593</v>
      </c>
      <c r="AG1613" s="924">
        <v>10.356283258764593</v>
      </c>
      <c r="AH1613" s="924">
        <v>10.356283258764593</v>
      </c>
      <c r="AI1613" s="924">
        <v>10.356283258764593</v>
      </c>
      <c r="AJ1613" s="924">
        <v>10.356283258764593</v>
      </c>
      <c r="AK1613" s="924">
        <v>10.356283258764591</v>
      </c>
      <c r="AL1613" s="924">
        <v>11.345367687367844</v>
      </c>
      <c r="AM1613" s="924">
        <v>11.345367687367844</v>
      </c>
      <c r="AN1613" s="924">
        <v>8.7341642519643923</v>
      </c>
      <c r="AO1613" s="924">
        <v>8.8107385943387193</v>
      </c>
      <c r="AP1613" s="924">
        <v>9.0783138549866926</v>
      </c>
      <c r="AQ1613" s="924">
        <v>9.2503886564978419</v>
      </c>
      <c r="AR1613" s="924">
        <v>9.422463458008993</v>
      </c>
      <c r="AS1613" s="924">
        <v>9.5945382595201441</v>
      </c>
      <c r="AT1613" s="924">
        <v>9.7666130610312933</v>
      </c>
      <c r="AU1613" s="924">
        <v>9.9386878625424444</v>
      </c>
      <c r="AV1613" s="924">
        <f t="shared" ca="1" si="124"/>
        <v>9.9386878625424444</v>
      </c>
      <c r="AX1613" s="88" t="str">
        <f t="shared" ca="1" si="119"/>
        <v>DXC</v>
      </c>
    </row>
    <row r="1614" spans="1:50" hidden="1" x14ac:dyDescent="0.3">
      <c r="A1614" s="88" t="str">
        <f t="shared" ca="1" si="123"/>
        <v>EOAN</v>
      </c>
      <c r="F1614" s="924">
        <v>11.849080372889905</v>
      </c>
      <c r="G1614" s="924">
        <v>11.032753842277661</v>
      </c>
      <c r="H1614" s="924">
        <v>11.849080372889905</v>
      </c>
      <c r="I1614" s="924">
        <v>11.849080372889901</v>
      </c>
      <c r="J1614" s="924">
        <v>11.849080372889897</v>
      </c>
      <c r="K1614" s="924">
        <v>11.849080372889897</v>
      </c>
      <c r="L1614" s="924">
        <v>11.849080372889897</v>
      </c>
      <c r="M1614" s="924">
        <v>11.849080372889897</v>
      </c>
      <c r="N1614" s="924">
        <v>11.849080372889897</v>
      </c>
      <c r="O1614" s="924">
        <v>11.849080372889897</v>
      </c>
      <c r="P1614" s="924">
        <v>12.836734693877551</v>
      </c>
      <c r="Q1614" s="924">
        <v>12.836734693877551</v>
      </c>
      <c r="R1614" s="924">
        <v>13.653061224489797</v>
      </c>
      <c r="S1614" s="924">
        <v>14.469387755102041</v>
      </c>
      <c r="T1614" s="924">
        <v>15.285714285714285</v>
      </c>
      <c r="U1614" s="924">
        <v>16.102040816326529</v>
      </c>
      <c r="V1614" s="924">
        <v>16.918367346938776</v>
      </c>
      <c r="W1614" s="924">
        <v>17.73469387755102</v>
      </c>
      <c r="X1614" s="924">
        <v>18.551020408163264</v>
      </c>
      <c r="Y1614" s="924">
        <v>19.367346938775512</v>
      </c>
      <c r="Z1614" s="924">
        <f t="shared" ca="1" si="125"/>
        <v>19.367346938775512</v>
      </c>
      <c r="AB1614" s="924">
        <v>9.1195325935716482</v>
      </c>
      <c r="AC1614" s="924">
        <v>9.0829544884092641</v>
      </c>
      <c r="AD1614" s="924">
        <v>8.0812780528933068</v>
      </c>
      <c r="AE1614" s="924">
        <v>7.0832244196753162</v>
      </c>
      <c r="AF1614" s="924">
        <v>8.0812780528933104</v>
      </c>
      <c r="AG1614" s="924">
        <v>6.084021537118276</v>
      </c>
      <c r="AH1614" s="924">
        <v>5.0880270240867258</v>
      </c>
      <c r="AI1614" s="924">
        <v>4.0907156386271897</v>
      </c>
      <c r="AJ1614" s="924">
        <v>3.0934042531676558</v>
      </c>
      <c r="AK1614" s="924">
        <v>2.096092867708125</v>
      </c>
      <c r="AL1614" s="924">
        <v>2.0955774950645405</v>
      </c>
      <c r="AM1614" s="924">
        <v>1.0982661096050048</v>
      </c>
      <c r="AN1614" s="924">
        <v>4.8892846945868582</v>
      </c>
      <c r="AO1614" s="924">
        <v>5.8783691231901107</v>
      </c>
      <c r="AP1614" s="924">
        <v>4.8674535517933633</v>
      </c>
      <c r="AQ1614" s="924">
        <v>4.8594339483182019</v>
      </c>
      <c r="AR1614" s="924">
        <v>4.8538647792382283</v>
      </c>
      <c r="AS1614" s="924">
        <v>4.8482956101582548</v>
      </c>
      <c r="AT1614" s="924">
        <v>6.8427264410782822</v>
      </c>
      <c r="AU1614" s="924">
        <v>7.8371572719983087</v>
      </c>
      <c r="AV1614" s="924">
        <f t="shared" ca="1" si="124"/>
        <v>7.8371572719983087</v>
      </c>
      <c r="AX1614" s="88" t="str">
        <f t="shared" ca="1" si="119"/>
        <v>EOAN</v>
      </c>
    </row>
    <row r="1615" spans="1:50" hidden="1" x14ac:dyDescent="0.3">
      <c r="A1615" s="88" t="str">
        <f t="shared" ca="1" si="123"/>
        <v>EPIX</v>
      </c>
      <c r="F1615" s="924">
        <v>9.33372696570164</v>
      </c>
      <c r="G1615" s="924">
        <v>9.338249550358773</v>
      </c>
      <c r="H1615" s="924">
        <v>8.3298477280561674</v>
      </c>
      <c r="I1615" s="924">
        <v>7.3381121908660871</v>
      </c>
      <c r="J1615" s="924">
        <v>8.3298477280561691</v>
      </c>
      <c r="K1615" s="924">
        <v>6.5520699502783932</v>
      </c>
      <c r="L1615" s="924">
        <v>5.6042241452897308</v>
      </c>
      <c r="M1615" s="924">
        <v>4.6858567983509536</v>
      </c>
      <c r="N1615" s="924">
        <v>3.7674894514121777</v>
      </c>
      <c r="O1615" s="924">
        <v>2.8491221044734019</v>
      </c>
      <c r="P1615" s="924">
        <v>2.9103465942693201</v>
      </c>
      <c r="Q1615" s="924">
        <v>1.9919792473305435</v>
      </c>
      <c r="R1615" s="924">
        <v>2.0612662213794222</v>
      </c>
      <c r="S1615" s="924">
        <v>2.130553195428301</v>
      </c>
      <c r="T1615" s="924">
        <v>2.1628031324401427</v>
      </c>
      <c r="U1615" s="924">
        <v>2.1751837079390404</v>
      </c>
      <c r="V1615" s="924">
        <v>2.2318856130778273</v>
      </c>
      <c r="W1615" s="924">
        <v>4.1253222120941651</v>
      </c>
      <c r="X1615" s="924">
        <v>5.100391464171727</v>
      </c>
      <c r="Y1615" s="924">
        <v>6.0754607162492889</v>
      </c>
      <c r="Z1615" s="924">
        <f t="shared" ca="1" si="125"/>
        <v>6.0754607162492889</v>
      </c>
      <c r="AB1615" s="924">
        <v>16.017281064680187</v>
      </c>
      <c r="AC1615" s="924">
        <v>16.008892366374884</v>
      </c>
      <c r="AD1615" s="924">
        <v>15.019247395960683</v>
      </c>
      <c r="AE1615" s="924">
        <v>14.025164555723997</v>
      </c>
      <c r="AF1615" s="924">
        <v>15.019247395960683</v>
      </c>
      <c r="AG1615" s="924">
        <v>15.019247395960683</v>
      </c>
      <c r="AH1615" s="924">
        <v>15.019247395960683</v>
      </c>
      <c r="AI1615" s="924">
        <v>15.019247395960683</v>
      </c>
      <c r="AJ1615" s="924">
        <v>15.019247395960683</v>
      </c>
      <c r="AK1615" s="924">
        <v>15.019247395960683</v>
      </c>
      <c r="AL1615" s="924">
        <v>16.016272189349113</v>
      </c>
      <c r="AM1615" s="924">
        <v>14.238494411571335</v>
      </c>
      <c r="AN1615" s="924">
        <v>12.016532417475606</v>
      </c>
      <c r="AO1615" s="924">
        <v>11.016600718821142</v>
      </c>
      <c r="AP1615" s="924">
        <v>10.016669020166677</v>
      </c>
      <c r="AQ1615" s="924">
        <v>9.0167373215122133</v>
      </c>
      <c r="AR1615" s="924">
        <v>8.0168056228577491</v>
      </c>
      <c r="AS1615" s="924">
        <v>7.0168739242032911</v>
      </c>
      <c r="AT1615" s="924">
        <v>6.016942225548827</v>
      </c>
      <c r="AU1615" s="924">
        <v>6.0155312369535352</v>
      </c>
      <c r="AV1615" s="924">
        <f t="shared" ca="1" si="124"/>
        <v>6.0155312369535352</v>
      </c>
      <c r="AX1615" s="88" t="str">
        <f t="shared" ca="1" si="119"/>
        <v>EPIX</v>
      </c>
    </row>
    <row r="1616" spans="1:50" hidden="1" x14ac:dyDescent="0.3">
      <c r="A1616" s="88" t="str">
        <f t="shared" ca="1" si="123"/>
        <v>GM</v>
      </c>
      <c r="F1616" s="924">
        <v>16.859943780273451</v>
      </c>
      <c r="G1616" s="924">
        <v>17.053254437869825</v>
      </c>
      <c r="H1616" s="924">
        <v>16.303254437869821</v>
      </c>
      <c r="I1616" s="924">
        <v>15.553254437869821</v>
      </c>
      <c r="J1616" s="924">
        <v>16.303254437869821</v>
      </c>
      <c r="K1616" s="924">
        <v>16.303254437869821</v>
      </c>
      <c r="L1616" s="924">
        <v>16.303254437869825</v>
      </c>
      <c r="M1616" s="924">
        <v>16.303254437869825</v>
      </c>
      <c r="N1616" s="924">
        <v>16.303254437869825</v>
      </c>
      <c r="O1616" s="924">
        <v>16.303254437869825</v>
      </c>
      <c r="P1616" s="924">
        <v>17.25</v>
      </c>
      <c r="Q1616" s="924">
        <v>17.25</v>
      </c>
      <c r="R1616" s="924">
        <v>17.25</v>
      </c>
      <c r="S1616" s="924">
        <v>17.25</v>
      </c>
      <c r="T1616" s="924">
        <v>17.25</v>
      </c>
      <c r="U1616" s="924">
        <v>17.25</v>
      </c>
      <c r="V1616" s="924">
        <v>17.25</v>
      </c>
      <c r="W1616" s="924">
        <v>17.25</v>
      </c>
      <c r="X1616" s="924">
        <v>17.25</v>
      </c>
      <c r="Y1616" s="924">
        <v>18</v>
      </c>
      <c r="Z1616" s="924">
        <f t="shared" ca="1" si="125"/>
        <v>18</v>
      </c>
      <c r="AB1616" s="924">
        <v>12.025080171146998</v>
      </c>
      <c r="AC1616" s="924">
        <v>12.023897618323865</v>
      </c>
      <c r="AD1616" s="924">
        <v>13.019773386356858</v>
      </c>
      <c r="AE1616" s="924">
        <v>13.019773386356858</v>
      </c>
      <c r="AF1616" s="924">
        <v>13.019773386356858</v>
      </c>
      <c r="AG1616" s="924">
        <v>13.019773386356858</v>
      </c>
      <c r="AH1616" s="924">
        <v>13.019773386356855</v>
      </c>
      <c r="AI1616" s="924">
        <v>13.019773386356855</v>
      </c>
      <c r="AJ1616" s="924">
        <v>11.01994172235551</v>
      </c>
      <c r="AK1616" s="924">
        <v>10.020025890354837</v>
      </c>
      <c r="AL1616" s="924">
        <v>9.0201100583541649</v>
      </c>
      <c r="AM1616" s="924">
        <v>8.0201942263534924</v>
      </c>
      <c r="AN1616" s="924">
        <v>7.0806345303487195</v>
      </c>
      <c r="AO1616" s="924">
        <v>6.0965644012130795</v>
      </c>
      <c r="AP1616" s="924">
        <v>6.1049953098610148</v>
      </c>
      <c r="AQ1616" s="924">
        <v>6.1165834768794198</v>
      </c>
      <c r="AR1616" s="924">
        <v>6.1268249559085994</v>
      </c>
      <c r="AS1616" s="924">
        <v>6.137066434937779</v>
      </c>
      <c r="AT1616" s="924">
        <v>6.1473079139669586</v>
      </c>
      <c r="AU1616" s="924">
        <v>6.850838002987607</v>
      </c>
      <c r="AV1616" s="924">
        <f t="shared" ca="1" si="124"/>
        <v>6.850838002987607</v>
      </c>
      <c r="AX1616" s="88" t="str">
        <f t="shared" ca="1" si="119"/>
        <v>GM</v>
      </c>
    </row>
    <row r="1617" spans="1:50" hidden="1" x14ac:dyDescent="0.3">
      <c r="A1617" s="88" t="str">
        <f t="shared" ca="1" si="123"/>
        <v>HPE</v>
      </c>
      <c r="F1617" s="924">
        <v>12.726495726495727</v>
      </c>
      <c r="G1617" s="924">
        <v>12.621301775147931</v>
      </c>
      <c r="H1617" s="924">
        <v>13.615384615384617</v>
      </c>
      <c r="I1617" s="924">
        <v>13.615384615384617</v>
      </c>
      <c r="J1617" s="924">
        <v>13.615384615384617</v>
      </c>
      <c r="K1617" s="924">
        <v>13.615384615384617</v>
      </c>
      <c r="L1617" s="924">
        <v>13.615384615384615</v>
      </c>
      <c r="M1617" s="924">
        <v>13.615384615384615</v>
      </c>
      <c r="N1617" s="924">
        <v>11.695384615384613</v>
      </c>
      <c r="O1617" s="924">
        <v>10.877606837606836</v>
      </c>
      <c r="P1617" s="924">
        <v>9.7664957264957248</v>
      </c>
      <c r="Q1617" s="924">
        <v>8.7664957264957248</v>
      </c>
      <c r="R1617" s="924">
        <v>7.7664957264957275</v>
      </c>
      <c r="S1617" s="924">
        <v>8.7664957264957266</v>
      </c>
      <c r="T1617" s="924">
        <v>9.4765548980933598</v>
      </c>
      <c r="U1617" s="924">
        <v>10.32862590401052</v>
      </c>
      <c r="V1617" s="924">
        <v>11.275371466140697</v>
      </c>
      <c r="W1617" s="924">
        <v>11.242525191536179</v>
      </c>
      <c r="X1617" s="924">
        <v>12.679066672033704</v>
      </c>
      <c r="Y1617" s="924">
        <v>13.673149512270392</v>
      </c>
      <c r="Z1617" s="924">
        <f t="shared" ca="1" si="125"/>
        <v>13.673149512270392</v>
      </c>
      <c r="AB1617" s="924">
        <v>3.0110686897713066</v>
      </c>
      <c r="AC1617" s="924">
        <v>3.0105928079981368</v>
      </c>
      <c r="AD1617" s="924">
        <v>5.0101980884682913</v>
      </c>
      <c r="AE1617" s="924">
        <v>6.0098033689384467</v>
      </c>
      <c r="AF1617" s="924">
        <v>7.0094086494086012</v>
      </c>
      <c r="AG1617" s="924">
        <v>8.0090139298787566</v>
      </c>
      <c r="AH1617" s="924">
        <v>9.0086192103489111</v>
      </c>
      <c r="AI1617" s="924">
        <v>10.008224490819066</v>
      </c>
      <c r="AJ1617" s="924">
        <v>11.00782977128922</v>
      </c>
      <c r="AK1617" s="924">
        <v>10.00809620878417</v>
      </c>
      <c r="AL1617" s="924">
        <v>9.0084267872965675</v>
      </c>
      <c r="AM1617" s="924">
        <v>8.0080962087841705</v>
      </c>
      <c r="AN1617" s="924">
        <v>7.4310989636051055</v>
      </c>
      <c r="AO1617" s="924">
        <v>7.8170126458824241</v>
      </c>
      <c r="AP1617" s="924">
        <v>8.0640374392708534</v>
      </c>
      <c r="AQ1617" s="924">
        <v>8.3137068607584581</v>
      </c>
      <c r="AR1617" s="924">
        <v>8.5633762822460611</v>
      </c>
      <c r="AS1617" s="924">
        <v>8.813045703733664</v>
      </c>
      <c r="AT1617" s="924">
        <v>9.062715125221267</v>
      </c>
      <c r="AU1617" s="924">
        <v>9.3126339629779427</v>
      </c>
      <c r="AV1617" s="924">
        <f t="shared" ca="1" si="124"/>
        <v>9.3126339629779427</v>
      </c>
      <c r="AX1617" s="88" t="str">
        <f t="shared" ca="1" si="119"/>
        <v>HPE</v>
      </c>
    </row>
    <row r="1618" spans="1:50" hidden="1" x14ac:dyDescent="0.3">
      <c r="A1618" s="88" t="str">
        <f t="shared" ca="1" si="123"/>
        <v>HPQ</v>
      </c>
      <c r="F1618" s="924">
        <v>3.2480470521541944</v>
      </c>
      <c r="G1618" s="924">
        <v>5.1832794784580498</v>
      </c>
      <c r="H1618" s="924">
        <v>6.1810119047619043</v>
      </c>
      <c r="I1618" s="924">
        <v>7.1787443310657597</v>
      </c>
      <c r="J1618" s="924">
        <v>8.1764767573696133</v>
      </c>
      <c r="K1618" s="924">
        <v>9.1742091836734687</v>
      </c>
      <c r="L1618" s="924">
        <v>10.171941609977324</v>
      </c>
      <c r="M1618" s="924">
        <v>11.169674036281179</v>
      </c>
      <c r="N1618" s="924">
        <v>12.167406462585033</v>
      </c>
      <c r="O1618" s="924">
        <v>11.165138888888889</v>
      </c>
      <c r="P1618" s="924">
        <v>10.165138888888889</v>
      </c>
      <c r="Q1618" s="924">
        <v>9.1651388888888885</v>
      </c>
      <c r="R1618" s="924">
        <v>8.1651388888888885</v>
      </c>
      <c r="S1618" s="924">
        <v>10.160694444444445</v>
      </c>
      <c r="T1618" s="924">
        <v>11.15625</v>
      </c>
      <c r="U1618" s="924">
        <v>12.15625</v>
      </c>
      <c r="V1618" s="924">
        <v>13.15625</v>
      </c>
      <c r="W1618" s="924">
        <v>14.140625</v>
      </c>
      <c r="X1618" s="924">
        <v>15.125</v>
      </c>
      <c r="Y1618" s="924">
        <v>16.0625</v>
      </c>
      <c r="Z1618" s="924">
        <f t="shared" ca="1" si="125"/>
        <v>16.0625</v>
      </c>
      <c r="AB1618" s="924">
        <v>12.429849568001403</v>
      </c>
      <c r="AC1618" s="924">
        <v>13.382088504890136</v>
      </c>
      <c r="AD1618" s="924">
        <v>14.33432744177887</v>
      </c>
      <c r="AE1618" s="924">
        <v>15.286566378667603</v>
      </c>
      <c r="AF1618" s="924">
        <v>16.238805315556334</v>
      </c>
      <c r="AG1618" s="924">
        <v>17.191044252445067</v>
      </c>
      <c r="AH1618" s="924">
        <v>16.146196772458325</v>
      </c>
      <c r="AI1618" s="924">
        <v>16.09989250090932</v>
      </c>
      <c r="AJ1618" s="924">
        <v>16.053588229360315</v>
      </c>
      <c r="AK1618" s="924">
        <v>16.00728395781131</v>
      </c>
      <c r="AL1618" s="924">
        <v>15.008740749373583</v>
      </c>
      <c r="AM1618" s="924">
        <v>14.229506180033541</v>
      </c>
      <c r="AN1618" s="924">
        <v>13.008610219572647</v>
      </c>
      <c r="AO1618" s="924">
        <v>12.048696085913342</v>
      </c>
      <c r="AP1618" s="924">
        <v>11.177048253226546</v>
      </c>
      <c r="AQ1618" s="924">
        <v>10.251428418515802</v>
      </c>
      <c r="AR1618" s="924">
        <v>9.3258085838050579</v>
      </c>
      <c r="AS1618" s="924">
        <v>8.4736506407380237</v>
      </c>
      <c r="AT1618" s="924">
        <v>7.584761751849137</v>
      </c>
      <c r="AU1618" s="924">
        <v>6.6958728629602486</v>
      </c>
      <c r="AV1618" s="924">
        <f t="shared" ca="1" si="124"/>
        <v>6.6958728629602486</v>
      </c>
      <c r="AX1618" s="88" t="str">
        <f t="shared" ca="1" si="119"/>
        <v>HPQ</v>
      </c>
    </row>
    <row r="1619" spans="1:50" hidden="1" x14ac:dyDescent="0.3">
      <c r="A1619" s="88" t="str">
        <f t="shared" ca="1" si="123"/>
        <v>IAG</v>
      </c>
      <c r="F1619" s="924">
        <v>14.578231292517005</v>
      </c>
      <c r="G1619" s="924">
        <v>15.195011337868479</v>
      </c>
      <c r="H1619" s="924">
        <v>15.920634920634919</v>
      </c>
      <c r="I1619" s="924">
        <v>16.646258503401359</v>
      </c>
      <c r="J1619" s="924">
        <v>17.371882086167801</v>
      </c>
      <c r="K1619" s="924">
        <v>18.09750566893424</v>
      </c>
      <c r="L1619" s="924">
        <v>17.323129251700678</v>
      </c>
      <c r="M1619" s="924">
        <v>17.29875283446712</v>
      </c>
      <c r="N1619" s="924">
        <v>17.274376417233562</v>
      </c>
      <c r="O1619" s="924">
        <v>17.25</v>
      </c>
      <c r="P1619" s="924">
        <v>16.5</v>
      </c>
      <c r="Q1619" s="924">
        <v>17.25</v>
      </c>
      <c r="R1619" s="924">
        <v>17.25</v>
      </c>
      <c r="S1619" s="924">
        <v>17.25</v>
      </c>
      <c r="T1619" s="924">
        <v>17.25</v>
      </c>
      <c r="U1619" s="924">
        <v>17.25</v>
      </c>
      <c r="V1619" s="924">
        <v>17.25</v>
      </c>
      <c r="W1619" s="924">
        <v>17.25</v>
      </c>
      <c r="X1619" s="924">
        <v>17.25</v>
      </c>
      <c r="Y1619" s="924">
        <v>17.25</v>
      </c>
      <c r="Z1619" s="924">
        <f t="shared" ca="1" si="125"/>
        <v>17.25</v>
      </c>
      <c r="AB1619" s="924">
        <v>13.464243371259645</v>
      </c>
      <c r="AC1619" s="924">
        <v>12.523155615580505</v>
      </c>
      <c r="AD1619" s="924">
        <v>13.464243371259645</v>
      </c>
      <c r="AE1619" s="924">
        <v>13.464243371259645</v>
      </c>
      <c r="AF1619" s="924">
        <v>13.464243371259645</v>
      </c>
      <c r="AG1619" s="924">
        <v>13.464243371259645</v>
      </c>
      <c r="AH1619" s="924">
        <v>13.464243371259645</v>
      </c>
      <c r="AI1619" s="924">
        <v>13.464243371259645</v>
      </c>
      <c r="AJ1619" s="924">
        <v>13.464243371259645</v>
      </c>
      <c r="AK1619" s="924">
        <v>13.464243371259645</v>
      </c>
      <c r="AL1619" s="924">
        <v>13.464243371259641</v>
      </c>
      <c r="AM1619" s="924">
        <v>13.464243371259641</v>
      </c>
      <c r="AN1619" s="924">
        <v>10.668476245225436</v>
      </c>
      <c r="AO1619" s="924">
        <v>9.6812608817137775</v>
      </c>
      <c r="AP1619" s="924">
        <v>9.3612608817137772</v>
      </c>
      <c r="AQ1619" s="924">
        <v>9.6623486373929168</v>
      </c>
      <c r="AR1619" s="924">
        <v>9.2472171114085402</v>
      </c>
      <c r="AS1619" s="924">
        <v>9.2219700634749948</v>
      </c>
      <c r="AT1619" s="924">
        <v>9.1808355969319102</v>
      </c>
      <c r="AU1619" s="924">
        <v>9.1288369328579648</v>
      </c>
      <c r="AV1619" s="924">
        <f t="shared" ca="1" si="124"/>
        <v>9.1288369328579648</v>
      </c>
      <c r="AX1619" s="88" t="str">
        <f t="shared" ref="AX1619:AX1684" ca="1" si="126">A1619</f>
        <v>IAG</v>
      </c>
    </row>
    <row r="1620" spans="1:50" hidden="1" x14ac:dyDescent="0.3">
      <c r="A1620" s="88" t="str">
        <f t="shared" ca="1" si="123"/>
        <v>KR</v>
      </c>
      <c r="F1620" s="924">
        <v>15.319526627218934</v>
      </c>
      <c r="G1620" s="924">
        <v>14.609467455621301</v>
      </c>
      <c r="H1620" s="924">
        <v>15.319526627218934</v>
      </c>
      <c r="I1620" s="924">
        <v>15.319526627218934</v>
      </c>
      <c r="J1620" s="924">
        <v>15.319526627218934</v>
      </c>
      <c r="K1620" s="924">
        <v>15.319526627218934</v>
      </c>
      <c r="L1620" s="924">
        <v>15.319526627218934</v>
      </c>
      <c r="M1620" s="924">
        <v>15.319526627218934</v>
      </c>
      <c r="N1620" s="924">
        <v>15.319526627218934</v>
      </c>
      <c r="O1620" s="924">
        <v>15.319526627218934</v>
      </c>
      <c r="P1620" s="924">
        <v>15.319526627218934</v>
      </c>
      <c r="Q1620" s="924">
        <v>15.319526627218934</v>
      </c>
      <c r="R1620" s="924">
        <v>16.029585798816569</v>
      </c>
      <c r="S1620" s="924">
        <v>16.029585798816569</v>
      </c>
      <c r="T1620" s="924">
        <v>16.029585798816569</v>
      </c>
      <c r="U1620" s="924">
        <v>16.739644970414201</v>
      </c>
      <c r="V1620" s="924">
        <v>17.449704142011836</v>
      </c>
      <c r="W1620" s="924">
        <v>18.159763313609467</v>
      </c>
      <c r="X1620" s="924">
        <v>18.869822485207102</v>
      </c>
      <c r="Y1620" s="924">
        <v>19.579881656804734</v>
      </c>
      <c r="Z1620" s="924">
        <f t="shared" ca="1" si="125"/>
        <v>19.579881656804734</v>
      </c>
      <c r="AB1620" s="924">
        <v>12.03197228191746</v>
      </c>
      <c r="AC1620" s="924">
        <v>13.028419806148854</v>
      </c>
      <c r="AD1620" s="924">
        <v>14.024867330380246</v>
      </c>
      <c r="AE1620" s="924">
        <v>15.02131485461164</v>
      </c>
      <c r="AF1620" s="924">
        <v>14.017898981534104</v>
      </c>
      <c r="AG1620" s="924">
        <v>14.014414807111034</v>
      </c>
      <c r="AH1620" s="924">
        <v>16.010794029996891</v>
      </c>
      <c r="AI1620" s="924">
        <v>17.007241554228287</v>
      </c>
      <c r="AJ1620" s="924">
        <v>16.003825681150751</v>
      </c>
      <c r="AK1620" s="924">
        <v>16.000341506727679</v>
      </c>
      <c r="AL1620" s="924">
        <v>15.000409808073215</v>
      </c>
      <c r="AM1620" s="924">
        <v>14.000478109418751</v>
      </c>
      <c r="AN1620" s="924">
        <v>16.810273205382146</v>
      </c>
      <c r="AO1620" s="924">
        <v>15.935273205382144</v>
      </c>
      <c r="AP1620" s="924">
        <v>16.372773205382146</v>
      </c>
      <c r="AQ1620" s="924">
        <v>16.372773205382146</v>
      </c>
      <c r="AR1620" s="924">
        <v>15.497773205382146</v>
      </c>
      <c r="AS1620" s="924">
        <v>15.060273205382146</v>
      </c>
      <c r="AT1620" s="924">
        <v>14.622773205382147</v>
      </c>
      <c r="AU1620" s="924">
        <v>14.185273205382147</v>
      </c>
      <c r="AV1620" s="924">
        <f t="shared" ca="1" si="124"/>
        <v>14.185273205382147</v>
      </c>
      <c r="AX1620" s="88" t="str">
        <f t="shared" ca="1" si="126"/>
        <v>KR</v>
      </c>
    </row>
    <row r="1621" spans="1:50" hidden="1" x14ac:dyDescent="0.3">
      <c r="A1621" s="88" t="str">
        <f t="shared" ca="1" si="123"/>
        <v>LNSR</v>
      </c>
      <c r="F1621" s="924">
        <v>12.183673469387756</v>
      </c>
      <c r="G1621" s="924">
        <v>13.163265306122449</v>
      </c>
      <c r="H1621" s="924">
        <v>14.142857142857142</v>
      </c>
      <c r="I1621" s="924">
        <v>15.122448979591837</v>
      </c>
      <c r="J1621" s="924">
        <v>16.102040816326529</v>
      </c>
      <c r="K1621" s="924">
        <v>17.081632653061224</v>
      </c>
      <c r="L1621" s="924">
        <v>18.061224489795919</v>
      </c>
      <c r="M1621" s="924">
        <v>19.04081632653061</v>
      </c>
      <c r="N1621" s="924">
        <v>20.020408163265305</v>
      </c>
      <c r="O1621" s="924">
        <v>21</v>
      </c>
      <c r="P1621" s="924">
        <v>21</v>
      </c>
      <c r="Q1621" s="924">
        <v>21</v>
      </c>
      <c r="R1621" s="924">
        <v>21</v>
      </c>
      <c r="S1621" s="924">
        <v>21</v>
      </c>
      <c r="T1621" s="924">
        <v>21</v>
      </c>
      <c r="U1621" s="924">
        <v>21</v>
      </c>
      <c r="V1621" s="924">
        <v>21</v>
      </c>
      <c r="W1621" s="924">
        <v>21</v>
      </c>
      <c r="X1621" s="924">
        <v>21</v>
      </c>
      <c r="Y1621" s="924">
        <v>21</v>
      </c>
      <c r="Z1621" s="924">
        <f t="shared" ca="1" si="125"/>
        <v>21</v>
      </c>
      <c r="AB1621" s="924">
        <v>19.015898737141303</v>
      </c>
      <c r="AC1621" s="924">
        <v>20.000066098221957</v>
      </c>
      <c r="AD1621" s="924">
        <v>20.000066098221957</v>
      </c>
      <c r="AE1621" s="924">
        <v>20.000066098221957</v>
      </c>
      <c r="AF1621" s="924">
        <v>20.000066098221957</v>
      </c>
      <c r="AG1621" s="924">
        <v>20.000066098221957</v>
      </c>
      <c r="AH1621" s="924">
        <v>18.031925839950681</v>
      </c>
      <c r="AI1621" s="924">
        <v>17.047855710815043</v>
      </c>
      <c r="AJ1621" s="924">
        <v>16.063785581679404</v>
      </c>
      <c r="AK1621" s="924">
        <v>15.079715452543757</v>
      </c>
      <c r="AL1621" s="924">
        <v>15.09557922518616</v>
      </c>
      <c r="AM1621" s="924">
        <v>14.11150909605052</v>
      </c>
      <c r="AN1621" s="924">
        <v>16.873719483457442</v>
      </c>
      <c r="AO1621" s="924">
        <v>16.873719483457442</v>
      </c>
      <c r="AP1621" s="924">
        <v>16.873719483457442</v>
      </c>
      <c r="AQ1621" s="924">
        <v>16.873719483457442</v>
      </c>
      <c r="AR1621" s="924">
        <v>16.873719483457442</v>
      </c>
      <c r="AS1621" s="924">
        <v>16.873719483457442</v>
      </c>
      <c r="AT1621" s="924">
        <v>16.873719483457442</v>
      </c>
      <c r="AU1621" s="924">
        <v>16.873719483457442</v>
      </c>
      <c r="AV1621" s="924">
        <f t="shared" ca="1" si="124"/>
        <v>16.873719483457442</v>
      </c>
      <c r="AX1621" s="88" t="str">
        <f t="shared" ca="1" si="126"/>
        <v>LNSR</v>
      </c>
    </row>
    <row r="1622" spans="1:50" hidden="1" x14ac:dyDescent="0.3">
      <c r="A1622" s="88" t="str">
        <f t="shared" ca="1" si="123"/>
        <v>LUMN</v>
      </c>
      <c r="F1622" s="924">
        <v>19.03275384227765</v>
      </c>
      <c r="G1622" s="924">
        <v>20.012345679012345</v>
      </c>
      <c r="H1622" s="924">
        <v>20.012345679012345</v>
      </c>
      <c r="I1622" s="924">
        <v>20.012345679012345</v>
      </c>
      <c r="J1622" s="924">
        <v>20.012345679012345</v>
      </c>
      <c r="K1622" s="924">
        <v>20.012345679012345</v>
      </c>
      <c r="L1622" s="924">
        <v>18.037037037037035</v>
      </c>
      <c r="M1622" s="924">
        <v>17.049382716049379</v>
      </c>
      <c r="N1622" s="924">
        <v>16.061728395061724</v>
      </c>
      <c r="O1622" s="924">
        <v>15.074074074074069</v>
      </c>
      <c r="P1622" s="924">
        <v>15.074074074074069</v>
      </c>
      <c r="Q1622" s="924">
        <v>14.086419753086414</v>
      </c>
      <c r="R1622" s="924">
        <v>13.098765432098759</v>
      </c>
      <c r="S1622" s="924">
        <v>12.111111111111104</v>
      </c>
      <c r="T1622" s="924">
        <v>13.098765432098759</v>
      </c>
      <c r="U1622" s="924">
        <v>13.098765432098759</v>
      </c>
      <c r="V1622" s="924">
        <v>13.098765432098759</v>
      </c>
      <c r="W1622" s="924">
        <v>13.098765432098759</v>
      </c>
      <c r="X1622" s="924">
        <v>13.098765432098766</v>
      </c>
      <c r="Y1622" s="924">
        <v>13.098765432098766</v>
      </c>
      <c r="Z1622" s="924">
        <f t="shared" ca="1" si="125"/>
        <v>13.098765432098766</v>
      </c>
      <c r="AB1622" s="924">
        <v>4.0602898360589084</v>
      </c>
      <c r="AC1622" s="924">
        <v>4.069484498687804</v>
      </c>
      <c r="AD1622" s="924">
        <v>6.0556409171518428</v>
      </c>
      <c r="AE1622" s="924">
        <v>7.054544474013384</v>
      </c>
      <c r="AF1622" s="924">
        <v>8.0534480308749252</v>
      </c>
      <c r="AG1622" s="924">
        <v>7.0867509427485595</v>
      </c>
      <c r="AH1622" s="924">
        <v>9.0684548221040551</v>
      </c>
      <c r="AI1622" s="924">
        <v>10.067358378965594</v>
      </c>
      <c r="AJ1622" s="924">
        <v>11.066261935827136</v>
      </c>
      <c r="AK1622" s="924">
        <v>10.088251347480018</v>
      </c>
      <c r="AL1622" s="924">
        <v>9.1074440255757771</v>
      </c>
      <c r="AM1622" s="924">
        <v>9.3137035610546626</v>
      </c>
      <c r="AN1622" s="924">
        <v>9.4977944138711123</v>
      </c>
      <c r="AO1622" s="924">
        <v>8.6089055249822231</v>
      </c>
      <c r="AP1622" s="924">
        <v>7.509628733397741</v>
      </c>
      <c r="AQ1622" s="924">
        <v>7.5113835622557481</v>
      </c>
      <c r="AR1622" s="924">
        <v>7.5119467660404782</v>
      </c>
      <c r="AS1622" s="924">
        <v>7.5125099698252074</v>
      </c>
      <c r="AT1622" s="924">
        <v>7.5324888540833088</v>
      </c>
      <c r="AU1622" s="924">
        <v>6.5481138540833097</v>
      </c>
      <c r="AV1622" s="924">
        <f t="shared" ca="1" si="124"/>
        <v>6.5481138540833097</v>
      </c>
      <c r="AX1622" s="88" t="str">
        <f t="shared" ca="1" si="126"/>
        <v>LUMN</v>
      </c>
    </row>
    <row r="1623" spans="1:50" hidden="1" x14ac:dyDescent="0.3">
      <c r="A1623" s="88" t="str">
        <f t="shared" ca="1" si="123"/>
        <v>MRNA</v>
      </c>
      <c r="F1623" s="924">
        <v>4.3194759385235582</v>
      </c>
      <c r="G1623" s="924">
        <v>4.3114134542705971</v>
      </c>
      <c r="H1623" s="924">
        <v>6.2786596119929454</v>
      </c>
      <c r="I1623" s="924">
        <v>7.2582514487276395</v>
      </c>
      <c r="J1623" s="924">
        <v>8.2378432854623327</v>
      </c>
      <c r="K1623" s="924">
        <v>9.2174351221970277</v>
      </c>
      <c r="L1623" s="924">
        <v>10.197026958931721</v>
      </c>
      <c r="M1623" s="924">
        <v>11.176618795666414</v>
      </c>
      <c r="N1623" s="924">
        <v>12.156210632401109</v>
      </c>
      <c r="O1623" s="924">
        <v>11.176618795666418</v>
      </c>
      <c r="P1623" s="924">
        <v>10.156210632401111</v>
      </c>
      <c r="Q1623" s="924">
        <v>12.143864953388764</v>
      </c>
      <c r="R1623" s="924">
        <v>13.094482237339381</v>
      </c>
      <c r="S1623" s="924">
        <v>13.094482237339381</v>
      </c>
      <c r="T1623" s="924">
        <v>13.094482237339381</v>
      </c>
      <c r="U1623" s="924">
        <v>14.082136558327035</v>
      </c>
      <c r="V1623" s="924">
        <v>15.06979087931469</v>
      </c>
      <c r="W1623" s="924">
        <v>16.057445200302347</v>
      </c>
      <c r="X1623" s="924">
        <v>17.045099521289998</v>
      </c>
      <c r="Y1623" s="924">
        <v>17.045099521289998</v>
      </c>
      <c r="Z1623" s="924">
        <f t="shared" ca="1" si="125"/>
        <v>17.045099521289998</v>
      </c>
      <c r="AB1623" s="924">
        <v>15.081121394237799</v>
      </c>
      <c r="AC1623" s="924">
        <v>16.068446511557212</v>
      </c>
      <c r="AD1623" s="924">
        <v>14.068608836043865</v>
      </c>
      <c r="AE1623" s="924">
        <v>13.068689998287189</v>
      </c>
      <c r="AF1623" s="924">
        <v>14.068608836043865</v>
      </c>
      <c r="AG1623" s="924">
        <v>14.068608836043865</v>
      </c>
      <c r="AH1623" s="924">
        <v>12.070069756423699</v>
      </c>
      <c r="AI1623" s="924">
        <v>11.070800216613618</v>
      </c>
      <c r="AJ1623" s="924">
        <v>10.071530676803537</v>
      </c>
      <c r="AK1623" s="924">
        <v>9.0722611369934558</v>
      </c>
      <c r="AL1623" s="924">
        <v>9.005776233671714</v>
      </c>
      <c r="AM1623" s="924">
        <v>8.0065066938616347</v>
      </c>
      <c r="AN1623" s="924">
        <v>7.037641228099603</v>
      </c>
      <c r="AO1623" s="924">
        <v>6.0463881873667207</v>
      </c>
      <c r="AP1623" s="924">
        <v>5.0875027239444783</v>
      </c>
      <c r="AQ1623" s="924">
        <v>5.1121256848555285</v>
      </c>
      <c r="AR1623" s="924">
        <v>5.1367486457665779</v>
      </c>
      <c r="AS1623" s="924">
        <v>5.1613716066776281</v>
      </c>
      <c r="AT1623" s="924">
        <v>5.1859945675886783</v>
      </c>
      <c r="AU1623" s="924">
        <v>4.2109253155111164</v>
      </c>
      <c r="AV1623" s="924">
        <f t="shared" ca="1" si="124"/>
        <v>4.2109253155111164</v>
      </c>
      <c r="AX1623" s="88" t="str">
        <f t="shared" ca="1" si="126"/>
        <v>MRNA</v>
      </c>
    </row>
    <row r="1624" spans="1:50" hidden="1" x14ac:dyDescent="0.3">
      <c r="A1624" s="88" t="str">
        <f t="shared" ca="1" si="123"/>
        <v>MSFT</v>
      </c>
      <c r="F1624" s="924">
        <v>15.359798437893673</v>
      </c>
      <c r="G1624" s="924">
        <v>16.357530864197528</v>
      </c>
      <c r="H1624" s="924">
        <v>15.077530864197527</v>
      </c>
      <c r="I1624" s="924">
        <v>14.437530864197527</v>
      </c>
      <c r="J1624" s="924">
        <v>15.077530864197527</v>
      </c>
      <c r="K1624" s="924">
        <v>15.077530864197527</v>
      </c>
      <c r="L1624" s="924">
        <v>15.077530864197531</v>
      </c>
      <c r="M1624" s="924">
        <v>15.077530864197531</v>
      </c>
      <c r="N1624" s="924">
        <v>15.077530864197531</v>
      </c>
      <c r="O1624" s="924">
        <v>15.077530864197531</v>
      </c>
      <c r="P1624" s="924">
        <v>15.88</v>
      </c>
      <c r="Q1624" s="924">
        <v>15.88</v>
      </c>
      <c r="R1624" s="924">
        <v>15.88</v>
      </c>
      <c r="S1624" s="924">
        <v>15.88</v>
      </c>
      <c r="T1624" s="924">
        <v>15.88</v>
      </c>
      <c r="U1624" s="924">
        <v>16.84</v>
      </c>
      <c r="V1624" s="924">
        <v>17.8</v>
      </c>
      <c r="W1624" s="924">
        <v>18.760000000000002</v>
      </c>
      <c r="X1624" s="924">
        <v>19.72</v>
      </c>
      <c r="Y1624" s="924">
        <v>19.72</v>
      </c>
      <c r="Z1624" s="924">
        <f t="shared" ca="1" si="125"/>
        <v>19.72</v>
      </c>
      <c r="AB1624" s="924">
        <v>5.9216216386825282</v>
      </c>
      <c r="AC1624" s="924">
        <v>5.025860393007787</v>
      </c>
      <c r="AD1624" s="924">
        <v>4.1212323653261276</v>
      </c>
      <c r="AE1624" s="924">
        <v>3.2166043376444673</v>
      </c>
      <c r="AF1624" s="924">
        <v>4.1212323653261276</v>
      </c>
      <c r="AG1624" s="924">
        <v>5.1201359221876697</v>
      </c>
      <c r="AH1624" s="924">
        <v>6.11903947904921</v>
      </c>
      <c r="AI1624" s="924">
        <v>7.1179430359107512</v>
      </c>
      <c r="AJ1624" s="924">
        <v>6.2729884612844025</v>
      </c>
      <c r="AK1624" s="924">
        <v>6.3440542800490114</v>
      </c>
      <c r="AL1624" s="924">
        <v>5.4033684089927689</v>
      </c>
      <c r="AM1624" s="924">
        <v>5.3954671744248683</v>
      </c>
      <c r="AN1624" s="924">
        <v>5.1999934644746375</v>
      </c>
      <c r="AO1624" s="924">
        <v>5.1378723642893203</v>
      </c>
      <c r="AP1624" s="924">
        <v>5.1130798842277239</v>
      </c>
      <c r="AQ1624" s="924">
        <v>5.0639731789481521</v>
      </c>
      <c r="AR1624" s="924">
        <v>5.0205163888246949</v>
      </c>
      <c r="AS1624" s="924">
        <v>4.9770595987012385</v>
      </c>
      <c r="AT1624" s="924">
        <v>4.9336028085777821</v>
      </c>
      <c r="AU1624" s="924">
        <v>4.8870976182663632</v>
      </c>
      <c r="AV1624" s="924">
        <f t="shared" ca="1" si="124"/>
        <v>4.8870976182663632</v>
      </c>
      <c r="AX1624" s="88" t="str">
        <f t="shared" ca="1" si="126"/>
        <v>MSFT</v>
      </c>
    </row>
    <row r="1625" spans="1:50" hidden="1" x14ac:dyDescent="0.3">
      <c r="A1625" s="88" t="str">
        <f t="shared" ca="1" si="123"/>
        <v>NEE</v>
      </c>
      <c r="F1625" s="924">
        <v>8.3462517904765399</v>
      </c>
      <c r="G1625" s="924">
        <v>7.5659749738675419</v>
      </c>
      <c r="H1625" s="924">
        <v>8.3159749738675401</v>
      </c>
      <c r="I1625" s="924">
        <v>6.315974973867541</v>
      </c>
      <c r="J1625" s="924">
        <v>7.3159749738675428</v>
      </c>
      <c r="K1625" s="924">
        <v>8.3137074001713973</v>
      </c>
      <c r="L1625" s="924">
        <v>9.3114398264752527</v>
      </c>
      <c r="M1625" s="924">
        <v>10.309172252779106</v>
      </c>
      <c r="N1625" s="924">
        <v>9.9241886297002466</v>
      </c>
      <c r="O1625" s="924">
        <v>11.61327908069546</v>
      </c>
      <c r="P1625" s="924">
        <v>11.61327908069546</v>
      </c>
      <c r="Q1625" s="924">
        <v>12.304637105386817</v>
      </c>
      <c r="R1625" s="924">
        <v>12.995995130078175</v>
      </c>
      <c r="S1625" s="924">
        <v>13.687353154769532</v>
      </c>
      <c r="T1625" s="924">
        <v>14.37871117946089</v>
      </c>
      <c r="U1625" s="924">
        <v>14.960026058353625</v>
      </c>
      <c r="V1625" s="924">
        <v>15.679749241744627</v>
      </c>
      <c r="W1625" s="924">
        <v>16.399472425135631</v>
      </c>
      <c r="X1625" s="924">
        <v>17.119195608526635</v>
      </c>
      <c r="Y1625" s="924">
        <v>17.838918791917639</v>
      </c>
      <c r="Z1625" s="924">
        <f t="shared" ca="1" si="125"/>
        <v>17.838918791917639</v>
      </c>
      <c r="AB1625" s="924">
        <v>2.2880331382895824</v>
      </c>
      <c r="AC1625" s="924">
        <v>4.2511459849592885</v>
      </c>
      <c r="AD1625" s="924">
        <v>3.24388912570052</v>
      </c>
      <c r="AE1625" s="924">
        <v>3.2286603276662409</v>
      </c>
      <c r="AF1625" s="924">
        <v>5.197487652080941</v>
      </c>
      <c r="AG1625" s="924">
        <v>6.1742869152711535</v>
      </c>
      <c r="AH1625" s="924">
        <v>7.1510861784613642</v>
      </c>
      <c r="AI1625" s="924">
        <v>8.1278854416515749</v>
      </c>
      <c r="AJ1625" s="924">
        <v>9.1046847048417856</v>
      </c>
      <c r="AK1625" s="924">
        <v>8.0924579049318588</v>
      </c>
      <c r="AL1625" s="924">
        <v>8.0943923976131842</v>
      </c>
      <c r="AM1625" s="924">
        <v>9.0889054291632512</v>
      </c>
      <c r="AN1625" s="924">
        <v>9.8934184607133204</v>
      </c>
      <c r="AO1625" s="924">
        <v>8.8857237854286168</v>
      </c>
      <c r="AP1625" s="924">
        <v>8.878029110143915</v>
      </c>
      <c r="AQ1625" s="924">
        <v>8.8703344348592115</v>
      </c>
      <c r="AR1625" s="924">
        <v>8.8626397595745079</v>
      </c>
      <c r="AS1625" s="924">
        <v>8.8549450842898061</v>
      </c>
      <c r="AT1625" s="924">
        <v>8.8472504090051025</v>
      </c>
      <c r="AU1625" s="924">
        <v>8.8409069208697755</v>
      </c>
      <c r="AV1625" s="924">
        <f t="shared" ca="1" si="124"/>
        <v>8.8409069208697755</v>
      </c>
      <c r="AX1625" s="88" t="str">
        <f t="shared" ca="1" si="126"/>
        <v>NEE</v>
      </c>
    </row>
    <row r="1626" spans="1:50" hidden="1" x14ac:dyDescent="0.3">
      <c r="A1626" s="88" t="str">
        <f t="shared" ca="1" si="123"/>
        <v>NEM</v>
      </c>
      <c r="F1626" s="924">
        <v>3.870748299319728</v>
      </c>
      <c r="G1626" s="924">
        <v>5.6780045351473927</v>
      </c>
      <c r="H1626" s="924">
        <v>4.6213151927437641</v>
      </c>
      <c r="I1626" s="924">
        <v>4.5646258503401356</v>
      </c>
      <c r="J1626" s="924">
        <v>6.5079365079365079</v>
      </c>
      <c r="K1626" s="924">
        <v>7.4512471655328794</v>
      </c>
      <c r="L1626" s="924">
        <v>8.3945578231292508</v>
      </c>
      <c r="M1626" s="924">
        <v>9.3378684807256231</v>
      </c>
      <c r="N1626" s="924">
        <v>10.281179138321995</v>
      </c>
      <c r="O1626" s="924">
        <v>9.2653061224489797</v>
      </c>
      <c r="P1626" s="924">
        <v>9.4467120181405893</v>
      </c>
      <c r="Q1626" s="924">
        <v>10.335600907029479</v>
      </c>
      <c r="R1626" s="924">
        <v>10.335600907029479</v>
      </c>
      <c r="S1626" s="924">
        <v>11.151927437641724</v>
      </c>
      <c r="T1626" s="924">
        <v>11.968253968253968</v>
      </c>
      <c r="U1626" s="924">
        <v>12.784580498866214</v>
      </c>
      <c r="V1626" s="924">
        <v>13.600907029478458</v>
      </c>
      <c r="W1626" s="924">
        <v>14.417233560090704</v>
      </c>
      <c r="X1626" s="924">
        <v>15.233560090702948</v>
      </c>
      <c r="Y1626" s="924">
        <v>16.213151927437643</v>
      </c>
      <c r="Z1626" s="924">
        <f t="shared" ca="1" si="125"/>
        <v>16.213151927437643</v>
      </c>
      <c r="AB1626" s="924">
        <v>20.007411955615982</v>
      </c>
      <c r="AC1626" s="924">
        <v>20.007411955615982</v>
      </c>
      <c r="AD1626" s="924">
        <v>21</v>
      </c>
      <c r="AE1626" s="924">
        <v>21</v>
      </c>
      <c r="AF1626" s="924">
        <v>21</v>
      </c>
      <c r="AG1626" s="924">
        <v>21</v>
      </c>
      <c r="AH1626" s="924">
        <v>21</v>
      </c>
      <c r="AI1626" s="924">
        <v>21</v>
      </c>
      <c r="AJ1626" s="924">
        <v>21</v>
      </c>
      <c r="AK1626" s="924">
        <v>21</v>
      </c>
      <c r="AL1626" s="924">
        <v>21</v>
      </c>
      <c r="AM1626" s="924">
        <v>21</v>
      </c>
      <c r="AN1626" s="924">
        <v>17.952500000000001</v>
      </c>
      <c r="AO1626" s="924">
        <v>16.758055555555558</v>
      </c>
      <c r="AP1626" s="924">
        <v>16.050277777777779</v>
      </c>
      <c r="AQ1626" s="924">
        <v>14.996786653517425</v>
      </c>
      <c r="AR1626" s="924">
        <v>14.165754437869824</v>
      </c>
      <c r="AS1626" s="924">
        <v>13.276865548980934</v>
      </c>
      <c r="AT1626" s="924">
        <v>12.387976660092045</v>
      </c>
      <c r="AU1626" s="924">
        <v>11.499087771203156</v>
      </c>
      <c r="AV1626" s="924">
        <f t="shared" ca="1" si="124"/>
        <v>11.499087771203156</v>
      </c>
      <c r="AX1626" s="88" t="str">
        <f t="shared" ca="1" si="126"/>
        <v>NEM</v>
      </c>
    </row>
    <row r="1627" spans="1:50" hidden="1" x14ac:dyDescent="0.3">
      <c r="A1627" s="88" t="str">
        <f t="shared" ca="1" si="123"/>
        <v>NFLX</v>
      </c>
      <c r="F1627" s="924">
        <v>20.002267573696145</v>
      </c>
      <c r="G1627" s="924">
        <v>20.002267573696145</v>
      </c>
      <c r="H1627" s="924">
        <v>21</v>
      </c>
      <c r="I1627" s="924">
        <v>21</v>
      </c>
      <c r="J1627" s="924">
        <v>21</v>
      </c>
      <c r="K1627" s="924">
        <v>21</v>
      </c>
      <c r="L1627" s="924">
        <v>21</v>
      </c>
      <c r="M1627" s="924">
        <v>21</v>
      </c>
      <c r="N1627" s="924">
        <v>21</v>
      </c>
      <c r="O1627" s="924">
        <v>21</v>
      </c>
      <c r="P1627" s="924">
        <v>21</v>
      </c>
      <c r="Q1627" s="924">
        <v>21</v>
      </c>
      <c r="R1627" s="924">
        <v>21</v>
      </c>
      <c r="S1627" s="924">
        <v>21</v>
      </c>
      <c r="T1627" s="924">
        <v>21</v>
      </c>
      <c r="U1627" s="924">
        <v>21</v>
      </c>
      <c r="V1627" s="924">
        <v>21</v>
      </c>
      <c r="W1627" s="924">
        <v>21</v>
      </c>
      <c r="X1627" s="924">
        <v>21</v>
      </c>
      <c r="Y1627" s="924">
        <v>21</v>
      </c>
      <c r="Z1627" s="924">
        <f t="shared" ca="1" si="125"/>
        <v>21</v>
      </c>
      <c r="AB1627" s="924">
        <v>13.078487981666953</v>
      </c>
      <c r="AC1627" s="924">
        <v>12.087760958347337</v>
      </c>
      <c r="AD1627" s="924">
        <v>13.078487981666955</v>
      </c>
      <c r="AE1627" s="924">
        <v>13.078487981666955</v>
      </c>
      <c r="AF1627" s="924">
        <v>13.078487981666955</v>
      </c>
      <c r="AG1627" s="924">
        <v>13.078487981666955</v>
      </c>
      <c r="AH1627" s="924">
        <v>11.100319124460448</v>
      </c>
      <c r="AI1627" s="924">
        <v>10.111234695857195</v>
      </c>
      <c r="AJ1627" s="924">
        <v>9.122150267253943</v>
      </c>
      <c r="AK1627" s="924">
        <v>8.1330658386506904</v>
      </c>
      <c r="AL1627" s="924">
        <v>8.1336894545758991</v>
      </c>
      <c r="AM1627" s="924">
        <v>7.3449961054013757</v>
      </c>
      <c r="AN1627" s="924">
        <v>6.227623819736281</v>
      </c>
      <c r="AO1627" s="924">
        <v>6.247092896096456</v>
      </c>
      <c r="AP1627" s="924">
        <v>6.4280148991650092</v>
      </c>
      <c r="AQ1627" s="924">
        <v>5.5391260102761199</v>
      </c>
      <c r="AR1627" s="924">
        <v>4.6502371213872324</v>
      </c>
      <c r="AS1627" s="924">
        <v>4.7520752558179593</v>
      </c>
      <c r="AT1627" s="924">
        <v>4.6316911680264639</v>
      </c>
      <c r="AU1627" s="924">
        <v>4.6224181913460791</v>
      </c>
      <c r="AV1627" s="924">
        <f t="shared" ca="1" si="124"/>
        <v>4.6224181913460791</v>
      </c>
      <c r="AX1627" s="88" t="str">
        <f t="shared" ca="1" si="126"/>
        <v>NFLX</v>
      </c>
    </row>
    <row r="1628" spans="1:50" hidden="1" x14ac:dyDescent="0.3">
      <c r="A1628" s="88" t="str">
        <f t="shared" ca="1" si="123"/>
        <v>NOTE</v>
      </c>
      <c r="F1628" s="924">
        <v>13.064499874023682</v>
      </c>
      <c r="G1628" s="924">
        <v>12.066767447719826</v>
      </c>
      <c r="H1628" s="924">
        <v>13.064499874023682</v>
      </c>
      <c r="I1628" s="924">
        <v>13.064499874023682</v>
      </c>
      <c r="J1628" s="924">
        <v>13.064499874023682</v>
      </c>
      <c r="K1628" s="924">
        <v>13.064499874023682</v>
      </c>
      <c r="L1628" s="924">
        <v>13.064499874023685</v>
      </c>
      <c r="M1628" s="924">
        <v>13.064499874023685</v>
      </c>
      <c r="N1628" s="924">
        <v>13.064499874023685</v>
      </c>
      <c r="O1628" s="924">
        <v>13.064499874023685</v>
      </c>
      <c r="P1628" s="924">
        <v>14.05215419501134</v>
      </c>
      <c r="Q1628" s="924">
        <v>14.052154195011337</v>
      </c>
      <c r="R1628" s="924">
        <v>14.052154195011337</v>
      </c>
      <c r="S1628" s="924">
        <v>15.031746031746032</v>
      </c>
      <c r="T1628" s="924">
        <v>16.011337868480723</v>
      </c>
      <c r="U1628" s="924">
        <v>16.011337868480723</v>
      </c>
      <c r="V1628" s="924">
        <v>16.011337868480727</v>
      </c>
      <c r="W1628" s="924">
        <v>17.009070294784578</v>
      </c>
      <c r="X1628" s="924">
        <v>18.006802721088434</v>
      </c>
      <c r="Y1628" s="924">
        <v>19.004535147392289</v>
      </c>
      <c r="Z1628" s="924">
        <f t="shared" ca="1" si="125"/>
        <v>19.004535147392289</v>
      </c>
      <c r="AB1628" s="924">
        <v>9.029708421078956</v>
      </c>
      <c r="AC1628" s="924">
        <v>9.0338220083342122</v>
      </c>
      <c r="AD1628" s="924">
        <v>9.041585822735053</v>
      </c>
      <c r="AE1628" s="924">
        <v>9.0480508162695603</v>
      </c>
      <c r="AF1628" s="924">
        <v>11.039392936458134</v>
      </c>
      <c r="AG1628" s="924">
        <v>12.038296493319676</v>
      </c>
      <c r="AH1628" s="924">
        <v>11.054693968715457</v>
      </c>
      <c r="AI1628" s="924">
        <v>11.062344484844116</v>
      </c>
      <c r="AJ1628" s="924">
        <v>11.069995000972776</v>
      </c>
      <c r="AK1628" s="924">
        <v>11.077645517101438</v>
      </c>
      <c r="AL1628" s="924">
        <v>10.086392476368557</v>
      </c>
      <c r="AM1628" s="924">
        <v>9.0951394356356783</v>
      </c>
      <c r="AN1628" s="924">
        <v>8.10699855783432</v>
      </c>
      <c r="AO1628" s="924">
        <v>7.0969985578343158</v>
      </c>
      <c r="AP1628" s="924">
        <v>6.1525541133898711</v>
      </c>
      <c r="AQ1628" s="924">
        <v>5.1803318911676488</v>
      </c>
      <c r="AR1628" s="924">
        <v>4.2081096689454265</v>
      </c>
      <c r="AS1628" s="924">
        <v>3.2358874467232037</v>
      </c>
      <c r="AT1628" s="924">
        <v>2.2636652245009814</v>
      </c>
      <c r="AU1628" s="924">
        <v>2.2851803864721241</v>
      </c>
      <c r="AV1628" s="924">
        <f t="shared" ca="1" si="124"/>
        <v>2.2851803864721241</v>
      </c>
      <c r="AX1628" s="88" t="str">
        <f t="shared" ca="1" si="126"/>
        <v>NOTE</v>
      </c>
    </row>
    <row r="1629" spans="1:50" hidden="1" x14ac:dyDescent="0.3">
      <c r="A1629" s="88" t="str">
        <f t="shared" ca="1" si="123"/>
        <v>PAAS</v>
      </c>
      <c r="F1629" s="924">
        <v>9.186696900982616</v>
      </c>
      <c r="G1629" s="924">
        <v>9.2156714537666922</v>
      </c>
      <c r="H1629" s="924">
        <v>11.164021164021165</v>
      </c>
      <c r="I1629" s="924">
        <v>12.16175359032502</v>
      </c>
      <c r="J1629" s="924">
        <v>13.159486016628875</v>
      </c>
      <c r="K1629" s="924">
        <v>14.157218442932729</v>
      </c>
      <c r="L1629" s="924">
        <v>13.195767195767198</v>
      </c>
      <c r="M1629" s="924">
        <v>13.213907785336358</v>
      </c>
      <c r="N1629" s="924">
        <v>13.232048374905521</v>
      </c>
      <c r="O1629" s="924">
        <v>13.250188964474683</v>
      </c>
      <c r="P1629" s="924">
        <v>12.27059712773999</v>
      </c>
      <c r="Q1629" s="924">
        <v>11.291005291005296</v>
      </c>
      <c r="R1629" s="924">
        <v>10.311413454270603</v>
      </c>
      <c r="S1629" s="924">
        <v>9.3318216175359101</v>
      </c>
      <c r="T1629" s="924">
        <v>10.311413454270603</v>
      </c>
      <c r="U1629" s="924">
        <v>10.311413454270596</v>
      </c>
      <c r="V1629" s="924">
        <v>10.311413454270596</v>
      </c>
      <c r="W1629" s="924">
        <v>10.311413454270596</v>
      </c>
      <c r="X1629" s="924">
        <v>10.311413454270596</v>
      </c>
      <c r="Y1629" s="924">
        <v>11.262030738221213</v>
      </c>
      <c r="Z1629" s="924">
        <f t="shared" ca="1" si="125"/>
        <v>11.262030738221213</v>
      </c>
      <c r="AB1629" s="924">
        <v>4.1163505296418927</v>
      </c>
      <c r="AC1629" s="924">
        <v>3.1257157741788326</v>
      </c>
      <c r="AD1629" s="924">
        <v>3.1402672685807693</v>
      </c>
      <c r="AE1629" s="924">
        <v>3.1495722456551376</v>
      </c>
      <c r="AF1629" s="924">
        <v>5.129653699000488</v>
      </c>
      <c r="AG1629" s="924">
        <v>6.1243469142103466</v>
      </c>
      <c r="AH1629" s="924">
        <v>7.1190401294202061</v>
      </c>
      <c r="AI1629" s="924">
        <v>8.1137333446300648</v>
      </c>
      <c r="AJ1629" s="924">
        <v>9.1084265598399234</v>
      </c>
      <c r="AK1629" s="924">
        <v>8.1403098576944117</v>
      </c>
      <c r="AL1629" s="924">
        <v>8.1632897531099182</v>
      </c>
      <c r="AM1629" s="924">
        <v>7.1846254430480565</v>
      </c>
      <c r="AN1629" s="924">
        <v>7.2657752768099177</v>
      </c>
      <c r="AO1629" s="924">
        <v>6.3057752768099178</v>
      </c>
      <c r="AP1629" s="924">
        <v>5.4879974990321383</v>
      </c>
      <c r="AQ1629" s="924">
        <v>5.5897433656063082</v>
      </c>
      <c r="AR1629" s="924">
        <v>5.6914892321804782</v>
      </c>
      <c r="AS1629" s="924">
        <v>5.7932350987546481</v>
      </c>
      <c r="AT1629" s="924">
        <v>5.8949809653288181</v>
      </c>
      <c r="AU1629" s="924">
        <v>5.9967268319029889</v>
      </c>
      <c r="AV1629" s="924">
        <f t="shared" ca="1" si="124"/>
        <v>5.9967268319029889</v>
      </c>
      <c r="AX1629" s="88" t="str">
        <f t="shared" ca="1" si="126"/>
        <v>PAAS</v>
      </c>
    </row>
    <row r="1630" spans="1:50" hidden="1" x14ac:dyDescent="0.3">
      <c r="A1630" s="88" t="str">
        <f t="shared" ca="1" si="123"/>
        <v>PROF</v>
      </c>
      <c r="F1630" s="924">
        <v>4.5915683827771714</v>
      </c>
      <c r="G1630" s="924">
        <v>3.644822820646997</v>
      </c>
      <c r="H1630" s="924">
        <v>3.7933824417340909</v>
      </c>
      <c r="I1630" s="924">
        <v>3.8840853895798957</v>
      </c>
      <c r="J1630" s="924">
        <v>5.7525661152034786</v>
      </c>
      <c r="K1630" s="924">
        <v>6.7321579519381718</v>
      </c>
      <c r="L1630" s="924">
        <v>7.7117497886728668</v>
      </c>
      <c r="M1630" s="924">
        <v>8.6913416254075599</v>
      </c>
      <c r="N1630" s="924">
        <v>9.6709334621422531</v>
      </c>
      <c r="O1630" s="924">
        <v>8.6505252988769481</v>
      </c>
      <c r="P1630" s="924">
        <v>9.8581342683906783</v>
      </c>
      <c r="Q1630" s="924">
        <v>9.4630725399956166</v>
      </c>
      <c r="R1630" s="924">
        <v>10.014756373730734</v>
      </c>
      <c r="S1630" s="924">
        <v>9.619694645335672</v>
      </c>
      <c r="T1630" s="924">
        <v>10.014756373730734</v>
      </c>
      <c r="U1630" s="924">
        <v>10.961501935860911</v>
      </c>
      <c r="V1630" s="924">
        <v>11.908247497991088</v>
      </c>
      <c r="W1630" s="924">
        <v>12.854993060121267</v>
      </c>
      <c r="X1630" s="924">
        <v>13.801738622251444</v>
      </c>
      <c r="Y1630" s="924">
        <v>14.748484184381621</v>
      </c>
      <c r="Z1630" s="924">
        <f t="shared" ca="1" si="125"/>
        <v>14.748484184381621</v>
      </c>
      <c r="AB1630" s="924">
        <v>2.1183373062688089</v>
      </c>
      <c r="AC1630" s="924">
        <v>1.1345356533762461</v>
      </c>
      <c r="AD1630" s="924">
        <v>1.155818186435958</v>
      </c>
      <c r="AE1630" s="924">
        <v>1.1743612667546104</v>
      </c>
      <c r="AF1630" s="924">
        <v>3.1550287473762677</v>
      </c>
      <c r="AG1630" s="924">
        <v>4.1546340278464227</v>
      </c>
      <c r="AH1630" s="924">
        <v>5.1542393083165772</v>
      </c>
      <c r="AI1630" s="924">
        <v>6.1538445887867326</v>
      </c>
      <c r="AJ1630" s="924">
        <v>7.1534498692568871</v>
      </c>
      <c r="AK1630" s="924">
        <v>8.1530551497270416</v>
      </c>
      <c r="AL1630" s="924">
        <v>9.1298544129172523</v>
      </c>
      <c r="AM1630" s="924">
        <v>9.1298544129172523</v>
      </c>
      <c r="AN1630" s="924">
        <v>9.9332802712079769</v>
      </c>
      <c r="AO1630" s="924">
        <v>10.926706129498699</v>
      </c>
      <c r="AP1630" s="924">
        <v>9.9256721539944106</v>
      </c>
      <c r="AQ1630" s="924">
        <v>9.9204702983213942</v>
      </c>
      <c r="AR1630" s="924">
        <v>9.9152684426483777</v>
      </c>
      <c r="AS1630" s="924">
        <v>11.904526420770372</v>
      </c>
      <c r="AT1630" s="924">
        <v>11.396554481994862</v>
      </c>
      <c r="AU1630" s="924">
        <v>11.158582543219351</v>
      </c>
      <c r="AV1630" s="924">
        <f t="shared" ca="1" si="124"/>
        <v>11.158582543219351</v>
      </c>
      <c r="AX1630" s="88" t="str">
        <f t="shared" ca="1" si="126"/>
        <v>PROF</v>
      </c>
    </row>
    <row r="1631" spans="1:50" hidden="1" x14ac:dyDescent="0.3">
      <c r="A1631" s="88" t="str">
        <f t="shared" ca="1" si="123"/>
        <v>POET</v>
      </c>
      <c r="F1631" s="924">
        <v>3.1529605925210316</v>
      </c>
      <c r="G1631" s="924">
        <v>2.1529605925210324</v>
      </c>
      <c r="H1631" s="924">
        <v>2.167221944444722</v>
      </c>
      <c r="I1631" s="924">
        <v>2.1732188335584945</v>
      </c>
      <c r="J1631" s="924">
        <v>4.1626867970524319</v>
      </c>
      <c r="K1631" s="924">
        <v>5.1604192233562873</v>
      </c>
      <c r="L1631" s="924">
        <v>6.1581516496601418</v>
      </c>
      <c r="M1631" s="924">
        <v>7.1558840759639963</v>
      </c>
      <c r="N1631" s="924">
        <v>8.1536165022678517</v>
      </c>
      <c r="O1631" s="924">
        <v>9.1513489285717071</v>
      </c>
      <c r="P1631" s="924">
        <v>10.094659586168078</v>
      </c>
      <c r="Q1631" s="924">
        <v>10.094659586168078</v>
      </c>
      <c r="R1631" s="924">
        <v>11.041405148298256</v>
      </c>
      <c r="S1631" s="924">
        <v>11.988150710428432</v>
      </c>
      <c r="T1631" s="924">
        <v>12.934896272558611</v>
      </c>
      <c r="U1631" s="924">
        <v>13.751222803170855</v>
      </c>
      <c r="V1631" s="924">
        <v>14.5675493337831</v>
      </c>
      <c r="W1631" s="924">
        <v>15.383875864395344</v>
      </c>
      <c r="X1631" s="924">
        <v>16.20020239500759</v>
      </c>
      <c r="Y1631" s="924">
        <v>17.016528925619834</v>
      </c>
      <c r="Z1631" s="924">
        <f t="shared" ca="1" si="125"/>
        <v>17.016528925619834</v>
      </c>
      <c r="AB1631" s="924">
        <v>19.058142396285682</v>
      </c>
      <c r="AC1631" s="924">
        <v>18.208910908171397</v>
      </c>
      <c r="AD1631" s="924">
        <v>17.286071401998559</v>
      </c>
      <c r="AE1631" s="924">
        <v>18.208910908171397</v>
      </c>
      <c r="AF1631" s="924">
        <v>18.208910908171397</v>
      </c>
      <c r="AG1631" s="924">
        <v>16.350481483038834</v>
      </c>
      <c r="AH1631" s="924">
        <v>17.279696195605112</v>
      </c>
      <c r="AI1631" s="924">
        <v>17.279696195605112</v>
      </c>
      <c r="AJ1631" s="924">
        <v>15.402413138623379</v>
      </c>
      <c r="AK1631" s="924">
        <v>14.463771610132511</v>
      </c>
      <c r="AL1631" s="924">
        <v>13.520747689390364</v>
      </c>
      <c r="AM1631" s="924">
        <v>12.961580414006871</v>
      </c>
      <c r="AN1631" s="924">
        <v>16.157823218106302</v>
      </c>
      <c r="AO1631" s="924">
        <v>16.157823218106305</v>
      </c>
      <c r="AP1631" s="924">
        <v>16.157823218106305</v>
      </c>
      <c r="AQ1631" s="924">
        <v>16.157823218106302</v>
      </c>
      <c r="AR1631" s="924">
        <v>16.157823218106302</v>
      </c>
      <c r="AS1631" s="924">
        <v>16.157823218106302</v>
      </c>
      <c r="AT1631" s="924">
        <v>16.157823218106302</v>
      </c>
      <c r="AU1631" s="924">
        <v>16.157823218106302</v>
      </c>
      <c r="AV1631" s="924">
        <f t="shared" ca="1" si="124"/>
        <v>16.157823218106302</v>
      </c>
      <c r="AX1631" s="88" t="str">
        <f t="shared" ca="1" si="126"/>
        <v>POET</v>
      </c>
    </row>
    <row r="1632" spans="1:50" hidden="1" x14ac:dyDescent="0.3">
      <c r="A1632" s="88" t="str">
        <f t="shared" ca="1" si="123"/>
        <v>PW</v>
      </c>
      <c r="F1632" s="924">
        <v>19.022675736961453</v>
      </c>
      <c r="G1632" s="924">
        <v>18.045099521289998</v>
      </c>
      <c r="H1632" s="924">
        <v>17.157753842277653</v>
      </c>
      <c r="I1632" s="924">
        <v>18.095253842277653</v>
      </c>
      <c r="J1632" s="924">
        <v>18.09525384227765</v>
      </c>
      <c r="K1632" s="924">
        <v>16.175253842277648</v>
      </c>
      <c r="L1632" s="924">
        <v>17.135253842277649</v>
      </c>
      <c r="M1632" s="924">
        <v>17.135253842277649</v>
      </c>
      <c r="N1632" s="924">
        <v>15.35747606449987</v>
      </c>
      <c r="O1632" s="924">
        <v>14.468587175610981</v>
      </c>
      <c r="P1632" s="924">
        <v>13.579698286722092</v>
      </c>
      <c r="Q1632" s="924">
        <v>12.968587175610981</v>
      </c>
      <c r="R1632" s="924">
        <v>13.198179012345676</v>
      </c>
      <c r="S1632" s="924">
        <v>13.948179012345676</v>
      </c>
      <c r="T1632" s="924">
        <v>13.948179012345676</v>
      </c>
      <c r="U1632" s="924">
        <v>13.948179012345678</v>
      </c>
      <c r="V1632" s="924">
        <v>13.158055555555555</v>
      </c>
      <c r="W1632" s="924">
        <v>12.762993827160495</v>
      </c>
      <c r="X1632" s="924">
        <v>13.158055555555556</v>
      </c>
      <c r="Y1632" s="924">
        <v>13.158055555555556</v>
      </c>
      <c r="Z1632" s="924">
        <f t="shared" ca="1" si="125"/>
        <v>13.158055555555556</v>
      </c>
      <c r="AB1632" s="924">
        <v>19.016925331774743</v>
      </c>
      <c r="AC1632" s="924">
        <v>20.0165306122449</v>
      </c>
      <c r="AD1632" s="924">
        <v>20.0165306122449</v>
      </c>
      <c r="AE1632" s="924">
        <v>20.0165306122449</v>
      </c>
      <c r="AF1632" s="924">
        <v>20.0165306122449</v>
      </c>
      <c r="AG1632" s="924">
        <v>20.0165306122449</v>
      </c>
      <c r="AH1632" s="924">
        <v>20.0165306122449</v>
      </c>
      <c r="AI1632" s="924">
        <v>20.0165306122449</v>
      </c>
      <c r="AJ1632" s="924">
        <v>18.082646314724236</v>
      </c>
      <c r="AK1632" s="924">
        <v>17.110357758998411</v>
      </c>
      <c r="AL1632" s="924">
        <v>17.124211794510433</v>
      </c>
      <c r="AM1632" s="924">
        <v>16.154596442267355</v>
      </c>
      <c r="AN1632" s="924">
        <v>18.873442498996596</v>
      </c>
      <c r="AO1632" s="924">
        <v>18.873442498996596</v>
      </c>
      <c r="AP1632" s="924">
        <v>17.095664721218817</v>
      </c>
      <c r="AQ1632" s="924">
        <v>16.206775832329928</v>
      </c>
      <c r="AR1632" s="924">
        <v>15.317886943441037</v>
      </c>
      <c r="AS1632" s="924">
        <v>14.428998054552148</v>
      </c>
      <c r="AT1632" s="924">
        <v>13.540109165663258</v>
      </c>
      <c r="AU1632" s="924">
        <v>12.651220276774369</v>
      </c>
      <c r="AV1632" s="924">
        <f t="shared" ca="1" si="124"/>
        <v>12.651220276774369</v>
      </c>
      <c r="AX1632" s="88" t="str">
        <f t="shared" ca="1" si="126"/>
        <v>PW</v>
      </c>
    </row>
    <row r="1633" spans="1:50" hidden="1" x14ac:dyDescent="0.3">
      <c r="A1633" s="88" t="str">
        <f t="shared" ca="1" si="123"/>
        <v>RIGL</v>
      </c>
      <c r="F1633" s="924">
        <v>19.042267573696144</v>
      </c>
      <c r="G1633" s="924">
        <v>20.04</v>
      </c>
      <c r="H1633" s="924">
        <v>20.04</v>
      </c>
      <c r="I1633" s="924">
        <v>20.04</v>
      </c>
      <c r="J1633" s="924">
        <v>20.04</v>
      </c>
      <c r="K1633" s="924">
        <v>20.04</v>
      </c>
      <c r="L1633" s="924">
        <v>20.04</v>
      </c>
      <c r="M1633" s="924">
        <v>20.04</v>
      </c>
      <c r="N1633" s="924">
        <v>18.04</v>
      </c>
      <c r="O1633" s="924">
        <v>17.262222222222221</v>
      </c>
      <c r="P1633" s="924">
        <v>17.333333333333332</v>
      </c>
      <c r="Q1633" s="924">
        <v>16.444444444444443</v>
      </c>
      <c r="R1633" s="924">
        <v>15.555555555555554</v>
      </c>
      <c r="S1633" s="924">
        <v>14.666666666666664</v>
      </c>
      <c r="T1633" s="924">
        <v>15.555555555555554</v>
      </c>
      <c r="U1633" s="924">
        <v>15.555555555555554</v>
      </c>
      <c r="V1633" s="924">
        <v>15.555555555555554</v>
      </c>
      <c r="W1633" s="924">
        <v>15.555555555555554</v>
      </c>
      <c r="X1633" s="924">
        <v>15.555555555555554</v>
      </c>
      <c r="Y1633" s="924">
        <v>15.555555555555554</v>
      </c>
      <c r="Z1633" s="924">
        <f t="shared" ca="1" si="125"/>
        <v>15.555555555555554</v>
      </c>
      <c r="AB1633" s="924">
        <v>7.1602938245032739</v>
      </c>
      <c r="AC1633" s="924">
        <v>6.1702938245032728</v>
      </c>
      <c r="AD1633" s="924">
        <v>8.1504258362571438</v>
      </c>
      <c r="AE1633" s="924">
        <v>9.1405578480110137</v>
      </c>
      <c r="AF1633" s="924">
        <v>10.130689859764885</v>
      </c>
      <c r="AG1633" s="924">
        <v>11.120821871518755</v>
      </c>
      <c r="AH1633" s="924">
        <v>10.130953883272625</v>
      </c>
      <c r="AI1633" s="924">
        <v>10.131085895026494</v>
      </c>
      <c r="AJ1633" s="924">
        <v>10.131217906780364</v>
      </c>
      <c r="AK1633" s="924">
        <v>10.131349918534235</v>
      </c>
      <c r="AL1633" s="924">
        <v>10.107493918534235</v>
      </c>
      <c r="AM1633" s="924">
        <v>9.117493918534235</v>
      </c>
      <c r="AN1633" s="924">
        <v>11.897493918534236</v>
      </c>
      <c r="AO1633" s="924">
        <v>10.397493918534236</v>
      </c>
      <c r="AP1633" s="924">
        <v>9.6474939185342361</v>
      </c>
      <c r="AQ1633" s="924">
        <v>8.8974939185342361</v>
      </c>
      <c r="AR1633" s="924">
        <v>8.1474939185342361</v>
      </c>
      <c r="AS1633" s="924">
        <v>8.3887469592671184</v>
      </c>
      <c r="AT1633" s="924">
        <v>8.629999999999999</v>
      </c>
      <c r="AU1633" s="924">
        <v>8.5552551984877123</v>
      </c>
      <c r="AV1633" s="924">
        <f t="shared" ca="1" si="124"/>
        <v>8.5552551984877123</v>
      </c>
      <c r="AX1633" s="88" t="str">
        <f t="shared" ca="1" si="126"/>
        <v>RIGL</v>
      </c>
    </row>
    <row r="1634" spans="1:50" hidden="1" x14ac:dyDescent="0.3">
      <c r="A1634" s="88" t="str">
        <f t="shared" ca="1" si="123"/>
        <v>RWE</v>
      </c>
      <c r="F1634" s="924">
        <v>7.2095841106525711</v>
      </c>
      <c r="G1634" s="924">
        <v>6.5237537087508946</v>
      </c>
      <c r="H1634" s="924">
        <v>8.3519359620443687</v>
      </c>
      <c r="I1634" s="924">
        <v>9.3496683883482241</v>
      </c>
      <c r="J1634" s="924">
        <v>10.34740081465208</v>
      </c>
      <c r="K1634" s="924">
        <v>11.345133240955935</v>
      </c>
      <c r="L1634" s="924">
        <v>10.359394592879623</v>
      </c>
      <c r="M1634" s="924">
        <v>10.365391481993395</v>
      </c>
      <c r="N1634" s="924">
        <v>10.371388371107166</v>
      </c>
      <c r="O1634" s="924">
        <v>10.377385260220938</v>
      </c>
      <c r="P1634" s="924">
        <v>10.274538611919745</v>
      </c>
      <c r="Q1634" s="924">
        <v>9.2828030747296619</v>
      </c>
      <c r="R1634" s="924">
        <v>8.291067537539579</v>
      </c>
      <c r="S1634" s="924">
        <v>9.2828030747296619</v>
      </c>
      <c r="T1634" s="924">
        <v>9.2828030747296619</v>
      </c>
      <c r="U1634" s="924">
        <v>9.2828030747296619</v>
      </c>
      <c r="V1634" s="924">
        <v>9.2828030747296619</v>
      </c>
      <c r="W1634" s="924">
        <v>10.280032991627168</v>
      </c>
      <c r="X1634" s="924">
        <v>11.277262908524676</v>
      </c>
      <c r="Y1634" s="924">
        <v>12.252332160602238</v>
      </c>
      <c r="Z1634" s="924">
        <f t="shared" ca="1" si="125"/>
        <v>12.252332160602238</v>
      </c>
      <c r="AB1634" s="924">
        <v>8.4390130145176379</v>
      </c>
      <c r="AC1634" s="924">
        <v>8.4703027520243594</v>
      </c>
      <c r="AD1634" s="924">
        <v>7.5227093394515689</v>
      </c>
      <c r="AE1634" s="924">
        <v>7.5582200605782424</v>
      </c>
      <c r="AF1634" s="924">
        <v>7.5799823515376881</v>
      </c>
      <c r="AG1634" s="924">
        <v>6.6212937402613319</v>
      </c>
      <c r="AH1634" s="924">
        <v>7.579982351537689</v>
      </c>
      <c r="AI1634" s="924">
        <v>7.579982351537689</v>
      </c>
      <c r="AJ1634" s="924">
        <v>5.6549043078332133</v>
      </c>
      <c r="AK1634" s="924">
        <v>4.6974433296854503</v>
      </c>
      <c r="AL1634" s="924">
        <v>4.7321365448953099</v>
      </c>
      <c r="AM1634" s="924">
        <v>3.7721365448953095</v>
      </c>
      <c r="AN1634" s="924">
        <v>6.4621365448953085</v>
      </c>
      <c r="AO1634" s="924">
        <v>7.4181719247080036</v>
      </c>
      <c r="AP1634" s="924">
        <v>6.3742073045206986</v>
      </c>
      <c r="AQ1634" s="924">
        <v>6.3302426843333937</v>
      </c>
      <c r="AR1634" s="924">
        <v>6.2862780641460887</v>
      </c>
      <c r="AS1634" s="924">
        <v>6.2423134439587837</v>
      </c>
      <c r="AT1634" s="924">
        <v>6.1983488237714788</v>
      </c>
      <c r="AU1634" s="924">
        <v>6.1543842035841738</v>
      </c>
      <c r="AV1634" s="924">
        <f t="shared" ca="1" si="124"/>
        <v>6.1543842035841738</v>
      </c>
      <c r="AX1634" s="88" t="str">
        <f t="shared" ca="1" si="126"/>
        <v>RWE</v>
      </c>
    </row>
    <row r="1635" spans="1:50" hidden="1" x14ac:dyDescent="0.3">
      <c r="A1635" s="88" t="str">
        <f t="shared" ca="1" si="123"/>
        <v>SAP</v>
      </c>
      <c r="F1635" s="924">
        <v>9.0453514739228993</v>
      </c>
      <c r="G1635" s="924">
        <v>9.1360544217687032</v>
      </c>
      <c r="H1635" s="924">
        <v>8.0338321995464828</v>
      </c>
      <c r="I1635" s="924">
        <v>8.0360090702947833</v>
      </c>
      <c r="J1635" s="924">
        <v>8.251519274376415</v>
      </c>
      <c r="K1635" s="924">
        <v>7.1716581632653016</v>
      </c>
      <c r="L1635" s="924">
        <v>8.1560331632653025</v>
      </c>
      <c r="M1635" s="924">
        <v>8.1560331632653025</v>
      </c>
      <c r="N1635" s="924">
        <v>6.1629535784902183</v>
      </c>
      <c r="O1635" s="924">
        <v>5.4553513590434433</v>
      </c>
      <c r="P1635" s="924">
        <v>5.5828721898609777</v>
      </c>
      <c r="Q1635" s="924">
        <v>4.730801183943818</v>
      </c>
      <c r="R1635" s="924">
        <v>3.8787301780266579</v>
      </c>
      <c r="S1635" s="924">
        <v>3.915548060998387</v>
      </c>
      <c r="T1635" s="924">
        <v>5.656507955804436</v>
      </c>
      <c r="U1635" s="924">
        <v>6.5453968446933244</v>
      </c>
      <c r="V1635" s="924">
        <v>7.4342857335822137</v>
      </c>
      <c r="W1635" s="924">
        <v>8.3231746224711021</v>
      </c>
      <c r="X1635" s="924">
        <v>9.2120635113599914</v>
      </c>
      <c r="Y1635" s="924">
        <v>10.100952400248881</v>
      </c>
      <c r="Z1635" s="924">
        <f t="shared" ca="1" si="125"/>
        <v>10.100952400248881</v>
      </c>
      <c r="AB1635" s="924">
        <v>11.029848728147012</v>
      </c>
      <c r="AC1635" s="924">
        <v>11.03249348496194</v>
      </c>
      <c r="AD1635" s="924">
        <v>10.038693759310364</v>
      </c>
      <c r="AE1635" s="924">
        <v>9.0431382037548094</v>
      </c>
      <c r="AF1635" s="924">
        <v>8.0519722229592023</v>
      </c>
      <c r="AG1635" s="924">
        <v>7.0586114547836196</v>
      </c>
      <c r="AH1635" s="924">
        <v>8.0519722229592023</v>
      </c>
      <c r="AI1635" s="924">
        <v>8.0519722229592023</v>
      </c>
      <c r="AJ1635" s="924">
        <v>8.0519722229592006</v>
      </c>
      <c r="AK1635" s="924">
        <v>8.0519722229592006</v>
      </c>
      <c r="AL1635" s="924">
        <v>9.0515775034293551</v>
      </c>
      <c r="AM1635" s="924">
        <v>9.0515775034293551</v>
      </c>
      <c r="AN1635" s="924">
        <v>5.0543605567529495</v>
      </c>
      <c r="AO1635" s="924">
        <v>5.0635197903584466</v>
      </c>
      <c r="AP1635" s="924">
        <v>5.0894324222547249</v>
      </c>
      <c r="AQ1635" s="924">
        <v>5.0663356444489525</v>
      </c>
      <c r="AR1635" s="924">
        <v>5.143647029908486</v>
      </c>
      <c r="AS1635" s="924">
        <v>5.1809584153680195</v>
      </c>
      <c r="AT1635" s="924">
        <v>5.2182698008275539</v>
      </c>
      <c r="AU1635" s="924">
        <v>4.1782698008275538</v>
      </c>
      <c r="AV1635" s="924">
        <f t="shared" ca="1" si="124"/>
        <v>4.1782698008275538</v>
      </c>
      <c r="AX1635" s="88" t="str">
        <f t="shared" ca="1" si="126"/>
        <v>SAP</v>
      </c>
    </row>
    <row r="1636" spans="1:50" hidden="1" x14ac:dyDescent="0.3">
      <c r="A1636" s="88" t="str">
        <f t="shared" ca="1" si="123"/>
        <v>SHECY</v>
      </c>
      <c r="F1636" s="924">
        <v>11.436825396825393</v>
      </c>
      <c r="G1636" s="924">
        <v>11.418684807256234</v>
      </c>
      <c r="H1636" s="924">
        <v>10.439092970521541</v>
      </c>
      <c r="I1636" s="924">
        <v>9.4595011337868478</v>
      </c>
      <c r="J1636" s="924">
        <v>8.4946485260770999</v>
      </c>
      <c r="K1636" s="924">
        <v>7.5224263038548749</v>
      </c>
      <c r="L1636" s="924">
        <v>8.4946485260770963</v>
      </c>
      <c r="M1636" s="924">
        <v>8.4946485260770963</v>
      </c>
      <c r="N1636" s="924">
        <v>8.4946485260770963</v>
      </c>
      <c r="O1636" s="924">
        <v>8.4946485260770963</v>
      </c>
      <c r="P1636" s="924">
        <v>9.4923809523809517</v>
      </c>
      <c r="Q1636" s="924">
        <v>9.4923809523809517</v>
      </c>
      <c r="R1636" s="924">
        <v>9.4923809523809517</v>
      </c>
      <c r="S1636" s="924">
        <v>10.492380952380952</v>
      </c>
      <c r="T1636" s="924">
        <v>11.492380952380952</v>
      </c>
      <c r="U1636" s="924">
        <v>12.452380952380953</v>
      </c>
      <c r="V1636" s="924">
        <v>13.395691609977323</v>
      </c>
      <c r="W1636" s="924">
        <v>14.284580498866212</v>
      </c>
      <c r="X1636" s="924">
        <v>15.173469387755102</v>
      </c>
      <c r="Y1636" s="924">
        <v>15.173469387755102</v>
      </c>
      <c r="Z1636" s="924">
        <f t="shared" ca="1" si="125"/>
        <v>15.173469387755102</v>
      </c>
      <c r="AB1636" s="924">
        <v>7.0511467143312263</v>
      </c>
      <c r="AC1636" s="924">
        <v>8.045839929541085</v>
      </c>
      <c r="AD1636" s="924">
        <v>9.0405331447509436</v>
      </c>
      <c r="AE1636" s="924">
        <v>10.035226359960804</v>
      </c>
      <c r="AF1636" s="924">
        <v>11.029919575170663</v>
      </c>
      <c r="AG1636" s="924">
        <v>10.024612790380521</v>
      </c>
      <c r="AH1636" s="924">
        <v>12.019306005590382</v>
      </c>
      <c r="AI1636" s="924">
        <v>13.01399922080024</v>
      </c>
      <c r="AJ1636" s="924">
        <v>14.008692436010099</v>
      </c>
      <c r="AK1636" s="924">
        <v>15.003385651219959</v>
      </c>
      <c r="AL1636" s="924">
        <v>16.001559367342395</v>
      </c>
      <c r="AM1636" s="924">
        <v>16.001559367342391</v>
      </c>
      <c r="AN1636" s="924">
        <v>15.811559367342392</v>
      </c>
      <c r="AO1636" s="924">
        <v>16.811336600579196</v>
      </c>
      <c r="AP1636" s="924">
        <v>16.311113833815995</v>
      </c>
      <c r="AQ1636" s="924">
        <v>16.560891067052793</v>
      </c>
      <c r="AR1636" s="924">
        <v>16.810000000000002</v>
      </c>
      <c r="AS1636" s="924">
        <v>16.060000000000002</v>
      </c>
      <c r="AT1636" s="924">
        <v>15.31</v>
      </c>
      <c r="AU1636" s="924">
        <v>14.56</v>
      </c>
      <c r="AV1636" s="924">
        <f t="shared" ca="1" si="124"/>
        <v>14.56</v>
      </c>
      <c r="AX1636" s="88" t="str">
        <f t="shared" ca="1" si="126"/>
        <v>SHECY</v>
      </c>
    </row>
    <row r="1637" spans="1:50" hidden="1" x14ac:dyDescent="0.3">
      <c r="A1637" s="88" t="str">
        <f t="shared" ca="1" si="123"/>
        <v>SSYS</v>
      </c>
      <c r="F1637" s="924">
        <v>7.1443437331842556</v>
      </c>
      <c r="G1637" s="924">
        <v>8.142076159488111</v>
      </c>
      <c r="H1637" s="924">
        <v>9.1398085857919646</v>
      </c>
      <c r="I1637" s="924">
        <v>10.13754101209582</v>
      </c>
      <c r="J1637" s="924">
        <v>11.135273438399675</v>
      </c>
      <c r="K1637" s="924">
        <v>10.164255864703531</v>
      </c>
      <c r="L1637" s="924">
        <v>12.146363291007384</v>
      </c>
      <c r="M1637" s="924">
        <v>13.14409571731124</v>
      </c>
      <c r="N1637" s="924">
        <v>14.141828143615093</v>
      </c>
      <c r="O1637" s="924">
        <v>15.139560569918949</v>
      </c>
      <c r="P1637" s="924">
        <v>16.090177853869566</v>
      </c>
      <c r="Q1637" s="924">
        <v>16.090177853869566</v>
      </c>
      <c r="R1637" s="924">
        <v>16.090177853869566</v>
      </c>
      <c r="S1637" s="924">
        <v>17.077832174857221</v>
      </c>
      <c r="T1637" s="924">
        <v>18.065486495844876</v>
      </c>
      <c r="U1637" s="924">
        <v>19.04055574792244</v>
      </c>
      <c r="V1637" s="924">
        <v>20.015625</v>
      </c>
      <c r="W1637" s="924">
        <v>20.015625</v>
      </c>
      <c r="X1637" s="924">
        <v>20.015625</v>
      </c>
      <c r="Y1637" s="924">
        <v>20.015625</v>
      </c>
      <c r="Z1637" s="924">
        <f t="shared" ca="1" si="125"/>
        <v>20.015625</v>
      </c>
      <c r="AB1637" s="924">
        <v>12.008815402833209</v>
      </c>
      <c r="AC1637" s="924">
        <v>13.00877154510767</v>
      </c>
      <c r="AD1637" s="924">
        <v>12.007821204679416</v>
      </c>
      <c r="AE1637" s="924">
        <v>12.006797812896059</v>
      </c>
      <c r="AF1637" s="924">
        <v>14.005628318402497</v>
      </c>
      <c r="AG1637" s="924">
        <v>15.004531875264039</v>
      </c>
      <c r="AH1637" s="924">
        <v>16.003435432125581</v>
      </c>
      <c r="AI1637" s="924">
        <v>17.00233898898712</v>
      </c>
      <c r="AJ1637" s="924">
        <v>18.001242545848662</v>
      </c>
      <c r="AK1637" s="924">
        <v>19.000146102710204</v>
      </c>
      <c r="AL1637" s="924">
        <v>19.000146102710204</v>
      </c>
      <c r="AM1637" s="924">
        <v>19.000146102710204</v>
      </c>
      <c r="AN1637" s="924">
        <v>15.031633706015988</v>
      </c>
      <c r="AO1637" s="924">
        <v>14.039898168825905</v>
      </c>
      <c r="AP1637" s="924">
        <v>13.048162631635824</v>
      </c>
      <c r="AQ1637" s="924">
        <v>12.056427094445741</v>
      </c>
      <c r="AR1637" s="924">
        <v>11.064691557255658</v>
      </c>
      <c r="AS1637" s="924">
        <v>10.072956020065575</v>
      </c>
      <c r="AT1637" s="924">
        <v>9.0812204828754926</v>
      </c>
      <c r="AU1637" s="924">
        <v>8.0894849456854097</v>
      </c>
      <c r="AV1637" s="924">
        <f t="shared" ca="1" si="124"/>
        <v>8.0894849456854097</v>
      </c>
      <c r="AX1637" s="88" t="str">
        <f t="shared" ca="1" si="126"/>
        <v>SSYS</v>
      </c>
    </row>
    <row r="1638" spans="1:50" hidden="1" x14ac:dyDescent="0.3">
      <c r="A1638" s="88" t="str">
        <f t="shared" ca="1" si="123"/>
        <v>TSLA</v>
      </c>
      <c r="F1638" s="924">
        <v>12.473922902494332</v>
      </c>
      <c r="G1638" s="924">
        <v>13.453514739229025</v>
      </c>
      <c r="H1638" s="924">
        <v>12.396825396825397</v>
      </c>
      <c r="I1638" s="924">
        <v>12.34013605442177</v>
      </c>
      <c r="J1638" s="924">
        <v>14.28344671201814</v>
      </c>
      <c r="K1638" s="924">
        <v>15.226757369614512</v>
      </c>
      <c r="L1638" s="924">
        <v>16.170068027210885</v>
      </c>
      <c r="M1638" s="924">
        <v>17.113378684807255</v>
      </c>
      <c r="N1638" s="924">
        <v>18.056689342403629</v>
      </c>
      <c r="O1638" s="924">
        <v>19</v>
      </c>
      <c r="P1638" s="924">
        <v>19</v>
      </c>
      <c r="Q1638" s="924">
        <v>19</v>
      </c>
      <c r="R1638" s="924">
        <v>19</v>
      </c>
      <c r="S1638" s="924">
        <v>19</v>
      </c>
      <c r="T1638" s="924">
        <v>19</v>
      </c>
      <c r="U1638" s="924">
        <v>19</v>
      </c>
      <c r="V1638" s="924">
        <v>19</v>
      </c>
      <c r="W1638" s="924">
        <v>19</v>
      </c>
      <c r="X1638" s="924">
        <v>19</v>
      </c>
      <c r="Y1638" s="924">
        <v>19</v>
      </c>
      <c r="Z1638" s="924">
        <f t="shared" ca="1" si="125"/>
        <v>19</v>
      </c>
      <c r="AB1638" s="924">
        <v>2.0898914529554715</v>
      </c>
      <c r="AC1638" s="924">
        <v>2.0855029418108773</v>
      </c>
      <c r="AD1638" s="924">
        <v>2.0827128787543359</v>
      </c>
      <c r="AE1638" s="924">
        <v>2.0780710062408474</v>
      </c>
      <c r="AF1638" s="924">
        <v>4.0678889675223724</v>
      </c>
      <c r="AG1638" s="924">
        <v>3.0646092433113492</v>
      </c>
      <c r="AH1638" s="924">
        <v>5.0551311719928886</v>
      </c>
      <c r="AI1638" s="924">
        <v>6.0477192163769065</v>
      </c>
      <c r="AJ1638" s="924">
        <v>7.0403072607609243</v>
      </c>
      <c r="AK1638" s="924">
        <v>8.0328953051449439</v>
      </c>
      <c r="AL1638" s="924">
        <v>9.0184953051449419</v>
      </c>
      <c r="AM1638" s="924">
        <v>9.0184953051449437</v>
      </c>
      <c r="AN1638" s="924">
        <v>5.0364785229061466</v>
      </c>
      <c r="AO1638" s="924">
        <v>5.0406897367939525</v>
      </c>
      <c r="AP1638" s="924">
        <v>5.04729526088492</v>
      </c>
      <c r="AQ1638" s="924">
        <v>5.0522941470026872</v>
      </c>
      <c r="AR1638" s="924">
        <v>5.0572930331204544</v>
      </c>
      <c r="AS1638" s="924">
        <v>5.0611440771812886</v>
      </c>
      <c r="AT1638" s="924">
        <v>5.0649951212421236</v>
      </c>
      <c r="AU1638" s="924">
        <v>5.0688461653029586</v>
      </c>
      <c r="AV1638" s="924">
        <f t="shared" ca="1" si="124"/>
        <v>5.0688461653029586</v>
      </c>
      <c r="AX1638" s="88" t="str">
        <f t="shared" ca="1" si="126"/>
        <v>TSLA</v>
      </c>
    </row>
    <row r="1639" spans="1:50" hidden="1" x14ac:dyDescent="0.3">
      <c r="A1639" s="88" t="str">
        <f t="shared" ca="1" si="123"/>
        <v>TSM</v>
      </c>
      <c r="F1639" s="924">
        <v>4.3173903472515578</v>
      </c>
      <c r="G1639" s="924">
        <v>4.4207010048479294</v>
      </c>
      <c r="H1639" s="924">
        <v>4.4695898937368188</v>
      </c>
      <c r="I1639" s="924">
        <v>4.5184787826257073</v>
      </c>
      <c r="J1639" s="924">
        <v>6.2473676715145965</v>
      </c>
      <c r="K1639" s="924">
        <v>5.2162565604034858</v>
      </c>
      <c r="L1639" s="924">
        <v>7.0651454492923742</v>
      </c>
      <c r="M1639" s="924">
        <v>7.9540343381812635</v>
      </c>
      <c r="N1639" s="924">
        <v>8.8429232270701519</v>
      </c>
      <c r="O1639" s="924">
        <v>9.7318121159590412</v>
      </c>
      <c r="P1639" s="924">
        <v>10.583883121876202</v>
      </c>
      <c r="Q1639" s="924">
        <v>10.583883121876202</v>
      </c>
      <c r="R1639" s="924">
        <v>10.583883121876202</v>
      </c>
      <c r="S1639" s="924">
        <v>11.472772010765091</v>
      </c>
      <c r="T1639" s="924">
        <v>12.361660899653979</v>
      </c>
      <c r="U1639" s="924">
        <v>13.192110726643598</v>
      </c>
      <c r="V1639" s="924">
        <v>14.022560553633218</v>
      </c>
      <c r="W1639" s="924">
        <v>14.936055363321799</v>
      </c>
      <c r="X1639" s="924">
        <v>15.84955017301038</v>
      </c>
      <c r="Y1639" s="924">
        <v>16.68</v>
      </c>
      <c r="Z1639" s="924">
        <f t="shared" ca="1" si="125"/>
        <v>16.68</v>
      </c>
      <c r="AB1639" s="924">
        <v>10.20103353707756</v>
      </c>
      <c r="AC1639" s="924">
        <v>10.183749189899805</v>
      </c>
      <c r="AD1639" s="924">
        <v>11.164149189899806</v>
      </c>
      <c r="AE1639" s="924">
        <v>11.164149189899806</v>
      </c>
      <c r="AF1639" s="924">
        <v>11.164149189899797</v>
      </c>
      <c r="AG1639" s="924">
        <v>11.164149189899797</v>
      </c>
      <c r="AH1639" s="924">
        <v>11.164149189899796</v>
      </c>
      <c r="AI1639" s="924">
        <v>11.164149189899796</v>
      </c>
      <c r="AJ1639" s="924">
        <v>11.164149189899801</v>
      </c>
      <c r="AK1639" s="924">
        <v>11.164149189899801</v>
      </c>
      <c r="AL1639" s="924">
        <v>12.16225883073156</v>
      </c>
      <c r="AM1639" s="924">
        <v>12.162258830731558</v>
      </c>
      <c r="AN1639" s="924">
        <v>8.2256927537284383</v>
      </c>
      <c r="AO1639" s="924">
        <v>8.4140225138741727</v>
      </c>
      <c r="AP1639" s="924">
        <v>8.5571364083521217</v>
      </c>
      <c r="AQ1639" s="924">
        <v>8.6756273419190215</v>
      </c>
      <c r="AR1639" s="924">
        <v>8.7941182754859213</v>
      </c>
      <c r="AS1639" s="924">
        <v>8.9126092090528228</v>
      </c>
      <c r="AT1639" s="924">
        <v>9.0311001426197226</v>
      </c>
      <c r="AU1639" s="924">
        <v>9.1472342146418839</v>
      </c>
      <c r="AV1639" s="924">
        <f t="shared" ca="1" si="124"/>
        <v>9.1472342146418839</v>
      </c>
      <c r="AX1639" s="88" t="str">
        <f t="shared" ca="1" si="126"/>
        <v>TSM</v>
      </c>
    </row>
    <row r="1640" spans="1:50" hidden="1" x14ac:dyDescent="0.3">
      <c r="A1640" s="88" t="str">
        <f t="shared" ca="1" si="123"/>
        <v>UN0</v>
      </c>
      <c r="F1640" s="924">
        <v>14.059459425506123</v>
      </c>
      <c r="G1640" s="924">
        <v>14.44721452754694</v>
      </c>
      <c r="H1640" s="924">
        <v>15.002770083102495</v>
      </c>
      <c r="I1640" s="924">
        <v>15.002770083102495</v>
      </c>
      <c r="J1640" s="924">
        <v>15.002770083102494</v>
      </c>
      <c r="K1640" s="924">
        <v>15.002770083102494</v>
      </c>
      <c r="L1640" s="924">
        <v>15.002770083102495</v>
      </c>
      <c r="M1640" s="924">
        <v>15.002770083102495</v>
      </c>
      <c r="N1640" s="924">
        <v>15.002770083102494</v>
      </c>
      <c r="O1640" s="924">
        <v>15.002770083102494</v>
      </c>
      <c r="P1640" s="924">
        <v>16</v>
      </c>
      <c r="Q1640" s="924">
        <v>16</v>
      </c>
      <c r="R1640" s="924">
        <v>16</v>
      </c>
      <c r="S1640" s="924">
        <v>16.555555555555557</v>
      </c>
      <c r="T1640" s="924">
        <v>17.111111111111114</v>
      </c>
      <c r="U1640" s="924">
        <v>17.666666666666668</v>
      </c>
      <c r="V1640" s="924">
        <v>18.222222222222221</v>
      </c>
      <c r="W1640" s="924">
        <v>18.777777777777779</v>
      </c>
      <c r="X1640" s="924">
        <v>19.333333333333336</v>
      </c>
      <c r="Y1640" s="924">
        <v>19.888888888888889</v>
      </c>
      <c r="Z1640" s="924">
        <f t="shared" ca="1" si="125"/>
        <v>19.888888888888889</v>
      </c>
      <c r="AB1640" s="924">
        <v>12.00133134936174</v>
      </c>
      <c r="AC1640" s="924">
        <v>11.001409664030078</v>
      </c>
      <c r="AD1640" s="924">
        <v>10.00538946152796</v>
      </c>
      <c r="AE1640" s="924">
        <v>9.0060050335440227</v>
      </c>
      <c r="AF1640" s="924">
        <v>10.004682719494436</v>
      </c>
      <c r="AG1640" s="924">
        <v>8.0061436398742671</v>
      </c>
      <c r="AH1640" s="924">
        <v>7.0068741000641879</v>
      </c>
      <c r="AI1640" s="924">
        <v>6.0076045602541077</v>
      </c>
      <c r="AJ1640" s="924">
        <v>5.0083350204440276</v>
      </c>
      <c r="AK1640" s="924">
        <v>4.0090654806339519</v>
      </c>
      <c r="AL1640" s="924">
        <v>3.0097959408238713</v>
      </c>
      <c r="AM1640" s="924">
        <v>2.0105264010137915</v>
      </c>
      <c r="AN1640" s="924">
        <v>1.1832840000358671</v>
      </c>
      <c r="AO1640" s="924">
        <v>1.2284975353677694</v>
      </c>
      <c r="AP1640" s="924">
        <v>1.6825008533524934</v>
      </c>
      <c r="AQ1640" s="924">
        <v>1.932422538684156</v>
      </c>
      <c r="AR1640" s="924">
        <v>2.1823442240158188</v>
      </c>
      <c r="AS1640" s="924">
        <v>2.432265909347481</v>
      </c>
      <c r="AT1640" s="924">
        <v>2.682187594679144</v>
      </c>
      <c r="AU1640" s="924">
        <v>2.9321092800108062</v>
      </c>
      <c r="AV1640" s="924">
        <f t="shared" ca="1" si="124"/>
        <v>2.9321092800108062</v>
      </c>
      <c r="AX1640" s="88" t="str">
        <f t="shared" ca="1" si="126"/>
        <v>UN0</v>
      </c>
    </row>
    <row r="1641" spans="1:50" hidden="1" x14ac:dyDescent="0.3">
      <c r="A1641" s="88" t="str">
        <f t="shared" ca="1" si="123"/>
        <v>UNIT</v>
      </c>
      <c r="F1641" s="924">
        <v>12.075569225511554</v>
      </c>
      <c r="G1641" s="924">
        <v>11.285445768721431</v>
      </c>
      <c r="H1641" s="924">
        <v>10.67433465761032</v>
      </c>
      <c r="I1641" s="924">
        <v>9.5043346576103183</v>
      </c>
      <c r="J1641" s="924">
        <v>10.464334657610319</v>
      </c>
      <c r="K1641" s="924">
        <v>8.4643346576103209</v>
      </c>
      <c r="L1641" s="924">
        <v>8.0816186082276058</v>
      </c>
      <c r="M1641" s="924">
        <v>7.3902605835362483</v>
      </c>
      <c r="N1641" s="924">
        <v>6.6989025588448907</v>
      </c>
      <c r="O1641" s="924">
        <v>6.0075445341535332</v>
      </c>
      <c r="P1641" s="924">
        <v>5.3161865094621739</v>
      </c>
      <c r="Q1641" s="924">
        <v>4.6248284847708163</v>
      </c>
      <c r="R1641" s="924">
        <v>3.933470460079457</v>
      </c>
      <c r="S1641" s="924">
        <v>5.6213682771583589</v>
      </c>
      <c r="T1641" s="924">
        <v>6.6179080695459014</v>
      </c>
      <c r="U1641" s="924">
        <v>7.6144478619334448</v>
      </c>
      <c r="V1641" s="924">
        <v>8.6109876543209882</v>
      </c>
      <c r="W1641" s="924">
        <v>9.5986419753086416</v>
      </c>
      <c r="X1641" s="924">
        <v>10.586296296296297</v>
      </c>
      <c r="Y1641" s="924">
        <v>11.573950617283952</v>
      </c>
      <c r="Z1641" s="924">
        <f t="shared" ca="1" si="125"/>
        <v>11.573950617283952</v>
      </c>
      <c r="AB1641" s="924">
        <v>5.1375577689069765</v>
      </c>
      <c r="AC1641" s="924">
        <v>5.1212116175037714</v>
      </c>
      <c r="AD1641" s="924">
        <v>4.1247361065156234</v>
      </c>
      <c r="AE1641" s="924">
        <v>4.111578854040987</v>
      </c>
      <c r="AF1641" s="924">
        <v>4.0968515470134168</v>
      </c>
      <c r="AG1641" s="924">
        <v>4.0829092672623135</v>
      </c>
      <c r="AH1641" s="924">
        <v>6.0651862691747258</v>
      </c>
      <c r="AI1641" s="924">
        <v>7.0493536302553794</v>
      </c>
      <c r="AJ1641" s="924">
        <v>8.033520991336033</v>
      </c>
      <c r="AK1641" s="924">
        <v>9.0176883524166875</v>
      </c>
      <c r="AL1641" s="924">
        <v>9.0176883524166875</v>
      </c>
      <c r="AM1641" s="924">
        <v>9.0176883524166875</v>
      </c>
      <c r="AN1641" s="924">
        <v>8.827688352416688</v>
      </c>
      <c r="AO1641" s="924">
        <v>9.8273805654052993</v>
      </c>
      <c r="AP1641" s="924">
        <v>10.827072778393912</v>
      </c>
      <c r="AQ1641" s="924">
        <v>10.82707277839391</v>
      </c>
      <c r="AR1641" s="924">
        <v>11.825182419225669</v>
      </c>
      <c r="AS1641" s="924">
        <v>12.823993358583577</v>
      </c>
      <c r="AT1641" s="924">
        <v>13.822804297941484</v>
      </c>
      <c r="AU1641" s="924">
        <v>14.82161523729939</v>
      </c>
      <c r="AV1641" s="924">
        <f t="shared" ca="1" si="124"/>
        <v>14.82161523729939</v>
      </c>
      <c r="AX1641" s="88" t="str">
        <f t="shared" ca="1" si="126"/>
        <v>UNIT</v>
      </c>
    </row>
    <row r="1642" spans="1:50" hidden="1" x14ac:dyDescent="0.3">
      <c r="A1642" s="88" t="str">
        <f t="shared" ca="1" si="123"/>
        <v>VLVLY</v>
      </c>
      <c r="F1642" s="924">
        <v>5.9841269841269842</v>
      </c>
      <c r="G1642" s="924">
        <v>5.8623339142819662</v>
      </c>
      <c r="H1642" s="924">
        <v>5.0762916736942723</v>
      </c>
      <c r="I1642" s="924">
        <v>5.1307134424017553</v>
      </c>
      <c r="J1642" s="924">
        <v>4.9629129888870152</v>
      </c>
      <c r="K1642" s="924">
        <v>4.9062236464833875</v>
      </c>
      <c r="L1642" s="924">
        <v>6.8495343040797598</v>
      </c>
      <c r="M1642" s="924">
        <v>7.7928449616761313</v>
      </c>
      <c r="N1642" s="924">
        <v>8.7361556192725018</v>
      </c>
      <c r="O1642" s="924">
        <v>9.679466276868876</v>
      </c>
      <c r="P1642" s="924">
        <v>9.6794662768688742</v>
      </c>
      <c r="Q1642" s="924">
        <v>9.679466276868876</v>
      </c>
      <c r="R1642" s="924">
        <v>9.679466276868876</v>
      </c>
      <c r="S1642" s="924">
        <v>10.659058113603569</v>
      </c>
      <c r="T1642" s="924">
        <v>11.638649950338262</v>
      </c>
      <c r="U1642" s="924">
        <v>11.638649950338262</v>
      </c>
      <c r="V1642" s="924">
        <v>12.557017297277039</v>
      </c>
      <c r="W1642" s="924">
        <v>13.475384644215813</v>
      </c>
      <c r="X1642" s="924">
        <v>14.393751991154588</v>
      </c>
      <c r="Y1642" s="924">
        <v>15.312119338093364</v>
      </c>
      <c r="Z1642" s="924">
        <f t="shared" ca="1" si="125"/>
        <v>15.312119338093364</v>
      </c>
      <c r="AB1642" s="924">
        <v>18.011589262939331</v>
      </c>
      <c r="AC1642" s="924">
        <v>17.014945742839764</v>
      </c>
      <c r="AD1642" s="924">
        <v>16.019390187284209</v>
      </c>
      <c r="AE1642" s="924">
        <v>15.023834631728654</v>
      </c>
      <c r="AF1642" s="924">
        <v>16.019390187284209</v>
      </c>
      <c r="AG1642" s="924">
        <v>14.030455005261125</v>
      </c>
      <c r="AH1642" s="924">
        <v>13.041451521892501</v>
      </c>
      <c r="AI1642" s="924">
        <v>12.049715984702418</v>
      </c>
      <c r="AJ1642" s="924">
        <v>11.057980447512335</v>
      </c>
      <c r="AK1642" s="924">
        <v>10.066244910322252</v>
      </c>
      <c r="AL1642" s="924">
        <v>10.073984928169754</v>
      </c>
      <c r="AM1642" s="924">
        <v>9.0822493909796709</v>
      </c>
      <c r="AN1642" s="924">
        <v>11.867456002549917</v>
      </c>
      <c r="AO1642" s="924">
        <v>11.867456002549915</v>
      </c>
      <c r="AP1642" s="924">
        <v>10.089678224772136</v>
      </c>
      <c r="AQ1642" s="924">
        <v>9.2007893358832469</v>
      </c>
      <c r="AR1642" s="924">
        <v>8.3119004469943594</v>
      </c>
      <c r="AS1642" s="924">
        <v>7.4230115581054745</v>
      </c>
      <c r="AT1642" s="924">
        <v>6.5341226692165879</v>
      </c>
      <c r="AU1642" s="924">
        <v>5.6452337803276977</v>
      </c>
      <c r="AV1642" s="924">
        <f t="shared" ca="1" si="124"/>
        <v>5.6452337803276977</v>
      </c>
      <c r="AX1642" s="88" t="str">
        <f t="shared" ca="1" si="126"/>
        <v>VLVLY</v>
      </c>
    </row>
    <row r="1643" spans="1:50" hidden="1" x14ac:dyDescent="0.3">
      <c r="A1643" s="88" t="str">
        <f t="shared" ca="1" si="123"/>
        <v>VONN</v>
      </c>
      <c r="F1643" s="924">
        <v>18.076172492787236</v>
      </c>
      <c r="G1643" s="924">
        <v>17.440059223950293</v>
      </c>
      <c r="H1643" s="924">
        <v>18.256385754562537</v>
      </c>
      <c r="I1643" s="924">
        <v>18.25638575456254</v>
      </c>
      <c r="J1643" s="924">
        <v>18.25638575456254</v>
      </c>
      <c r="K1643" s="924">
        <v>16.552243742728219</v>
      </c>
      <c r="L1643" s="924">
        <v>15.420843674265214</v>
      </c>
      <c r="M1643" s="924">
        <v>14.429108137075131</v>
      </c>
      <c r="N1643" s="924">
        <v>13.437372599885048</v>
      </c>
      <c r="O1643" s="924">
        <v>12.445637062694965</v>
      </c>
      <c r="P1643" s="924">
        <v>12.384649447942556</v>
      </c>
      <c r="Q1643" s="924">
        <v>11.392913910752473</v>
      </c>
      <c r="R1643" s="924">
        <v>10.401178373562388</v>
      </c>
      <c r="S1643" s="924">
        <v>9.4094428363723051</v>
      </c>
      <c r="T1643" s="924">
        <v>8.4177072991822222</v>
      </c>
      <c r="U1643" s="924">
        <v>7.4259717619921402</v>
      </c>
      <c r="V1643" s="924">
        <v>6.4342362248020573</v>
      </c>
      <c r="W1643" s="924">
        <v>5.4425006876119744</v>
      </c>
      <c r="X1643" s="924">
        <v>4.4507651504218915</v>
      </c>
      <c r="Y1643" s="924">
        <v>3.4590296132318152</v>
      </c>
      <c r="Z1643" s="924">
        <f t="shared" ca="1" si="125"/>
        <v>3.4590296132318152</v>
      </c>
      <c r="AB1643" s="924">
        <v>11.072494298146211</v>
      </c>
      <c r="AC1643" s="924">
        <v>10.077214302807944</v>
      </c>
      <c r="AD1643" s="924">
        <v>11.072494298146211</v>
      </c>
      <c r="AE1643" s="924">
        <v>12.06508234253023</v>
      </c>
      <c r="AF1643" s="924">
        <v>13.057670386914248</v>
      </c>
      <c r="AG1643" s="924">
        <v>14.050258431298266</v>
      </c>
      <c r="AH1643" s="924">
        <v>13.052286485005752</v>
      </c>
      <c r="AI1643" s="924">
        <v>13.049594534051502</v>
      </c>
      <c r="AJ1643" s="924">
        <v>13.046902583097253</v>
      </c>
      <c r="AK1643" s="924">
        <v>13.044210632143004</v>
      </c>
      <c r="AL1643" s="924">
        <v>13.037760037293864</v>
      </c>
      <c r="AM1643" s="924">
        <v>12.042480041955598</v>
      </c>
      <c r="AN1643" s="924">
        <v>11.173376541950175</v>
      </c>
      <c r="AO1643" s="924">
        <v>10.357526188324686</v>
      </c>
      <c r="AP1643" s="924">
        <v>9.4686372994357964</v>
      </c>
      <c r="AQ1643" s="924">
        <v>8.5797484105469071</v>
      </c>
      <c r="AR1643" s="924">
        <v>7.6908595216580187</v>
      </c>
      <c r="AS1643" s="924">
        <v>6.8019706327691294</v>
      </c>
      <c r="AT1643" s="924">
        <v>5.9130817438802401</v>
      </c>
      <c r="AU1643" s="924">
        <v>5.0241928549913508</v>
      </c>
      <c r="AV1643" s="924">
        <f t="shared" ca="1" si="124"/>
        <v>5.0241928549913508</v>
      </c>
      <c r="AX1643" s="88" t="str">
        <f t="shared" ca="1" si="126"/>
        <v>VONN</v>
      </c>
    </row>
    <row r="1644" spans="1:50" hidden="1" x14ac:dyDescent="0.3">
      <c r="A1644" s="88" t="str">
        <f t="shared" ca="1" si="123"/>
        <v>VTRS</v>
      </c>
      <c r="F1644" s="924">
        <v>11.576727595916019</v>
      </c>
      <c r="G1644" s="924">
        <v>10.651107761205274</v>
      </c>
      <c r="H1644" s="924">
        <v>11.576727595916019</v>
      </c>
      <c r="I1644" s="924">
        <v>12.520038253512391</v>
      </c>
      <c r="J1644" s="924">
        <v>13.463348911108763</v>
      </c>
      <c r="K1644" s="924">
        <v>14.406659568705134</v>
      </c>
      <c r="L1644" s="924">
        <v>13.349970226301506</v>
      </c>
      <c r="M1644" s="924">
        <v>13.293280883897879</v>
      </c>
      <c r="N1644" s="924">
        <v>13.236591541494249</v>
      </c>
      <c r="O1644" s="924">
        <v>13.179902199090623</v>
      </c>
      <c r="P1644" s="924">
        <v>13.148760330578511</v>
      </c>
      <c r="Q1644" s="924">
        <v>12.148760330578511</v>
      </c>
      <c r="R1644" s="924">
        <v>11.148760330578513</v>
      </c>
      <c r="S1644" s="924">
        <v>10.148760330578513</v>
      </c>
      <c r="T1644" s="924">
        <v>11.148760330578513</v>
      </c>
      <c r="U1644" s="924">
        <v>11.148760330578513</v>
      </c>
      <c r="V1644" s="924">
        <v>11.148760330578511</v>
      </c>
      <c r="W1644" s="924">
        <v>11.148760330578511</v>
      </c>
      <c r="X1644" s="924">
        <v>11.148760330578511</v>
      </c>
      <c r="Y1644" s="924">
        <v>11.148760330578511</v>
      </c>
      <c r="Z1644" s="924">
        <f t="shared" ca="1" si="125"/>
        <v>11.148760330578511</v>
      </c>
      <c r="AB1644" s="924">
        <v>16.078532319896532</v>
      </c>
      <c r="AC1644" s="924">
        <v>17.074979844127924</v>
      </c>
      <c r="AD1644" s="924">
        <v>15.122702760381474</v>
      </c>
      <c r="AE1644" s="924">
        <v>14.137046074546323</v>
      </c>
      <c r="AF1644" s="924">
        <v>15.11794368840051</v>
      </c>
      <c r="AG1644" s="924">
        <v>15.11794368840051</v>
      </c>
      <c r="AH1644" s="924">
        <v>15.117943688400509</v>
      </c>
      <c r="AI1644" s="924">
        <v>15.117943688400509</v>
      </c>
      <c r="AJ1644" s="924">
        <v>13.147687888281533</v>
      </c>
      <c r="AK1644" s="924">
        <v>14.132815788341022</v>
      </c>
      <c r="AL1644" s="924">
        <v>12.166114435583481</v>
      </c>
      <c r="AM1644" s="924">
        <v>12.169595256114141</v>
      </c>
      <c r="AN1644" s="924">
        <v>12.141337761365939</v>
      </c>
      <c r="AO1644" s="924">
        <v>11.15048709974023</v>
      </c>
      <c r="AP1644" s="924">
        <v>10.363559983588161</v>
      </c>
      <c r="AQ1644" s="924">
        <v>9.4746710946992714</v>
      </c>
      <c r="AR1644" s="924">
        <v>9.5589077097071833</v>
      </c>
      <c r="AS1644" s="924">
        <v>8.670018820818294</v>
      </c>
      <c r="AT1644" s="924">
        <v>7.7811299319294047</v>
      </c>
      <c r="AU1644" s="924">
        <v>7.8704727011969249</v>
      </c>
      <c r="AV1644" s="924">
        <f t="shared" ca="1" si="124"/>
        <v>7.8704727011969249</v>
      </c>
      <c r="AX1644" s="88" t="str">
        <f t="shared" ca="1" si="126"/>
        <v>VTRS</v>
      </c>
    </row>
    <row r="1645" spans="1:50" hidden="1" x14ac:dyDescent="0.3">
      <c r="A1645" s="88" t="str">
        <f t="shared" ca="1" si="123"/>
        <v>WBA</v>
      </c>
      <c r="F1645" s="924">
        <v>16.251519848135331</v>
      </c>
      <c r="G1645" s="924">
        <v>17.14040873702422</v>
      </c>
      <c r="H1645" s="924">
        <v>15.220408737024218</v>
      </c>
      <c r="I1645" s="924">
        <v>14.260408737024219</v>
      </c>
      <c r="J1645" s="924">
        <v>15.22040873702422</v>
      </c>
      <c r="K1645" s="924">
        <v>15.22040873702422</v>
      </c>
      <c r="L1645" s="924">
        <v>15.22040873702422</v>
      </c>
      <c r="M1645" s="924">
        <v>15.220408737024218</v>
      </c>
      <c r="N1645" s="924">
        <v>13.36916906760273</v>
      </c>
      <c r="O1645" s="924">
        <v>14.294788902313476</v>
      </c>
      <c r="P1645" s="924">
        <v>12.794788902313478</v>
      </c>
      <c r="Q1645" s="924">
        <v>13.013647033801366</v>
      </c>
      <c r="R1645" s="924">
        <v>13.232505165289256</v>
      </c>
      <c r="S1645" s="924">
        <v>13.982505165289256</v>
      </c>
      <c r="T1645" s="924">
        <v>13.982505165289256</v>
      </c>
      <c r="U1645" s="924">
        <v>13.982505165289256</v>
      </c>
      <c r="V1645" s="924">
        <v>14.920005165289256</v>
      </c>
      <c r="W1645" s="924">
        <v>14.920005165289258</v>
      </c>
      <c r="X1645" s="924">
        <v>14.920005165289258</v>
      </c>
      <c r="Y1645" s="924">
        <v>15.904380165289258</v>
      </c>
      <c r="Z1645" s="924">
        <f t="shared" ca="1" si="125"/>
        <v>15.904380165289258</v>
      </c>
      <c r="AB1645" s="924">
        <v>20.000043857725537</v>
      </c>
      <c r="AC1645" s="924">
        <v>21</v>
      </c>
      <c r="AD1645" s="924">
        <v>21</v>
      </c>
      <c r="AE1645" s="924">
        <v>21</v>
      </c>
      <c r="AF1645" s="924">
        <v>19.091836734693878</v>
      </c>
      <c r="AG1645" s="924">
        <v>18.137755102040817</v>
      </c>
      <c r="AH1645" s="924">
        <v>17.183673469387756</v>
      </c>
      <c r="AI1645" s="924">
        <v>16.229591836734695</v>
      </c>
      <c r="AJ1645" s="924">
        <v>15.275510204081634</v>
      </c>
      <c r="AK1645" s="924">
        <v>14.321428571428573</v>
      </c>
      <c r="AL1645" s="924">
        <v>13.367346938775512</v>
      </c>
      <c r="AM1645" s="924">
        <v>12.413265306122451</v>
      </c>
      <c r="AN1645" s="924">
        <v>11.336730200114168</v>
      </c>
      <c r="AO1645" s="924">
        <v>10.352798440542655</v>
      </c>
      <c r="AP1645" s="924">
        <v>9.6567302001141684</v>
      </c>
      <c r="AQ1645" s="924">
        <v>8.8167302001141685</v>
      </c>
      <c r="AR1645" s="924">
        <v>7.9767302001141687</v>
      </c>
      <c r="AS1645" s="924">
        <v>7.1367302001141688</v>
      </c>
      <c r="AT1645" s="924">
        <v>6.296730200114169</v>
      </c>
      <c r="AU1645" s="924">
        <v>5.4567302001141691</v>
      </c>
      <c r="AV1645" s="924">
        <f t="shared" ca="1" si="124"/>
        <v>5.4567302001141691</v>
      </c>
      <c r="AX1645" s="88" t="str">
        <f t="shared" ca="1" si="126"/>
        <v>WBA</v>
      </c>
    </row>
    <row r="1646" spans="1:50" hidden="1" x14ac:dyDescent="0.3">
      <c r="A1646" s="88" t="str">
        <f t="shared" ca="1" si="123"/>
        <v>XOM</v>
      </c>
      <c r="F1646" s="924">
        <v>20.056689342403629</v>
      </c>
      <c r="G1646" s="924">
        <v>21</v>
      </c>
      <c r="H1646" s="924">
        <v>21</v>
      </c>
      <c r="I1646" s="924">
        <v>21</v>
      </c>
      <c r="J1646" s="924">
        <v>19</v>
      </c>
      <c r="K1646" s="924">
        <v>18</v>
      </c>
      <c r="L1646" s="924">
        <v>17.173010380622834</v>
      </c>
      <c r="M1646" s="924">
        <v>16.259515570934251</v>
      </c>
      <c r="N1646" s="924">
        <v>15.346020761245676</v>
      </c>
      <c r="O1646" s="924">
        <v>14.432525951557095</v>
      </c>
      <c r="P1646" s="924">
        <v>13.519031141868513</v>
      </c>
      <c r="Q1646" s="924">
        <v>12.605536332179932</v>
      </c>
      <c r="R1646" s="924">
        <v>11.692041522491351</v>
      </c>
      <c r="S1646" s="924">
        <v>10.77854671280277</v>
      </c>
      <c r="T1646" s="924">
        <v>11.692041522491351</v>
      </c>
      <c r="U1646" s="924">
        <v>11.692041522491351</v>
      </c>
      <c r="V1646" s="924">
        <v>11.692041522491351</v>
      </c>
      <c r="W1646" s="924">
        <v>11.692041522491351</v>
      </c>
      <c r="X1646" s="924">
        <v>11.692041522491351</v>
      </c>
      <c r="Y1646" s="924">
        <v>11.692041522491351</v>
      </c>
      <c r="Z1646" s="924">
        <f t="shared" ca="1" si="125"/>
        <v>11.692041522491351</v>
      </c>
      <c r="AB1646" s="924">
        <v>3.1743566053936294</v>
      </c>
      <c r="AC1646" s="924">
        <v>2.1744148770561207</v>
      </c>
      <c r="AD1646" s="924">
        <v>2.1550153484312164</v>
      </c>
      <c r="AE1646" s="924">
        <v>2.1356740914688026</v>
      </c>
      <c r="AF1646" s="924">
        <v>2.1163328345063883</v>
      </c>
      <c r="AG1646" s="924">
        <v>2.0969915775439745</v>
      </c>
      <c r="AH1646" s="924">
        <v>4.0776503205815597</v>
      </c>
      <c r="AI1646" s="924">
        <v>5.0583090636191468</v>
      </c>
      <c r="AJ1646" s="924">
        <v>6.0371006556636377</v>
      </c>
      <c r="AK1646" s="924">
        <v>7.0158922477081269</v>
      </c>
      <c r="AL1646" s="924">
        <v>8.000524444962414</v>
      </c>
      <c r="AM1646" s="924">
        <v>8.0005244449624158</v>
      </c>
      <c r="AN1646" s="924">
        <v>4.0296138973141922</v>
      </c>
      <c r="AO1646" s="924">
        <v>4.1019205987877179</v>
      </c>
      <c r="AP1646" s="924">
        <v>4.0618623271252279</v>
      </c>
      <c r="AQ1646" s="924">
        <v>4.061804055462737</v>
      </c>
      <c r="AR1646" s="924">
        <v>4.0617457838002462</v>
      </c>
      <c r="AS1646" s="924">
        <v>4.0616875121377554</v>
      </c>
      <c r="AT1646" s="924">
        <v>4.0616292404752654</v>
      </c>
      <c r="AU1646" s="924">
        <v>4.0615709688127746</v>
      </c>
      <c r="AV1646" s="924">
        <f t="shared" ca="1" si="124"/>
        <v>4.0615709688127746</v>
      </c>
      <c r="AX1646" s="88" t="str">
        <f t="shared" ca="1" si="126"/>
        <v>XOM</v>
      </c>
    </row>
    <row r="1647" spans="1:50" hidden="1" x14ac:dyDescent="0.3">
      <c r="A1647" s="88" t="str">
        <f t="shared" ca="1" si="123"/>
        <v>XPER</v>
      </c>
      <c r="F1647" s="924">
        <v>5.5464726980358137</v>
      </c>
      <c r="G1647" s="924">
        <v>4.5492427811383074</v>
      </c>
      <c r="H1647" s="924">
        <v>4.2882527433872886</v>
      </c>
      <c r="I1647" s="924">
        <v>3.9675327887387661</v>
      </c>
      <c r="J1647" s="924">
        <v>3.8176708222559208</v>
      </c>
      <c r="K1647" s="924">
        <v>3.5823798616902347</v>
      </c>
      <c r="L1647" s="924">
        <v>5.0512309129588679</v>
      </c>
      <c r="M1647" s="924">
        <v>5.668010958310342</v>
      </c>
      <c r="N1647" s="924">
        <v>6.5568998471992312</v>
      </c>
      <c r="O1647" s="924">
        <v>7.4457887360881205</v>
      </c>
      <c r="P1647" s="924">
        <v>8.4457887360881205</v>
      </c>
      <c r="Q1647" s="924">
        <v>8.4457887360881188</v>
      </c>
      <c r="R1647" s="924">
        <v>8.4457887360881188</v>
      </c>
      <c r="S1647" s="924">
        <v>9.443018652985625</v>
      </c>
      <c r="T1647" s="924">
        <v>10.440248569883131</v>
      </c>
      <c r="U1647" s="924">
        <v>11.437478486780639</v>
      </c>
      <c r="V1647" s="924">
        <v>12.434708403678146</v>
      </c>
      <c r="W1647" s="924">
        <v>13.431938320575654</v>
      </c>
      <c r="X1647" s="924">
        <v>14.42916823747316</v>
      </c>
      <c r="Y1647" s="924">
        <v>15.426398154370666</v>
      </c>
      <c r="Z1647" s="924">
        <f t="shared" ca="1" si="125"/>
        <v>15.426398154370666</v>
      </c>
      <c r="AB1647" s="924">
        <v>11.150302287693691</v>
      </c>
      <c r="AC1647" s="924">
        <v>12.130961030731276</v>
      </c>
      <c r="AD1647" s="924">
        <v>11.13280681974677</v>
      </c>
      <c r="AE1647" s="924">
        <v>11.125813394794845</v>
      </c>
      <c r="AF1647" s="924">
        <v>13.101141541908079</v>
      </c>
      <c r="AG1647" s="924">
        <v>14.085308902988734</v>
      </c>
      <c r="AH1647" s="924">
        <v>15.069476264069388</v>
      </c>
      <c r="AI1647" s="924">
        <v>16.053643625150045</v>
      </c>
      <c r="AJ1647" s="924">
        <v>17.037810986230696</v>
      </c>
      <c r="AK1647" s="924">
        <v>18.02197834731135</v>
      </c>
      <c r="AL1647" s="924">
        <v>19.01767842793484</v>
      </c>
      <c r="AM1647" s="924">
        <v>19.01767842793484</v>
      </c>
      <c r="AN1647" s="924">
        <v>15.025409131611489</v>
      </c>
      <c r="AO1647" s="924">
        <v>14.027438187694599</v>
      </c>
      <c r="AP1647" s="924">
        <v>13.029467243777708</v>
      </c>
      <c r="AQ1647" s="924">
        <v>13.152438187694598</v>
      </c>
      <c r="AR1647" s="924">
        <v>12.714938187694598</v>
      </c>
      <c r="AS1647" s="924">
        <v>12.277438187694598</v>
      </c>
      <c r="AT1647" s="924">
        <v>11.839938187694598</v>
      </c>
      <c r="AU1647" s="924">
        <v>11.402438187694598</v>
      </c>
      <c r="AV1647" s="924">
        <f t="shared" ca="1" si="124"/>
        <v>11.402438187694598</v>
      </c>
      <c r="AX1647" s="88" t="str">
        <f t="shared" ca="1" si="126"/>
        <v>XPER</v>
      </c>
    </row>
    <row r="1648" spans="1:50" hidden="1" x14ac:dyDescent="0.3">
      <c r="A1648" s="88" t="str">
        <f t="shared" ca="1" si="123"/>
        <v>MVEALDNE</v>
      </c>
      <c r="F1648" s="924">
        <v>11.040816326530612</v>
      </c>
      <c r="G1648" s="924">
        <v>12.038548752834467</v>
      </c>
      <c r="H1648" s="924">
        <v>11.258503401360542</v>
      </c>
      <c r="I1648" s="924">
        <v>11.367346938775508</v>
      </c>
      <c r="J1648" s="924">
        <v>13.253968253968253</v>
      </c>
      <c r="K1648" s="924">
        <v>14.251700680272108</v>
      </c>
      <c r="L1648" s="924">
        <v>15.249433106575964</v>
      </c>
      <c r="M1648" s="924">
        <v>16.247165532879819</v>
      </c>
      <c r="N1648" s="924">
        <v>17.244897959183675</v>
      </c>
      <c r="O1648" s="924">
        <v>18.242630385487526</v>
      </c>
      <c r="P1648" s="924">
        <v>19.222222222222221</v>
      </c>
      <c r="Q1648" s="924">
        <v>19.222222222222221</v>
      </c>
      <c r="R1648" s="924">
        <v>19.222222222222221</v>
      </c>
      <c r="S1648" s="924">
        <v>19.222222222222221</v>
      </c>
      <c r="T1648" s="924">
        <v>19.222222222222221</v>
      </c>
      <c r="U1648" s="924">
        <v>19.222222222222221</v>
      </c>
      <c r="V1648" s="924">
        <v>19.222222222222221</v>
      </c>
      <c r="W1648" s="924">
        <v>19.222222222222221</v>
      </c>
      <c r="X1648" s="924">
        <v>19.222222222222221</v>
      </c>
      <c r="Y1648" s="924">
        <v>19.222222222222221</v>
      </c>
      <c r="Z1648" s="924">
        <f t="shared" ca="1" si="125"/>
        <v>19.222222222222221</v>
      </c>
      <c r="AB1648" s="924">
        <v>11.528459640405817</v>
      </c>
      <c r="AC1648" s="924">
        <v>11.556070662233935</v>
      </c>
      <c r="AD1648" s="924">
        <v>12.501048561944348</v>
      </c>
      <c r="AE1648" s="924">
        <v>10.589144888723801</v>
      </c>
      <c r="AF1648" s="924">
        <v>9.6331930521135281</v>
      </c>
      <c r="AG1648" s="924">
        <v>8.6772412155032583</v>
      </c>
      <c r="AH1648" s="924">
        <v>7.7017801577376774</v>
      </c>
      <c r="AI1648" s="924">
        <v>6.736073710549749</v>
      </c>
      <c r="AJ1648" s="924">
        <v>5.7703672633618206</v>
      </c>
      <c r="AK1648" s="924">
        <v>4.8122188622451683</v>
      </c>
      <c r="AL1648" s="924">
        <v>4.8021058342856202</v>
      </c>
      <c r="AM1648" s="924">
        <v>3.8401784101333272</v>
      </c>
      <c r="AN1648" s="924">
        <v>2.7510081625025413</v>
      </c>
      <c r="AO1648" s="924">
        <v>1.7575823042118195</v>
      </c>
      <c r="AP1648" s="924">
        <v>3.698605781895778</v>
      </c>
      <c r="AQ1648" s="924">
        <v>4.6462034012890143</v>
      </c>
      <c r="AR1648" s="924">
        <v>5.5821883047583132</v>
      </c>
      <c r="AS1648" s="924">
        <v>6.5226999049962666</v>
      </c>
      <c r="AT1648" s="924">
        <v>7.4632115052342201</v>
      </c>
      <c r="AU1648" s="924">
        <v>8.4081894049446291</v>
      </c>
      <c r="AV1648" s="924">
        <f t="shared" ca="1" si="124"/>
        <v>8.4081894049446291</v>
      </c>
      <c r="AX1648" s="88" t="str">
        <f t="shared" ca="1" si="126"/>
        <v>MVEALDNE</v>
      </c>
    </row>
    <row r="1649" spans="1:50" hidden="1" x14ac:dyDescent="0.3">
      <c r="A1649" s="88" t="str">
        <f t="shared" ca="1" si="123"/>
        <v>MVEDDD</v>
      </c>
      <c r="F1649" s="924">
        <v>11.384542705971276</v>
      </c>
      <c r="G1649" s="924">
        <v>11.340199042579993</v>
      </c>
      <c r="H1649" s="924">
        <v>12.327853363567648</v>
      </c>
      <c r="I1649" s="924">
        <v>12.327853363567648</v>
      </c>
      <c r="J1649" s="924">
        <v>12.327853363567648</v>
      </c>
      <c r="K1649" s="924">
        <v>12.327853363567648</v>
      </c>
      <c r="L1649" s="924">
        <v>10.55007558578987</v>
      </c>
      <c r="M1649" s="924">
        <v>9.6611866969009803</v>
      </c>
      <c r="N1649" s="924">
        <v>8.772297808012091</v>
      </c>
      <c r="O1649" s="924">
        <v>9.6611866969009839</v>
      </c>
      <c r="P1649" s="924">
        <v>8.5361866969009839</v>
      </c>
      <c r="Q1649" s="924">
        <v>7.5986866969009839</v>
      </c>
      <c r="R1649" s="924">
        <v>6.6611866969009847</v>
      </c>
      <c r="S1649" s="924">
        <v>7.5986866969009839</v>
      </c>
      <c r="T1649" s="924">
        <v>8.5782785336356788</v>
      </c>
      <c r="U1649" s="924">
        <v>9.557870370370372</v>
      </c>
      <c r="V1649" s="924">
        <v>10.557870370370372</v>
      </c>
      <c r="W1649" s="924">
        <v>11.557870370370372</v>
      </c>
      <c r="X1649" s="924">
        <v>12.557870370370372</v>
      </c>
      <c r="Y1649" s="924">
        <v>13.545524691358025</v>
      </c>
      <c r="Z1649" s="924">
        <f t="shared" ca="1" si="125"/>
        <v>13.545524691358025</v>
      </c>
      <c r="AB1649" s="924">
        <v>3.3947659912266737</v>
      </c>
      <c r="AC1649" s="924">
        <v>5.3566925834068257</v>
      </c>
      <c r="AD1649" s="924">
        <v>4.3240577943012095</v>
      </c>
      <c r="AE1649" s="924">
        <v>4.2866667626272239</v>
      </c>
      <c r="AF1649" s="924">
        <v>4.2611663373741635</v>
      </c>
      <c r="AG1649" s="924">
        <v>4.2297206089106414</v>
      </c>
      <c r="AH1649" s="924">
        <v>6.1768717888894482</v>
      </c>
      <c r="AI1649" s="924">
        <v>7.1347245146470897</v>
      </c>
      <c r="AJ1649" s="924">
        <v>8.0925772404047329</v>
      </c>
      <c r="AK1649" s="924">
        <v>7.0687286429109566</v>
      </c>
      <c r="AL1649" s="924">
        <v>6.0778779812852486</v>
      </c>
      <c r="AM1649" s="924">
        <v>5.0870273196595397</v>
      </c>
      <c r="AN1649" s="924">
        <v>8.8677530206590998</v>
      </c>
      <c r="AO1649" s="924">
        <v>9.8659267367815353</v>
      </c>
      <c r="AP1649" s="924">
        <v>10.863251350336826</v>
      </c>
      <c r="AQ1649" s="924">
        <v>11.858495107768455</v>
      </c>
      <c r="AR1649" s="924">
        <v>11.858495107768455</v>
      </c>
      <c r="AS1649" s="924">
        <v>12.855819721323746</v>
      </c>
      <c r="AT1649" s="924">
        <v>13.853144334879037</v>
      </c>
      <c r="AU1649" s="924">
        <v>14.851253975710796</v>
      </c>
      <c r="AV1649" s="924">
        <f t="shared" ca="1" si="124"/>
        <v>14.851253975710796</v>
      </c>
      <c r="AX1649" s="88" t="str">
        <f t="shared" ca="1" si="126"/>
        <v>MVEDDD</v>
      </c>
    </row>
    <row r="1650" spans="1:50" hidden="1" x14ac:dyDescent="0.3">
      <c r="A1650" s="88" t="str">
        <f t="shared" ca="1" si="123"/>
        <v>MVEDSY</v>
      </c>
      <c r="F1650" s="924">
        <v>3.2438577097505652</v>
      </c>
      <c r="G1650" s="924">
        <v>5.2371456916099763</v>
      </c>
      <c r="H1650" s="924">
        <v>4.3800028344671187</v>
      </c>
      <c r="I1650" s="924">
        <v>4.4412273242630373</v>
      </c>
      <c r="J1650" s="924">
        <v>4.5614087301587283</v>
      </c>
      <c r="K1650" s="924">
        <v>4.6521116780045331</v>
      </c>
      <c r="L1650" s="924">
        <v>6.5205924036281164</v>
      </c>
      <c r="M1650" s="924">
        <v>7.5001842403628096</v>
      </c>
      <c r="N1650" s="924">
        <v>8.4797760770975046</v>
      </c>
      <c r="O1650" s="924">
        <v>7.4593679138321978</v>
      </c>
      <c r="P1650" s="924">
        <v>6.4593679138321995</v>
      </c>
      <c r="Q1650" s="924">
        <v>5.4593679138321995</v>
      </c>
      <c r="R1650" s="924">
        <v>5.4389597505668936</v>
      </c>
      <c r="S1650" s="924">
        <v>5.4345153061224494</v>
      </c>
      <c r="T1650" s="924">
        <v>7.4300708616780051</v>
      </c>
      <c r="U1650" s="924">
        <v>8.4256264172335609</v>
      </c>
      <c r="V1650" s="924">
        <v>8.4256264172335609</v>
      </c>
      <c r="W1650" s="924">
        <v>9.4100014172335609</v>
      </c>
      <c r="X1650" s="924">
        <v>10.394376417233561</v>
      </c>
      <c r="Y1650" s="924">
        <v>11.389931972789116</v>
      </c>
      <c r="Z1650" s="924">
        <f t="shared" ca="1" si="125"/>
        <v>11.389931972789116</v>
      </c>
      <c r="AB1650" s="924">
        <v>6.2238212161786466</v>
      </c>
      <c r="AC1650" s="924">
        <v>6.2240568176877877</v>
      </c>
      <c r="AD1650" s="924">
        <v>7.2079885772593011</v>
      </c>
      <c r="AE1650" s="924">
        <v>7.2079885772593011</v>
      </c>
      <c r="AF1650" s="924">
        <v>7.2079885772593002</v>
      </c>
      <c r="AG1650" s="924">
        <v>8.1953136945787168</v>
      </c>
      <c r="AH1650" s="924">
        <v>7.2147752927551059</v>
      </c>
      <c r="AI1650" s="924">
        <v>7.2181686505030083</v>
      </c>
      <c r="AJ1650" s="924">
        <v>7.2215620082509107</v>
      </c>
      <c r="AK1650" s="924">
        <v>7.2249553659988131</v>
      </c>
      <c r="AL1650" s="924">
        <v>6.2410236064272997</v>
      </c>
      <c r="AM1650" s="924">
        <v>5.2570918468557846</v>
      </c>
      <c r="AN1650" s="924">
        <v>8.0188871255703251</v>
      </c>
      <c r="AO1650" s="924">
        <v>9.0028188851418385</v>
      </c>
      <c r="AP1650" s="924">
        <v>7.9867506447133518</v>
      </c>
      <c r="AQ1650" s="924">
        <v>7.9706824042848652</v>
      </c>
      <c r="AR1650" s="924">
        <v>7.9546141638563785</v>
      </c>
      <c r="AS1650" s="924">
        <v>7.9385459234278919</v>
      </c>
      <c r="AT1650" s="924">
        <v>7.9224776829994052</v>
      </c>
      <c r="AU1650" s="924">
        <v>7.9064094425709204</v>
      </c>
      <c r="AV1650" s="924">
        <f t="shared" ca="1" si="124"/>
        <v>7.9064094425709204</v>
      </c>
      <c r="AX1650" s="88" t="str">
        <f t="shared" ca="1" si="126"/>
        <v>MVEDSY</v>
      </c>
    </row>
    <row r="1651" spans="1:50" hidden="1" x14ac:dyDescent="0.3">
      <c r="A1651" s="88" t="str">
        <f t="shared" ca="1" si="123"/>
        <v>MVEEOAN</v>
      </c>
      <c r="F1651" s="924">
        <v>6.6638548752834472</v>
      </c>
      <c r="G1651" s="924">
        <v>6.6834467120181404</v>
      </c>
      <c r="H1651" s="924">
        <v>7.6434467120181404</v>
      </c>
      <c r="I1651" s="924">
        <v>7.6434467120181404</v>
      </c>
      <c r="J1651" s="924">
        <v>7.6434467120181413</v>
      </c>
      <c r="K1651" s="924">
        <v>8.5867573696145136</v>
      </c>
      <c r="L1651" s="924">
        <v>8.1473519778281691</v>
      </c>
      <c r="M1651" s="924">
        <v>8.3993046107331839</v>
      </c>
      <c r="N1651" s="924">
        <v>8.6512572436381987</v>
      </c>
      <c r="O1651" s="924">
        <v>8.9032098765432117</v>
      </c>
      <c r="P1651" s="924">
        <v>8.2118518518518542</v>
      </c>
      <c r="Q1651" s="924">
        <v>7.5204938271604966</v>
      </c>
      <c r="R1651" s="924">
        <v>6.8291358024691391</v>
      </c>
      <c r="S1651" s="924">
        <v>7.0977777777777824</v>
      </c>
      <c r="T1651" s="924">
        <v>8.749135802469139</v>
      </c>
      <c r="U1651" s="924">
        <v>9.7091358024691399</v>
      </c>
      <c r="V1651" s="924">
        <v>10.669135802469139</v>
      </c>
      <c r="W1651" s="924">
        <v>11.62913580246914</v>
      </c>
      <c r="X1651" s="924">
        <v>12.589135802469139</v>
      </c>
      <c r="Y1651" s="924">
        <v>13.54913580246914</v>
      </c>
      <c r="Z1651" s="924">
        <f t="shared" ca="1" si="125"/>
        <v>13.54913580246914</v>
      </c>
      <c r="AB1651" s="924">
        <v>6.343639839119751</v>
      </c>
      <c r="AC1651" s="924">
        <v>6.343639839119751</v>
      </c>
      <c r="AD1651" s="924">
        <v>5.3390395816593177</v>
      </c>
      <c r="AE1651" s="924">
        <v>5.3230339136983655</v>
      </c>
      <c r="AF1651" s="924">
        <v>5.3061675381150604</v>
      </c>
      <c r="AG1651" s="924">
        <v>5.2897315163429317</v>
      </c>
      <c r="AH1651" s="924">
        <v>5.2666154349200855</v>
      </c>
      <c r="AI1651" s="924">
        <v>5.2468393833225981</v>
      </c>
      <c r="AJ1651" s="924">
        <v>5.2270633317251107</v>
      </c>
      <c r="AK1651" s="924">
        <v>5.2072872801276233</v>
      </c>
      <c r="AL1651" s="924">
        <v>5.1937138990360969</v>
      </c>
      <c r="AM1651" s="924">
        <v>4.2013489259000805</v>
      </c>
      <c r="AN1651" s="924">
        <v>6.9884438453081295</v>
      </c>
      <c r="AO1651" s="924">
        <v>7.9703225435329816</v>
      </c>
      <c r="AP1651" s="924">
        <v>6.9522012417578338</v>
      </c>
      <c r="AQ1651" s="924">
        <v>6.9368724435718931</v>
      </c>
      <c r="AR1651" s="924">
        <v>6.9215436453859507</v>
      </c>
      <c r="AS1651" s="924">
        <v>6.9034223436108029</v>
      </c>
      <c r="AT1651" s="924">
        <v>8.8853010418356551</v>
      </c>
      <c r="AU1651" s="924">
        <v>8.8853010418356551</v>
      </c>
      <c r="AV1651" s="924">
        <f t="shared" ca="1" si="124"/>
        <v>8.8853010418356551</v>
      </c>
      <c r="AX1651" s="88" t="str">
        <f t="shared" ca="1" si="126"/>
        <v>MVEEOAN</v>
      </c>
    </row>
    <row r="1652" spans="1:50" hidden="1" x14ac:dyDescent="0.3">
      <c r="A1652" s="88" t="str">
        <f t="shared" ca="1" si="123"/>
        <v>MVEENI</v>
      </c>
      <c r="F1652" s="924">
        <v>6.1921134739298758</v>
      </c>
      <c r="G1652" s="924">
        <v>6.1921134739298767</v>
      </c>
      <c r="H1652" s="924">
        <v>7.1898459002337312</v>
      </c>
      <c r="I1652" s="924">
        <v>8.1875783265375865</v>
      </c>
      <c r="J1652" s="924">
        <v>7.1853107528414411</v>
      </c>
      <c r="K1652" s="924">
        <v>7.1830431791452964</v>
      </c>
      <c r="L1652" s="924">
        <v>7.3057756054491509</v>
      </c>
      <c r="M1652" s="924">
        <v>7.3660080317530063</v>
      </c>
      <c r="N1652" s="924">
        <v>7.4262404580568608</v>
      </c>
      <c r="O1652" s="924">
        <v>7.4864728843607153</v>
      </c>
      <c r="P1652" s="924">
        <v>7.4378617732496046</v>
      </c>
      <c r="Q1652" s="924">
        <v>6.5003617732496046</v>
      </c>
      <c r="R1652" s="924">
        <v>5.5628617732496046</v>
      </c>
      <c r="S1652" s="924">
        <v>7.496901565637148</v>
      </c>
      <c r="T1652" s="924">
        <v>8.4934413580246915</v>
      </c>
      <c r="U1652" s="924">
        <v>9.4810956790123448</v>
      </c>
      <c r="V1652" s="924">
        <v>10.46875</v>
      </c>
      <c r="W1652" s="924">
        <v>11.453125</v>
      </c>
      <c r="X1652" s="924">
        <v>12.4375</v>
      </c>
      <c r="Y1652" s="924">
        <v>12.4375</v>
      </c>
      <c r="Z1652" s="924">
        <f t="shared" ca="1" si="125"/>
        <v>12.4375</v>
      </c>
      <c r="AB1652" s="924">
        <v>7.2934959717947709</v>
      </c>
      <c r="AC1652" s="924">
        <v>7.2713741495316473</v>
      </c>
      <c r="AD1652" s="924">
        <v>8.2660848933333</v>
      </c>
      <c r="AE1652" s="924">
        <v>9.2341126114158403</v>
      </c>
      <c r="AF1652" s="924">
        <v>10.202140329498381</v>
      </c>
      <c r="AG1652" s="924">
        <v>11.170168047580921</v>
      </c>
      <c r="AH1652" s="924">
        <v>10.142253877829681</v>
      </c>
      <c r="AI1652" s="924">
        <v>10.112310651995331</v>
      </c>
      <c r="AJ1652" s="924">
        <v>10.082367426160982</v>
      </c>
      <c r="AK1652" s="924">
        <v>10.052424200326632</v>
      </c>
      <c r="AL1652" s="924">
        <v>10.038620617490396</v>
      </c>
      <c r="AM1652" s="924">
        <v>9.0406496735735065</v>
      </c>
      <c r="AN1652" s="924">
        <v>8.2313600259853352</v>
      </c>
      <c r="AO1652" s="924">
        <v>7.6433559674425542</v>
      </c>
      <c r="AP1652" s="924">
        <v>6.9115315504329518</v>
      </c>
      <c r="AQ1652" s="924">
        <v>6.1615315504329509</v>
      </c>
      <c r="AR1652" s="924">
        <v>5.4115315504329509</v>
      </c>
      <c r="AS1652" s="924">
        <v>5.6562422942346036</v>
      </c>
      <c r="AT1652" s="924">
        <v>5.9009530380362563</v>
      </c>
      <c r="AU1652" s="924">
        <v>6.1456637818379098</v>
      </c>
      <c r="AV1652" s="924">
        <f t="shared" ca="1" si="124"/>
        <v>6.1456637818379098</v>
      </c>
      <c r="AX1652" s="88" t="str">
        <f t="shared" ca="1" si="126"/>
        <v>MVEENI</v>
      </c>
    </row>
    <row r="1653" spans="1:50" hidden="1" x14ac:dyDescent="0.3">
      <c r="A1653" s="88" t="str">
        <f t="shared" ca="1" si="123"/>
        <v>MVEEPIX</v>
      </c>
      <c r="F1653" s="924">
        <v>7.3655328798185939</v>
      </c>
      <c r="G1653" s="924">
        <v>7.3851247165532881</v>
      </c>
      <c r="H1653" s="924">
        <v>8.345124716553288</v>
      </c>
      <c r="I1653" s="924">
        <v>9.3247165532879812</v>
      </c>
      <c r="J1653" s="924">
        <v>10.304308390022676</v>
      </c>
      <c r="K1653" s="924">
        <v>11.283900226757371</v>
      </c>
      <c r="L1653" s="924">
        <v>10.304308390022676</v>
      </c>
      <c r="M1653" s="924">
        <v>10.304308390022678</v>
      </c>
      <c r="N1653" s="924">
        <v>10.30430839002268</v>
      </c>
      <c r="O1653" s="924">
        <v>10.304308390022678</v>
      </c>
      <c r="P1653" s="924">
        <v>10.32244897959184</v>
      </c>
      <c r="Q1653" s="924">
        <v>9.342857142857147</v>
      </c>
      <c r="R1653" s="924">
        <v>8.3632653061224538</v>
      </c>
      <c r="S1653" s="924">
        <v>7.3836734693877535</v>
      </c>
      <c r="T1653" s="924">
        <v>6.4040816326530594</v>
      </c>
      <c r="U1653" s="924">
        <v>7.3836734693877535</v>
      </c>
      <c r="V1653" s="924">
        <v>7.3836734693877535</v>
      </c>
      <c r="W1653" s="924">
        <v>8.3436734693877526</v>
      </c>
      <c r="X1653" s="924">
        <v>9.3036734693877534</v>
      </c>
      <c r="Y1653" s="924">
        <v>10.263673469387754</v>
      </c>
      <c r="Z1653" s="924">
        <f t="shared" ca="1" si="125"/>
        <v>10.263673469387754</v>
      </c>
      <c r="AB1653" s="924">
        <v>13.255778255339678</v>
      </c>
      <c r="AC1653" s="924">
        <v>13.255778255339678</v>
      </c>
      <c r="AD1653" s="924">
        <v>12.245966638242164</v>
      </c>
      <c r="AE1653" s="924">
        <v>12.225074688734678</v>
      </c>
      <c r="AF1653" s="924">
        <v>14.182022074407245</v>
      </c>
      <c r="AG1653" s="924">
        <v>15.150049792489785</v>
      </c>
      <c r="AH1653" s="924">
        <v>14.131225793990881</v>
      </c>
      <c r="AI1653" s="924">
        <v>14.105827653782699</v>
      </c>
      <c r="AJ1653" s="924">
        <v>14.080429513574517</v>
      </c>
      <c r="AK1653" s="924">
        <v>14.055031373366335</v>
      </c>
      <c r="AL1653" s="924">
        <v>13.061605515075613</v>
      </c>
      <c r="AM1653" s="924">
        <v>12.06817965678489</v>
      </c>
      <c r="AN1653" s="924">
        <v>11.04871745978355</v>
      </c>
      <c r="AO1653" s="924">
        <v>10.048785761129086</v>
      </c>
      <c r="AP1653" s="924">
        <v>9.0488540624746197</v>
      </c>
      <c r="AQ1653" s="924">
        <v>8.0489223638201555</v>
      </c>
      <c r="AR1653" s="924">
        <v>7.0489906651656931</v>
      </c>
      <c r="AS1653" s="924">
        <v>6.0490589665112298</v>
      </c>
      <c r="AT1653" s="924">
        <v>5.0491272678567665</v>
      </c>
      <c r="AU1653" s="924">
        <v>4.0491955692023032</v>
      </c>
      <c r="AV1653" s="924">
        <f t="shared" ca="1" si="124"/>
        <v>4.0491955692023032</v>
      </c>
      <c r="AX1653" s="88" t="str">
        <f t="shared" ca="1" si="126"/>
        <v>MVEEPIX</v>
      </c>
    </row>
    <row r="1654" spans="1:50" hidden="1" x14ac:dyDescent="0.3">
      <c r="A1654" s="88" t="str">
        <f t="shared" ca="1" si="123"/>
        <v>MVEGLE</v>
      </c>
      <c r="F1654" s="924">
        <v>13.01814058956916</v>
      </c>
      <c r="G1654" s="924">
        <v>13.01814058956916</v>
      </c>
      <c r="H1654" s="924">
        <v>12.015873015873016</v>
      </c>
      <c r="I1654" s="924">
        <v>12.013605442176871</v>
      </c>
      <c r="J1654" s="924">
        <v>14.011337868480727</v>
      </c>
      <c r="K1654" s="924">
        <v>15.00907029478458</v>
      </c>
      <c r="L1654" s="924">
        <v>16.006802721088434</v>
      </c>
      <c r="M1654" s="924">
        <v>17.004535147392289</v>
      </c>
      <c r="N1654" s="924">
        <v>18.002267573696145</v>
      </c>
      <c r="O1654" s="924">
        <v>19</v>
      </c>
      <c r="P1654" s="924">
        <v>19</v>
      </c>
      <c r="Q1654" s="924">
        <v>19</v>
      </c>
      <c r="R1654" s="924">
        <v>19</v>
      </c>
      <c r="S1654" s="924">
        <v>19</v>
      </c>
      <c r="T1654" s="924">
        <v>19</v>
      </c>
      <c r="U1654" s="924">
        <v>19</v>
      </c>
      <c r="V1654" s="924">
        <v>19</v>
      </c>
      <c r="W1654" s="924">
        <v>19</v>
      </c>
      <c r="X1654" s="924">
        <v>19</v>
      </c>
      <c r="Y1654" s="924">
        <v>19</v>
      </c>
      <c r="Z1654" s="924">
        <f t="shared" ca="1" si="125"/>
        <v>19</v>
      </c>
      <c r="AB1654" s="924">
        <v>6.4022163965132677</v>
      </c>
      <c r="AC1654" s="924">
        <v>5.4077855655932412</v>
      </c>
      <c r="AD1654" s="924">
        <v>5.3692247828995256</v>
      </c>
      <c r="AE1654" s="924">
        <v>5.3342868025037768</v>
      </c>
      <c r="AF1654" s="924">
        <v>7.2954560885440145</v>
      </c>
      <c r="AG1654" s="924">
        <v>8.2585717413662607</v>
      </c>
      <c r="AH1654" s="924">
        <v>9.2216873941885034</v>
      </c>
      <c r="AI1654" s="924">
        <v>10.18480304701075</v>
      </c>
      <c r="AJ1654" s="924">
        <v>11.13212903464848</v>
      </c>
      <c r="AK1654" s="924">
        <v>12.079455022286211</v>
      </c>
      <c r="AL1654" s="924">
        <v>13.037307748043855</v>
      </c>
      <c r="AM1654" s="924">
        <v>13.037307748043855</v>
      </c>
      <c r="AN1654" s="924">
        <v>9.1483666415596172</v>
      </c>
      <c r="AO1654" s="924">
        <v>8.1775159574430205</v>
      </c>
      <c r="AP1654" s="924">
        <v>7.5157135803351274</v>
      </c>
      <c r="AQ1654" s="924">
        <v>6.6993870497228825</v>
      </c>
      <c r="AR1654" s="924">
        <v>6.877491350030664</v>
      </c>
      <c r="AS1654" s="924">
        <v>7.0555956503384456</v>
      </c>
      <c r="AT1654" s="924">
        <v>7.1255530118707169</v>
      </c>
      <c r="AU1654" s="924">
        <v>7.2495838427907442</v>
      </c>
      <c r="AV1654" s="924">
        <f t="shared" ca="1" si="124"/>
        <v>7.2495838427907442</v>
      </c>
      <c r="AX1654" s="88" t="str">
        <f t="shared" ca="1" si="126"/>
        <v>MVEGLE</v>
      </c>
    </row>
    <row r="1655" spans="1:50" hidden="1" x14ac:dyDescent="0.3">
      <c r="A1655" s="88" t="str">
        <f t="shared" ca="1" si="123"/>
        <v>MVEORA</v>
      </c>
      <c r="F1655" s="924">
        <v>6.4550662370211267</v>
      </c>
      <c r="G1655" s="924">
        <v>5.4799969849435648</v>
      </c>
      <c r="H1655" s="924">
        <v>5.4693275889448163</v>
      </c>
      <c r="I1655" s="924">
        <v>5.4753244780585879</v>
      </c>
      <c r="J1655" s="924">
        <v>7.4647924415525253</v>
      </c>
      <c r="K1655" s="924">
        <v>8.4625248678563807</v>
      </c>
      <c r="L1655" s="924">
        <v>9.4602572941602361</v>
      </c>
      <c r="M1655" s="924">
        <v>10.457989720464091</v>
      </c>
      <c r="N1655" s="924">
        <v>11.32225564844193</v>
      </c>
      <c r="O1655" s="924">
        <v>12.186521576419768</v>
      </c>
      <c r="P1655" s="924">
        <v>13.166113413154463</v>
      </c>
      <c r="Q1655" s="924">
        <v>13.166113413154463</v>
      </c>
      <c r="R1655" s="924">
        <v>13.166113413154461</v>
      </c>
      <c r="S1655" s="924">
        <v>13.166113413154461</v>
      </c>
      <c r="T1655" s="924">
        <v>13.166113413154461</v>
      </c>
      <c r="U1655" s="924">
        <v>13.166113413154461</v>
      </c>
      <c r="V1655" s="924">
        <v>14.141182665232023</v>
      </c>
      <c r="W1655" s="924">
        <v>15.116251917309587</v>
      </c>
      <c r="X1655" s="924">
        <v>16.091321169387147</v>
      </c>
      <c r="Y1655" s="924">
        <v>17.06639042146471</v>
      </c>
      <c r="Z1655" s="924">
        <f t="shared" ca="1" si="125"/>
        <v>17.06639042146471</v>
      </c>
      <c r="AB1655" s="924">
        <v>3.0465088495576689</v>
      </c>
      <c r="AC1655" s="924">
        <v>2.0472663615516082</v>
      </c>
      <c r="AD1655" s="924">
        <v>2.0526082849403009</v>
      </c>
      <c r="AE1655" s="924">
        <v>4.0449315772046877</v>
      </c>
      <c r="AF1655" s="924">
        <v>3.0428941254239614</v>
      </c>
      <c r="AG1655" s="924">
        <v>3.0400991616492945</v>
      </c>
      <c r="AH1655" s="924">
        <v>5.035789173886748</v>
      </c>
      <c r="AI1655" s="924">
        <v>6.0322366981181421</v>
      </c>
      <c r="AJ1655" s="924">
        <v>7.0286842223495345</v>
      </c>
      <c r="AK1655" s="924">
        <v>8.0251317465809286</v>
      </c>
      <c r="AL1655" s="924">
        <v>9.0124568639003435</v>
      </c>
      <c r="AM1655" s="924">
        <v>9.0124568639003435</v>
      </c>
      <c r="AN1655" s="924">
        <v>8.8224568639003458</v>
      </c>
      <c r="AO1655" s="924">
        <v>9.8216993519064051</v>
      </c>
      <c r="AP1655" s="924">
        <v>9.1167998280781433</v>
      </c>
      <c r="AQ1655" s="924">
        <v>9.2639713101670438</v>
      </c>
      <c r="AR1655" s="924">
        <v>9.4111427922559425</v>
      </c>
      <c r="AS1655" s="924">
        <v>9.558314274344843</v>
      </c>
      <c r="AT1655" s="924">
        <v>9.7054857564337418</v>
      </c>
      <c r="AU1655" s="924">
        <v>9.8526572385226423</v>
      </c>
      <c r="AV1655" s="924">
        <f t="shared" ca="1" si="124"/>
        <v>9.8526572385226423</v>
      </c>
      <c r="AX1655" s="88" t="str">
        <f t="shared" ca="1" si="126"/>
        <v>MVEORA</v>
      </c>
    </row>
    <row r="1656" spans="1:50" hidden="1" x14ac:dyDescent="0.3">
      <c r="A1656" s="88" t="str">
        <f t="shared" ref="A1656:A1689" ca="1" si="127">A1557</f>
        <v>MVERWE</v>
      </c>
      <c r="F1656" s="924">
        <v>5.6842973875940901</v>
      </c>
      <c r="G1656" s="924">
        <v>4.9742382159964569</v>
      </c>
      <c r="H1656" s="924">
        <v>4.6820298138979455</v>
      </c>
      <c r="I1656" s="924">
        <v>6.6797622402018</v>
      </c>
      <c r="J1656" s="924">
        <v>5.6774946665056554</v>
      </c>
      <c r="K1656" s="924">
        <v>5.6752270928095099</v>
      </c>
      <c r="L1656" s="924">
        <v>7.6729595191133644</v>
      </c>
      <c r="M1656" s="924">
        <v>8.6706919454172198</v>
      </c>
      <c r="N1656" s="924">
        <v>9.6684243717210734</v>
      </c>
      <c r="O1656" s="924">
        <v>10.666156798024929</v>
      </c>
      <c r="P1656" s="924">
        <v>11.609467455621301</v>
      </c>
      <c r="Q1656" s="924">
        <v>11.609467455621303</v>
      </c>
      <c r="R1656" s="924">
        <v>11.609467455621303</v>
      </c>
      <c r="S1656" s="924">
        <v>12.319526627218936</v>
      </c>
      <c r="T1656" s="924">
        <v>13.029585798816569</v>
      </c>
      <c r="U1656" s="924">
        <v>13.739644970414201</v>
      </c>
      <c r="V1656" s="924">
        <v>14.449704142011836</v>
      </c>
      <c r="W1656" s="924">
        <v>15.159763313609467</v>
      </c>
      <c r="X1656" s="924">
        <v>15.8698224852071</v>
      </c>
      <c r="Y1656" s="924">
        <v>16.579881656804734</v>
      </c>
      <c r="Z1656" s="924">
        <f t="shared" ca="1" si="125"/>
        <v>16.579881656804734</v>
      </c>
      <c r="AB1656" s="924">
        <v>11.578827606252862</v>
      </c>
      <c r="AC1656" s="924">
        <v>10.640096109340794</v>
      </c>
      <c r="AD1656" s="924">
        <v>11.578827606252862</v>
      </c>
      <c r="AE1656" s="924">
        <v>11.578827606252862</v>
      </c>
      <c r="AF1656" s="924">
        <v>9.6718687442766971</v>
      </c>
      <c r="AG1656" s="924">
        <v>8.7183893132886148</v>
      </c>
      <c r="AH1656" s="924">
        <v>9.6718687442766988</v>
      </c>
      <c r="AI1656" s="924">
        <v>9.6718687442766988</v>
      </c>
      <c r="AJ1656" s="924">
        <v>9.6718687442767024</v>
      </c>
      <c r="AK1656" s="924">
        <v>9.6718687442767024</v>
      </c>
      <c r="AL1656" s="924">
        <v>10.644457665815231</v>
      </c>
      <c r="AM1656" s="924">
        <v>10.64445766581523</v>
      </c>
      <c r="AN1656" s="924">
        <v>10.45445766581523</v>
      </c>
      <c r="AO1656" s="924">
        <v>11.393189162727298</v>
      </c>
      <c r="AP1656" s="924">
        <v>10.331920659639366</v>
      </c>
      <c r="AQ1656" s="924">
        <v>10.270652156551433</v>
      </c>
      <c r="AR1656" s="924">
        <v>10.209383653463501</v>
      </c>
      <c r="AS1656" s="924">
        <v>10.228115150375565</v>
      </c>
      <c r="AT1656" s="924">
        <v>10.206846647287632</v>
      </c>
      <c r="AU1656" s="924">
        <v>10.185578144199699</v>
      </c>
      <c r="AV1656" s="924">
        <f t="shared" ca="1" si="124"/>
        <v>10.185578144199699</v>
      </c>
      <c r="AX1656" s="88" t="str">
        <f t="shared" ca="1" si="126"/>
        <v>MVERWE</v>
      </c>
    </row>
    <row r="1657" spans="1:50" hidden="1" x14ac:dyDescent="0.3">
      <c r="A1657" s="88" t="str">
        <f t="shared" ca="1" si="127"/>
        <v>MVESAP</v>
      </c>
      <c r="F1657" s="924">
        <v>15.315877041151758</v>
      </c>
      <c r="G1657" s="924">
        <v>14.795166981980159</v>
      </c>
      <c r="H1657" s="924">
        <v>15.315877041151758</v>
      </c>
      <c r="I1657" s="924">
        <v>15.315877041151758</v>
      </c>
      <c r="J1657" s="924">
        <v>15.315877041151762</v>
      </c>
      <c r="K1657" s="924">
        <v>15.315877041151763</v>
      </c>
      <c r="L1657" s="924">
        <v>15.315877041151763</v>
      </c>
      <c r="M1657" s="924">
        <v>15.315877041151765</v>
      </c>
      <c r="N1657" s="924">
        <v>15.315877041151765</v>
      </c>
      <c r="O1657" s="924">
        <v>15.315877041151765</v>
      </c>
      <c r="P1657" s="924">
        <v>16.31360946745562</v>
      </c>
      <c r="Q1657" s="924">
        <v>16.31360946745562</v>
      </c>
      <c r="R1657" s="924">
        <v>16.31360946745562</v>
      </c>
      <c r="S1657" s="924">
        <v>16.834319526627219</v>
      </c>
      <c r="T1657" s="924">
        <v>17.355029585798817</v>
      </c>
      <c r="U1657" s="924">
        <v>17.875739644970416</v>
      </c>
      <c r="V1657" s="924">
        <v>18.396449704142011</v>
      </c>
      <c r="W1657" s="924">
        <v>18.917159763313609</v>
      </c>
      <c r="X1657" s="924">
        <v>19.437869822485208</v>
      </c>
      <c r="Y1657" s="924">
        <v>19.958579881656803</v>
      </c>
      <c r="Z1657" s="924">
        <f t="shared" ca="1" si="125"/>
        <v>19.958579881656803</v>
      </c>
      <c r="AB1657" s="924">
        <v>5.6129543809265448</v>
      </c>
      <c r="AC1657" s="924">
        <v>4.6840654920376545</v>
      </c>
      <c r="AD1657" s="924">
        <v>4.7004275271311649</v>
      </c>
      <c r="AE1657" s="924">
        <v>4.7362477807738026</v>
      </c>
      <c r="AF1657" s="924">
        <v>6.6687622492924739</v>
      </c>
      <c r="AG1657" s="924">
        <v>7.6529296103731284</v>
      </c>
      <c r="AH1657" s="924">
        <v>8.6370969714537829</v>
      </c>
      <c r="AI1657" s="924">
        <v>9.6212643325344374</v>
      </c>
      <c r="AJ1657" s="924">
        <v>10.605431693615092</v>
      </c>
      <c r="AK1657" s="924">
        <v>9.6849881417614085</v>
      </c>
      <c r="AL1657" s="924">
        <v>9.7086271014350842</v>
      </c>
      <c r="AM1657" s="924">
        <v>8.7602799939970719</v>
      </c>
      <c r="AN1657" s="924">
        <v>7.6081043696347139</v>
      </c>
      <c r="AO1657" s="924">
        <v>6.6088348298246338</v>
      </c>
      <c r="AP1657" s="924">
        <v>5.6489206961653258</v>
      </c>
      <c r="AQ1657" s="924">
        <v>5.6199461433812488</v>
      </c>
      <c r="AR1657" s="924">
        <v>5.63015526406656</v>
      </c>
      <c r="AS1657" s="924">
        <v>5.7412663751776716</v>
      </c>
      <c r="AT1657" s="924">
        <v>5.7812663751776725</v>
      </c>
      <c r="AU1657" s="924">
        <v>5.8212663751776734</v>
      </c>
      <c r="AV1657" s="924">
        <f t="shared" ca="1" si="124"/>
        <v>5.8212663751776734</v>
      </c>
      <c r="AX1657" s="88" t="str">
        <f t="shared" ca="1" si="126"/>
        <v>MVESAP</v>
      </c>
    </row>
    <row r="1658" spans="1:50" hidden="1" x14ac:dyDescent="0.3">
      <c r="A1658" s="88" t="str">
        <f t="shared" ca="1" si="127"/>
        <v>MVEUN0</v>
      </c>
      <c r="F1658" s="924">
        <v>5.2250935877309521</v>
      </c>
      <c r="G1658" s="924">
        <v>4.231010747494266</v>
      </c>
      <c r="H1658" s="924">
        <v>4.4269076466878676</v>
      </c>
      <c r="I1658" s="924">
        <v>4.5176105945336715</v>
      </c>
      <c r="J1658" s="924">
        <v>6.3860913201572549</v>
      </c>
      <c r="K1658" s="924">
        <v>7.365683156891949</v>
      </c>
      <c r="L1658" s="924">
        <v>8.3452749936266422</v>
      </c>
      <c r="M1658" s="924">
        <v>9.3248668303613371</v>
      </c>
      <c r="N1658" s="924">
        <v>10.30445866709603</v>
      </c>
      <c r="O1658" s="924">
        <v>10.409050503830723</v>
      </c>
      <c r="P1658" s="924">
        <v>9.8261423405654185</v>
      </c>
      <c r="Q1658" s="924">
        <v>8.8261423405654167</v>
      </c>
      <c r="R1658" s="924">
        <v>7.8261423405654167</v>
      </c>
      <c r="S1658" s="924">
        <v>8.8261423405654185</v>
      </c>
      <c r="T1658" s="924">
        <v>8.8261423405654185</v>
      </c>
      <c r="U1658" s="924">
        <v>9.8202251808021046</v>
      </c>
      <c r="V1658" s="924">
        <v>10.814308021038791</v>
      </c>
      <c r="W1658" s="924">
        <v>11.808390861275477</v>
      </c>
      <c r="X1658" s="924">
        <v>12.802473701512163</v>
      </c>
      <c r="Y1658" s="924">
        <v>13.796556541748849</v>
      </c>
      <c r="Z1658" s="924">
        <f t="shared" ca="1" si="125"/>
        <v>13.796556541748849</v>
      </c>
      <c r="AB1658" s="924">
        <v>11.037504690905925</v>
      </c>
      <c r="AC1658" s="924">
        <v>10.038119403015754</v>
      </c>
      <c r="AD1658" s="924">
        <v>11.037504690905925</v>
      </c>
      <c r="AE1658" s="924">
        <v>11.037504690905925</v>
      </c>
      <c r="AF1658" s="924">
        <v>11.037504690905916</v>
      </c>
      <c r="AG1658" s="924">
        <v>11.037504690905916</v>
      </c>
      <c r="AH1658" s="924">
        <v>9.0376412935969874</v>
      </c>
      <c r="AI1658" s="924">
        <v>8.0377095949425232</v>
      </c>
      <c r="AJ1658" s="924">
        <v>7.0377778962880635</v>
      </c>
      <c r="AK1658" s="924">
        <v>6.0378461976336002</v>
      </c>
      <c r="AL1658" s="924">
        <v>6.0059422170616772</v>
      </c>
      <c r="AM1658" s="924">
        <v>5.0060105184072139</v>
      </c>
      <c r="AN1658" s="924">
        <v>7.8158056143706034</v>
      </c>
      <c r="AO1658" s="924">
        <v>8.8151909022607757</v>
      </c>
      <c r="AP1658" s="924">
        <v>8.3145761901509463</v>
      </c>
      <c r="AQ1658" s="924">
        <v>8.5639614780411186</v>
      </c>
      <c r="AR1658" s="924">
        <v>8.8133467659312892</v>
      </c>
      <c r="AS1658" s="924">
        <v>9.0627320538214615</v>
      </c>
      <c r="AT1658" s="924">
        <v>9.3121173417116321</v>
      </c>
      <c r="AU1658" s="924">
        <v>9.5615026296018044</v>
      </c>
      <c r="AV1658" s="924">
        <f t="shared" ca="1" si="124"/>
        <v>9.5615026296018044</v>
      </c>
      <c r="AX1658" s="88" t="str">
        <f t="shared" ca="1" si="126"/>
        <v>MVEUN0</v>
      </c>
    </row>
    <row r="1659" spans="1:50" hidden="1" x14ac:dyDescent="0.3">
      <c r="A1659" s="88" t="str">
        <f t="shared" ca="1" si="127"/>
        <v>SAFAAPL</v>
      </c>
      <c r="F1659" s="924">
        <v>11.002267573696145</v>
      </c>
      <c r="G1659" s="924">
        <v>10.002267573696145</v>
      </c>
      <c r="H1659" s="924">
        <v>11.002267573696145</v>
      </c>
      <c r="I1659" s="924">
        <v>11.002267573696145</v>
      </c>
      <c r="J1659" s="924">
        <v>11.002267573696145</v>
      </c>
      <c r="K1659" s="924">
        <v>11.002267573696145</v>
      </c>
      <c r="L1659" s="924">
        <v>11.002267573696145</v>
      </c>
      <c r="M1659" s="924">
        <v>11.002267573696145</v>
      </c>
      <c r="N1659" s="924">
        <v>11.002267573696145</v>
      </c>
      <c r="O1659" s="924">
        <v>11.002267573696145</v>
      </c>
      <c r="P1659" s="924">
        <v>12</v>
      </c>
      <c r="Q1659" s="924">
        <v>12</v>
      </c>
      <c r="R1659" s="924">
        <v>12</v>
      </c>
      <c r="S1659" s="924">
        <v>13</v>
      </c>
      <c r="T1659" s="924">
        <v>14</v>
      </c>
      <c r="U1659" s="924">
        <v>15</v>
      </c>
      <c r="V1659" s="924">
        <v>16</v>
      </c>
      <c r="W1659" s="924">
        <v>17</v>
      </c>
      <c r="X1659" s="924">
        <v>18</v>
      </c>
      <c r="Y1659" s="924">
        <v>19</v>
      </c>
      <c r="Z1659" s="924">
        <f t="shared" ca="1" si="125"/>
        <v>19</v>
      </c>
      <c r="AB1659" s="924">
        <v>13.286482128460092</v>
      </c>
      <c r="AC1659" s="924">
        <v>12.319000268744961</v>
      </c>
      <c r="AD1659" s="924">
        <v>11.369104905907378</v>
      </c>
      <c r="AE1659" s="924">
        <v>10.410416294631021</v>
      </c>
      <c r="AF1659" s="924">
        <v>9.4390368247387606</v>
      </c>
      <c r="AG1659" s="924">
        <v>8.4740027841544521</v>
      </c>
      <c r="AH1659" s="924">
        <v>7.4973354565055663</v>
      </c>
      <c r="AI1659" s="924">
        <v>6.5264847723889687</v>
      </c>
      <c r="AJ1659" s="924">
        <v>5.5556340882723712</v>
      </c>
      <c r="AK1659" s="924">
        <v>4.5847834041557736</v>
      </c>
      <c r="AL1659" s="924">
        <v>4.5612587076769078</v>
      </c>
      <c r="AM1659" s="924">
        <v>3.5904080235603133</v>
      </c>
      <c r="AN1659" s="924">
        <v>3.5420159035623149</v>
      </c>
      <c r="AO1659" s="924">
        <v>2.5624240668276208</v>
      </c>
      <c r="AP1659" s="924">
        <v>1.6670159035623144</v>
      </c>
      <c r="AQ1659" s="924">
        <v>0.72951590356231522</v>
      </c>
      <c r="AR1659" s="924">
        <v>0.75949776327744545</v>
      </c>
      <c r="AS1659" s="924">
        <v>0.78947962299257579</v>
      </c>
      <c r="AT1659" s="924">
        <v>0.69446148270770602</v>
      </c>
      <c r="AU1659" s="924">
        <v>1.3819433424228367</v>
      </c>
      <c r="AV1659" s="924">
        <f t="shared" ca="1" si="124"/>
        <v>1.3819433424228367</v>
      </c>
      <c r="AX1659" s="88" t="str">
        <f t="shared" ca="1" si="126"/>
        <v>SAFAAPL</v>
      </c>
    </row>
    <row r="1660" spans="1:50" hidden="1" x14ac:dyDescent="0.3">
      <c r="A1660" s="88" t="str">
        <f t="shared" ca="1" si="127"/>
        <v>SAFAMZN</v>
      </c>
      <c r="F1660" s="924">
        <v>13.181426065619343</v>
      </c>
      <c r="G1660" s="924">
        <v>12.218782184537499</v>
      </c>
      <c r="H1660" s="924">
        <v>11.815657971889477</v>
      </c>
      <c r="I1660" s="924">
        <v>10.802873984746515</v>
      </c>
      <c r="J1660" s="924">
        <v>9.9749449906636762</v>
      </c>
      <c r="K1660" s="924">
        <v>9.1349449906636764</v>
      </c>
      <c r="L1660" s="924">
        <v>7.97494499066367</v>
      </c>
      <c r="M1660" s="924">
        <v>6.97494499066367</v>
      </c>
      <c r="N1660" s="924">
        <v>5.97494499066367</v>
      </c>
      <c r="O1660" s="924">
        <v>4.97494499066367</v>
      </c>
      <c r="P1660" s="924">
        <v>4.83921091864151</v>
      </c>
      <c r="Q1660" s="924">
        <v>3.8392109186415091</v>
      </c>
      <c r="R1660" s="924">
        <v>3.814280170719071</v>
      </c>
      <c r="S1660" s="924">
        <v>2.814280170719071</v>
      </c>
      <c r="T1660" s="924">
        <v>3.8142801707190723</v>
      </c>
      <c r="U1660" s="924">
        <v>3.8142801707190719</v>
      </c>
      <c r="V1660" s="924">
        <v>4.8108199631066153</v>
      </c>
      <c r="W1660" s="924">
        <v>5.8073597554941587</v>
      </c>
      <c r="X1660" s="924">
        <v>6.8038995478817021</v>
      </c>
      <c r="Y1660" s="924">
        <v>7.8004393402692447</v>
      </c>
      <c r="Z1660" s="924">
        <f t="shared" ca="1" si="125"/>
        <v>7.8004393402692447</v>
      </c>
      <c r="AB1660" s="924">
        <v>4.1996941538994461</v>
      </c>
      <c r="AC1660" s="924">
        <v>3.225523235532096</v>
      </c>
      <c r="AD1660" s="924">
        <v>5.1996502961739051</v>
      </c>
      <c r="AE1660" s="924">
        <v>6.1996064384483667</v>
      </c>
      <c r="AF1660" s="924">
        <v>7.1995625807228283</v>
      </c>
      <c r="AG1660" s="924">
        <v>8.1995187229972899</v>
      </c>
      <c r="AH1660" s="924">
        <v>9.1994748652717515</v>
      </c>
      <c r="AI1660" s="924">
        <v>10.199431007546213</v>
      </c>
      <c r="AJ1660" s="924">
        <v>11.199387149820675</v>
      </c>
      <c r="AK1660" s="924">
        <v>12.199343292095136</v>
      </c>
      <c r="AL1660" s="924">
        <v>13.195790816326529</v>
      </c>
      <c r="AM1660" s="924">
        <v>13.195790816326529</v>
      </c>
      <c r="AN1660" s="924">
        <v>9.1957908163265323</v>
      </c>
      <c r="AO1660" s="924">
        <v>8.1957908163265305</v>
      </c>
      <c r="AP1660" s="924">
        <v>8.6753826530612237</v>
      </c>
      <c r="AQ1660" s="924">
        <v>8.9049744897959187</v>
      </c>
      <c r="AR1660" s="924">
        <v>9.1291454081632644</v>
      </c>
      <c r="AS1660" s="924">
        <v>9.3533163265306118</v>
      </c>
      <c r="AT1660" s="924">
        <v>9.5774872448979593</v>
      </c>
      <c r="AU1660" s="924">
        <v>9.801658163265305</v>
      </c>
      <c r="AV1660" s="924">
        <f t="shared" ref="AV1660:AV1689" ca="1" si="128">SUMPRODUCT(AB1561:AV1561,AB1561:AV1561)</f>
        <v>9.801658163265305</v>
      </c>
      <c r="AX1660" s="88" t="str">
        <f t="shared" ca="1" si="126"/>
        <v>SAFAMZN</v>
      </c>
    </row>
    <row r="1661" spans="1:50" hidden="1" x14ac:dyDescent="0.3">
      <c r="A1661" s="88" t="str">
        <f t="shared" ca="1" si="127"/>
        <v>SAFASML</v>
      </c>
      <c r="F1661" s="924">
        <v>5.8750794435421199</v>
      </c>
      <c r="G1661" s="924">
        <v>5.1553562601511178</v>
      </c>
      <c r="H1661" s="924">
        <v>6.872811869845977</v>
      </c>
      <c r="I1661" s="924">
        <v>7.8705442961498315</v>
      </c>
      <c r="J1661" s="924">
        <v>8.868276722453686</v>
      </c>
      <c r="K1661" s="924">
        <v>9.8660091487575414</v>
      </c>
      <c r="L1661" s="924">
        <v>10.863741575061397</v>
      </c>
      <c r="M1661" s="924">
        <v>11.861474001365252</v>
      </c>
      <c r="N1661" s="924">
        <v>12.859206427669106</v>
      </c>
      <c r="O1661" s="924">
        <v>13.856938853972961</v>
      </c>
      <c r="P1661" s="924">
        <v>14.854671280276815</v>
      </c>
      <c r="Q1661" s="924">
        <v>14.854671280276818</v>
      </c>
      <c r="R1661" s="924">
        <v>14.854671280276817</v>
      </c>
      <c r="S1661" s="924">
        <v>14.854671280276815</v>
      </c>
      <c r="T1661" s="924">
        <v>15.768166089965398</v>
      </c>
      <c r="U1661" s="924">
        <v>16.681660899653977</v>
      </c>
      <c r="V1661" s="924">
        <v>17.401384083044981</v>
      </c>
      <c r="W1661" s="924">
        <v>18.121107266435985</v>
      </c>
      <c r="X1661" s="924">
        <v>18.840830449826989</v>
      </c>
      <c r="Y1661" s="924">
        <v>19.560553633217992</v>
      </c>
      <c r="Z1661" s="924">
        <f t="shared" ref="Z1661:Z1689" ca="1" si="129">SUMPRODUCT(F1561:Z1561,F1561:Z1561)</f>
        <v>19.560553633217992</v>
      </c>
      <c r="AB1661" s="924">
        <v>4.1629072057920844</v>
      </c>
      <c r="AC1661" s="924">
        <v>4.1801064865218054</v>
      </c>
      <c r="AD1661" s="924">
        <v>5.1628633480665496</v>
      </c>
      <c r="AE1661" s="924">
        <v>6.1617669049280916</v>
      </c>
      <c r="AF1661" s="924">
        <v>7.160670461789632</v>
      </c>
      <c r="AG1661" s="924">
        <v>8.159574018651174</v>
      </c>
      <c r="AH1661" s="924">
        <v>9.1584775755127144</v>
      </c>
      <c r="AI1661" s="924">
        <v>10.157381132374256</v>
      </c>
      <c r="AJ1661" s="924">
        <v>11.156284689235797</v>
      </c>
      <c r="AK1661" s="924">
        <v>12.155188246097339</v>
      </c>
      <c r="AL1661" s="924">
        <v>12.155188246097339</v>
      </c>
      <c r="AM1661" s="924">
        <v>12.155188246097335</v>
      </c>
      <c r="AN1661" s="924">
        <v>8.2053602428723966</v>
      </c>
      <c r="AO1661" s="924">
        <v>8.2012856075077032</v>
      </c>
      <c r="AP1661" s="924">
        <v>8.3930961881840993</v>
      </c>
      <c r="AQ1661" s="924">
        <v>8.4869641608399498</v>
      </c>
      <c r="AR1661" s="924">
        <v>8.5808321334958002</v>
      </c>
      <c r="AS1661" s="924">
        <v>8.4690068095492634</v>
      </c>
      <c r="AT1661" s="924">
        <v>8.4747492082840878</v>
      </c>
      <c r="AU1661" s="924">
        <v>8.4731310698288276</v>
      </c>
      <c r="AV1661" s="924">
        <f t="shared" ca="1" si="128"/>
        <v>8.4731310698288276</v>
      </c>
      <c r="AX1661" s="88" t="str">
        <f t="shared" ca="1" si="126"/>
        <v>SAFASML</v>
      </c>
    </row>
    <row r="1662" spans="1:50" hidden="1" x14ac:dyDescent="0.3">
      <c r="A1662" s="88" t="str">
        <f t="shared" ca="1" si="127"/>
        <v>SAFDDD</v>
      </c>
      <c r="F1662" s="924">
        <v>9.396825396825399</v>
      </c>
      <c r="G1662" s="924">
        <v>9.7301587301587311</v>
      </c>
      <c r="H1662" s="924">
        <v>10.285714285714286</v>
      </c>
      <c r="I1662" s="924">
        <v>11.102040816326532</v>
      </c>
      <c r="J1662" s="924">
        <v>11.918367346938776</v>
      </c>
      <c r="K1662" s="924">
        <v>12.734693877551022</v>
      </c>
      <c r="L1662" s="924">
        <v>13.551020408163268</v>
      </c>
      <c r="M1662" s="924">
        <v>14.367346938775512</v>
      </c>
      <c r="N1662" s="924">
        <v>15.183673469387756</v>
      </c>
      <c r="O1662" s="924">
        <v>16</v>
      </c>
      <c r="P1662" s="924">
        <v>16</v>
      </c>
      <c r="Q1662" s="924">
        <v>16</v>
      </c>
      <c r="R1662" s="924">
        <v>16</v>
      </c>
      <c r="S1662" s="924">
        <v>16.555555555555557</v>
      </c>
      <c r="T1662" s="924">
        <v>17.111111111111114</v>
      </c>
      <c r="U1662" s="924">
        <v>17.666666666666668</v>
      </c>
      <c r="V1662" s="924">
        <v>18.222222222222221</v>
      </c>
      <c r="W1662" s="924">
        <v>18.777777777777779</v>
      </c>
      <c r="X1662" s="924">
        <v>19.333333333333336</v>
      </c>
      <c r="Y1662" s="924">
        <v>19.888888888888889</v>
      </c>
      <c r="Z1662" s="924">
        <f t="shared" ca="1" si="129"/>
        <v>19.888888888888889</v>
      </c>
      <c r="AB1662" s="924">
        <v>3.3033086247256112</v>
      </c>
      <c r="AC1662" s="924">
        <v>3.2671291095628918</v>
      </c>
      <c r="AD1662" s="924">
        <v>2.2704823897140756</v>
      </c>
      <c r="AE1662" s="924">
        <v>2.23562709861943</v>
      </c>
      <c r="AF1662" s="924">
        <v>2.1973748523833581</v>
      </c>
      <c r="AG1662" s="924">
        <v>4.1601599266932059</v>
      </c>
      <c r="AH1662" s="924">
        <v>3.1247364998952905</v>
      </c>
      <c r="AI1662" s="924">
        <v>3.0885826129074547</v>
      </c>
      <c r="AJ1662" s="924">
        <v>3.0524287259196194</v>
      </c>
      <c r="AK1662" s="924">
        <v>3.0162748389317842</v>
      </c>
      <c r="AL1662" s="924">
        <v>3.0151149399534618</v>
      </c>
      <c r="AM1662" s="924">
        <v>2.0158454001433839</v>
      </c>
      <c r="AN1662" s="924">
        <v>4.8236540195736231</v>
      </c>
      <c r="AO1662" s="924">
        <v>5.8229491875585868</v>
      </c>
      <c r="AP1662" s="924">
        <v>4.8267795029358416</v>
      </c>
      <c r="AQ1662" s="924">
        <v>4.8283422446169508</v>
      </c>
      <c r="AR1662" s="924">
        <v>4.8299049862980592</v>
      </c>
      <c r="AS1662" s="924">
        <v>4.8314677279791685</v>
      </c>
      <c r="AT1662" s="924">
        <v>4.8330304696602777</v>
      </c>
      <c r="AU1662" s="924">
        <v>4.834593211341387</v>
      </c>
      <c r="AV1662" s="924">
        <f t="shared" ca="1" si="128"/>
        <v>4.834593211341387</v>
      </c>
      <c r="AX1662" s="88" t="str">
        <f t="shared" ca="1" si="126"/>
        <v>SAFDDD</v>
      </c>
    </row>
    <row r="1663" spans="1:50" hidden="1" x14ac:dyDescent="0.3">
      <c r="A1663" s="88" t="str">
        <f t="shared" ca="1" si="127"/>
        <v>SAFDIS</v>
      </c>
      <c r="F1663" s="924">
        <v>3.0520525411837625</v>
      </c>
      <c r="G1663" s="924">
        <v>3.0532451751000744</v>
      </c>
      <c r="H1663" s="924">
        <v>2.5497849674876183</v>
      </c>
      <c r="I1663" s="924">
        <v>2.7975173937914732</v>
      </c>
      <c r="J1663" s="924">
        <v>3.6702498200953277</v>
      </c>
      <c r="K1663" s="924">
        <v>5.1054822463991831</v>
      </c>
      <c r="L1663" s="924">
        <v>4.7204986233203226</v>
      </c>
      <c r="M1663" s="924">
        <v>5.0268730249328204</v>
      </c>
      <c r="N1663" s="924">
        <v>5.3332474265453165</v>
      </c>
      <c r="O1663" s="924">
        <v>5.6396218281578143</v>
      </c>
      <c r="P1663" s="924">
        <v>5.9454937203639631</v>
      </c>
      <c r="Q1663" s="924">
        <v>5.2541356956726073</v>
      </c>
      <c r="R1663" s="924">
        <v>4.562777670981248</v>
      </c>
      <c r="S1663" s="924">
        <v>4.867959438677433</v>
      </c>
      <c r="T1663" s="924">
        <v>6.555857255756333</v>
      </c>
      <c r="U1663" s="924">
        <v>7.5523970481438774</v>
      </c>
      <c r="V1663" s="924">
        <v>8.5489368405314199</v>
      </c>
      <c r="W1663" s="924">
        <v>9.5454766329189642</v>
      </c>
      <c r="X1663" s="924">
        <v>10.542016425306507</v>
      </c>
      <c r="Y1663" s="924">
        <v>11.538556217694049</v>
      </c>
      <c r="Z1663" s="924">
        <f t="shared" ca="1" si="129"/>
        <v>11.538556217694049</v>
      </c>
      <c r="AB1663" s="924">
        <v>3.3338400124890888</v>
      </c>
      <c r="AC1663" s="924">
        <v>3.3618791634267362</v>
      </c>
      <c r="AD1663" s="924">
        <v>3.3795743247091687</v>
      </c>
      <c r="AE1663" s="924">
        <v>3.4033186353299762</v>
      </c>
      <c r="AF1663" s="924">
        <v>5.3724693731719562</v>
      </c>
      <c r="AG1663" s="924">
        <v>6.3689168974033485</v>
      </c>
      <c r="AH1663" s="924">
        <v>7.3653644216347427</v>
      </c>
      <c r="AI1663" s="924">
        <v>8.3618119458661369</v>
      </c>
      <c r="AJ1663" s="924">
        <v>9.3582594700975292</v>
      </c>
      <c r="AK1663" s="924">
        <v>10.354706994328922</v>
      </c>
      <c r="AL1663" s="924">
        <v>10.354706994328922</v>
      </c>
      <c r="AM1663" s="924">
        <v>10.354706994328923</v>
      </c>
      <c r="AN1663" s="924">
        <v>10.164706994328922</v>
      </c>
      <c r="AO1663" s="924">
        <v>11.131361058601135</v>
      </c>
      <c r="AP1663" s="924">
        <v>10.818015122873344</v>
      </c>
      <c r="AQ1663" s="924">
        <v>11.144669187145556</v>
      </c>
      <c r="AR1663" s="924">
        <v>11.471323251417767</v>
      </c>
      <c r="AS1663" s="924">
        <v>11.797977315689979</v>
      </c>
      <c r="AT1663" s="924">
        <v>12.124631379962189</v>
      </c>
      <c r="AU1663" s="924">
        <v>12.451285444234401</v>
      </c>
      <c r="AV1663" s="924">
        <f t="shared" ca="1" si="128"/>
        <v>12.451285444234401</v>
      </c>
      <c r="AX1663" s="88" t="str">
        <f t="shared" ca="1" si="126"/>
        <v>SAFDIS</v>
      </c>
    </row>
    <row r="1664" spans="1:50" hidden="1" x14ac:dyDescent="0.3">
      <c r="A1664" s="88" t="str">
        <f t="shared" ca="1" si="127"/>
        <v>SAFGM</v>
      </c>
      <c r="F1664" s="924">
        <v>3.510204081632653</v>
      </c>
      <c r="G1664" s="924">
        <v>3.4535147392290249</v>
      </c>
      <c r="H1664" s="924">
        <v>4.1168253968253969</v>
      </c>
      <c r="I1664" s="924">
        <v>4.4201360544217696</v>
      </c>
      <c r="J1664" s="924">
        <v>6.0034467120181407</v>
      </c>
      <c r="K1664" s="924">
        <v>6.9467573696145131</v>
      </c>
      <c r="L1664" s="924">
        <v>7.8900680272108845</v>
      </c>
      <c r="M1664" s="924">
        <v>8.8333786848072577</v>
      </c>
      <c r="N1664" s="924">
        <v>9.7766893424036283</v>
      </c>
      <c r="O1664" s="924">
        <v>10.72</v>
      </c>
      <c r="P1664" s="924">
        <v>10.72</v>
      </c>
      <c r="Q1664" s="924">
        <v>10.72</v>
      </c>
      <c r="R1664" s="924">
        <v>10.72</v>
      </c>
      <c r="S1664" s="924">
        <v>11.72</v>
      </c>
      <c r="T1664" s="924">
        <v>12.72</v>
      </c>
      <c r="U1664" s="924">
        <v>13.72</v>
      </c>
      <c r="V1664" s="924">
        <v>14.72</v>
      </c>
      <c r="W1664" s="924">
        <v>15.72</v>
      </c>
      <c r="X1664" s="924">
        <v>16.72</v>
      </c>
      <c r="Y1664" s="924">
        <v>17.72</v>
      </c>
      <c r="Z1664" s="924">
        <f t="shared" ca="1" si="129"/>
        <v>17.72</v>
      </c>
      <c r="AB1664" s="924">
        <v>2.1760136727027373</v>
      </c>
      <c r="AC1664" s="924">
        <v>2.1791958334351498</v>
      </c>
      <c r="AD1664" s="924">
        <v>2.1862034904371055</v>
      </c>
      <c r="AE1664" s="924">
        <v>2.1888574059424624</v>
      </c>
      <c r="AF1664" s="924">
        <v>4.1608537250759374</v>
      </c>
      <c r="AG1664" s="924">
        <v>3.188995168925965</v>
      </c>
      <c r="AH1664" s="924">
        <v>3.1967284495106867</v>
      </c>
      <c r="AI1664" s="924">
        <v>3.2044617300954088</v>
      </c>
      <c r="AJ1664" s="924">
        <v>3.2121950106801305</v>
      </c>
      <c r="AK1664" s="924">
        <v>3.2199282912648521</v>
      </c>
      <c r="AL1664" s="924">
        <v>3.233261600831145</v>
      </c>
      <c r="AM1664" s="924">
        <v>2.2536697640964527</v>
      </c>
      <c r="AN1664" s="924">
        <v>1.2340336013221442</v>
      </c>
      <c r="AO1664" s="924">
        <v>1.2392531955028008</v>
      </c>
      <c r="AP1664" s="924">
        <v>1.2444727896834573</v>
      </c>
      <c r="AQ1664" s="924">
        <v>1.2496923838641139</v>
      </c>
      <c r="AR1664" s="924">
        <v>1.2549119780447704</v>
      </c>
      <c r="AS1664" s="924">
        <v>1.2601315722254272</v>
      </c>
      <c r="AT1664" s="924">
        <v>1.2653511664060837</v>
      </c>
      <c r="AU1664" s="924">
        <v>1.2705707605867402</v>
      </c>
      <c r="AV1664" s="924">
        <f t="shared" ca="1" si="128"/>
        <v>1.2705707605867402</v>
      </c>
      <c r="AX1664" s="88" t="str">
        <f t="shared" ca="1" si="126"/>
        <v>SAFGM</v>
      </c>
    </row>
    <row r="1665" spans="1:50" hidden="1" x14ac:dyDescent="0.3">
      <c r="A1665" s="88" t="str">
        <f t="shared" ca="1" si="127"/>
        <v>SAFIAG</v>
      </c>
      <c r="F1665" s="924">
        <v>2.5719128435687999</v>
      </c>
      <c r="G1665" s="924">
        <v>4.4948153378998654</v>
      </c>
      <c r="H1665" s="924">
        <v>5.4744071746345595</v>
      </c>
      <c r="I1665" s="924">
        <v>6.4539990113692536</v>
      </c>
      <c r="J1665" s="924">
        <v>7.4335908481039477</v>
      </c>
      <c r="K1665" s="924">
        <v>6.4539990113692536</v>
      </c>
      <c r="L1665" s="924">
        <v>8.4131826848386417</v>
      </c>
      <c r="M1665" s="924">
        <v>9.3927745215733349</v>
      </c>
      <c r="N1665" s="924">
        <v>10.372366358308028</v>
      </c>
      <c r="O1665" s="924">
        <v>11.351958195042723</v>
      </c>
      <c r="P1665" s="924">
        <v>12.320816326530611</v>
      </c>
      <c r="Q1665" s="924">
        <v>12.320816326530611</v>
      </c>
      <c r="R1665" s="924">
        <v>12.320816326530611</v>
      </c>
      <c r="S1665" s="924">
        <v>13.280816326530612</v>
      </c>
      <c r="T1665" s="924">
        <v>14.240816326530613</v>
      </c>
      <c r="U1665" s="924">
        <v>15.200816326530612</v>
      </c>
      <c r="V1665" s="924">
        <v>16.160816326530611</v>
      </c>
      <c r="W1665" s="924">
        <v>17.120816326530612</v>
      </c>
      <c r="X1665" s="924">
        <v>18.080816326530613</v>
      </c>
      <c r="Y1665" s="924">
        <v>19.04081632653061</v>
      </c>
      <c r="Z1665" s="924">
        <f t="shared" ca="1" si="129"/>
        <v>19.04081632653061</v>
      </c>
      <c r="AB1665" s="924">
        <v>11.04889038286961</v>
      </c>
      <c r="AC1665" s="924">
        <v>11.001207634426681</v>
      </c>
      <c r="AD1665" s="924">
        <v>12.001129319758343</v>
      </c>
      <c r="AE1665" s="924">
        <v>12.001129319758343</v>
      </c>
      <c r="AF1665" s="924">
        <v>10.001129319758343</v>
      </c>
      <c r="AG1665" s="924">
        <v>11.001129319758336</v>
      </c>
      <c r="AH1665" s="924">
        <v>9.0017670748603766</v>
      </c>
      <c r="AI1665" s="924">
        <v>8.002085952411397</v>
      </c>
      <c r="AJ1665" s="924">
        <v>7.0024048299624173</v>
      </c>
      <c r="AK1665" s="924">
        <v>6.0027237075134412</v>
      </c>
      <c r="AL1665" s="924">
        <v>6.0029987273389231</v>
      </c>
      <c r="AM1665" s="924">
        <v>5.0026798497879028</v>
      </c>
      <c r="AN1665" s="924">
        <v>4.014568163408117</v>
      </c>
      <c r="AO1665" s="924">
        <v>3.0177721505921689</v>
      </c>
      <c r="AP1665" s="924">
        <v>3.0206683507648324</v>
      </c>
      <c r="AQ1665" s="924">
        <v>3.023564550937496</v>
      </c>
      <c r="AR1665" s="924">
        <v>3.0266902234532096</v>
      </c>
      <c r="AS1665" s="924">
        <v>3.0298158959689241</v>
      </c>
      <c r="AT1665" s="924">
        <v>3.0329415684846381</v>
      </c>
      <c r="AU1665" s="924">
        <v>3.0360672410003522</v>
      </c>
      <c r="AV1665" s="924">
        <f t="shared" ca="1" si="128"/>
        <v>3.0360672410003522</v>
      </c>
      <c r="AX1665" s="88" t="str">
        <f t="shared" ca="1" si="126"/>
        <v>SAFIAG</v>
      </c>
    </row>
    <row r="1666" spans="1:50" hidden="1" x14ac:dyDescent="0.3">
      <c r="A1666" s="88" t="str">
        <f t="shared" ca="1" si="127"/>
        <v>SAFMRNA</v>
      </c>
      <c r="F1666" s="924">
        <v>11.427779195011341</v>
      </c>
      <c r="G1666" s="924">
        <v>11.049003684807261</v>
      </c>
      <c r="H1666" s="924">
        <v>12.044559240362815</v>
      </c>
      <c r="I1666" s="924">
        <v>12.044559240362815</v>
      </c>
      <c r="J1666" s="924">
        <v>10.124559240362814</v>
      </c>
      <c r="K1666" s="924">
        <v>11.084559240362811</v>
      </c>
      <c r="L1666" s="924">
        <v>11.084559240362809</v>
      </c>
      <c r="M1666" s="924">
        <v>11.084559240362811</v>
      </c>
      <c r="N1666" s="924">
        <v>11.084559240362811</v>
      </c>
      <c r="O1666" s="924">
        <v>9.9734481292517003</v>
      </c>
      <c r="P1666" s="924">
        <v>10.415625</v>
      </c>
      <c r="Q1666" s="924">
        <v>8.9711805555555557</v>
      </c>
      <c r="R1666" s="924">
        <v>7.9711805555555557</v>
      </c>
      <c r="S1666" s="924">
        <v>6.9711805555555557</v>
      </c>
      <c r="T1666" s="924">
        <v>8.9711805555555557</v>
      </c>
      <c r="U1666" s="924">
        <v>9.9555555555555557</v>
      </c>
      <c r="V1666" s="924">
        <v>10.951111111111111</v>
      </c>
      <c r="W1666" s="924">
        <v>11.946666666666667</v>
      </c>
      <c r="X1666" s="924">
        <v>12.942222222222224</v>
      </c>
      <c r="Y1666" s="924">
        <v>13.937777777777779</v>
      </c>
      <c r="Z1666" s="924">
        <f t="shared" ca="1" si="129"/>
        <v>13.937777777777779</v>
      </c>
      <c r="AB1666" s="924">
        <v>14.081518853423555</v>
      </c>
      <c r="AC1666" s="924">
        <v>13.092689452934428</v>
      </c>
      <c r="AD1666" s="924">
        <v>12.11591820843565</v>
      </c>
      <c r="AE1666" s="924">
        <v>11.133117885941697</v>
      </c>
      <c r="AF1666" s="924">
        <v>12.11591820843565</v>
      </c>
      <c r="AG1666" s="924">
        <v>10.146653813927079</v>
      </c>
      <c r="AH1666" s="924">
        <v>11.131286011181365</v>
      </c>
      <c r="AI1666" s="924">
        <v>11.131286011181363</v>
      </c>
      <c r="AJ1666" s="924">
        <v>11.131286011181363</v>
      </c>
      <c r="AK1666" s="924">
        <v>11.131286011181363</v>
      </c>
      <c r="AL1666" s="924">
        <v>10.151119375322953</v>
      </c>
      <c r="AM1666" s="924">
        <v>9.1642878784135196</v>
      </c>
      <c r="AN1666" s="924">
        <v>8.1581082839495451</v>
      </c>
      <c r="AO1666" s="924">
        <v>7.166855243216661</v>
      </c>
      <c r="AP1666" s="924">
        <v>6.2079697797944204</v>
      </c>
      <c r="AQ1666" s="924">
        <v>5.2329005277168577</v>
      </c>
      <c r="AR1666" s="924">
        <v>5.2446627725487289</v>
      </c>
      <c r="AS1666" s="924">
        <v>5.2564250173806002</v>
      </c>
      <c r="AT1666" s="924">
        <v>5.2681872622124706</v>
      </c>
      <c r="AU1666" s="924">
        <v>5.2799495070443418</v>
      </c>
      <c r="AV1666" s="924">
        <f t="shared" ca="1" si="128"/>
        <v>5.2799495070443418</v>
      </c>
      <c r="AX1666" s="88" t="str">
        <f t="shared" ca="1" si="126"/>
        <v>SAFMRNA</v>
      </c>
    </row>
    <row r="1667" spans="1:50" hidden="1" x14ac:dyDescent="0.3">
      <c r="A1667" s="88" t="str">
        <f t="shared" ca="1" si="127"/>
        <v>BLNK</v>
      </c>
      <c r="F1667" s="924">
        <v>17.053877551020406</v>
      </c>
      <c r="G1667" s="924">
        <v>16.380408163265304</v>
      </c>
      <c r="H1667" s="924">
        <v>15.773877551020405</v>
      </c>
      <c r="I1667" s="924">
        <v>15.133877551020404</v>
      </c>
      <c r="J1667" s="924">
        <v>15.773877551020405</v>
      </c>
      <c r="K1667" s="924">
        <v>14.493877551020404</v>
      </c>
      <c r="L1667" s="924">
        <v>15.133877551020404</v>
      </c>
      <c r="M1667" s="924">
        <v>15.133877551020406</v>
      </c>
      <c r="N1667" s="924">
        <v>15.133877551020406</v>
      </c>
      <c r="O1667" s="924">
        <v>15.133877551020406</v>
      </c>
      <c r="P1667" s="924">
        <v>14.273877551020405</v>
      </c>
      <c r="Q1667" s="924">
        <v>13.523877551020407</v>
      </c>
      <c r="R1667" s="924">
        <v>12.773877551020409</v>
      </c>
      <c r="S1667" s="924">
        <v>12.023877551020409</v>
      </c>
      <c r="T1667" s="924">
        <v>12.773877551020409</v>
      </c>
      <c r="U1667" s="924">
        <v>12.773877551020409</v>
      </c>
      <c r="V1667" s="924">
        <v>13.263673469387754</v>
      </c>
      <c r="W1667" s="924">
        <v>13.753469387755104</v>
      </c>
      <c r="X1667" s="924">
        <v>14.243265306122449</v>
      </c>
      <c r="Y1667" s="924">
        <v>14.733061224489797</v>
      </c>
      <c r="Z1667" s="924">
        <f t="shared" ca="1" si="129"/>
        <v>14.733061224489797</v>
      </c>
      <c r="AB1667" s="924">
        <v>13.032878287366858</v>
      </c>
      <c r="AC1667" s="924">
        <v>13.032878287366858</v>
      </c>
      <c r="AD1667" s="924">
        <v>14.032834429641319</v>
      </c>
      <c r="AE1667" s="924">
        <v>15.032790571915781</v>
      </c>
      <c r="AF1667" s="924">
        <v>14.035490198415207</v>
      </c>
      <c r="AG1667" s="924">
        <v>13.03686194052769</v>
      </c>
      <c r="AH1667" s="924">
        <v>14.035490198415207</v>
      </c>
      <c r="AI1667" s="924">
        <v>14.035490198415207</v>
      </c>
      <c r="AJ1667" s="924">
        <v>15.035490198415207</v>
      </c>
      <c r="AK1667" s="924">
        <v>16.035490198415207</v>
      </c>
      <c r="AL1667" s="924">
        <v>17.02457462701846</v>
      </c>
      <c r="AM1667" s="924">
        <v>17.02457462701846</v>
      </c>
      <c r="AN1667" s="924">
        <v>13.027597836699078</v>
      </c>
      <c r="AO1667" s="924">
        <v>13.017475758656824</v>
      </c>
      <c r="AP1667" s="924">
        <v>13.352988916127805</v>
      </c>
      <c r="AQ1667" s="924">
        <v>12.526600027238915</v>
      </c>
      <c r="AR1667" s="924">
        <v>11.700211138350028</v>
      </c>
      <c r="AS1667" s="924">
        <v>10.873822249461139</v>
      </c>
      <c r="AT1667" s="924">
        <v>10.047433360572249</v>
      </c>
      <c r="AU1667" s="924">
        <v>9.2210444716833599</v>
      </c>
      <c r="AV1667" s="924">
        <f t="shared" ca="1" si="128"/>
        <v>9.2210444716833599</v>
      </c>
      <c r="AX1667" s="88" t="str">
        <f t="shared" ca="1" si="126"/>
        <v>BLNK</v>
      </c>
    </row>
    <row r="1668" spans="1:50" ht="23" hidden="1" customHeight="1" x14ac:dyDescent="0.3">
      <c r="A1668" s="88" t="str">
        <f t="shared" ca="1" si="127"/>
        <v>ENI</v>
      </c>
      <c r="F1668" s="924">
        <v>13.197157974300833</v>
      </c>
      <c r="G1668" s="924">
        <v>13.197157974300833</v>
      </c>
      <c r="H1668" s="924">
        <v>14.194890400604688</v>
      </c>
      <c r="I1668" s="924">
        <v>15.17448223733938</v>
      </c>
      <c r="J1668" s="924">
        <v>14.154074074074074</v>
      </c>
      <c r="K1668" s="924">
        <v>13.154074074074074</v>
      </c>
      <c r="L1668" s="924">
        <v>14.154074074074074</v>
      </c>
      <c r="M1668" s="924">
        <v>14.154074074074074</v>
      </c>
      <c r="N1668" s="924">
        <v>15.114074074074075</v>
      </c>
      <c r="O1668" s="924">
        <v>16.074074074074076</v>
      </c>
      <c r="P1668" s="924">
        <v>17.061728395061728</v>
      </c>
      <c r="Q1668" s="924">
        <v>17.061728395061728</v>
      </c>
      <c r="R1668" s="924">
        <v>17.061728395061728</v>
      </c>
      <c r="S1668" s="924">
        <v>18.049382716049383</v>
      </c>
      <c r="T1668" s="924">
        <v>19</v>
      </c>
      <c r="U1668" s="924">
        <v>19</v>
      </c>
      <c r="V1668" s="924">
        <v>19</v>
      </c>
      <c r="W1668" s="924">
        <v>19</v>
      </c>
      <c r="X1668" s="924">
        <v>19</v>
      </c>
      <c r="Y1668" s="924">
        <v>19</v>
      </c>
      <c r="Z1668" s="924">
        <f t="shared" ca="1" si="129"/>
        <v>19</v>
      </c>
      <c r="AB1668" s="924">
        <v>10.231381503764707</v>
      </c>
      <c r="AC1668" s="924">
        <v>10.231381503764707</v>
      </c>
      <c r="AD1668" s="924">
        <v>11.203970425303236</v>
      </c>
      <c r="AE1668" s="924">
        <v>12.176559346841765</v>
      </c>
      <c r="AF1668" s="924">
        <v>13.149148268380294</v>
      </c>
      <c r="AG1668" s="924">
        <v>14.121737189918823</v>
      </c>
      <c r="AH1668" s="924">
        <v>15.094326111457352</v>
      </c>
      <c r="AI1668" s="924">
        <v>16.06691503299588</v>
      </c>
      <c r="AJ1668" s="924">
        <v>17.03950395453441</v>
      </c>
      <c r="AK1668" s="924">
        <v>18.012092876072941</v>
      </c>
      <c r="AL1668" s="924">
        <v>19.00888888888889</v>
      </c>
      <c r="AM1668" s="924">
        <v>19.00888888888889</v>
      </c>
      <c r="AN1668" s="924">
        <v>15.205686409550047</v>
      </c>
      <c r="AO1668" s="924">
        <v>15.613237906562823</v>
      </c>
      <c r="AP1668" s="924">
        <v>15.876969045108776</v>
      </c>
      <c r="AQ1668" s="924">
        <v>15.126969045108776</v>
      </c>
      <c r="AR1668" s="924">
        <v>14.376969045108776</v>
      </c>
      <c r="AS1668" s="924">
        <v>13.728425860925633</v>
      </c>
      <c r="AT1668" s="924">
        <v>13.029154268834061</v>
      </c>
      <c r="AU1668" s="924">
        <v>11.728425860925633</v>
      </c>
      <c r="AV1668" s="924">
        <f t="shared" ca="1" si="128"/>
        <v>11.728425860925633</v>
      </c>
      <c r="AX1668" s="88" t="str">
        <f t="shared" ca="1" si="126"/>
        <v>ENI</v>
      </c>
    </row>
    <row r="1669" spans="1:50" hidden="1" x14ac:dyDescent="0.3">
      <c r="A1669" s="88" t="str">
        <f t="shared" ca="1" si="127"/>
        <v>EZJ</v>
      </c>
      <c r="F1669" s="924">
        <v>10.263673469387754</v>
      </c>
      <c r="G1669" s="924">
        <v>10.263673469387754</v>
      </c>
      <c r="H1669" s="924">
        <v>11.243265306122449</v>
      </c>
      <c r="I1669" s="924">
        <v>12.222857142857142</v>
      </c>
      <c r="J1669" s="924">
        <v>13.202448979591836</v>
      </c>
      <c r="K1669" s="924">
        <v>14.182040816326531</v>
      </c>
      <c r="L1669" s="924">
        <v>15.161632653061226</v>
      </c>
      <c r="M1669" s="924">
        <v>16.141224489795917</v>
      </c>
      <c r="N1669" s="924">
        <v>17.120816326530612</v>
      </c>
      <c r="O1669" s="924">
        <v>18.100408163265307</v>
      </c>
      <c r="P1669" s="924">
        <v>19.079999999999998</v>
      </c>
      <c r="Q1669" s="924">
        <v>19.079999999999998</v>
      </c>
      <c r="R1669" s="924">
        <v>19.079999999999998</v>
      </c>
      <c r="S1669" s="924">
        <v>20.04</v>
      </c>
      <c r="T1669" s="924">
        <v>21</v>
      </c>
      <c r="U1669" s="924">
        <v>21</v>
      </c>
      <c r="V1669" s="924">
        <v>21</v>
      </c>
      <c r="W1669" s="924">
        <v>21</v>
      </c>
      <c r="X1669" s="924">
        <v>21</v>
      </c>
      <c r="Y1669" s="924">
        <v>21</v>
      </c>
      <c r="Z1669" s="924">
        <f t="shared" ca="1" si="129"/>
        <v>21</v>
      </c>
      <c r="AB1669" s="924">
        <v>1.1330970298491161</v>
      </c>
      <c r="AC1669" s="924">
        <v>0.14401260124586232</v>
      </c>
      <c r="AD1669" s="924">
        <v>0.15488431491707158</v>
      </c>
      <c r="AE1669" s="924">
        <v>0.16575602858828084</v>
      </c>
      <c r="AF1669" s="924">
        <v>0.1766277422594901</v>
      </c>
      <c r="AG1669" s="924">
        <v>0.18749945593069939</v>
      </c>
      <c r="AH1669" s="924">
        <v>0.19837116960190865</v>
      </c>
      <c r="AI1669" s="924">
        <v>0.20924288327311791</v>
      </c>
      <c r="AJ1669" s="924">
        <v>0.22011459694432717</v>
      </c>
      <c r="AK1669" s="924">
        <v>0.23098631061553646</v>
      </c>
      <c r="AL1669" s="924">
        <v>0.22922699933169988</v>
      </c>
      <c r="AM1669" s="924">
        <v>0.22922699933169988</v>
      </c>
      <c r="AN1669" s="924">
        <v>0.20071689295094269</v>
      </c>
      <c r="AO1669" s="924">
        <v>0.8031083222485832</v>
      </c>
      <c r="AP1669" s="924">
        <v>1.1008347261604776</v>
      </c>
      <c r="AQ1669" s="924">
        <v>1.3985611300723719</v>
      </c>
      <c r="AR1669" s="924">
        <v>1.6962875339842665</v>
      </c>
      <c r="AS1669" s="924">
        <v>2.7155729624854881</v>
      </c>
      <c r="AT1669" s="924">
        <v>3.3740788786920457</v>
      </c>
      <c r="AU1669" s="924">
        <v>4.0325847948986038</v>
      </c>
      <c r="AV1669" s="924">
        <f t="shared" ca="1" si="128"/>
        <v>4.0325847948986038</v>
      </c>
      <c r="AX1669" s="88" t="str">
        <f t="shared" ca="1" si="126"/>
        <v>EZJ</v>
      </c>
    </row>
    <row r="1670" spans="1:50" hidden="1" x14ac:dyDescent="0.3">
      <c r="A1670" s="88" t="str">
        <f t="shared" ca="1" si="127"/>
        <v>F</v>
      </c>
      <c r="F1670" s="924">
        <v>1.6097253716301341</v>
      </c>
      <c r="G1670" s="924">
        <v>0.62207105064247981</v>
      </c>
      <c r="H1670" s="924">
        <v>0.57772738725119721</v>
      </c>
      <c r="I1670" s="924">
        <v>0.5333837238599145</v>
      </c>
      <c r="J1670" s="924">
        <v>0.48904006046863197</v>
      </c>
      <c r="K1670" s="924">
        <v>0.44469639707734954</v>
      </c>
      <c r="L1670" s="924">
        <v>0.40035273368606705</v>
      </c>
      <c r="M1670" s="924">
        <v>0.35600907029478462</v>
      </c>
      <c r="N1670" s="924">
        <v>0.3116654069035022</v>
      </c>
      <c r="O1670" s="924">
        <v>0.26732174351221982</v>
      </c>
      <c r="P1670" s="924">
        <v>0.25925925925925941</v>
      </c>
      <c r="Q1670" s="924">
        <v>0.25925925925925941</v>
      </c>
      <c r="R1670" s="924">
        <v>0.25925925925925941</v>
      </c>
      <c r="S1670" s="924">
        <v>0.25925925925925941</v>
      </c>
      <c r="T1670" s="924">
        <v>0.25925925925925941</v>
      </c>
      <c r="U1670" s="924">
        <v>0.25925925925925941</v>
      </c>
      <c r="V1670" s="924">
        <v>0.25925925925925941</v>
      </c>
      <c r="W1670" s="924">
        <v>0.25925925925925941</v>
      </c>
      <c r="X1670" s="924">
        <v>0.25925925925925941</v>
      </c>
      <c r="Y1670" s="924">
        <v>0.25925925925925941</v>
      </c>
      <c r="Z1670" s="924">
        <f t="shared" ca="1" si="129"/>
        <v>0.25925925925925941</v>
      </c>
      <c r="AB1670" s="924">
        <v>2.1366429204692401</v>
      </c>
      <c r="AC1670" s="924">
        <v>1.1398469076532882</v>
      </c>
      <c r="AD1670" s="924">
        <v>1.1303760121567552</v>
      </c>
      <c r="AE1670" s="924">
        <v>1.1209051166602224</v>
      </c>
      <c r="AF1670" s="924">
        <v>1.1114342211636894</v>
      </c>
      <c r="AG1670" s="924">
        <v>1.1019633256671564</v>
      </c>
      <c r="AH1670" s="924">
        <v>1.0924924301706236</v>
      </c>
      <c r="AI1670" s="924">
        <v>1.0830215346740906</v>
      </c>
      <c r="AJ1670" s="924">
        <v>1.0735506391775578</v>
      </c>
      <c r="AK1670" s="924">
        <v>1.0640797436810248</v>
      </c>
      <c r="AL1670" s="924">
        <v>6.7283730865076538E-2</v>
      </c>
      <c r="AM1670" s="924">
        <v>6.7283730865076538E-2</v>
      </c>
      <c r="AN1670" s="924">
        <v>0.11928819800788841</v>
      </c>
      <c r="AO1670" s="924">
        <v>0.13309744333801482</v>
      </c>
      <c r="AP1670" s="924">
        <v>0.14690668866814122</v>
      </c>
      <c r="AQ1670" s="924">
        <v>0.16071593399826761</v>
      </c>
      <c r="AR1670" s="924">
        <v>0.17452517932839401</v>
      </c>
      <c r="AS1670" s="924">
        <v>0.18833442465852041</v>
      </c>
      <c r="AT1670" s="924">
        <v>0.2021436699886468</v>
      </c>
      <c r="AU1670" s="924">
        <v>0.21595291531877323</v>
      </c>
      <c r="AV1670" s="924">
        <f t="shared" ca="1" si="128"/>
        <v>0.21595291531877323</v>
      </c>
      <c r="AX1670" s="88" t="str">
        <f t="shared" ca="1" si="126"/>
        <v>F</v>
      </c>
    </row>
    <row r="1671" spans="1:50" hidden="1" x14ac:dyDescent="0.3">
      <c r="A1671" s="88" t="str">
        <f t="shared" ca="1" si="127"/>
        <v>GLE</v>
      </c>
      <c r="F1671" s="924">
        <v>2.2426303854875256</v>
      </c>
      <c r="G1671" s="924">
        <v>1.2630385487528348</v>
      </c>
      <c r="H1671" s="924">
        <v>1.2811791383219957</v>
      </c>
      <c r="I1671" s="924">
        <v>1.2993197278911568</v>
      </c>
      <c r="J1671" s="924">
        <v>1.3174603174603179</v>
      </c>
      <c r="K1671" s="924">
        <v>1.3356009070294788</v>
      </c>
      <c r="L1671" s="924">
        <v>1.3537414965986398</v>
      </c>
      <c r="M1671" s="924">
        <v>1.3718820861678009</v>
      </c>
      <c r="N1671" s="924">
        <v>1.3900226757369618</v>
      </c>
      <c r="O1671" s="924">
        <v>1.4081632653061229</v>
      </c>
      <c r="P1671" s="924">
        <v>0.42857142857142871</v>
      </c>
      <c r="Q1671" s="924">
        <v>0.42857142857142871</v>
      </c>
      <c r="R1671" s="924">
        <v>0.42857142857142871</v>
      </c>
      <c r="S1671" s="924">
        <v>0.42857142857142871</v>
      </c>
      <c r="T1671" s="924">
        <v>0.42857142857142871</v>
      </c>
      <c r="U1671" s="924">
        <v>0.42857142857142871</v>
      </c>
      <c r="V1671" s="924">
        <v>0.42857142857142871</v>
      </c>
      <c r="W1671" s="924">
        <v>0.42857142857142871</v>
      </c>
      <c r="X1671" s="924">
        <v>0.42857142857142871</v>
      </c>
      <c r="Y1671" s="924">
        <v>0.42857142857142871</v>
      </c>
      <c r="Z1671" s="924">
        <f t="shared" ca="1" si="129"/>
        <v>0.42857142857142871</v>
      </c>
      <c r="AB1671" s="924">
        <v>12.305366732893582</v>
      </c>
      <c r="AC1671" s="924">
        <v>12.305366732893582</v>
      </c>
      <c r="AD1671" s="924">
        <v>11.283605259061762</v>
      </c>
      <c r="AE1671" s="924">
        <v>11.254282348556973</v>
      </c>
      <c r="AF1671" s="924">
        <v>13.209836564706251</v>
      </c>
      <c r="AG1671" s="924">
        <v>14.172952217528495</v>
      </c>
      <c r="AH1671" s="924">
        <v>13.153561788884979</v>
      </c>
      <c r="AI1671" s="924">
        <v>13.125424400974342</v>
      </c>
      <c r="AJ1671" s="924">
        <v>13.097287013063706</v>
      </c>
      <c r="AK1671" s="924">
        <v>13.069149625153072</v>
      </c>
      <c r="AL1671" s="924">
        <v>13.067604628948651</v>
      </c>
      <c r="AM1671" s="924">
        <v>12.07635158821577</v>
      </c>
      <c r="AN1671" s="924">
        <v>11.050277808348714</v>
      </c>
      <c r="AO1671" s="924">
        <v>10.050321666074252</v>
      </c>
      <c r="AP1671" s="924">
        <v>9.0503655237997922</v>
      </c>
      <c r="AQ1671" s="924">
        <v>8.0504093815253306</v>
      </c>
      <c r="AR1671" s="924">
        <v>7.0504532392508645</v>
      </c>
      <c r="AS1671" s="924">
        <v>6.0504970969764029</v>
      </c>
      <c r="AT1671" s="924">
        <v>5.0505409547019413</v>
      </c>
      <c r="AU1671" s="924">
        <v>4.0505848124274797</v>
      </c>
      <c r="AV1671" s="924">
        <f t="shared" ca="1" si="128"/>
        <v>4.0505848124274797</v>
      </c>
      <c r="AX1671" s="88" t="str">
        <f t="shared" ca="1" si="126"/>
        <v>GLE</v>
      </c>
    </row>
    <row r="1672" spans="1:50" hidden="1" x14ac:dyDescent="0.3">
      <c r="A1672" s="88" t="str">
        <f t="shared" ca="1" si="127"/>
        <v>GNRC</v>
      </c>
      <c r="F1672" s="924">
        <v>12.157470395565634</v>
      </c>
      <c r="G1672" s="924">
        <v>12.157470395565634</v>
      </c>
      <c r="H1672" s="924">
        <v>13.155202821869489</v>
      </c>
      <c r="I1672" s="924">
        <v>14.134794658604182</v>
      </c>
      <c r="J1672" s="924">
        <v>15.114386495338877</v>
      </c>
      <c r="K1672" s="924">
        <v>16.093978332073569</v>
      </c>
      <c r="L1672" s="924">
        <v>15.114386495338877</v>
      </c>
      <c r="M1672" s="924">
        <v>15.114386495338879</v>
      </c>
      <c r="N1672" s="924">
        <v>15.114386495338879</v>
      </c>
      <c r="O1672" s="924">
        <v>15.114386495338879</v>
      </c>
      <c r="P1672" s="924">
        <v>15.122448979591841</v>
      </c>
      <c r="Q1672" s="924">
        <v>14.142857142857148</v>
      </c>
      <c r="R1672" s="924">
        <v>13.163265306122454</v>
      </c>
      <c r="S1672" s="924">
        <v>12.183673469387761</v>
      </c>
      <c r="T1672" s="924">
        <v>13.163265306122454</v>
      </c>
      <c r="U1672" s="924">
        <v>13.163265306122454</v>
      </c>
      <c r="V1672" s="924">
        <v>13.163265306122454</v>
      </c>
      <c r="W1672" s="924">
        <v>13.163265306122454</v>
      </c>
      <c r="X1672" s="924">
        <v>13.163265306122447</v>
      </c>
      <c r="Y1672" s="924">
        <v>13.163265306122447</v>
      </c>
      <c r="Z1672" s="924">
        <f t="shared" ca="1" si="129"/>
        <v>13.163265306122447</v>
      </c>
      <c r="AB1672" s="924">
        <v>14.001388613370363</v>
      </c>
      <c r="AC1672" s="924">
        <v>13.00119024003174</v>
      </c>
      <c r="AD1672" s="924">
        <v>14.00119024003174</v>
      </c>
      <c r="AE1672" s="924">
        <v>14.00119024003174</v>
      </c>
      <c r="AF1672" s="924">
        <v>12.001586986708986</v>
      </c>
      <c r="AG1672" s="924">
        <v>11.001785360047609</v>
      </c>
      <c r="AH1672" s="924">
        <v>10.003173973417972</v>
      </c>
      <c r="AI1672" s="924">
        <v>9.0039674667724654</v>
      </c>
      <c r="AJ1672" s="924">
        <v>8.0047609601269585</v>
      </c>
      <c r="AK1672" s="924">
        <v>7.0055544534814516</v>
      </c>
      <c r="AL1672" s="924">
        <v>7.0063479468359446</v>
      </c>
      <c r="AM1672" s="924">
        <v>6.0071414401904377</v>
      </c>
      <c r="AN1672" s="924">
        <v>5.4280942934602905</v>
      </c>
      <c r="AO1672" s="924">
        <v>4.5392054045714012</v>
      </c>
      <c r="AP1672" s="924">
        <v>3.4836498490158472</v>
      </c>
      <c r="AQ1672" s="924">
        <v>2.5114276267936249</v>
      </c>
      <c r="AR1672" s="924">
        <v>2.5390070312327793</v>
      </c>
      <c r="AS1672" s="924">
        <v>2.5667848090105569</v>
      </c>
      <c r="AT1672" s="924">
        <v>2.5945625867883346</v>
      </c>
      <c r="AU1672" s="924">
        <v>2.6215468712116192</v>
      </c>
      <c r="AV1672" s="924">
        <f t="shared" ca="1" si="128"/>
        <v>2.6215468712116192</v>
      </c>
      <c r="AX1672" s="88" t="str">
        <f t="shared" ca="1" si="126"/>
        <v>GNRC</v>
      </c>
    </row>
    <row r="1673" spans="1:50" hidden="1" x14ac:dyDescent="0.3">
      <c r="A1673" s="88" t="str">
        <f t="shared" ca="1" si="127"/>
        <v>GS</v>
      </c>
      <c r="F1673" s="924">
        <v>14.027210884353741</v>
      </c>
      <c r="G1673" s="924">
        <v>13.200221264976578</v>
      </c>
      <c r="H1673" s="924">
        <v>14.11371607466516</v>
      </c>
      <c r="I1673" s="924">
        <v>14.11371607466516</v>
      </c>
      <c r="J1673" s="924">
        <v>12.120636489890074</v>
      </c>
      <c r="K1673" s="924">
        <v>11.124096697502532</v>
      </c>
      <c r="L1673" s="924">
        <v>10.120636489890074</v>
      </c>
      <c r="M1673" s="924">
        <v>9.1206364898900762</v>
      </c>
      <c r="N1673" s="924">
        <v>8.1206364898900762</v>
      </c>
      <c r="O1673" s="924">
        <v>7.1206364898900745</v>
      </c>
      <c r="P1673" s="924">
        <v>7.1206364898900745</v>
      </c>
      <c r="Q1673" s="924">
        <v>6.1206364898900745</v>
      </c>
      <c r="R1673" s="924">
        <v>5.1206364898900727</v>
      </c>
      <c r="S1673" s="924">
        <v>4.1206364898900727</v>
      </c>
      <c r="T1673" s="924">
        <v>5.1206364898900727</v>
      </c>
      <c r="U1673" s="924">
        <v>5.1206364898900736</v>
      </c>
      <c r="V1673" s="924">
        <v>6.1002283266247677</v>
      </c>
      <c r="W1673" s="924">
        <v>7.0979607529286222</v>
      </c>
      <c r="X1673" s="924">
        <v>8.0956931792324767</v>
      </c>
      <c r="Y1673" s="924">
        <v>9.0934256055363321</v>
      </c>
      <c r="Z1673" s="924">
        <f t="shared" ca="1" si="129"/>
        <v>9.0934256055363321</v>
      </c>
      <c r="AB1673" s="924">
        <v>2.7224976900789399</v>
      </c>
      <c r="AC1673" s="924">
        <v>2.7809339185094668</v>
      </c>
      <c r="AD1673" s="924">
        <v>4.6939901684790097</v>
      </c>
      <c r="AE1673" s="924">
        <v>5.6781575295596642</v>
      </c>
      <c r="AF1673" s="924">
        <v>6.6623248906403187</v>
      </c>
      <c r="AG1673" s="924">
        <v>7.6464922517209732</v>
      </c>
      <c r="AH1673" s="924">
        <v>6.7260486998672899</v>
      </c>
      <c r="AI1673" s="924">
        <v>6.7579106044807755</v>
      </c>
      <c r="AJ1673" s="924">
        <v>6.7897725090942611</v>
      </c>
      <c r="AK1673" s="924">
        <v>6.8216344137077467</v>
      </c>
      <c r="AL1673" s="924">
        <v>6.8498345768374111</v>
      </c>
      <c r="AM1673" s="924">
        <v>5.9014874693993935</v>
      </c>
      <c r="AN1673" s="924">
        <v>4.8870581544606928</v>
      </c>
      <c r="AO1673" s="924">
        <v>4.8803487327699537</v>
      </c>
      <c r="AP1673" s="924">
        <v>4.8736393110792156</v>
      </c>
      <c r="AQ1673" s="924">
        <v>4.8572692203871481</v>
      </c>
      <c r="AR1673" s="924">
        <v>4.8344004811451509</v>
      </c>
      <c r="AS1673" s="924">
        <v>4.8001737172117958</v>
      </c>
      <c r="AT1673" s="924">
        <v>4.7659469532784398</v>
      </c>
      <c r="AU1673" s="924">
        <v>4.7317201893450846</v>
      </c>
      <c r="AV1673" s="924">
        <f t="shared" ca="1" si="128"/>
        <v>4.7317201893450846</v>
      </c>
      <c r="AX1673" s="88" t="str">
        <f t="shared" ca="1" si="126"/>
        <v>GS</v>
      </c>
    </row>
    <row r="1674" spans="1:50" hidden="1" x14ac:dyDescent="0.3">
      <c r="A1674" s="88" t="str">
        <f t="shared" ca="1" si="127"/>
        <v>LAZR</v>
      </c>
      <c r="F1674" s="924">
        <v>2.1375437749064106</v>
      </c>
      <c r="G1674" s="924">
        <v>2.1556843644755714</v>
      </c>
      <c r="H1674" s="924">
        <v>4.13300862751412</v>
      </c>
      <c r="I1674" s="924">
        <v>5.1307410538179754</v>
      </c>
      <c r="J1674" s="924">
        <v>6.1284734801218299</v>
      </c>
      <c r="K1674" s="924">
        <v>7.1262059064256853</v>
      </c>
      <c r="L1674" s="924">
        <v>8.1239383327295407</v>
      </c>
      <c r="M1674" s="924">
        <v>9.1216707590333943</v>
      </c>
      <c r="N1674" s="924">
        <v>8.1602195118678633</v>
      </c>
      <c r="O1674" s="924">
        <v>9.2625437749064101</v>
      </c>
      <c r="P1674" s="924">
        <v>8.6796356116411051</v>
      </c>
      <c r="Q1674" s="924">
        <v>7.679635611641106</v>
      </c>
      <c r="R1674" s="924">
        <v>6.679635611641106</v>
      </c>
      <c r="S1674" s="924">
        <v>8.673718451877793</v>
      </c>
      <c r="T1674" s="924">
        <v>9.6678012921144791</v>
      </c>
      <c r="U1674" s="924">
        <v>10.661884132351165</v>
      </c>
      <c r="V1674" s="924">
        <v>11.655966972587851</v>
      </c>
      <c r="W1674" s="924">
        <v>12.650049812824538</v>
      </c>
      <c r="X1674" s="924">
        <v>13.644132653061224</v>
      </c>
      <c r="Y1674" s="924">
        <v>14.623724489795919</v>
      </c>
      <c r="Z1674" s="924">
        <f t="shared" ca="1" si="129"/>
        <v>14.623724489795919</v>
      </c>
      <c r="AB1674" s="924">
        <v>13.023767875827465</v>
      </c>
      <c r="AC1674" s="924">
        <v>13.005157079054971</v>
      </c>
      <c r="AD1674" s="924">
        <v>12.012675082799065</v>
      </c>
      <c r="AE1674" s="924">
        <v>11.016799314766072</v>
      </c>
      <c r="AF1674" s="924">
        <v>12.012675082799065</v>
      </c>
      <c r="AG1674" s="924">
        <v>10.020923546733078</v>
      </c>
      <c r="AH1674" s="924">
        <v>9.0227497279892113</v>
      </c>
      <c r="AI1674" s="924">
        <v>8.0257249346007864</v>
      </c>
      <c r="AJ1674" s="924">
        <v>7.0287001412123562</v>
      </c>
      <c r="AK1674" s="924">
        <v>6.0336788344465777</v>
      </c>
      <c r="AL1674" s="924">
        <v>6.037611926643935</v>
      </c>
      <c r="AM1674" s="924">
        <v>5.0415888765668306</v>
      </c>
      <c r="AN1674" s="924">
        <v>7.8396580267981424</v>
      </c>
      <c r="AO1674" s="924">
        <v>6.7285469156870334</v>
      </c>
      <c r="AP1674" s="924">
        <v>5.5063246934648102</v>
      </c>
      <c r="AQ1674" s="924">
        <v>4.6174358045759218</v>
      </c>
      <c r="AR1674" s="924">
        <v>4.7278164554971145</v>
      </c>
      <c r="AS1674" s="924">
        <v>4.8381971064183062</v>
      </c>
      <c r="AT1674" s="924">
        <v>4.948577757339498</v>
      </c>
      <c r="AU1674" s="924">
        <v>5.0589584082606898</v>
      </c>
      <c r="AV1674" s="924">
        <f t="shared" ca="1" si="128"/>
        <v>5.0589584082606898</v>
      </c>
      <c r="AX1674" s="88" t="str">
        <f t="shared" ca="1" si="126"/>
        <v>LAZR</v>
      </c>
    </row>
    <row r="1675" spans="1:50" hidden="1" x14ac:dyDescent="0.3">
      <c r="A1675" s="88" t="str">
        <f t="shared" ca="1" si="127"/>
        <v>LUV</v>
      </c>
      <c r="F1675" s="924">
        <v>13.187452758881324</v>
      </c>
      <c r="G1675" s="924">
        <v>13.340639959687573</v>
      </c>
      <c r="H1675" s="924">
        <v>12.451751070798686</v>
      </c>
      <c r="I1675" s="924">
        <v>11.562862181909797</v>
      </c>
      <c r="J1675" s="924">
        <v>12.451751070798686</v>
      </c>
      <c r="K1675" s="924">
        <v>11.171751070798685</v>
      </c>
      <c r="L1675" s="924">
        <v>9.8525673973292971</v>
      </c>
      <c r="M1675" s="924">
        <v>8.8729755605946092</v>
      </c>
      <c r="N1675" s="924">
        <v>7.8933837238599134</v>
      </c>
      <c r="O1675" s="924">
        <v>7.0217358911731207</v>
      </c>
      <c r="P1675" s="924">
        <v>7.0394267140587496</v>
      </c>
      <c r="Q1675" s="924">
        <v>6.1138068793480063</v>
      </c>
      <c r="R1675" s="924">
        <v>5.1881870446372629</v>
      </c>
      <c r="S1675" s="924">
        <v>6.1138068793480054</v>
      </c>
      <c r="T1675" s="924">
        <v>6.1138068793480045</v>
      </c>
      <c r="U1675" s="924">
        <v>6.1138068793480045</v>
      </c>
      <c r="V1675" s="924">
        <v>7.1014612003356596</v>
      </c>
      <c r="W1675" s="924">
        <v>8.089115521323313</v>
      </c>
      <c r="X1675" s="924">
        <v>9.0767698423109682</v>
      </c>
      <c r="Y1675" s="924">
        <v>10.064424163298622</v>
      </c>
      <c r="Z1675" s="924">
        <f t="shared" ca="1" si="129"/>
        <v>10.064424163298622</v>
      </c>
      <c r="AB1675" s="924">
        <v>12.098229882470333</v>
      </c>
      <c r="AC1675" s="924">
        <v>12.102109035714806</v>
      </c>
      <c r="AD1675" s="924">
        <v>11.116080498259395</v>
      </c>
      <c r="AE1675" s="924">
        <v>10.126782044038229</v>
      </c>
      <c r="AF1675" s="924">
        <v>9.1501069632877492</v>
      </c>
      <c r="AG1675" s="924">
        <v>8.1671201958019264</v>
      </c>
      <c r="AH1675" s="924">
        <v>7.1841334283161062</v>
      </c>
      <c r="AI1675" s="924">
        <v>6.2011466608302843</v>
      </c>
      <c r="AJ1675" s="924">
        <v>5.2181598933444624</v>
      </c>
      <c r="AK1675" s="924">
        <v>4.2351731258586405</v>
      </c>
      <c r="AL1675" s="924">
        <v>4.2398406793604728</v>
      </c>
      <c r="AM1675" s="924">
        <v>3.2568539118746465</v>
      </c>
      <c r="AN1675" s="924">
        <v>6.0158142143321136</v>
      </c>
      <c r="AO1675" s="924">
        <v>4.0323431399519478</v>
      </c>
      <c r="AP1675" s="924">
        <v>3.0648950036726434</v>
      </c>
      <c r="AQ1675" s="924">
        <v>3.0707371740723133</v>
      </c>
      <c r="AR1675" s="924">
        <v>3.0765793444719831</v>
      </c>
      <c r="AS1675" s="924">
        <v>3.0842086797599735</v>
      </c>
      <c r="AT1675" s="924">
        <v>3.0918380150479634</v>
      </c>
      <c r="AU1675" s="924">
        <v>3.0994673503359538</v>
      </c>
      <c r="AV1675" s="924">
        <f t="shared" ca="1" si="128"/>
        <v>3.0994673503359538</v>
      </c>
      <c r="AX1675" s="88" t="str">
        <f t="shared" ca="1" si="126"/>
        <v>LUV</v>
      </c>
    </row>
    <row r="1676" spans="1:50" hidden="1" x14ac:dyDescent="0.3">
      <c r="A1676" s="88" t="str">
        <f t="shared" ca="1" si="127"/>
        <v>MA</v>
      </c>
      <c r="F1676" s="924">
        <v>12.055963718820866</v>
      </c>
      <c r="G1676" s="924">
        <v>12.040000000000006</v>
      </c>
      <c r="H1676" s="924">
        <v>11.257777777777783</v>
      </c>
      <c r="I1676" s="924">
        <v>10.368888888888893</v>
      </c>
      <c r="J1676" s="924">
        <v>9.7577777777777825</v>
      </c>
      <c r="K1676" s="924">
        <v>9.0077777777777825</v>
      </c>
      <c r="L1676" s="924">
        <v>8.2577777777777772</v>
      </c>
      <c r="M1676" s="924">
        <v>7.5077777777777772</v>
      </c>
      <c r="N1676" s="924">
        <v>6.7577777777777772</v>
      </c>
      <c r="O1676" s="924">
        <v>6.0077777777777772</v>
      </c>
      <c r="P1676" s="924">
        <v>6.253333333333333</v>
      </c>
      <c r="Q1676" s="924">
        <v>5.5033333333333321</v>
      </c>
      <c r="R1676" s="924">
        <v>4.7533333333333321</v>
      </c>
      <c r="S1676" s="924">
        <v>4.0033333333333339</v>
      </c>
      <c r="T1676" s="924">
        <v>3.2533333333333334</v>
      </c>
      <c r="U1676" s="924">
        <v>3.4988888888888887</v>
      </c>
      <c r="V1676" s="924">
        <v>3.7444444444444445</v>
      </c>
      <c r="W1676" s="924">
        <v>3.99</v>
      </c>
      <c r="X1676" s="924">
        <v>4.235555555555556</v>
      </c>
      <c r="Y1676" s="924">
        <v>4.4811111111111117</v>
      </c>
      <c r="Z1676" s="924">
        <f t="shared" ca="1" si="129"/>
        <v>4.4811111111111117</v>
      </c>
      <c r="AB1676" s="924">
        <v>9.0373667821586778</v>
      </c>
      <c r="AC1676" s="924">
        <v>8.0374106398842162</v>
      </c>
      <c r="AD1676" s="924">
        <v>7.0374544976097546</v>
      </c>
      <c r="AE1676" s="924">
        <v>6.037498355335293</v>
      </c>
      <c r="AF1676" s="924">
        <v>5.0375422130608314</v>
      </c>
      <c r="AG1676" s="924">
        <v>4.0375860707863698</v>
      </c>
      <c r="AH1676" s="924">
        <v>3.0376299285119082</v>
      </c>
      <c r="AI1676" s="924">
        <v>2.0376737862374465</v>
      </c>
      <c r="AJ1676" s="924">
        <v>1.0377176439629847</v>
      </c>
      <c r="AK1676" s="924">
        <v>3.7761501688522457E-2</v>
      </c>
      <c r="AL1676" s="924">
        <v>9.2101223630543445E-4</v>
      </c>
      <c r="AM1676" s="924">
        <v>9.2101223630543445E-4</v>
      </c>
      <c r="AN1676" s="924">
        <v>0.42407891466748515</v>
      </c>
      <c r="AO1676" s="924">
        <v>0.43792394583083571</v>
      </c>
      <c r="AP1676" s="924">
        <v>1.5003800881052973</v>
      </c>
      <c r="AQ1676" s="924">
        <v>2.0628362303797592</v>
      </c>
      <c r="AR1676" s="924">
        <v>2.6252923726542208</v>
      </c>
      <c r="AS1676" s="924">
        <v>3.1877485149286824</v>
      </c>
      <c r="AT1676" s="924">
        <v>3.750204657203144</v>
      </c>
      <c r="AU1676" s="924">
        <v>4.3126607994776052</v>
      </c>
      <c r="AV1676" s="924">
        <f t="shared" ca="1" si="128"/>
        <v>4.3126607994776052</v>
      </c>
      <c r="AX1676" s="88" t="str">
        <f t="shared" ca="1" si="126"/>
        <v>MA</v>
      </c>
    </row>
    <row r="1677" spans="1:50" hidden="1" x14ac:dyDescent="0.3">
      <c r="A1677" s="88" t="str">
        <f t="shared" ca="1" si="127"/>
        <v>NVAX</v>
      </c>
      <c r="F1677" s="924">
        <v>9.6439909297052111</v>
      </c>
      <c r="G1677" s="924">
        <v>8.7006802721088388</v>
      </c>
      <c r="H1677" s="924">
        <v>7.7573696145124771</v>
      </c>
      <c r="I1677" s="924">
        <v>6.8140589569161056</v>
      </c>
      <c r="J1677" s="924">
        <v>5.8707482993197342</v>
      </c>
      <c r="K1677" s="924">
        <v>4.9274376417233627</v>
      </c>
      <c r="L1677" s="924">
        <v>3.9841269841269837</v>
      </c>
      <c r="M1677" s="924">
        <v>3.0408163265306118</v>
      </c>
      <c r="N1677" s="924">
        <v>2.0975056689342404</v>
      </c>
      <c r="O1677" s="924">
        <v>1.1541950113378685</v>
      </c>
      <c r="P1677" s="924">
        <v>1.1904761904761905</v>
      </c>
      <c r="Q1677" s="924">
        <v>1.1904761904761905</v>
      </c>
      <c r="R1677" s="924">
        <v>1.1904761904761905</v>
      </c>
      <c r="S1677" s="924">
        <v>1.1904761904761905</v>
      </c>
      <c r="T1677" s="924">
        <v>1.1904761904761905</v>
      </c>
      <c r="U1677" s="924">
        <v>1.1904761904761905</v>
      </c>
      <c r="V1677" s="924">
        <v>1.1904761904761905</v>
      </c>
      <c r="W1677" s="924">
        <v>1.1904761904761905</v>
      </c>
      <c r="X1677" s="924">
        <v>1.1904761904761905</v>
      </c>
      <c r="Y1677" s="924">
        <v>1.1904761904761905</v>
      </c>
      <c r="Z1677" s="924">
        <f t="shared" ca="1" si="129"/>
        <v>1.1904761904761905</v>
      </c>
      <c r="AB1677" s="924">
        <v>5.1046128871886394</v>
      </c>
      <c r="AC1677" s="924">
        <v>4.1117363640303557</v>
      </c>
      <c r="AD1677" s="924">
        <v>5.1072919195859079</v>
      </c>
      <c r="AE1677" s="924">
        <v>6.0946170369053227</v>
      </c>
      <c r="AF1677" s="924">
        <v>5.0953794022763379</v>
      </c>
      <c r="AG1677" s="924">
        <v>5.0894231436215529</v>
      </c>
      <c r="AH1677" s="924">
        <v>7.0700296369151694</v>
      </c>
      <c r="AI1677" s="924">
        <v>8.0573547542345842</v>
      </c>
      <c r="AJ1677" s="924">
        <v>7.0511574973058675</v>
      </c>
      <c r="AK1677" s="924">
        <v>7.0417214275012165</v>
      </c>
      <c r="AL1677" s="924">
        <v>6.0468072764358967</v>
      </c>
      <c r="AM1677" s="924">
        <v>5.2648671677528123</v>
      </c>
      <c r="AN1677" s="924">
        <v>7.8484826146252846</v>
      </c>
      <c r="AO1677" s="924">
        <v>8.8467172025781124</v>
      </c>
      <c r="AP1677" s="924">
        <v>7.9249517905309421</v>
      </c>
      <c r="AQ1677" s="924">
        <v>7.96318637848377</v>
      </c>
      <c r="AR1677" s="924">
        <v>8.0014209664365978</v>
      </c>
      <c r="AS1677" s="924">
        <v>8.0396555543894248</v>
      </c>
      <c r="AT1677" s="924">
        <v>8.0048105575671702</v>
      </c>
      <c r="AU1677" s="924">
        <v>8.0242762959322302</v>
      </c>
      <c r="AV1677" s="924">
        <f t="shared" ca="1" si="128"/>
        <v>8.0242762959322302</v>
      </c>
      <c r="AX1677" s="88" t="str">
        <f t="shared" ca="1" si="126"/>
        <v>NVAX</v>
      </c>
    </row>
    <row r="1678" spans="1:50" hidden="1" x14ac:dyDescent="0.3">
      <c r="A1678" s="88" t="str">
        <f t="shared" ca="1" si="127"/>
        <v>NVS</v>
      </c>
      <c r="F1678" s="924">
        <v>5.0408037637954513</v>
      </c>
      <c r="G1678" s="924">
        <v>4.3580336806929587</v>
      </c>
      <c r="H1678" s="924">
        <v>5.1980336806929621</v>
      </c>
      <c r="I1678" s="924">
        <v>6.1957661069968175</v>
      </c>
      <c r="J1678" s="924">
        <v>5.318498533300672</v>
      </c>
      <c r="K1678" s="924">
        <v>5.3787309596045265</v>
      </c>
      <c r="L1678" s="924">
        <v>7.3139633859083819</v>
      </c>
      <c r="M1678" s="924">
        <v>8.3116958122122355</v>
      </c>
      <c r="N1678" s="924">
        <v>7.4344282385160909</v>
      </c>
      <c r="O1678" s="924">
        <v>7.4946606648199463</v>
      </c>
      <c r="P1678" s="924">
        <v>6.5121606648199464</v>
      </c>
      <c r="Q1678" s="924">
        <v>5.694382887042166</v>
      </c>
      <c r="R1678" s="924">
        <v>4.8054939981532767</v>
      </c>
      <c r="S1678" s="924">
        <v>4.9138350261618946</v>
      </c>
      <c r="T1678" s="924">
        <v>6.7999538319482911</v>
      </c>
      <c r="U1678" s="924">
        <v>7.7971837488457973</v>
      </c>
      <c r="V1678" s="924">
        <v>8.7944136657433045</v>
      </c>
      <c r="W1678" s="924">
        <v>9.7916435826408126</v>
      </c>
      <c r="X1678" s="924">
        <v>10.788873499538319</v>
      </c>
      <c r="Y1678" s="924">
        <v>11.786103416435825</v>
      </c>
      <c r="Z1678" s="924">
        <f t="shared" ca="1" si="129"/>
        <v>11.786103416435825</v>
      </c>
      <c r="AB1678" s="924">
        <v>0.53879215823867399</v>
      </c>
      <c r="AC1678" s="924">
        <v>0.55984386649708373</v>
      </c>
      <c r="AD1678" s="924">
        <v>0.58405333099425494</v>
      </c>
      <c r="AE1678" s="924">
        <v>0.60826279549142614</v>
      </c>
      <c r="AF1678" s="924">
        <v>0.63247225998859735</v>
      </c>
      <c r="AG1678" s="924">
        <v>0.65668172448576856</v>
      </c>
      <c r="AH1678" s="924">
        <v>0.68089118898293977</v>
      </c>
      <c r="AI1678" s="924">
        <v>0.70510065348011097</v>
      </c>
      <c r="AJ1678" s="924">
        <v>0.72931011797728207</v>
      </c>
      <c r="AK1678" s="924">
        <v>0.75351958247445339</v>
      </c>
      <c r="AL1678" s="924">
        <v>0.77457129073286302</v>
      </c>
      <c r="AM1678" s="924">
        <v>0.77457129073286302</v>
      </c>
      <c r="AN1678" s="924">
        <v>4.4370339020218417</v>
      </c>
      <c r="AO1678" s="924">
        <v>5.4001495548440861</v>
      </c>
      <c r="AP1678" s="924">
        <v>6.3632652076663305</v>
      </c>
      <c r="AQ1678" s="924">
        <v>7.3263808604885758</v>
      </c>
      <c r="AR1678" s="924">
        <v>8.2894965133108194</v>
      </c>
      <c r="AS1678" s="924">
        <v>9.2526121661330656</v>
      </c>
      <c r="AT1678" s="924">
        <v>10.21572781895531</v>
      </c>
      <c r="AU1678" s="924">
        <v>11.178843471777554</v>
      </c>
      <c r="AV1678" s="924">
        <f t="shared" ca="1" si="128"/>
        <v>11.178843471777554</v>
      </c>
      <c r="AX1678" s="88" t="str">
        <f t="shared" ca="1" si="126"/>
        <v>NVS</v>
      </c>
    </row>
    <row r="1679" spans="1:50" hidden="1" x14ac:dyDescent="0.3">
      <c r="A1679" s="88" t="str">
        <f t="shared" ca="1" si="127"/>
        <v>ORA</v>
      </c>
      <c r="F1679" s="924">
        <v>0.26530612244897933</v>
      </c>
      <c r="G1679" s="924">
        <v>0.26530612244897933</v>
      </c>
      <c r="H1679" s="924">
        <v>0.28344671201814031</v>
      </c>
      <c r="I1679" s="924">
        <v>0.30158730158730124</v>
      </c>
      <c r="J1679" s="924">
        <v>0.31972789115646222</v>
      </c>
      <c r="K1679" s="924">
        <v>0.33786848072562314</v>
      </c>
      <c r="L1679" s="924">
        <v>0.35600907029478412</v>
      </c>
      <c r="M1679" s="924">
        <v>0.37414965986394511</v>
      </c>
      <c r="N1679" s="924">
        <v>0.39229024943310603</v>
      </c>
      <c r="O1679" s="924">
        <v>0.41043083900226701</v>
      </c>
      <c r="P1679" s="924">
        <v>0.42857142857142799</v>
      </c>
      <c r="Q1679" s="924">
        <v>0.42857142857142799</v>
      </c>
      <c r="R1679" s="924">
        <v>0.42857142857142799</v>
      </c>
      <c r="S1679" s="924">
        <v>0.42857142857142799</v>
      </c>
      <c r="T1679" s="924">
        <v>0.42857142857142799</v>
      </c>
      <c r="U1679" s="924">
        <v>0.42857142857142799</v>
      </c>
      <c r="V1679" s="924">
        <v>0.42857142857142799</v>
      </c>
      <c r="W1679" s="924">
        <v>0.42857142857142799</v>
      </c>
      <c r="X1679" s="924">
        <v>0.42857142857142799</v>
      </c>
      <c r="Y1679" s="924">
        <v>0.42857142857142799</v>
      </c>
      <c r="Z1679" s="924">
        <f t="shared" ca="1" si="129"/>
        <v>0.42857142857142799</v>
      </c>
      <c r="AB1679" s="924">
        <v>11.09066021780213</v>
      </c>
      <c r="AC1679" s="924">
        <v>11.121911996805382</v>
      </c>
      <c r="AD1679" s="924">
        <v>10.160557263426536</v>
      </c>
      <c r="AE1679" s="924">
        <v>10.192501532039364</v>
      </c>
      <c r="AF1679" s="924">
        <v>12.153452311889323</v>
      </c>
      <c r="AG1679" s="924">
        <v>13.149899836120717</v>
      </c>
      <c r="AH1679" s="924">
        <v>14.146347360352109</v>
      </c>
      <c r="AI1679" s="924">
        <v>15.142794884583504</v>
      </c>
      <c r="AJ1679" s="924">
        <v>16.139242408814898</v>
      </c>
      <c r="AK1679" s="924">
        <v>17.13568993304629</v>
      </c>
      <c r="AL1679" s="924">
        <v>17.13568993304629</v>
      </c>
      <c r="AM1679" s="924">
        <v>17.13568993304629</v>
      </c>
      <c r="AN1679" s="924">
        <v>13.227428934235348</v>
      </c>
      <c r="AO1679" s="924">
        <v>12.251507412237727</v>
      </c>
      <c r="AP1679" s="924">
        <v>11.523286922401027</v>
      </c>
      <c r="AQ1679" s="924">
        <v>10.671215916483867</v>
      </c>
      <c r="AR1679" s="924">
        <v>9.8191449105667061</v>
      </c>
      <c r="AS1679" s="924">
        <v>8.6712159164838667</v>
      </c>
      <c r="AT1679" s="924">
        <v>7.6712159164838694</v>
      </c>
      <c r="AU1679" s="924">
        <v>6.6712159164838694</v>
      </c>
      <c r="AV1679" s="924">
        <f t="shared" ca="1" si="128"/>
        <v>6.6712159164838694</v>
      </c>
      <c r="AX1679" s="88" t="str">
        <f t="shared" ca="1" si="126"/>
        <v>ORA</v>
      </c>
    </row>
    <row r="1680" spans="1:50" hidden="1" x14ac:dyDescent="0.3">
      <c r="A1680" s="88" t="str">
        <f t="shared" ca="1" si="127"/>
        <v>OXY</v>
      </c>
      <c r="F1680" s="924">
        <v>11.045170068027211</v>
      </c>
      <c r="G1680" s="924">
        <v>11.029206349206351</v>
      </c>
      <c r="H1680" s="924">
        <v>10.024761904761906</v>
      </c>
      <c r="I1680" s="924">
        <v>10.022494331065761</v>
      </c>
      <c r="J1680" s="924">
        <v>12.020226757369617</v>
      </c>
      <c r="K1680" s="924">
        <v>13.01795918367347</v>
      </c>
      <c r="L1680" s="924">
        <v>14.015691609977326</v>
      </c>
      <c r="M1680" s="924">
        <v>15.013424036281179</v>
      </c>
      <c r="N1680" s="924">
        <v>16.011156462585035</v>
      </c>
      <c r="O1680" s="924">
        <v>17.00888888888889</v>
      </c>
      <c r="P1680" s="924">
        <v>17.00888888888889</v>
      </c>
      <c r="Q1680" s="924">
        <v>17.00888888888889</v>
      </c>
      <c r="R1680" s="924">
        <v>17.00888888888889</v>
      </c>
      <c r="S1680" s="924">
        <v>17.00888888888889</v>
      </c>
      <c r="T1680" s="924">
        <v>17.00888888888889</v>
      </c>
      <c r="U1680" s="924">
        <v>17.00888888888889</v>
      </c>
      <c r="V1680" s="924">
        <v>17.00888888888889</v>
      </c>
      <c r="W1680" s="924">
        <v>17.00888888888889</v>
      </c>
      <c r="X1680" s="924">
        <v>17.00888888888889</v>
      </c>
      <c r="Y1680" s="924">
        <v>17.00888888888889</v>
      </c>
      <c r="Z1680" s="924">
        <f t="shared" ca="1" si="129"/>
        <v>17.00888888888889</v>
      </c>
      <c r="AB1680" s="924">
        <v>9.0273029162475282</v>
      </c>
      <c r="AC1680" s="924">
        <v>9.0273029162475282</v>
      </c>
      <c r="AD1680" s="924">
        <v>10.026908196717683</v>
      </c>
      <c r="AE1680" s="924">
        <v>11.026513477187837</v>
      </c>
      <c r="AF1680" s="924">
        <v>10.042647683277828</v>
      </c>
      <c r="AG1680" s="924">
        <v>12.033988500938063</v>
      </c>
      <c r="AH1680" s="924">
        <v>13.03359378140822</v>
      </c>
      <c r="AI1680" s="924">
        <v>14.033199061878374</v>
      </c>
      <c r="AJ1680" s="924">
        <v>15.032804342348529</v>
      </c>
      <c r="AK1680" s="924">
        <v>16.032409622818683</v>
      </c>
      <c r="AL1680" s="924">
        <v>17.027055666840099</v>
      </c>
      <c r="AM1680" s="924">
        <v>17.027055666840099</v>
      </c>
      <c r="AN1680" s="924">
        <v>13.049600045538327</v>
      </c>
      <c r="AO1680" s="924">
        <v>12.055517205301641</v>
      </c>
      <c r="AP1680" s="924">
        <v>12.259476588748203</v>
      </c>
      <c r="AQ1680" s="924">
        <v>11.864414860353142</v>
      </c>
      <c r="AR1680" s="924">
        <v>12.463999175979495</v>
      </c>
      <c r="AS1680" s="924">
        <v>13.062218823558634</v>
      </c>
      <c r="AT1680" s="924">
        <v>13.660438471137773</v>
      </c>
      <c r="AU1680" s="924">
        <v>13.265376742742712</v>
      </c>
      <c r="AV1680" s="924">
        <f t="shared" ca="1" si="128"/>
        <v>13.265376742742712</v>
      </c>
      <c r="AX1680" s="88" t="str">
        <f t="shared" ca="1" si="126"/>
        <v>OXY</v>
      </c>
    </row>
    <row r="1681" spans="1:65" ht="24" hidden="1" customHeight="1" x14ac:dyDescent="0.3">
      <c r="A1681" s="88" t="str">
        <f t="shared" ca="1" si="127"/>
        <v>PFE</v>
      </c>
      <c r="F1681" s="924">
        <v>9.0678458049886608</v>
      </c>
      <c r="G1681" s="924">
        <v>9.0678458049886608</v>
      </c>
      <c r="H1681" s="924">
        <v>10.065578231292516</v>
      </c>
      <c r="I1681" s="924">
        <v>11.063310657596372</v>
      </c>
      <c r="J1681" s="924">
        <v>10.428390022675739</v>
      </c>
      <c r="K1681" s="924">
        <v>12.242448979591838</v>
      </c>
      <c r="L1681" s="924">
        <v>13.240181405895692</v>
      </c>
      <c r="M1681" s="924">
        <v>14.237913832199546</v>
      </c>
      <c r="N1681" s="924">
        <v>15.235646258503401</v>
      </c>
      <c r="O1681" s="924">
        <v>16.233378684807256</v>
      </c>
      <c r="P1681" s="924">
        <v>17.228934240362811</v>
      </c>
      <c r="Q1681" s="924">
        <v>17.228934240362811</v>
      </c>
      <c r="R1681" s="924">
        <v>17.228934240362811</v>
      </c>
      <c r="S1681" s="924">
        <v>17.228934240362811</v>
      </c>
      <c r="T1681" s="924">
        <v>17.228934240362811</v>
      </c>
      <c r="U1681" s="924">
        <v>17.228934240362811</v>
      </c>
      <c r="V1681" s="924">
        <v>18.224489795918366</v>
      </c>
      <c r="W1681" s="924">
        <v>19.204081632653061</v>
      </c>
      <c r="X1681" s="924">
        <v>20.183673469387756</v>
      </c>
      <c r="Y1681" s="924">
        <v>20.183673469387756</v>
      </c>
      <c r="Z1681" s="924">
        <f t="shared" ca="1" si="129"/>
        <v>20.183673469387756</v>
      </c>
      <c r="AB1681" s="924">
        <v>20.000394719529844</v>
      </c>
      <c r="AC1681" s="924">
        <v>21</v>
      </c>
      <c r="AD1681" s="924">
        <v>21</v>
      </c>
      <c r="AE1681" s="924">
        <v>21</v>
      </c>
      <c r="AF1681" s="924">
        <v>19.049861495844873</v>
      </c>
      <c r="AG1681" s="924">
        <v>18.074792243767309</v>
      </c>
      <c r="AH1681" s="924">
        <v>17.099722991689745</v>
      </c>
      <c r="AI1681" s="924">
        <v>16.124653739612182</v>
      </c>
      <c r="AJ1681" s="924">
        <v>15.149584487534629</v>
      </c>
      <c r="AK1681" s="924">
        <v>14.174515235457067</v>
      </c>
      <c r="AL1681" s="924">
        <v>13.199445983379505</v>
      </c>
      <c r="AM1681" s="924">
        <v>12.396737457679288</v>
      </c>
      <c r="AN1681" s="924">
        <v>11.16092002472471</v>
      </c>
      <c r="AO1681" s="924">
        <v>10.16389523133628</v>
      </c>
      <c r="AP1681" s="924">
        <v>9.6609200247247102</v>
      </c>
      <c r="AQ1681" s="924">
        <v>8.4109200247247102</v>
      </c>
      <c r="AR1681" s="924">
        <v>7.4109200247247102</v>
      </c>
      <c r="AS1681" s="924">
        <v>6.4109200247247102</v>
      </c>
      <c r="AT1681" s="924">
        <v>5.4909200247247103</v>
      </c>
      <c r="AU1681" s="924">
        <v>4.5309200247247103</v>
      </c>
      <c r="AV1681" s="924">
        <f t="shared" ca="1" si="128"/>
        <v>4.5309200247247103</v>
      </c>
      <c r="AX1681" s="88" t="str">
        <f t="shared" ca="1" si="126"/>
        <v>PFE</v>
      </c>
    </row>
    <row r="1682" spans="1:65" hidden="1" x14ac:dyDescent="0.3">
      <c r="A1682" s="88" t="str">
        <f t="shared" ca="1" si="127"/>
        <v>RIG</v>
      </c>
      <c r="F1682" s="924">
        <v>20.020408163265305</v>
      </c>
      <c r="G1682" s="924">
        <v>21</v>
      </c>
      <c r="H1682" s="924">
        <v>21</v>
      </c>
      <c r="I1682" s="924">
        <v>21</v>
      </c>
      <c r="J1682" s="924">
        <v>19</v>
      </c>
      <c r="K1682" s="924">
        <v>18</v>
      </c>
      <c r="L1682" s="924">
        <v>19</v>
      </c>
      <c r="M1682" s="924">
        <v>19</v>
      </c>
      <c r="N1682" s="924">
        <v>19</v>
      </c>
      <c r="O1682" s="924">
        <v>19</v>
      </c>
      <c r="P1682" s="924">
        <v>19</v>
      </c>
      <c r="Q1682" s="924">
        <v>19</v>
      </c>
      <c r="R1682" s="924">
        <v>19</v>
      </c>
      <c r="S1682" s="924">
        <v>19</v>
      </c>
      <c r="T1682" s="924">
        <v>19</v>
      </c>
      <c r="U1682" s="924">
        <v>19</v>
      </c>
      <c r="V1682" s="924">
        <v>19</v>
      </c>
      <c r="W1682" s="924">
        <v>19</v>
      </c>
      <c r="X1682" s="924">
        <v>19</v>
      </c>
      <c r="Y1682" s="924">
        <v>19</v>
      </c>
      <c r="Z1682" s="924">
        <f t="shared" ca="1" si="129"/>
        <v>19</v>
      </c>
      <c r="AB1682" s="924">
        <v>10.060350536674363</v>
      </c>
      <c r="AC1682" s="924">
        <v>10.057654439720547</v>
      </c>
      <c r="AD1682" s="924">
        <v>11.05504375188422</v>
      </c>
      <c r="AE1682" s="924">
        <v>12.049736967094081</v>
      </c>
      <c r="AF1682" s="924">
        <v>13.044430182303939</v>
      </c>
      <c r="AG1682" s="924">
        <v>12.043016131077813</v>
      </c>
      <c r="AH1682" s="924">
        <v>14.035762979505666</v>
      </c>
      <c r="AI1682" s="924">
        <v>15.030456194715525</v>
      </c>
      <c r="AJ1682" s="924">
        <v>16.025149409925383</v>
      </c>
      <c r="AK1682" s="924">
        <v>17.019842625135244</v>
      </c>
      <c r="AL1682" s="924">
        <v>18.007167742454659</v>
      </c>
      <c r="AM1682" s="924">
        <v>18.007167742454659</v>
      </c>
      <c r="AN1682" s="924">
        <v>14.007167742454659</v>
      </c>
      <c r="AO1682" s="924">
        <v>13.075754848078802</v>
      </c>
      <c r="AP1682" s="924">
        <v>12.204726601389178</v>
      </c>
      <c r="AQ1682" s="924">
        <v>13.123093948327954</v>
      </c>
      <c r="AR1682" s="924">
        <v>13.123093948327954</v>
      </c>
      <c r="AS1682" s="924">
        <v>13.123093948327954</v>
      </c>
      <c r="AT1682" s="924">
        <v>11.123093948327954</v>
      </c>
      <c r="AU1682" s="924">
        <v>10.123093948327956</v>
      </c>
      <c r="AV1682" s="924">
        <f t="shared" ca="1" si="128"/>
        <v>10.123093948327956</v>
      </c>
      <c r="AX1682" s="88" t="str">
        <f t="shared" ca="1" si="126"/>
        <v>RIG</v>
      </c>
    </row>
    <row r="1683" spans="1:65" x14ac:dyDescent="0.3">
      <c r="A1683" s="88" t="str">
        <f t="shared" ca="1" si="127"/>
        <v>RRC</v>
      </c>
      <c r="F1683" s="924">
        <v>10.768707482993198</v>
      </c>
      <c r="G1683" s="924">
        <v>10.95011337868481</v>
      </c>
      <c r="H1683" s="924">
        <v>11.766439909297054</v>
      </c>
      <c r="I1683" s="924">
        <v>12.709750566893426</v>
      </c>
      <c r="J1683" s="924">
        <v>13.653061224489797</v>
      </c>
      <c r="K1683" s="924">
        <v>12.963718820861683</v>
      </c>
      <c r="L1683" s="924">
        <v>14.723356009070297</v>
      </c>
      <c r="M1683" s="924">
        <v>15.66666666666667</v>
      </c>
      <c r="N1683" s="924">
        <v>16.609977324263042</v>
      </c>
      <c r="O1683" s="924">
        <v>17.553287981859413</v>
      </c>
      <c r="P1683" s="924">
        <v>18.551020408163268</v>
      </c>
      <c r="Q1683" s="924">
        <v>18.551020408163268</v>
      </c>
      <c r="R1683" s="924">
        <v>18.551020408163268</v>
      </c>
      <c r="S1683" s="924">
        <v>18.551020408163268</v>
      </c>
      <c r="T1683" s="924">
        <v>18.551020408163268</v>
      </c>
      <c r="U1683" s="924">
        <v>18.551020408163264</v>
      </c>
      <c r="V1683" s="924">
        <v>18.551020408163264</v>
      </c>
      <c r="W1683" s="924">
        <v>18.551020408163264</v>
      </c>
      <c r="X1683" s="924">
        <v>18.551020408163264</v>
      </c>
      <c r="Y1683" s="924">
        <v>18.551020408163264</v>
      </c>
      <c r="Z1683" s="924">
        <f t="shared" ca="1" si="129"/>
        <v>18.551020408163264</v>
      </c>
      <c r="AB1683" s="924">
        <v>11.101486776895751</v>
      </c>
      <c r="AC1683" s="924">
        <v>12.091618788649621</v>
      </c>
      <c r="AD1683" s="924">
        <v>13.081750800403491</v>
      </c>
      <c r="AE1683" s="924">
        <v>14.071882812157362</v>
      </c>
      <c r="AF1683" s="924">
        <v>15.062014823911232</v>
      </c>
      <c r="AG1683" s="924">
        <v>16.052146835665102</v>
      </c>
      <c r="AH1683" s="924">
        <v>17.042278847418974</v>
      </c>
      <c r="AI1683" s="924">
        <v>18.032410859172842</v>
      </c>
      <c r="AJ1683" s="924">
        <v>19.022542870926713</v>
      </c>
      <c r="AK1683" s="924">
        <v>20.012674882680585</v>
      </c>
      <c r="AL1683" s="924">
        <v>21</v>
      </c>
      <c r="AM1683" s="924">
        <v>21</v>
      </c>
      <c r="AN1683" s="924">
        <v>17.025975086272194</v>
      </c>
      <c r="AO1683" s="924">
        <v>16.032792694217651</v>
      </c>
      <c r="AP1683" s="924">
        <v>15.039610302163117</v>
      </c>
      <c r="AQ1683" s="924">
        <v>14.046427910108576</v>
      </c>
      <c r="AR1683" s="924">
        <v>13.053245518054036</v>
      </c>
      <c r="AS1683" s="924">
        <v>12.060063125999495</v>
      </c>
      <c r="AT1683" s="924">
        <v>11.066880733944954</v>
      </c>
      <c r="AU1683" s="924">
        <v>10.073698341890413</v>
      </c>
      <c r="AV1683" s="924">
        <f t="shared" ca="1" si="128"/>
        <v>10.073698341890413</v>
      </c>
      <c r="AX1683" s="88" t="str">
        <f t="shared" ca="1" si="126"/>
        <v>RRC</v>
      </c>
    </row>
    <row r="1684" spans="1:65" x14ac:dyDescent="0.3">
      <c r="A1684" s="88" t="str">
        <f t="shared" ca="1" si="127"/>
        <v>XYZ</v>
      </c>
      <c r="F1684" s="924">
        <v>11.512471655328799</v>
      </c>
      <c r="G1684" s="924">
        <v>12.455782312925169</v>
      </c>
      <c r="H1684" s="924">
        <v>13.399092970521542</v>
      </c>
      <c r="I1684" s="924">
        <v>14.342403628117914</v>
      </c>
      <c r="J1684" s="924">
        <v>15.285714285714285</v>
      </c>
      <c r="K1684" s="924">
        <v>16.229024943310659</v>
      </c>
      <c r="L1684" s="924">
        <v>17.172335600907029</v>
      </c>
      <c r="M1684" s="924">
        <v>18.115646258503403</v>
      </c>
      <c r="N1684" s="924">
        <v>19.058956916099774</v>
      </c>
      <c r="O1684" s="924">
        <v>20.002267573696145</v>
      </c>
      <c r="P1684" s="924">
        <v>21</v>
      </c>
      <c r="Q1684" s="924">
        <v>21</v>
      </c>
      <c r="R1684" s="924">
        <v>21</v>
      </c>
      <c r="S1684" s="924">
        <v>21</v>
      </c>
      <c r="T1684" s="924">
        <v>21</v>
      </c>
      <c r="U1684" s="924">
        <v>21</v>
      </c>
      <c r="V1684" s="924">
        <v>21</v>
      </c>
      <c r="W1684" s="924">
        <v>21</v>
      </c>
      <c r="X1684" s="924">
        <v>21</v>
      </c>
      <c r="Y1684" s="924">
        <v>21</v>
      </c>
      <c r="Z1684" s="924">
        <f t="shared" ca="1" si="129"/>
        <v>21</v>
      </c>
      <c r="AB1684" s="924">
        <v>12.169233618790798</v>
      </c>
      <c r="AC1684" s="924">
        <v>12.184454602324321</v>
      </c>
      <c r="AD1684" s="924">
        <v>12.208496865468277</v>
      </c>
      <c r="AE1684" s="924">
        <v>11.236768460738073</v>
      </c>
      <c r="AF1684" s="924">
        <v>10.258358361313155</v>
      </c>
      <c r="AG1684" s="924">
        <v>9.2832891092355929</v>
      </c>
      <c r="AH1684" s="924">
        <v>10.258358361313155</v>
      </c>
      <c r="AI1684" s="924">
        <v>10.258358361313155</v>
      </c>
      <c r="AJ1684" s="924">
        <v>10.258358361313155</v>
      </c>
      <c r="AK1684" s="924">
        <v>10.258358361313155</v>
      </c>
      <c r="AL1684" s="924">
        <v>8.3065153173179116</v>
      </c>
      <c r="AM1684" s="924">
        <v>8.314395448212851</v>
      </c>
      <c r="AN1684" s="924">
        <v>8.3918170827188039</v>
      </c>
      <c r="AO1684" s="924">
        <v>7.3692494615374455</v>
      </c>
      <c r="AP1684" s="924">
        <v>6.72425072130061</v>
      </c>
      <c r="AQ1684" s="924">
        <v>5.9079241906883659</v>
      </c>
      <c r="AR1684" s="924">
        <v>5.0915976600761201</v>
      </c>
      <c r="AS1684" s="924">
        <v>5.2494420478312218</v>
      </c>
      <c r="AT1684" s="924">
        <v>5.4072864355863244</v>
      </c>
      <c r="AU1684" s="924">
        <v>5.5683269658245766</v>
      </c>
      <c r="AV1684" s="924">
        <f t="shared" ca="1" si="128"/>
        <v>5.5683269658245766</v>
      </c>
      <c r="AX1684" s="88" t="str">
        <f t="shared" ca="1" si="126"/>
        <v>XYZ</v>
      </c>
    </row>
    <row r="1685" spans="1:65" x14ac:dyDescent="0.3">
      <c r="A1685" s="88" t="str">
        <f t="shared" ca="1" si="127"/>
        <v>THC</v>
      </c>
      <c r="F1685" s="924">
        <v>13.355077107095562</v>
      </c>
      <c r="G1685" s="924">
        <v>13.413516168994832</v>
      </c>
      <c r="H1685" s="924">
        <v>13.452854884873341</v>
      </c>
      <c r="I1685" s="924">
        <v>12.61285488487334</v>
      </c>
      <c r="J1685" s="924">
        <v>11.77285488487334</v>
      </c>
      <c r="K1685" s="924">
        <v>10.93285488487334</v>
      </c>
      <c r="L1685" s="924">
        <v>11.77285488487334</v>
      </c>
      <c r="M1685" s="924">
        <v>11.77285488487334</v>
      </c>
      <c r="N1685" s="924">
        <v>11.77285488487334</v>
      </c>
      <c r="O1685" s="924">
        <v>11.77285488487334</v>
      </c>
      <c r="P1685" s="924">
        <v>9.7893838104931739</v>
      </c>
      <c r="Q1685" s="924">
        <v>9.7941880656906335</v>
      </c>
      <c r="R1685" s="924">
        <v>9.7989923208880949</v>
      </c>
      <c r="S1685" s="924">
        <v>8.807256783698012</v>
      </c>
      <c r="T1685" s="924">
        <v>9.7989923208880949</v>
      </c>
      <c r="U1685" s="924">
        <v>9.7989923208880949</v>
      </c>
      <c r="V1685" s="924">
        <v>9.7989923208880931</v>
      </c>
      <c r="W1685" s="924">
        <v>10.490350345579452</v>
      </c>
      <c r="X1685" s="924">
        <v>11.18170837027081</v>
      </c>
      <c r="Y1685" s="924">
        <v>12.01215819726043</v>
      </c>
      <c r="Z1685" s="924">
        <f t="shared" ca="1" si="129"/>
        <v>12.01215819726043</v>
      </c>
      <c r="AB1685" s="924">
        <v>2.3457440537112615</v>
      </c>
      <c r="AC1685" s="924">
        <v>2.3230764848540679</v>
      </c>
      <c r="AD1685" s="924">
        <v>4.2871208120842859</v>
      </c>
      <c r="AE1685" s="924">
        <v>5.2597097336228149</v>
      </c>
      <c r="AF1685" s="924">
        <v>6.232298655161344</v>
      </c>
      <c r="AG1685" s="924">
        <v>7.2048875766998721</v>
      </c>
      <c r="AH1685" s="924">
        <v>6.1893108177650289</v>
      </c>
      <c r="AI1685" s="924">
        <v>6.1678168990668718</v>
      </c>
      <c r="AJ1685" s="924">
        <v>6.1463229803687147</v>
      </c>
      <c r="AK1685" s="924">
        <v>6.1248290616705576</v>
      </c>
      <c r="AL1685" s="924">
        <v>6.1280708349891633</v>
      </c>
      <c r="AM1685" s="924">
        <v>5.1339879947524762</v>
      </c>
      <c r="AN1685" s="924">
        <v>4.5511488026885996</v>
      </c>
      <c r="AO1685" s="924">
        <v>4.6867155494964372</v>
      </c>
      <c r="AP1685" s="924">
        <v>4.822282296304274</v>
      </c>
      <c r="AQ1685" s="924">
        <v>4.7518522914702777</v>
      </c>
      <c r="AR1685" s="924">
        <v>4.779506612457932</v>
      </c>
      <c r="AS1685" s="924">
        <v>4.8071609334455863</v>
      </c>
      <c r="AT1685" s="924">
        <v>4.8348152544332406</v>
      </c>
      <c r="AU1685" s="924">
        <v>4.8624695754208949</v>
      </c>
      <c r="AV1685" s="924">
        <f t="shared" ca="1" si="128"/>
        <v>4.8624695754208949</v>
      </c>
      <c r="AX1685" s="88" t="str">
        <f t="shared" ref="AX1685:AX1689" ca="1" si="130">A1685</f>
        <v>THC</v>
      </c>
    </row>
    <row r="1686" spans="1:65" x14ac:dyDescent="0.3">
      <c r="A1686" s="88" t="str">
        <f t="shared" ca="1" si="127"/>
        <v>X</v>
      </c>
      <c r="F1686" s="924">
        <v>2.5351813928185645</v>
      </c>
      <c r="G1686" s="924">
        <v>2.5113130219408015</v>
      </c>
      <c r="H1686" s="924">
        <v>4.4546236795371739</v>
      </c>
      <c r="I1686" s="924">
        <v>5.3979343371335453</v>
      </c>
      <c r="J1686" s="924">
        <v>6.3412449947299177</v>
      </c>
      <c r="K1686" s="924">
        <v>7.2845556523262891</v>
      </c>
      <c r="L1686" s="924">
        <v>6.2278663099226614</v>
      </c>
      <c r="M1686" s="924">
        <v>6.1711769675190329</v>
      </c>
      <c r="N1686" s="924">
        <v>6.1144876251154052</v>
      </c>
      <c r="O1686" s="924">
        <v>6.0577982827117767</v>
      </c>
      <c r="P1686" s="924">
        <v>6.0543380750993201</v>
      </c>
      <c r="Q1686" s="924">
        <v>5.054338075099321</v>
      </c>
      <c r="R1686" s="924">
        <v>4.054338075099321</v>
      </c>
      <c r="S1686" s="924">
        <v>4.0419923960869752</v>
      </c>
      <c r="T1686" s="924">
        <v>6.0296467170746295</v>
      </c>
      <c r="U1686" s="924">
        <v>7.0173010380622838</v>
      </c>
      <c r="V1686" s="924">
        <v>8.0138408304498263</v>
      </c>
      <c r="W1686" s="924">
        <v>9.0103806228373706</v>
      </c>
      <c r="X1686" s="924">
        <v>10.006920415224913</v>
      </c>
      <c r="Y1686" s="924">
        <v>11.003460207612456</v>
      </c>
      <c r="Z1686" s="924">
        <f t="shared" ca="1" si="129"/>
        <v>11.003460207612456</v>
      </c>
      <c r="AB1686" s="924">
        <v>19.013635215890918</v>
      </c>
      <c r="AC1686" s="924">
        <v>19.013635215890918</v>
      </c>
      <c r="AD1686" s="924">
        <v>19.013635215890918</v>
      </c>
      <c r="AE1686" s="924">
        <v>19.013635215890918</v>
      </c>
      <c r="AF1686" s="924">
        <v>17.017843615857249</v>
      </c>
      <c r="AG1686" s="924">
        <v>16.019947815840414</v>
      </c>
      <c r="AH1686" s="924">
        <v>15.023794029080392</v>
      </c>
      <c r="AI1686" s="924">
        <v>14.026769235691962</v>
      </c>
      <c r="AJ1686" s="924">
        <v>13.029744442303532</v>
      </c>
      <c r="AK1686" s="924">
        <v>12.032719648915101</v>
      </c>
      <c r="AL1686" s="924">
        <v>12.028877247581212</v>
      </c>
      <c r="AM1686" s="924">
        <v>11.031852454192782</v>
      </c>
      <c r="AN1686" s="924">
        <v>10.032971510288146</v>
      </c>
      <c r="AO1686" s="924">
        <v>10.028510392115521</v>
      </c>
      <c r="AP1686" s="924">
        <v>9.9150427912315759</v>
      </c>
      <c r="AQ1686" s="924">
        <v>9.3594872356760206</v>
      </c>
      <c r="AR1686" s="924">
        <v>8.8039316801204635</v>
      </c>
      <c r="AS1686" s="924">
        <v>8.2483761245649081</v>
      </c>
      <c r="AT1686" s="924">
        <v>7.6928205690093527</v>
      </c>
      <c r="AU1686" s="924">
        <v>7.1372650134537974</v>
      </c>
      <c r="AV1686" s="924">
        <f t="shared" ca="1" si="128"/>
        <v>7.1372650134537974</v>
      </c>
      <c r="AX1686" s="88" t="str">
        <f t="shared" ca="1" si="130"/>
        <v>X</v>
      </c>
    </row>
    <row r="1687" spans="1:65" x14ac:dyDescent="0.3">
      <c r="A1687" s="88" t="str">
        <f t="shared" ca="1" si="127"/>
        <v>LOCK</v>
      </c>
      <c r="F1687" s="924">
        <v>19.005917159763314</v>
      </c>
      <c r="G1687" s="924">
        <v>19.005917159763314</v>
      </c>
      <c r="H1687" s="924">
        <v>19.005917159763314</v>
      </c>
      <c r="I1687" s="924">
        <v>19.005917159763314</v>
      </c>
      <c r="J1687" s="924">
        <v>17.228139381985535</v>
      </c>
      <c r="K1687" s="924">
        <v>16.339250493096646</v>
      </c>
      <c r="L1687" s="924">
        <v>15.252830740010225</v>
      </c>
      <c r="M1687" s="924">
        <v>14.26517641902257</v>
      </c>
      <c r="N1687" s="924">
        <v>13.277522098034915</v>
      </c>
      <c r="O1687" s="924">
        <v>12.28986777704726</v>
      </c>
      <c r="P1687" s="924">
        <v>12.302213456059604</v>
      </c>
      <c r="Q1687" s="924">
        <v>11.314559135071949</v>
      </c>
      <c r="R1687" s="924">
        <v>10.326904814084294</v>
      </c>
      <c r="S1687" s="924">
        <v>10.333333333333325</v>
      </c>
      <c r="T1687" s="924">
        <v>11.32098765432098</v>
      </c>
      <c r="U1687" s="924">
        <v>11.32098765432098</v>
      </c>
      <c r="V1687" s="924">
        <v>11.320987654320989</v>
      </c>
      <c r="W1687" s="924">
        <v>11.320987654320989</v>
      </c>
      <c r="X1687" s="924">
        <v>11.320987654320989</v>
      </c>
      <c r="Y1687" s="924">
        <v>11.320987654320989</v>
      </c>
      <c r="Z1687" s="924">
        <f t="shared" ca="1" si="129"/>
        <v>11.320987654320989</v>
      </c>
      <c r="AB1687" s="924">
        <v>4.0038932361838633</v>
      </c>
      <c r="AC1687" s="924">
        <v>4.004097317816516</v>
      </c>
      <c r="AD1687" s="924">
        <v>6.0038932361838633</v>
      </c>
      <c r="AE1687" s="924">
        <v>7.0038932361838633</v>
      </c>
      <c r="AF1687" s="924">
        <v>6.0043013994491687</v>
      </c>
      <c r="AG1687" s="924">
        <v>6.0045054810818215</v>
      </c>
      <c r="AH1687" s="924">
        <v>8.0043013994491687</v>
      </c>
      <c r="AI1687" s="924">
        <v>9.0043013994491687</v>
      </c>
      <c r="AJ1687" s="924">
        <v>8.0047095627144742</v>
      </c>
      <c r="AK1687" s="924">
        <v>8.0061381341430469</v>
      </c>
      <c r="AL1687" s="924">
        <v>8.0037887716548202</v>
      </c>
      <c r="AM1687" s="924">
        <v>7.0033229572559836</v>
      </c>
      <c r="AN1687" s="924">
        <v>9.0033229572559836</v>
      </c>
      <c r="AO1687" s="924">
        <v>9.0033229572559819</v>
      </c>
      <c r="AP1687" s="924">
        <v>7.4165460977518514</v>
      </c>
      <c r="AQ1687" s="924">
        <v>7.6229535863671316</v>
      </c>
      <c r="AR1687" s="924">
        <v>7.8293610749824127</v>
      </c>
      <c r="AS1687" s="924">
        <v>8.0357685635976939</v>
      </c>
      <c r="AT1687" s="924">
        <v>8.2421760522129759</v>
      </c>
      <c r="AU1687" s="924">
        <v>8.4485835408282579</v>
      </c>
      <c r="AV1687" s="924">
        <f t="shared" ca="1" si="128"/>
        <v>8.4485835408282579</v>
      </c>
      <c r="AX1687" s="88" t="str">
        <f t="shared" ca="1" si="130"/>
        <v>LOCK</v>
      </c>
    </row>
    <row r="1688" spans="1:65" ht="23" customHeight="1" x14ac:dyDescent="0.3">
      <c r="A1688" s="88" t="str">
        <f t="shared" ca="1" si="127"/>
        <v>JBASML</v>
      </c>
      <c r="F1688" s="924">
        <v>14.610637119113575</v>
      </c>
      <c r="G1688" s="924">
        <v>13.835013850415514</v>
      </c>
      <c r="H1688" s="924">
        <v>14.610637119113575</v>
      </c>
      <c r="I1688" s="924">
        <v>14.610637119113575</v>
      </c>
      <c r="J1688" s="924">
        <v>12.795892317601288</v>
      </c>
      <c r="K1688" s="924">
        <v>11.888519916845144</v>
      </c>
      <c r="L1688" s="924">
        <v>12.795892317601288</v>
      </c>
      <c r="M1688" s="924">
        <v>12.79589231760129</v>
      </c>
      <c r="N1688" s="924">
        <v>10.944652648179801</v>
      </c>
      <c r="O1688" s="924">
        <v>9.9258280384461024</v>
      </c>
      <c r="P1688" s="924">
        <v>9.9380502606683212</v>
      </c>
      <c r="Q1688" s="924">
        <v>8.8980502606683203</v>
      </c>
      <c r="R1688" s="924">
        <v>7.8980502606683194</v>
      </c>
      <c r="S1688" s="924">
        <v>8.8980502606683203</v>
      </c>
      <c r="T1688" s="924">
        <v>8.8980502606683203</v>
      </c>
      <c r="U1688" s="924">
        <v>9.6736735293663809</v>
      </c>
      <c r="V1688" s="924">
        <v>10.449296798064442</v>
      </c>
      <c r="W1688" s="924">
        <v>11.224920066762504</v>
      </c>
      <c r="X1688" s="924">
        <v>12.000543335460565</v>
      </c>
      <c r="Y1688" s="924">
        <v>12.776166604158625</v>
      </c>
      <c r="Z1688" s="924">
        <f t="shared" ca="1" si="129"/>
        <v>12.776166604158625</v>
      </c>
      <c r="AB1688" s="924">
        <v>9.0848616756461809</v>
      </c>
      <c r="AC1688" s="924">
        <v>8.09167928359164</v>
      </c>
      <c r="AD1688" s="924">
        <v>7.0984968915370983</v>
      </c>
      <c r="AE1688" s="924">
        <v>6.1053144994825574</v>
      </c>
      <c r="AF1688" s="924">
        <v>5.1121321074280166</v>
      </c>
      <c r="AG1688" s="924">
        <v>4.1189497153734758</v>
      </c>
      <c r="AH1688" s="924">
        <v>3.1257673233189354</v>
      </c>
      <c r="AI1688" s="924">
        <v>2.1325849312643945</v>
      </c>
      <c r="AJ1688" s="924">
        <v>1.1394025392098537</v>
      </c>
      <c r="AK1688" s="924">
        <v>0.14622014715531217</v>
      </c>
      <c r="AL1688" s="924">
        <v>0.14316976685464172</v>
      </c>
      <c r="AM1688" s="924">
        <v>0.14316976685464172</v>
      </c>
      <c r="AN1688" s="924">
        <v>0.16222245228996543</v>
      </c>
      <c r="AO1688" s="924">
        <v>0.16857334743507332</v>
      </c>
      <c r="AP1688" s="924">
        <v>0.37080945862126952</v>
      </c>
      <c r="AQ1688" s="924">
        <v>0.2841307395646992</v>
      </c>
      <c r="AR1688" s="924">
        <v>0.29293813161924009</v>
      </c>
      <c r="AS1688" s="924">
        <v>0.30174552367378094</v>
      </c>
      <c r="AT1688" s="924">
        <v>0.31055291572832178</v>
      </c>
      <c r="AU1688" s="924">
        <v>0.31936030778286267</v>
      </c>
      <c r="AV1688" s="924">
        <f t="shared" ca="1" si="128"/>
        <v>0.31936030778286267</v>
      </c>
      <c r="AX1688" s="88" t="str">
        <f t="shared" ca="1" si="130"/>
        <v>JBASML</v>
      </c>
    </row>
    <row r="1689" spans="1:65" ht="23" customHeight="1" x14ac:dyDescent="0.3">
      <c r="A1689" s="88" t="str">
        <f t="shared" ca="1" si="127"/>
        <v>JBEOAN</v>
      </c>
      <c r="F1689" s="924">
        <v>5.6689342403628135E-2</v>
      </c>
      <c r="G1689" s="924">
        <v>5.6689342403628135E-2</v>
      </c>
      <c r="H1689" s="924">
        <v>5.6689342403628135E-2</v>
      </c>
      <c r="I1689" s="924">
        <v>5.6689342403628135E-2</v>
      </c>
      <c r="J1689" s="924">
        <v>5.6689342403628135E-2</v>
      </c>
      <c r="K1689" s="924">
        <v>5.6689342403628135E-2</v>
      </c>
      <c r="L1689" s="924">
        <v>5.6689342403628135E-2</v>
      </c>
      <c r="M1689" s="924">
        <v>5.6689342403628135E-2</v>
      </c>
      <c r="N1689" s="924">
        <v>5.6689342403628135E-2</v>
      </c>
      <c r="O1689" s="924">
        <v>5.6689342403628135E-2</v>
      </c>
      <c r="P1689" s="924">
        <v>0</v>
      </c>
      <c r="Q1689" s="924">
        <v>0</v>
      </c>
      <c r="R1689" s="924">
        <v>0</v>
      </c>
      <c r="S1689" s="924">
        <v>0</v>
      </c>
      <c r="T1689" s="924">
        <v>0</v>
      </c>
      <c r="U1689" s="924">
        <v>0</v>
      </c>
      <c r="V1689" s="924">
        <v>0</v>
      </c>
      <c r="W1689" s="924">
        <v>0</v>
      </c>
      <c r="X1689" s="924">
        <v>0</v>
      </c>
      <c r="Y1689" s="924">
        <v>0</v>
      </c>
      <c r="Z1689" s="924">
        <f t="shared" ca="1" si="129"/>
        <v>0</v>
      </c>
      <c r="AB1689" s="924">
        <v>12.321535403076956</v>
      </c>
      <c r="AC1689" s="924">
        <v>11.360179569926251</v>
      </c>
      <c r="AD1689" s="924">
        <v>12.321535403076956</v>
      </c>
      <c r="AE1689" s="924">
        <v>12.321535403076956</v>
      </c>
      <c r="AF1689" s="924">
        <v>12.321535403076956</v>
      </c>
      <c r="AG1689" s="924">
        <v>12.321535403076957</v>
      </c>
      <c r="AH1689" s="924">
        <v>12.321535403076957</v>
      </c>
      <c r="AI1689" s="924">
        <v>12.321535403076957</v>
      </c>
      <c r="AJ1689" s="924">
        <v>12.321535403076957</v>
      </c>
      <c r="AK1689" s="924">
        <v>10.401535403076956</v>
      </c>
      <c r="AL1689" s="924">
        <v>9.4560533614890545</v>
      </c>
      <c r="AM1689" s="924">
        <v>8.5033123406951034</v>
      </c>
      <c r="AN1689" s="924">
        <v>10.408794382283007</v>
      </c>
      <c r="AO1689" s="924">
        <v>11.380067005092545</v>
      </c>
      <c r="AP1689" s="924">
        <v>10.351339627902082</v>
      </c>
      <c r="AQ1689" s="924">
        <v>10.31912398030182</v>
      </c>
      <c r="AR1689" s="924">
        <v>10.280479813452523</v>
      </c>
      <c r="AS1689" s="924">
        <v>12.241835646603228</v>
      </c>
      <c r="AT1689" s="924">
        <v>13.203191479753933</v>
      </c>
      <c r="AU1689" s="924">
        <v>14.164547312904638</v>
      </c>
      <c r="AV1689" s="924">
        <f t="shared" ca="1" si="128"/>
        <v>14.164547312904638</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0.96840000000000004</v>
      </c>
      <c r="AX1695">
        <f ca="1">Z704*100</f>
        <v>0.96840000000000004</v>
      </c>
      <c r="AY1695">
        <f>AA698*100</f>
        <v>0</v>
      </c>
      <c r="AZ1695">
        <f t="shared" ref="AZ1695:BM1695" si="131">AB704*100</f>
        <v>1500</v>
      </c>
      <c r="BA1695">
        <f t="shared" si="131"/>
        <v>1500</v>
      </c>
      <c r="BB1695">
        <f t="shared" si="131"/>
        <v>1800</v>
      </c>
      <c r="BC1695">
        <f t="shared" si="131"/>
        <v>1500</v>
      </c>
      <c r="BD1695">
        <f t="shared" si="131"/>
        <v>100</v>
      </c>
      <c r="BE1695">
        <f t="shared" si="131"/>
        <v>100</v>
      </c>
      <c r="BF1695">
        <f t="shared" si="131"/>
        <v>300</v>
      </c>
      <c r="BG1695">
        <f t="shared" si="131"/>
        <v>300</v>
      </c>
      <c r="BH1695">
        <f t="shared" si="131"/>
        <v>300</v>
      </c>
      <c r="BI1695">
        <f t="shared" si="131"/>
        <v>100</v>
      </c>
      <c r="BJ1695">
        <f t="shared" si="131"/>
        <v>100</v>
      </c>
      <c r="BK1695">
        <f t="shared" si="131"/>
        <v>100</v>
      </c>
      <c r="BL1695">
        <f t="shared" si="131"/>
        <v>100</v>
      </c>
      <c r="BM1695">
        <f t="shared" si="131"/>
        <v>200</v>
      </c>
    </row>
    <row r="1696" spans="1:65" x14ac:dyDescent="0.3">
      <c r="D1696" s="1" t="s">
        <v>2298</v>
      </c>
      <c r="E1696" s="169" t="s">
        <v>2447</v>
      </c>
      <c r="AU1696" s="92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2">
        <f>MEDIAN(W1703:Z1703)</f>
        <v>2</v>
      </c>
      <c r="AD1697" s="983"/>
      <c r="AE1697" s="984"/>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03" t="e">
        <f>W1497</f>
        <v>#N/A</v>
      </c>
      <c r="G1702" s="903" t="e">
        <f>X1497</f>
        <v>#N/A</v>
      </c>
      <c r="H1702" s="903" t="e">
        <f>Y1497</f>
        <v>#N/A</v>
      </c>
      <c r="I1702" s="903" t="e">
        <f ca="1">Z1497</f>
        <v>#N/A</v>
      </c>
      <c r="J1702" s="903">
        <f>AA1490</f>
        <v>0</v>
      </c>
      <c r="K1702" s="903" t="str">
        <f t="shared" ref="K1702:AA1702" si="133">AB1496</f>
        <v>Rev_GL0</v>
      </c>
      <c r="L1702" s="903" t="str">
        <f t="shared" si="133"/>
        <v>Rev_GL1</v>
      </c>
      <c r="M1702" s="903" t="str">
        <f t="shared" si="133"/>
        <v>Rev_GL2</v>
      </c>
      <c r="N1702" s="903" t="str">
        <f t="shared" si="133"/>
        <v>Rev_GL3</v>
      </c>
      <c r="O1702" s="903" t="str">
        <f t="shared" si="133"/>
        <v>Rev_GL4</v>
      </c>
      <c r="P1702" s="903" t="str">
        <f t="shared" si="133"/>
        <v>Rev_GL5</v>
      </c>
      <c r="Q1702" s="903" t="str">
        <f t="shared" si="133"/>
        <v>Rev_GL6</v>
      </c>
      <c r="R1702" s="903" t="str">
        <f t="shared" si="133"/>
        <v>Rev_GL7</v>
      </c>
      <c r="S1702" s="903" t="str">
        <f t="shared" si="133"/>
        <v>Rev_GL8</v>
      </c>
      <c r="T1702" s="903" t="str">
        <f t="shared" si="133"/>
        <v>Rev_GL9</v>
      </c>
      <c r="U1702" s="903" t="str">
        <f t="shared" si="133"/>
        <v>Rev_GL10</v>
      </c>
      <c r="V1702" s="903" t="str">
        <f t="shared" si="133"/>
        <v>Rev_GL11</v>
      </c>
      <c r="W1702" s="903" t="str">
        <f t="shared" si="133"/>
        <v>Rev_GL12</v>
      </c>
      <c r="X1702" s="903" t="str">
        <f t="shared" si="133"/>
        <v>Rev_GL13</v>
      </c>
      <c r="Y1702" s="903" t="str">
        <f t="shared" si="133"/>
        <v>Rev_GL14</v>
      </c>
      <c r="Z1702" s="903" t="str">
        <f t="shared" si="133"/>
        <v>Rev_GL15</v>
      </c>
      <c r="AA1702" s="903" t="str">
        <f t="shared" si="133"/>
        <v>Rev_GL16</v>
      </c>
      <c r="AB1702" s="903"/>
      <c r="AC1702" s="903"/>
      <c r="AD1702" s="903"/>
      <c r="AE1702" s="903"/>
      <c r="AF1702" s="903"/>
      <c r="AG1702" s="903"/>
      <c r="AH1702" s="903"/>
      <c r="AI1702" s="903"/>
      <c r="AJ1702" s="903"/>
      <c r="AK1702" s="903"/>
      <c r="AL1702" s="903"/>
      <c r="AM1702" s="903"/>
      <c r="AN1702" s="903"/>
      <c r="AO1702" s="903"/>
      <c r="AP1702" s="903"/>
      <c r="AQ1702" s="903"/>
      <c r="AR1702" s="903"/>
      <c r="AS1702" s="903"/>
      <c r="AX1702" s="88"/>
    </row>
    <row r="1703" spans="1:51" x14ac:dyDescent="0.3">
      <c r="B1703" t="s">
        <v>945</v>
      </c>
      <c r="C1703"/>
      <c r="D1703" s="686">
        <v>8881660.9382452965</v>
      </c>
      <c r="E1703" s="90">
        <v>0.4395301475998396</v>
      </c>
      <c r="F1703" s="985">
        <f>W704</f>
        <v>-1.9780000000000002E-3</v>
      </c>
      <c r="G1703" s="985">
        <f>X704</f>
        <v>-7.4779999999999999E-5</v>
      </c>
      <c r="H1703" s="985">
        <f>Y704</f>
        <v>9.6839999999999999E-3</v>
      </c>
      <c r="I1703" s="985">
        <f ca="1">Z704</f>
        <v>9.6839999999999999E-3</v>
      </c>
      <c r="J1703" s="985">
        <f>AA698</f>
        <v>0</v>
      </c>
      <c r="K1703" s="985">
        <f t="shared" ref="K1703:AA1703" si="134">AB704</f>
        <v>15</v>
      </c>
      <c r="L1703" s="985">
        <f t="shared" si="134"/>
        <v>15</v>
      </c>
      <c r="M1703" s="985">
        <f t="shared" si="134"/>
        <v>18</v>
      </c>
      <c r="N1703" s="985">
        <f t="shared" si="134"/>
        <v>15</v>
      </c>
      <c r="O1703" s="985">
        <f t="shared" si="134"/>
        <v>1</v>
      </c>
      <c r="P1703" s="985">
        <f t="shared" si="134"/>
        <v>1</v>
      </c>
      <c r="Q1703" s="985">
        <f t="shared" si="134"/>
        <v>3</v>
      </c>
      <c r="R1703" s="985">
        <f t="shared" si="134"/>
        <v>3</v>
      </c>
      <c r="S1703" s="985">
        <f t="shared" si="134"/>
        <v>3</v>
      </c>
      <c r="T1703" s="985">
        <f t="shared" si="134"/>
        <v>1</v>
      </c>
      <c r="U1703" s="985">
        <f t="shared" si="134"/>
        <v>1</v>
      </c>
      <c r="V1703" s="985">
        <f t="shared" si="134"/>
        <v>1</v>
      </c>
      <c r="W1703" s="985">
        <f t="shared" si="134"/>
        <v>1</v>
      </c>
      <c r="X1703" s="985">
        <f t="shared" si="134"/>
        <v>2</v>
      </c>
      <c r="Y1703" s="985">
        <f t="shared" si="134"/>
        <v>2</v>
      </c>
      <c r="Z1703" s="985">
        <f t="shared" si="134"/>
        <v>2</v>
      </c>
      <c r="AA1703" s="985">
        <f t="shared" si="134"/>
        <v>7</v>
      </c>
      <c r="AB1703" s="985">
        <v>21.991662999999999</v>
      </c>
      <c r="AC1703" s="985">
        <v>22.991662999999999</v>
      </c>
      <c r="AD1703" s="985">
        <v>23.991662999999999</v>
      </c>
      <c r="AE1703" s="985">
        <v>24.991662999999999</v>
      </c>
      <c r="AF1703" s="985">
        <v>25.991662999999999</v>
      </c>
      <c r="AG1703" s="985">
        <v>26.991662999999999</v>
      </c>
      <c r="AH1703" s="985">
        <v>27.991662999999999</v>
      </c>
      <c r="AI1703" s="985">
        <v>28.991662999999999</v>
      </c>
      <c r="AJ1703" s="985">
        <v>29.991662999999999</v>
      </c>
      <c r="AK1703" s="985">
        <v>30.991662999999999</v>
      </c>
      <c r="AL1703" s="985">
        <v>31.991662999999999</v>
      </c>
      <c r="AM1703" s="985">
        <v>32.991663000000003</v>
      </c>
      <c r="AN1703" s="985">
        <v>33.991663000000003</v>
      </c>
      <c r="AO1703" s="985">
        <v>34.991663000000003</v>
      </c>
      <c r="AP1703" s="985">
        <v>35.991663000000003</v>
      </c>
      <c r="AQ1703" s="985">
        <v>36.991663000000003</v>
      </c>
      <c r="AR1703" s="985">
        <v>37.991663000000003</v>
      </c>
      <c r="AS1703" s="985">
        <v>38.991663000000003</v>
      </c>
      <c r="AT1703">
        <f>V704*100</f>
        <v>-0.65720000000000001</v>
      </c>
      <c r="AU1703">
        <f>W704*100</f>
        <v>-0.1978</v>
      </c>
      <c r="AV1703">
        <f>X704*100</f>
        <v>-7.4780000000000003E-3</v>
      </c>
      <c r="AX1703" s="88"/>
    </row>
    <row r="1704" spans="1:51" x14ac:dyDescent="0.3">
      <c r="B1704" s="654" t="s">
        <v>1905</v>
      </c>
      <c r="C1704"/>
      <c r="D1704" s="1095">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24"/>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24"/>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24"/>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24"/>
    </row>
    <row r="1709" spans="1:51" x14ac:dyDescent="0.3">
      <c r="B1709" s="1" t="s">
        <v>2453</v>
      </c>
      <c r="C1709" s="169" t="s">
        <v>2454</v>
      </c>
      <c r="E1709" s="719"/>
      <c r="J1709"/>
      <c r="K1709"/>
      <c r="AB1709" s="666" t="s">
        <v>2490</v>
      </c>
      <c r="AU1709" s="924"/>
    </row>
    <row r="1710" spans="1:51" ht="23" thickBot="1" x14ac:dyDescent="0.35">
      <c r="B1710" s="1" t="s">
        <v>691</v>
      </c>
      <c r="C1710" t="s">
        <v>2456</v>
      </c>
      <c r="E1710" s="93"/>
      <c r="F1710" s="62">
        <f t="shared" ref="F1710:Z1710" ca="1" si="137">F1396</f>
        <v>45952</v>
      </c>
      <c r="G1710" s="62">
        <f t="shared" ca="1" si="137"/>
        <v>45953</v>
      </c>
      <c r="H1710" s="62">
        <f t="shared" ca="1" si="137"/>
        <v>45954</v>
      </c>
      <c r="I1710" s="62">
        <f t="shared" ca="1" si="137"/>
        <v>45957</v>
      </c>
      <c r="J1710" s="62">
        <f t="shared" ca="1" si="137"/>
        <v>45958</v>
      </c>
      <c r="K1710" s="62">
        <f t="shared" ca="1" si="137"/>
        <v>45959</v>
      </c>
      <c r="L1710" s="62">
        <f t="shared" ca="1" si="137"/>
        <v>45960</v>
      </c>
      <c r="M1710" s="62">
        <f t="shared" ca="1" si="137"/>
        <v>45961</v>
      </c>
      <c r="N1710" s="62">
        <f t="shared" ca="1" si="137"/>
        <v>45964</v>
      </c>
      <c r="O1710" s="62">
        <f t="shared" ca="1" si="137"/>
        <v>45965</v>
      </c>
      <c r="P1710" s="62">
        <f t="shared" ca="1" si="137"/>
        <v>45966</v>
      </c>
      <c r="Q1710" s="62">
        <f t="shared" ca="1" si="137"/>
        <v>45967</v>
      </c>
      <c r="R1710" s="62">
        <f t="shared" ca="1" si="137"/>
        <v>45968</v>
      </c>
      <c r="S1710" s="62">
        <f t="shared" ca="1" si="137"/>
        <v>45971</v>
      </c>
      <c r="T1710" s="62">
        <f t="shared" ca="1" si="137"/>
        <v>45972</v>
      </c>
      <c r="U1710" s="62">
        <f t="shared" ca="1" si="137"/>
        <v>45973</v>
      </c>
      <c r="V1710" s="62">
        <f t="shared" ca="1" si="137"/>
        <v>45974</v>
      </c>
      <c r="W1710" s="62">
        <f t="shared" ca="1" si="137"/>
        <v>45975</v>
      </c>
      <c r="X1710" s="62">
        <f t="shared" ca="1" si="137"/>
        <v>45978</v>
      </c>
      <c r="Y1710" s="62">
        <f t="shared" ca="1" si="137"/>
        <v>45979</v>
      </c>
      <c r="Z1710" s="62">
        <f t="shared" ca="1" si="137"/>
        <v>45980</v>
      </c>
      <c r="AU1710" s="924"/>
      <c r="AV1710" s="1" t="s">
        <v>2320</v>
      </c>
    </row>
    <row r="1711" spans="1:51" ht="23" thickBot="1" x14ac:dyDescent="0.35">
      <c r="A1711" s="704" t="s">
        <v>1461</v>
      </c>
      <c r="B1711" s="1358"/>
      <c r="C1711" s="1154"/>
      <c r="D1711" s="1154" t="s">
        <v>2220</v>
      </c>
      <c r="E1711" s="1359"/>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24" t="s">
        <v>2238</v>
      </c>
      <c r="AV1711" s="1539" t="s">
        <v>2237</v>
      </c>
    </row>
    <row r="1712" spans="1:51" ht="23" thickBot="1" x14ac:dyDescent="0.35">
      <c r="A1712">
        <v>1</v>
      </c>
      <c r="B1712" s="317" t="s">
        <v>1835</v>
      </c>
      <c r="C1712" s="1356">
        <f ca="1">Calc!BB103</f>
        <v>-18101764.431799993</v>
      </c>
      <c r="D1712" s="1357" t="s">
        <v>2284</v>
      </c>
      <c r="E1712" s="93"/>
      <c r="F1712" s="719">
        <v>27228748.919999994</v>
      </c>
      <c r="G1712" s="719">
        <v>27305380.827499993</v>
      </c>
      <c r="H1712" s="719">
        <v>26957816.880000003</v>
      </c>
      <c r="I1712" s="719">
        <v>27000558.569999997</v>
      </c>
      <c r="J1712" s="719">
        <v>27827152.870000001</v>
      </c>
      <c r="K1712" s="719">
        <v>27433901.329999998</v>
      </c>
      <c r="L1712" s="719">
        <v>29011270.359999992</v>
      </c>
      <c r="M1712" s="719">
        <v>29011105.359999992</v>
      </c>
      <c r="N1712" s="719">
        <v>29498781.279999997</v>
      </c>
      <c r="O1712" s="719">
        <v>30184125.434999999</v>
      </c>
      <c r="P1712" s="719">
        <v>30257701.180000003</v>
      </c>
      <c r="Q1712" s="719">
        <v>30392684.899999999</v>
      </c>
      <c r="R1712" s="719">
        <v>30241521.030000001</v>
      </c>
      <c r="S1712" s="719">
        <v>30383345.780000005</v>
      </c>
      <c r="T1712" s="719">
        <v>30414171.708000004</v>
      </c>
      <c r="U1712" s="719">
        <v>28544730.019900002</v>
      </c>
      <c r="V1712" s="719">
        <v>28178201.249999996</v>
      </c>
      <c r="W1712" s="719">
        <v>28205287.73</v>
      </c>
      <c r="X1712" s="719">
        <v>28015792.080000002</v>
      </c>
      <c r="Y1712" s="719">
        <v>27966444.900000002</v>
      </c>
      <c r="Z1712" s="719">
        <f ca="1">Calc!BC103</f>
        <v>27966444.900000002</v>
      </c>
      <c r="AB1712" s="93">
        <f ca="1">Tab1SDataShiftSummary[[#This Row],[Summary0]]-Tab1SDataShiftSummary[[#This Row],[Summary20]]</f>
        <v>-737695.9800000079</v>
      </c>
      <c r="AC1712" s="93">
        <f>Tab1SDataShiftSummary[[#This Row],[Summary1]]-Tab1SDataShiftSummary[[#This Row],[Summary0]]</f>
        <v>76631.907499998808</v>
      </c>
      <c r="AD1712" s="93">
        <f>Tab1SDataShiftSummary[[#This Row],[Summary2]]-Tab1SDataShiftSummary[[#This Row],[Summary1]]</f>
        <v>-347563.94749999046</v>
      </c>
      <c r="AE1712" s="93">
        <f>Tab1SDataShiftSummary[[#This Row],[Summary3]]-Tab1SDataShiftSummary[[#This Row],[Summary2]]</f>
        <v>42741.689999993891</v>
      </c>
      <c r="AF1712" s="93">
        <f>Tab1SDataShiftSummary[[#This Row],[Summary4]]-Tab1SDataShiftSummary[[#This Row],[Summary3]]</f>
        <v>826594.30000000447</v>
      </c>
      <c r="AG1712" s="93">
        <f>Tab1SDataShiftSummary[[#This Row],[Summary5]]-Tab1SDataShiftSummary[[#This Row],[Summary4]]</f>
        <v>-393251.54000000283</v>
      </c>
      <c r="AH1712" s="93">
        <f>Tab1SDataShiftSummary[[#This Row],[Summary6]]-Tab1SDataShiftSummary[[#This Row],[Summary5]]</f>
        <v>1577369.0299999937</v>
      </c>
      <c r="AI1712" s="93">
        <f>Tab1SDataShiftSummary[[#This Row],[Summary7]]-Tab1SDataShiftSummary[[#This Row],[Summary6]]</f>
        <v>-165</v>
      </c>
      <c r="AJ1712" s="93">
        <f>Tab1SDataShiftSummary[[#This Row],[Summary8]]-Tab1SDataShiftSummary[[#This Row],[Summary7]]</f>
        <v>487675.92000000551</v>
      </c>
      <c r="AK1712" s="93">
        <f>Tab1SDataShiftSummary[[#This Row],[Summary9]]-Tab1SDataShiftSummary[[#This Row],[Summary8]]</f>
        <v>685344.15500000119</v>
      </c>
      <c r="AL1712" s="93">
        <f>Tab1SDataShiftSummary[[#This Row],[Summary10]]-Tab1SDataShiftSummary[[#This Row],[Summary9]]</f>
        <v>73575.745000004768</v>
      </c>
      <c r="AM1712" s="93">
        <f>Tab1SDataShiftSummary[[#This Row],[Summary11]]-Tab1SDataShiftSummary[[#This Row],[Summary10]]</f>
        <v>134983.71999999508</v>
      </c>
      <c r="AN1712" s="93">
        <f>Tab1SDataShiftSummary[[#This Row],[Summary12]]-Tab1SDataShiftSummary[[#This Row],[Summary11]]</f>
        <v>-151163.86999999732</v>
      </c>
      <c r="AO1712" s="93">
        <f>Tab1SDataShiftSummary[[#This Row],[Summary13]]-Tab1SDataShiftSummary[[#This Row],[Summary12]]</f>
        <v>141824.75000000373</v>
      </c>
      <c r="AP1712" s="93">
        <f>Tab1SDataShiftSummary[[#This Row],[Summary14]]-Tab1SDataShiftSummary[[#This Row],[Summary13]]</f>
        <v>30825.927999999374</v>
      </c>
      <c r="AQ1712" s="93">
        <f>Tab1SDataShiftSummary[[#This Row],[Summary15]]-Tab1SDataShiftSummary[[#This Row],[Summary14]]</f>
        <v>-1869441.6881000027</v>
      </c>
      <c r="AR1712" s="93">
        <f>Tab1SDataShiftSummary[[#This Row],[Summary16]]-Tab1SDataShiftSummary[[#This Row],[Summary15]]</f>
        <v>-366528.76990000531</v>
      </c>
      <c r="AS1712" s="93">
        <f>Tab1SDataShiftSummary[[#This Row],[Summary17]]-Tab1SDataShiftSummary[[#This Row],[Summary16]]</f>
        <v>27086.480000004172</v>
      </c>
      <c r="AT1712" s="93">
        <f>Tab1SDataShiftSummary[[#This Row],[Summary18]]-Tab1SDataShiftSummary[[#This Row],[Summary17]]</f>
        <v>-189495.64999999851</v>
      </c>
      <c r="AU1712" s="93">
        <f>Tab1SDataShiftSummary[[#This Row],[Summary19]]-Tab1SDataShiftSummary[[#This Row],[Summary18]]</f>
        <v>-49347.179999999702</v>
      </c>
      <c r="AV1712" s="1540">
        <f ca="1">Tab1SDataShiftSummary[[#This Row],[Summary20]]-Tab1SDataShiftSummary[[#This Row],[Summary19]]</f>
        <v>0</v>
      </c>
      <c r="AY1712" s="317" t="s">
        <v>1835</v>
      </c>
    </row>
    <row r="1713" spans="1:52" x14ac:dyDescent="0.3">
      <c r="A1713">
        <v>2</v>
      </c>
      <c r="B1713" s="317" t="s">
        <v>1910</v>
      </c>
      <c r="C1713"/>
      <c r="E1713" s="93"/>
      <c r="F1713" s="93">
        <v>-57614150.737302661</v>
      </c>
      <c r="G1713" s="93">
        <v>-57614150.737302661</v>
      </c>
      <c r="H1713" s="93">
        <v>-57355762.439402558</v>
      </c>
      <c r="I1713" s="93">
        <v>-57933184.072902665</v>
      </c>
      <c r="J1713" s="93">
        <v>-58643376.759214662</v>
      </c>
      <c r="K1713" s="93">
        <v>-58466955.479622662</v>
      </c>
      <c r="L1713" s="93">
        <v>-60441473.010622665</v>
      </c>
      <c r="M1713" s="93">
        <v>-60441473.010622665</v>
      </c>
      <c r="N1713" s="93">
        <v>-60047207.337883458</v>
      </c>
      <c r="O1713" s="93">
        <v>-60743241.474645555</v>
      </c>
      <c r="P1713" s="93">
        <v>-60831680.017567456</v>
      </c>
      <c r="Q1713" s="93">
        <v>-60911485.974967465</v>
      </c>
      <c r="R1713" s="93">
        <v>-60905267.048685551</v>
      </c>
      <c r="S1713" s="93">
        <v>-61381232.99728556</v>
      </c>
      <c r="T1713" s="93">
        <v>-61672967.540085554</v>
      </c>
      <c r="U1713" s="93">
        <v>-59520323.294239551</v>
      </c>
      <c r="V1713" s="93">
        <v>-59637527.234239548</v>
      </c>
      <c r="W1713" s="93">
        <v>-59875819.186639547</v>
      </c>
      <c r="X1713" s="93">
        <v>-59964719.728639558</v>
      </c>
      <c r="Y1713" s="93">
        <v>-59964719.728639558</v>
      </c>
      <c r="Z1713" s="93">
        <f ca="1">Calc!BD103</f>
        <v>-59964719.728639558</v>
      </c>
      <c r="AB1713" s="93">
        <f ca="1">Tab1SDataShiftSummary[[#This Row],[Summary0]]-Tab1SDataShiftSummary[[#This Row],[Summary20]]</f>
        <v>2350568.991336897</v>
      </c>
      <c r="AC1713" s="93">
        <f>Tab1SDataShiftSummary[[#This Row],[Summary1]]-Tab1SDataShiftSummary[[#This Row],[Summary0]]</f>
        <v>0</v>
      </c>
      <c r="AD1713" s="93">
        <f>Tab1SDataShiftSummary[[#This Row],[Summary2]]-Tab1SDataShiftSummary[[#This Row],[Summary1]]</f>
        <v>258388.29790010303</v>
      </c>
      <c r="AE1713" s="93">
        <f>Tab1SDataShiftSummary[[#This Row],[Summary3]]-Tab1SDataShiftSummary[[#This Row],[Summary2]]</f>
        <v>-577421.63350010663</v>
      </c>
      <c r="AF1713" s="93">
        <f>Tab1SDataShiftSummary[[#This Row],[Summary4]]-Tab1SDataShiftSummary[[#This Row],[Summary3]]</f>
        <v>-710192.68631199747</v>
      </c>
      <c r="AG1713" s="93">
        <f>Tab1SDataShiftSummary[[#This Row],[Summary5]]-Tab1SDataShiftSummary[[#This Row],[Summary4]]</f>
        <v>176421.27959199995</v>
      </c>
      <c r="AH1713" s="93">
        <f>Tab1SDataShiftSummary[[#This Row],[Summary6]]-Tab1SDataShiftSummary[[#This Row],[Summary5]]</f>
        <v>-1974517.5310000032</v>
      </c>
      <c r="AI1713" s="93">
        <f>Tab1SDataShiftSummary[[#This Row],[Summary7]]-Tab1SDataShiftSummary[[#This Row],[Summary6]]</f>
        <v>0</v>
      </c>
      <c r="AJ1713" s="93">
        <f>Tab1SDataShiftSummary[[#This Row],[Summary8]]-Tab1SDataShiftSummary[[#This Row],[Summary7]]</f>
        <v>394265.67273920774</v>
      </c>
      <c r="AK1713" s="93">
        <f>Tab1SDataShiftSummary[[#This Row],[Summary9]]-Tab1SDataShiftSummary[[#This Row],[Summary8]]</f>
        <v>-696034.13676209748</v>
      </c>
      <c r="AL1713" s="93">
        <f>Tab1SDataShiftSummary[[#This Row],[Summary10]]-Tab1SDataShiftSummary[[#This Row],[Summary9]]</f>
        <v>-88438.542921900749</v>
      </c>
      <c r="AM1713" s="93">
        <f>Tab1SDataShiftSummary[[#This Row],[Summary11]]-Tab1SDataShiftSummary[[#This Row],[Summary10]]</f>
        <v>-79805.957400009036</v>
      </c>
      <c r="AN1713" s="93">
        <f>Tab1SDataShiftSummary[[#This Row],[Summary12]]-Tab1SDataShiftSummary[[#This Row],[Summary11]]</f>
        <v>6218.926281914115</v>
      </c>
      <c r="AO1713" s="93">
        <f>Tab1SDataShiftSummary[[#This Row],[Summary13]]-Tab1SDataShiftSummary[[#This Row],[Summary12]]</f>
        <v>-475965.94860000908</v>
      </c>
      <c r="AP1713" s="93">
        <f>Tab1SDataShiftSummary[[#This Row],[Summary14]]-Tab1SDataShiftSummary[[#This Row],[Summary13]]</f>
        <v>-291734.54279999435</v>
      </c>
      <c r="AQ1713" s="93">
        <f>Tab1SDataShiftSummary[[#This Row],[Summary15]]-Tab1SDataShiftSummary[[#This Row],[Summary14]]</f>
        <v>2152644.2458460033</v>
      </c>
      <c r="AR1713" s="93">
        <f>Tab1SDataShiftSummary[[#This Row],[Summary16]]-Tab1SDataShiftSummary[[#This Row],[Summary15]]</f>
        <v>-117203.93999999762</v>
      </c>
      <c r="AS1713" s="93">
        <f>Tab1SDataShiftSummary[[#This Row],[Summary17]]-Tab1SDataShiftSummary[[#This Row],[Summary16]]</f>
        <v>-238291.9523999989</v>
      </c>
      <c r="AT1713" s="93">
        <f>Tab1SDataShiftSummary[[#This Row],[Summary18]]-Tab1SDataShiftSummary[[#This Row],[Summary17]]</f>
        <v>-88900.54200001061</v>
      </c>
      <c r="AU1713" s="93">
        <f>Tab1SDataShiftSummary[[#This Row],[Summary19]]-Tab1SDataShiftSummary[[#This Row],[Summary18]]</f>
        <v>0</v>
      </c>
      <c r="AV1713" s="1540">
        <f ca="1">Tab1SDataShiftSummary[[#This Row],[Summary20]]-Tab1SDataShiftSummary[[#This Row],[Summary19]]</f>
        <v>0</v>
      </c>
      <c r="AX1713" s="704" t="s">
        <v>1461</v>
      </c>
      <c r="AY1713" s="317" t="s">
        <v>1910</v>
      </c>
    </row>
    <row r="1714" spans="1:52" x14ac:dyDescent="0.3">
      <c r="A1714">
        <v>3</v>
      </c>
      <c r="B1714" s="317" t="s">
        <v>2297</v>
      </c>
      <c r="C1714" s="1042"/>
      <c r="D1714" s="1096"/>
      <c r="E1714" s="93"/>
      <c r="F1714" s="93">
        <v>-6833789.6614128193</v>
      </c>
      <c r="G1714" s="93">
        <v>-6802385.2014128193</v>
      </c>
      <c r="H1714" s="93">
        <v>-6552278.7378040198</v>
      </c>
      <c r="I1714" s="93">
        <v>-6551184.4900128199</v>
      </c>
      <c r="J1714" s="93">
        <v>-6890984.2719128197</v>
      </c>
      <c r="K1714" s="93">
        <v>-6419394.4900128199</v>
      </c>
      <c r="L1714" s="93">
        <v>-6756938.66321282</v>
      </c>
      <c r="M1714" s="93">
        <v>-6756938.66321282</v>
      </c>
      <c r="N1714" s="93">
        <v>-6651341.7212128201</v>
      </c>
      <c r="O1714" s="93">
        <v>-6854952.0041087214</v>
      </c>
      <c r="P1714" s="93">
        <v>-6777293.9612128213</v>
      </c>
      <c r="Q1714" s="93">
        <v>-6815982.5455728211</v>
      </c>
      <c r="R1714" s="93">
        <v>-6842621.9884687215</v>
      </c>
      <c r="S1714" s="93">
        <v>-7063571.9936687211</v>
      </c>
      <c r="T1714" s="93">
        <v>-6900631.9936687211</v>
      </c>
      <c r="U1714" s="93">
        <v>-5627486.908598721</v>
      </c>
      <c r="V1714" s="93">
        <v>-5345307.9085987201</v>
      </c>
      <c r="W1714" s="93">
        <v>-5249933.9085987201</v>
      </c>
      <c r="X1714" s="93">
        <v>-5651431.2023588009</v>
      </c>
      <c r="Y1714" s="93">
        <v>-5681767.3096688967</v>
      </c>
      <c r="Z1714" s="93">
        <f ca="1">Calc!BE103</f>
        <v>-5681767.3096688967</v>
      </c>
      <c r="AB1714" s="93">
        <f ca="1">Tab1SDataShiftSummary[[#This Row],[Summary0]]-Tab1SDataShiftSummary[[#This Row],[Summary20]]</f>
        <v>-1152022.3517439226</v>
      </c>
      <c r="AC1714" s="93">
        <f>Tab1SDataShiftSummary[[#This Row],[Summary1]]-Tab1SDataShiftSummary[[#This Row],[Summary0]]</f>
        <v>31404.459999999963</v>
      </c>
      <c r="AD1714" s="93">
        <f>Tab1SDataShiftSummary[[#This Row],[Summary2]]-Tab1SDataShiftSummary[[#This Row],[Summary1]]</f>
        <v>250106.4636087995</v>
      </c>
      <c r="AE1714" s="93">
        <f>Tab1SDataShiftSummary[[#This Row],[Summary3]]-Tab1SDataShiftSummary[[#This Row],[Summary2]]</f>
        <v>1094.2477911999449</v>
      </c>
      <c r="AF1714" s="93">
        <f>Tab1SDataShiftSummary[[#This Row],[Summary4]]-Tab1SDataShiftSummary[[#This Row],[Summary3]]</f>
        <v>-339799.78189999983</v>
      </c>
      <c r="AG1714" s="93">
        <f>Tab1SDataShiftSummary[[#This Row],[Summary5]]-Tab1SDataShiftSummary[[#This Row],[Summary4]]</f>
        <v>471589.78189999983</v>
      </c>
      <c r="AH1714" s="93">
        <f>Tab1SDataShiftSummary[[#This Row],[Summary6]]-Tab1SDataShiftSummary[[#This Row],[Summary5]]</f>
        <v>-337544.17320000008</v>
      </c>
      <c r="AI1714" s="93">
        <f>Tab1SDataShiftSummary[[#This Row],[Summary7]]-Tab1SDataShiftSummary[[#This Row],[Summary6]]</f>
        <v>0</v>
      </c>
      <c r="AJ1714" s="93">
        <f>Tab1SDataShiftSummary[[#This Row],[Summary8]]-Tab1SDataShiftSummary[[#This Row],[Summary7]]</f>
        <v>105596.94199999981</v>
      </c>
      <c r="AK1714" s="93">
        <f>Tab1SDataShiftSummary[[#This Row],[Summary9]]-Tab1SDataShiftSummary[[#This Row],[Summary8]]</f>
        <v>-203610.28289590124</v>
      </c>
      <c r="AL1714" s="93">
        <f>Tab1SDataShiftSummary[[#This Row],[Summary10]]-Tab1SDataShiftSummary[[#This Row],[Summary9]]</f>
        <v>77658.042895900086</v>
      </c>
      <c r="AM1714" s="93">
        <f>Tab1SDataShiftSummary[[#This Row],[Summary11]]-Tab1SDataShiftSummary[[#This Row],[Summary10]]</f>
        <v>-38688.584359999746</v>
      </c>
      <c r="AN1714" s="93">
        <f>Tab1SDataShiftSummary[[#This Row],[Summary12]]-Tab1SDataShiftSummary[[#This Row],[Summary11]]</f>
        <v>-26639.442895900458</v>
      </c>
      <c r="AO1714" s="93">
        <f>Tab1SDataShiftSummary[[#This Row],[Summary13]]-Tab1SDataShiftSummary[[#This Row],[Summary12]]</f>
        <v>-220950.00519999955</v>
      </c>
      <c r="AP1714" s="93">
        <f>Tab1SDataShiftSummary[[#This Row],[Summary14]]-Tab1SDataShiftSummary[[#This Row],[Summary13]]</f>
        <v>162940</v>
      </c>
      <c r="AQ1714" s="93">
        <f>Tab1SDataShiftSummary[[#This Row],[Summary15]]-Tab1SDataShiftSummary[[#This Row],[Summary14]]</f>
        <v>1273145.08507</v>
      </c>
      <c r="AR1714" s="93">
        <f>Tab1SDataShiftSummary[[#This Row],[Summary16]]-Tab1SDataShiftSummary[[#This Row],[Summary15]]</f>
        <v>282179.00000000093</v>
      </c>
      <c r="AS1714" s="93">
        <f>Tab1SDataShiftSummary[[#This Row],[Summary17]]-Tab1SDataShiftSummary[[#This Row],[Summary16]]</f>
        <v>95374</v>
      </c>
      <c r="AT1714" s="93">
        <f>Tab1SDataShiftSummary[[#This Row],[Summary18]]-Tab1SDataShiftSummary[[#This Row],[Summary17]]</f>
        <v>-401497.29376008082</v>
      </c>
      <c r="AU1714" s="93">
        <f>Tab1SDataShiftSummary[[#This Row],[Summary19]]-Tab1SDataShiftSummary[[#This Row],[Summary18]]</f>
        <v>-30336.107310095802</v>
      </c>
      <c r="AV1714" s="1540">
        <f ca="1">Tab1SDataShiftSummary[[#This Row],[Summary20]]-Tab1SDataShiftSummary[[#This Row],[Summary19]]</f>
        <v>0</v>
      </c>
      <c r="AY1714" s="317" t="s">
        <v>2297</v>
      </c>
    </row>
    <row r="1715" spans="1:52" x14ac:dyDescent="0.3">
      <c r="A1715">
        <v>4</v>
      </c>
      <c r="B1715" s="317" t="s">
        <v>2130</v>
      </c>
      <c r="C1715"/>
      <c r="E1715" s="93"/>
      <c r="F1715" s="93">
        <v>8908021.5067000054</v>
      </c>
      <c r="G1715" s="93">
        <v>8984653.4142000061</v>
      </c>
      <c r="H1715" s="93">
        <v>8798855.7737000044</v>
      </c>
      <c r="I1715" s="93">
        <v>8679831.156700002</v>
      </c>
      <c r="J1715" s="93">
        <v>9464256.9567000028</v>
      </c>
      <c r="K1715" s="93">
        <v>9113173.9167000074</v>
      </c>
      <c r="L1715" s="93">
        <v>10670452.946700007</v>
      </c>
      <c r="M1715" s="93">
        <v>10670287.946700007</v>
      </c>
      <c r="N1715" s="93">
        <v>11158213.866700005</v>
      </c>
      <c r="O1715" s="93">
        <v>11847101.443200003</v>
      </c>
      <c r="P1715" s="93">
        <v>11917133.766700001</v>
      </c>
      <c r="Q1715" s="93">
        <v>12052117.486700006</v>
      </c>
      <c r="R1715" s="93">
        <v>11904497.038200002</v>
      </c>
      <c r="S1715" s="93">
        <v>11846323.7882</v>
      </c>
      <c r="T1715" s="93">
        <v>11877149.716200003</v>
      </c>
      <c r="U1715" s="93">
        <v>10442965.588100005</v>
      </c>
      <c r="V1715" s="93">
        <v>10076436.818200003</v>
      </c>
      <c r="W1715" s="93">
        <v>10103523.298200002</v>
      </c>
      <c r="X1715" s="93">
        <v>9914027.6482000034</v>
      </c>
      <c r="Y1715" s="93">
        <v>9864680.4682000019</v>
      </c>
      <c r="Z1715" s="93">
        <f ca="1">Calc!BF103</f>
        <v>9864680.4682000019</v>
      </c>
      <c r="AA1715" s="308"/>
      <c r="AB1715" s="93">
        <f ca="1">Tab1SDataShiftSummary[[#This Row],[Summary0]]-Tab1SDataShiftSummary[[#This Row],[Summary20]]</f>
        <v>-956658.96149999648</v>
      </c>
      <c r="AC1715" s="93">
        <f>Tab1SDataShiftSummary[[#This Row],[Summary1]]-Tab1SDataShiftSummary[[#This Row],[Summary0]]</f>
        <v>76631.907500000671</v>
      </c>
      <c r="AD1715" s="93">
        <f>Tab1SDataShiftSummary[[#This Row],[Summary2]]-Tab1SDataShiftSummary[[#This Row],[Summary1]]</f>
        <v>-185797.64050000161</v>
      </c>
      <c r="AE1715" s="93">
        <f>Tab1SDataShiftSummary[[#This Row],[Summary3]]-Tab1SDataShiftSummary[[#This Row],[Summary2]]</f>
        <v>-119024.61700000241</v>
      </c>
      <c r="AF1715" s="93">
        <f>Tab1SDataShiftSummary[[#This Row],[Summary4]]-Tab1SDataShiftSummary[[#This Row],[Summary3]]</f>
        <v>784425.80000000075</v>
      </c>
      <c r="AG1715" s="93">
        <f>Tab1SDataShiftSummary[[#This Row],[Summary5]]-Tab1SDataShiftSummary[[#This Row],[Summary4]]</f>
        <v>-351083.03999999538</v>
      </c>
      <c r="AH1715" s="93">
        <f>Tab1SDataShiftSummary[[#This Row],[Summary6]]-Tab1SDataShiftSummary[[#This Row],[Summary5]]</f>
        <v>1557279.0299999993</v>
      </c>
      <c r="AI1715" s="93">
        <f>Tab1SDataShiftSummary[[#This Row],[Summary7]]-Tab1SDataShiftSummary[[#This Row],[Summary6]]</f>
        <v>-165</v>
      </c>
      <c r="AJ1715" s="93">
        <f>Tab1SDataShiftSummary[[#This Row],[Summary8]]-Tab1SDataShiftSummary[[#This Row],[Summary7]]</f>
        <v>487925.91999999806</v>
      </c>
      <c r="AK1715" s="93">
        <f>Tab1SDataShiftSummary[[#This Row],[Summary9]]-Tab1SDataShiftSummary[[#This Row],[Summary8]]</f>
        <v>688887.57649999857</v>
      </c>
      <c r="AL1715" s="93">
        <f>Tab1SDataShiftSummary[[#This Row],[Summary10]]-Tab1SDataShiftSummary[[#This Row],[Summary9]]</f>
        <v>70032.323499998078</v>
      </c>
      <c r="AM1715" s="93">
        <f>Tab1SDataShiftSummary[[#This Row],[Summary11]]-Tab1SDataShiftSummary[[#This Row],[Summary10]]</f>
        <v>134983.7200000044</v>
      </c>
      <c r="AN1715" s="93">
        <f>Tab1SDataShiftSummary[[#This Row],[Summary12]]-Tab1SDataShiftSummary[[#This Row],[Summary11]]</f>
        <v>-147620.44850000367</v>
      </c>
      <c r="AO1715" s="93">
        <f>Tab1SDataShiftSummary[[#This Row],[Summary13]]-Tab1SDataShiftSummary[[#This Row],[Summary12]]</f>
        <v>-58173.250000001863</v>
      </c>
      <c r="AP1715" s="93">
        <f>Tab1SDataShiftSummary[[#This Row],[Summary14]]-Tab1SDataShiftSummary[[#This Row],[Summary13]]</f>
        <v>30825.928000003099</v>
      </c>
      <c r="AQ1715" s="93">
        <f>Tab1SDataShiftSummary[[#This Row],[Summary15]]-Tab1SDataShiftSummary[[#This Row],[Summary14]]</f>
        <v>-1434184.1280999985</v>
      </c>
      <c r="AR1715" s="93">
        <f>Tab1SDataShiftSummary[[#This Row],[Summary16]]-Tab1SDataShiftSummary[[#This Row],[Summary15]]</f>
        <v>-366528.76990000159</v>
      </c>
      <c r="AS1715" s="93">
        <f>Tab1SDataShiftSummary[[#This Row],[Summary17]]-Tab1SDataShiftSummary[[#This Row],[Summary16]]</f>
        <v>27086.479999998584</v>
      </c>
      <c r="AT1715" s="93">
        <f>Tab1SDataShiftSummary[[#This Row],[Summary18]]-Tab1SDataShiftSummary[[#This Row],[Summary17]]</f>
        <v>-189495.64999999851</v>
      </c>
      <c r="AU1715" s="93">
        <f>Tab1SDataShiftSummary[[#This Row],[Summary19]]-Tab1SDataShiftSummary[[#This Row],[Summary18]]</f>
        <v>-49347.180000001565</v>
      </c>
      <c r="AV1715" s="1540">
        <f ca="1">Tab1SDataShiftSummary[[#This Row],[Summary20]]-Tab1SDataShiftSummary[[#This Row],[Summary19]]</f>
        <v>0</v>
      </c>
      <c r="AY1715" s="317" t="s">
        <v>2130</v>
      </c>
      <c r="AZ1715" t="s">
        <v>2127</v>
      </c>
    </row>
    <row r="1716" spans="1:52" x14ac:dyDescent="0.3">
      <c r="A1716">
        <v>5</v>
      </c>
      <c r="B1716" s="317" t="s">
        <v>1912</v>
      </c>
      <c r="C1716"/>
      <c r="E1716" s="93"/>
      <c r="F1716" s="93">
        <v>-75934878.150602669</v>
      </c>
      <c r="G1716" s="93">
        <v>-75934878.150602669</v>
      </c>
      <c r="H1716" s="93">
        <v>-75514723.545702577</v>
      </c>
      <c r="I1716" s="93">
        <v>-76253911.486202672</v>
      </c>
      <c r="J1716" s="93">
        <v>-77006272.672514662</v>
      </c>
      <c r="K1716" s="93">
        <v>-76787682.89292267</v>
      </c>
      <c r="L1716" s="93">
        <v>-78782290.423922673</v>
      </c>
      <c r="M1716" s="93">
        <v>-78782290.423922673</v>
      </c>
      <c r="N1716" s="93">
        <v>-78387774.751183465</v>
      </c>
      <c r="O1716" s="93">
        <v>-79080265.466445565</v>
      </c>
      <c r="P1716" s="93">
        <v>-79172247.430867463</v>
      </c>
      <c r="Q1716" s="93">
        <v>-79252053.388267457</v>
      </c>
      <c r="R1716" s="93">
        <v>-79242291.040485561</v>
      </c>
      <c r="S1716" s="93">
        <v>-79918254.989085555</v>
      </c>
      <c r="T1716" s="93">
        <v>-80209989.531885564</v>
      </c>
      <c r="U1716" s="93">
        <v>-77622087.726039559</v>
      </c>
      <c r="V1716" s="93">
        <v>-77739291.666039556</v>
      </c>
      <c r="W1716" s="93">
        <v>-77977583.618439555</v>
      </c>
      <c r="X1716" s="93">
        <v>-78066484.160439551</v>
      </c>
      <c r="Y1716" s="93">
        <v>-78066484.160439551</v>
      </c>
      <c r="Z1716" s="93">
        <f ca="1">Calc!BG103</f>
        <v>-78066484.160439551</v>
      </c>
      <c r="AB1716" s="93">
        <f ca="1">Tab1SDataShiftSummary[[#This Row],[Summary0]]-Tab1SDataShiftSummary[[#This Row],[Summary20]]</f>
        <v>2131606.0098368824</v>
      </c>
      <c r="AC1716" s="93">
        <f>Tab1SDataShiftSummary[[#This Row],[Summary1]]-Tab1SDataShiftSummary[[#This Row],[Summary0]]</f>
        <v>0</v>
      </c>
      <c r="AD1716" s="93">
        <f>Tab1SDataShiftSummary[[#This Row],[Summary2]]-Tab1SDataShiftSummary[[#This Row],[Summary1]]</f>
        <v>420154.60490009189</v>
      </c>
      <c r="AE1716" s="93">
        <f>Tab1SDataShiftSummary[[#This Row],[Summary3]]-Tab1SDataShiftSummary[[#This Row],[Summary2]]</f>
        <v>-739187.94050009549</v>
      </c>
      <c r="AF1716" s="93">
        <f>Tab1SDataShiftSummary[[#This Row],[Summary4]]-Tab1SDataShiftSummary[[#This Row],[Summary3]]</f>
        <v>-752361.18631199002</v>
      </c>
      <c r="AG1716" s="93">
        <f>Tab1SDataShiftSummary[[#This Row],[Summary5]]-Tab1SDataShiftSummary[[#This Row],[Summary4]]</f>
        <v>218589.7795919925</v>
      </c>
      <c r="AH1716" s="93">
        <f>Tab1SDataShiftSummary[[#This Row],[Summary6]]-Tab1SDataShiftSummary[[#This Row],[Summary5]]</f>
        <v>-1994607.5310000032</v>
      </c>
      <c r="AI1716" s="93">
        <f>Tab1SDataShiftSummary[[#This Row],[Summary7]]-Tab1SDataShiftSummary[[#This Row],[Summary6]]</f>
        <v>0</v>
      </c>
      <c r="AJ1716" s="93">
        <f>Tab1SDataShiftSummary[[#This Row],[Summary8]]-Tab1SDataShiftSummary[[#This Row],[Summary7]]</f>
        <v>394515.67273920774</v>
      </c>
      <c r="AK1716" s="93">
        <f>Tab1SDataShiftSummary[[#This Row],[Summary9]]-Tab1SDataShiftSummary[[#This Row],[Summary8]]</f>
        <v>-692490.7152621001</v>
      </c>
      <c r="AL1716" s="93">
        <f>Tab1SDataShiftSummary[[#This Row],[Summary10]]-Tab1SDataShiftSummary[[#This Row],[Summary9]]</f>
        <v>-91981.964421898127</v>
      </c>
      <c r="AM1716" s="93">
        <f>Tab1SDataShiftSummary[[#This Row],[Summary11]]-Tab1SDataShiftSummary[[#This Row],[Summary10]]</f>
        <v>-79805.957399994135</v>
      </c>
      <c r="AN1716" s="93">
        <f>Tab1SDataShiftSummary[[#This Row],[Summary12]]-Tab1SDataShiftSummary[[#This Row],[Summary11]]</f>
        <v>9762.3477818965912</v>
      </c>
      <c r="AO1716" s="93">
        <f>Tab1SDataShiftSummary[[#This Row],[Summary13]]-Tab1SDataShiftSummary[[#This Row],[Summary12]]</f>
        <v>-675963.94859999418</v>
      </c>
      <c r="AP1716" s="93">
        <f>Tab1SDataShiftSummary[[#This Row],[Summary14]]-Tab1SDataShiftSummary[[#This Row],[Summary13]]</f>
        <v>-291734.54280000925</v>
      </c>
      <c r="AQ1716" s="93">
        <f>Tab1SDataShiftSummary[[#This Row],[Summary15]]-Tab1SDataShiftSummary[[#This Row],[Summary14]]</f>
        <v>2587901.8058460057</v>
      </c>
      <c r="AR1716" s="93">
        <f>Tab1SDataShiftSummary[[#This Row],[Summary16]]-Tab1SDataShiftSummary[[#This Row],[Summary15]]</f>
        <v>-117203.93999999762</v>
      </c>
      <c r="AS1716" s="93">
        <f>Tab1SDataShiftSummary[[#This Row],[Summary17]]-Tab1SDataShiftSummary[[#This Row],[Summary16]]</f>
        <v>-238291.9523999989</v>
      </c>
      <c r="AT1716" s="93">
        <f>Tab1SDataShiftSummary[[#This Row],[Summary18]]-Tab1SDataShiftSummary[[#This Row],[Summary17]]</f>
        <v>-88900.541999995708</v>
      </c>
      <c r="AU1716" s="93">
        <f>Tab1SDataShiftSummary[[#This Row],[Summary19]]-Tab1SDataShiftSummary[[#This Row],[Summary18]]</f>
        <v>0</v>
      </c>
      <c r="AV1716" s="1540">
        <f ca="1">Tab1SDataShiftSummary[[#This Row],[Summary20]]-Tab1SDataShiftSummary[[#This Row],[Summary19]]</f>
        <v>0</v>
      </c>
      <c r="AY1716" s="317" t="s">
        <v>1912</v>
      </c>
    </row>
    <row r="1717" spans="1:52" x14ac:dyDescent="0.3">
      <c r="A1717">
        <v>6</v>
      </c>
      <c r="B1717" s="332" t="s">
        <v>2291</v>
      </c>
      <c r="C1717"/>
      <c r="E1717" s="93"/>
      <c r="F1717" s="93">
        <v>-10481439.091417</v>
      </c>
      <c r="G1717" s="93">
        <v>-10369474.631416999</v>
      </c>
      <c r="H1717" s="93">
        <v>-10096298.775609998</v>
      </c>
      <c r="I1717" s="93">
        <v>-10317509.711416999</v>
      </c>
      <c r="J1717" s="93">
        <v>-10615178.831416998</v>
      </c>
      <c r="K1717" s="93">
        <v>-10329865.911416998</v>
      </c>
      <c r="L1717" s="93">
        <v>-12138605.811417</v>
      </c>
      <c r="M1717" s="93">
        <v>-12138605.811417</v>
      </c>
      <c r="N1717" s="93">
        <v>-12371217.219417</v>
      </c>
      <c r="O1717" s="93">
        <v>-12966020.967917001</v>
      </c>
      <c r="P1717" s="93">
        <v>-12887814.859417001</v>
      </c>
      <c r="Q1717" s="93">
        <v>-12885806.359417001</v>
      </c>
      <c r="R1717" s="93">
        <v>-12930365.667917</v>
      </c>
      <c r="S1717" s="93">
        <v>-13148774.737916997</v>
      </c>
      <c r="T1717" s="93">
        <v>-13117372.737916997</v>
      </c>
      <c r="U1717" s="93">
        <v>-11566609.202917</v>
      </c>
      <c r="V1717" s="93">
        <v>-11325328.202917</v>
      </c>
      <c r="W1717" s="93">
        <v>-11109458.202917</v>
      </c>
      <c r="X1717" s="93">
        <v>-11489044.202917</v>
      </c>
      <c r="Y1717" s="93">
        <v>-11518915.717844589</v>
      </c>
      <c r="Z1717" s="93">
        <f ca="1">Calc!BH103</f>
        <v>-11518915.717844589</v>
      </c>
      <c r="AB1717" s="93">
        <f ca="1">Tab1SDataShiftSummary[[#This Row],[Summary0]]-Tab1SDataShiftSummary[[#This Row],[Summary20]]</f>
        <v>1037476.626427589</v>
      </c>
      <c r="AC1717" s="93">
        <f>Tab1SDataShiftSummary[[#This Row],[Summary1]]-Tab1SDataShiftSummary[[#This Row],[Summary0]]</f>
        <v>111964.46000000089</v>
      </c>
      <c r="AD1717" s="93">
        <f>Tab1SDataShiftSummary[[#This Row],[Summary2]]-Tab1SDataShiftSummary[[#This Row],[Summary1]]</f>
        <v>273175.85580700077</v>
      </c>
      <c r="AE1717" s="93">
        <f>Tab1SDataShiftSummary[[#This Row],[Summary3]]-Tab1SDataShiftSummary[[#This Row],[Summary2]]</f>
        <v>-221210.93580700085</v>
      </c>
      <c r="AF1717" s="93">
        <f>Tab1SDataShiftSummary[[#This Row],[Summary4]]-Tab1SDataShiftSummary[[#This Row],[Summary3]]</f>
        <v>-297669.11999999918</v>
      </c>
      <c r="AG1717" s="93">
        <f>Tab1SDataShiftSummary[[#This Row],[Summary5]]-Tab1SDataShiftSummary[[#This Row],[Summary4]]</f>
        <v>285312.91999999993</v>
      </c>
      <c r="AH1717" s="93">
        <f>Tab1SDataShiftSummary[[#This Row],[Summary6]]-Tab1SDataShiftSummary[[#This Row],[Summary5]]</f>
        <v>-1808739.9000000022</v>
      </c>
      <c r="AI1717" s="93">
        <f>Tab1SDataShiftSummary[[#This Row],[Summary7]]-Tab1SDataShiftSummary[[#This Row],[Summary6]]</f>
        <v>0</v>
      </c>
      <c r="AJ1717" s="93">
        <f>Tab1SDataShiftSummary[[#This Row],[Summary8]]-Tab1SDataShiftSummary[[#This Row],[Summary7]]</f>
        <v>-232611.40799999982</v>
      </c>
      <c r="AK1717" s="93">
        <f>Tab1SDataShiftSummary[[#This Row],[Summary9]]-Tab1SDataShiftSummary[[#This Row],[Summary8]]</f>
        <v>-594803.74850000069</v>
      </c>
      <c r="AL1717" s="93">
        <f>Tab1SDataShiftSummary[[#This Row],[Summary10]]-Tab1SDataShiftSummary[[#This Row],[Summary9]]</f>
        <v>78206.108500000089</v>
      </c>
      <c r="AM1717" s="93">
        <f>Tab1SDataShiftSummary[[#This Row],[Summary11]]-Tab1SDataShiftSummary[[#This Row],[Summary10]]</f>
        <v>2008.5</v>
      </c>
      <c r="AN1717" s="93">
        <f>Tab1SDataShiftSummary[[#This Row],[Summary12]]-Tab1SDataShiftSummary[[#This Row],[Summary11]]</f>
        <v>-44559.308499999344</v>
      </c>
      <c r="AO1717" s="93">
        <f>Tab1SDataShiftSummary[[#This Row],[Summary13]]-Tab1SDataShiftSummary[[#This Row],[Summary12]]</f>
        <v>-218409.06999999657</v>
      </c>
      <c r="AP1717" s="93">
        <f>Tab1SDataShiftSummary[[#This Row],[Summary14]]-Tab1SDataShiftSummary[[#This Row],[Summary13]]</f>
        <v>31402</v>
      </c>
      <c r="AQ1717" s="93">
        <f>Tab1SDataShiftSummary[[#This Row],[Summary15]]-Tab1SDataShiftSummary[[#This Row],[Summary14]]</f>
        <v>1550763.5349999964</v>
      </c>
      <c r="AR1717" s="93">
        <f>Tab1SDataShiftSummary[[#This Row],[Summary16]]-Tab1SDataShiftSummary[[#This Row],[Summary15]]</f>
        <v>241281</v>
      </c>
      <c r="AS1717" s="93">
        <f>Tab1SDataShiftSummary[[#This Row],[Summary17]]-Tab1SDataShiftSummary[[#This Row],[Summary16]]</f>
        <v>215870</v>
      </c>
      <c r="AT1717" s="93">
        <f>Tab1SDataShiftSummary[[#This Row],[Summary18]]-Tab1SDataShiftSummary[[#This Row],[Summary17]]</f>
        <v>-379586</v>
      </c>
      <c r="AU1717" s="93">
        <f>Tab1SDataShiftSummary[[#This Row],[Summary19]]-Tab1SDataShiftSummary[[#This Row],[Summary18]]</f>
        <v>-29871.514927588403</v>
      </c>
      <c r="AV1717" s="1540">
        <f ca="1">Tab1SDataShiftSummary[[#This Row],[Summary20]]-Tab1SDataShiftSummary[[#This Row],[Summary19]]</f>
        <v>0</v>
      </c>
      <c r="AY1717" s="332" t="s">
        <v>2291</v>
      </c>
    </row>
    <row r="1718" spans="1:52" x14ac:dyDescent="0.3">
      <c r="A1718">
        <v>7</v>
      </c>
      <c r="B1718" s="317" t="s">
        <v>1911</v>
      </c>
      <c r="C1718"/>
      <c r="E1718" s="93"/>
      <c r="F1718" s="93">
        <v>65086853.411651999</v>
      </c>
      <c r="G1718" s="93">
        <v>65198526.764055997</v>
      </c>
      <c r="H1718" s="93">
        <v>65053016.895924017</v>
      </c>
      <c r="I1718" s="93">
        <v>65567735.239664018</v>
      </c>
      <c r="J1718" s="93">
        <v>66019299.113064006</v>
      </c>
      <c r="K1718" s="93">
        <v>66086414.15906401</v>
      </c>
      <c r="L1718" s="93">
        <v>66266639.451804012</v>
      </c>
      <c r="M1718" s="93">
        <v>66266639.451804012</v>
      </c>
      <c r="N1718" s="93">
        <v>65642163.322204024</v>
      </c>
      <c r="O1718" s="93">
        <v>65737805.165188029</v>
      </c>
      <c r="P1718" s="93">
        <v>65907312.836384028</v>
      </c>
      <c r="Q1718" s="93">
        <v>65988708.156884015</v>
      </c>
      <c r="R1718" s="93">
        <v>65934552.987368017</v>
      </c>
      <c r="S1718" s="93">
        <v>66389169.832350016</v>
      </c>
      <c r="T1718" s="93">
        <v>66710711.644350022</v>
      </c>
      <c r="U1718" s="93">
        <v>65682963.58000502</v>
      </c>
      <c r="V1718" s="93">
        <v>66040213.309405029</v>
      </c>
      <c r="W1718" s="93">
        <v>66492578.09500502</v>
      </c>
      <c r="X1718" s="93">
        <v>66202418.476605028</v>
      </c>
      <c r="Y1718" s="93">
        <v>66202418.476605028</v>
      </c>
      <c r="Z1718" s="93">
        <f ca="1">Calc!BI103</f>
        <v>66202418.476605028</v>
      </c>
      <c r="AB1718" s="93">
        <f ca="1">Tab1SDataShiftSummary[[#This Row],[Summary0]]-Tab1SDataShiftSummary[[#This Row],[Summary20]]</f>
        <v>-1115565.0649530292</v>
      </c>
      <c r="AC1718" s="93">
        <f>Tab1SDataShiftSummary[[#This Row],[Summary1]]-Tab1SDataShiftSummary[[#This Row],[Summary0]]</f>
        <v>111673.35240399837</v>
      </c>
      <c r="AD1718" s="93">
        <f>Tab1SDataShiftSummary[[#This Row],[Summary2]]-Tab1SDataShiftSummary[[#This Row],[Summary1]]</f>
        <v>-145509.8681319803</v>
      </c>
      <c r="AE1718" s="93">
        <f>Tab1SDataShiftSummary[[#This Row],[Summary3]]-Tab1SDataShiftSummary[[#This Row],[Summary2]]</f>
        <v>514718.34374000132</v>
      </c>
      <c r="AF1718" s="93">
        <f>Tab1SDataShiftSummary[[#This Row],[Summary4]]-Tab1SDataShiftSummary[[#This Row],[Summary3]]</f>
        <v>451563.87339998782</v>
      </c>
      <c r="AG1718" s="93">
        <f>Tab1SDataShiftSummary[[#This Row],[Summary5]]-Tab1SDataShiftSummary[[#This Row],[Summary4]]</f>
        <v>67115.046000003815</v>
      </c>
      <c r="AH1718" s="93">
        <f>Tab1SDataShiftSummary[[#This Row],[Summary6]]-Tab1SDataShiftSummary[[#This Row],[Summary5]]</f>
        <v>180225.29274000227</v>
      </c>
      <c r="AI1718" s="93">
        <f>Tab1SDataShiftSummary[[#This Row],[Summary7]]-Tab1SDataShiftSummary[[#This Row],[Summary6]]</f>
        <v>0</v>
      </c>
      <c r="AJ1718" s="93">
        <f>Tab1SDataShiftSummary[[#This Row],[Summary8]]-Tab1SDataShiftSummary[[#This Row],[Summary7]]</f>
        <v>-624476.12959998846</v>
      </c>
      <c r="AK1718" s="93">
        <f>Tab1SDataShiftSummary[[#This Row],[Summary9]]-Tab1SDataShiftSummary[[#This Row],[Summary8]]</f>
        <v>95641.842984005809</v>
      </c>
      <c r="AL1718" s="93">
        <f>Tab1SDataShiftSummary[[#This Row],[Summary10]]-Tab1SDataShiftSummary[[#This Row],[Summary9]]</f>
        <v>169507.67119599879</v>
      </c>
      <c r="AM1718" s="93">
        <f>Tab1SDataShiftSummary[[#This Row],[Summary11]]-Tab1SDataShiftSummary[[#This Row],[Summary10]]</f>
        <v>81395.32049998641</v>
      </c>
      <c r="AN1718" s="93">
        <f>Tab1SDataShiftSummary[[#This Row],[Summary12]]-Tab1SDataShiftSummary[[#This Row],[Summary11]]</f>
        <v>-54155.169515997171</v>
      </c>
      <c r="AO1718" s="93">
        <f>Tab1SDataShiftSummary[[#This Row],[Summary13]]-Tab1SDataShiftSummary[[#This Row],[Summary12]]</f>
        <v>454616.84498199821</v>
      </c>
      <c r="AP1718" s="93">
        <f>Tab1SDataShiftSummary[[#This Row],[Summary14]]-Tab1SDataShiftSummary[[#This Row],[Summary13]]</f>
        <v>321541.81200000644</v>
      </c>
      <c r="AQ1718" s="93">
        <f>Tab1SDataShiftSummary[[#This Row],[Summary15]]-Tab1SDataShiftSummary[[#This Row],[Summary14]]</f>
        <v>-1027748.0643450022</v>
      </c>
      <c r="AR1718" s="93">
        <f>Tab1SDataShiftSummary[[#This Row],[Summary16]]-Tab1SDataShiftSummary[[#This Row],[Summary15]]</f>
        <v>357249.72940000892</v>
      </c>
      <c r="AS1718" s="93">
        <f>Tab1SDataShiftSummary[[#This Row],[Summary17]]-Tab1SDataShiftSummary[[#This Row],[Summary16]]</f>
        <v>452364.78559999168</v>
      </c>
      <c r="AT1718" s="93">
        <f>Tab1SDataShiftSummary[[#This Row],[Summary18]]-Tab1SDataShiftSummary[[#This Row],[Summary17]]</f>
        <v>-290159.61839999259</v>
      </c>
      <c r="AU1718" s="93">
        <f>Tab1SDataShiftSummary[[#This Row],[Summary19]]-Tab1SDataShiftSummary[[#This Row],[Summary18]]</f>
        <v>0</v>
      </c>
      <c r="AV1718" s="1540">
        <f ca="1">Tab1SDataShiftSummary[[#This Row],[Summary20]]-Tab1SDataShiftSummary[[#This Row],[Summary19]]</f>
        <v>0</v>
      </c>
      <c r="AY1718" s="317" t="s">
        <v>1911</v>
      </c>
    </row>
    <row r="1719" spans="1:52" x14ac:dyDescent="0.3">
      <c r="A1719">
        <v>8</v>
      </c>
      <c r="B1719" s="332" t="s">
        <v>975</v>
      </c>
      <c r="C1719"/>
      <c r="E1719" s="93"/>
      <c r="F1719" s="93">
        <v>16747309.828583006</v>
      </c>
      <c r="G1719" s="93">
        <v>16935906.196083002</v>
      </c>
      <c r="H1719" s="93">
        <v>16861518.104390003</v>
      </c>
      <c r="I1719" s="93">
        <v>16683048.858583</v>
      </c>
      <c r="J1719" s="93">
        <v>17211974.038583007</v>
      </c>
      <c r="K1719" s="93">
        <v>17104035.418583006</v>
      </c>
      <c r="L1719" s="93">
        <v>16872664.548583001</v>
      </c>
      <c r="M1719" s="93">
        <v>16872499.548583001</v>
      </c>
      <c r="N1719" s="93">
        <v>17127564.060583007</v>
      </c>
      <c r="O1719" s="93">
        <v>17218104.467083</v>
      </c>
      <c r="P1719" s="93">
        <v>17369886.320583008</v>
      </c>
      <c r="Q1719" s="93">
        <v>17506878.540583003</v>
      </c>
      <c r="R1719" s="93">
        <v>17311155.362083003</v>
      </c>
      <c r="S1719" s="93">
        <v>17234571.042083003</v>
      </c>
      <c r="T1719" s="93">
        <v>17296798.970083002</v>
      </c>
      <c r="U1719" s="93">
        <v>16978120.816982999</v>
      </c>
      <c r="V1719" s="93">
        <v>16852873.047083002</v>
      </c>
      <c r="W1719" s="93">
        <v>17095829.527083006</v>
      </c>
      <c r="X1719" s="93">
        <v>16526747.877083002</v>
      </c>
      <c r="Y1719" s="93">
        <v>16374816.425415415</v>
      </c>
      <c r="Z1719" s="93">
        <f ca="1">Calc!BK103</f>
        <v>16374816.425415415</v>
      </c>
      <c r="AB1719" s="93">
        <f ca="1">Tab1SDataShiftSummary[[#This Row],[Summary0]]-Tab1SDataShiftSummary[[#This Row],[Summary20]]</f>
        <v>372493.4031675905</v>
      </c>
      <c r="AC1719" s="93">
        <f>Tab1SDataShiftSummary[[#This Row],[Summary1]]-Tab1SDataShiftSummary[[#This Row],[Summary0]]</f>
        <v>188596.36749999598</v>
      </c>
      <c r="AD1719" s="93">
        <f>Tab1SDataShiftSummary[[#This Row],[Summary2]]-Tab1SDataShiftSummary[[#This Row],[Summary1]]</f>
        <v>-74388.091692999005</v>
      </c>
      <c r="AE1719" s="93">
        <f>Tab1SDataShiftSummary[[#This Row],[Summary3]]-Tab1SDataShiftSummary[[#This Row],[Summary2]]</f>
        <v>-178469.24580700323</v>
      </c>
      <c r="AF1719" s="93">
        <f>Tab1SDataShiftSummary[[#This Row],[Summary4]]-Tab1SDataShiftSummary[[#This Row],[Summary3]]</f>
        <v>528925.18000000715</v>
      </c>
      <c r="AG1719" s="93">
        <f>Tab1SDataShiftSummary[[#This Row],[Summary5]]-Tab1SDataShiftSummary[[#This Row],[Summary4]]</f>
        <v>-107938.62000000104</v>
      </c>
      <c r="AH1719" s="93">
        <f>Tab1SDataShiftSummary[[#This Row],[Summary6]]-Tab1SDataShiftSummary[[#This Row],[Summary5]]</f>
        <v>-231370.87000000477</v>
      </c>
      <c r="AI1719" s="93">
        <f>Tab1SDataShiftSummary[[#This Row],[Summary7]]-Tab1SDataShiftSummary[[#This Row],[Summary6]]</f>
        <v>-165</v>
      </c>
      <c r="AJ1719" s="93">
        <f>Tab1SDataShiftSummary[[#This Row],[Summary8]]-Tab1SDataShiftSummary[[#This Row],[Summary7]]</f>
        <v>255064.51200000569</v>
      </c>
      <c r="AK1719" s="93">
        <f>Tab1SDataShiftSummary[[#This Row],[Summary9]]-Tab1SDataShiftSummary[[#This Row],[Summary8]]</f>
        <v>90540.406499993056</v>
      </c>
      <c r="AL1719" s="93">
        <f>Tab1SDataShiftSummary[[#This Row],[Summary10]]-Tab1SDataShiftSummary[[#This Row],[Summary9]]</f>
        <v>151781.85350000858</v>
      </c>
      <c r="AM1719" s="93">
        <f>Tab1SDataShiftSummary[[#This Row],[Summary11]]-Tab1SDataShiftSummary[[#This Row],[Summary10]]</f>
        <v>136992.21999999508</v>
      </c>
      <c r="AN1719" s="93">
        <f>Tab1SDataShiftSummary[[#This Row],[Summary12]]-Tab1SDataShiftSummary[[#This Row],[Summary11]]</f>
        <v>-195723.17850000039</v>
      </c>
      <c r="AO1719" s="93">
        <f>Tab1SDataShiftSummary[[#This Row],[Summary13]]-Tab1SDataShiftSummary[[#This Row],[Summary12]]</f>
        <v>-76584.320000000298</v>
      </c>
      <c r="AP1719" s="93">
        <f>Tab1SDataShiftSummary[[#This Row],[Summary14]]-Tab1SDataShiftSummary[[#This Row],[Summary13]]</f>
        <v>62227.927999999374</v>
      </c>
      <c r="AQ1719" s="93">
        <f>Tab1SDataShiftSummary[[#This Row],[Summary15]]-Tab1SDataShiftSummary[[#This Row],[Summary14]]</f>
        <v>-318678.15310000256</v>
      </c>
      <c r="AR1719" s="93">
        <f>Tab1SDataShiftSummary[[#This Row],[Summary16]]-Tab1SDataShiftSummary[[#This Row],[Summary15]]</f>
        <v>-125247.76989999786</v>
      </c>
      <c r="AS1719" s="93">
        <f>Tab1SDataShiftSummary[[#This Row],[Summary17]]-Tab1SDataShiftSummary[[#This Row],[Summary16]]</f>
        <v>242956.48000000417</v>
      </c>
      <c r="AT1719" s="93">
        <f>Tab1SDataShiftSummary[[#This Row],[Summary18]]-Tab1SDataShiftSummary[[#This Row],[Summary17]]</f>
        <v>-569081.6500000041</v>
      </c>
      <c r="AU1719" s="93">
        <f>Tab1SDataShiftSummary[[#This Row],[Summary19]]-Tab1SDataShiftSummary[[#This Row],[Summary18]]</f>
        <v>-151931.45166758634</v>
      </c>
      <c r="AV1719" s="1540">
        <f ca="1">Tab1SDataShiftSummary[[#This Row],[Summary20]]-Tab1SDataShiftSummary[[#This Row],[Summary19]]</f>
        <v>0</v>
      </c>
      <c r="AY1719" s="332" t="s">
        <v>975</v>
      </c>
    </row>
    <row r="1720" spans="1:52" x14ac:dyDescent="0.3">
      <c r="A1720">
        <v>9</v>
      </c>
      <c r="B1720" s="317" t="s">
        <v>2294</v>
      </c>
      <c r="C1720"/>
      <c r="E1720" s="93"/>
      <c r="F1720" s="93">
        <v>12640171.84699</v>
      </c>
      <c r="G1720" s="93">
        <v>12787492.429089997</v>
      </c>
      <c r="H1720" s="93">
        <v>12717381.206989998</v>
      </c>
      <c r="I1720" s="93">
        <v>12577791.496989999</v>
      </c>
      <c r="J1720" s="93">
        <v>12638319.586989999</v>
      </c>
      <c r="K1720" s="93">
        <v>12853787.87489</v>
      </c>
      <c r="L1720" s="93">
        <v>12790540.744889999</v>
      </c>
      <c r="M1720" s="93">
        <v>12790375.744889999</v>
      </c>
      <c r="N1720" s="93">
        <v>12837225.18489</v>
      </c>
      <c r="O1720" s="93">
        <v>11341834.24989</v>
      </c>
      <c r="P1720" s="93">
        <v>11376254.894890003</v>
      </c>
      <c r="Q1720" s="93">
        <v>11678984.355890002</v>
      </c>
      <c r="R1720" s="93">
        <v>11424657.404889997</v>
      </c>
      <c r="S1720" s="93">
        <v>11269009.860890001</v>
      </c>
      <c r="T1720" s="93">
        <v>11388791.75389</v>
      </c>
      <c r="U1720" s="93">
        <v>11235238.450789999</v>
      </c>
      <c r="V1720" s="93">
        <v>11169925.580890002</v>
      </c>
      <c r="W1720" s="93">
        <v>11324427.175890002</v>
      </c>
      <c r="X1720" s="93">
        <v>10884292.68489</v>
      </c>
      <c r="Y1720" s="93">
        <v>10832558.414982712</v>
      </c>
      <c r="Z1720" s="93">
        <f ca="1">Calc!BM103</f>
        <v>10832558.414982712</v>
      </c>
      <c r="AB1720" s="93">
        <f ca="1">Tab1SDataShiftSummary[[#This Row],[Summary0]]-Tab1SDataShiftSummary[[#This Row],[Summary20]]</f>
        <v>1807613.4320072886</v>
      </c>
      <c r="AC1720" s="93">
        <f>Tab1SDataShiftSummary[[#This Row],[Summary1]]-Tab1SDataShiftSummary[[#This Row],[Summary0]]</f>
        <v>147320.58209999651</v>
      </c>
      <c r="AD1720" s="93">
        <f>Tab1SDataShiftSummary[[#This Row],[Summary2]]-Tab1SDataShiftSummary[[#This Row],[Summary1]]</f>
        <v>-70111.222099998966</v>
      </c>
      <c r="AE1720" s="93">
        <f>Tab1SDataShiftSummary[[#This Row],[Summary3]]-Tab1SDataShiftSummary[[#This Row],[Summary2]]</f>
        <v>-139589.70999999903</v>
      </c>
      <c r="AF1720" s="93">
        <f>Tab1SDataShiftSummary[[#This Row],[Summary4]]-Tab1SDataShiftSummary[[#This Row],[Summary3]]</f>
        <v>60528.089999999851</v>
      </c>
      <c r="AG1720" s="93">
        <f>Tab1SDataShiftSummary[[#This Row],[Summary5]]-Tab1SDataShiftSummary[[#This Row],[Summary4]]</f>
        <v>215468.28790000081</v>
      </c>
      <c r="AH1720" s="93">
        <f>Tab1SDataShiftSummary[[#This Row],[Summary6]]-Tab1SDataShiftSummary[[#This Row],[Summary5]]</f>
        <v>-63247.13000000082</v>
      </c>
      <c r="AI1720" s="93">
        <f>Tab1SDataShiftSummary[[#This Row],[Summary7]]-Tab1SDataShiftSummary[[#This Row],[Summary6]]</f>
        <v>-165</v>
      </c>
      <c r="AJ1720" s="93">
        <f>Tab1SDataShiftSummary[[#This Row],[Summary8]]-Tab1SDataShiftSummary[[#This Row],[Summary7]]</f>
        <v>46849.440000001341</v>
      </c>
      <c r="AK1720" s="93">
        <f>Tab1SDataShiftSummary[[#This Row],[Summary9]]-Tab1SDataShiftSummary[[#This Row],[Summary8]]</f>
        <v>-1495390.9350000005</v>
      </c>
      <c r="AL1720" s="93">
        <f>Tab1SDataShiftSummary[[#This Row],[Summary10]]-Tab1SDataShiftSummary[[#This Row],[Summary9]]</f>
        <v>34420.645000003278</v>
      </c>
      <c r="AM1720" s="93">
        <f>Tab1SDataShiftSummary[[#This Row],[Summary11]]-Tab1SDataShiftSummary[[#This Row],[Summary10]]</f>
        <v>302729.4609999992</v>
      </c>
      <c r="AN1720" s="93">
        <f>Tab1SDataShiftSummary[[#This Row],[Summary12]]-Tab1SDataShiftSummary[[#This Row],[Summary11]]</f>
        <v>-254326.95100000501</v>
      </c>
      <c r="AO1720" s="93">
        <f>Tab1SDataShiftSummary[[#This Row],[Summary13]]-Tab1SDataShiftSummary[[#This Row],[Summary12]]</f>
        <v>-155647.54399999604</v>
      </c>
      <c r="AP1720" s="93">
        <f>Tab1SDataShiftSummary[[#This Row],[Summary14]]-Tab1SDataShiftSummary[[#This Row],[Summary13]]</f>
        <v>119781.89299999923</v>
      </c>
      <c r="AQ1720" s="93">
        <f>Tab1SDataShiftSummary[[#This Row],[Summary15]]-Tab1SDataShiftSummary[[#This Row],[Summary14]]</f>
        <v>-153553.30310000107</v>
      </c>
      <c r="AR1720" s="93">
        <f>Tab1SDataShiftSummary[[#This Row],[Summary16]]-Tab1SDataShiftSummary[[#This Row],[Summary15]]</f>
        <v>-65312.869899997488</v>
      </c>
      <c r="AS1720" s="93">
        <f>Tab1SDataShiftSummary[[#This Row],[Summary17]]-Tab1SDataShiftSummary[[#This Row],[Summary16]]</f>
        <v>154501.59500000067</v>
      </c>
      <c r="AT1720" s="93">
        <f>Tab1SDataShiftSummary[[#This Row],[Summary18]]-Tab1SDataShiftSummary[[#This Row],[Summary17]]</f>
        <v>-440134.49100000225</v>
      </c>
      <c r="AU1720" s="93">
        <f>Tab1SDataShiftSummary[[#This Row],[Summary19]]-Tab1SDataShiftSummary[[#This Row],[Summary18]]</f>
        <v>-51734.269907288253</v>
      </c>
      <c r="AV1720" s="1540">
        <f ca="1">Tab1SDataShiftSummary[[#This Row],[Summary20]]-Tab1SDataShiftSummary[[#This Row],[Summary19]]</f>
        <v>0</v>
      </c>
      <c r="AY1720" s="317" t="s">
        <v>2294</v>
      </c>
    </row>
    <row r="1721" spans="1:52" x14ac:dyDescent="0.3">
      <c r="A1721">
        <v>10</v>
      </c>
      <c r="B1721" s="317" t="s">
        <v>1906</v>
      </c>
      <c r="C1721"/>
      <c r="E1721" s="90"/>
      <c r="F1721" s="93">
        <v>-366656.50206186209</v>
      </c>
      <c r="G1721" s="93">
        <v>-366946.85277811252</v>
      </c>
      <c r="H1721" s="93">
        <v>-365476.12514822918</v>
      </c>
      <c r="I1721" s="93">
        <v>-368736.28148725332</v>
      </c>
      <c r="J1721" s="93">
        <v>-371866.48664250452</v>
      </c>
      <c r="K1721" s="93">
        <v>-371472.65233516536</v>
      </c>
      <c r="L1721" s="93">
        <v>-377127.21767688938</v>
      </c>
      <c r="M1721" s="93">
        <v>-377127.21767688938</v>
      </c>
      <c r="N1721" s="93">
        <v>-374477.83899080748</v>
      </c>
      <c r="O1721" s="93">
        <v>-376526.98364224727</v>
      </c>
      <c r="P1721" s="93">
        <v>-377206.85669485386</v>
      </c>
      <c r="Q1721" s="93">
        <v>-377625.98001739383</v>
      </c>
      <c r="R1721" s="93">
        <v>-377459.79447241931</v>
      </c>
      <c r="S1721" s="93">
        <v>-380399.30453573249</v>
      </c>
      <c r="T1721" s="93">
        <v>-381993.82305821253</v>
      </c>
      <c r="U1721" s="93">
        <v>-372593.13339571591</v>
      </c>
      <c r="V1721" s="93">
        <v>-373826.71293615591</v>
      </c>
      <c r="W1721" s="93">
        <v>-375622.42045495589</v>
      </c>
      <c r="X1721" s="93">
        <v>-375099.1468563159</v>
      </c>
      <c r="Y1721" s="93">
        <v>-375099.1468563159</v>
      </c>
      <c r="Z1721" s="93">
        <f ca="1">Calc!BN103</f>
        <v>-375099.1468563159</v>
      </c>
      <c r="AB1721" s="93">
        <f ca="1">Tab1SDataShiftSummary[[#This Row],[Summary0]]-Tab1SDataShiftSummary[[#This Row],[Summary20]]</f>
        <v>8442.6447944538086</v>
      </c>
      <c r="AC1721" s="93">
        <f>Tab1SDataShiftSummary[[#This Row],[Summary1]]-Tab1SDataShiftSummary[[#This Row],[Summary0]]</f>
        <v>-290.35071625042474</v>
      </c>
      <c r="AD1721" s="93">
        <f>Tab1SDataShiftSummary[[#This Row],[Summary2]]-Tab1SDataShiftSummary[[#This Row],[Summary1]]</f>
        <v>1470.7276298833312</v>
      </c>
      <c r="AE1721" s="93">
        <f>Tab1SDataShiftSummary[[#This Row],[Summary3]]-Tab1SDataShiftSummary[[#This Row],[Summary2]]</f>
        <v>-3260.1563390241354</v>
      </c>
      <c r="AF1721" s="93">
        <f>Tab1SDataShiftSummary[[#This Row],[Summary4]]-Tab1SDataShiftSummary[[#This Row],[Summary3]]</f>
        <v>-3130.2051552511984</v>
      </c>
      <c r="AG1721" s="93">
        <f>Tab1SDataShiftSummary[[#This Row],[Summary5]]-Tab1SDataShiftSummary[[#This Row],[Summary4]]</f>
        <v>393.83430733915884</v>
      </c>
      <c r="AH1721" s="93">
        <f>Tab1SDataShiftSummary[[#This Row],[Summary6]]-Tab1SDataShiftSummary[[#This Row],[Summary5]]</f>
        <v>-5654.5653417240246</v>
      </c>
      <c r="AI1721" s="93">
        <f>Tab1SDataShiftSummary[[#This Row],[Summary7]]-Tab1SDataShiftSummary[[#This Row],[Summary6]]</f>
        <v>0</v>
      </c>
      <c r="AJ1721" s="93">
        <f>Tab1SDataShiftSummary[[#This Row],[Summary8]]-Tab1SDataShiftSummary[[#This Row],[Summary7]]</f>
        <v>2649.3786860819091</v>
      </c>
      <c r="AK1721" s="93">
        <f>Tab1SDataShiftSummary[[#This Row],[Summary9]]-Tab1SDataShiftSummary[[#This Row],[Summary8]]</f>
        <v>-2049.1446514397976</v>
      </c>
      <c r="AL1721" s="93">
        <f>Tab1SDataShiftSummary[[#This Row],[Summary10]]-Tab1SDataShiftSummary[[#This Row],[Summary9]]</f>
        <v>-679.87305260659195</v>
      </c>
      <c r="AM1721" s="93">
        <f>Tab1SDataShiftSummary[[#This Row],[Summary11]]-Tab1SDataShiftSummary[[#This Row],[Summary10]]</f>
        <v>-419.12332253996283</v>
      </c>
      <c r="AN1721" s="93">
        <f>Tab1SDataShiftSummary[[#This Row],[Summary12]]-Tab1SDataShiftSummary[[#This Row],[Summary11]]</f>
        <v>166.18554497451987</v>
      </c>
      <c r="AO1721" s="93">
        <f>Tab1SDataShiftSummary[[#This Row],[Summary13]]-Tab1SDataShiftSummary[[#This Row],[Summary12]]</f>
        <v>-2939.5100633131806</v>
      </c>
      <c r="AP1721" s="93">
        <f>Tab1SDataShiftSummary[[#This Row],[Summary14]]-Tab1SDataShiftSummary[[#This Row],[Summary13]]</f>
        <v>-1594.5185224800371</v>
      </c>
      <c r="AQ1721" s="93">
        <f>Tab1SDataShiftSummary[[#This Row],[Summary15]]-Tab1SDataShiftSummary[[#This Row],[Summary14]]</f>
        <v>9400.6896624966175</v>
      </c>
      <c r="AR1721" s="93">
        <f>Tab1SDataShiftSummary[[#This Row],[Summary16]]-Tab1SDataShiftSummary[[#This Row],[Summary15]]</f>
        <v>-1233.5795404399978</v>
      </c>
      <c r="AS1721" s="93">
        <f>Tab1SDataShiftSummary[[#This Row],[Summary17]]-Tab1SDataShiftSummary[[#This Row],[Summary16]]</f>
        <v>-1795.7075187999872</v>
      </c>
      <c r="AT1721" s="93">
        <f>Tab1SDataShiftSummary[[#This Row],[Summary18]]-Tab1SDataShiftSummary[[#This Row],[Summary17]]</f>
        <v>523.273598639993</v>
      </c>
      <c r="AU1721" s="93">
        <f>Tab1SDataShiftSummary[[#This Row],[Summary19]]-Tab1SDataShiftSummary[[#This Row],[Summary18]]</f>
        <v>0</v>
      </c>
      <c r="AV1721" s="1540">
        <f ca="1">Tab1SDataShiftSummary[[#This Row],[Summary20]]-Tab1SDataShiftSummary[[#This Row],[Summary19]]</f>
        <v>0</v>
      </c>
      <c r="AY1721" s="317" t="s">
        <v>1906</v>
      </c>
    </row>
    <row r="1722" spans="1:52" x14ac:dyDescent="0.3">
      <c r="A1722">
        <v>11</v>
      </c>
      <c r="B1722" s="317" t="s">
        <v>1905</v>
      </c>
      <c r="C1722" t="s">
        <v>2296</v>
      </c>
      <c r="E1722" s="90"/>
      <c r="F1722" s="93">
        <v>7472702.6743493378</v>
      </c>
      <c r="G1722" s="93">
        <v>7584376.0267533362</v>
      </c>
      <c r="H1722" s="93">
        <v>7697254.4565214589</v>
      </c>
      <c r="I1722" s="93">
        <v>7634551.1667613536</v>
      </c>
      <c r="J1722" s="93">
        <v>7375922.353849344</v>
      </c>
      <c r="K1722" s="93">
        <v>7619458.6794413477</v>
      </c>
      <c r="L1722" s="93">
        <v>5825166.4411813468</v>
      </c>
      <c r="M1722" s="93">
        <v>5825166.4411813468</v>
      </c>
      <c r="N1722" s="93">
        <v>5594955.9843205661</v>
      </c>
      <c r="O1722" s="93">
        <v>4994563.6905424744</v>
      </c>
      <c r="P1722" s="93">
        <v>5075632.8188165724</v>
      </c>
      <c r="Q1722" s="93">
        <v>5077222.1819165498</v>
      </c>
      <c r="R1722" s="93">
        <v>5029285.9386824667</v>
      </c>
      <c r="S1722" s="93">
        <v>5007936.8350644559</v>
      </c>
      <c r="T1722" s="93">
        <v>5037744.104264468</v>
      </c>
      <c r="U1722" s="93">
        <v>6162640.2857654691</v>
      </c>
      <c r="V1722" s="93">
        <v>6402686.0751654804</v>
      </c>
      <c r="W1722" s="93">
        <v>6616758.9083654732</v>
      </c>
      <c r="X1722" s="93">
        <v>6237698.74796547</v>
      </c>
      <c r="Y1722" s="93">
        <v>6237698.74796547</v>
      </c>
      <c r="Z1722" s="93">
        <f ca="1">Z1718+Z1713</f>
        <v>6237698.74796547</v>
      </c>
      <c r="AB1722" s="93">
        <f ca="1">Tab1SDataShiftSummary[[#This Row],[Summary0]]-Tab1SDataShiftSummary[[#This Row],[Summary20]]</f>
        <v>1235003.9263838679</v>
      </c>
      <c r="AC1722" s="93">
        <f>Tab1SDataShiftSummary[[#This Row],[Summary1]]-Tab1SDataShiftSummary[[#This Row],[Summary0]]</f>
        <v>111673.35240399837</v>
      </c>
      <c r="AD1722" s="93">
        <f>Tab1SDataShiftSummary[[#This Row],[Summary2]]-Tab1SDataShiftSummary[[#This Row],[Summary1]]</f>
        <v>112878.42976812273</v>
      </c>
      <c r="AE1722" s="93">
        <f>Tab1SDataShiftSummary[[#This Row],[Summary3]]-Tab1SDataShiftSummary[[#This Row],[Summary2]]</f>
        <v>-62703.289760105312</v>
      </c>
      <c r="AF1722" s="93">
        <f>Tab1SDataShiftSummary[[#This Row],[Summary4]]-Tab1SDataShiftSummary[[#This Row],[Summary3]]</f>
        <v>-258628.81291200966</v>
      </c>
      <c r="AG1722" s="93">
        <f>Tab1SDataShiftSummary[[#This Row],[Summary5]]-Tab1SDataShiftSummary[[#This Row],[Summary4]]</f>
        <v>243536.32559200376</v>
      </c>
      <c r="AH1722" s="93">
        <f>Tab1SDataShiftSummary[[#This Row],[Summary6]]-Tab1SDataShiftSummary[[#This Row],[Summary5]]</f>
        <v>-1794292.2382600009</v>
      </c>
      <c r="AI1722" s="93">
        <f>Tab1SDataShiftSummary[[#This Row],[Summary7]]-Tab1SDataShiftSummary[[#This Row],[Summary6]]</f>
        <v>0</v>
      </c>
      <c r="AJ1722" s="93">
        <f>Tab1SDataShiftSummary[[#This Row],[Summary8]]-Tab1SDataShiftSummary[[#This Row],[Summary7]]</f>
        <v>-230210.45686078072</v>
      </c>
      <c r="AK1722" s="93">
        <f>Tab1SDataShiftSummary[[#This Row],[Summary9]]-Tab1SDataShiftSummary[[#This Row],[Summary8]]</f>
        <v>-600392.29377809167</v>
      </c>
      <c r="AL1722" s="93">
        <f>Tab1SDataShiftSummary[[#This Row],[Summary10]]-Tab1SDataShiftSummary[[#This Row],[Summary9]]</f>
        <v>81069.128274098039</v>
      </c>
      <c r="AM1722" s="93">
        <f>Tab1SDataShiftSummary[[#This Row],[Summary11]]-Tab1SDataShiftSummary[[#This Row],[Summary10]]</f>
        <v>1589.3630999773741</v>
      </c>
      <c r="AN1722" s="93">
        <f>Tab1SDataShiftSummary[[#This Row],[Summary12]]-Tab1SDataShiftSummary[[#This Row],[Summary11]]</f>
        <v>-47936.243234083056</v>
      </c>
      <c r="AO1722" s="93">
        <f>Tab1SDataShiftSummary[[#This Row],[Summary13]]-Tab1SDataShiftSummary[[#This Row],[Summary12]]</f>
        <v>-21349.103618010879</v>
      </c>
      <c r="AP1722" s="93">
        <f>Tab1SDataShiftSummary[[#This Row],[Summary14]]-Tab1SDataShiftSummary[[#This Row],[Summary13]]</f>
        <v>29807.269200012088</v>
      </c>
      <c r="AQ1722" s="93">
        <f>Tab1SDataShiftSummary[[#This Row],[Summary15]]-Tab1SDataShiftSummary[[#This Row],[Summary14]]</f>
        <v>1124896.1815010011</v>
      </c>
      <c r="AR1722" s="93">
        <f>Tab1SDataShiftSummary[[#This Row],[Summary16]]-Tab1SDataShiftSummary[[#This Row],[Summary15]]</f>
        <v>240045.7894000113</v>
      </c>
      <c r="AS1722" s="93">
        <f>Tab1SDataShiftSummary[[#This Row],[Summary17]]-Tab1SDataShiftSummary[[#This Row],[Summary16]]</f>
        <v>214072.83319999278</v>
      </c>
      <c r="AT1722" s="93">
        <f>Tab1SDataShiftSummary[[#This Row],[Summary18]]-Tab1SDataShiftSummary[[#This Row],[Summary17]]</f>
        <v>-379060.16040000319</v>
      </c>
      <c r="AU1722" s="93">
        <f>Tab1SDataShiftSummary[[#This Row],[Summary19]]-Tab1SDataShiftSummary[[#This Row],[Summary18]]</f>
        <v>0</v>
      </c>
      <c r="AV1722" s="1540">
        <f ca="1">Tab1SDataShiftSummary[[#This Row],[Summary20]]-Tab1SDataShiftSummary[[#This Row],[Summary19]]</f>
        <v>0</v>
      </c>
      <c r="AY1722" s="317" t="s">
        <v>1905</v>
      </c>
    </row>
    <row r="1723" spans="1:52" x14ac:dyDescent="0.3">
      <c r="A1723">
        <v>12</v>
      </c>
      <c r="B1723" s="317" t="s">
        <v>2286</v>
      </c>
      <c r="C1723" t="s">
        <v>2295</v>
      </c>
      <c r="E1723" s="90"/>
      <c r="F1723" s="308">
        <v>1.303525854329318</v>
      </c>
      <c r="G1723" s="308">
        <v>1.3208092673631511</v>
      </c>
      <c r="H1723" s="308">
        <v>1.3428695764931575</v>
      </c>
      <c r="I1723" s="308">
        <v>1.3249254649952649</v>
      </c>
      <c r="J1723" s="308">
        <v>1.3734259988483308</v>
      </c>
      <c r="K1723" s="308">
        <v>1.4196313890473815</v>
      </c>
      <c r="L1723" s="308">
        <v>1.5791845210603659</v>
      </c>
      <c r="M1723" s="308">
        <v>1.5791601017177874</v>
      </c>
      <c r="N1723" s="308">
        <v>1.6775884226657041</v>
      </c>
      <c r="O1723" s="308">
        <v>1.7282544700676368</v>
      </c>
      <c r="P1723" s="308">
        <v>1.7583911565446377</v>
      </c>
      <c r="Q1723" s="308">
        <v>1.7682142532081757</v>
      </c>
      <c r="R1723" s="308">
        <v>1.7397566398175466</v>
      </c>
      <c r="S1723" s="308">
        <v>1.6771010189771116</v>
      </c>
      <c r="T1723" s="308">
        <v>1.7211683983578896</v>
      </c>
      <c r="U1723" s="308">
        <v>1.8557067759932591</v>
      </c>
      <c r="V1723" s="308">
        <v>1.8850994162544989</v>
      </c>
      <c r="W1723" s="308">
        <v>1.9245048555090805</v>
      </c>
      <c r="X1723" s="308">
        <v>1.7542507894393327</v>
      </c>
      <c r="Y1723" s="308">
        <v>1.7361993074607034</v>
      </c>
      <c r="Z1723" s="308">
        <f ca="1">Z1715/ABS(Z1714)</f>
        <v>1.7361993074607034</v>
      </c>
      <c r="AB1723" s="308">
        <f ca="1">Tab1SDataShiftSummary[[#This Row],[Summary0]]-Tab1SDataShiftSummary[[#This Row],[Summary20]]</f>
        <v>-0.43267345313138539</v>
      </c>
      <c r="AC1723" s="308">
        <f>Tab1SDataShiftSummary[[#This Row],[Summary1]]-Tab1SDataShiftSummary[[#This Row],[Summary0]]</f>
        <v>1.7283413033833073E-2</v>
      </c>
      <c r="AD1723" s="308">
        <f>Tab1SDataShiftSummary[[#This Row],[Summary2]]-Tab1SDataShiftSummary[[#This Row],[Summary1]]</f>
        <v>2.206030913000645E-2</v>
      </c>
      <c r="AE1723" s="308">
        <f>Tab1SDataShiftSummary[[#This Row],[Summary3]]-Tab1SDataShiftSummary[[#This Row],[Summary2]]</f>
        <v>-1.7944111497892656E-2</v>
      </c>
      <c r="AF1723" s="308">
        <f>Tab1SDataShiftSummary[[#This Row],[Summary4]]-Tab1SDataShiftSummary[[#This Row],[Summary3]]</f>
        <v>4.8500533853065964E-2</v>
      </c>
      <c r="AG1723" s="308">
        <f>Tab1SDataShiftSummary[[#This Row],[Summary5]]-Tab1SDataShiftSummary[[#This Row],[Summary4]]</f>
        <v>4.6205390199050678E-2</v>
      </c>
      <c r="AH1723" s="308">
        <f>Tab1SDataShiftSummary[[#This Row],[Summary6]]-Tab1SDataShiftSummary[[#This Row],[Summary5]]</f>
        <v>0.15955313201298438</v>
      </c>
      <c r="AI1723" s="308">
        <f>Tab1SDataShiftSummary[[#This Row],[Summary7]]-Tab1SDataShiftSummary[[#This Row],[Summary6]]</f>
        <v>-2.4419342578463343E-5</v>
      </c>
      <c r="AJ1723" s="308">
        <f>Tab1SDataShiftSummary[[#This Row],[Summary8]]-Tab1SDataShiftSummary[[#This Row],[Summary7]]</f>
        <v>9.8428320947916648E-2</v>
      </c>
      <c r="AK1723" s="308">
        <f>Tab1SDataShiftSummary[[#This Row],[Summary9]]-Tab1SDataShiftSummary[[#This Row],[Summary8]]</f>
        <v>5.0666047401932701E-2</v>
      </c>
      <c r="AL1723" s="308">
        <f>Tab1SDataShiftSummary[[#This Row],[Summary10]]-Tab1SDataShiftSummary[[#This Row],[Summary9]]</f>
        <v>3.0136686477000962E-2</v>
      </c>
      <c r="AM1723" s="308">
        <f>Tab1SDataShiftSummary[[#This Row],[Summary11]]-Tab1SDataShiftSummary[[#This Row],[Summary10]]</f>
        <v>9.8230966635379779E-3</v>
      </c>
      <c r="AN1723" s="308">
        <f>Tab1SDataShiftSummary[[#This Row],[Summary12]]-Tab1SDataShiftSummary[[#This Row],[Summary11]]</f>
        <v>-2.8457613390629133E-2</v>
      </c>
      <c r="AO1723" s="308">
        <f>Tab1SDataShiftSummary[[#This Row],[Summary13]]-Tab1SDataShiftSummary[[#This Row],[Summary12]]</f>
        <v>-6.2655620840434967E-2</v>
      </c>
      <c r="AP1723" s="308">
        <f>Tab1SDataShiftSummary[[#This Row],[Summary14]]-Tab1SDataShiftSummary[[#This Row],[Summary13]]</f>
        <v>4.4067379380777982E-2</v>
      </c>
      <c r="AQ1723" s="308">
        <f>Tab1SDataShiftSummary[[#This Row],[Summary15]]-Tab1SDataShiftSummary[[#This Row],[Summary14]]</f>
        <v>0.13453837763536947</v>
      </c>
      <c r="AR1723" s="308">
        <f>Tab1SDataShiftSummary[[#This Row],[Summary16]]-Tab1SDataShiftSummary[[#This Row],[Summary15]]</f>
        <v>2.9392640261239888E-2</v>
      </c>
      <c r="AS1723" s="308">
        <f>Tab1SDataShiftSummary[[#This Row],[Summary17]]-Tab1SDataShiftSummary[[#This Row],[Summary16]]</f>
        <v>3.9405439254581509E-2</v>
      </c>
      <c r="AT1723" s="308">
        <f>Tab1SDataShiftSummary[[#This Row],[Summary18]]-Tab1SDataShiftSummary[[#This Row],[Summary17]]</f>
        <v>-0.1702540660697478</v>
      </c>
      <c r="AU1723" s="308">
        <f>Tab1SDataShiftSummary[[#This Row],[Summary19]]-Tab1SDataShiftSummary[[#This Row],[Summary18]]</f>
        <v>-1.8051481978629269E-2</v>
      </c>
      <c r="AV1723" s="1541">
        <f ca="1">Tab1SDataShiftSummary[[#This Row],[Summary20]]-Tab1SDataShiftSummary[[#This Row],[Summary19]]</f>
        <v>0</v>
      </c>
      <c r="AY1723" s="317" t="s">
        <v>2286</v>
      </c>
      <c r="AZ1723" t="s">
        <v>2277</v>
      </c>
    </row>
    <row r="1724" spans="1:52" x14ac:dyDescent="0.3">
      <c r="A1724">
        <v>13</v>
      </c>
      <c r="B1724" s="317" t="s">
        <v>1134</v>
      </c>
      <c r="C1724"/>
      <c r="E1724" s="90"/>
      <c r="F1724" s="93">
        <v>6649597.4800000004</v>
      </c>
      <c r="G1724" s="93">
        <v>6786238.3900000006</v>
      </c>
      <c r="H1724" s="93">
        <v>6726706.5800000001</v>
      </c>
      <c r="I1724" s="93">
        <v>6668466.21</v>
      </c>
      <c r="J1724" s="93">
        <v>6798718.7199999997</v>
      </c>
      <c r="K1724" s="93">
        <v>6768865.7700000005</v>
      </c>
      <c r="L1724" s="93">
        <v>6675025.0699999994</v>
      </c>
      <c r="M1724" s="93">
        <v>6675025.0699999994</v>
      </c>
      <c r="N1724" s="93">
        <v>6681525.7999999998</v>
      </c>
      <c r="O1724" s="93">
        <v>6578769.4299999997</v>
      </c>
      <c r="P1724" s="93">
        <v>6576101.25</v>
      </c>
      <c r="Q1724" s="93">
        <v>6571772.0899999999</v>
      </c>
      <c r="R1724" s="93">
        <v>6634870.6299999999</v>
      </c>
      <c r="S1724" s="93">
        <v>6475320.3899999997</v>
      </c>
      <c r="T1724" s="93">
        <v>6678130.5600000005</v>
      </c>
      <c r="U1724" s="93">
        <v>5327296.87</v>
      </c>
      <c r="V1724" s="93">
        <v>5235971.1100000003</v>
      </c>
      <c r="W1724" s="93">
        <v>5224982.38</v>
      </c>
      <c r="X1724" s="93">
        <v>5575495.9299999997</v>
      </c>
      <c r="Y1724" s="93">
        <v>5684332.7300000004</v>
      </c>
      <c r="Z1724" s="93">
        <f ca="1">Calc!BR103</f>
        <v>5684332.7300000004</v>
      </c>
      <c r="AB1724" s="93">
        <f ca="1">Tab1SDataShiftSummary[[#This Row],[Summary0]]-Tab1SDataShiftSummary[[#This Row],[Summary20]]</f>
        <v>965264.75</v>
      </c>
      <c r="AC1724" s="93">
        <f>Tab1SDataShiftSummary[[#This Row],[Summary1]]-Tab1SDataShiftSummary[[#This Row],[Summary0]]</f>
        <v>136640.91000000015</v>
      </c>
      <c r="AD1724" s="93">
        <f>Tab1SDataShiftSummary[[#This Row],[Summary2]]-Tab1SDataShiftSummary[[#This Row],[Summary1]]</f>
        <v>-59531.810000000522</v>
      </c>
      <c r="AE1724" s="93">
        <f>Tab1SDataShiftSummary[[#This Row],[Summary3]]-Tab1SDataShiftSummary[[#This Row],[Summary2]]</f>
        <v>-58240.370000000112</v>
      </c>
      <c r="AF1724" s="93">
        <f>Tab1SDataShiftSummary[[#This Row],[Summary4]]-Tab1SDataShiftSummary[[#This Row],[Summary3]]</f>
        <v>130252.50999999978</v>
      </c>
      <c r="AG1724" s="93">
        <f>Tab1SDataShiftSummary[[#This Row],[Summary5]]-Tab1SDataShiftSummary[[#This Row],[Summary4]]</f>
        <v>-29852.949999999255</v>
      </c>
      <c r="AH1724" s="93">
        <f>Tab1SDataShiftSummary[[#This Row],[Summary6]]-Tab1SDataShiftSummary[[#This Row],[Summary5]]</f>
        <v>-93840.700000001118</v>
      </c>
      <c r="AI1724" s="93">
        <f>Tab1SDataShiftSummary[[#This Row],[Summary7]]-Tab1SDataShiftSummary[[#This Row],[Summary6]]</f>
        <v>0</v>
      </c>
      <c r="AJ1724" s="93">
        <f>Tab1SDataShiftSummary[[#This Row],[Summary8]]-Tab1SDataShiftSummary[[#This Row],[Summary7]]</f>
        <v>6500.730000000447</v>
      </c>
      <c r="AK1724" s="93">
        <f>Tab1SDataShiftSummary[[#This Row],[Summary9]]-Tab1SDataShiftSummary[[#This Row],[Summary8]]</f>
        <v>-102756.37000000011</v>
      </c>
      <c r="AL1724" s="93">
        <f>Tab1SDataShiftSummary[[#This Row],[Summary10]]-Tab1SDataShiftSummary[[#This Row],[Summary9]]</f>
        <v>-2668.179999999702</v>
      </c>
      <c r="AM1724" s="93">
        <f>Tab1SDataShiftSummary[[#This Row],[Summary11]]-Tab1SDataShiftSummary[[#This Row],[Summary10]]</f>
        <v>-4329.160000000149</v>
      </c>
      <c r="AN1724" s="93">
        <f>Tab1SDataShiftSummary[[#This Row],[Summary12]]-Tab1SDataShiftSummary[[#This Row],[Summary11]]</f>
        <v>63098.540000000037</v>
      </c>
      <c r="AO1724" s="93">
        <f>Tab1SDataShiftSummary[[#This Row],[Summary13]]-Tab1SDataShiftSummary[[#This Row],[Summary12]]</f>
        <v>-159550.24000000022</v>
      </c>
      <c r="AP1724" s="93">
        <f>Tab1SDataShiftSummary[[#This Row],[Summary14]]-Tab1SDataShiftSummary[[#This Row],[Summary13]]</f>
        <v>202810.17000000086</v>
      </c>
      <c r="AQ1724" s="93">
        <f>Tab1SDataShiftSummary[[#This Row],[Summary15]]-Tab1SDataShiftSummary[[#This Row],[Summary14]]</f>
        <v>-1350833.6900000004</v>
      </c>
      <c r="AR1724" s="93">
        <f>Tab1SDataShiftSummary[[#This Row],[Summary16]]-Tab1SDataShiftSummary[[#This Row],[Summary15]]</f>
        <v>-91325.759999999776</v>
      </c>
      <c r="AS1724" s="93">
        <f>Tab1SDataShiftSummary[[#This Row],[Summary17]]-Tab1SDataShiftSummary[[#This Row],[Summary16]]</f>
        <v>-10988.730000000447</v>
      </c>
      <c r="AT1724" s="93">
        <f>Tab1SDataShiftSummary[[#This Row],[Summary18]]-Tab1SDataShiftSummary[[#This Row],[Summary17]]</f>
        <v>350513.54999999981</v>
      </c>
      <c r="AU1724" s="93">
        <f>Tab1SDataShiftSummary[[#This Row],[Summary19]]-Tab1SDataShiftSummary[[#This Row],[Summary18]]</f>
        <v>108836.80000000075</v>
      </c>
      <c r="AV1724" s="1540">
        <f ca="1">Tab1SDataShiftSummary[[#This Row],[Summary20]]-Tab1SDataShiftSummary[[#This Row],[Summary19]]</f>
        <v>0</v>
      </c>
      <c r="AY1724" s="846" t="s">
        <v>1134</v>
      </c>
      <c r="AZ1724" t="s">
        <v>2279</v>
      </c>
    </row>
    <row r="1725" spans="1:52" x14ac:dyDescent="0.3">
      <c r="A1725">
        <v>14</v>
      </c>
      <c r="B1725" s="317" t="s">
        <v>1131</v>
      </c>
      <c r="C1725"/>
      <c r="E1725" s="93"/>
      <c r="F1725" s="93">
        <v>18197891.440000001</v>
      </c>
      <c r="G1725" s="93">
        <v>18160842.437499996</v>
      </c>
      <c r="H1725" s="93">
        <v>18163110.300000001</v>
      </c>
      <c r="I1725" s="93">
        <v>17909652.359999999</v>
      </c>
      <c r="J1725" s="93">
        <v>18591174.149999999</v>
      </c>
      <c r="K1725" s="93">
        <v>18235995.559999999</v>
      </c>
      <c r="L1725" s="93">
        <v>19941595.289999999</v>
      </c>
      <c r="M1725" s="93">
        <v>19941430.289999999</v>
      </c>
      <c r="N1725" s="93">
        <v>20444025.479999993</v>
      </c>
      <c r="O1725" s="93">
        <v>21283166.004999995</v>
      </c>
      <c r="P1725" s="93">
        <v>21374732.93</v>
      </c>
      <c r="Q1725" s="93">
        <v>21568621.209999997</v>
      </c>
      <c r="R1725" s="93">
        <v>21353674.300000001</v>
      </c>
      <c r="S1725" s="93">
        <v>21870035.390000001</v>
      </c>
      <c r="T1725" s="93">
        <v>21715251.148000002</v>
      </c>
      <c r="U1725" s="93">
        <v>21123873.149900001</v>
      </c>
      <c r="V1725" s="93">
        <v>20865450.139999997</v>
      </c>
      <c r="W1725" s="93">
        <v>20929405.350000001</v>
      </c>
      <c r="X1725" s="93">
        <v>20437727.149999999</v>
      </c>
      <c r="Y1725" s="93">
        <v>20260242.169999998</v>
      </c>
      <c r="Z1725" s="93">
        <f ca="1">Calc!BS103</f>
        <v>20260242.169999998</v>
      </c>
      <c r="AB1725" s="93">
        <f ca="1">Tab1SDataShiftSummary[[#This Row],[Summary0]]-Tab1SDataShiftSummary[[#This Row],[Summary20]]</f>
        <v>-2062350.7299999967</v>
      </c>
      <c r="AC1725" s="93">
        <f>Tab1SDataShiftSummary[[#This Row],[Summary1]]-Tab1SDataShiftSummary[[#This Row],[Summary0]]</f>
        <v>-37049.002500005066</v>
      </c>
      <c r="AD1725" s="93">
        <f>Tab1SDataShiftSummary[[#This Row],[Summary2]]-Tab1SDataShiftSummary[[#This Row],[Summary1]]</f>
        <v>2267.8625000044703</v>
      </c>
      <c r="AE1725" s="93">
        <f>Tab1SDataShiftSummary[[#This Row],[Summary3]]-Tab1SDataShiftSummary[[#This Row],[Summary2]]</f>
        <v>-253457.94000000134</v>
      </c>
      <c r="AF1725" s="93">
        <f>Tab1SDataShiftSummary[[#This Row],[Summary4]]-Tab1SDataShiftSummary[[#This Row],[Summary3]]</f>
        <v>681521.78999999911</v>
      </c>
      <c r="AG1725" s="93">
        <f>Tab1SDataShiftSummary[[#This Row],[Summary5]]-Tab1SDataShiftSummary[[#This Row],[Summary4]]</f>
        <v>-355178.58999999985</v>
      </c>
      <c r="AH1725" s="93">
        <f>Tab1SDataShiftSummary[[#This Row],[Summary6]]-Tab1SDataShiftSummary[[#This Row],[Summary5]]</f>
        <v>1705599.7300000004</v>
      </c>
      <c r="AI1725" s="93">
        <f>Tab1SDataShiftSummary[[#This Row],[Summary7]]-Tab1SDataShiftSummary[[#This Row],[Summary6]]</f>
        <v>-165</v>
      </c>
      <c r="AJ1725" s="93">
        <f>Tab1SDataShiftSummary[[#This Row],[Summary8]]-Tab1SDataShiftSummary[[#This Row],[Summary7]]</f>
        <v>502595.18999999389</v>
      </c>
      <c r="AK1725" s="93">
        <f>Tab1SDataShiftSummary[[#This Row],[Summary9]]-Tab1SDataShiftSummary[[#This Row],[Summary8]]</f>
        <v>839140.52500000224</v>
      </c>
      <c r="AL1725" s="93">
        <f>Tab1SDataShiftSummary[[#This Row],[Summary10]]-Tab1SDataShiftSummary[[#This Row],[Summary9]]</f>
        <v>91566.92500000447</v>
      </c>
      <c r="AM1725" s="93">
        <f>Tab1SDataShiftSummary[[#This Row],[Summary11]]-Tab1SDataShiftSummary[[#This Row],[Summary10]]</f>
        <v>193888.27999999747</v>
      </c>
      <c r="AN1725" s="93">
        <f>Tab1SDataShiftSummary[[#This Row],[Summary12]]-Tab1SDataShiftSummary[[#This Row],[Summary11]]</f>
        <v>-214946.90999999642</v>
      </c>
      <c r="AO1725" s="93">
        <f>Tab1SDataShiftSummary[[#This Row],[Summary13]]-Tab1SDataShiftSummary[[#This Row],[Summary12]]</f>
        <v>516361.08999999985</v>
      </c>
      <c r="AP1725" s="93">
        <f>Tab1SDataShiftSummary[[#This Row],[Summary14]]-Tab1SDataShiftSummary[[#This Row],[Summary13]]</f>
        <v>-154784.24199999869</v>
      </c>
      <c r="AQ1725" s="93">
        <f>Tab1SDataShiftSummary[[#This Row],[Summary15]]-Tab1SDataShiftSummary[[#This Row],[Summary14]]</f>
        <v>-591377.99810000136</v>
      </c>
      <c r="AR1725" s="93">
        <f>Tab1SDataShiftSummary[[#This Row],[Summary16]]-Tab1SDataShiftSummary[[#This Row],[Summary15]]</f>
        <v>-258423.00990000367</v>
      </c>
      <c r="AS1725" s="93">
        <f>Tab1SDataShiftSummary[[#This Row],[Summary17]]-Tab1SDataShiftSummary[[#This Row],[Summary16]]</f>
        <v>63955.210000004619</v>
      </c>
      <c r="AT1725" s="93">
        <f>Tab1SDataShiftSummary[[#This Row],[Summary18]]-Tab1SDataShiftSummary[[#This Row],[Summary17]]</f>
        <v>-491678.20000000298</v>
      </c>
      <c r="AU1725" s="93">
        <f>Tab1SDataShiftSummary[[#This Row],[Summary19]]-Tab1SDataShiftSummary[[#This Row],[Summary18]]</f>
        <v>-177484.98000000045</v>
      </c>
      <c r="AV1725" s="1540">
        <f ca="1">Tab1SDataShiftSummary[[#This Row],[Summary20]]-Tab1SDataShiftSummary[[#This Row],[Summary19]]</f>
        <v>0</v>
      </c>
      <c r="AY1725" s="846" t="s">
        <v>1131</v>
      </c>
      <c r="AZ1725" t="s">
        <v>2279</v>
      </c>
    </row>
    <row r="1726" spans="1:52" x14ac:dyDescent="0.3">
      <c r="A1726">
        <v>15</v>
      </c>
      <c r="B1726" s="317" t="s">
        <v>1445</v>
      </c>
      <c r="C1726"/>
      <c r="E1726" s="93"/>
      <c r="F1726" s="93">
        <v>1531460</v>
      </c>
      <c r="G1726" s="93">
        <v>1515500</v>
      </c>
      <c r="H1726" s="93">
        <v>1171000</v>
      </c>
      <c r="I1726" s="93">
        <v>1478440</v>
      </c>
      <c r="J1726" s="93">
        <v>1491660</v>
      </c>
      <c r="K1726" s="93">
        <v>1489840</v>
      </c>
      <c r="L1726" s="93">
        <v>1429850</v>
      </c>
      <c r="M1726" s="93">
        <v>1429850</v>
      </c>
      <c r="N1726" s="93">
        <v>1395630</v>
      </c>
      <c r="O1726" s="93">
        <v>1341390</v>
      </c>
      <c r="P1726" s="93">
        <v>1327667</v>
      </c>
      <c r="Q1726" s="93">
        <v>1287160</v>
      </c>
      <c r="R1726" s="93">
        <v>1279855</v>
      </c>
      <c r="S1726" s="93">
        <v>1146990</v>
      </c>
      <c r="T1726" s="93">
        <v>1075190</v>
      </c>
      <c r="U1726" s="93">
        <v>1045960</v>
      </c>
      <c r="V1726" s="93">
        <v>910780</v>
      </c>
      <c r="W1726" s="93">
        <v>898900</v>
      </c>
      <c r="X1726" s="93">
        <v>875529</v>
      </c>
      <c r="Y1726" s="93">
        <v>885230</v>
      </c>
      <c r="Z1726" s="93">
        <f ca="1">Calc!BT103</f>
        <v>885230</v>
      </c>
      <c r="AB1726" s="93">
        <f ca="1">Tab1SDataShiftSummary[[#This Row],[Summary0]]-Tab1SDataShiftSummary[[#This Row],[Summary20]]</f>
        <v>646230</v>
      </c>
      <c r="AC1726" s="93">
        <f>Tab1SDataShiftSummary[[#This Row],[Summary1]]-Tab1SDataShiftSummary[[#This Row],[Summary0]]</f>
        <v>-15960</v>
      </c>
      <c r="AD1726" s="93">
        <f>Tab1SDataShiftSummary[[#This Row],[Summary2]]-Tab1SDataShiftSummary[[#This Row],[Summary1]]</f>
        <v>-344500</v>
      </c>
      <c r="AE1726" s="93">
        <f>Tab1SDataShiftSummary[[#This Row],[Summary3]]-Tab1SDataShiftSummary[[#This Row],[Summary2]]</f>
        <v>307440</v>
      </c>
      <c r="AF1726" s="93">
        <f>Tab1SDataShiftSummary[[#This Row],[Summary4]]-Tab1SDataShiftSummary[[#This Row],[Summary3]]</f>
        <v>13220</v>
      </c>
      <c r="AG1726" s="93">
        <f>Tab1SDataShiftSummary[[#This Row],[Summary5]]-Tab1SDataShiftSummary[[#This Row],[Summary4]]</f>
        <v>-1820</v>
      </c>
      <c r="AH1726" s="93">
        <f>Tab1SDataShiftSummary[[#This Row],[Summary6]]-Tab1SDataShiftSummary[[#This Row],[Summary5]]</f>
        <v>-59990</v>
      </c>
      <c r="AI1726" s="93">
        <f>Tab1SDataShiftSummary[[#This Row],[Summary7]]-Tab1SDataShiftSummary[[#This Row],[Summary6]]</f>
        <v>0</v>
      </c>
      <c r="AJ1726" s="93">
        <f>Tab1SDataShiftSummary[[#This Row],[Summary8]]-Tab1SDataShiftSummary[[#This Row],[Summary7]]</f>
        <v>-34220</v>
      </c>
      <c r="AK1726" s="93">
        <f>Tab1SDataShiftSummary[[#This Row],[Summary9]]-Tab1SDataShiftSummary[[#This Row],[Summary8]]</f>
        <v>-54240</v>
      </c>
      <c r="AL1726" s="93">
        <f>Tab1SDataShiftSummary[[#This Row],[Summary10]]-Tab1SDataShiftSummary[[#This Row],[Summary9]]</f>
        <v>-13723</v>
      </c>
      <c r="AM1726" s="93">
        <f>Tab1SDataShiftSummary[[#This Row],[Summary11]]-Tab1SDataShiftSummary[[#This Row],[Summary10]]</f>
        <v>-40507</v>
      </c>
      <c r="AN1726" s="93">
        <f>Tab1SDataShiftSummary[[#This Row],[Summary12]]-Tab1SDataShiftSummary[[#This Row],[Summary11]]</f>
        <v>-7305</v>
      </c>
      <c r="AO1726" s="93">
        <f>Tab1SDataShiftSummary[[#This Row],[Summary13]]-Tab1SDataShiftSummary[[#This Row],[Summary12]]</f>
        <v>-132865</v>
      </c>
      <c r="AP1726" s="93">
        <f>Tab1SDataShiftSummary[[#This Row],[Summary14]]-Tab1SDataShiftSummary[[#This Row],[Summary13]]</f>
        <v>-71800</v>
      </c>
      <c r="AQ1726" s="93">
        <f>Tab1SDataShiftSummary[[#This Row],[Summary15]]-Tab1SDataShiftSummary[[#This Row],[Summary14]]</f>
        <v>-29230</v>
      </c>
      <c r="AR1726" s="93">
        <f>Tab1SDataShiftSummary[[#This Row],[Summary16]]-Tab1SDataShiftSummary[[#This Row],[Summary15]]</f>
        <v>-135180</v>
      </c>
      <c r="AS1726" s="93">
        <f>Tab1SDataShiftSummary[[#This Row],[Summary17]]-Tab1SDataShiftSummary[[#This Row],[Summary16]]</f>
        <v>-11880</v>
      </c>
      <c r="AT1726" s="93">
        <f>Tab1SDataShiftSummary[[#This Row],[Summary18]]-Tab1SDataShiftSummary[[#This Row],[Summary17]]</f>
        <v>-23371</v>
      </c>
      <c r="AU1726" s="93">
        <f>Tab1SDataShiftSummary[[#This Row],[Summary19]]-Tab1SDataShiftSummary[[#This Row],[Summary18]]</f>
        <v>9701</v>
      </c>
      <c r="AV1726" s="1540">
        <f ca="1">Tab1SDataShiftSummary[[#This Row],[Summary20]]-Tab1SDataShiftSummary[[#This Row],[Summary19]]</f>
        <v>0</v>
      </c>
      <c r="AY1726" s="846" t="s">
        <v>1445</v>
      </c>
      <c r="AZ1726" t="s">
        <v>2279</v>
      </c>
    </row>
    <row r="1727" spans="1:52" x14ac:dyDescent="0.3">
      <c r="A1727">
        <v>16</v>
      </c>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1540">
        <f>Tab1SDataShiftSummary[[#This Row],[Summary20]]-Tab1SDataShiftSummary[[#This Row],[Summary19]]</f>
        <v>0</v>
      </c>
      <c r="AY1727" s="846" t="s">
        <v>1133</v>
      </c>
      <c r="AZ1727" t="s">
        <v>2279</v>
      </c>
    </row>
    <row r="1728" spans="1:52" x14ac:dyDescent="0.3">
      <c r="A1728">
        <v>17</v>
      </c>
      <c r="B1728" s="317" t="s">
        <v>2126</v>
      </c>
      <c r="C1728"/>
      <c r="E1728" s="93"/>
      <c r="F1728" s="308">
        <v>2.4506621740419008</v>
      </c>
      <c r="G1728" s="308">
        <v>2.4897011407947764</v>
      </c>
      <c r="H1728" s="308">
        <v>2.5733822963156019</v>
      </c>
      <c r="I1728" s="308">
        <v>2.5465698430590762</v>
      </c>
      <c r="J1728" s="308">
        <v>2.4977526227621554</v>
      </c>
      <c r="K1728" s="308">
        <v>2.6644312707675404</v>
      </c>
      <c r="L1728" s="308">
        <v>2.4970871262223815</v>
      </c>
      <c r="M1728" s="308">
        <v>2.4970627068798028</v>
      </c>
      <c r="N1728" s="308">
        <v>2.5750539933858532</v>
      </c>
      <c r="O1728" s="308">
        <v>2.5117760790685058</v>
      </c>
      <c r="P1728" s="308">
        <v>2.5629530635667757</v>
      </c>
      <c r="Q1728" s="308">
        <v>2.5685040158963188</v>
      </c>
      <c r="R1728" s="308">
        <v>2.5299008759004948</v>
      </c>
      <c r="S1728" s="308">
        <v>2.4399228970173779</v>
      </c>
      <c r="T1728" s="308">
        <v>2.5065528760195717</v>
      </c>
      <c r="U1728" s="308">
        <v>3.0169987230073638</v>
      </c>
      <c r="V1728" s="308">
        <v>3.1528348479182382</v>
      </c>
      <c r="W1728" s="308">
        <v>3.2563894755098199</v>
      </c>
      <c r="X1728" s="308">
        <v>2.9243473529652184</v>
      </c>
      <c r="Y1728" s="308">
        <v>2.881993494796895</v>
      </c>
      <c r="Z1728" s="308">
        <f ca="1">-Z1719/Z1714</f>
        <v>2.881993494796895</v>
      </c>
      <c r="AB1728" s="308">
        <f ca="1">Tab1SDataShiftSummary[[#This Row],[Summary0]]-Tab1SDataShiftSummary[[#This Row],[Summary20]]</f>
        <v>-0.43133132075499425</v>
      </c>
      <c r="AC1728" s="308">
        <f>Tab1SDataShiftSummary[[#This Row],[Summary1]]-Tab1SDataShiftSummary[[#This Row],[Summary0]]</f>
        <v>3.9038966752875659E-2</v>
      </c>
      <c r="AD1728" s="308">
        <f>Tab1SDataShiftSummary[[#This Row],[Summary2]]-Tab1SDataShiftSummary[[#This Row],[Summary1]]</f>
        <v>8.3681155520825445E-2</v>
      </c>
      <c r="AE1728" s="308">
        <f>Tab1SDataShiftSummary[[#This Row],[Summary3]]-Tab1SDataShiftSummary[[#This Row],[Summary2]]</f>
        <v>-2.6812453256525703E-2</v>
      </c>
      <c r="AF1728" s="308">
        <f>Tab1SDataShiftSummary[[#This Row],[Summary4]]-Tab1SDataShiftSummary[[#This Row],[Summary3]]</f>
        <v>-4.8817220296920816E-2</v>
      </c>
      <c r="AG1728" s="308">
        <f>Tab1SDataShiftSummary[[#This Row],[Summary5]]-Tab1SDataShiftSummary[[#This Row],[Summary4]]</f>
        <v>0.16667864800538501</v>
      </c>
      <c r="AH1728" s="308">
        <f>Tab1SDataShiftSummary[[#This Row],[Summary6]]-Tab1SDataShiftSummary[[#This Row],[Summary5]]</f>
        <v>-0.16734414454515889</v>
      </c>
      <c r="AI1728" s="308">
        <f>Tab1SDataShiftSummary[[#This Row],[Summary7]]-Tab1SDataShiftSummary[[#This Row],[Summary6]]</f>
        <v>-2.4419342578685388E-5</v>
      </c>
      <c r="AJ1728" s="308">
        <f>Tab1SDataShiftSummary[[#This Row],[Summary8]]-Tab1SDataShiftSummary[[#This Row],[Summary7]]</f>
        <v>7.7991286506050361E-2</v>
      </c>
      <c r="AK1728" s="308">
        <f>Tab1SDataShiftSummary[[#This Row],[Summary9]]-Tab1SDataShiftSummary[[#This Row],[Summary8]]</f>
        <v>-6.3277914317347417E-2</v>
      </c>
      <c r="AL1728" s="308">
        <f>Tab1SDataShiftSummary[[#This Row],[Summary10]]-Tab1SDataShiftSummary[[#This Row],[Summary9]]</f>
        <v>5.1176984498269906E-2</v>
      </c>
      <c r="AM1728" s="308">
        <f>Tab1SDataShiftSummary[[#This Row],[Summary11]]-Tab1SDataShiftSummary[[#This Row],[Summary10]]</f>
        <v>5.5509523295431684E-3</v>
      </c>
      <c r="AN1728" s="308">
        <f>Tab1SDataShiftSummary[[#This Row],[Summary12]]-Tab1SDataShiftSummary[[#This Row],[Summary11]]</f>
        <v>-3.8603139995823987E-2</v>
      </c>
      <c r="AO1728" s="308">
        <f>Tab1SDataShiftSummary[[#This Row],[Summary13]]-Tab1SDataShiftSummary[[#This Row],[Summary12]]</f>
        <v>-8.9977978883116982E-2</v>
      </c>
      <c r="AP1728" s="308">
        <f>Tab1SDataShiftSummary[[#This Row],[Summary14]]-Tab1SDataShiftSummary[[#This Row],[Summary13]]</f>
        <v>6.6629979002193807E-2</v>
      </c>
      <c r="AQ1728" s="308">
        <f>Tab1SDataShiftSummary[[#This Row],[Summary15]]-Tab1SDataShiftSummary[[#This Row],[Summary14]]</f>
        <v>0.51044584698779216</v>
      </c>
      <c r="AR1728" s="308">
        <f>Tab1SDataShiftSummary[[#This Row],[Summary16]]-Tab1SDataShiftSummary[[#This Row],[Summary15]]</f>
        <v>0.13583612491087438</v>
      </c>
      <c r="AS1728" s="308">
        <f>Tab1SDataShiftSummary[[#This Row],[Summary17]]-Tab1SDataShiftSummary[[#This Row],[Summary16]]</f>
        <v>0.10355462759158174</v>
      </c>
      <c r="AT1728" s="308">
        <f>Tab1SDataShiftSummary[[#This Row],[Summary18]]-Tab1SDataShiftSummary[[#This Row],[Summary17]]</f>
        <v>-0.33204212254460153</v>
      </c>
      <c r="AU1728" s="308">
        <f>Tab1SDataShiftSummary[[#This Row],[Summary19]]-Tab1SDataShiftSummary[[#This Row],[Summary18]]</f>
        <v>-4.2353858168323377E-2</v>
      </c>
      <c r="AV1728" s="1541">
        <f ca="1">Tab1SDataShiftSummary[[#This Row],[Summary20]]-Tab1SDataShiftSummary[[#This Row],[Summary19]]</f>
        <v>0</v>
      </c>
      <c r="AY1728" s="846" t="s">
        <v>2126</v>
      </c>
    </row>
    <row r="1729" spans="1:52" x14ac:dyDescent="0.3">
      <c r="A1729">
        <v>18</v>
      </c>
      <c r="B1729" s="317" t="s">
        <v>2283</v>
      </c>
      <c r="C1729"/>
      <c r="E1729" s="93"/>
      <c r="F1729" s="308">
        <v>1.5978063396177122</v>
      </c>
      <c r="G1729" s="308">
        <v>1.6332463117052523</v>
      </c>
      <c r="H1729" s="308">
        <v>1.6700692480617745</v>
      </c>
      <c r="I1729" s="308">
        <v>1.6169646867520864</v>
      </c>
      <c r="J1729" s="308">
        <v>1.6214492767321012</v>
      </c>
      <c r="K1729" s="308">
        <v>1.6557848441845606</v>
      </c>
      <c r="L1729" s="308">
        <v>1.3900002035417742</v>
      </c>
      <c r="M1729" s="308">
        <v>1.3899866105474417</v>
      </c>
      <c r="N1729" s="308">
        <v>1.3844687840175309</v>
      </c>
      <c r="O1729" s="308">
        <v>1.327940507707593</v>
      </c>
      <c r="P1729" s="308">
        <v>1.3477759038329911</v>
      </c>
      <c r="Q1729" s="308">
        <v>1.3586172298630657</v>
      </c>
      <c r="R1729" s="308">
        <v>1.3387985929149457</v>
      </c>
      <c r="S1729" s="308">
        <v>1.3107358963557145</v>
      </c>
      <c r="T1729" s="308">
        <v>1.3186176314167688</v>
      </c>
      <c r="U1729" s="308">
        <v>1.4678563543671261</v>
      </c>
      <c r="V1729" s="308">
        <v>1.4880692855101805</v>
      </c>
      <c r="W1729" s="308">
        <v>1.5388535799697383</v>
      </c>
      <c r="X1729" s="308">
        <v>1.4384789182799869</v>
      </c>
      <c r="Y1729" s="308">
        <v>1.4278713018687721</v>
      </c>
      <c r="Z1729" s="308">
        <f ca="1">ABS((Z1712+Z1717)/Z1717)</f>
        <v>1.4278713018687721</v>
      </c>
      <c r="AB1729" s="308">
        <f ca="1">Tab1SDataShiftSummary[[#This Row],[Summary0]]-Tab1SDataShiftSummary[[#This Row],[Summary20]]</f>
        <v>0.16993503774894014</v>
      </c>
      <c r="AC1729" s="308">
        <f>Tab1SDataShiftSummary[[#This Row],[Summary1]]-Tab1SDataShiftSummary[[#This Row],[Summary0]]</f>
        <v>3.5439972087540017E-2</v>
      </c>
      <c r="AD1729" s="308">
        <f>Tab1SDataShiftSummary[[#This Row],[Summary2]]-Tab1SDataShiftSummary[[#This Row],[Summary1]]</f>
        <v>3.6822936356522229E-2</v>
      </c>
      <c r="AE1729" s="308">
        <f>Tab1SDataShiftSummary[[#This Row],[Summary3]]-Tab1SDataShiftSummary[[#This Row],[Summary2]]</f>
        <v>-5.3104561309688103E-2</v>
      </c>
      <c r="AF1729" s="308">
        <f>Tab1SDataShiftSummary[[#This Row],[Summary4]]-Tab1SDataShiftSummary[[#This Row],[Summary3]]</f>
        <v>4.4845899800147748E-3</v>
      </c>
      <c r="AG1729" s="308">
        <f>Tab1SDataShiftSummary[[#This Row],[Summary5]]-Tab1SDataShiftSummary[[#This Row],[Summary4]]</f>
        <v>3.433556745245947E-2</v>
      </c>
      <c r="AH1729" s="308">
        <f>Tab1SDataShiftSummary[[#This Row],[Summary6]]-Tab1SDataShiftSummary[[#This Row],[Summary5]]</f>
        <v>-0.2657846406427864</v>
      </c>
      <c r="AI1729" s="308">
        <f>Tab1SDataShiftSummary[[#This Row],[Summary7]]-Tab1SDataShiftSummary[[#This Row],[Summary6]]</f>
        <v>-1.3592994332567443E-5</v>
      </c>
      <c r="AJ1729" s="308">
        <f>Tab1SDataShiftSummary[[#This Row],[Summary8]]-Tab1SDataShiftSummary[[#This Row],[Summary7]]</f>
        <v>-5.5178265299107299E-3</v>
      </c>
      <c r="AK1729" s="308">
        <f>Tab1SDataShiftSummary[[#This Row],[Summary9]]-Tab1SDataShiftSummary[[#This Row],[Summary8]]</f>
        <v>-5.6528276309937953E-2</v>
      </c>
      <c r="AL1729" s="308">
        <f>Tab1SDataShiftSummary[[#This Row],[Summary10]]-Tab1SDataShiftSummary[[#This Row],[Summary9]]</f>
        <v>1.9835396125398086E-2</v>
      </c>
      <c r="AM1729" s="308">
        <f>Tab1SDataShiftSummary[[#This Row],[Summary11]]-Tab1SDataShiftSummary[[#This Row],[Summary10]]</f>
        <v>1.0841326030074594E-2</v>
      </c>
      <c r="AN1729" s="308">
        <f>Tab1SDataShiftSummary[[#This Row],[Summary12]]-Tab1SDataShiftSummary[[#This Row],[Summary11]]</f>
        <v>-1.9818636948119916E-2</v>
      </c>
      <c r="AO1729" s="308">
        <f>Tab1SDataShiftSummary[[#This Row],[Summary13]]-Tab1SDataShiftSummary[[#This Row],[Summary12]]</f>
        <v>-2.8062696559231215E-2</v>
      </c>
      <c r="AP1729" s="308">
        <f>Tab1SDataShiftSummary[[#This Row],[Summary14]]-Tab1SDataShiftSummary[[#This Row],[Summary13]]</f>
        <v>7.8817350610542736E-3</v>
      </c>
      <c r="AQ1729" s="308">
        <f>Tab1SDataShiftSummary[[#This Row],[Summary15]]-Tab1SDataShiftSummary[[#This Row],[Summary14]]</f>
        <v>0.14923872295035734</v>
      </c>
      <c r="AR1729" s="308">
        <f>Tab1SDataShiftSummary[[#This Row],[Summary16]]-Tab1SDataShiftSummary[[#This Row],[Summary15]]</f>
        <v>2.0212931143054336E-2</v>
      </c>
      <c r="AS1729" s="308">
        <f>Tab1SDataShiftSummary[[#This Row],[Summary17]]-Tab1SDataShiftSummary[[#This Row],[Summary16]]</f>
        <v>5.0784294459557788E-2</v>
      </c>
      <c r="AT1729" s="308">
        <f>Tab1SDataShiftSummary[[#This Row],[Summary18]]-Tab1SDataShiftSummary[[#This Row],[Summary17]]</f>
        <v>-0.1003746616897514</v>
      </c>
      <c r="AU1729" s="308">
        <f>Tab1SDataShiftSummary[[#This Row],[Summary19]]-Tab1SDataShiftSummary[[#This Row],[Summary18]]</f>
        <v>-1.0607616411214771E-2</v>
      </c>
      <c r="AV1729" s="1541">
        <f ca="1">Tab1SDataShiftSummary[[#This Row],[Summary20]]-Tab1SDataShiftSummary[[#This Row],[Summary19]]</f>
        <v>0</v>
      </c>
      <c r="AY1729" s="846" t="s">
        <v>2283</v>
      </c>
    </row>
    <row r="1730" spans="1:52" x14ac:dyDescent="0.3">
      <c r="A1730">
        <v>19</v>
      </c>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1540"/>
      <c r="AY1730" s="846" t="s">
        <v>2293</v>
      </c>
    </row>
    <row r="1731" spans="1:52" x14ac:dyDescent="0.3">
      <c r="A1731">
        <v>20</v>
      </c>
      <c r="B1731" s="317" t="s">
        <v>1843</v>
      </c>
      <c r="C1731"/>
      <c r="E1731"/>
      <c r="F1731" s="725">
        <v>2985791.7396999998</v>
      </c>
      <c r="G1731" s="725">
        <v>3046430.5897000004</v>
      </c>
      <c r="H1731" s="725">
        <v>2928464.5897000004</v>
      </c>
      <c r="I1731" s="725">
        <v>2928464.5897000004</v>
      </c>
      <c r="J1731" s="725">
        <v>3145237.8597000008</v>
      </c>
      <c r="K1731" s="725">
        <v>3111660.5897000004</v>
      </c>
      <c r="L1731" s="1043">
        <v>2434106.5996999992</v>
      </c>
      <c r="M1731" s="1044">
        <v>2434106.5996999992</v>
      </c>
      <c r="N1731" s="725">
        <v>2474607.5996999992</v>
      </c>
      <c r="O1731" s="1045">
        <v>2555847.5996999992</v>
      </c>
      <c r="P1731" s="1045">
        <v>2559948.2996999994</v>
      </c>
      <c r="Q1731" s="725">
        <v>2596854.5996999992</v>
      </c>
      <c r="R1731" s="1046">
        <v>2575382.0996999992</v>
      </c>
      <c r="S1731" s="725">
        <v>2718526.2297</v>
      </c>
      <c r="T1731" s="725">
        <v>2646188.2297</v>
      </c>
      <c r="U1731" s="725">
        <v>2646188.2297</v>
      </c>
      <c r="V1731" s="725">
        <v>2722190.2297</v>
      </c>
      <c r="W1731" s="1043">
        <v>2743420.7587000006</v>
      </c>
      <c r="X1731" s="1047">
        <v>2744444.1339080003</v>
      </c>
      <c r="Y1731" s="725">
        <v>2751579.6886561606</v>
      </c>
      <c r="Z1731" s="725">
        <f ca="1">Calc!AZ103</f>
        <v>2751579.6886561606</v>
      </c>
      <c r="AB1731" s="93">
        <f ca="1">Tab1SDataShiftSummary[[#This Row],[Summary0]]-Tab1SDataShiftSummary[[#This Row],[Summary20]]</f>
        <v>234212.05104383919</v>
      </c>
      <c r="AC1731" s="93">
        <f>Tab1SDataShiftSummary[[#This Row],[Summary1]]-Tab1SDataShiftSummary[[#This Row],[Summary0]]</f>
        <v>60638.850000000559</v>
      </c>
      <c r="AD1731" s="93">
        <f>Tab1SDataShiftSummary[[#This Row],[Summary2]]-Tab1SDataShiftSummary[[#This Row],[Summary1]]</f>
        <v>-117966</v>
      </c>
      <c r="AE1731" s="93">
        <f>Tab1SDataShiftSummary[[#This Row],[Summary3]]-Tab1SDataShiftSummary[[#This Row],[Summary2]]</f>
        <v>0</v>
      </c>
      <c r="AF1731" s="93">
        <f>Tab1SDataShiftSummary[[#This Row],[Summary4]]-Tab1SDataShiftSummary[[#This Row],[Summary3]]</f>
        <v>216773.27000000048</v>
      </c>
      <c r="AG1731" s="93">
        <f>Tab1SDataShiftSummary[[#This Row],[Summary5]]-Tab1SDataShiftSummary[[#This Row],[Summary4]]</f>
        <v>-33577.270000000484</v>
      </c>
      <c r="AH1731" s="93">
        <f>Tab1SDataShiftSummary[[#This Row],[Summary6]]-Tab1SDataShiftSummary[[#This Row],[Summary5]]</f>
        <v>-677553.99000000115</v>
      </c>
      <c r="AI1731" s="93">
        <f>Tab1SDataShiftSummary[[#This Row],[Summary7]]-Tab1SDataShiftSummary[[#This Row],[Summary6]]</f>
        <v>0</v>
      </c>
      <c r="AJ1731" s="93">
        <f>Tab1SDataShiftSummary[[#This Row],[Summary8]]-Tab1SDataShiftSummary[[#This Row],[Summary7]]</f>
        <v>40501</v>
      </c>
      <c r="AK1731" s="93">
        <f>Tab1SDataShiftSummary[[#This Row],[Summary9]]-Tab1SDataShiftSummary[[#This Row],[Summary8]]</f>
        <v>81240</v>
      </c>
      <c r="AL1731" s="93">
        <f>Tab1SDataShiftSummary[[#This Row],[Summary10]]-Tab1SDataShiftSummary[[#This Row],[Summary9]]</f>
        <v>4100.7000000001863</v>
      </c>
      <c r="AM1731" s="93">
        <f>Tab1SDataShiftSummary[[#This Row],[Summary11]]-Tab1SDataShiftSummary[[#This Row],[Summary10]]</f>
        <v>36906.299999999814</v>
      </c>
      <c r="AN1731" s="93">
        <f>Tab1SDataShiftSummary[[#This Row],[Summary12]]-Tab1SDataShiftSummary[[#This Row],[Summary11]]</f>
        <v>-21472.5</v>
      </c>
      <c r="AO1731" s="93">
        <f>Tab1SDataShiftSummary[[#This Row],[Summary13]]-Tab1SDataShiftSummary[[#This Row],[Summary12]]</f>
        <v>143144.13000000082</v>
      </c>
      <c r="AP1731" s="93">
        <f>Tab1SDataShiftSummary[[#This Row],[Summary14]]-Tab1SDataShiftSummary[[#This Row],[Summary13]]</f>
        <v>-72338</v>
      </c>
      <c r="AQ1731" s="93">
        <f>Tab1SDataShiftSummary[[#This Row],[Summary15]]-Tab1SDataShiftSummary[[#This Row],[Summary14]]</f>
        <v>0</v>
      </c>
      <c r="AR1731" s="93">
        <f>Tab1SDataShiftSummary[[#This Row],[Summary16]]-Tab1SDataShiftSummary[[#This Row],[Summary15]]</f>
        <v>76002</v>
      </c>
      <c r="AS1731" s="93">
        <f>Tab1SDataShiftSummary[[#This Row],[Summary17]]-Tab1SDataShiftSummary[[#This Row],[Summary16]]</f>
        <v>21230.529000000563</v>
      </c>
      <c r="AT1731" s="93">
        <f>Tab1SDataShiftSummary[[#This Row],[Summary18]]-Tab1SDataShiftSummary[[#This Row],[Summary17]]</f>
        <v>1023.3752079997212</v>
      </c>
      <c r="AU1731" s="93">
        <f>Tab1SDataShiftSummary[[#This Row],[Summary19]]-Tab1SDataShiftSummary[[#This Row],[Summary18]]</f>
        <v>7135.5547481602989</v>
      </c>
      <c r="AV1731" s="1540">
        <f ca="1">Tab1SDataShiftSummary[[#This Row],[Summary20]]-Tab1SDataShiftSummary[[#This Row],[Summary19]]</f>
        <v>0</v>
      </c>
      <c r="AY1731" s="846" t="s">
        <v>1843</v>
      </c>
    </row>
    <row r="1732" spans="1:52" ht="23" thickBot="1" x14ac:dyDescent="0.35">
      <c r="A1732">
        <v>21</v>
      </c>
      <c r="B1732" s="317" t="s">
        <v>2489</v>
      </c>
      <c r="C1732"/>
      <c r="E1732"/>
      <c r="F1732" s="1473">
        <v>0.62448802351525101</v>
      </c>
      <c r="G1732" s="1473">
        <v>0.62770816591509393</v>
      </c>
      <c r="H1732" s="1473">
        <v>0.63017570425375791</v>
      </c>
      <c r="I1732" s="1473">
        <v>0.63315859385180384</v>
      </c>
      <c r="J1732" s="1473">
        <v>0.61126981658028989</v>
      </c>
      <c r="K1732" s="1473">
        <v>0.62740277405426315</v>
      </c>
      <c r="L1732" s="1473">
        <v>0.48950614866428882</v>
      </c>
      <c r="M1732" s="1473">
        <v>0.48951093565594334</v>
      </c>
      <c r="N1732" s="1473">
        <v>0.4711448490560125</v>
      </c>
      <c r="O1732" s="1473">
        <v>0.43851582528594241</v>
      </c>
      <c r="P1732" s="1473">
        <v>0.43958728212680026</v>
      </c>
      <c r="Q1732" s="1473">
        <v>0.43834637704415075</v>
      </c>
      <c r="R1732" s="1473">
        <v>0.43929292293448735</v>
      </c>
      <c r="S1732" s="1473">
        <v>1.0938464379905666</v>
      </c>
      <c r="T1732" s="1473">
        <v>1.1135113915673838</v>
      </c>
      <c r="U1732" s="1473">
        <v>1.5653219027494674</v>
      </c>
      <c r="V1732" s="1473">
        <v>1.7070815116537559</v>
      </c>
      <c r="W1732" s="1473">
        <v>1.7829138099690545</v>
      </c>
      <c r="X1732" s="1473">
        <v>1.5893572017871318</v>
      </c>
      <c r="Y1732" s="1473">
        <v>1.5821271704182969</v>
      </c>
      <c r="Z1732" s="1474">
        <f ca="1">_xlfn.LET(_xlpm.Result,(Z1722+Z1731),-_xlpm.Result/Z1714)</f>
        <v>1.5821271704182969</v>
      </c>
      <c r="AA1732" s="831"/>
      <c r="AB1732" s="1475">
        <f ca="1">Tab1SDataShiftSummary[[#This Row],[Summary0]]-Tab1SDataShiftSummary[[#This Row],[Summary20]]</f>
        <v>-0.95763914690304586</v>
      </c>
      <c r="AC1732" s="1475">
        <f>Tab1SDataShiftSummary[[#This Row],[Summary1]]-Tab1SDataShiftSummary[[#This Row],[Summary0]]</f>
        <v>3.2201423998429179E-3</v>
      </c>
      <c r="AD1732" s="1475">
        <f>Tab1SDataShiftSummary[[#This Row],[Summary2]]-Tab1SDataShiftSummary[[#This Row],[Summary1]]</f>
        <v>2.4675383386639771E-3</v>
      </c>
      <c r="AE1732" s="1475">
        <f>Tab1SDataShiftSummary[[#This Row],[Summary3]]-Tab1SDataShiftSummary[[#This Row],[Summary2]]</f>
        <v>2.9828895980459347E-3</v>
      </c>
      <c r="AF1732" s="1475">
        <f>Tab1SDataShiftSummary[[#This Row],[Summary4]]-Tab1SDataShiftSummary[[#This Row],[Summary3]]</f>
        <v>-2.1888777271513948E-2</v>
      </c>
      <c r="AG1732" s="1475">
        <f>Tab1SDataShiftSummary[[#This Row],[Summary5]]-Tab1SDataShiftSummary[[#This Row],[Summary4]]</f>
        <v>1.6132957473973253E-2</v>
      </c>
      <c r="AH1732" s="1475">
        <f>Tab1SDataShiftSummary[[#This Row],[Summary6]]-Tab1SDataShiftSummary[[#This Row],[Summary5]]</f>
        <v>-0.13789662538997433</v>
      </c>
      <c r="AI1732" s="1475">
        <f>Tab1SDataShiftSummary[[#This Row],[Summary7]]-Tab1SDataShiftSummary[[#This Row],[Summary6]]</f>
        <v>4.786991654515127E-6</v>
      </c>
      <c r="AJ1732" s="1475">
        <f>Tab1SDataShiftSummary[[#This Row],[Summary8]]-Tab1SDataShiftSummary[[#This Row],[Summary7]]</f>
        <v>-1.8366086599930831E-2</v>
      </c>
      <c r="AK1732" s="1475">
        <f>Tab1SDataShiftSummary[[#This Row],[Summary9]]-Tab1SDataShiftSummary[[#This Row],[Summary8]]</f>
        <v>-3.2629023770070098E-2</v>
      </c>
      <c r="AL1732" s="1475">
        <f>Tab1SDataShiftSummary[[#This Row],[Summary10]]-Tab1SDataShiftSummary[[#This Row],[Summary9]]</f>
        <v>1.071456840857854E-3</v>
      </c>
      <c r="AM1732" s="1475">
        <f>Tab1SDataShiftSummary[[#This Row],[Summary11]]-Tab1SDataShiftSummary[[#This Row],[Summary10]]</f>
        <v>-1.2409050826495127E-3</v>
      </c>
      <c r="AN1732" s="1475">
        <f>Tab1SDataShiftSummary[[#This Row],[Summary12]]-Tab1SDataShiftSummary[[#This Row],[Summary11]]</f>
        <v>9.4654589033660308E-4</v>
      </c>
      <c r="AO1732" s="1475">
        <f>Tab1SDataShiftSummary[[#This Row],[Summary13]]-Tab1SDataShiftSummary[[#This Row],[Summary12]]</f>
        <v>0.65455351505607928</v>
      </c>
      <c r="AP1732" s="1475">
        <f>Tab1SDataShiftSummary[[#This Row],[Summary14]]-Tab1SDataShiftSummary[[#This Row],[Summary13]]</f>
        <v>1.966495357681719E-2</v>
      </c>
      <c r="AQ1732" s="1475">
        <f>Tab1SDataShiftSummary[[#This Row],[Summary15]]-Tab1SDataShiftSummary[[#This Row],[Summary14]]</f>
        <v>0.4518105111820836</v>
      </c>
      <c r="AR1732" s="1475">
        <f>Tab1SDataShiftSummary[[#This Row],[Summary16]]-Tab1SDataShiftSummary[[#This Row],[Summary15]]</f>
        <v>0.14175960890428851</v>
      </c>
      <c r="AS1732" s="1475">
        <f>Tab1SDataShiftSummary[[#This Row],[Summary17]]-Tab1SDataShiftSummary[[#This Row],[Summary16]]</f>
        <v>7.5832298315298585E-2</v>
      </c>
      <c r="AT1732" s="1475">
        <f>Tab1SDataShiftSummary[[#This Row],[Summary18]]-Tab1SDataShiftSummary[[#This Row],[Summary17]]</f>
        <v>-0.19355660818192266</v>
      </c>
      <c r="AU1732" s="1475">
        <f>Tab1SDataShiftSummary[[#This Row],[Summary19]]-Tab1SDataShiftSummary[[#This Row],[Summary18]]</f>
        <v>-7.2300313688349327E-3</v>
      </c>
      <c r="AV1732" s="1542"/>
      <c r="AY1732" s="846"/>
    </row>
    <row r="1733" spans="1:52" ht="24" thickTop="1" thickBot="1" x14ac:dyDescent="0.35">
      <c r="A1733" s="140" t="s">
        <v>2104</v>
      </c>
      <c r="B1733" s="722" t="s">
        <v>1835</v>
      </c>
      <c r="C1733" s="858">
        <f ca="1">Calc!BB104</f>
        <v>-7493057.1249637175</v>
      </c>
      <c r="D1733" s="1097" t="s">
        <v>2284</v>
      </c>
      <c r="E1733"/>
      <c r="F1733" s="724">
        <v>5631143.9200000009</v>
      </c>
      <c r="G1733" s="724">
        <v>5696624.0980000002</v>
      </c>
      <c r="H1733" s="847">
        <v>5879362.0199999996</v>
      </c>
      <c r="I1733" s="847">
        <v>5470058.1400000006</v>
      </c>
      <c r="J1733" s="847">
        <v>5139646</v>
      </c>
      <c r="K1733" s="724">
        <v>5497883.4199999999</v>
      </c>
      <c r="L1733" s="724">
        <v>5257168.7300000004</v>
      </c>
      <c r="M1733" s="724">
        <v>5257068.7300000004</v>
      </c>
      <c r="N1733" s="724">
        <v>5327584.04</v>
      </c>
      <c r="O1733" s="724">
        <v>5347671.05</v>
      </c>
      <c r="P1733" s="724">
        <v>5280023.4050000003</v>
      </c>
      <c r="Q1733" s="724">
        <v>5241260.1199999992</v>
      </c>
      <c r="R1733" s="724">
        <v>5151246.080000001</v>
      </c>
      <c r="S1733" s="724">
        <v>4940015.24</v>
      </c>
      <c r="T1733" s="724">
        <v>4959592.0500000007</v>
      </c>
      <c r="U1733" s="724">
        <v>5857156.366200001</v>
      </c>
      <c r="V1733" s="724">
        <v>5852179.2250000006</v>
      </c>
      <c r="W1733" s="724">
        <v>5416974.25</v>
      </c>
      <c r="X1733" s="724">
        <v>5330391.7297999999</v>
      </c>
      <c r="Y1733" s="724">
        <v>5348775.6894000005</v>
      </c>
      <c r="Z1733" s="724">
        <f ca="1">Calc!BC104</f>
        <v>5348775.6894000005</v>
      </c>
      <c r="AB1733" s="93">
        <f ca="1">Tab1SDataShiftSummary[[#This Row],[Summary0]]-Tab1SDataShiftSummary[[#This Row],[Summary20]]</f>
        <v>282368.23060000036</v>
      </c>
      <c r="AC1733" s="93">
        <f>Tab1SDataShiftSummary[[#This Row],[Summary1]]-Tab1SDataShiftSummary[[#This Row],[Summary0]]</f>
        <v>65480.177999999374</v>
      </c>
      <c r="AD1733" s="93">
        <f>Tab1SDataShiftSummary[[#This Row],[Summary2]]-Tab1SDataShiftSummary[[#This Row],[Summary1]]</f>
        <v>182737.92199999932</v>
      </c>
      <c r="AE1733" s="93">
        <f>Tab1SDataShiftSummary[[#This Row],[Summary3]]-Tab1SDataShiftSummary[[#This Row],[Summary2]]</f>
        <v>-409303.87999999896</v>
      </c>
      <c r="AF1733" s="93">
        <f>Tab1SDataShiftSummary[[#This Row],[Summary4]]-Tab1SDataShiftSummary[[#This Row],[Summary3]]</f>
        <v>-330412.1400000006</v>
      </c>
      <c r="AG1733" s="93">
        <f>Tab1SDataShiftSummary[[#This Row],[Summary5]]-Tab1SDataShiftSummary[[#This Row],[Summary4]]</f>
        <v>358237.41999999993</v>
      </c>
      <c r="AH1733" s="93">
        <f>Tab1SDataShiftSummary[[#This Row],[Summary6]]-Tab1SDataShiftSummary[[#This Row],[Summary5]]</f>
        <v>-240714.68999999948</v>
      </c>
      <c r="AI1733" s="93">
        <f>Tab1SDataShiftSummary[[#This Row],[Summary7]]-Tab1SDataShiftSummary[[#This Row],[Summary6]]</f>
        <v>-100</v>
      </c>
      <c r="AJ1733" s="93">
        <f>Tab1SDataShiftSummary[[#This Row],[Summary8]]-Tab1SDataShiftSummary[[#This Row],[Summary7]]</f>
        <v>70515.30999999959</v>
      </c>
      <c r="AK1733" s="93">
        <f>Tab1SDataShiftSummary[[#This Row],[Summary9]]-Tab1SDataShiftSummary[[#This Row],[Summary8]]</f>
        <v>20087.009999999776</v>
      </c>
      <c r="AL1733" s="93">
        <f>Tab1SDataShiftSummary[[#This Row],[Summary10]]-Tab1SDataShiftSummary[[#This Row],[Summary9]]</f>
        <v>-67647.644999999553</v>
      </c>
      <c r="AM1733" s="93">
        <f>Tab1SDataShiftSummary[[#This Row],[Summary11]]-Tab1SDataShiftSummary[[#This Row],[Summary10]]</f>
        <v>-38763.28500000108</v>
      </c>
      <c r="AN1733" s="93">
        <f>Tab1SDataShiftSummary[[#This Row],[Summary12]]-Tab1SDataShiftSummary[[#This Row],[Summary11]]</f>
        <v>-90014.039999998175</v>
      </c>
      <c r="AO1733" s="93">
        <f>Tab1SDataShiftSummary[[#This Row],[Summary13]]-Tab1SDataShiftSummary[[#This Row],[Summary12]]</f>
        <v>-211230.84000000078</v>
      </c>
      <c r="AP1733" s="93">
        <f>Tab1SDataShiftSummary[[#This Row],[Summary14]]-Tab1SDataShiftSummary[[#This Row],[Summary13]]</f>
        <v>19576.810000000522</v>
      </c>
      <c r="AQ1733" s="93">
        <f>Tab1SDataShiftSummary[[#This Row],[Summary15]]-Tab1SDataShiftSummary[[#This Row],[Summary14]]</f>
        <v>897564.31620000023</v>
      </c>
      <c r="AR1733" s="93">
        <f>Tab1SDataShiftSummary[[#This Row],[Summary16]]-Tab1SDataShiftSummary[[#This Row],[Summary15]]</f>
        <v>-4977.1412000004202</v>
      </c>
      <c r="AS1733" s="93">
        <f>Tab1SDataShiftSummary[[#This Row],[Summary17]]-Tab1SDataShiftSummary[[#This Row],[Summary16]]</f>
        <v>-435204.97500000056</v>
      </c>
      <c r="AT1733" s="93">
        <f>Tab1SDataShiftSummary[[#This Row],[Summary18]]-Tab1SDataShiftSummary[[#This Row],[Summary17]]</f>
        <v>-86582.520200000145</v>
      </c>
      <c r="AU1733" s="93">
        <f>Tab1SDataShiftSummary[[#This Row],[Summary19]]-Tab1SDataShiftSummary[[#This Row],[Summary18]]</f>
        <v>18383.959600000642</v>
      </c>
      <c r="AV1733" s="1540">
        <f ca="1">Tab1SDataShiftSummary[[#This Row],[Summary20]]-Tab1SDataShiftSummary[[#This Row],[Summary19]]</f>
        <v>0</v>
      </c>
      <c r="AX1733" s="140" t="s">
        <v>2104</v>
      </c>
      <c r="AY1733" s="722" t="s">
        <v>1835</v>
      </c>
      <c r="AZ1733">
        <v>-7746320.7987637175</v>
      </c>
    </row>
    <row r="1734" spans="1:52" x14ac:dyDescent="0.3">
      <c r="A1734">
        <v>2</v>
      </c>
      <c r="B1734" s="722" t="s">
        <v>1910</v>
      </c>
      <c r="C1734"/>
      <c r="D1734" s="685"/>
      <c r="E1734"/>
      <c r="F1734" s="724">
        <v>-10185055.16377016</v>
      </c>
      <c r="G1734" s="724">
        <v>-10185055.16377016</v>
      </c>
      <c r="H1734" s="847">
        <v>-10649273.231270257</v>
      </c>
      <c r="I1734" s="847">
        <v>-10185055.16377016</v>
      </c>
      <c r="J1734" s="847">
        <v>-9518244.2094613593</v>
      </c>
      <c r="K1734" s="724">
        <v>-10094923.46105336</v>
      </c>
      <c r="L1734" s="724">
        <v>-9861676.4930533599</v>
      </c>
      <c r="M1734" s="724">
        <v>-9861676.4930533599</v>
      </c>
      <c r="N1734" s="724">
        <v>-10635887.461792558</v>
      </c>
      <c r="O1734" s="724">
        <v>-10724326.004714459</v>
      </c>
      <c r="P1734" s="724">
        <v>-10635887.461792558</v>
      </c>
      <c r="Q1734" s="724">
        <v>-10635887.461792558</v>
      </c>
      <c r="R1734" s="724">
        <v>-10724326.004714459</v>
      </c>
      <c r="S1734" s="724">
        <v>-10828095.104714459</v>
      </c>
      <c r="T1734" s="724">
        <v>-10828095.104714459</v>
      </c>
      <c r="U1734" s="724">
        <v>-12994876.010560457</v>
      </c>
      <c r="V1734" s="724">
        <v>-12994876.010560457</v>
      </c>
      <c r="W1734" s="724">
        <v>-13016578.621018456</v>
      </c>
      <c r="X1734" s="724">
        <v>-12919536.766498456</v>
      </c>
      <c r="Y1734" s="724">
        <v>-12919536.766498456</v>
      </c>
      <c r="Z1734" s="724">
        <f ca="1">Calc!BD104</f>
        <v>-12919536.766498456</v>
      </c>
      <c r="AB1734" s="93">
        <f ca="1">Tab1SDataShiftSummary[[#This Row],[Summary0]]-Tab1SDataShiftSummary[[#This Row],[Summary20]]</f>
        <v>2734481.6027282961</v>
      </c>
      <c r="AC1734" s="93">
        <f>Tab1SDataShiftSummary[[#This Row],[Summary1]]-Tab1SDataShiftSummary[[#This Row],[Summary0]]</f>
        <v>0</v>
      </c>
      <c r="AD1734" s="93">
        <f>Tab1SDataShiftSummary[[#This Row],[Summary2]]-Tab1SDataShiftSummary[[#This Row],[Summary1]]</f>
        <v>-464218.06750009768</v>
      </c>
      <c r="AE1734" s="93">
        <f>Tab1SDataShiftSummary[[#This Row],[Summary3]]-Tab1SDataShiftSummary[[#This Row],[Summary2]]</f>
        <v>464218.06750009768</v>
      </c>
      <c r="AF1734" s="93">
        <f>Tab1SDataShiftSummary[[#This Row],[Summary4]]-Tab1SDataShiftSummary[[#This Row],[Summary3]]</f>
        <v>666810.9543088004</v>
      </c>
      <c r="AG1734" s="93">
        <f>Tab1SDataShiftSummary[[#This Row],[Summary5]]-Tab1SDataShiftSummary[[#This Row],[Summary4]]</f>
        <v>-576679.25159200095</v>
      </c>
      <c r="AH1734" s="93">
        <f>Tab1SDataShiftSummary[[#This Row],[Summary6]]-Tab1SDataShiftSummary[[#This Row],[Summary5]]</f>
        <v>233246.96800000034</v>
      </c>
      <c r="AI1734" s="93">
        <f>Tab1SDataShiftSummary[[#This Row],[Summary7]]-Tab1SDataShiftSummary[[#This Row],[Summary6]]</f>
        <v>0</v>
      </c>
      <c r="AJ1734" s="93">
        <f>Tab1SDataShiftSummary[[#This Row],[Summary8]]-Tab1SDataShiftSummary[[#This Row],[Summary7]]</f>
        <v>-774210.96873919852</v>
      </c>
      <c r="AK1734" s="93">
        <f>Tab1SDataShiftSummary[[#This Row],[Summary9]]-Tab1SDataShiftSummary[[#This Row],[Summary8]]</f>
        <v>-88438.542921900749</v>
      </c>
      <c r="AL1734" s="93">
        <f>Tab1SDataShiftSummary[[#This Row],[Summary10]]-Tab1SDataShiftSummary[[#This Row],[Summary9]]</f>
        <v>88438.542921900749</v>
      </c>
      <c r="AM1734" s="93">
        <f>Tab1SDataShiftSummary[[#This Row],[Summary11]]-Tab1SDataShiftSummary[[#This Row],[Summary10]]</f>
        <v>0</v>
      </c>
      <c r="AN1734" s="93">
        <f>Tab1SDataShiftSummary[[#This Row],[Summary12]]-Tab1SDataShiftSummary[[#This Row],[Summary11]]</f>
        <v>-88438.542921900749</v>
      </c>
      <c r="AO1734" s="93">
        <f>Tab1SDataShiftSummary[[#This Row],[Summary13]]-Tab1SDataShiftSummary[[#This Row],[Summary12]]</f>
        <v>-103769.09999999963</v>
      </c>
      <c r="AP1734" s="93">
        <f>Tab1SDataShiftSummary[[#This Row],[Summary14]]-Tab1SDataShiftSummary[[#This Row],[Summary13]]</f>
        <v>0</v>
      </c>
      <c r="AQ1734" s="93">
        <f>Tab1SDataShiftSummary[[#This Row],[Summary15]]-Tab1SDataShiftSummary[[#This Row],[Summary14]]</f>
        <v>-2166780.9058459979</v>
      </c>
      <c r="AR1734" s="93">
        <f>Tab1SDataShiftSummary[[#This Row],[Summary16]]-Tab1SDataShiftSummary[[#This Row],[Summary15]]</f>
        <v>0</v>
      </c>
      <c r="AS1734" s="93">
        <f>Tab1SDataShiftSummary[[#This Row],[Summary17]]-Tab1SDataShiftSummary[[#This Row],[Summary16]]</f>
        <v>-21702.610457999632</v>
      </c>
      <c r="AT1734" s="93">
        <f>Tab1SDataShiftSummary[[#This Row],[Summary18]]-Tab1SDataShiftSummary[[#This Row],[Summary17]]</f>
        <v>97041.854520000517</v>
      </c>
      <c r="AU1734" s="93">
        <f>Tab1SDataShiftSummary[[#This Row],[Summary19]]-Tab1SDataShiftSummary[[#This Row],[Summary18]]</f>
        <v>0</v>
      </c>
      <c r="AV1734" s="1540">
        <f ca="1">Tab1SDataShiftSummary[[#This Row],[Summary20]]-Tab1SDataShiftSummary[[#This Row],[Summary19]]</f>
        <v>0</v>
      </c>
      <c r="AY1734" s="722" t="s">
        <v>1910</v>
      </c>
    </row>
    <row r="1735" spans="1:52" x14ac:dyDescent="0.3">
      <c r="A1735">
        <v>3</v>
      </c>
      <c r="B1735" s="722" t="s">
        <v>2297</v>
      </c>
      <c r="C1735" s="195"/>
      <c r="D1735" s="1098"/>
      <c r="E1735"/>
      <c r="F1735" s="724">
        <v>-3409818.9009412145</v>
      </c>
      <c r="G1735" s="724">
        <v>-3409818.9009412145</v>
      </c>
      <c r="H1735" s="724">
        <v>-3535916.7916200142</v>
      </c>
      <c r="I1735" s="724">
        <v>-3355342.6552112144</v>
      </c>
      <c r="J1735" s="724">
        <v>-2925644.9053112147</v>
      </c>
      <c r="K1735" s="724">
        <v>-3265444.6872112146</v>
      </c>
      <c r="L1735" s="724">
        <v>-3123762.0212112144</v>
      </c>
      <c r="M1735" s="724">
        <v>-3123762.0212112144</v>
      </c>
      <c r="N1735" s="724">
        <v>-3229358.9632112142</v>
      </c>
      <c r="O1735" s="724">
        <v>-3242725.9203153141</v>
      </c>
      <c r="P1735" s="724">
        <v>-3229358.9632112142</v>
      </c>
      <c r="Q1735" s="724">
        <v>-3229358.9632112142</v>
      </c>
      <c r="R1735" s="724">
        <v>-3242725.9203153141</v>
      </c>
      <c r="S1735" s="724">
        <v>-3346225.9203153141</v>
      </c>
      <c r="T1735" s="724">
        <v>-3346225.9203153141</v>
      </c>
      <c r="U1735" s="724">
        <v>-3931156.0053853146</v>
      </c>
      <c r="V1735" s="724">
        <v>-3931156.0053853146</v>
      </c>
      <c r="W1735" s="724">
        <v>-3940355.0853853147</v>
      </c>
      <c r="X1735" s="724">
        <v>-3940355.0853853147</v>
      </c>
      <c r="Y1735" s="724">
        <v>-3964533.7791513936</v>
      </c>
      <c r="Z1735" s="724">
        <f ca="1">Calc!BE104</f>
        <v>-3964533.7791513936</v>
      </c>
      <c r="AB1735" s="93">
        <f ca="1">Tab1SDataShiftSummary[[#This Row],[Summary0]]-Tab1SDataShiftSummary[[#This Row],[Summary20]]</f>
        <v>554714.87821017904</v>
      </c>
      <c r="AC1735" s="93">
        <f>Tab1SDataShiftSummary[[#This Row],[Summary1]]-Tab1SDataShiftSummary[[#This Row],[Summary0]]</f>
        <v>0</v>
      </c>
      <c r="AD1735" s="93">
        <f>Tab1SDataShiftSummary[[#This Row],[Summary2]]-Tab1SDataShiftSummary[[#This Row],[Summary1]]</f>
        <v>-126097.89067879971</v>
      </c>
      <c r="AE1735" s="93">
        <f>Tab1SDataShiftSummary[[#This Row],[Summary3]]-Tab1SDataShiftSummary[[#This Row],[Summary2]]</f>
        <v>180574.13640879979</v>
      </c>
      <c r="AF1735" s="93">
        <f>Tab1SDataShiftSummary[[#This Row],[Summary4]]-Tab1SDataShiftSummary[[#This Row],[Summary3]]</f>
        <v>429697.7498999997</v>
      </c>
      <c r="AG1735" s="93">
        <f>Tab1SDataShiftSummary[[#This Row],[Summary5]]-Tab1SDataShiftSummary[[#This Row],[Summary4]]</f>
        <v>-339799.78189999983</v>
      </c>
      <c r="AH1735" s="93">
        <f>Tab1SDataShiftSummary[[#This Row],[Summary6]]-Tab1SDataShiftSummary[[#This Row],[Summary5]]</f>
        <v>141682.6660000002</v>
      </c>
      <c r="AI1735" s="93">
        <f>Tab1SDataShiftSummary[[#This Row],[Summary7]]-Tab1SDataShiftSummary[[#This Row],[Summary6]]</f>
        <v>0</v>
      </c>
      <c r="AJ1735" s="93">
        <f>Tab1SDataShiftSummary[[#This Row],[Summary8]]-Tab1SDataShiftSummary[[#This Row],[Summary7]]</f>
        <v>-105596.94199999981</v>
      </c>
      <c r="AK1735" s="93">
        <f>Tab1SDataShiftSummary[[#This Row],[Summary9]]-Tab1SDataShiftSummary[[#This Row],[Summary8]]</f>
        <v>-13366.957104099914</v>
      </c>
      <c r="AL1735" s="93">
        <f>Tab1SDataShiftSummary[[#This Row],[Summary10]]-Tab1SDataShiftSummary[[#This Row],[Summary9]]</f>
        <v>13366.957104099914</v>
      </c>
      <c r="AM1735" s="93">
        <f>Tab1SDataShiftSummary[[#This Row],[Summary11]]-Tab1SDataShiftSummary[[#This Row],[Summary10]]</f>
        <v>0</v>
      </c>
      <c r="AN1735" s="93">
        <f>Tab1SDataShiftSummary[[#This Row],[Summary12]]-Tab1SDataShiftSummary[[#This Row],[Summary11]]</f>
        <v>-13366.957104099914</v>
      </c>
      <c r="AO1735" s="93">
        <f>Tab1SDataShiftSummary[[#This Row],[Summary13]]-Tab1SDataShiftSummary[[#This Row],[Summary12]]</f>
        <v>-103500</v>
      </c>
      <c r="AP1735" s="93">
        <f>Tab1SDataShiftSummary[[#This Row],[Summary14]]-Tab1SDataShiftSummary[[#This Row],[Summary13]]</f>
        <v>0</v>
      </c>
      <c r="AQ1735" s="93">
        <f>Tab1SDataShiftSummary[[#This Row],[Summary15]]-Tab1SDataShiftSummary[[#This Row],[Summary14]]</f>
        <v>-584930.0850700005</v>
      </c>
      <c r="AR1735" s="93">
        <f>Tab1SDataShiftSummary[[#This Row],[Summary16]]-Tab1SDataShiftSummary[[#This Row],[Summary15]]</f>
        <v>0</v>
      </c>
      <c r="AS1735" s="93">
        <f>Tab1SDataShiftSummary[[#This Row],[Summary17]]-Tab1SDataShiftSummary[[#This Row],[Summary16]]</f>
        <v>-9199.0800000000745</v>
      </c>
      <c r="AT1735" s="93">
        <f>Tab1SDataShiftSummary[[#This Row],[Summary18]]-Tab1SDataShiftSummary[[#This Row],[Summary17]]</f>
        <v>0</v>
      </c>
      <c r="AU1735" s="93">
        <f>Tab1SDataShiftSummary[[#This Row],[Summary19]]-Tab1SDataShiftSummary[[#This Row],[Summary18]]</f>
        <v>-24178.693766078912</v>
      </c>
      <c r="AV1735" s="1540">
        <f ca="1">Tab1SDataShiftSummary[[#This Row],[Summary20]]-Tab1SDataShiftSummary[[#This Row],[Summary19]]</f>
        <v>0</v>
      </c>
      <c r="AY1735" s="722" t="s">
        <v>2297</v>
      </c>
    </row>
    <row r="1736" spans="1:52" x14ac:dyDescent="0.3">
      <c r="A1736">
        <v>4</v>
      </c>
      <c r="B1736" s="722" t="s">
        <v>2130</v>
      </c>
      <c r="C1736"/>
      <c r="D1736" s="685"/>
      <c r="E1736"/>
      <c r="F1736" s="724">
        <v>-1442952.2234637169</v>
      </c>
      <c r="G1736" s="724">
        <v>-1377472.0454637171</v>
      </c>
      <c r="H1736" s="724">
        <v>-1356500.4304637169</v>
      </c>
      <c r="I1736" s="724">
        <v>-1604038.0034637167</v>
      </c>
      <c r="J1736" s="724">
        <v>-1892281.6434637171</v>
      </c>
      <c r="K1736" s="724">
        <v>-1576212.7234637169</v>
      </c>
      <c r="L1736" s="724">
        <v>-1796837.4134637169</v>
      </c>
      <c r="M1736" s="724">
        <v>-1796937.4134637169</v>
      </c>
      <c r="N1736" s="724">
        <v>-1726672.1034637168</v>
      </c>
      <c r="O1736" s="724">
        <v>-1710128.5149637167</v>
      </c>
      <c r="P1736" s="724">
        <v>-1774232.738463717</v>
      </c>
      <c r="Q1736" s="724">
        <v>-1812996.023463717</v>
      </c>
      <c r="R1736" s="724">
        <v>-1906553.4849637165</v>
      </c>
      <c r="S1736" s="724">
        <v>-2117784.3249637168</v>
      </c>
      <c r="T1736" s="724">
        <v>-2098207.5149637163</v>
      </c>
      <c r="U1736" s="724">
        <v>-1635900.758763717</v>
      </c>
      <c r="V1736" s="724">
        <v>-1640877.899963717</v>
      </c>
      <c r="W1736" s="724">
        <v>-2076082.8749637168</v>
      </c>
      <c r="X1736" s="724">
        <v>-2162665.3951637167</v>
      </c>
      <c r="Y1736" s="724">
        <v>-2144281.435563717</v>
      </c>
      <c r="Z1736" s="724">
        <f ca="1">Calc!BF104</f>
        <v>-2144281.435563717</v>
      </c>
      <c r="AB1736" s="93">
        <f ca="1">Tab1SDataShiftSummary[[#This Row],[Summary0]]-Tab1SDataShiftSummary[[#This Row],[Summary20]]</f>
        <v>701329.21210000012</v>
      </c>
      <c r="AC1736" s="93">
        <f>Tab1SDataShiftSummary[[#This Row],[Summary1]]-Tab1SDataShiftSummary[[#This Row],[Summary0]]</f>
        <v>65480.17799999984</v>
      </c>
      <c r="AD1736" s="93">
        <f>Tab1SDataShiftSummary[[#This Row],[Summary2]]-Tab1SDataShiftSummary[[#This Row],[Summary1]]</f>
        <v>20971.615000000224</v>
      </c>
      <c r="AE1736" s="93">
        <f>Tab1SDataShiftSummary[[#This Row],[Summary3]]-Tab1SDataShiftSummary[[#This Row],[Summary2]]</f>
        <v>-247537.57299999986</v>
      </c>
      <c r="AF1736" s="93">
        <f>Tab1SDataShiftSummary[[#This Row],[Summary4]]-Tab1SDataShiftSummary[[#This Row],[Summary3]]</f>
        <v>-288243.64000000036</v>
      </c>
      <c r="AG1736" s="93">
        <f>Tab1SDataShiftSummary[[#This Row],[Summary5]]-Tab1SDataShiftSummary[[#This Row],[Summary4]]</f>
        <v>316068.92000000016</v>
      </c>
      <c r="AH1736" s="93">
        <f>Tab1SDataShiftSummary[[#This Row],[Summary6]]-Tab1SDataShiftSummary[[#This Row],[Summary5]]</f>
        <v>-220624.68999999994</v>
      </c>
      <c r="AI1736" s="93">
        <f>Tab1SDataShiftSummary[[#This Row],[Summary7]]-Tab1SDataShiftSummary[[#This Row],[Summary6]]</f>
        <v>-100</v>
      </c>
      <c r="AJ1736" s="93">
        <f>Tab1SDataShiftSummary[[#This Row],[Summary8]]-Tab1SDataShiftSummary[[#This Row],[Summary7]]</f>
        <v>70265.310000000056</v>
      </c>
      <c r="AK1736" s="93">
        <f>Tab1SDataShiftSummary[[#This Row],[Summary9]]-Tab1SDataShiftSummary[[#This Row],[Summary8]]</f>
        <v>16543.588500000071</v>
      </c>
      <c r="AL1736" s="93">
        <f>Tab1SDataShiftSummary[[#This Row],[Summary10]]-Tab1SDataShiftSummary[[#This Row],[Summary9]]</f>
        <v>-64104.223500000313</v>
      </c>
      <c r="AM1736" s="93">
        <f>Tab1SDataShiftSummary[[#This Row],[Summary11]]-Tab1SDataShiftSummary[[#This Row],[Summary10]]</f>
        <v>-38763.284999999916</v>
      </c>
      <c r="AN1736" s="93">
        <f>Tab1SDataShiftSummary[[#This Row],[Summary12]]-Tab1SDataShiftSummary[[#This Row],[Summary11]]</f>
        <v>-93557.46149999951</v>
      </c>
      <c r="AO1736" s="93">
        <f>Tab1SDataShiftSummary[[#This Row],[Summary13]]-Tab1SDataShiftSummary[[#This Row],[Summary12]]</f>
        <v>-211230.84000000032</v>
      </c>
      <c r="AP1736" s="93">
        <f>Tab1SDataShiftSummary[[#This Row],[Summary14]]-Tab1SDataShiftSummary[[#This Row],[Summary13]]</f>
        <v>19576.810000000522</v>
      </c>
      <c r="AQ1736" s="93">
        <f>Tab1SDataShiftSummary[[#This Row],[Summary15]]-Tab1SDataShiftSummary[[#This Row],[Summary14]]</f>
        <v>462306.75619999925</v>
      </c>
      <c r="AR1736" s="93">
        <f>Tab1SDataShiftSummary[[#This Row],[Summary16]]-Tab1SDataShiftSummary[[#This Row],[Summary15]]</f>
        <v>-4977.1411999999546</v>
      </c>
      <c r="AS1736" s="93">
        <f>Tab1SDataShiftSummary[[#This Row],[Summary17]]-Tab1SDataShiftSummary[[#This Row],[Summary16]]</f>
        <v>-435204.97499999986</v>
      </c>
      <c r="AT1736" s="93">
        <f>Tab1SDataShiftSummary[[#This Row],[Summary18]]-Tab1SDataShiftSummary[[#This Row],[Summary17]]</f>
        <v>-86582.520199999912</v>
      </c>
      <c r="AU1736" s="93">
        <f>Tab1SDataShiftSummary[[#This Row],[Summary19]]-Tab1SDataShiftSummary[[#This Row],[Summary18]]</f>
        <v>18383.959599999711</v>
      </c>
      <c r="AV1736" s="1540">
        <f ca="1">Tab1SDataShiftSummary[[#This Row],[Summary20]]-Tab1SDataShiftSummary[[#This Row],[Summary19]]</f>
        <v>0</v>
      </c>
      <c r="AY1736" s="722" t="s">
        <v>2130</v>
      </c>
      <c r="AZ1736" t="s">
        <v>2127</v>
      </c>
    </row>
    <row r="1737" spans="1:52" x14ac:dyDescent="0.3">
      <c r="A1737">
        <v>5</v>
      </c>
      <c r="B1737" s="722" t="s">
        <v>1912</v>
      </c>
      <c r="C1737"/>
      <c r="D1737" s="685"/>
      <c r="E1737"/>
      <c r="F1737" s="724">
        <v>-17259151.307233874</v>
      </c>
      <c r="G1737" s="724">
        <v>-17259151.307233874</v>
      </c>
      <c r="H1737" s="724">
        <v>-17885135.681733966</v>
      </c>
      <c r="I1737" s="724">
        <v>-17259151.307233874</v>
      </c>
      <c r="J1737" s="724">
        <v>-16550171.852925073</v>
      </c>
      <c r="K1737" s="724">
        <v>-17169019.604517072</v>
      </c>
      <c r="L1737" s="724">
        <v>-16915682.63651707</v>
      </c>
      <c r="M1737" s="724">
        <v>-16915682.63651707</v>
      </c>
      <c r="N1737" s="724">
        <v>-17690143.605256271</v>
      </c>
      <c r="O1737" s="724">
        <v>-17782125.569678172</v>
      </c>
      <c r="P1737" s="724">
        <v>-17690143.605256271</v>
      </c>
      <c r="Q1737" s="724">
        <v>-17690143.605256271</v>
      </c>
      <c r="R1737" s="724">
        <v>-17782125.569678172</v>
      </c>
      <c r="S1737" s="724">
        <v>-17885894.66967817</v>
      </c>
      <c r="T1737" s="724">
        <v>-17885894.66967817</v>
      </c>
      <c r="U1737" s="724">
        <v>-20487933.135524176</v>
      </c>
      <c r="V1737" s="724">
        <v>-20487933.135524176</v>
      </c>
      <c r="W1737" s="724">
        <v>-20509635.74598217</v>
      </c>
      <c r="X1737" s="724">
        <v>-20412593.891462173</v>
      </c>
      <c r="Y1737" s="724">
        <v>-20412593.891462173</v>
      </c>
      <c r="Z1737" s="724">
        <f ca="1">Calc!BG104</f>
        <v>-20412593.891462173</v>
      </c>
      <c r="AB1737" s="93">
        <f ca="1">Tab1SDataShiftSummary[[#This Row],[Summary0]]-Tab1SDataShiftSummary[[#This Row],[Summary20]]</f>
        <v>3153442.5842282996</v>
      </c>
      <c r="AC1737" s="93">
        <f>Tab1SDataShiftSummary[[#This Row],[Summary1]]-Tab1SDataShiftSummary[[#This Row],[Summary0]]</f>
        <v>0</v>
      </c>
      <c r="AD1737" s="93">
        <f>Tab1SDataShiftSummary[[#This Row],[Summary2]]-Tab1SDataShiftSummary[[#This Row],[Summary1]]</f>
        <v>-625984.37450009212</v>
      </c>
      <c r="AE1737" s="93">
        <f>Tab1SDataShiftSummary[[#This Row],[Summary3]]-Tab1SDataShiftSummary[[#This Row],[Summary2]]</f>
        <v>625984.37450009212</v>
      </c>
      <c r="AF1737" s="93">
        <f>Tab1SDataShiftSummary[[#This Row],[Summary4]]-Tab1SDataShiftSummary[[#This Row],[Summary3]]</f>
        <v>708979.4543088004</v>
      </c>
      <c r="AG1737" s="93">
        <f>Tab1SDataShiftSummary[[#This Row],[Summary5]]-Tab1SDataShiftSummary[[#This Row],[Summary4]]</f>
        <v>-618847.75159199908</v>
      </c>
      <c r="AH1737" s="93">
        <f>Tab1SDataShiftSummary[[#This Row],[Summary6]]-Tab1SDataShiftSummary[[#This Row],[Summary5]]</f>
        <v>253336.96800000221</v>
      </c>
      <c r="AI1737" s="93">
        <f>Tab1SDataShiftSummary[[#This Row],[Summary7]]-Tab1SDataShiftSummary[[#This Row],[Summary6]]</f>
        <v>0</v>
      </c>
      <c r="AJ1737" s="93">
        <f>Tab1SDataShiftSummary[[#This Row],[Summary8]]-Tab1SDataShiftSummary[[#This Row],[Summary7]]</f>
        <v>-774460.96873920038</v>
      </c>
      <c r="AK1737" s="93">
        <f>Tab1SDataShiftSummary[[#This Row],[Summary9]]-Tab1SDataShiftSummary[[#This Row],[Summary8]]</f>
        <v>-91981.964421901852</v>
      </c>
      <c r="AL1737" s="93">
        <f>Tab1SDataShiftSummary[[#This Row],[Summary10]]-Tab1SDataShiftSummary[[#This Row],[Summary9]]</f>
        <v>91981.964421901852</v>
      </c>
      <c r="AM1737" s="93">
        <f>Tab1SDataShiftSummary[[#This Row],[Summary11]]-Tab1SDataShiftSummary[[#This Row],[Summary10]]</f>
        <v>0</v>
      </c>
      <c r="AN1737" s="93">
        <f>Tab1SDataShiftSummary[[#This Row],[Summary12]]-Tab1SDataShiftSummary[[#This Row],[Summary11]]</f>
        <v>-91981.964421901852</v>
      </c>
      <c r="AO1737" s="93">
        <f>Tab1SDataShiftSummary[[#This Row],[Summary13]]-Tab1SDataShiftSummary[[#This Row],[Summary12]]</f>
        <v>-103769.09999999776</v>
      </c>
      <c r="AP1737" s="93">
        <f>Tab1SDataShiftSummary[[#This Row],[Summary14]]-Tab1SDataShiftSummary[[#This Row],[Summary13]]</f>
        <v>0</v>
      </c>
      <c r="AQ1737" s="93">
        <f>Tab1SDataShiftSummary[[#This Row],[Summary15]]-Tab1SDataShiftSummary[[#This Row],[Summary14]]</f>
        <v>-2602038.4658460058</v>
      </c>
      <c r="AR1737" s="93">
        <f>Tab1SDataShiftSummary[[#This Row],[Summary16]]-Tab1SDataShiftSummary[[#This Row],[Summary15]]</f>
        <v>0</v>
      </c>
      <c r="AS1737" s="93">
        <f>Tab1SDataShiftSummary[[#This Row],[Summary17]]-Tab1SDataShiftSummary[[#This Row],[Summary16]]</f>
        <v>-21702.610457994044</v>
      </c>
      <c r="AT1737" s="93">
        <f>Tab1SDataShiftSummary[[#This Row],[Summary18]]-Tab1SDataShiftSummary[[#This Row],[Summary17]]</f>
        <v>97041.854519996792</v>
      </c>
      <c r="AU1737" s="93">
        <f>Tab1SDataShiftSummary[[#This Row],[Summary19]]-Tab1SDataShiftSummary[[#This Row],[Summary18]]</f>
        <v>0</v>
      </c>
      <c r="AV1737" s="1540">
        <f ca="1">Tab1SDataShiftSummary[[#This Row],[Summary20]]-Tab1SDataShiftSummary[[#This Row],[Summary19]]</f>
        <v>0</v>
      </c>
      <c r="AY1737" s="722" t="s">
        <v>1912</v>
      </c>
    </row>
    <row r="1738" spans="1:52" x14ac:dyDescent="0.3">
      <c r="A1738">
        <v>6</v>
      </c>
      <c r="B1738" s="723" t="s">
        <v>2290</v>
      </c>
      <c r="C1738"/>
      <c r="E1738"/>
      <c r="F1738" s="724">
        <v>-10009290.665337717</v>
      </c>
      <c r="G1738" s="724">
        <v>-10009290.665337717</v>
      </c>
      <c r="H1738" s="724">
        <v>-10278781.701144718</v>
      </c>
      <c r="I1738" s="724">
        <v>-9936020.6653377172</v>
      </c>
      <c r="J1738" s="724">
        <v>-9427984.7773377169</v>
      </c>
      <c r="K1738" s="724">
        <v>-9810062.6973377168</v>
      </c>
      <c r="L1738" s="724">
        <v>-9648237.7973377164</v>
      </c>
      <c r="M1738" s="724">
        <v>-9648237.7973377164</v>
      </c>
      <c r="N1738" s="724">
        <v>-9754085.3893377166</v>
      </c>
      <c r="O1738" s="724">
        <v>-9771004.9808377158</v>
      </c>
      <c r="P1738" s="724">
        <v>-9754085.3893377166</v>
      </c>
      <c r="Q1738" s="724">
        <v>-9754085.3893377166</v>
      </c>
      <c r="R1738" s="724">
        <v>-9771004.9808377158</v>
      </c>
      <c r="S1738" s="724">
        <v>-9874504.9808377158</v>
      </c>
      <c r="T1738" s="724">
        <v>-9874504.9808377158</v>
      </c>
      <c r="U1738" s="724">
        <v>-10854653.515837716</v>
      </c>
      <c r="V1738" s="724">
        <v>-10854653.515837716</v>
      </c>
      <c r="W1738" s="724">
        <v>-10876299.845837716</v>
      </c>
      <c r="X1738" s="724">
        <v>-10825444.645837715</v>
      </c>
      <c r="Y1738" s="724">
        <v>-10853590.801916895</v>
      </c>
      <c r="Z1738" s="724">
        <f ca="1">Calc!BH104</f>
        <v>-10853590.801916895</v>
      </c>
      <c r="AB1738" s="93">
        <f ca="1">Tab1SDataShiftSummary[[#This Row],[Summary0]]-Tab1SDataShiftSummary[[#This Row],[Summary20]]</f>
        <v>844300.13657917827</v>
      </c>
      <c r="AC1738" s="93">
        <f>Tab1SDataShiftSummary[[#This Row],[Summary1]]-Tab1SDataShiftSummary[[#This Row],[Summary0]]</f>
        <v>0</v>
      </c>
      <c r="AD1738" s="93">
        <f>Tab1SDataShiftSummary[[#This Row],[Summary2]]-Tab1SDataShiftSummary[[#This Row],[Summary1]]</f>
        <v>-269491.03580700047</v>
      </c>
      <c r="AE1738" s="93">
        <f>Tab1SDataShiftSummary[[#This Row],[Summary3]]-Tab1SDataShiftSummary[[#This Row],[Summary2]]</f>
        <v>342761.03580700047</v>
      </c>
      <c r="AF1738" s="93">
        <f>Tab1SDataShiftSummary[[#This Row],[Summary4]]-Tab1SDataShiftSummary[[#This Row],[Summary3]]</f>
        <v>508035.88800000027</v>
      </c>
      <c r="AG1738" s="93">
        <f>Tab1SDataShiftSummary[[#This Row],[Summary5]]-Tab1SDataShiftSummary[[#This Row],[Summary4]]</f>
        <v>-382077.91999999993</v>
      </c>
      <c r="AH1738" s="93">
        <f>Tab1SDataShiftSummary[[#This Row],[Summary6]]-Tab1SDataShiftSummary[[#This Row],[Summary5]]</f>
        <v>161824.90000000037</v>
      </c>
      <c r="AI1738" s="93">
        <f>Tab1SDataShiftSummary[[#This Row],[Summary7]]-Tab1SDataShiftSummary[[#This Row],[Summary6]]</f>
        <v>0</v>
      </c>
      <c r="AJ1738" s="93">
        <f>Tab1SDataShiftSummary[[#This Row],[Summary8]]-Tab1SDataShiftSummary[[#This Row],[Summary7]]</f>
        <v>-105847.59200000018</v>
      </c>
      <c r="AK1738" s="93">
        <f>Tab1SDataShiftSummary[[#This Row],[Summary9]]-Tab1SDataShiftSummary[[#This Row],[Summary8]]</f>
        <v>-16919.591499999166</v>
      </c>
      <c r="AL1738" s="93">
        <f>Tab1SDataShiftSummary[[#This Row],[Summary10]]-Tab1SDataShiftSummary[[#This Row],[Summary9]]</f>
        <v>16919.591499999166</v>
      </c>
      <c r="AM1738" s="93">
        <f>Tab1SDataShiftSummary[[#This Row],[Summary11]]-Tab1SDataShiftSummary[[#This Row],[Summary10]]</f>
        <v>0</v>
      </c>
      <c r="AN1738" s="93">
        <f>Tab1SDataShiftSummary[[#This Row],[Summary12]]-Tab1SDataShiftSummary[[#This Row],[Summary11]]</f>
        <v>-16919.591499999166</v>
      </c>
      <c r="AO1738" s="93">
        <f>Tab1SDataShiftSummary[[#This Row],[Summary13]]-Tab1SDataShiftSummary[[#This Row],[Summary12]]</f>
        <v>-103500</v>
      </c>
      <c r="AP1738" s="93">
        <f>Tab1SDataShiftSummary[[#This Row],[Summary14]]-Tab1SDataShiftSummary[[#This Row],[Summary13]]</f>
        <v>0</v>
      </c>
      <c r="AQ1738" s="93">
        <f>Tab1SDataShiftSummary[[#This Row],[Summary15]]-Tab1SDataShiftSummary[[#This Row],[Summary14]]</f>
        <v>-980148.53500000015</v>
      </c>
      <c r="AR1738" s="93">
        <f>Tab1SDataShiftSummary[[#This Row],[Summary16]]-Tab1SDataShiftSummary[[#This Row],[Summary15]]</f>
        <v>0</v>
      </c>
      <c r="AS1738" s="93">
        <f>Tab1SDataShiftSummary[[#This Row],[Summary17]]-Tab1SDataShiftSummary[[#This Row],[Summary16]]</f>
        <v>-21646.330000000075</v>
      </c>
      <c r="AT1738" s="93">
        <f>Tab1SDataShiftSummary[[#This Row],[Summary18]]-Tab1SDataShiftSummary[[#This Row],[Summary17]]</f>
        <v>50855.200000001118</v>
      </c>
      <c r="AU1738" s="93">
        <f>Tab1SDataShiftSummary[[#This Row],[Summary19]]-Tab1SDataShiftSummary[[#This Row],[Summary18]]</f>
        <v>-28146.156079180539</v>
      </c>
      <c r="AV1738" s="1540">
        <f ca="1">Tab1SDataShiftSummary[[#This Row],[Summary20]]-Tab1SDataShiftSummary[[#This Row],[Summary19]]</f>
        <v>0</v>
      </c>
      <c r="AY1738" s="723" t="s">
        <v>2290</v>
      </c>
    </row>
    <row r="1739" spans="1:52" x14ac:dyDescent="0.3">
      <c r="A1739">
        <v>7</v>
      </c>
      <c r="B1739" s="722" t="s">
        <v>1911</v>
      </c>
      <c r="C1739"/>
      <c r="E1739"/>
      <c r="F1739" s="724">
        <v>7186369.9494337197</v>
      </c>
      <c r="G1739" s="724">
        <v>7186369.9494337197</v>
      </c>
      <c r="H1739" s="724">
        <v>7540317.2874337193</v>
      </c>
      <c r="I1739" s="724">
        <v>7259449.4474337194</v>
      </c>
      <c r="J1739" s="724">
        <v>7060862.1204337198</v>
      </c>
      <c r="K1739" s="724">
        <v>7295415.6914337194</v>
      </c>
      <c r="L1739" s="724">
        <v>7204796.8146937191</v>
      </c>
      <c r="M1739" s="724">
        <v>7204796.8146937191</v>
      </c>
      <c r="N1739" s="724">
        <v>7869668.6416937178</v>
      </c>
      <c r="O1739" s="724">
        <v>7944297.9397097183</v>
      </c>
      <c r="P1739" s="724">
        <v>7869668.6416937178</v>
      </c>
      <c r="Q1739" s="724">
        <v>7869668.6416937178</v>
      </c>
      <c r="R1739" s="724">
        <v>7944297.9397097183</v>
      </c>
      <c r="S1739" s="724">
        <v>7944297.9397097183</v>
      </c>
      <c r="T1739" s="724">
        <v>7944297.9397097183</v>
      </c>
      <c r="U1739" s="724">
        <v>9555240.7450547181</v>
      </c>
      <c r="V1739" s="724">
        <v>9555240.7450547181</v>
      </c>
      <c r="W1739" s="724">
        <v>9555240.7450547181</v>
      </c>
      <c r="X1739" s="724">
        <v>9509425.176054718</v>
      </c>
      <c r="Y1739" s="724">
        <v>9509425.176054718</v>
      </c>
      <c r="Z1739" s="724">
        <f ca="1">Calc!BI104</f>
        <v>9509425.176054718</v>
      </c>
      <c r="AB1739" s="93">
        <f ca="1">Tab1SDataShiftSummary[[#This Row],[Summary0]]-Tab1SDataShiftSummary[[#This Row],[Summary20]]</f>
        <v>-2323055.2266209982</v>
      </c>
      <c r="AC1739" s="93">
        <f>Tab1SDataShiftSummary[[#This Row],[Summary1]]-Tab1SDataShiftSummary[[#This Row],[Summary0]]</f>
        <v>0</v>
      </c>
      <c r="AD1739" s="93">
        <f>Tab1SDataShiftSummary[[#This Row],[Summary2]]-Tab1SDataShiftSummary[[#This Row],[Summary1]]</f>
        <v>353947.33799999952</v>
      </c>
      <c r="AE1739" s="93">
        <f>Tab1SDataShiftSummary[[#This Row],[Summary3]]-Tab1SDataShiftSummary[[#This Row],[Summary2]]</f>
        <v>-280867.83999999985</v>
      </c>
      <c r="AF1739" s="93">
        <f>Tab1SDataShiftSummary[[#This Row],[Summary4]]-Tab1SDataShiftSummary[[#This Row],[Summary3]]</f>
        <v>-198587.32699999958</v>
      </c>
      <c r="AG1739" s="93">
        <f>Tab1SDataShiftSummary[[#This Row],[Summary5]]-Tab1SDataShiftSummary[[#This Row],[Summary4]]</f>
        <v>234553.57099999953</v>
      </c>
      <c r="AH1739" s="93">
        <f>Tab1SDataShiftSummary[[#This Row],[Summary6]]-Tab1SDataShiftSummary[[#This Row],[Summary5]]</f>
        <v>-90618.876740000211</v>
      </c>
      <c r="AI1739" s="93">
        <f>Tab1SDataShiftSummary[[#This Row],[Summary7]]-Tab1SDataShiftSummary[[#This Row],[Summary6]]</f>
        <v>0</v>
      </c>
      <c r="AJ1739" s="93">
        <f>Tab1SDataShiftSummary[[#This Row],[Summary8]]-Tab1SDataShiftSummary[[#This Row],[Summary7]]</f>
        <v>664871.82699999865</v>
      </c>
      <c r="AK1739" s="93">
        <f>Tab1SDataShiftSummary[[#This Row],[Summary9]]-Tab1SDataShiftSummary[[#This Row],[Summary8]]</f>
        <v>74629.298016000539</v>
      </c>
      <c r="AL1739" s="93">
        <f>Tab1SDataShiftSummary[[#This Row],[Summary10]]-Tab1SDataShiftSummary[[#This Row],[Summary9]]</f>
        <v>-74629.298016000539</v>
      </c>
      <c r="AM1739" s="93">
        <f>Tab1SDataShiftSummary[[#This Row],[Summary11]]-Tab1SDataShiftSummary[[#This Row],[Summary10]]</f>
        <v>0</v>
      </c>
      <c r="AN1739" s="93">
        <f>Tab1SDataShiftSummary[[#This Row],[Summary12]]-Tab1SDataShiftSummary[[#This Row],[Summary11]]</f>
        <v>74629.298016000539</v>
      </c>
      <c r="AO1739" s="93">
        <f>Tab1SDataShiftSummary[[#This Row],[Summary13]]-Tab1SDataShiftSummary[[#This Row],[Summary12]]</f>
        <v>0</v>
      </c>
      <c r="AP1739" s="93">
        <f>Tab1SDataShiftSummary[[#This Row],[Summary14]]-Tab1SDataShiftSummary[[#This Row],[Summary13]]</f>
        <v>0</v>
      </c>
      <c r="AQ1739" s="93">
        <f>Tab1SDataShiftSummary[[#This Row],[Summary15]]-Tab1SDataShiftSummary[[#This Row],[Summary14]]</f>
        <v>1610942.8053449998</v>
      </c>
      <c r="AR1739" s="93">
        <f>Tab1SDataShiftSummary[[#This Row],[Summary16]]-Tab1SDataShiftSummary[[#This Row],[Summary15]]</f>
        <v>0</v>
      </c>
      <c r="AS1739" s="93">
        <v>0</v>
      </c>
      <c r="AT1739" s="93">
        <v>0</v>
      </c>
      <c r="AU1739" s="93">
        <v>315316.06000000052</v>
      </c>
      <c r="AV1739" s="1540">
        <f ca="1">Tab1SDataShiftSummary[[#This Row],[Summary20]]-Tab1SDataShiftSummary[[#This Row],[Summary19]]</f>
        <v>0</v>
      </c>
      <c r="AY1739" s="722" t="s">
        <v>1911</v>
      </c>
    </row>
    <row r="1740" spans="1:52" x14ac:dyDescent="0.3">
      <c r="A1740">
        <v>8</v>
      </c>
      <c r="B1740" s="723" t="s">
        <v>975</v>
      </c>
      <c r="C1740"/>
      <c r="E1740"/>
      <c r="F1740" s="724">
        <v>-4378146.7453377172</v>
      </c>
      <c r="G1740" s="724">
        <v>-4312666.567337716</v>
      </c>
      <c r="H1740" s="724">
        <v>-4399419.6811447162</v>
      </c>
      <c r="I1740" s="724">
        <v>-4465962.5253377166</v>
      </c>
      <c r="J1740" s="724">
        <v>-4288338.777337716</v>
      </c>
      <c r="K1740" s="724">
        <v>-4312179.277337716</v>
      </c>
      <c r="L1740" s="724">
        <v>-4391069.067337716</v>
      </c>
      <c r="M1740" s="724">
        <v>-4391169.067337716</v>
      </c>
      <c r="N1740" s="724">
        <v>-4426501.3493377166</v>
      </c>
      <c r="O1740" s="724">
        <v>-4423333.9308377169</v>
      </c>
      <c r="P1740" s="724">
        <v>-4474061.9843377173</v>
      </c>
      <c r="Q1740" s="724">
        <v>-4512825.2693377165</v>
      </c>
      <c r="R1740" s="724">
        <v>-4619758.9008377166</v>
      </c>
      <c r="S1740" s="724">
        <v>-4934489.7408377174</v>
      </c>
      <c r="T1740" s="724">
        <v>-4914912.9308377169</v>
      </c>
      <c r="U1740" s="724">
        <v>-4997497.1496377168</v>
      </c>
      <c r="V1740" s="724">
        <v>-5002474.2908377172</v>
      </c>
      <c r="W1740" s="724">
        <v>-5459325.5958377179</v>
      </c>
      <c r="X1740" s="724">
        <v>-5495052.9160377169</v>
      </c>
      <c r="Y1740" s="724">
        <v>-5518721.9293093337</v>
      </c>
      <c r="Z1740" s="724">
        <f ca="1">Calc!BK104</f>
        <v>-5518721.9293093337</v>
      </c>
      <c r="AB1740" s="93">
        <f ca="1">Tab1SDataShiftSummary[[#This Row],[Summary0]]-Tab1SDataShiftSummary[[#This Row],[Summary20]]</f>
        <v>1140575.1839716164</v>
      </c>
      <c r="AC1740" s="93">
        <f>Tab1SDataShiftSummary[[#This Row],[Summary1]]-Tab1SDataShiftSummary[[#This Row],[Summary0]]</f>
        <v>65480.178000001237</v>
      </c>
      <c r="AD1740" s="93">
        <f>Tab1SDataShiftSummary[[#This Row],[Summary2]]-Tab1SDataShiftSummary[[#This Row],[Summary1]]</f>
        <v>-86753.11380700022</v>
      </c>
      <c r="AE1740" s="93">
        <f>Tab1SDataShiftSummary[[#This Row],[Summary3]]-Tab1SDataShiftSummary[[#This Row],[Summary2]]</f>
        <v>-66542.844193000346</v>
      </c>
      <c r="AF1740" s="93">
        <f>Tab1SDataShiftSummary[[#This Row],[Summary4]]-Tab1SDataShiftSummary[[#This Row],[Summary3]]</f>
        <v>177623.7480000006</v>
      </c>
      <c r="AG1740" s="93">
        <f>Tab1SDataShiftSummary[[#This Row],[Summary5]]-Tab1SDataShiftSummary[[#This Row],[Summary4]]</f>
        <v>-23840.5</v>
      </c>
      <c r="AH1740" s="93">
        <f>Tab1SDataShiftSummary[[#This Row],[Summary6]]-Tab1SDataShiftSummary[[#This Row],[Summary5]]</f>
        <v>-78889.790000000037</v>
      </c>
      <c r="AI1740" s="93">
        <f>Tab1SDataShiftSummary[[#This Row],[Summary7]]-Tab1SDataShiftSummary[[#This Row],[Summary6]]</f>
        <v>-100</v>
      </c>
      <c r="AJ1740" s="93">
        <f>Tab1SDataShiftSummary[[#This Row],[Summary8]]-Tab1SDataShiftSummary[[#This Row],[Summary7]]</f>
        <v>-35332.282000000589</v>
      </c>
      <c r="AK1740" s="93">
        <f>Tab1SDataShiftSummary[[#This Row],[Summary9]]-Tab1SDataShiftSummary[[#This Row],[Summary8]]</f>
        <v>3167.4184999996796</v>
      </c>
      <c r="AL1740" s="93">
        <f>Tab1SDataShiftSummary[[#This Row],[Summary10]]-Tab1SDataShiftSummary[[#This Row],[Summary9]]</f>
        <v>-50728.053500000387</v>
      </c>
      <c r="AM1740" s="93">
        <f>Tab1SDataShiftSummary[[#This Row],[Summary11]]-Tab1SDataShiftSummary[[#This Row],[Summary10]]</f>
        <v>-38763.284999999218</v>
      </c>
      <c r="AN1740" s="93">
        <f>Tab1SDataShiftSummary[[#This Row],[Summary12]]-Tab1SDataShiftSummary[[#This Row],[Summary11]]</f>
        <v>-106933.63150000013</v>
      </c>
      <c r="AO1740" s="93">
        <f>Tab1SDataShiftSummary[[#This Row],[Summary13]]-Tab1SDataShiftSummary[[#This Row],[Summary12]]</f>
        <v>-314730.84000000078</v>
      </c>
      <c r="AP1740" s="93">
        <f>Tab1SDataShiftSummary[[#This Row],[Summary14]]-Tab1SDataShiftSummary[[#This Row],[Summary13]]</f>
        <v>19576.810000000522</v>
      </c>
      <c r="AQ1740" s="93">
        <f>Tab1SDataShiftSummary[[#This Row],[Summary15]]-Tab1SDataShiftSummary[[#This Row],[Summary14]]</f>
        <v>-82584.218799999915</v>
      </c>
      <c r="AR1740" s="93">
        <f>Tab1SDataShiftSummary[[#This Row],[Summary16]]-Tab1SDataShiftSummary[[#This Row],[Summary15]]</f>
        <v>-4977.1412000004202</v>
      </c>
      <c r="AS1740" s="93">
        <f>Tab1SDataShiftSummary[[#This Row],[Summary17]]-Tab1SDataShiftSummary[[#This Row],[Summary16]]</f>
        <v>-456851.30500000063</v>
      </c>
      <c r="AT1740" s="93">
        <f>Tab1SDataShiftSummary[[#This Row],[Summary18]]-Tab1SDataShiftSummary[[#This Row],[Summary17]]</f>
        <v>-35727.320199999027</v>
      </c>
      <c r="AU1740" s="93">
        <f>Tab1SDataShiftSummary[[#This Row],[Summary19]]-Tab1SDataShiftSummary[[#This Row],[Summary18]]</f>
        <v>-23669.013271616772</v>
      </c>
      <c r="AV1740" s="1540">
        <f ca="1">Tab1SDataShiftSummary[[#This Row],[Summary20]]-Tab1SDataShiftSummary[[#This Row],[Summary19]]</f>
        <v>0</v>
      </c>
      <c r="AY1740" s="723" t="s">
        <v>975</v>
      </c>
    </row>
    <row r="1741" spans="1:52" x14ac:dyDescent="0.3">
      <c r="A1741">
        <v>9</v>
      </c>
      <c r="B1741" s="722" t="s">
        <v>2294</v>
      </c>
      <c r="C1741"/>
      <c r="E1741"/>
      <c r="F1741" s="724">
        <v>0</v>
      </c>
      <c r="G1741" s="724">
        <v>0</v>
      </c>
      <c r="H1741" s="724">
        <v>0</v>
      </c>
      <c r="I1741" s="724">
        <v>0</v>
      </c>
      <c r="J1741" s="724">
        <v>0</v>
      </c>
      <c r="K1741" s="724">
        <v>-28648.984799999995</v>
      </c>
      <c r="L1741" s="724">
        <v>-28648.984799999995</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-28723.472160479992</v>
      </c>
      <c r="Z1741" s="724">
        <f ca="1">Calc!BM104</f>
        <v>-28723.472160479992</v>
      </c>
      <c r="AB1741" s="93">
        <f ca="1">Tab1SDataShiftSummary[[#This Row],[Summary0]]-Tab1SDataShiftSummary[[#This Row],[Summary20]]</f>
        <v>28723.472160479992</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-28648.984799999995</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-74.487360479997733</v>
      </c>
      <c r="AV1741" s="1540">
        <f ca="1">Tab1SDataShiftSummary[[#This Row],[Summary20]]-Tab1SDataShiftSummary[[#This Row],[Summary19]]</f>
        <v>0</v>
      </c>
      <c r="AY1741" s="722" t="s">
        <v>2294</v>
      </c>
    </row>
    <row r="1742" spans="1:52" x14ac:dyDescent="0.3">
      <c r="A1742">
        <v>10</v>
      </c>
      <c r="B1742" s="722" t="s">
        <v>1906</v>
      </c>
      <c r="C1742"/>
      <c r="E1742"/>
      <c r="F1742" s="724">
        <v>-63558.355267335734</v>
      </c>
      <c r="G1742" s="724">
        <v>-63558.355267335734</v>
      </c>
      <c r="H1742" s="724">
        <v>-66106.177719835978</v>
      </c>
      <c r="I1742" s="724">
        <v>-63748.361962135743</v>
      </c>
      <c r="J1742" s="724">
        <v>-61388.688330732861</v>
      </c>
      <c r="K1742" s="724">
        <v>-63607.531769472058</v>
      </c>
      <c r="L1742" s="724">
        <v>-62713.246573148048</v>
      </c>
      <c r="M1742" s="724">
        <v>-62713.246573148048</v>
      </c>
      <c r="N1742" s="724">
        <v>-66455.511842069973</v>
      </c>
      <c r="O1742" s="724">
        <v>-66888.701124408515</v>
      </c>
      <c r="P1742" s="724">
        <v>-66455.511842069973</v>
      </c>
      <c r="Q1742" s="724">
        <v>-66455.511842069973</v>
      </c>
      <c r="R1742" s="724">
        <v>-66888.701124408515</v>
      </c>
      <c r="S1742" s="724">
        <v>-67158.500784408505</v>
      </c>
      <c r="T1742" s="724">
        <v>-67158.500784408505</v>
      </c>
      <c r="U1742" s="724">
        <v>-78112.252089505128</v>
      </c>
      <c r="V1742" s="724">
        <v>-78112.252089505128</v>
      </c>
      <c r="W1742" s="724">
        <v>-78168.678876695907</v>
      </c>
      <c r="X1742" s="724">
        <v>-77797.249575543916</v>
      </c>
      <c r="Y1742" s="724">
        <v>-77797.249575543916</v>
      </c>
      <c r="Z1742" s="724">
        <f ca="1">Calc!BN104</f>
        <v>-77797.249575543916</v>
      </c>
      <c r="AB1742" s="93">
        <f ca="1">Tab1SDataShiftSummary[[#This Row],[Summary0]]-Tab1SDataShiftSummary[[#This Row],[Summary20]]</f>
        <v>14238.894308208182</v>
      </c>
      <c r="AC1742" s="93">
        <f>Tab1SDataShiftSummary[[#This Row],[Summary1]]-Tab1SDataShiftSummary[[#This Row],[Summary0]]</f>
        <v>0</v>
      </c>
      <c r="AD1742" s="93">
        <f>Tab1SDataShiftSummary[[#This Row],[Summary2]]-Tab1SDataShiftSummary[[#This Row],[Summary1]]</f>
        <v>-2547.8224525002443</v>
      </c>
      <c r="AE1742" s="93">
        <f>Tab1SDataShiftSummary[[#This Row],[Summary3]]-Tab1SDataShiftSummary[[#This Row],[Summary2]]</f>
        <v>2357.8157577002348</v>
      </c>
      <c r="AF1742" s="93">
        <f>Tab1SDataShiftSummary[[#This Row],[Summary4]]-Tab1SDataShiftSummary[[#This Row],[Summary3]]</f>
        <v>2359.6736314028822</v>
      </c>
      <c r="AG1742" s="93">
        <f>Tab1SDataShiftSummary[[#This Row],[Summary5]]-Tab1SDataShiftSummary[[#This Row],[Summary4]]</f>
        <v>-2218.8434387391972</v>
      </c>
      <c r="AH1742" s="93">
        <f>Tab1SDataShiftSummary[[#This Row],[Summary6]]-Tab1SDataShiftSummary[[#This Row],[Summary5]]</f>
        <v>894.28519632401003</v>
      </c>
      <c r="AI1742" s="93">
        <f>Tab1SDataShiftSummary[[#This Row],[Summary7]]-Tab1SDataShiftSummary[[#This Row],[Summary6]]</f>
        <v>0</v>
      </c>
      <c r="AJ1742" s="93">
        <f>Tab1SDataShiftSummary[[#This Row],[Summary8]]-Tab1SDataShiftSummary[[#This Row],[Summary7]]</f>
        <v>-3742.2652689219249</v>
      </c>
      <c r="AK1742" s="93">
        <f>Tab1SDataShiftSummary[[#This Row],[Summary9]]-Tab1SDataShiftSummary[[#This Row],[Summary8]]</f>
        <v>-433.1892823385424</v>
      </c>
      <c r="AL1742" s="93">
        <f>Tab1SDataShiftSummary[[#This Row],[Summary10]]-Tab1SDataShiftSummary[[#This Row],[Summary9]]</f>
        <v>433.1892823385424</v>
      </c>
      <c r="AM1742" s="93">
        <f>Tab1SDataShiftSummary[[#This Row],[Summary11]]-Tab1SDataShiftSummary[[#This Row],[Summary10]]</f>
        <v>0</v>
      </c>
      <c r="AN1742" s="93">
        <f>Tab1SDataShiftSummary[[#This Row],[Summary12]]-Tab1SDataShiftSummary[[#This Row],[Summary11]]</f>
        <v>-433.1892823385424</v>
      </c>
      <c r="AO1742" s="93">
        <f>Tab1SDataShiftSummary[[#This Row],[Summary13]]-Tab1SDataShiftSummary[[#This Row],[Summary12]]</f>
        <v>-269.79965999998967</v>
      </c>
      <c r="AP1742" s="93">
        <f>Tab1SDataShiftSummary[[#This Row],[Summary14]]-Tab1SDataShiftSummary[[#This Row],[Summary13]]</f>
        <v>0</v>
      </c>
      <c r="AQ1742" s="93">
        <f>Tab1SDataShiftSummary[[#This Row],[Summary15]]-Tab1SDataShiftSummary[[#This Row],[Summary14]]</f>
        <v>-10953.751305096623</v>
      </c>
      <c r="AR1742" s="93">
        <f>Tab1SDataShiftSummary[[#This Row],[Summary16]]-Tab1SDataShiftSummary[[#This Row],[Summary15]]</f>
        <v>0</v>
      </c>
      <c r="AS1742" s="93">
        <f>Tab1SDataShiftSummary[[#This Row],[Summary17]]-Tab1SDataShiftSummary[[#This Row],[Summary16]]</f>
        <v>-56.426787190779578</v>
      </c>
      <c r="AT1742" s="93">
        <f>Tab1SDataShiftSummary[[#This Row],[Summary18]]-Tab1SDataShiftSummary[[#This Row],[Summary17]]</f>
        <v>371.42930115199124</v>
      </c>
      <c r="AU1742" s="93">
        <f>Tab1SDataShiftSummary[[#This Row],[Summary19]]-Tab1SDataShiftSummary[[#This Row],[Summary18]]</f>
        <v>0</v>
      </c>
      <c r="AV1742" s="1540">
        <f ca="1">Tab1SDataShiftSummary[[#This Row],[Summary20]]-Tab1SDataShiftSummary[[#This Row],[Summary19]]</f>
        <v>0</v>
      </c>
      <c r="AY1742" s="722" t="s">
        <v>1906</v>
      </c>
    </row>
    <row r="1743" spans="1:52" x14ac:dyDescent="0.3">
      <c r="A1743">
        <v>11</v>
      </c>
      <c r="B1743" s="722" t="s">
        <v>1905</v>
      </c>
      <c r="C1743" t="s">
        <v>2296</v>
      </c>
      <c r="E1743"/>
      <c r="F1743" s="724">
        <v>-2998685.21433644</v>
      </c>
      <c r="G1743" s="724">
        <v>-2998685.21433644</v>
      </c>
      <c r="H1743" s="724">
        <v>-3108955.9438365381</v>
      </c>
      <c r="I1743" s="724">
        <v>-2925605.7163364403</v>
      </c>
      <c r="J1743" s="724">
        <v>-2457382.0890276395</v>
      </c>
      <c r="K1743" s="724">
        <v>-2799507.7696196409</v>
      </c>
      <c r="L1743" s="724">
        <v>-2656879.6783596408</v>
      </c>
      <c r="M1743" s="724">
        <v>-2656879.6783596408</v>
      </c>
      <c r="N1743" s="724">
        <v>-2766218.8200988406</v>
      </c>
      <c r="O1743" s="724">
        <v>-2780028.0650047408</v>
      </c>
      <c r="P1743" s="724">
        <v>-2766218.8200988406</v>
      </c>
      <c r="Q1743" s="724">
        <v>-2766218.8200988406</v>
      </c>
      <c r="R1743" s="724">
        <v>-2780028.0650047408</v>
      </c>
      <c r="S1743" s="724">
        <v>-2883797.1650047405</v>
      </c>
      <c r="T1743" s="724">
        <v>-2883797.1650047405</v>
      </c>
      <c r="U1743" s="724">
        <v>-3439635.2655057386</v>
      </c>
      <c r="V1743" s="724">
        <v>-3439635.2655057386</v>
      </c>
      <c r="W1743" s="724">
        <v>-3461337.8759637382</v>
      </c>
      <c r="X1743" s="724">
        <v>-3410111.5904437378</v>
      </c>
      <c r="Y1743" s="724">
        <v>-3410111.5904437378</v>
      </c>
      <c r="Z1743" s="724">
        <f ca="1">Z1739+Z1734</f>
        <v>-3410111.5904437378</v>
      </c>
      <c r="AB1743" s="93">
        <f ca="1">Tab1SDataShiftSummary[[#This Row],[Summary0]]-Tab1SDataShiftSummary[[#This Row],[Summary20]]</f>
        <v>411426.37610729784</v>
      </c>
      <c r="AC1743" s="93">
        <f>Tab1SDataShiftSummary[[#This Row],[Summary1]]-Tab1SDataShiftSummary[[#This Row],[Summary0]]</f>
        <v>0</v>
      </c>
      <c r="AD1743" s="93">
        <f>Tab1SDataShiftSummary[[#This Row],[Summary2]]-Tab1SDataShiftSummary[[#This Row],[Summary1]]</f>
        <v>-110270.72950009815</v>
      </c>
      <c r="AE1743" s="93">
        <f>Tab1SDataShiftSummary[[#This Row],[Summary3]]-Tab1SDataShiftSummary[[#This Row],[Summary2]]</f>
        <v>183350.22750009783</v>
      </c>
      <c r="AF1743" s="93">
        <f>Tab1SDataShiftSummary[[#This Row],[Summary4]]-Tab1SDataShiftSummary[[#This Row],[Summary3]]</f>
        <v>468223.62730880082</v>
      </c>
      <c r="AG1743" s="93">
        <f>Tab1SDataShiftSummary[[#This Row],[Summary5]]-Tab1SDataShiftSummary[[#This Row],[Summary4]]</f>
        <v>-342125.68059200142</v>
      </c>
      <c r="AH1743" s="93">
        <f>Tab1SDataShiftSummary[[#This Row],[Summary6]]-Tab1SDataShiftSummary[[#This Row],[Summary5]]</f>
        <v>142628.09126000013</v>
      </c>
      <c r="AI1743" s="93">
        <f>Tab1SDataShiftSummary[[#This Row],[Summary7]]-Tab1SDataShiftSummary[[#This Row],[Summary6]]</f>
        <v>0</v>
      </c>
      <c r="AJ1743" s="93">
        <f>Tab1SDataShiftSummary[[#This Row],[Summary8]]-Tab1SDataShiftSummary[[#This Row],[Summary7]]</f>
        <v>-109339.14173919987</v>
      </c>
      <c r="AK1743" s="93">
        <f>Tab1SDataShiftSummary[[#This Row],[Summary9]]-Tab1SDataShiftSummary[[#This Row],[Summary8]]</f>
        <v>-13809.24490590021</v>
      </c>
      <c r="AL1743" s="93">
        <f>Tab1SDataShiftSummary[[#This Row],[Summary10]]-Tab1SDataShiftSummary[[#This Row],[Summary9]]</f>
        <v>13809.24490590021</v>
      </c>
      <c r="AM1743" s="93">
        <f>Tab1SDataShiftSummary[[#This Row],[Summary11]]-Tab1SDataShiftSummary[[#This Row],[Summary10]]</f>
        <v>0</v>
      </c>
      <c r="AN1743" s="93">
        <f>Tab1SDataShiftSummary[[#This Row],[Summary12]]-Tab1SDataShiftSummary[[#This Row],[Summary11]]</f>
        <v>-13809.24490590021</v>
      </c>
      <c r="AO1743" s="93">
        <f>Tab1SDataShiftSummary[[#This Row],[Summary13]]-Tab1SDataShiftSummary[[#This Row],[Summary12]]</f>
        <v>-103769.09999999963</v>
      </c>
      <c r="AP1743" s="93">
        <f>Tab1SDataShiftSummary[[#This Row],[Summary14]]-Tab1SDataShiftSummary[[#This Row],[Summary13]]</f>
        <v>0</v>
      </c>
      <c r="AQ1743" s="93">
        <f>Tab1SDataShiftSummary[[#This Row],[Summary15]]-Tab1SDataShiftSummary[[#This Row],[Summary14]]</f>
        <v>-555838.10050099809</v>
      </c>
      <c r="AR1743" s="93">
        <f>Tab1SDataShiftSummary[[#This Row],[Summary16]]-Tab1SDataShiftSummary[[#This Row],[Summary15]]</f>
        <v>0</v>
      </c>
      <c r="AS1743" s="93">
        <f>Tab1SDataShiftSummary[[#This Row],[Summary17]]-Tab1SDataShiftSummary[[#This Row],[Summary16]]</f>
        <v>-21702.610457999632</v>
      </c>
      <c r="AT1743" s="93">
        <f>Tab1SDataShiftSummary[[#This Row],[Summary18]]-Tab1SDataShiftSummary[[#This Row],[Summary17]]</f>
        <v>51226.285520000383</v>
      </c>
      <c r="AU1743" s="93">
        <f>Tab1SDataShiftSummary[[#This Row],[Summary19]]-Tab1SDataShiftSummary[[#This Row],[Summary18]]</f>
        <v>0</v>
      </c>
      <c r="AV1743" s="1540">
        <f ca="1">Tab1SDataShiftSummary[[#This Row],[Summary20]]-Tab1SDataShiftSummary[[#This Row],[Summary19]]</f>
        <v>0</v>
      </c>
      <c r="AY1743" s="722" t="s">
        <v>1905</v>
      </c>
    </row>
    <row r="1744" spans="1:52" x14ac:dyDescent="0.3">
      <c r="A1744">
        <v>12</v>
      </c>
      <c r="B1744" s="722" t="s">
        <v>2286</v>
      </c>
      <c r="C1744" t="s">
        <v>2295</v>
      </c>
      <c r="E1744"/>
      <c r="F1744" s="308">
        <v>-0.42317561881817767</v>
      </c>
      <c r="G1744" s="308">
        <v>-0.40397220071819434</v>
      </c>
      <c r="H1744" s="308">
        <v>-0.38363471495668966</v>
      </c>
      <c r="I1744" s="308">
        <v>-0.47805490177656523</v>
      </c>
      <c r="J1744" s="308">
        <v>-0.64679129036762784</v>
      </c>
      <c r="K1744" s="308">
        <v>-0.48269466319144688</v>
      </c>
      <c r="L1744" s="308">
        <v>-0.57521584591357799</v>
      </c>
      <c r="M1744" s="308">
        <v>-0.57524785859550476</v>
      </c>
      <c r="N1744" s="308">
        <v>-0.53467952096187732</v>
      </c>
      <c r="O1744" s="308">
        <v>-0.52737374572730722</v>
      </c>
      <c r="P1744" s="308">
        <v>-0.54940709864581083</v>
      </c>
      <c r="Q1744" s="308">
        <v>-0.56141049790912922</v>
      </c>
      <c r="R1744" s="308">
        <v>-0.58794777351344207</v>
      </c>
      <c r="S1744" s="308">
        <v>-0.63288743061441544</v>
      </c>
      <c r="T1744" s="308">
        <v>-0.62703701570932868</v>
      </c>
      <c r="U1744" s="308">
        <v>-0.41613732869483849</v>
      </c>
      <c r="V1744" s="308">
        <v>-0.41740340442248242</v>
      </c>
      <c r="W1744" s="308">
        <v>-0.52687710370668372</v>
      </c>
      <c r="X1744" s="308">
        <v>-0.54885038233863548</v>
      </c>
      <c r="Y1744" s="308">
        <v>-0.54086597693782279</v>
      </c>
      <c r="Z1744" s="308">
        <f ca="1">Z1736/ABS(Z1735)</f>
        <v>-0.54086597693782279</v>
      </c>
      <c r="AB1744" s="308">
        <f ca="1">Tab1SDataShiftSummary[[#This Row],[Summary0]]-Tab1SDataShiftSummary[[#This Row],[Summary20]]</f>
        <v>0.11769035811964512</v>
      </c>
      <c r="AC1744" s="308">
        <f>Tab1SDataShiftSummary[[#This Row],[Summary1]]-Tab1SDataShiftSummary[[#This Row],[Summary0]]</f>
        <v>1.9203418099983327E-2</v>
      </c>
      <c r="AD1744" s="308">
        <f>Tab1SDataShiftSummary[[#This Row],[Summary2]]-Tab1SDataShiftSummary[[#This Row],[Summary1]]</f>
        <v>2.0337485761504681E-2</v>
      </c>
      <c r="AE1744" s="308">
        <f>Tab1SDataShiftSummary[[#This Row],[Summary3]]-Tab1SDataShiftSummary[[#This Row],[Summary2]]</f>
        <v>-9.4420186819875573E-2</v>
      </c>
      <c r="AF1744" s="308">
        <f>Tab1SDataShiftSummary[[#This Row],[Summary4]]-Tab1SDataShiftSummary[[#This Row],[Summary3]]</f>
        <v>-0.1687363885910626</v>
      </c>
      <c r="AG1744" s="308">
        <f>Tab1SDataShiftSummary[[#This Row],[Summary5]]-Tab1SDataShiftSummary[[#This Row],[Summary4]]</f>
        <v>0.16409662717618095</v>
      </c>
      <c r="AH1744" s="308">
        <f>Tab1SDataShiftSummary[[#This Row],[Summary6]]-Tab1SDataShiftSummary[[#This Row],[Summary5]]</f>
        <v>-9.2521182722131112E-2</v>
      </c>
      <c r="AI1744" s="308">
        <f>Tab1SDataShiftSummary[[#This Row],[Summary7]]-Tab1SDataShiftSummary[[#This Row],[Summary6]]</f>
        <v>-3.2012681926762987E-5</v>
      </c>
      <c r="AJ1744" s="308">
        <f>Tab1SDataShiftSummary[[#This Row],[Summary8]]-Tab1SDataShiftSummary[[#This Row],[Summary7]]</f>
        <v>4.0568337633627438E-2</v>
      </c>
      <c r="AK1744" s="308">
        <f>Tab1SDataShiftSummary[[#This Row],[Summary9]]-Tab1SDataShiftSummary[[#This Row],[Summary8]]</f>
        <v>7.3057752345700999E-3</v>
      </c>
      <c r="AL1744" s="308">
        <f>Tab1SDataShiftSummary[[#This Row],[Summary10]]-Tab1SDataShiftSummary[[#This Row],[Summary9]]</f>
        <v>-2.2033352918503613E-2</v>
      </c>
      <c r="AM1744" s="308">
        <f>Tab1SDataShiftSummary[[#This Row],[Summary11]]-Tab1SDataShiftSummary[[#This Row],[Summary10]]</f>
        <v>-1.2003399263318393E-2</v>
      </c>
      <c r="AN1744" s="308">
        <f>Tab1SDataShiftSummary[[#This Row],[Summary12]]-Tab1SDataShiftSummary[[#This Row],[Summary11]]</f>
        <v>-2.6537275604312849E-2</v>
      </c>
      <c r="AO1744" s="308">
        <f>Tab1SDataShiftSummary[[#This Row],[Summary13]]-Tab1SDataShiftSummary[[#This Row],[Summary12]]</f>
        <v>-4.4939657100973363E-2</v>
      </c>
      <c r="AP1744" s="308">
        <f>Tab1SDataShiftSummary[[#This Row],[Summary14]]-Tab1SDataShiftSummary[[#This Row],[Summary13]]</f>
        <v>5.8504149050867538E-3</v>
      </c>
      <c r="AQ1744" s="308">
        <f>Tab1SDataShiftSummary[[#This Row],[Summary15]]-Tab1SDataShiftSummary[[#This Row],[Summary14]]</f>
        <v>0.21089968701449019</v>
      </c>
      <c r="AR1744" s="308">
        <f>Tab1SDataShiftSummary[[#This Row],[Summary16]]-Tab1SDataShiftSummary[[#This Row],[Summary15]]</f>
        <v>-1.2660757276439227E-3</v>
      </c>
      <c r="AS1744" s="308">
        <f>Tab1SDataShiftSummary[[#This Row],[Summary17]]-Tab1SDataShiftSummary[[#This Row],[Summary16]]</f>
        <v>-0.10947369928420131</v>
      </c>
      <c r="AT1744" s="308">
        <f>Tab1SDataShiftSummary[[#This Row],[Summary18]]-Tab1SDataShiftSummary[[#This Row],[Summary17]]</f>
        <v>-2.1973278631951754E-2</v>
      </c>
      <c r="AU1744" s="308">
        <f>Tab1SDataShiftSummary[[#This Row],[Summary19]]-Tab1SDataShiftSummary[[#This Row],[Summary18]]</f>
        <v>7.9844054008126886E-3</v>
      </c>
      <c r="AV1744" s="1541">
        <f ca="1">Tab1SDataShiftSummary[[#This Row],[Summary20]]-Tab1SDataShiftSummary[[#This Row],[Summary19]]</f>
        <v>0</v>
      </c>
      <c r="AY1744" s="722" t="s">
        <v>2286</v>
      </c>
    </row>
    <row r="1745" spans="1:55" x14ac:dyDescent="0.3">
      <c r="A1745">
        <v>13</v>
      </c>
      <c r="B1745" s="722" t="s">
        <v>1134</v>
      </c>
      <c r="C1745"/>
      <c r="E1745"/>
      <c r="F1745" s="724">
        <v>2984250</v>
      </c>
      <c r="G1745" s="724">
        <v>2984690</v>
      </c>
      <c r="H1745" s="724">
        <v>2966860</v>
      </c>
      <c r="I1745" s="724">
        <v>2965660</v>
      </c>
      <c r="J1745" s="724">
        <v>2945060</v>
      </c>
      <c r="K1745" s="724">
        <v>2977390</v>
      </c>
      <c r="L1745" s="724">
        <v>3006240</v>
      </c>
      <c r="M1745" s="724">
        <v>3006240</v>
      </c>
      <c r="N1745" s="724">
        <v>3055540</v>
      </c>
      <c r="O1745" s="724">
        <v>3025284</v>
      </c>
      <c r="P1745" s="724">
        <v>2981740</v>
      </c>
      <c r="Q1745" s="724">
        <v>2978970</v>
      </c>
      <c r="R1745" s="724">
        <v>2958128</v>
      </c>
      <c r="S1745" s="724">
        <v>2881596</v>
      </c>
      <c r="T1745" s="724">
        <v>2886350</v>
      </c>
      <c r="U1745" s="724">
        <v>3673242</v>
      </c>
      <c r="V1745" s="724">
        <v>3661670</v>
      </c>
      <c r="W1745" s="724">
        <v>3309146</v>
      </c>
      <c r="X1745" s="724">
        <v>3289698</v>
      </c>
      <c r="Y1745" s="724">
        <v>3350750</v>
      </c>
      <c r="Z1745" s="724">
        <f ca="1">Calc!BR104</f>
        <v>3350750</v>
      </c>
      <c r="AB1745" s="93">
        <f ca="1">Tab1SDataShiftSummary[[#This Row],[Summary0]]-Tab1SDataShiftSummary[[#This Row],[Summary20]]</f>
        <v>-366500</v>
      </c>
      <c r="AC1745" s="93">
        <f>Tab1SDataShiftSummary[[#This Row],[Summary1]]-Tab1SDataShiftSummary[[#This Row],[Summary0]]</f>
        <v>440</v>
      </c>
      <c r="AD1745" s="93">
        <f>Tab1SDataShiftSummary[[#This Row],[Summary2]]-Tab1SDataShiftSummary[[#This Row],[Summary1]]</f>
        <v>-17830</v>
      </c>
      <c r="AE1745" s="93">
        <f>Tab1SDataShiftSummary[[#This Row],[Summary3]]-Tab1SDataShiftSummary[[#This Row],[Summary2]]</f>
        <v>-1200</v>
      </c>
      <c r="AF1745" s="93">
        <f>Tab1SDataShiftSummary[[#This Row],[Summary4]]-Tab1SDataShiftSummary[[#This Row],[Summary3]]</f>
        <v>-20600</v>
      </c>
      <c r="AG1745" s="93">
        <f>Tab1SDataShiftSummary[[#This Row],[Summary5]]-Tab1SDataShiftSummary[[#This Row],[Summary4]]</f>
        <v>32330</v>
      </c>
      <c r="AH1745" s="93">
        <f>Tab1SDataShiftSummary[[#This Row],[Summary6]]-Tab1SDataShiftSummary[[#This Row],[Summary5]]</f>
        <v>28850</v>
      </c>
      <c r="AI1745" s="93">
        <f>Tab1SDataShiftSummary[[#This Row],[Summary7]]-Tab1SDataShiftSummary[[#This Row],[Summary6]]</f>
        <v>0</v>
      </c>
      <c r="AJ1745" s="93">
        <f>Tab1SDataShiftSummary[[#This Row],[Summary8]]-Tab1SDataShiftSummary[[#This Row],[Summary7]]</f>
        <v>49300</v>
      </c>
      <c r="AK1745" s="93">
        <f>Tab1SDataShiftSummary[[#This Row],[Summary9]]-Tab1SDataShiftSummary[[#This Row],[Summary8]]</f>
        <v>-30256</v>
      </c>
      <c r="AL1745" s="93">
        <f>Tab1SDataShiftSummary[[#This Row],[Summary10]]-Tab1SDataShiftSummary[[#This Row],[Summary9]]</f>
        <v>-43544</v>
      </c>
      <c r="AM1745" s="93">
        <f>Tab1SDataShiftSummary[[#This Row],[Summary11]]-Tab1SDataShiftSummary[[#This Row],[Summary10]]</f>
        <v>-2770</v>
      </c>
      <c r="AN1745" s="93">
        <f>Tab1SDataShiftSummary[[#This Row],[Summary12]]-Tab1SDataShiftSummary[[#This Row],[Summary11]]</f>
        <v>-20842</v>
      </c>
      <c r="AO1745" s="93">
        <f>Tab1SDataShiftSummary[[#This Row],[Summary13]]-Tab1SDataShiftSummary[[#This Row],[Summary12]]</f>
        <v>-76532</v>
      </c>
      <c r="AP1745" s="93">
        <f>Tab1SDataShiftSummary[[#This Row],[Summary14]]-Tab1SDataShiftSummary[[#This Row],[Summary13]]</f>
        <v>4754</v>
      </c>
      <c r="AQ1745" s="93">
        <f>Tab1SDataShiftSummary[[#This Row],[Summary15]]-Tab1SDataShiftSummary[[#This Row],[Summary14]]</f>
        <v>786892</v>
      </c>
      <c r="AR1745" s="93">
        <f>Tab1SDataShiftSummary[[#This Row],[Summary16]]-Tab1SDataShiftSummary[[#This Row],[Summary15]]</f>
        <v>-11572</v>
      </c>
      <c r="AS1745" s="93">
        <f>Tab1SDataShiftSummary[[#This Row],[Summary17]]-Tab1SDataShiftSummary[[#This Row],[Summary16]]</f>
        <v>-352524</v>
      </c>
      <c r="AT1745" s="93">
        <f>Tab1SDataShiftSummary[[#This Row],[Summary18]]-Tab1SDataShiftSummary[[#This Row],[Summary17]]</f>
        <v>-19448</v>
      </c>
      <c r="AU1745" s="93">
        <f>Tab1SDataShiftSummary[[#This Row],[Summary19]]-Tab1SDataShiftSummary[[#This Row],[Summary18]]</f>
        <v>61052</v>
      </c>
      <c r="AV1745" s="1540">
        <f ca="1">Tab1SDataShiftSummary[[#This Row],[Summary20]]-Tab1SDataShiftSummary[[#This Row],[Summary19]]</f>
        <v>0</v>
      </c>
      <c r="AY1745" s="722" t="s">
        <v>1134</v>
      </c>
      <c r="AZ1745" t="s">
        <v>2279</v>
      </c>
    </row>
    <row r="1746" spans="1:55" x14ac:dyDescent="0.3">
      <c r="A1746">
        <v>14</v>
      </c>
      <c r="B1746" s="722" t="s">
        <v>1131</v>
      </c>
      <c r="C1746"/>
      <c r="E1746"/>
      <c r="F1746" s="724">
        <v>2646893.92</v>
      </c>
      <c r="G1746" s="724">
        <v>2711934.0979999998</v>
      </c>
      <c r="H1746" s="724">
        <v>2576302.02</v>
      </c>
      <c r="I1746" s="724">
        <v>2504398.1399999997</v>
      </c>
      <c r="J1746" s="724">
        <v>2194586</v>
      </c>
      <c r="K1746" s="724">
        <v>2520493.42</v>
      </c>
      <c r="L1746" s="724">
        <v>2250928.73</v>
      </c>
      <c r="M1746" s="724">
        <v>2250828.73</v>
      </c>
      <c r="N1746" s="724">
        <v>2272044.04</v>
      </c>
      <c r="O1746" s="724">
        <v>2322387.0499999998</v>
      </c>
      <c r="P1746" s="724">
        <v>2298283.4050000003</v>
      </c>
      <c r="Q1746" s="724">
        <v>2262290.12</v>
      </c>
      <c r="R1746" s="724">
        <v>2193118.08</v>
      </c>
      <c r="S1746" s="724">
        <v>2058419.24</v>
      </c>
      <c r="T1746" s="724">
        <v>2073242.05</v>
      </c>
      <c r="U1746" s="724">
        <v>2183914.3662</v>
      </c>
      <c r="V1746" s="724">
        <v>2190509.2249999996</v>
      </c>
      <c r="W1746" s="724">
        <v>2107828.25</v>
      </c>
      <c r="X1746" s="724">
        <v>2040693.7297999999</v>
      </c>
      <c r="Y1746" s="724">
        <v>1998025.6893999998</v>
      </c>
      <c r="Z1746" s="724">
        <f ca="1">Calc!BS104</f>
        <v>1998025.6893999998</v>
      </c>
      <c r="AB1746" s="93">
        <f ca="1">Tab1SDataShiftSummary[[#This Row],[Summary0]]-Tab1SDataShiftSummary[[#This Row],[Summary20]]</f>
        <v>648868.23060000013</v>
      </c>
      <c r="AC1746" s="93">
        <f>Tab1SDataShiftSummary[[#This Row],[Summary1]]-Tab1SDataShiftSummary[[#This Row],[Summary0]]</f>
        <v>65040.17799999984</v>
      </c>
      <c r="AD1746" s="93">
        <f>Tab1SDataShiftSummary[[#This Row],[Summary2]]-Tab1SDataShiftSummary[[#This Row],[Summary1]]</f>
        <v>-135632.07799999975</v>
      </c>
      <c r="AE1746" s="93">
        <f>Tab1SDataShiftSummary[[#This Row],[Summary3]]-Tab1SDataShiftSummary[[#This Row],[Summary2]]</f>
        <v>-71903.880000000354</v>
      </c>
      <c r="AF1746" s="93">
        <f>Tab1SDataShiftSummary[[#This Row],[Summary4]]-Tab1SDataShiftSummary[[#This Row],[Summary3]]</f>
        <v>-309812.13999999966</v>
      </c>
      <c r="AG1746" s="93">
        <f>Tab1SDataShiftSummary[[#This Row],[Summary5]]-Tab1SDataShiftSummary[[#This Row],[Summary4]]</f>
        <v>325907.41999999993</v>
      </c>
      <c r="AH1746" s="93">
        <f>Tab1SDataShiftSummary[[#This Row],[Summary6]]-Tab1SDataShiftSummary[[#This Row],[Summary5]]</f>
        <v>-269564.68999999994</v>
      </c>
      <c r="AI1746" s="93">
        <f>Tab1SDataShiftSummary[[#This Row],[Summary7]]-Tab1SDataShiftSummary[[#This Row],[Summary6]]</f>
        <v>-100</v>
      </c>
      <c r="AJ1746" s="93">
        <f>Tab1SDataShiftSummary[[#This Row],[Summary8]]-Tab1SDataShiftSummary[[#This Row],[Summary7]]</f>
        <v>21215.310000000056</v>
      </c>
      <c r="AK1746" s="93">
        <f>Tab1SDataShiftSummary[[#This Row],[Summary9]]-Tab1SDataShiftSummary[[#This Row],[Summary8]]</f>
        <v>50343.009999999776</v>
      </c>
      <c r="AL1746" s="93">
        <f>Tab1SDataShiftSummary[[#This Row],[Summary10]]-Tab1SDataShiftSummary[[#This Row],[Summary9]]</f>
        <v>-24103.644999999553</v>
      </c>
      <c r="AM1746" s="93">
        <f>Tab1SDataShiftSummary[[#This Row],[Summary11]]-Tab1SDataShiftSummary[[#This Row],[Summary10]]</f>
        <v>-35993.285000000149</v>
      </c>
      <c r="AN1746" s="93">
        <f>Tab1SDataShiftSummary[[#This Row],[Summary12]]-Tab1SDataShiftSummary[[#This Row],[Summary11]]</f>
        <v>-69172.040000000037</v>
      </c>
      <c r="AO1746" s="93">
        <f>Tab1SDataShiftSummary[[#This Row],[Summary13]]-Tab1SDataShiftSummary[[#This Row],[Summary12]]</f>
        <v>-134698.84000000008</v>
      </c>
      <c r="AP1746" s="93">
        <f>Tab1SDataShiftSummary[[#This Row],[Summary14]]-Tab1SDataShiftSummary[[#This Row],[Summary13]]</f>
        <v>14822.810000000056</v>
      </c>
      <c r="AQ1746" s="93">
        <f>Tab1SDataShiftSummary[[#This Row],[Summary15]]-Tab1SDataShiftSummary[[#This Row],[Summary14]]</f>
        <v>110672.3162</v>
      </c>
      <c r="AR1746" s="93">
        <f>Tab1SDataShiftSummary[[#This Row],[Summary16]]-Tab1SDataShiftSummary[[#This Row],[Summary15]]</f>
        <v>6594.8587999995798</v>
      </c>
      <c r="AS1746" s="93">
        <f>Tab1SDataShiftSummary[[#This Row],[Summary17]]-Tab1SDataShiftSummary[[#This Row],[Summary16]]</f>
        <v>-82680.974999999627</v>
      </c>
      <c r="AT1746" s="93">
        <f>Tab1SDataShiftSummary[[#This Row],[Summary18]]-Tab1SDataShiftSummary[[#This Row],[Summary17]]</f>
        <v>-67134.520200000145</v>
      </c>
      <c r="AU1746" s="93">
        <f>Tab1SDataShiftSummary[[#This Row],[Summary19]]-Tab1SDataShiftSummary[[#This Row],[Summary18]]</f>
        <v>-42668.040400000056</v>
      </c>
      <c r="AV1746" s="1540">
        <f ca="1">Tab1SDataShiftSummary[[#This Row],[Summary20]]-Tab1SDataShiftSummary[[#This Row],[Summary19]]</f>
        <v>0</v>
      </c>
      <c r="AY1746" s="722" t="s">
        <v>1131</v>
      </c>
      <c r="AZ1746" t="s">
        <v>2279</v>
      </c>
    </row>
    <row r="1747" spans="1:55" x14ac:dyDescent="0.3">
      <c r="A1747">
        <v>15</v>
      </c>
      <c r="B1747" s="722" t="s">
        <v>1445</v>
      </c>
      <c r="C1747"/>
      <c r="E1747"/>
      <c r="F1747" s="724">
        <v>0</v>
      </c>
      <c r="G1747" s="724">
        <v>0</v>
      </c>
      <c r="H1747" s="724">
        <v>336200</v>
      </c>
      <c r="I1747" s="724">
        <v>0</v>
      </c>
      <c r="J1747" s="724">
        <v>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336200</v>
      </c>
      <c r="AE1747" s="93">
        <f>Tab1SDataShiftSummary[[#This Row],[Summary3]]-Tab1SDataShiftSummary[[#This Row],[Summary2]]</f>
        <v>-336200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1540">
        <f ca="1">Tab1SDataShiftSummary[[#This Row],[Summary20]]-Tab1SDataShiftSummary[[#This Row],[Summary19]]</f>
        <v>0</v>
      </c>
      <c r="AY1747" s="722" t="s">
        <v>1445</v>
      </c>
      <c r="AZ1747" t="s">
        <v>2279</v>
      </c>
    </row>
    <row r="1748" spans="1:55" x14ac:dyDescent="0.3">
      <c r="A1748">
        <v>16</v>
      </c>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1540">
        <f ca="1">Tab1SDataShiftSummary[[#This Row],[Summary20]]-Tab1SDataShiftSummary[[#This Row],[Summary19]]</f>
        <v>0</v>
      </c>
      <c r="AY1748" s="722" t="s">
        <v>1133</v>
      </c>
      <c r="AZ1748" t="s">
        <v>2279</v>
      </c>
    </row>
    <row r="1749" spans="1:55" x14ac:dyDescent="0.3">
      <c r="A1749">
        <v>17</v>
      </c>
      <c r="B1749" s="722" t="s">
        <v>2126</v>
      </c>
      <c r="C1749"/>
      <c r="E1749"/>
      <c r="F1749" s="308">
        <v>-1.2839821915847831</v>
      </c>
      <c r="G1749" s="308">
        <v>-1.2647787734847995</v>
      </c>
      <c r="H1749" s="308">
        <v>-1.2442090525351643</v>
      </c>
      <c r="I1749" s="308">
        <v>-1.3310004325196378</v>
      </c>
      <c r="J1749" s="308">
        <v>-1.465775552444067</v>
      </c>
      <c r="K1749" s="308">
        <v>-1.3205488655881792</v>
      </c>
      <c r="L1749" s="308">
        <v>-1.4056989737121885</v>
      </c>
      <c r="M1749" s="308">
        <v>-1.4057309863941154</v>
      </c>
      <c r="N1749" s="308">
        <v>-1.3707058892381807</v>
      </c>
      <c r="O1749" s="308">
        <v>-1.3640788767024761</v>
      </c>
      <c r="P1749" s="308">
        <v>-1.3854334669221144</v>
      </c>
      <c r="Q1749" s="308">
        <v>-1.3974368661854324</v>
      </c>
      <c r="R1749" s="308">
        <v>-1.4246529044886111</v>
      </c>
      <c r="S1749" s="308">
        <v>-1.4746433320236614</v>
      </c>
      <c r="T1749" s="308">
        <v>-1.4687929171185745</v>
      </c>
      <c r="U1749" s="308">
        <v>-1.2712538354600058</v>
      </c>
      <c r="V1749" s="308">
        <v>-1.27251991118765</v>
      </c>
      <c r="W1749" s="308">
        <v>-1.3854907686076896</v>
      </c>
      <c r="X1749" s="308">
        <v>-1.3945577992244254</v>
      </c>
      <c r="Y1749" s="308">
        <v>-1.3920229304971676</v>
      </c>
      <c r="Z1749" s="308">
        <f ca="1">-Z1740/Z1735</f>
        <v>-1.3920229304971676</v>
      </c>
      <c r="AB1749" s="308">
        <f ca="1">Tab1SDataShiftSummary[[#This Row],[Summary0]]-Tab1SDataShiftSummary[[#This Row],[Summary20]]</f>
        <v>0.10804073891238453</v>
      </c>
      <c r="AC1749" s="308">
        <f>Tab1SDataShiftSummary[[#This Row],[Summary1]]-Tab1SDataShiftSummary[[#This Row],[Summary0]]</f>
        <v>1.9203418099983605E-2</v>
      </c>
      <c r="AD1749" s="308">
        <f>Tab1SDataShiftSummary[[#This Row],[Summary2]]-Tab1SDataShiftSummary[[#This Row],[Summary1]]</f>
        <v>2.0569720949635162E-2</v>
      </c>
      <c r="AE1749" s="308">
        <f>Tab1SDataShiftSummary[[#This Row],[Summary3]]-Tab1SDataShiftSummary[[#This Row],[Summary2]]</f>
        <v>-8.6791379984473505E-2</v>
      </c>
      <c r="AF1749" s="308">
        <f>Tab1SDataShiftSummary[[#This Row],[Summary4]]-Tab1SDataShiftSummary[[#This Row],[Summary3]]</f>
        <v>-0.13477511992442914</v>
      </c>
      <c r="AG1749" s="308">
        <f>Tab1SDataShiftSummary[[#This Row],[Summary5]]-Tab1SDataShiftSummary[[#This Row],[Summary4]]</f>
        <v>0.1452266868558878</v>
      </c>
      <c r="AH1749" s="308">
        <f>Tab1SDataShiftSummary[[#This Row],[Summary6]]-Tab1SDataShiftSummary[[#This Row],[Summary5]]</f>
        <v>-8.515010812400936E-2</v>
      </c>
      <c r="AI1749" s="308">
        <f>Tab1SDataShiftSummary[[#This Row],[Summary7]]-Tab1SDataShiftSummary[[#This Row],[Summary6]]</f>
        <v>-3.2012681926874009E-5</v>
      </c>
      <c r="AJ1749" s="308">
        <f>Tab1SDataShiftSummary[[#This Row],[Summary8]]-Tab1SDataShiftSummary[[#This Row],[Summary7]]</f>
        <v>3.5025097155934715E-2</v>
      </c>
      <c r="AK1749" s="308">
        <f>Tab1SDataShiftSummary[[#This Row],[Summary9]]-Tab1SDataShiftSummary[[#This Row],[Summary8]]</f>
        <v>6.627012535704635E-3</v>
      </c>
      <c r="AL1749" s="308">
        <f>Tab1SDataShiftSummary[[#This Row],[Summary10]]-Tab1SDataShiftSummary[[#This Row],[Summary9]]</f>
        <v>-2.135459021963837E-2</v>
      </c>
      <c r="AM1749" s="308">
        <f>Tab1SDataShiftSummary[[#This Row],[Summary11]]-Tab1SDataShiftSummary[[#This Row],[Summary10]]</f>
        <v>-1.2003399263317949E-2</v>
      </c>
      <c r="AN1749" s="308">
        <f>Tab1SDataShiftSummary[[#This Row],[Summary12]]-Tab1SDataShiftSummary[[#This Row],[Summary11]]</f>
        <v>-2.7216038303178758E-2</v>
      </c>
      <c r="AO1749" s="308">
        <f>Tab1SDataShiftSummary[[#This Row],[Summary13]]-Tab1SDataShiftSummary[[#This Row],[Summary12]]</f>
        <v>-4.999042753505023E-2</v>
      </c>
      <c r="AP1749" s="308">
        <f>Tab1SDataShiftSummary[[#This Row],[Summary14]]-Tab1SDataShiftSummary[[#This Row],[Summary13]]</f>
        <v>5.8504149050868648E-3</v>
      </c>
      <c r="AQ1749" s="308">
        <f>Tab1SDataShiftSummary[[#This Row],[Summary15]]-Tab1SDataShiftSummary[[#This Row],[Summary14]]</f>
        <v>0.1975390816585687</v>
      </c>
      <c r="AR1749" s="308">
        <f>Tab1SDataShiftSummary[[#This Row],[Summary16]]-Tab1SDataShiftSummary[[#This Row],[Summary15]]</f>
        <v>-1.2660757276441448E-3</v>
      </c>
      <c r="AS1749" s="308">
        <f>Tab1SDataShiftSummary[[#This Row],[Summary17]]-Tab1SDataShiftSummary[[#This Row],[Summary16]]</f>
        <v>-0.11297085742003965</v>
      </c>
      <c r="AT1749" s="308">
        <f>Tab1SDataShiftSummary[[#This Row],[Summary18]]-Tab1SDataShiftSummary[[#This Row],[Summary17]]</f>
        <v>-9.0670306167357495E-3</v>
      </c>
      <c r="AU1749" s="308">
        <f>Tab1SDataShiftSummary[[#This Row],[Summary19]]-Tab1SDataShiftSummary[[#This Row],[Summary18]]</f>
        <v>2.5348687272577219E-3</v>
      </c>
      <c r="AV1749" s="1541">
        <f ca="1">Tab1SDataShiftSummary[[#This Row],[Summary20]]-Tab1SDataShiftSummary[[#This Row],[Summary19]]</f>
        <v>0</v>
      </c>
      <c r="AY1749" s="722" t="s">
        <v>2126</v>
      </c>
    </row>
    <row r="1750" spans="1:55" x14ac:dyDescent="0.3">
      <c r="A1750">
        <v>18</v>
      </c>
      <c r="B1750" s="722" t="s">
        <v>2283</v>
      </c>
      <c r="C1750"/>
      <c r="E1750"/>
      <c r="F1750" s="308">
        <v>0.43740829312703311</v>
      </c>
      <c r="G1750" s="308">
        <v>0.43086635322446259</v>
      </c>
      <c r="H1750" s="308">
        <v>0.42800983706607637</v>
      </c>
      <c r="I1750" s="308">
        <v>0.44947194412723396</v>
      </c>
      <c r="J1750" s="308">
        <v>0.45485211088224325</v>
      </c>
      <c r="K1750" s="308">
        <v>0.4395669436962894</v>
      </c>
      <c r="L1750" s="308">
        <v>0.4551161734995135</v>
      </c>
      <c r="M1750" s="308">
        <v>0.4551265380865086</v>
      </c>
      <c r="N1750" s="308">
        <v>0.45380998552425705</v>
      </c>
      <c r="O1750" s="308">
        <v>0.45269999754503065</v>
      </c>
      <c r="P1750" s="308">
        <v>0.45868595626898612</v>
      </c>
      <c r="Q1750" s="308">
        <v>0.46266001262104284</v>
      </c>
      <c r="R1750" s="308">
        <v>0.47280283961554592</v>
      </c>
      <c r="S1750" s="308">
        <v>0.49972021386525162</v>
      </c>
      <c r="T1750" s="308">
        <v>0.49773765271023768</v>
      </c>
      <c r="U1750" s="308">
        <v>0.46040135158123741</v>
      </c>
      <c r="V1750" s="308">
        <v>0.46085987761274438</v>
      </c>
      <c r="W1750" s="308">
        <v>0.50194695560245717</v>
      </c>
      <c r="X1750" s="308">
        <v>0.50760528512337022</v>
      </c>
      <c r="Y1750" s="308">
        <v>0.50718837783571757</v>
      </c>
      <c r="Z1750" s="308">
        <f ca="1">ABS((Z1733+Z1738)/Z1738)</f>
        <v>0.50718837783571757</v>
      </c>
      <c r="AB1750" s="308">
        <f ca="1">Tab1SDataShiftSummary[[#This Row],[Summary0]]-Tab1SDataShiftSummary[[#This Row],[Summary20]]</f>
        <v>-6.9780084708684464E-2</v>
      </c>
      <c r="AC1750" s="308">
        <f>Tab1SDataShiftSummary[[#This Row],[Summary1]]-Tab1SDataShiftSummary[[#This Row],[Summary0]]</f>
        <v>-6.5419399025705149E-3</v>
      </c>
      <c r="AD1750" s="308">
        <f>Tab1SDataShiftSummary[[#This Row],[Summary2]]-Tab1SDataShiftSummary[[#This Row],[Summary1]]</f>
        <v>-2.8565161583862242E-3</v>
      </c>
      <c r="AE1750" s="308">
        <f>Tab1SDataShiftSummary[[#This Row],[Summary3]]-Tab1SDataShiftSummary[[#This Row],[Summary2]]</f>
        <v>2.1462107061157587E-2</v>
      </c>
      <c r="AF1750" s="308">
        <f>Tab1SDataShiftSummary[[#This Row],[Summary4]]-Tab1SDataShiftSummary[[#This Row],[Summary3]]</f>
        <v>5.3801667550092969E-3</v>
      </c>
      <c r="AG1750" s="308">
        <f>Tab1SDataShiftSummary[[#This Row],[Summary5]]-Tab1SDataShiftSummary[[#This Row],[Summary4]]</f>
        <v>-1.5285167185953852E-2</v>
      </c>
      <c r="AH1750" s="308">
        <f>Tab1SDataShiftSummary[[#This Row],[Summary6]]-Tab1SDataShiftSummary[[#This Row],[Summary5]]</f>
        <v>1.5549229803224096E-2</v>
      </c>
      <c r="AI1750" s="308">
        <f>Tab1SDataShiftSummary[[#This Row],[Summary7]]-Tab1SDataShiftSummary[[#This Row],[Summary6]]</f>
        <v>1.0364586995104119E-5</v>
      </c>
      <c r="AJ1750" s="308">
        <f>Tab1SDataShiftSummary[[#This Row],[Summary8]]-Tab1SDataShiftSummary[[#This Row],[Summary7]]</f>
        <v>-1.3165525622515495E-3</v>
      </c>
      <c r="AK1750" s="308">
        <f>Tab1SDataShiftSummary[[#This Row],[Summary9]]-Tab1SDataShiftSummary[[#This Row],[Summary8]]</f>
        <v>-1.1099879792264011E-3</v>
      </c>
      <c r="AL1750" s="308">
        <f>Tab1SDataShiftSummary[[#This Row],[Summary10]]-Tab1SDataShiftSummary[[#This Row],[Summary9]]</f>
        <v>5.9859587239554646E-3</v>
      </c>
      <c r="AM1750" s="308">
        <f>Tab1SDataShiftSummary[[#This Row],[Summary11]]-Tab1SDataShiftSummary[[#This Row],[Summary10]]</f>
        <v>3.9740563520567207E-3</v>
      </c>
      <c r="AN1750" s="308">
        <f>Tab1SDataShiftSummary[[#This Row],[Summary12]]-Tab1SDataShiftSummary[[#This Row],[Summary11]]</f>
        <v>1.0142826994503085E-2</v>
      </c>
      <c r="AO1750" s="308">
        <f>Tab1SDataShiftSummary[[#This Row],[Summary13]]-Tab1SDataShiftSummary[[#This Row],[Summary12]]</f>
        <v>2.6917374249705694E-2</v>
      </c>
      <c r="AP1750" s="308">
        <f>Tab1SDataShiftSummary[[#This Row],[Summary14]]-Tab1SDataShiftSummary[[#This Row],[Summary13]]</f>
        <v>-1.9825611550139399E-3</v>
      </c>
      <c r="AQ1750" s="308">
        <f>Tab1SDataShiftSummary[[#This Row],[Summary15]]-Tab1SDataShiftSummary[[#This Row],[Summary14]]</f>
        <v>-3.7336301129000271E-2</v>
      </c>
      <c r="AR1750" s="308">
        <f>Tab1SDataShiftSummary[[#This Row],[Summary16]]-Tab1SDataShiftSummary[[#This Row],[Summary15]]</f>
        <v>4.5852603150697835E-4</v>
      </c>
      <c r="AS1750" s="308">
        <f>Tab1SDataShiftSummary[[#This Row],[Summary17]]-Tab1SDataShiftSummary[[#This Row],[Summary16]]</f>
        <v>4.1087077989712784E-2</v>
      </c>
      <c r="AT1750" s="308">
        <f>Tab1SDataShiftSummary[[#This Row],[Summary18]]-Tab1SDataShiftSummary[[#This Row],[Summary17]]</f>
        <v>5.6583295209130524E-3</v>
      </c>
      <c r="AU1750" s="308">
        <f>Tab1SDataShiftSummary[[#This Row],[Summary19]]-Tab1SDataShiftSummary[[#This Row],[Summary18]]</f>
        <v>-4.1690728765264584E-4</v>
      </c>
      <c r="AV1750" s="1541">
        <f ca="1">Tab1SDataShiftSummary[[#This Row],[Summary20]]-Tab1SDataShiftSummary[[#This Row],[Summary19]]</f>
        <v>0</v>
      </c>
      <c r="AY1750" s="722" t="s">
        <v>2283</v>
      </c>
    </row>
    <row r="1751" spans="1:55" x14ac:dyDescent="0.3">
      <c r="A1751">
        <v>19</v>
      </c>
      <c r="B1751" s="722" t="s">
        <v>2293</v>
      </c>
      <c r="C1751"/>
      <c r="E1751"/>
      <c r="F1751" s="903"/>
      <c r="G1751" s="903"/>
      <c r="H1751" s="903"/>
      <c r="I1751" s="903"/>
      <c r="J1751" s="903"/>
      <c r="K1751" s="903"/>
      <c r="L1751" s="903"/>
      <c r="M1751" s="903"/>
      <c r="N1751" s="903"/>
      <c r="O1751" s="903"/>
      <c r="P1751" s="903"/>
      <c r="Q1751" s="903"/>
      <c r="R1751" s="903"/>
      <c r="S1751" s="903"/>
      <c r="T1751" s="903"/>
      <c r="U1751" s="903"/>
      <c r="V1751" s="903"/>
      <c r="W1751" s="903"/>
      <c r="X1751" s="903"/>
      <c r="Y1751" s="903"/>
      <c r="Z1751" s="903"/>
      <c r="AB1751" s="308">
        <f>Tab1SDataShiftSummary[[#This Row],[Summary0]]-Tab1SDataShiftSummary[[#This Row],[Summary20]]</f>
        <v>0</v>
      </c>
      <c r="AC1751" s="308">
        <f>Tab1SDataShiftSummary[[#This Row],[Summary1]]-Tab1SDataShiftSummary[[#This Row],[Summary0]]</f>
        <v>0</v>
      </c>
      <c r="AD1751" s="308">
        <f>Tab1SDataShiftSummary[[#This Row],[Summary2]]-Tab1SDataShiftSummary[[#This Row],[Summary1]]</f>
        <v>0</v>
      </c>
      <c r="AE1751" s="308">
        <f>Tab1SDataShiftSummary[[#This Row],[Summary3]]-Tab1SDataShiftSummary[[#This Row],[Summary2]]</f>
        <v>0</v>
      </c>
      <c r="AF1751" s="308">
        <f>Tab1SDataShiftSummary[[#This Row],[Summary4]]-Tab1SDataShiftSummary[[#This Row],[Summary3]]</f>
        <v>0</v>
      </c>
      <c r="AG1751" s="308">
        <f>Tab1SDataShiftSummary[[#This Row],[Summary5]]-Tab1SDataShiftSummary[[#This Row],[Summary4]]</f>
        <v>0</v>
      </c>
      <c r="AH1751" s="308">
        <f>Tab1SDataShiftSummary[[#This Row],[Summary6]]-Tab1SDataShiftSummary[[#This Row],[Summary5]]</f>
        <v>0</v>
      </c>
      <c r="AI1751" s="308">
        <f>Tab1SDataShiftSummary[[#This Row],[Summary7]]-Tab1SDataShiftSummary[[#This Row],[Summary6]]</f>
        <v>0</v>
      </c>
      <c r="AJ1751" s="308">
        <f>Tab1SDataShiftSummary[[#This Row],[Summary8]]-Tab1SDataShiftSummary[[#This Row],[Summary7]]</f>
        <v>0</v>
      </c>
      <c r="AK1751" s="308">
        <f>Tab1SDataShiftSummary[[#This Row],[Summary9]]-Tab1SDataShiftSummary[[#This Row],[Summary8]]</f>
        <v>0</v>
      </c>
      <c r="AL1751" s="308">
        <f>Tab1SDataShiftSummary[[#This Row],[Summary10]]-Tab1SDataShiftSummary[[#This Row],[Summary9]]</f>
        <v>0</v>
      </c>
      <c r="AM1751" s="308">
        <f>Tab1SDataShiftSummary[[#This Row],[Summary11]]-Tab1SDataShiftSummary[[#This Row],[Summary10]]</f>
        <v>0</v>
      </c>
      <c r="AN1751" s="308">
        <f>Tab1SDataShiftSummary[[#This Row],[Summary12]]-Tab1SDataShiftSummary[[#This Row],[Summary11]]</f>
        <v>0</v>
      </c>
      <c r="AO1751" s="308">
        <f>Tab1SDataShiftSummary[[#This Row],[Summary13]]-Tab1SDataShiftSummary[[#This Row],[Summary12]]</f>
        <v>0</v>
      </c>
      <c r="AP1751" s="308">
        <f>Tab1SDataShiftSummary[[#This Row],[Summary14]]-Tab1SDataShiftSummary[[#This Row],[Summary13]]</f>
        <v>0</v>
      </c>
      <c r="AQ1751" s="308">
        <f>Tab1SDataShiftSummary[[#This Row],[Summary15]]-Tab1SDataShiftSummary[[#This Row],[Summary14]]</f>
        <v>0</v>
      </c>
      <c r="AR1751" s="308">
        <f>Tab1SDataShiftSummary[[#This Row],[Summary16]]-Tab1SDataShiftSummary[[#This Row],[Summary15]]</f>
        <v>0</v>
      </c>
      <c r="AS1751" s="308">
        <f>Tab1SDataShiftSummary[[#This Row],[Summary17]]-Tab1SDataShiftSummary[[#This Row],[Summary16]]</f>
        <v>0</v>
      </c>
      <c r="AT1751" s="308">
        <f>Tab1SDataShiftSummary[[#This Row],[Summary18]]-Tab1SDataShiftSummary[[#This Row],[Summary17]]</f>
        <v>0</v>
      </c>
      <c r="AU1751" s="308">
        <f>Tab1SDataShiftSummary[[#This Row],[Summary19]]-Tab1SDataShiftSummary[[#This Row],[Summary18]]</f>
        <v>0</v>
      </c>
      <c r="AV1751" s="1540"/>
      <c r="AY1751" s="722" t="s">
        <v>2293</v>
      </c>
    </row>
    <row r="1752" spans="1:55" ht="23" thickBot="1" x14ac:dyDescent="0.35">
      <c r="A1752">
        <v>20</v>
      </c>
      <c r="B1752" s="722" t="s">
        <v>1843</v>
      </c>
      <c r="C1752"/>
      <c r="E1752" t="s">
        <v>2687</v>
      </c>
      <c r="F1752" s="724"/>
      <c r="G1752" s="724"/>
      <c r="H1752" s="724"/>
      <c r="I1752" s="724"/>
      <c r="J1752" s="724"/>
      <c r="K1752" s="724"/>
      <c r="L1752" s="724"/>
      <c r="M1752" s="724"/>
      <c r="N1752" s="724"/>
      <c r="O1752" s="724"/>
      <c r="P1752" s="724"/>
      <c r="Q1752" s="724"/>
      <c r="R1752" s="724"/>
      <c r="S1752" s="724">
        <v>323965.18309999997</v>
      </c>
      <c r="T1752" s="724">
        <v>323965.18309999997</v>
      </c>
      <c r="U1752" s="724">
        <v>323965.18309999997</v>
      </c>
      <c r="V1752" s="724">
        <v>323965.18309999997</v>
      </c>
      <c r="W1752" s="724">
        <v>323965.18309999997</v>
      </c>
      <c r="X1752" s="724">
        <v>323965.18309999997</v>
      </c>
      <c r="Y1752" s="724">
        <v>324807.49257605994</v>
      </c>
      <c r="Z1752" s="724">
        <f ca="1">Calc!AZ104</f>
        <v>324807.49257605994</v>
      </c>
      <c r="AB1752" s="308">
        <f ca="1">Tab1SDataShiftSummary[[#This Row],[Summary0]]-Tab1SDataShiftSummary[[#This Row],[Summary20]]</f>
        <v>-324807.49257605994</v>
      </c>
      <c r="AC1752" s="308">
        <f>Tab1SDataShiftSummary[[#This Row],[Summary1]]-Tab1SDataShiftSummary[[#This Row],[Summary0]]</f>
        <v>0</v>
      </c>
      <c r="AD1752" s="308">
        <f>Tab1SDataShiftSummary[[#This Row],[Summary2]]-Tab1SDataShiftSummary[[#This Row],[Summary1]]</f>
        <v>0</v>
      </c>
      <c r="AE1752" s="308">
        <f>Tab1SDataShiftSummary[[#This Row],[Summary3]]-Tab1SDataShiftSummary[[#This Row],[Summary2]]</f>
        <v>0</v>
      </c>
      <c r="AF1752" s="308">
        <f>Tab1SDataShiftSummary[[#This Row],[Summary4]]-Tab1SDataShiftSummary[[#This Row],[Summary3]]</f>
        <v>0</v>
      </c>
      <c r="AG1752" s="308">
        <f>Tab1SDataShiftSummary[[#This Row],[Summary5]]-Tab1SDataShiftSummary[[#This Row],[Summary4]]</f>
        <v>0</v>
      </c>
      <c r="AH1752" s="308">
        <f>Tab1SDataShiftSummary[[#This Row],[Summary6]]-Tab1SDataShiftSummary[[#This Row],[Summary5]]</f>
        <v>0</v>
      </c>
      <c r="AI1752" s="308">
        <f>Tab1SDataShiftSummary[[#This Row],[Summary7]]-Tab1SDataShiftSummary[[#This Row],[Summary6]]</f>
        <v>0</v>
      </c>
      <c r="AJ1752" s="308">
        <f>Tab1SDataShiftSummary[[#This Row],[Summary8]]-Tab1SDataShiftSummary[[#This Row],[Summary7]]</f>
        <v>0</v>
      </c>
      <c r="AK1752" s="308">
        <f>Tab1SDataShiftSummary[[#This Row],[Summary9]]-Tab1SDataShiftSummary[[#This Row],[Summary8]]</f>
        <v>0</v>
      </c>
      <c r="AL1752" s="308">
        <f>Tab1SDataShiftSummary[[#This Row],[Summary10]]-Tab1SDataShiftSummary[[#This Row],[Summary9]]</f>
        <v>0</v>
      </c>
      <c r="AM1752" s="308">
        <f>Tab1SDataShiftSummary[[#This Row],[Summary11]]-Tab1SDataShiftSummary[[#This Row],[Summary10]]</f>
        <v>0</v>
      </c>
      <c r="AN1752" s="308">
        <f>Tab1SDataShiftSummary[[#This Row],[Summary12]]-Tab1SDataShiftSummary[[#This Row],[Summary11]]</f>
        <v>0</v>
      </c>
      <c r="AO1752" s="308">
        <f>Tab1SDataShiftSummary[[#This Row],[Summary13]]-Tab1SDataShiftSummary[[#This Row],[Summary12]]</f>
        <v>323965.18309999997</v>
      </c>
      <c r="AP1752" s="308">
        <f>Tab1SDataShiftSummary[[#This Row],[Summary14]]-Tab1SDataShiftSummary[[#This Row],[Summary13]]</f>
        <v>0</v>
      </c>
      <c r="AQ1752" s="308">
        <f>Tab1SDataShiftSummary[[#This Row],[Summary15]]-Tab1SDataShiftSummary[[#This Row],[Summary14]]</f>
        <v>0</v>
      </c>
      <c r="AR1752" s="308">
        <f>Tab1SDataShiftSummary[[#This Row],[Summary16]]-Tab1SDataShiftSummary[[#This Row],[Summary15]]</f>
        <v>0</v>
      </c>
      <c r="AS1752" s="308">
        <f>Tab1SDataShiftSummary[[#This Row],[Summary17]]-Tab1SDataShiftSummary[[#This Row],[Summary16]]</f>
        <v>0</v>
      </c>
      <c r="AT1752" s="308">
        <f>Tab1SDataShiftSummary[[#This Row],[Summary18]]-Tab1SDataShiftSummary[[#This Row],[Summary17]]</f>
        <v>0</v>
      </c>
      <c r="AU1752" s="308">
        <f>Tab1SDataShiftSummary[[#This Row],[Summary19]]-Tab1SDataShiftSummary[[#This Row],[Summary18]]</f>
        <v>842.3094760599779</v>
      </c>
      <c r="AV1752" s="1543" t="s">
        <v>2667</v>
      </c>
      <c r="AY1752" s="722" t="s">
        <v>2753</v>
      </c>
    </row>
    <row r="1753" spans="1:55" ht="24" thickTop="1" thickBot="1" x14ac:dyDescent="0.35">
      <c r="A1753">
        <v>21</v>
      </c>
      <c r="B1753" s="722" t="s">
        <v>2489</v>
      </c>
      <c r="C1753"/>
      <c r="E1753" s="93">
        <f ca="1">MIN(F1754:Z1754)</f>
        <v>32470616.709999997</v>
      </c>
      <c r="F1753" s="1474">
        <v>0.68492112959204388</v>
      </c>
      <c r="G1753" s="1474">
        <v>0.69532043980566305</v>
      </c>
      <c r="H1753" s="1474">
        <v>0.70667410003211983</v>
      </c>
      <c r="I1753" s="1474">
        <v>0.65508962507812485</v>
      </c>
      <c r="J1753" s="1474">
        <v>0.57303823616128347</v>
      </c>
      <c r="K1753" s="1474">
        <v>0.64920950395829113</v>
      </c>
      <c r="L1753" s="1474">
        <v>0.60506442454354148</v>
      </c>
      <c r="M1753" s="1474">
        <v>0.60505064542423947</v>
      </c>
      <c r="N1753" s="1474">
        <v>0.62492216804874945</v>
      </c>
      <c r="O1753" s="1474">
        <v>0.6284915650666788</v>
      </c>
      <c r="P1753" s="1474">
        <v>0.61827905598592559</v>
      </c>
      <c r="Q1753" s="1474">
        <v>0.61296829702090361</v>
      </c>
      <c r="R1753" s="1474">
        <v>0.60176908030863452</v>
      </c>
      <c r="S1753" s="1474">
        <v>-0.76499078151409694</v>
      </c>
      <c r="T1753" s="1474">
        <v>-0.76499078151409694</v>
      </c>
      <c r="U1753" s="1474">
        <v>-0.79255823939257641</v>
      </c>
      <c r="V1753" s="1474">
        <v>-0.79255823939257641</v>
      </c>
      <c r="W1753" s="1474">
        <v>-0.796215727993698</v>
      </c>
      <c r="X1753" s="1474">
        <v>-0.78321530432376085</v>
      </c>
      <c r="Y1753" s="1474">
        <v>-0.77822621012655002</v>
      </c>
      <c r="Z1753" s="1474">
        <f ca="1">_xlfn.LET(_xlpm.Result,(Z1743+Z1752),-_xlpm.Result/Z1735)</f>
        <v>-0.77822621012655002</v>
      </c>
      <c r="AA1753" s="831"/>
      <c r="AB1753" s="1474">
        <f ca="1">Tab1SDataShiftSummary[[#This Row],[Summary0]]-Tab1SDataShiftSummary[[#This Row],[Summary20]]</f>
        <v>1.4631473397185939</v>
      </c>
      <c r="AC1753" s="1474">
        <f>Tab1SDataShiftSummary[[#This Row],[Summary1]]-Tab1SDataShiftSummary[[#This Row],[Summary0]]</f>
        <v>1.0399310213619173E-2</v>
      </c>
      <c r="AD1753" s="1474">
        <f>Tab1SDataShiftSummary[[#This Row],[Summary2]]-Tab1SDataShiftSummary[[#This Row],[Summary1]]</f>
        <v>1.1353660226456785E-2</v>
      </c>
      <c r="AE1753" s="1474">
        <f>Tab1SDataShiftSummary[[#This Row],[Summary3]]-Tab1SDataShiftSummary[[#This Row],[Summary2]]</f>
        <v>-5.1584474953994985E-2</v>
      </c>
      <c r="AF1753" s="1474">
        <f>Tab1SDataShiftSummary[[#This Row],[Summary4]]-Tab1SDataShiftSummary[[#This Row],[Summary3]]</f>
        <v>-8.2051388916841383E-2</v>
      </c>
      <c r="AG1753" s="1474">
        <f>Tab1SDataShiftSummary[[#This Row],[Summary5]]-Tab1SDataShiftSummary[[#This Row],[Summary4]]</f>
        <v>7.6171267797007669E-2</v>
      </c>
      <c r="AH1753" s="1474">
        <f>Tab1SDataShiftSummary[[#This Row],[Summary6]]-Tab1SDataShiftSummary[[#This Row],[Summary5]]</f>
        <v>-4.4145079414749655E-2</v>
      </c>
      <c r="AI1753" s="1474">
        <f>Tab1SDataShiftSummary[[#This Row],[Summary7]]-Tab1SDataShiftSummary[[#This Row],[Summary6]]</f>
        <v>-1.3779119302004261E-5</v>
      </c>
      <c r="AJ1753" s="1474">
        <f>Tab1SDataShiftSummary[[#This Row],[Summary8]]-Tab1SDataShiftSummary[[#This Row],[Summary7]]</f>
        <v>1.9871522624509974E-2</v>
      </c>
      <c r="AK1753" s="1474">
        <f>Tab1SDataShiftSummary[[#This Row],[Summary9]]-Tab1SDataShiftSummary[[#This Row],[Summary8]]</f>
        <v>3.5693970179293544E-3</v>
      </c>
      <c r="AL1753" s="1474">
        <f>Tab1SDataShiftSummary[[#This Row],[Summary10]]-Tab1SDataShiftSummary[[#This Row],[Summary9]]</f>
        <v>-1.0212509080753218E-2</v>
      </c>
      <c r="AM1753" s="1474">
        <f>Tab1SDataShiftSummary[[#This Row],[Summary11]]-Tab1SDataShiftSummary[[#This Row],[Summary10]]</f>
        <v>-5.3107589650219778E-3</v>
      </c>
      <c r="AN1753" s="1474">
        <f>Tab1SDataShiftSummary[[#This Row],[Summary12]]-Tab1SDataShiftSummary[[#This Row],[Summary11]]</f>
        <v>-1.1199216712269089E-2</v>
      </c>
      <c r="AO1753" s="1474">
        <f>Tab1SDataShiftSummary[[#This Row],[Summary13]]-Tab1SDataShiftSummary[[#This Row],[Summary12]]</f>
        <v>-1.3667598618227315</v>
      </c>
      <c r="AP1753" s="1474">
        <f>Tab1SDataShiftSummary[[#This Row],[Summary14]]-Tab1SDataShiftSummary[[#This Row],[Summary13]]</f>
        <v>0</v>
      </c>
      <c r="AQ1753" s="1474">
        <f>Tab1SDataShiftSummary[[#This Row],[Summary15]]-Tab1SDataShiftSummary[[#This Row],[Summary14]]</f>
        <v>-2.7567457878479473E-2</v>
      </c>
      <c r="AR1753" s="1474">
        <f>Tab1SDataShiftSummary[[#This Row],[Summary16]]-Tab1SDataShiftSummary[[#This Row],[Summary15]]</f>
        <v>0</v>
      </c>
      <c r="AS1753" s="1474">
        <f>Tab1SDataShiftSummary[[#This Row],[Summary17]]-Tab1SDataShiftSummary[[#This Row],[Summary16]]</f>
        <v>-3.6574886011215835E-3</v>
      </c>
      <c r="AT1753" s="1474">
        <f>Tab1SDataShiftSummary[[#This Row],[Summary18]]-Tab1SDataShiftSummary[[#This Row],[Summary17]]</f>
        <v>1.3000423669937144E-2</v>
      </c>
      <c r="AU1753" s="1474">
        <f>Tab1SDataShiftSummary[[#This Row],[Summary19]]-Tab1SDataShiftSummary[[#This Row],[Summary18]]</f>
        <v>4.9890941972108305E-3</v>
      </c>
      <c r="AV1753" s="1544" t="s">
        <v>2495</v>
      </c>
      <c r="AY1753" s="722"/>
      <c r="AZ1753" s="353" t="s">
        <v>968</v>
      </c>
      <c r="BA1753" s="353" t="s">
        <v>157</v>
      </c>
      <c r="BB1753" s="353" t="s">
        <v>2694</v>
      </c>
      <c r="BC1753" s="353" t="s">
        <v>1086</v>
      </c>
    </row>
    <row r="1754" spans="1:55" ht="23" thickTop="1" x14ac:dyDescent="0.3">
      <c r="A1754" t="s">
        <v>1086</v>
      </c>
      <c r="B1754" s="720" t="s">
        <v>1835</v>
      </c>
      <c r="C1754" s="867">
        <f ca="1">Calc!BB105</f>
        <v>-25594821.556763712</v>
      </c>
      <c r="D1754" s="720" t="s">
        <v>2284</v>
      </c>
      <c r="E1754" s="1265">
        <f ca="1">MAX(Tab1SDataShiftSummary[#This Row])</f>
        <v>35633945.019999996</v>
      </c>
      <c r="F1754" s="725">
        <v>32859892.839999996</v>
      </c>
      <c r="G1754" s="725">
        <v>33002004.925499994</v>
      </c>
      <c r="H1754" s="725">
        <v>32837178.900000002</v>
      </c>
      <c r="I1754" s="725">
        <v>32470616.709999997</v>
      </c>
      <c r="J1754" s="725">
        <v>32966798.870000001</v>
      </c>
      <c r="K1754" s="725">
        <v>32931784.75</v>
      </c>
      <c r="L1754" s="725">
        <v>34268439.089999989</v>
      </c>
      <c r="M1754" s="725">
        <v>34268174.089999989</v>
      </c>
      <c r="N1754" s="725">
        <v>34826365.32</v>
      </c>
      <c r="O1754" s="725">
        <v>35531796.484999999</v>
      </c>
      <c r="P1754" s="725">
        <v>35537724.585000001</v>
      </c>
      <c r="Q1754" s="725">
        <v>35633945.019999996</v>
      </c>
      <c r="R1754" s="725">
        <v>35392767.109999999</v>
      </c>
      <c r="S1754" s="725">
        <v>35323361.020000003</v>
      </c>
      <c r="T1754" s="725">
        <v>35373763.758000001</v>
      </c>
      <c r="U1754" s="725">
        <v>34401886.386100002</v>
      </c>
      <c r="V1754" s="725">
        <v>34030380.474999994</v>
      </c>
      <c r="W1754" s="725">
        <v>33622261.980000004</v>
      </c>
      <c r="X1754" s="725">
        <v>33346183.809800003</v>
      </c>
      <c r="Y1754" s="725">
        <v>33315220.589400001</v>
      </c>
      <c r="Z1754" s="725">
        <f t="shared" ref="Z1754:Z1763" ca="1" si="138">Z1712+Z1733</f>
        <v>33315220.589400001</v>
      </c>
      <c r="AB1754" s="93">
        <f ca="1">Tab1SDataShiftSummary[[#This Row],[Summary0]]-Tab1SDataShiftSummary[[#This Row],[Summary20]]</f>
        <v>-455327.74940000474</v>
      </c>
      <c r="AC1754" s="93">
        <f>Tab1SDataShiftSummary[[#This Row],[Summary1]]-Tab1SDataShiftSummary[[#This Row],[Summary0]]</f>
        <v>142112.08549999818</v>
      </c>
      <c r="AD1754" s="93">
        <f>Tab1SDataShiftSummary[[#This Row],[Summary2]]-Tab1SDataShiftSummary[[#This Row],[Summary1]]</f>
        <v>-164826.02549999207</v>
      </c>
      <c r="AE1754" s="93">
        <f>Tab1SDataShiftSummary[[#This Row],[Summary3]]-Tab1SDataShiftSummary[[#This Row],[Summary2]]</f>
        <v>-366562.19000000507</v>
      </c>
      <c r="AF1754" s="93">
        <f>Tab1SDataShiftSummary[[#This Row],[Summary4]]-Tab1SDataShiftSummary[[#This Row],[Summary3]]</f>
        <v>496182.16000000387</v>
      </c>
      <c r="AG1754" s="93">
        <f>Tab1SDataShiftSummary[[#This Row],[Summary5]]-Tab1SDataShiftSummary[[#This Row],[Summary4]]</f>
        <v>-35014.120000001043</v>
      </c>
      <c r="AH1754" s="93">
        <f>Tab1SDataShiftSummary[[#This Row],[Summary6]]-Tab1SDataShiftSummary[[#This Row],[Summary5]]</f>
        <v>1336654.3399999887</v>
      </c>
      <c r="AI1754" s="93">
        <f>Tab1SDataShiftSummary[[#This Row],[Summary7]]-Tab1SDataShiftSummary[[#This Row],[Summary6]]</f>
        <v>-265</v>
      </c>
      <c r="AJ1754" s="93">
        <f>Tab1SDataShiftSummary[[#This Row],[Summary8]]-Tab1SDataShiftSummary[[#This Row],[Summary7]]</f>
        <v>558191.23000001162</v>
      </c>
      <c r="AK1754" s="93">
        <f>Tab1SDataShiftSummary[[#This Row],[Summary9]]-Tab1SDataShiftSummary[[#This Row],[Summary8]]</f>
        <v>705431.16499999911</v>
      </c>
      <c r="AL1754" s="93">
        <f>Tab1SDataShiftSummary[[#This Row],[Summary10]]-Tab1SDataShiftSummary[[#This Row],[Summary9]]</f>
        <v>5928.1000000014901</v>
      </c>
      <c r="AM1754" s="93">
        <f>Tab1SDataShiftSummary[[#This Row],[Summary11]]-Tab1SDataShiftSummary[[#This Row],[Summary10]]</f>
        <v>96220.434999994934</v>
      </c>
      <c r="AN1754" s="93">
        <f>Tab1SDataShiftSummary[[#This Row],[Summary12]]-Tab1SDataShiftSummary[[#This Row],[Summary11]]</f>
        <v>-241177.90999999642</v>
      </c>
      <c r="AO1754" s="93">
        <f>Tab1SDataShiftSummary[[#This Row],[Summary13]]-Tab1SDataShiftSummary[[#This Row],[Summary12]]</f>
        <v>-69406.089999996126</v>
      </c>
      <c r="AP1754" s="93">
        <f>Tab1SDataShiftSummary[[#This Row],[Summary14]]-Tab1SDataShiftSummary[[#This Row],[Summary13]]</f>
        <v>50402.737999998033</v>
      </c>
      <c r="AQ1754" s="93">
        <f>Tab1SDataShiftSummary[[#This Row],[Summary15]]-Tab1SDataShiftSummary[[#This Row],[Summary14]]</f>
        <v>-971877.37189999968</v>
      </c>
      <c r="AR1754" s="93">
        <f>Tab1SDataShiftSummary[[#This Row],[Summary16]]-Tab1SDataShiftSummary[[#This Row],[Summary15]]</f>
        <v>-371505.91110000759</v>
      </c>
      <c r="AS1754" s="93">
        <f>Tab1SDataShiftSummary[[#This Row],[Summary17]]-Tab1SDataShiftSummary[[#This Row],[Summary16]]</f>
        <v>-408118.49499998987</v>
      </c>
      <c r="AT1754" s="93">
        <f>Tab1SDataShiftSummary[[#This Row],[Summary18]]-Tab1SDataShiftSummary[[#This Row],[Summary17]]</f>
        <v>-276078.17020000145</v>
      </c>
      <c r="AU1754" s="93">
        <f>Tab1SDataShiftSummary[[#This Row],[Summary19]]-Tab1SDataShiftSummary[[#This Row],[Summary18]]</f>
        <v>-30963.220400001854</v>
      </c>
      <c r="AV1754" s="1540">
        <f ca="1">Tab1SDataShiftSummary[[#This Row],[Summary20]]-Tab1SDataShiftSummary[[#This Row],[Summary19]]</f>
        <v>0</v>
      </c>
      <c r="AW1754" s="93">
        <f ca="1">C1754+Tab1SDataShiftSummary[[#This Row],[Summary20]]</f>
        <v>7720399.0326362886</v>
      </c>
      <c r="AX1754" t="s">
        <v>2755</v>
      </c>
      <c r="AY1754" s="720" t="s">
        <v>1835</v>
      </c>
      <c r="AZ1754" s="93">
        <f ca="1">Tab1SDataShiftSummary[[#This Row],[Summary20]]+C1754</f>
        <v>7720399.0326362886</v>
      </c>
      <c r="BA1754" s="93">
        <f ca="1">Z1764</f>
        <v>2827587.1575217247</v>
      </c>
      <c r="BB1754" s="93">
        <f ca="1">Z1773</f>
        <v>3076387.1812322205</v>
      </c>
      <c r="BC1754" s="93">
        <f ca="1">AZ1754+Z1773</f>
        <v>10796786.21386851</v>
      </c>
    </row>
    <row r="1755" spans="1:55" x14ac:dyDescent="0.3">
      <c r="A1755">
        <v>2</v>
      </c>
      <c r="B1755" s="720" t="s">
        <v>1910</v>
      </c>
      <c r="C1755"/>
      <c r="E1755"/>
      <c r="F1755" s="866">
        <v>-67799205.901072815</v>
      </c>
      <c r="G1755" s="866">
        <v>-67799205.901072815</v>
      </c>
      <c r="H1755" s="866">
        <v>-68005035.670672819</v>
      </c>
      <c r="I1755" s="866">
        <v>-68118239.236672819</v>
      </c>
      <c r="J1755" s="866">
        <v>-68161620.968676016</v>
      </c>
      <c r="K1755" s="866">
        <v>-68561878.940676019</v>
      </c>
      <c r="L1755" s="866">
        <v>-70303149.503676027</v>
      </c>
      <c r="M1755" s="866">
        <v>-70303149.503676027</v>
      </c>
      <c r="N1755" s="866">
        <v>-70683094.799676016</v>
      </c>
      <c r="O1755" s="866">
        <v>-71467567.479360014</v>
      </c>
      <c r="P1755" s="866">
        <v>-71467567.479360014</v>
      </c>
      <c r="Q1755" s="866">
        <v>-71547373.436760023</v>
      </c>
      <c r="R1755" s="866">
        <v>-71629593.05340001</v>
      </c>
      <c r="S1755" s="866">
        <v>-72209328.102000013</v>
      </c>
      <c r="T1755" s="866">
        <v>-72501062.644800007</v>
      </c>
      <c r="U1755" s="866">
        <v>-72515199.304800004</v>
      </c>
      <c r="V1755" s="866">
        <v>-72632403.244800001</v>
      </c>
      <c r="W1755" s="866">
        <v>-72892397.807658002</v>
      </c>
      <c r="X1755" s="866">
        <v>-72884256.495138019</v>
      </c>
      <c r="Y1755" s="866">
        <v>-72884256.495138019</v>
      </c>
      <c r="Z1755" s="866">
        <f t="shared" ca="1" si="138"/>
        <v>-72884256.495138019</v>
      </c>
      <c r="AB1755" s="93">
        <f ca="1">Tab1SDataShiftSummary[[#This Row],[Summary0]]-Tab1SDataShiftSummary[[#This Row],[Summary20]]</f>
        <v>5085050.5940652043</v>
      </c>
      <c r="AC1755" s="93">
        <f>Tab1SDataShiftSummary[[#This Row],[Summary1]]-Tab1SDataShiftSummary[[#This Row],[Summary0]]</f>
        <v>0</v>
      </c>
      <c r="AD1755" s="93">
        <f>Tab1SDataShiftSummary[[#This Row],[Summary2]]-Tab1SDataShiftSummary[[#This Row],[Summary1]]</f>
        <v>-205829.76960000396</v>
      </c>
      <c r="AE1755" s="93">
        <f>Tab1SDataShiftSummary[[#This Row],[Summary3]]-Tab1SDataShiftSummary[[#This Row],[Summary2]]</f>
        <v>-113203.56599999964</v>
      </c>
      <c r="AF1755" s="93">
        <f>Tab1SDataShiftSummary[[#This Row],[Summary4]]-Tab1SDataShiftSummary[[#This Row],[Summary3]]</f>
        <v>-43381.732003197074</v>
      </c>
      <c r="AG1755" s="93">
        <f>Tab1SDataShiftSummary[[#This Row],[Summary5]]-Tab1SDataShiftSummary[[#This Row],[Summary4]]</f>
        <v>-400257.97200000286</v>
      </c>
      <c r="AH1755" s="93">
        <f>Tab1SDataShiftSummary[[#This Row],[Summary6]]-Tab1SDataShiftSummary[[#This Row],[Summary5]]</f>
        <v>-1741270.5630000085</v>
      </c>
      <c r="AI1755" s="93">
        <f>Tab1SDataShiftSummary[[#This Row],[Summary7]]-Tab1SDataShiftSummary[[#This Row],[Summary6]]</f>
        <v>0</v>
      </c>
      <c r="AJ1755" s="93">
        <f>Tab1SDataShiftSummary[[#This Row],[Summary8]]-Tab1SDataShiftSummary[[#This Row],[Summary7]]</f>
        <v>-379945.29599998891</v>
      </c>
      <c r="AK1755" s="93">
        <f>Tab1SDataShiftSummary[[#This Row],[Summary9]]-Tab1SDataShiftSummary[[#This Row],[Summary8]]</f>
        <v>-784472.67968399823</v>
      </c>
      <c r="AL1755" s="93">
        <f>Tab1SDataShiftSummary[[#This Row],[Summary10]]-Tab1SDataShiftSummary[[#This Row],[Summary9]]</f>
        <v>0</v>
      </c>
      <c r="AM1755" s="93">
        <f>Tab1SDataShiftSummary[[#This Row],[Summary11]]-Tab1SDataShiftSummary[[#This Row],[Summary10]]</f>
        <v>-79805.957400009036</v>
      </c>
      <c r="AN1755" s="93">
        <f>Tab1SDataShiftSummary[[#This Row],[Summary12]]-Tab1SDataShiftSummary[[#This Row],[Summary11]]</f>
        <v>-82219.616639986634</v>
      </c>
      <c r="AO1755" s="93">
        <f>Tab1SDataShiftSummary[[#This Row],[Summary13]]-Tab1SDataShiftSummary[[#This Row],[Summary12]]</f>
        <v>-579735.04860000312</v>
      </c>
      <c r="AP1755" s="93">
        <f>Tab1SDataShiftSummary[[#This Row],[Summary14]]-Tab1SDataShiftSummary[[#This Row],[Summary13]]</f>
        <v>-291734.54279999435</v>
      </c>
      <c r="AQ1755" s="93">
        <f>Tab1SDataShiftSummary[[#This Row],[Summary15]]-Tab1SDataShiftSummary[[#This Row],[Summary14]]</f>
        <v>-14136.659999996424</v>
      </c>
      <c r="AR1755" s="93">
        <f>Tab1SDataShiftSummary[[#This Row],[Summary16]]-Tab1SDataShiftSummary[[#This Row],[Summary15]]</f>
        <v>-117203.93999999762</v>
      </c>
      <c r="AS1755" s="93">
        <f>Tab1SDataShiftSummary[[#This Row],[Summary17]]-Tab1SDataShiftSummary[[#This Row],[Summary16]]</f>
        <v>-259994.5628580004</v>
      </c>
      <c r="AT1755" s="93">
        <f>Tab1SDataShiftSummary[[#This Row],[Summary18]]-Tab1SDataShiftSummary[[#This Row],[Summary17]]</f>
        <v>8141.3125199824572</v>
      </c>
      <c r="AU1755" s="93">
        <f>Tab1SDataShiftSummary[[#This Row],[Summary19]]-Tab1SDataShiftSummary[[#This Row],[Summary18]]</f>
        <v>0</v>
      </c>
      <c r="AV1755" s="1540">
        <f ca="1">Tab1SDataShiftSummary[[#This Row],[Summary20]]-Tab1SDataShiftSummary[[#This Row],[Summary19]]</f>
        <v>0</v>
      </c>
      <c r="AY1755" s="720" t="s">
        <v>1910</v>
      </c>
    </row>
    <row r="1756" spans="1:55" x14ac:dyDescent="0.3">
      <c r="A1756">
        <v>3</v>
      </c>
      <c r="B1756" s="720" t="s">
        <v>2297</v>
      </c>
      <c r="C1756" s="93">
        <f ca="1">Tab1SDataShiftSummary[[#This Row],[Summary20]]</f>
        <v>-9646301.0888202898</v>
      </c>
      <c r="E1756"/>
      <c r="F1756" s="725">
        <v>-10243608.562354034</v>
      </c>
      <c r="G1756" s="725">
        <v>-10212204.102354035</v>
      </c>
      <c r="H1756" s="725">
        <v>-10088195.529424034</v>
      </c>
      <c r="I1756" s="725">
        <v>-9906527.1452240348</v>
      </c>
      <c r="J1756" s="725">
        <v>-9816629.1772240344</v>
      </c>
      <c r="K1756" s="725">
        <v>-9684839.1772240344</v>
      </c>
      <c r="L1756" s="725">
        <v>-9880700.6844240353</v>
      </c>
      <c r="M1756" s="725">
        <v>-9880700.6844240353</v>
      </c>
      <c r="N1756" s="725">
        <v>-9880700.6844240353</v>
      </c>
      <c r="O1756" s="725">
        <v>-10097677.924424035</v>
      </c>
      <c r="P1756" s="725">
        <v>-10006652.924424035</v>
      </c>
      <c r="Q1756" s="725">
        <v>-10045341.508784035</v>
      </c>
      <c r="R1756" s="725">
        <v>-10085347.908784036</v>
      </c>
      <c r="S1756" s="725">
        <v>-10409797.913984034</v>
      </c>
      <c r="T1756" s="725">
        <v>-10246857.913984034</v>
      </c>
      <c r="U1756" s="725">
        <v>-9558642.9139840361</v>
      </c>
      <c r="V1756" s="725">
        <v>-9276463.9139840342</v>
      </c>
      <c r="W1756" s="725">
        <v>-9190288.9939840343</v>
      </c>
      <c r="X1756" s="725">
        <v>-9591786.287744116</v>
      </c>
      <c r="Y1756" s="725">
        <v>-9646301.0888202898</v>
      </c>
      <c r="Z1756" s="725">
        <f t="shared" ca="1" si="138"/>
        <v>-9646301.0888202898</v>
      </c>
      <c r="AB1756" s="93">
        <f ca="1">Tab1SDataShiftSummary[[#This Row],[Summary0]]-Tab1SDataShiftSummary[[#This Row],[Summary20]]</f>
        <v>-597307.47353374399</v>
      </c>
      <c r="AC1756" s="93">
        <f>Tab1SDataShiftSummary[[#This Row],[Summary1]]-Tab1SDataShiftSummary[[#This Row],[Summary0]]</f>
        <v>31404.459999999031</v>
      </c>
      <c r="AD1756" s="93">
        <f>Tab1SDataShiftSummary[[#This Row],[Summary2]]-Tab1SDataShiftSummary[[#This Row],[Summary1]]</f>
        <v>124008.57293000072</v>
      </c>
      <c r="AE1756" s="93">
        <f>Tab1SDataShiftSummary[[#This Row],[Summary3]]-Tab1SDataShiftSummary[[#This Row],[Summary2]]</f>
        <v>181668.38419999927</v>
      </c>
      <c r="AF1756" s="93">
        <f>Tab1SDataShiftSummary[[#This Row],[Summary4]]-Tab1SDataShiftSummary[[#This Row],[Summary3]]</f>
        <v>89897.968000000343</v>
      </c>
      <c r="AG1756" s="93">
        <f>Tab1SDataShiftSummary[[#This Row],[Summary5]]-Tab1SDataShiftSummary[[#This Row],[Summary4]]</f>
        <v>131790</v>
      </c>
      <c r="AH1756" s="93">
        <f>Tab1SDataShiftSummary[[#This Row],[Summary6]]-Tab1SDataShiftSummary[[#This Row],[Summary5]]</f>
        <v>-195861.50720000081</v>
      </c>
      <c r="AI1756" s="93">
        <f>Tab1SDataShiftSummary[[#This Row],[Summary7]]-Tab1SDataShiftSummary[[#This Row],[Summary6]]</f>
        <v>0</v>
      </c>
      <c r="AJ1756" s="93">
        <f>Tab1SDataShiftSummary[[#This Row],[Summary8]]-Tab1SDataShiftSummary[[#This Row],[Summary7]]</f>
        <v>0</v>
      </c>
      <c r="AK1756" s="93">
        <f>Tab1SDataShiftSummary[[#This Row],[Summary9]]-Tab1SDataShiftSummary[[#This Row],[Summary8]]</f>
        <v>-216977.24000000022</v>
      </c>
      <c r="AL1756" s="93">
        <f>Tab1SDataShiftSummary[[#This Row],[Summary10]]-Tab1SDataShiftSummary[[#This Row],[Summary9]]</f>
        <v>91025</v>
      </c>
      <c r="AM1756" s="93">
        <f>Tab1SDataShiftSummary[[#This Row],[Summary11]]-Tab1SDataShiftSummary[[#This Row],[Summary10]]</f>
        <v>-38688.584359999746</v>
      </c>
      <c r="AN1756" s="93">
        <f>Tab1SDataShiftSummary[[#This Row],[Summary12]]-Tab1SDataShiftSummary[[#This Row],[Summary11]]</f>
        <v>-40006.400000000373</v>
      </c>
      <c r="AO1756" s="93">
        <f>Tab1SDataShiftSummary[[#This Row],[Summary13]]-Tab1SDataShiftSummary[[#This Row],[Summary12]]</f>
        <v>-324450.00519999862</v>
      </c>
      <c r="AP1756" s="93">
        <f>Tab1SDataShiftSummary[[#This Row],[Summary14]]-Tab1SDataShiftSummary[[#This Row],[Summary13]]</f>
        <v>162940</v>
      </c>
      <c r="AQ1756" s="93">
        <f>Tab1SDataShiftSummary[[#This Row],[Summary15]]-Tab1SDataShiftSummary[[#This Row],[Summary14]]</f>
        <v>688214.99999999814</v>
      </c>
      <c r="AR1756" s="93">
        <f>Tab1SDataShiftSummary[[#This Row],[Summary16]]-Tab1SDataShiftSummary[[#This Row],[Summary15]]</f>
        <v>282179.00000000186</v>
      </c>
      <c r="AS1756" s="93">
        <f>Tab1SDataShiftSummary[[#This Row],[Summary17]]-Tab1SDataShiftSummary[[#This Row],[Summary16]]</f>
        <v>86174.919999999925</v>
      </c>
      <c r="AT1756" s="93">
        <f>Tab1SDataShiftSummary[[#This Row],[Summary18]]-Tab1SDataShiftSummary[[#This Row],[Summary17]]</f>
        <v>-401497.29376008175</v>
      </c>
      <c r="AU1756" s="93">
        <f>Tab1SDataShiftSummary[[#This Row],[Summary19]]-Tab1SDataShiftSummary[[#This Row],[Summary18]]</f>
        <v>-54514.801076173782</v>
      </c>
      <c r="AV1756" s="1540">
        <f ca="1">Tab1SDataShiftSummary[[#This Row],[Summary20]]-Tab1SDataShiftSummary[[#This Row],[Summary19]]</f>
        <v>0</v>
      </c>
      <c r="AY1756" s="720" t="s">
        <v>2297</v>
      </c>
    </row>
    <row r="1757" spans="1:55" x14ac:dyDescent="0.3">
      <c r="A1757">
        <v>4</v>
      </c>
      <c r="B1757" s="720" t="s">
        <v>2130</v>
      </c>
      <c r="C1757" s="93">
        <f ca="1">Tab1SDataShiftSummary[[#This Row],[Summary20]]</f>
        <v>7720399.0326362848</v>
      </c>
      <c r="E1757"/>
      <c r="F1757" s="725">
        <v>7465069.2832362885</v>
      </c>
      <c r="G1757" s="725">
        <v>7607181.3687362894</v>
      </c>
      <c r="H1757" s="725">
        <v>7442355.3432362881</v>
      </c>
      <c r="I1757" s="725">
        <v>7075793.1532362849</v>
      </c>
      <c r="J1757" s="725">
        <v>7571975.3132362859</v>
      </c>
      <c r="K1757" s="725">
        <v>7536961.1932362905</v>
      </c>
      <c r="L1757" s="725">
        <v>8873615.5332362894</v>
      </c>
      <c r="M1757" s="725">
        <v>8873350.5332362894</v>
      </c>
      <c r="N1757" s="725">
        <v>9431541.763236288</v>
      </c>
      <c r="O1757" s="725">
        <v>10136972.928236287</v>
      </c>
      <c r="P1757" s="725">
        <v>10142901.028236285</v>
      </c>
      <c r="Q1757" s="725">
        <v>10239121.463236289</v>
      </c>
      <c r="R1757" s="725">
        <v>9997943.5532362852</v>
      </c>
      <c r="S1757" s="725">
        <v>9728539.4632362835</v>
      </c>
      <c r="T1757" s="725">
        <v>9778942.2012362871</v>
      </c>
      <c r="U1757" s="725">
        <v>8807064.8293362875</v>
      </c>
      <c r="V1757" s="725">
        <v>8435558.9182362854</v>
      </c>
      <c r="W1757" s="725">
        <v>8027440.4232362853</v>
      </c>
      <c r="X1757" s="725">
        <v>7751362.2530362867</v>
      </c>
      <c r="Y1757" s="725">
        <v>7720399.0326362848</v>
      </c>
      <c r="Z1757" s="725">
        <f t="shared" ca="1" si="138"/>
        <v>7720399.0326362848</v>
      </c>
      <c r="AB1757" s="93">
        <f ca="1">Tab1SDataShiftSummary[[#This Row],[Summary0]]-Tab1SDataShiftSummary[[#This Row],[Summary20]]</f>
        <v>-255329.74939999636</v>
      </c>
      <c r="AC1757" s="93">
        <f>Tab1SDataShiftSummary[[#This Row],[Summary1]]-Tab1SDataShiftSummary[[#This Row],[Summary0]]</f>
        <v>142112.08550000098</v>
      </c>
      <c r="AD1757" s="93">
        <f>Tab1SDataShiftSummary[[#This Row],[Summary2]]-Tab1SDataShiftSummary[[#This Row],[Summary1]]</f>
        <v>-164826.02550000139</v>
      </c>
      <c r="AE1757" s="93">
        <f>Tab1SDataShiftSummary[[#This Row],[Summary3]]-Tab1SDataShiftSummary[[#This Row],[Summary2]]</f>
        <v>-366562.1900000032</v>
      </c>
      <c r="AF1757" s="93">
        <f>Tab1SDataShiftSummary[[#This Row],[Summary4]]-Tab1SDataShiftSummary[[#This Row],[Summary3]]</f>
        <v>496182.16000000108</v>
      </c>
      <c r="AG1757" s="93">
        <f>Tab1SDataShiftSummary[[#This Row],[Summary5]]-Tab1SDataShiftSummary[[#This Row],[Summary4]]</f>
        <v>-35014.119999995455</v>
      </c>
      <c r="AH1757" s="93">
        <f>Tab1SDataShiftSummary[[#This Row],[Summary6]]-Tab1SDataShiftSummary[[#This Row],[Summary5]]</f>
        <v>1336654.3399999989</v>
      </c>
      <c r="AI1757" s="93">
        <f>Tab1SDataShiftSummary[[#This Row],[Summary7]]-Tab1SDataShiftSummary[[#This Row],[Summary6]]</f>
        <v>-265</v>
      </c>
      <c r="AJ1757" s="93">
        <f>Tab1SDataShiftSummary[[#This Row],[Summary8]]-Tab1SDataShiftSummary[[#This Row],[Summary7]]</f>
        <v>558191.22999999858</v>
      </c>
      <c r="AK1757" s="93">
        <f>Tab1SDataShiftSummary[[#This Row],[Summary9]]-Tab1SDataShiftSummary[[#This Row],[Summary8]]</f>
        <v>705431.16499999911</v>
      </c>
      <c r="AL1757" s="93">
        <f>Tab1SDataShiftSummary[[#This Row],[Summary10]]-Tab1SDataShiftSummary[[#This Row],[Summary9]]</f>
        <v>5928.0999999977648</v>
      </c>
      <c r="AM1757" s="93">
        <f>Tab1SDataShiftSummary[[#This Row],[Summary11]]-Tab1SDataShiftSummary[[#This Row],[Summary10]]</f>
        <v>96220.435000004247</v>
      </c>
      <c r="AN1757" s="93">
        <f>Tab1SDataShiftSummary[[#This Row],[Summary12]]-Tab1SDataShiftSummary[[#This Row],[Summary11]]</f>
        <v>-241177.91000000387</v>
      </c>
      <c r="AO1757" s="93">
        <f>Tab1SDataShiftSummary[[#This Row],[Summary13]]-Tab1SDataShiftSummary[[#This Row],[Summary12]]</f>
        <v>-269404.09000000171</v>
      </c>
      <c r="AP1757" s="93">
        <f>Tab1SDataShiftSummary[[#This Row],[Summary14]]-Tab1SDataShiftSummary[[#This Row],[Summary13]]</f>
        <v>50402.738000003621</v>
      </c>
      <c r="AQ1757" s="93">
        <f>Tab1SDataShiftSummary[[#This Row],[Summary15]]-Tab1SDataShiftSummary[[#This Row],[Summary14]]</f>
        <v>-971877.37189999968</v>
      </c>
      <c r="AR1757" s="93">
        <f>Tab1SDataShiftSummary[[#This Row],[Summary16]]-Tab1SDataShiftSummary[[#This Row],[Summary15]]</f>
        <v>-371505.91110000201</v>
      </c>
      <c r="AS1757" s="93">
        <f>Tab1SDataShiftSummary[[#This Row],[Summary17]]-Tab1SDataShiftSummary[[#This Row],[Summary16]]</f>
        <v>-408118.49500000011</v>
      </c>
      <c r="AT1757" s="93">
        <f>Tab1SDataShiftSummary[[#This Row],[Summary18]]-Tab1SDataShiftSummary[[#This Row],[Summary17]]</f>
        <v>-276078.17019999865</v>
      </c>
      <c r="AU1757" s="93">
        <f>Tab1SDataShiftSummary[[#This Row],[Summary19]]-Tab1SDataShiftSummary[[#This Row],[Summary18]]</f>
        <v>-30963.220400001854</v>
      </c>
      <c r="AV1757" s="1540">
        <f ca="1">Tab1SDataShiftSummary[[#This Row],[Summary20]]-Tab1SDataShiftSummary[[#This Row],[Summary19]]</f>
        <v>0</v>
      </c>
      <c r="AY1757" s="720" t="s">
        <v>2130</v>
      </c>
      <c r="AZ1757" t="s">
        <v>2127</v>
      </c>
    </row>
    <row r="1758" spans="1:55" x14ac:dyDescent="0.3">
      <c r="A1758">
        <v>5</v>
      </c>
      <c r="B1758" s="720" t="s">
        <v>1912</v>
      </c>
      <c r="C1758" s="93"/>
      <c r="E1758"/>
      <c r="F1758" s="725">
        <v>-93194029.457836539</v>
      </c>
      <c r="G1758" s="725">
        <v>-93194029.457836539</v>
      </c>
      <c r="H1758" s="725">
        <v>-93399859.227436543</v>
      </c>
      <c r="I1758" s="725">
        <v>-93513062.793436542</v>
      </c>
      <c r="J1758" s="725">
        <v>-93556444.525439739</v>
      </c>
      <c r="K1758" s="725">
        <v>-93956702.497439742</v>
      </c>
      <c r="L1758" s="725">
        <v>-95697973.060439736</v>
      </c>
      <c r="M1758" s="725">
        <v>-95697973.060439736</v>
      </c>
      <c r="N1758" s="725">
        <v>-96077918.356439739</v>
      </c>
      <c r="O1758" s="725">
        <v>-96862391.036123738</v>
      </c>
      <c r="P1758" s="725">
        <v>-96862391.036123738</v>
      </c>
      <c r="Q1758" s="725">
        <v>-96942196.993523732</v>
      </c>
      <c r="R1758" s="725">
        <v>-97024416.610163733</v>
      </c>
      <c r="S1758" s="725">
        <v>-97804149.658763722</v>
      </c>
      <c r="T1758" s="725">
        <v>-98095884.201563731</v>
      </c>
      <c r="U1758" s="725">
        <v>-98110020.861563742</v>
      </c>
      <c r="V1758" s="725">
        <v>-98227224.80156374</v>
      </c>
      <c r="W1758" s="725">
        <v>-98487219.364421725</v>
      </c>
      <c r="X1758" s="725">
        <v>-98479078.051901728</v>
      </c>
      <c r="Y1758" s="725">
        <v>-98479078.051901728</v>
      </c>
      <c r="Z1758" s="725">
        <f t="shared" ca="1" si="138"/>
        <v>-98479078.051901728</v>
      </c>
      <c r="AA1758" s="362"/>
      <c r="AB1758" s="93">
        <f ca="1">Tab1SDataShiftSummary[[#This Row],[Summary0]]-Tab1SDataShiftSummary[[#This Row],[Summary20]]</f>
        <v>5285048.5940651894</v>
      </c>
      <c r="AC1758" s="93">
        <f>Tab1SDataShiftSummary[[#This Row],[Summary1]]-Tab1SDataShiftSummary[[#This Row],[Summary0]]</f>
        <v>0</v>
      </c>
      <c r="AD1758" s="93">
        <f>Tab1SDataShiftSummary[[#This Row],[Summary2]]-Tab1SDataShiftSummary[[#This Row],[Summary1]]</f>
        <v>-205829.76960000396</v>
      </c>
      <c r="AE1758" s="93">
        <f>Tab1SDataShiftSummary[[#This Row],[Summary3]]-Tab1SDataShiftSummary[[#This Row],[Summary2]]</f>
        <v>-113203.56599999964</v>
      </c>
      <c r="AF1758" s="93">
        <f>Tab1SDataShiftSummary[[#This Row],[Summary4]]-Tab1SDataShiftSummary[[#This Row],[Summary3]]</f>
        <v>-43381.732003197074</v>
      </c>
      <c r="AG1758" s="93">
        <f>Tab1SDataShiftSummary[[#This Row],[Summary5]]-Tab1SDataShiftSummary[[#This Row],[Summary4]]</f>
        <v>-400257.97200000286</v>
      </c>
      <c r="AH1758" s="93">
        <f>Tab1SDataShiftSummary[[#This Row],[Summary6]]-Tab1SDataShiftSummary[[#This Row],[Summary5]]</f>
        <v>-1741270.5629999936</v>
      </c>
      <c r="AI1758" s="93">
        <f>Tab1SDataShiftSummary[[#This Row],[Summary7]]-Tab1SDataShiftSummary[[#This Row],[Summary6]]</f>
        <v>0</v>
      </c>
      <c r="AJ1758" s="93">
        <f>Tab1SDataShiftSummary[[#This Row],[Summary8]]-Tab1SDataShiftSummary[[#This Row],[Summary7]]</f>
        <v>-379945.29600000381</v>
      </c>
      <c r="AK1758" s="93">
        <f>Tab1SDataShiftSummary[[#This Row],[Summary9]]-Tab1SDataShiftSummary[[#This Row],[Summary8]]</f>
        <v>-784472.67968399823</v>
      </c>
      <c r="AL1758" s="93">
        <f>Tab1SDataShiftSummary[[#This Row],[Summary10]]-Tab1SDataShiftSummary[[#This Row],[Summary9]]</f>
        <v>0</v>
      </c>
      <c r="AM1758" s="93">
        <f>Tab1SDataShiftSummary[[#This Row],[Summary11]]-Tab1SDataShiftSummary[[#This Row],[Summary10]]</f>
        <v>-79805.957399994135</v>
      </c>
      <c r="AN1758" s="93">
        <f>Tab1SDataShiftSummary[[#This Row],[Summary12]]-Tab1SDataShiftSummary[[#This Row],[Summary11]]</f>
        <v>-82219.616640001535</v>
      </c>
      <c r="AO1758" s="93">
        <f>Tab1SDataShiftSummary[[#This Row],[Summary13]]-Tab1SDataShiftSummary[[#This Row],[Summary12]]</f>
        <v>-779733.04859998822</v>
      </c>
      <c r="AP1758" s="93">
        <f>Tab1SDataShiftSummary[[#This Row],[Summary14]]-Tab1SDataShiftSummary[[#This Row],[Summary13]]</f>
        <v>-291734.54280000925</v>
      </c>
      <c r="AQ1758" s="93">
        <f>Tab1SDataShiftSummary[[#This Row],[Summary15]]-Tab1SDataShiftSummary[[#This Row],[Summary14]]</f>
        <v>-14136.660000011325</v>
      </c>
      <c r="AR1758" s="93">
        <f>Tab1SDataShiftSummary[[#This Row],[Summary16]]-Tab1SDataShiftSummary[[#This Row],[Summary15]]</f>
        <v>-117203.93999999762</v>
      </c>
      <c r="AS1758" s="93">
        <f>Tab1SDataShiftSummary[[#This Row],[Summary17]]-Tab1SDataShiftSummary[[#This Row],[Summary16]]</f>
        <v>-259994.5628579855</v>
      </c>
      <c r="AT1758" s="93">
        <f>Tab1SDataShiftSummary[[#This Row],[Summary18]]-Tab1SDataShiftSummary[[#This Row],[Summary17]]</f>
        <v>8141.3125199973583</v>
      </c>
      <c r="AU1758" s="93">
        <f>Tab1SDataShiftSummary[[#This Row],[Summary19]]-Tab1SDataShiftSummary[[#This Row],[Summary18]]</f>
        <v>0</v>
      </c>
      <c r="AV1758" s="1540">
        <f ca="1">Tab1SDataShiftSummary[[#This Row],[Summary20]]-Tab1SDataShiftSummary[[#This Row],[Summary19]]</f>
        <v>0</v>
      </c>
      <c r="AY1758" s="720" t="s">
        <v>1912</v>
      </c>
    </row>
    <row r="1759" spans="1:55" x14ac:dyDescent="0.3">
      <c r="A1759">
        <v>6</v>
      </c>
      <c r="B1759" s="721" t="s">
        <v>2292</v>
      </c>
      <c r="C1759" s="93">
        <f ca="1">Tab1SDataShiftSummary[[#This Row],[Summary20]]</f>
        <v>-22372506.519761484</v>
      </c>
      <c r="E1759"/>
      <c r="F1759" s="725">
        <v>-20490729.756754719</v>
      </c>
      <c r="G1759" s="725">
        <v>-20378765.296754718</v>
      </c>
      <c r="H1759" s="725">
        <v>-20375080.476754718</v>
      </c>
      <c r="I1759" s="725">
        <v>-20253530.376754716</v>
      </c>
      <c r="J1759" s="725">
        <v>-20043163.608754717</v>
      </c>
      <c r="K1759" s="725">
        <v>-20139928.608754717</v>
      </c>
      <c r="L1759" s="725">
        <v>-21786843.608754717</v>
      </c>
      <c r="M1759" s="725">
        <v>-21786843.608754717</v>
      </c>
      <c r="N1759" s="725">
        <v>-22125302.608754717</v>
      </c>
      <c r="O1759" s="725">
        <v>-22737025.948754717</v>
      </c>
      <c r="P1759" s="725">
        <v>-22641900.248754717</v>
      </c>
      <c r="Q1759" s="725">
        <v>-22639891.748754717</v>
      </c>
      <c r="R1759" s="725">
        <v>-22701370.648754716</v>
      </c>
      <c r="S1759" s="725">
        <v>-23023279.718754712</v>
      </c>
      <c r="T1759" s="725">
        <v>-22991877.718754712</v>
      </c>
      <c r="U1759" s="725">
        <v>-22421262.718754716</v>
      </c>
      <c r="V1759" s="725">
        <v>-22179981.718754716</v>
      </c>
      <c r="W1759" s="725">
        <v>-21985758.048754714</v>
      </c>
      <c r="X1759" s="725">
        <v>-22314488.848754715</v>
      </c>
      <c r="Y1759" s="725">
        <v>-22372506.519761484</v>
      </c>
      <c r="Z1759" s="725">
        <f t="shared" ca="1" si="138"/>
        <v>-22372506.519761484</v>
      </c>
      <c r="AA1759" s="362"/>
      <c r="AB1759" s="93">
        <f ca="1">Tab1SDataShiftSummary[[#This Row],[Summary0]]-Tab1SDataShiftSummary[[#This Row],[Summary20]]</f>
        <v>1881776.7630067654</v>
      </c>
      <c r="AC1759" s="93">
        <f>Tab1SDataShiftSummary[[#This Row],[Summary1]]-Tab1SDataShiftSummary[[#This Row],[Summary0]]</f>
        <v>111964.46000000089</v>
      </c>
      <c r="AD1759" s="93">
        <f>Tab1SDataShiftSummary[[#This Row],[Summary2]]-Tab1SDataShiftSummary[[#This Row],[Summary1]]</f>
        <v>3684.820000000298</v>
      </c>
      <c r="AE1759" s="93">
        <f>Tab1SDataShiftSummary[[#This Row],[Summary3]]-Tab1SDataShiftSummary[[#This Row],[Summary2]]</f>
        <v>121550.10000000149</v>
      </c>
      <c r="AF1759" s="93">
        <f>Tab1SDataShiftSummary[[#This Row],[Summary4]]-Tab1SDataShiftSummary[[#This Row],[Summary3]]</f>
        <v>210366.76799999923</v>
      </c>
      <c r="AG1759" s="93">
        <f>Tab1SDataShiftSummary[[#This Row],[Summary5]]-Tab1SDataShiftSummary[[#This Row],[Summary4]]</f>
        <v>-96765</v>
      </c>
      <c r="AH1759" s="93">
        <f>Tab1SDataShiftSummary[[#This Row],[Summary6]]-Tab1SDataShiftSummary[[#This Row],[Summary5]]</f>
        <v>-1646915</v>
      </c>
      <c r="AI1759" s="93">
        <f>Tab1SDataShiftSummary[[#This Row],[Summary7]]-Tab1SDataShiftSummary[[#This Row],[Summary6]]</f>
        <v>0</v>
      </c>
      <c r="AJ1759" s="93">
        <f>Tab1SDataShiftSummary[[#This Row],[Summary8]]-Tab1SDataShiftSummary[[#This Row],[Summary7]]</f>
        <v>-338459</v>
      </c>
      <c r="AK1759" s="93">
        <f>Tab1SDataShiftSummary[[#This Row],[Summary9]]-Tab1SDataShiftSummary[[#This Row],[Summary8]]</f>
        <v>-611723.33999999985</v>
      </c>
      <c r="AL1759" s="93">
        <f>Tab1SDataShiftSummary[[#This Row],[Summary10]]-Tab1SDataShiftSummary[[#This Row],[Summary9]]</f>
        <v>95125.699999999255</v>
      </c>
      <c r="AM1759" s="93">
        <f>Tab1SDataShiftSummary[[#This Row],[Summary11]]-Tab1SDataShiftSummary[[#This Row],[Summary10]]</f>
        <v>2008.5</v>
      </c>
      <c r="AN1759" s="93">
        <f>Tab1SDataShiftSummary[[#This Row],[Summary12]]-Tab1SDataShiftSummary[[#This Row],[Summary11]]</f>
        <v>-61478.89999999851</v>
      </c>
      <c r="AO1759" s="93">
        <f>Tab1SDataShiftSummary[[#This Row],[Summary13]]-Tab1SDataShiftSummary[[#This Row],[Summary12]]</f>
        <v>-321909.06999999657</v>
      </c>
      <c r="AP1759" s="93">
        <f>Tab1SDataShiftSummary[[#This Row],[Summary14]]-Tab1SDataShiftSummary[[#This Row],[Summary13]]</f>
        <v>31402</v>
      </c>
      <c r="AQ1759" s="93">
        <f>Tab1SDataShiftSummary[[#This Row],[Summary15]]-Tab1SDataShiftSummary[[#This Row],[Summary14]]</f>
        <v>570614.99999999627</v>
      </c>
      <c r="AR1759" s="93">
        <f>Tab1SDataShiftSummary[[#This Row],[Summary16]]-Tab1SDataShiftSummary[[#This Row],[Summary15]]</f>
        <v>241281</v>
      </c>
      <c r="AS1759" s="93">
        <f>Tab1SDataShiftSummary[[#This Row],[Summary17]]-Tab1SDataShiftSummary[[#This Row],[Summary16]]</f>
        <v>194223.67000000179</v>
      </c>
      <c r="AT1759" s="93">
        <f>Tab1SDataShiftSummary[[#This Row],[Summary18]]-Tab1SDataShiftSummary[[#This Row],[Summary17]]</f>
        <v>-328730.80000000075</v>
      </c>
      <c r="AU1759" s="93">
        <f>Tab1SDataShiftSummary[[#This Row],[Summary19]]-Tab1SDataShiftSummary[[#This Row],[Summary18]]</f>
        <v>-58017.671006768942</v>
      </c>
      <c r="AV1759" s="1540">
        <f ca="1">Tab1SDataShiftSummary[[#This Row],[Summary20]]-Tab1SDataShiftSummary[[#This Row],[Summary19]]</f>
        <v>0</v>
      </c>
      <c r="AY1759" s="721" t="s">
        <v>2494</v>
      </c>
    </row>
    <row r="1760" spans="1:55" x14ac:dyDescent="0.3">
      <c r="A1760">
        <v>7</v>
      </c>
      <c r="B1760" s="720" t="s">
        <v>1911</v>
      </c>
      <c r="C1760" s="93"/>
      <c r="E1760"/>
      <c r="F1760" s="866">
        <v>72273223.361085713</v>
      </c>
      <c r="G1760" s="866">
        <v>72384896.713489711</v>
      </c>
      <c r="H1760" s="866">
        <v>72593334.183357731</v>
      </c>
      <c r="I1760" s="866">
        <v>72827184.687097743</v>
      </c>
      <c r="J1760" s="866">
        <v>73080161.233497724</v>
      </c>
      <c r="K1760" s="866">
        <v>73381829.850497723</v>
      </c>
      <c r="L1760" s="866">
        <v>73471436.266497731</v>
      </c>
      <c r="M1760" s="866">
        <v>73471436.266497731</v>
      </c>
      <c r="N1760" s="866">
        <v>73511831.963897735</v>
      </c>
      <c r="O1760" s="866">
        <v>73682103.104897752</v>
      </c>
      <c r="P1760" s="866">
        <v>73776981.478077739</v>
      </c>
      <c r="Q1760" s="866">
        <v>73858376.798577726</v>
      </c>
      <c r="R1760" s="866">
        <v>73878850.92707774</v>
      </c>
      <c r="S1760" s="866">
        <v>74333467.772059739</v>
      </c>
      <c r="T1760" s="866">
        <v>74655009.584059745</v>
      </c>
      <c r="U1760" s="866">
        <v>75238204.325059742</v>
      </c>
      <c r="V1760" s="866">
        <v>75595454.054459751</v>
      </c>
      <c r="W1760" s="866">
        <v>76047818.840059742</v>
      </c>
      <c r="X1760" s="866">
        <v>75711843.652659744</v>
      </c>
      <c r="Y1760" s="866">
        <v>75711843.652659744</v>
      </c>
      <c r="Z1760" s="866">
        <f t="shared" ca="1" si="138"/>
        <v>75711843.652659744</v>
      </c>
      <c r="AA1760" s="362"/>
      <c r="AB1760" s="93">
        <f ca="1">Tab1SDataShiftSummary[[#This Row],[Summary0]]-Tab1SDataShiftSummary[[#This Row],[Summary20]]</f>
        <v>-3438620.2915740311</v>
      </c>
      <c r="AC1760" s="93">
        <f>Tab1SDataShiftSummary[[#This Row],[Summary1]]-Tab1SDataShiftSummary[[#This Row],[Summary0]]</f>
        <v>111673.35240399837</v>
      </c>
      <c r="AD1760" s="93">
        <f>Tab1SDataShiftSummary[[#This Row],[Summary2]]-Tab1SDataShiftSummary[[#This Row],[Summary1]]</f>
        <v>208437.46986801922</v>
      </c>
      <c r="AE1760" s="93">
        <f>Tab1SDataShiftSummary[[#This Row],[Summary3]]-Tab1SDataShiftSummary[[#This Row],[Summary2]]</f>
        <v>233850.50374001265</v>
      </c>
      <c r="AF1760" s="93">
        <f>Tab1SDataShiftSummary[[#This Row],[Summary4]]-Tab1SDataShiftSummary[[#This Row],[Summary3]]</f>
        <v>252976.54639998078</v>
      </c>
      <c r="AG1760" s="93">
        <f>Tab1SDataShiftSummary[[#This Row],[Summary5]]-Tab1SDataShiftSummary[[#This Row],[Summary4]]</f>
        <v>301668.61699999869</v>
      </c>
      <c r="AH1760" s="93">
        <f>Tab1SDataShiftSummary[[#This Row],[Summary6]]-Tab1SDataShiftSummary[[#This Row],[Summary5]]</f>
        <v>89606.416000008583</v>
      </c>
      <c r="AI1760" s="93">
        <f>Tab1SDataShiftSummary[[#This Row],[Summary7]]-Tab1SDataShiftSummary[[#This Row],[Summary6]]</f>
        <v>0</v>
      </c>
      <c r="AJ1760" s="93">
        <f>Tab1SDataShiftSummary[[#This Row],[Summary8]]-Tab1SDataShiftSummary[[#This Row],[Summary7]]</f>
        <v>40395.697400003672</v>
      </c>
      <c r="AK1760" s="93">
        <f>Tab1SDataShiftSummary[[#This Row],[Summary9]]-Tab1SDataShiftSummary[[#This Row],[Summary8]]</f>
        <v>170271.14100001752</v>
      </c>
      <c r="AL1760" s="93">
        <f>Tab1SDataShiftSummary[[#This Row],[Summary10]]-Tab1SDataShiftSummary[[#This Row],[Summary9]]</f>
        <v>94878.373179987073</v>
      </c>
      <c r="AM1760" s="93">
        <f>Tab1SDataShiftSummary[[#This Row],[Summary11]]-Tab1SDataShiftSummary[[#This Row],[Summary10]]</f>
        <v>81395.32049998641</v>
      </c>
      <c r="AN1760" s="93">
        <f>Tab1SDataShiftSummary[[#This Row],[Summary12]]-Tab1SDataShiftSummary[[#This Row],[Summary11]]</f>
        <v>20474.128500014544</v>
      </c>
      <c r="AO1760" s="93">
        <f>Tab1SDataShiftSummary[[#This Row],[Summary13]]-Tab1SDataShiftSummary[[#This Row],[Summary12]]</f>
        <v>454616.84498199821</v>
      </c>
      <c r="AP1760" s="93">
        <f>Tab1SDataShiftSummary[[#This Row],[Summary14]]-Tab1SDataShiftSummary[[#This Row],[Summary13]]</f>
        <v>321541.81200000644</v>
      </c>
      <c r="AQ1760" s="93">
        <f>Tab1SDataShiftSummary[[#This Row],[Summary15]]-Tab1SDataShiftSummary[[#This Row],[Summary14]]</f>
        <v>583194.74099999666</v>
      </c>
      <c r="AR1760" s="93">
        <f>Tab1SDataShiftSummary[[#This Row],[Summary16]]-Tab1SDataShiftSummary[[#This Row],[Summary15]]</f>
        <v>357249.72940000892</v>
      </c>
      <c r="AS1760" s="93">
        <f>Tab1SDataShiftSummary[[#This Row],[Summary17]]-Tab1SDataShiftSummary[[#This Row],[Summary16]]</f>
        <v>452364.78559999168</v>
      </c>
      <c r="AT1760" s="93">
        <f>Tab1SDataShiftSummary[[#This Row],[Summary18]]-Tab1SDataShiftSummary[[#This Row],[Summary17]]</f>
        <v>-335975.18739999831</v>
      </c>
      <c r="AU1760" s="93">
        <f>Tab1SDataShiftSummary[[#This Row],[Summary19]]-Tab1SDataShiftSummary[[#This Row],[Summary18]]</f>
        <v>0</v>
      </c>
      <c r="AV1760" s="1540">
        <f ca="1">Tab1SDataShiftSummary[[#This Row],[Summary20]]-Tab1SDataShiftSummary[[#This Row],[Summary19]]</f>
        <v>0</v>
      </c>
      <c r="AY1760" s="720" t="s">
        <v>1911</v>
      </c>
    </row>
    <row r="1761" spans="1:58" x14ac:dyDescent="0.3">
      <c r="A1761">
        <v>8</v>
      </c>
      <c r="B1761" s="721" t="s">
        <v>975</v>
      </c>
      <c r="C1761" s="93">
        <f ca="1">Tab1SDataShiftSummary[[#This Row],[Summary20]]</f>
        <v>10856094.496106081</v>
      </c>
      <c r="E1761"/>
      <c r="F1761" s="725">
        <v>12369163.083245289</v>
      </c>
      <c r="G1761" s="725">
        <v>12623239.628745286</v>
      </c>
      <c r="H1761" s="725">
        <v>12462098.423245287</v>
      </c>
      <c r="I1761" s="725">
        <v>12217086.333245283</v>
      </c>
      <c r="J1761" s="725">
        <v>12923635.261245292</v>
      </c>
      <c r="K1761" s="725">
        <v>12791856.141245291</v>
      </c>
      <c r="L1761" s="725">
        <v>12481595.481245285</v>
      </c>
      <c r="M1761" s="725">
        <v>12481330.481245285</v>
      </c>
      <c r="N1761" s="725">
        <v>12701062.711245291</v>
      </c>
      <c r="O1761" s="725">
        <v>12794770.536245283</v>
      </c>
      <c r="P1761" s="725">
        <v>12895824.336245291</v>
      </c>
      <c r="Q1761" s="725">
        <v>12994053.271245286</v>
      </c>
      <c r="R1761" s="725">
        <v>12691396.461245287</v>
      </c>
      <c r="S1761" s="725">
        <v>12300081.301245285</v>
      </c>
      <c r="T1761" s="725">
        <v>12381886.039245285</v>
      </c>
      <c r="U1761" s="725">
        <v>11980623.667345282</v>
      </c>
      <c r="V1761" s="725">
        <v>11850398.756245285</v>
      </c>
      <c r="W1761" s="725">
        <v>11636503.931245288</v>
      </c>
      <c r="X1761" s="725">
        <v>11031694.961045284</v>
      </c>
      <c r="Y1761" s="725">
        <v>10856094.496106081</v>
      </c>
      <c r="Z1761" s="725">
        <f t="shared" ca="1" si="138"/>
        <v>10856094.496106081</v>
      </c>
      <c r="AA1761" s="362"/>
      <c r="AB1761" s="93">
        <f ca="1">Tab1SDataShiftSummary[[#This Row],[Summary0]]-Tab1SDataShiftSummary[[#This Row],[Summary20]]</f>
        <v>1513068.5871392079</v>
      </c>
      <c r="AC1761" s="93">
        <f>Tab1SDataShiftSummary[[#This Row],[Summary1]]-Tab1SDataShiftSummary[[#This Row],[Summary0]]</f>
        <v>254076.54549999721</v>
      </c>
      <c r="AD1761" s="93">
        <f>Tab1SDataShiftSummary[[#This Row],[Summary2]]-Tab1SDataShiftSummary[[#This Row],[Summary1]]</f>
        <v>-161141.20549999923</v>
      </c>
      <c r="AE1761" s="93">
        <f>Tab1SDataShiftSummary[[#This Row],[Summary3]]-Tab1SDataShiftSummary[[#This Row],[Summary2]]</f>
        <v>-245012.09000000358</v>
      </c>
      <c r="AF1761" s="93">
        <f>Tab1SDataShiftSummary[[#This Row],[Summary4]]-Tab1SDataShiftSummary[[#This Row],[Summary3]]</f>
        <v>706548.92800000869</v>
      </c>
      <c r="AG1761" s="93">
        <f>Tab1SDataShiftSummary[[#This Row],[Summary5]]-Tab1SDataShiftSummary[[#This Row],[Summary4]]</f>
        <v>-131779.12000000104</v>
      </c>
      <c r="AH1761" s="93">
        <f>Tab1SDataShiftSummary[[#This Row],[Summary6]]-Tab1SDataShiftSummary[[#This Row],[Summary5]]</f>
        <v>-310260.66000000574</v>
      </c>
      <c r="AI1761" s="93">
        <f>Tab1SDataShiftSummary[[#This Row],[Summary7]]-Tab1SDataShiftSummary[[#This Row],[Summary6]]</f>
        <v>-265</v>
      </c>
      <c r="AJ1761" s="93">
        <f>Tab1SDataShiftSummary[[#This Row],[Summary8]]-Tab1SDataShiftSummary[[#This Row],[Summary7]]</f>
        <v>219732.23000000603</v>
      </c>
      <c r="AK1761" s="93">
        <f>Tab1SDataShiftSummary[[#This Row],[Summary9]]-Tab1SDataShiftSummary[[#This Row],[Summary8]]</f>
        <v>93707.824999991804</v>
      </c>
      <c r="AL1761" s="93">
        <f>Tab1SDataShiftSummary[[#This Row],[Summary10]]-Tab1SDataShiftSummary[[#This Row],[Summary9]]</f>
        <v>101053.8000000082</v>
      </c>
      <c r="AM1761" s="93">
        <f>Tab1SDataShiftSummary[[#This Row],[Summary11]]-Tab1SDataShiftSummary[[#This Row],[Summary10]]</f>
        <v>98228.934999994934</v>
      </c>
      <c r="AN1761" s="93">
        <f>Tab1SDataShiftSummary[[#This Row],[Summary12]]-Tab1SDataShiftSummary[[#This Row],[Summary11]]</f>
        <v>-302656.80999999866</v>
      </c>
      <c r="AO1761" s="93">
        <f>Tab1SDataShiftSummary[[#This Row],[Summary13]]-Tab1SDataShiftSummary[[#This Row],[Summary12]]</f>
        <v>-391315.16000000201</v>
      </c>
      <c r="AP1761" s="93">
        <f>Tab1SDataShiftSummary[[#This Row],[Summary14]]-Tab1SDataShiftSummary[[#This Row],[Summary13]]</f>
        <v>81804.737999999896</v>
      </c>
      <c r="AQ1761" s="93">
        <f>Tab1SDataShiftSummary[[#This Row],[Summary15]]-Tab1SDataShiftSummary[[#This Row],[Summary14]]</f>
        <v>-401262.3719000034</v>
      </c>
      <c r="AR1761" s="93">
        <f>Tab1SDataShiftSummary[[#This Row],[Summary16]]-Tab1SDataShiftSummary[[#This Row],[Summary15]]</f>
        <v>-130224.91109999642</v>
      </c>
      <c r="AS1761" s="93">
        <f>Tab1SDataShiftSummary[[#This Row],[Summary17]]-Tab1SDataShiftSummary[[#This Row],[Summary16]]</f>
        <v>-213894.82499999739</v>
      </c>
      <c r="AT1761" s="93">
        <f>Tab1SDataShiftSummary[[#This Row],[Summary18]]-Tab1SDataShiftSummary[[#This Row],[Summary17]]</f>
        <v>-604808.97020000406</v>
      </c>
      <c r="AU1761" s="93">
        <f>Tab1SDataShiftSummary[[#This Row],[Summary19]]-Tab1SDataShiftSummary[[#This Row],[Summary18]]</f>
        <v>-175600.46493920311</v>
      </c>
      <c r="AV1761" s="1540">
        <f ca="1">Tab1SDataShiftSummary[[#This Row],[Summary20]]-Tab1SDataShiftSummary[[#This Row],[Summary19]]</f>
        <v>0</v>
      </c>
      <c r="AY1761" s="721" t="s">
        <v>975</v>
      </c>
    </row>
    <row r="1762" spans="1:58" x14ac:dyDescent="0.3">
      <c r="A1762">
        <v>9</v>
      </c>
      <c r="B1762" s="720" t="s">
        <v>2294</v>
      </c>
      <c r="C1762" s="93">
        <f ca="1">Tab1SDataShiftSummary[[#This Row],[Summary20]]</f>
        <v>10803834.942822231</v>
      </c>
      <c r="E1762"/>
      <c r="F1762" s="725">
        <v>12640171.84699</v>
      </c>
      <c r="G1762" s="725">
        <v>12787492.429089997</v>
      </c>
      <c r="H1762" s="725">
        <v>12717381.206989998</v>
      </c>
      <c r="I1762" s="725">
        <v>12577791.496989999</v>
      </c>
      <c r="J1762" s="725">
        <v>12638319.586989999</v>
      </c>
      <c r="K1762" s="725">
        <v>12825138.89009</v>
      </c>
      <c r="L1762" s="725">
        <v>12761891.760089999</v>
      </c>
      <c r="M1762" s="725">
        <v>12761726.760089999</v>
      </c>
      <c r="N1762" s="725">
        <v>12808576.20009</v>
      </c>
      <c r="O1762" s="725">
        <v>11313185.26509</v>
      </c>
      <c r="P1762" s="725">
        <v>11347605.910090003</v>
      </c>
      <c r="Q1762" s="725">
        <v>11650335.371090002</v>
      </c>
      <c r="R1762" s="725">
        <v>11396008.420089997</v>
      </c>
      <c r="S1762" s="725">
        <v>11240360.876090001</v>
      </c>
      <c r="T1762" s="725">
        <v>11360142.769090001</v>
      </c>
      <c r="U1762" s="725">
        <v>11206589.465989999</v>
      </c>
      <c r="V1762" s="725">
        <v>11141276.596090002</v>
      </c>
      <c r="W1762" s="725">
        <v>11295778.191090003</v>
      </c>
      <c r="X1762" s="725">
        <v>10855643.70009</v>
      </c>
      <c r="Y1762" s="725">
        <v>10803834.942822231</v>
      </c>
      <c r="Z1762" s="725">
        <f t="shared" ca="1" si="138"/>
        <v>10803834.942822231</v>
      </c>
      <c r="AB1762" s="93">
        <f ca="1">Tab1SDataShiftSummary[[#This Row],[Summary0]]-Tab1SDataShiftSummary[[#This Row],[Summary20]]</f>
        <v>1836336.9041677695</v>
      </c>
      <c r="AC1762" s="93">
        <f>Tab1SDataShiftSummary[[#This Row],[Summary1]]-Tab1SDataShiftSummary[[#This Row],[Summary0]]</f>
        <v>147320.58209999651</v>
      </c>
      <c r="AD1762" s="93">
        <f>Tab1SDataShiftSummary[[#This Row],[Summary2]]-Tab1SDataShiftSummary[[#This Row],[Summary1]]</f>
        <v>-70111.222099998966</v>
      </c>
      <c r="AE1762" s="93">
        <f>Tab1SDataShiftSummary[[#This Row],[Summary3]]-Tab1SDataShiftSummary[[#This Row],[Summary2]]</f>
        <v>-139589.70999999903</v>
      </c>
      <c r="AF1762" s="93">
        <f>Tab1SDataShiftSummary[[#This Row],[Summary4]]-Tab1SDataShiftSummary[[#This Row],[Summary3]]</f>
        <v>60528.089999999851</v>
      </c>
      <c r="AG1762" s="93">
        <f>Tab1SDataShiftSummary[[#This Row],[Summary5]]-Tab1SDataShiftSummary[[#This Row],[Summary4]]</f>
        <v>186819.30310000107</v>
      </c>
      <c r="AH1762" s="93">
        <f>Tab1SDataShiftSummary[[#This Row],[Summary6]]-Tab1SDataShiftSummary[[#This Row],[Summary5]]</f>
        <v>-63247.13000000082</v>
      </c>
      <c r="AI1762" s="93">
        <f>Tab1SDataShiftSummary[[#This Row],[Summary7]]-Tab1SDataShiftSummary[[#This Row],[Summary6]]</f>
        <v>-165</v>
      </c>
      <c r="AJ1762" s="93">
        <f>Tab1SDataShiftSummary[[#This Row],[Summary8]]-Tab1SDataShiftSummary[[#This Row],[Summary7]]</f>
        <v>46849.440000001341</v>
      </c>
      <c r="AK1762" s="93">
        <f>Tab1SDataShiftSummary[[#This Row],[Summary9]]-Tab1SDataShiftSummary[[#This Row],[Summary8]]</f>
        <v>-1495390.9350000005</v>
      </c>
      <c r="AL1762" s="93">
        <f>Tab1SDataShiftSummary[[#This Row],[Summary10]]-Tab1SDataShiftSummary[[#This Row],[Summary9]]</f>
        <v>34420.645000003278</v>
      </c>
      <c r="AM1762" s="93">
        <f>Tab1SDataShiftSummary[[#This Row],[Summary11]]-Tab1SDataShiftSummary[[#This Row],[Summary10]]</f>
        <v>302729.4609999992</v>
      </c>
      <c r="AN1762" s="93">
        <f>Tab1SDataShiftSummary[[#This Row],[Summary12]]-Tab1SDataShiftSummary[[#This Row],[Summary11]]</f>
        <v>-254326.95100000501</v>
      </c>
      <c r="AO1762" s="93">
        <f>Tab1SDataShiftSummary[[#This Row],[Summary13]]-Tab1SDataShiftSummary[[#This Row],[Summary12]]</f>
        <v>-155647.54399999604</v>
      </c>
      <c r="AP1762" s="93">
        <f>Tab1SDataShiftSummary[[#This Row],[Summary14]]-Tab1SDataShiftSummary[[#This Row],[Summary13]]</f>
        <v>119781.89299999923</v>
      </c>
      <c r="AQ1762" s="93">
        <f>Tab1SDataShiftSummary[[#This Row],[Summary15]]-Tab1SDataShiftSummary[[#This Row],[Summary14]]</f>
        <v>-153553.30310000107</v>
      </c>
      <c r="AR1762" s="93">
        <f>Tab1SDataShiftSummary[[#This Row],[Summary16]]-Tab1SDataShiftSummary[[#This Row],[Summary15]]</f>
        <v>-65312.869899997488</v>
      </c>
      <c r="AS1762" s="93">
        <f>Tab1SDataShiftSummary[[#This Row],[Summary17]]-Tab1SDataShiftSummary[[#This Row],[Summary16]]</f>
        <v>154501.59500000067</v>
      </c>
      <c r="AT1762" s="93">
        <f>Tab1SDataShiftSummary[[#This Row],[Summary18]]-Tab1SDataShiftSummary[[#This Row],[Summary17]]</f>
        <v>-440134.49100000225</v>
      </c>
      <c r="AU1762" s="93">
        <f>Tab1SDataShiftSummary[[#This Row],[Summary19]]-Tab1SDataShiftSummary[[#This Row],[Summary18]]</f>
        <v>-51808.757267769426</v>
      </c>
      <c r="AV1762" s="1540">
        <f ca="1">Tab1SDataShiftSummary[[#This Row],[Summary20]]-Tab1SDataShiftSummary[[#This Row],[Summary19]]</f>
        <v>0</v>
      </c>
      <c r="AY1762" s="720" t="s">
        <v>2294</v>
      </c>
    </row>
    <row r="1763" spans="1:58" ht="23" thickBot="1" x14ac:dyDescent="0.35">
      <c r="A1763">
        <v>10</v>
      </c>
      <c r="B1763" s="720" t="s">
        <v>1906</v>
      </c>
      <c r="C1763"/>
      <c r="E1763"/>
      <c r="F1763" s="725">
        <v>-430214.85732919781</v>
      </c>
      <c r="G1763" s="725">
        <v>-430505.20804544823</v>
      </c>
      <c r="H1763" s="725">
        <v>-431582.30286806519</v>
      </c>
      <c r="I1763" s="725">
        <v>-432484.64344938908</v>
      </c>
      <c r="J1763" s="725">
        <v>-433255.17497323739</v>
      </c>
      <c r="K1763" s="725">
        <v>-435080.18410463742</v>
      </c>
      <c r="L1763" s="725">
        <v>-439840.46425003745</v>
      </c>
      <c r="M1763" s="725">
        <v>-439840.46425003745</v>
      </c>
      <c r="N1763" s="725">
        <v>-440933.35083287745</v>
      </c>
      <c r="O1763" s="725">
        <v>-443415.68476665579</v>
      </c>
      <c r="P1763" s="725">
        <v>-443662.36853692384</v>
      </c>
      <c r="Q1763" s="725">
        <v>-444081.4918594638</v>
      </c>
      <c r="R1763" s="725">
        <v>-444348.49559682782</v>
      </c>
      <c r="S1763" s="725">
        <v>-447557.80532014102</v>
      </c>
      <c r="T1763" s="725">
        <v>-449152.32384262106</v>
      </c>
      <c r="U1763" s="725">
        <v>-450705.38548522105</v>
      </c>
      <c r="V1763" s="725">
        <v>-451938.96502566105</v>
      </c>
      <c r="W1763" s="725">
        <v>-453791.09933165181</v>
      </c>
      <c r="X1763" s="725">
        <v>-452896.39643185982</v>
      </c>
      <c r="Y1763" s="725">
        <v>-452896.39643185982</v>
      </c>
      <c r="Z1763" s="725">
        <f t="shared" ca="1" si="138"/>
        <v>-452896.39643185982</v>
      </c>
      <c r="AB1763" s="93">
        <f ca="1">Tab1SDataShiftSummary[[#This Row],[Summary0]]-Tab1SDataShiftSummary[[#This Row],[Summary20]]</f>
        <v>22681.539102662005</v>
      </c>
      <c r="AC1763" s="93">
        <f>Tab1SDataShiftSummary[[#This Row],[Summary1]]-Tab1SDataShiftSummary[[#This Row],[Summary0]]</f>
        <v>-290.35071625042474</v>
      </c>
      <c r="AD1763" s="93">
        <f>Tab1SDataShiftSummary[[#This Row],[Summary2]]-Tab1SDataShiftSummary[[#This Row],[Summary1]]</f>
        <v>-1077.0948226169567</v>
      </c>
      <c r="AE1763" s="93">
        <f>Tab1SDataShiftSummary[[#This Row],[Summary3]]-Tab1SDataShiftSummary[[#This Row],[Summary2]]</f>
        <v>-902.34058132389328</v>
      </c>
      <c r="AF1763" s="93">
        <f>Tab1SDataShiftSummary[[#This Row],[Summary4]]-Tab1SDataShiftSummary[[#This Row],[Summary3]]</f>
        <v>-770.53152384830173</v>
      </c>
      <c r="AG1763" s="93">
        <f>Tab1SDataShiftSummary[[#This Row],[Summary5]]-Tab1SDataShiftSummary[[#This Row],[Summary4]]</f>
        <v>-1825.009131400031</v>
      </c>
      <c r="AH1763" s="93">
        <f>Tab1SDataShiftSummary[[#This Row],[Summary6]]-Tab1SDataShiftSummary[[#This Row],[Summary5]]</f>
        <v>-4760.2801454000291</v>
      </c>
      <c r="AI1763" s="93">
        <f>Tab1SDataShiftSummary[[#This Row],[Summary7]]-Tab1SDataShiftSummary[[#This Row],[Summary6]]</f>
        <v>0</v>
      </c>
      <c r="AJ1763" s="93">
        <f>Tab1SDataShiftSummary[[#This Row],[Summary8]]-Tab1SDataShiftSummary[[#This Row],[Summary7]]</f>
        <v>-1092.8865828400012</v>
      </c>
      <c r="AK1763" s="93">
        <f>Tab1SDataShiftSummary[[#This Row],[Summary9]]-Tab1SDataShiftSummary[[#This Row],[Summary8]]</f>
        <v>-2482.33393377834</v>
      </c>
      <c r="AL1763" s="93">
        <f>Tab1SDataShiftSummary[[#This Row],[Summary10]]-Tab1SDataShiftSummary[[#This Row],[Summary9]]</f>
        <v>-246.68377026804956</v>
      </c>
      <c r="AM1763" s="93">
        <f>Tab1SDataShiftSummary[[#This Row],[Summary11]]-Tab1SDataShiftSummary[[#This Row],[Summary10]]</f>
        <v>-419.12332253996283</v>
      </c>
      <c r="AN1763" s="93">
        <f>Tab1SDataShiftSummary[[#This Row],[Summary12]]-Tab1SDataShiftSummary[[#This Row],[Summary11]]</f>
        <v>-267.00373736402253</v>
      </c>
      <c r="AO1763" s="93">
        <f>Tab1SDataShiftSummary[[#This Row],[Summary13]]-Tab1SDataShiftSummary[[#This Row],[Summary12]]</f>
        <v>-3209.3097233131994</v>
      </c>
      <c r="AP1763" s="93">
        <f>Tab1SDataShiftSummary[[#This Row],[Summary14]]-Tab1SDataShiftSummary[[#This Row],[Summary13]]</f>
        <v>-1594.5185224800371</v>
      </c>
      <c r="AQ1763" s="93">
        <f>Tab1SDataShiftSummary[[#This Row],[Summary15]]-Tab1SDataShiftSummary[[#This Row],[Summary14]]</f>
        <v>-1553.0616425999906</v>
      </c>
      <c r="AR1763" s="93">
        <f>Tab1SDataShiftSummary[[#This Row],[Summary16]]-Tab1SDataShiftSummary[[#This Row],[Summary15]]</f>
        <v>-1233.5795404399978</v>
      </c>
      <c r="AS1763" s="93">
        <f>Tab1SDataShiftSummary[[#This Row],[Summary17]]-Tab1SDataShiftSummary[[#This Row],[Summary16]]</f>
        <v>-1852.1343059907667</v>
      </c>
      <c r="AT1763" s="93">
        <f>Tab1SDataShiftSummary[[#This Row],[Summary18]]-Tab1SDataShiftSummary[[#This Row],[Summary17]]</f>
        <v>894.70289979199879</v>
      </c>
      <c r="AU1763" s="93">
        <f>Tab1SDataShiftSummary[[#This Row],[Summary19]]-Tab1SDataShiftSummary[[#This Row],[Summary18]]</f>
        <v>0</v>
      </c>
      <c r="AV1763" s="1540">
        <f ca="1">Tab1SDataShiftSummary[[#This Row],[Summary20]]-Tab1SDataShiftSummary[[#This Row],[Summary19]]</f>
        <v>0</v>
      </c>
      <c r="AY1763" s="720" t="s">
        <v>1906</v>
      </c>
      <c r="BA1763" s="946" t="s">
        <v>2410</v>
      </c>
      <c r="BE1763" s="946" t="s">
        <v>2461</v>
      </c>
    </row>
    <row r="1764" spans="1:58" ht="23" thickBot="1" x14ac:dyDescent="0.35">
      <c r="A1764">
        <v>11</v>
      </c>
      <c r="B1764" s="720" t="s">
        <v>1905</v>
      </c>
      <c r="C1764" t="s">
        <v>2296</v>
      </c>
      <c r="E1764"/>
      <c r="F1764" s="725">
        <v>4474017.4600128978</v>
      </c>
      <c r="G1764" s="725">
        <v>4585690.8124168962</v>
      </c>
      <c r="H1764" s="725">
        <v>4588298.5126849115</v>
      </c>
      <c r="I1764" s="725">
        <v>4708945.4504249245</v>
      </c>
      <c r="J1764" s="725">
        <v>4918540.2648217082</v>
      </c>
      <c r="K1764" s="725">
        <v>4819950.909821704</v>
      </c>
      <c r="L1764" s="725">
        <v>3168286.7628217041</v>
      </c>
      <c r="M1764" s="725">
        <v>3168286.7628217041</v>
      </c>
      <c r="N1764" s="725">
        <v>2828737.1642217189</v>
      </c>
      <c r="O1764" s="725">
        <v>2214535.6255377382</v>
      </c>
      <c r="P1764" s="725">
        <v>2309413.9987177253</v>
      </c>
      <c r="Q1764" s="725">
        <v>2311003.3618177027</v>
      </c>
      <c r="R1764" s="725">
        <v>2249257.8736777306</v>
      </c>
      <c r="S1764" s="725">
        <v>2124139.6700597256</v>
      </c>
      <c r="T1764" s="725">
        <v>2153946.9392597377</v>
      </c>
      <c r="U1764" s="725">
        <v>2723005.020259738</v>
      </c>
      <c r="V1764" s="725">
        <v>2963050.8096597493</v>
      </c>
      <c r="W1764" s="725">
        <v>3155421.0324017406</v>
      </c>
      <c r="X1764" s="725">
        <v>2827587.1575217247</v>
      </c>
      <c r="Y1764" s="725">
        <v>2827587.1575217247</v>
      </c>
      <c r="Z1764" s="725">
        <f ca="1">Z1760+Z1755</f>
        <v>2827587.1575217247</v>
      </c>
      <c r="AB1764" s="93">
        <f ca="1">Tab1SDataShiftSummary[[#This Row],[Summary0]]-Tab1SDataShiftSummary[[#This Row],[Summary20]]</f>
        <v>1646430.3024911731</v>
      </c>
      <c r="AC1764" s="93">
        <f>Tab1SDataShiftSummary[[#This Row],[Summary1]]-Tab1SDataShiftSummary[[#This Row],[Summary0]]</f>
        <v>111673.35240399837</v>
      </c>
      <c r="AD1764" s="93">
        <f>Tab1SDataShiftSummary[[#This Row],[Summary2]]-Tab1SDataShiftSummary[[#This Row],[Summary1]]</f>
        <v>2607.7002680152655</v>
      </c>
      <c r="AE1764" s="93">
        <f>Tab1SDataShiftSummary[[#This Row],[Summary3]]-Tab1SDataShiftSummary[[#This Row],[Summary2]]</f>
        <v>120646.937740013</v>
      </c>
      <c r="AF1764" s="93">
        <f>Tab1SDataShiftSummary[[#This Row],[Summary4]]-Tab1SDataShiftSummary[[#This Row],[Summary3]]</f>
        <v>209594.81439678371</v>
      </c>
      <c r="AG1764" s="93">
        <f>Tab1SDataShiftSummary[[#This Row],[Summary5]]-Tab1SDataShiftSummary[[#This Row],[Summary4]]</f>
        <v>-98589.355000004172</v>
      </c>
      <c r="AH1764" s="93">
        <f>Tab1SDataShiftSummary[[#This Row],[Summary6]]-Tab1SDataShiftSummary[[#This Row],[Summary5]]</f>
        <v>-1651664.1469999999</v>
      </c>
      <c r="AI1764" s="93">
        <f>Tab1SDataShiftSummary[[#This Row],[Summary7]]-Tab1SDataShiftSummary[[#This Row],[Summary6]]</f>
        <v>0</v>
      </c>
      <c r="AJ1764" s="93">
        <f>Tab1SDataShiftSummary[[#This Row],[Summary8]]-Tab1SDataShiftSummary[[#This Row],[Summary7]]</f>
        <v>-339549.59859998524</v>
      </c>
      <c r="AK1764" s="93">
        <f>Tab1SDataShiftSummary[[#This Row],[Summary9]]-Tab1SDataShiftSummary[[#This Row],[Summary8]]</f>
        <v>-614201.5386839807</v>
      </c>
      <c r="AL1764" s="93">
        <f>Tab1SDataShiftSummary[[#This Row],[Summary10]]-Tab1SDataShiftSummary[[#This Row],[Summary9]]</f>
        <v>94878.373179987073</v>
      </c>
      <c r="AM1764" s="93">
        <f>Tab1SDataShiftSummary[[#This Row],[Summary11]]-Tab1SDataShiftSummary[[#This Row],[Summary10]]</f>
        <v>1589.3630999773741</v>
      </c>
      <c r="AN1764" s="93">
        <f>Tab1SDataShiftSummary[[#This Row],[Summary12]]-Tab1SDataShiftSummary[[#This Row],[Summary11]]</f>
        <v>-61745.488139972091</v>
      </c>
      <c r="AO1764" s="93">
        <f>Tab1SDataShiftSummary[[#This Row],[Summary13]]-Tab1SDataShiftSummary[[#This Row],[Summary12]]</f>
        <v>-125118.20361800492</v>
      </c>
      <c r="AP1764" s="93">
        <f>Tab1SDataShiftSummary[[#This Row],[Summary14]]-Tab1SDataShiftSummary[[#This Row],[Summary13]]</f>
        <v>29807.269200012088</v>
      </c>
      <c r="AQ1764" s="93">
        <f>Tab1SDataShiftSummary[[#This Row],[Summary15]]-Tab1SDataShiftSummary[[#This Row],[Summary14]]</f>
        <v>569058.08100000024</v>
      </c>
      <c r="AR1764" s="93">
        <f>Tab1SDataShiftSummary[[#This Row],[Summary16]]-Tab1SDataShiftSummary[[#This Row],[Summary15]]</f>
        <v>240045.7894000113</v>
      </c>
      <c r="AS1764" s="93">
        <f>Tab1SDataShiftSummary[[#This Row],[Summary17]]-Tab1SDataShiftSummary[[#This Row],[Summary16]]</f>
        <v>192370.22274199128</v>
      </c>
      <c r="AT1764" s="93">
        <f>Tab1SDataShiftSummary[[#This Row],[Summary18]]-Tab1SDataShiftSummary[[#This Row],[Summary17]]</f>
        <v>-327833.87488001585</v>
      </c>
      <c r="AU1764" s="93">
        <f>Tab1SDataShiftSummary[[#This Row],[Summary19]]-Tab1SDataShiftSummary[[#This Row],[Summary18]]</f>
        <v>0</v>
      </c>
      <c r="AV1764" s="1540">
        <f ca="1">Tab1SDataShiftSummary[[#This Row],[Summary20]]-Tab1SDataShiftSummary[[#This Row],[Summary19]]</f>
        <v>0</v>
      </c>
      <c r="AY1764" s="720" t="s">
        <v>1905</v>
      </c>
      <c r="BA1764" s="943">
        <f ca="1">V3</f>
        <v>45974</v>
      </c>
      <c r="BB1764" s="943">
        <f ca="1">W3</f>
        <v>45975</v>
      </c>
      <c r="BC1764" s="943">
        <f ca="1">X3</f>
        <v>45978</v>
      </c>
      <c r="BD1764" s="943">
        <f ca="1">Y3</f>
        <v>45979</v>
      </c>
      <c r="BE1764" s="944">
        <f ca="1">Z3</f>
        <v>45980</v>
      </c>
      <c r="BF1764" s="1037" t="s">
        <v>2488</v>
      </c>
    </row>
    <row r="1765" spans="1:58" ht="23" thickBot="1" x14ac:dyDescent="0.35">
      <c r="A1765">
        <v>12</v>
      </c>
      <c r="B1765" s="1479" t="s">
        <v>2286</v>
      </c>
      <c r="C1765" t="s">
        <v>2295</v>
      </c>
      <c r="E1765"/>
      <c r="F1765" s="308">
        <v>0.72875386030182099</v>
      </c>
      <c r="G1765" s="308">
        <v>0.74491082360787753</v>
      </c>
      <c r="H1765" s="308">
        <v>0.73772909352612392</v>
      </c>
      <c r="I1765" s="308">
        <v>0.71425566694656917</v>
      </c>
      <c r="J1765" s="308">
        <v>0.77134168730793429</v>
      </c>
      <c r="K1765" s="308">
        <v>0.77822264833896904</v>
      </c>
      <c r="L1765" s="308">
        <v>0.89807553296545883</v>
      </c>
      <c r="M1765" s="308">
        <v>0.8980487130051682</v>
      </c>
      <c r="N1765" s="308">
        <v>0.95454179460209709</v>
      </c>
      <c r="O1765" s="308">
        <v>1.003891489123178</v>
      </c>
      <c r="P1765" s="308">
        <v>1.013615751924372</v>
      </c>
      <c r="Q1765" s="308">
        <v>1.0192905292749683</v>
      </c>
      <c r="R1765" s="308">
        <v>0.99133353094625287</v>
      </c>
      <c r="S1765" s="308">
        <v>0.93455603496081519</v>
      </c>
      <c r="T1765" s="308">
        <v>0.95433568839583738</v>
      </c>
      <c r="U1765" s="308">
        <v>0.92137188391584224</v>
      </c>
      <c r="V1765" s="308">
        <v>0.90935069617636244</v>
      </c>
      <c r="W1765" s="308">
        <v>0.8734698580742184</v>
      </c>
      <c r="X1765" s="308">
        <v>0.80812499575189378</v>
      </c>
      <c r="Y1765" s="308">
        <v>0.80034812945906753</v>
      </c>
      <c r="Z1765" s="308">
        <f ca="1">Z1757/ABS(Z1756)</f>
        <v>0.80034812945906753</v>
      </c>
      <c r="AB1765" s="308">
        <f ca="1">Tab1SDataShiftSummary[[#This Row],[Summary0]]-Tab1SDataShiftSummary[[#This Row],[Summary20]]</f>
        <v>-7.1594269157246537E-2</v>
      </c>
      <c r="AC1765" s="308">
        <f>Tab1SDataShiftSummary[[#This Row],[Summary1]]-Tab1SDataShiftSummary[[#This Row],[Summary0]]</f>
        <v>1.6156963306056538E-2</v>
      </c>
      <c r="AD1765" s="308">
        <f>Tab1SDataShiftSummary[[#This Row],[Summary2]]-Tab1SDataShiftSummary[[#This Row],[Summary1]]</f>
        <v>-7.1817300817536012E-3</v>
      </c>
      <c r="AE1765" s="308">
        <f>Tab1SDataShiftSummary[[#This Row],[Summary3]]-Tab1SDataShiftSummary[[#This Row],[Summary2]]</f>
        <v>-2.3473426579554757E-2</v>
      </c>
      <c r="AF1765" s="308">
        <f>Tab1SDataShiftSummary[[#This Row],[Summary4]]-Tab1SDataShiftSummary[[#This Row],[Summary3]]</f>
        <v>5.708602036136512E-2</v>
      </c>
      <c r="AG1765" s="308">
        <f>Tab1SDataShiftSummary[[#This Row],[Summary5]]-Tab1SDataShiftSummary[[#This Row],[Summary4]]</f>
        <v>6.8809610310347491E-3</v>
      </c>
      <c r="AH1765" s="308">
        <f>Tab1SDataShiftSummary[[#This Row],[Summary6]]-Tab1SDataShiftSummary[[#This Row],[Summary5]]</f>
        <v>0.1198528846264898</v>
      </c>
      <c r="AI1765" s="308">
        <f>Tab1SDataShiftSummary[[#This Row],[Summary7]]-Tab1SDataShiftSummary[[#This Row],[Summary6]]</f>
        <v>-2.6819960290636047E-5</v>
      </c>
      <c r="AJ1765" s="308">
        <f>Tab1SDataShiftSummary[[#This Row],[Summary8]]-Tab1SDataShiftSummary[[#This Row],[Summary7]]</f>
        <v>5.6493081596928896E-2</v>
      </c>
      <c r="AK1765" s="308">
        <f>Tab1SDataShiftSummary[[#This Row],[Summary9]]-Tab1SDataShiftSummary[[#This Row],[Summary8]]</f>
        <v>4.9349694521080956E-2</v>
      </c>
      <c r="AL1765" s="308">
        <f>Tab1SDataShiftSummary[[#This Row],[Summary10]]-Tab1SDataShiftSummary[[#This Row],[Summary9]]</f>
        <v>9.7242628011939836E-3</v>
      </c>
      <c r="AM1765" s="308">
        <f>Tab1SDataShiftSummary[[#This Row],[Summary11]]-Tab1SDataShiftSummary[[#This Row],[Summary10]]</f>
        <v>5.674777350596294E-3</v>
      </c>
      <c r="AN1765" s="308">
        <f>Tab1SDataShiftSummary[[#This Row],[Summary12]]-Tab1SDataShiftSummary[[#This Row],[Summary11]]</f>
        <v>-2.7956998328715454E-2</v>
      </c>
      <c r="AO1765" s="308">
        <f>Tab1SDataShiftSummary[[#This Row],[Summary13]]-Tab1SDataShiftSummary[[#This Row],[Summary12]]</f>
        <v>-5.6777495985437687E-2</v>
      </c>
      <c r="AP1765" s="308">
        <f>Tab1SDataShiftSummary[[#This Row],[Summary14]]-Tab1SDataShiftSummary[[#This Row],[Summary13]]</f>
        <v>1.9779653435022193E-2</v>
      </c>
      <c r="AQ1765" s="308">
        <f>Tab1SDataShiftSummary[[#This Row],[Summary15]]-Tab1SDataShiftSummary[[#This Row],[Summary14]]</f>
        <v>-3.296380447999514E-2</v>
      </c>
      <c r="AR1765" s="308">
        <f>Tab1SDataShiftSummary[[#This Row],[Summary16]]-Tab1SDataShiftSummary[[#This Row],[Summary15]]</f>
        <v>-1.2021187739479799E-2</v>
      </c>
      <c r="AS1765" s="308">
        <f>Tab1SDataShiftSummary[[#This Row],[Summary17]]-Tab1SDataShiftSummary[[#This Row],[Summary16]]</f>
        <v>-3.5880838102144041E-2</v>
      </c>
      <c r="AT1765" s="308">
        <f>Tab1SDataShiftSummary[[#This Row],[Summary18]]-Tab1SDataShiftSummary[[#This Row],[Summary17]]</f>
        <v>-6.5344862322324615E-2</v>
      </c>
      <c r="AU1765" s="308">
        <f>Tab1SDataShiftSummary[[#This Row],[Summary19]]-Tab1SDataShiftSummary[[#This Row],[Summary18]]</f>
        <v>-7.7768662928262566E-3</v>
      </c>
      <c r="AV1765" s="1541">
        <f ca="1">Tab1SDataShiftSummary[[#This Row],[Summary20]]-Tab1SDataShiftSummary[[#This Row],[Summary19]]</f>
        <v>0</v>
      </c>
      <c r="AX1765" s="603" t="s">
        <v>2483</v>
      </c>
      <c r="AY1765" s="720" t="s">
        <v>2286</v>
      </c>
      <c r="BA1765" s="1040" t="s">
        <v>2304</v>
      </c>
      <c r="BB1765" s="1040" t="s">
        <v>2304</v>
      </c>
      <c r="BC1765" s="1040" t="s">
        <v>2304</v>
      </c>
      <c r="BD1765" s="1040" t="s">
        <v>2304</v>
      </c>
      <c r="BE1765" s="1040" t="s">
        <v>2304</v>
      </c>
      <c r="BF1765" s="1038">
        <f ca="1">SUM(BF1766:BF1769)</f>
        <v>42728</v>
      </c>
    </row>
    <row r="1766" spans="1:58" x14ac:dyDescent="0.3">
      <c r="A1766">
        <v>13</v>
      </c>
      <c r="B1766" s="720" t="s">
        <v>1134</v>
      </c>
      <c r="C1766"/>
      <c r="E1766"/>
      <c r="F1766" s="725">
        <v>9633847.4800000004</v>
      </c>
      <c r="G1766" s="725">
        <v>9770928.3900000006</v>
      </c>
      <c r="H1766" s="725">
        <v>9693566.5800000001</v>
      </c>
      <c r="I1766" s="725">
        <v>9634126.2100000009</v>
      </c>
      <c r="J1766" s="725">
        <v>9743778.7199999988</v>
      </c>
      <c r="K1766" s="725">
        <v>9746255.7699999996</v>
      </c>
      <c r="L1766" s="725">
        <v>9681265.0700000003</v>
      </c>
      <c r="M1766" s="725">
        <v>9681265.0700000003</v>
      </c>
      <c r="N1766" s="725">
        <v>9737065.8000000007</v>
      </c>
      <c r="O1766" s="725">
        <v>9604053.4299999997</v>
      </c>
      <c r="P1766" s="725">
        <v>9557841.25</v>
      </c>
      <c r="Q1766" s="725">
        <v>9550742.0899999999</v>
      </c>
      <c r="R1766" s="725">
        <v>9592998.629999999</v>
      </c>
      <c r="S1766" s="725">
        <v>9356916.3900000006</v>
      </c>
      <c r="T1766" s="725">
        <v>9564480.5600000005</v>
      </c>
      <c r="U1766" s="725">
        <v>9000538.870000001</v>
      </c>
      <c r="V1766" s="725">
        <v>8897641.1099999994</v>
      </c>
      <c r="W1766" s="725">
        <v>8534128.379999999</v>
      </c>
      <c r="X1766" s="725">
        <v>8865193.9299999997</v>
      </c>
      <c r="Y1766" s="725">
        <v>9035082.7300000004</v>
      </c>
      <c r="Z1766" s="725">
        <f ca="1">Z1724+Z1745</f>
        <v>9035082.7300000004</v>
      </c>
      <c r="AB1766" s="93">
        <f ca="1">Tab1SDataShiftSummary[[#This Row],[Summary0]]-Tab1SDataShiftSummary[[#This Row],[Summary20]]</f>
        <v>598764.75</v>
      </c>
      <c r="AC1766" s="93">
        <f>Tab1SDataShiftSummary[[#This Row],[Summary1]]-Tab1SDataShiftSummary[[#This Row],[Summary0]]</f>
        <v>137080.91000000015</v>
      </c>
      <c r="AD1766" s="93">
        <f>Tab1SDataShiftSummary[[#This Row],[Summary2]]-Tab1SDataShiftSummary[[#This Row],[Summary1]]</f>
        <v>-77361.810000000522</v>
      </c>
      <c r="AE1766" s="93">
        <f>Tab1SDataShiftSummary[[#This Row],[Summary3]]-Tab1SDataShiftSummary[[#This Row],[Summary2]]</f>
        <v>-59440.36999999918</v>
      </c>
      <c r="AF1766" s="93">
        <f>Tab1SDataShiftSummary[[#This Row],[Summary4]]-Tab1SDataShiftSummary[[#This Row],[Summary3]]</f>
        <v>109652.50999999791</v>
      </c>
      <c r="AG1766" s="93">
        <f>Tab1SDataShiftSummary[[#This Row],[Summary5]]-Tab1SDataShiftSummary[[#This Row],[Summary4]]</f>
        <v>2477.0500000007451</v>
      </c>
      <c r="AH1766" s="93">
        <f>Tab1SDataShiftSummary[[#This Row],[Summary6]]-Tab1SDataShiftSummary[[#This Row],[Summary5]]</f>
        <v>-64990.699999999255</v>
      </c>
      <c r="AI1766" s="93">
        <f>Tab1SDataShiftSummary[[#This Row],[Summary7]]-Tab1SDataShiftSummary[[#This Row],[Summary6]]</f>
        <v>0</v>
      </c>
      <c r="AJ1766" s="93">
        <f>Tab1SDataShiftSummary[[#This Row],[Summary8]]-Tab1SDataShiftSummary[[#This Row],[Summary7]]</f>
        <v>55800.730000000447</v>
      </c>
      <c r="AK1766" s="93">
        <f>Tab1SDataShiftSummary[[#This Row],[Summary9]]-Tab1SDataShiftSummary[[#This Row],[Summary8]]</f>
        <v>-133012.37000000104</v>
      </c>
      <c r="AL1766" s="93">
        <f>Tab1SDataShiftSummary[[#This Row],[Summary10]]-Tab1SDataShiftSummary[[#This Row],[Summary9]]</f>
        <v>-46212.179999999702</v>
      </c>
      <c r="AM1766" s="93">
        <f>Tab1SDataShiftSummary[[#This Row],[Summary11]]-Tab1SDataShiftSummary[[#This Row],[Summary10]]</f>
        <v>-7099.160000000149</v>
      </c>
      <c r="AN1766" s="93">
        <f>Tab1SDataShiftSummary[[#This Row],[Summary12]]-Tab1SDataShiftSummary[[#This Row],[Summary11]]</f>
        <v>42256.539999999106</v>
      </c>
      <c r="AO1766" s="93">
        <f>Tab1SDataShiftSummary[[#This Row],[Summary13]]-Tab1SDataShiftSummary[[#This Row],[Summary12]]</f>
        <v>-236082.23999999836</v>
      </c>
      <c r="AP1766" s="93">
        <f>Tab1SDataShiftSummary[[#This Row],[Summary14]]-Tab1SDataShiftSummary[[#This Row],[Summary13]]</f>
        <v>207564.16999999993</v>
      </c>
      <c r="AQ1766" s="93">
        <f>Tab1SDataShiftSummary[[#This Row],[Summary15]]-Tab1SDataShiftSummary[[#This Row],[Summary14]]</f>
        <v>-563941.68999999948</v>
      </c>
      <c r="AR1766" s="93">
        <f>Tab1SDataShiftSummary[[#This Row],[Summary16]]-Tab1SDataShiftSummary[[#This Row],[Summary15]]</f>
        <v>-102897.76000000164</v>
      </c>
      <c r="AS1766" s="93">
        <f>Tab1SDataShiftSummary[[#This Row],[Summary17]]-Tab1SDataShiftSummary[[#This Row],[Summary16]]</f>
        <v>-363512.73000000045</v>
      </c>
      <c r="AT1766" s="93">
        <f>Tab1SDataShiftSummary[[#This Row],[Summary18]]-Tab1SDataShiftSummary[[#This Row],[Summary17]]</f>
        <v>331065.55000000075</v>
      </c>
      <c r="AU1766" s="93">
        <f>Tab1SDataShiftSummary[[#This Row],[Summary19]]-Tab1SDataShiftSummary[[#This Row],[Summary18]]</f>
        <v>169888.80000000075</v>
      </c>
      <c r="AV1766" s="1540">
        <f ca="1">Tab1SDataShiftSummary[[#This Row],[Summary20]]-Tab1SDataShiftSummary[[#This Row],[Summary19]]</f>
        <v>0</v>
      </c>
      <c r="AW1766" s="1" t="s">
        <v>2279</v>
      </c>
      <c r="AX1766" s="1048">
        <f ca="1">AV1766+BE1766</f>
        <v>0</v>
      </c>
      <c r="AY1766" s="1007" t="s">
        <v>1134</v>
      </c>
      <c r="BA1766" s="945" cm="1">
        <f t="array" aca="1" ref="BA1766" ca="1">SUMPRODUCT(
  (Entries!$A$554:$A$799 = BA$1764) *
  (Entries!$J$554:$J$799= Entries!$K33) *
  --(Entries!$E$554:$E$799)
)</f>
        <v>-45450</v>
      </c>
      <c r="BB1766" s="945" cm="1">
        <f t="array" aca="1" ref="BB1766" ca="1">SUMPRODUCT(
  (Entries!$A$554:$A$799 = BB$1764) *
  (Entries!$J$554:$J$799= Entries!$K33) *
  --(Entries!$E$554:$E$799)
)</f>
        <v>-88670</v>
      </c>
      <c r="BC1766" s="945" cm="1">
        <f t="array" aca="1" ref="BC1766" ca="1">SUMPRODUCT(
  (Entries!$A$554:$A$799 = BC$1764) *
  (Entries!$J$554:$J$799= Entries!$K33) *
  --(Entries!$E$554:$E$799)
)</f>
        <v>0</v>
      </c>
      <c r="BD1766" s="945" cm="1">
        <f t="array" aca="1" ref="BD1766" ca="1">SUMPRODUCT(
  (Entries!$A$554:$A$799 = BD$1764) *
  (Entries!$J$554:$J$799= Entries!$K33) *
  --(Entries!$E$554:$E$799)
)</f>
        <v>0</v>
      </c>
      <c r="BE1766" s="945" cm="1">
        <f t="array" aca="1" ref="BE1766" ca="1">SUMPRODUCT(
  (Entries!$A$603:$A$799 = BE$1764) *
  (Entries!$J$603:$J$799= Entries!$K33) *
  --(Entries!$E$603:$E$799)
)</f>
        <v>0</v>
      </c>
      <c r="BF1766" s="1039">
        <f ca="1">SUM(BA1766:BE1766)</f>
        <v>-134120</v>
      </c>
    </row>
    <row r="1767" spans="1:58" x14ac:dyDescent="0.3">
      <c r="A1767">
        <v>14</v>
      </c>
      <c r="B1767" s="720" t="s">
        <v>1131</v>
      </c>
      <c r="C1767"/>
      <c r="E1767"/>
      <c r="F1767" s="725">
        <v>20844785.359999999</v>
      </c>
      <c r="G1767" s="725">
        <v>20872776.535499997</v>
      </c>
      <c r="H1767" s="725">
        <v>20739412.32</v>
      </c>
      <c r="I1767" s="725">
        <v>20414050.5</v>
      </c>
      <c r="J1767" s="725">
        <v>20785760.149999999</v>
      </c>
      <c r="K1767" s="725">
        <v>20756488.979999997</v>
      </c>
      <c r="L1767" s="725">
        <v>22192524.02</v>
      </c>
      <c r="M1767" s="725">
        <v>22192259.02</v>
      </c>
      <c r="N1767" s="725">
        <v>22716069.519999992</v>
      </c>
      <c r="O1767" s="725">
        <v>23605553.054999996</v>
      </c>
      <c r="P1767" s="725">
        <v>23673016.335000001</v>
      </c>
      <c r="Q1767" s="725">
        <v>23830911.329999998</v>
      </c>
      <c r="R1767" s="725">
        <v>23546792.380000003</v>
      </c>
      <c r="S1767" s="725">
        <v>23928454.629999999</v>
      </c>
      <c r="T1767" s="725">
        <v>23788493.198000003</v>
      </c>
      <c r="U1767" s="725">
        <v>23307787.516100001</v>
      </c>
      <c r="V1767" s="725">
        <v>23055959.364999995</v>
      </c>
      <c r="W1767" s="725">
        <v>23037233.600000001</v>
      </c>
      <c r="X1767" s="725">
        <v>22478420.879799999</v>
      </c>
      <c r="Y1767" s="725">
        <v>22258267.859399997</v>
      </c>
      <c r="Z1767" s="725">
        <f ca="1">Z1725+Z1746</f>
        <v>22258267.859399997</v>
      </c>
      <c r="AB1767" s="93">
        <f ca="1">Tab1SDataShiftSummary[[#This Row],[Summary0]]-Tab1SDataShiftSummary[[#This Row],[Summary20]]</f>
        <v>-1413482.4993999973</v>
      </c>
      <c r="AC1767" s="93">
        <f>Tab1SDataShiftSummary[[#This Row],[Summary1]]-Tab1SDataShiftSummary[[#This Row],[Summary0]]</f>
        <v>27991.175499998033</v>
      </c>
      <c r="AD1767" s="93">
        <f>Tab1SDataShiftSummary[[#This Row],[Summary2]]-Tab1SDataShiftSummary[[#This Row],[Summary1]]</f>
        <v>-133364.21549999714</v>
      </c>
      <c r="AE1767" s="93">
        <f>Tab1SDataShiftSummary[[#This Row],[Summary3]]-Tab1SDataShiftSummary[[#This Row],[Summary2]]</f>
        <v>-325361.8200000003</v>
      </c>
      <c r="AF1767" s="93">
        <f>Tab1SDataShiftSummary[[#This Row],[Summary4]]-Tab1SDataShiftSummary[[#This Row],[Summary3]]</f>
        <v>371709.64999999851</v>
      </c>
      <c r="AG1767" s="93">
        <f>Tab1SDataShiftSummary[[#This Row],[Summary5]]-Tab1SDataShiftSummary[[#This Row],[Summary4]]</f>
        <v>-29271.170000001788</v>
      </c>
      <c r="AH1767" s="93">
        <f>Tab1SDataShiftSummary[[#This Row],[Summary6]]-Tab1SDataShiftSummary[[#This Row],[Summary5]]</f>
        <v>1436035.0400000028</v>
      </c>
      <c r="AI1767" s="93">
        <f>Tab1SDataShiftSummary[[#This Row],[Summary7]]-Tab1SDataShiftSummary[[#This Row],[Summary6]]</f>
        <v>-265</v>
      </c>
      <c r="AJ1767" s="93">
        <f>Tab1SDataShiftSummary[[#This Row],[Summary8]]-Tab1SDataShiftSummary[[#This Row],[Summary7]]</f>
        <v>523810.49999999255</v>
      </c>
      <c r="AK1767" s="93">
        <f>Tab1SDataShiftSummary[[#This Row],[Summary9]]-Tab1SDataShiftSummary[[#This Row],[Summary8]]</f>
        <v>889483.53500000387</v>
      </c>
      <c r="AL1767" s="93">
        <f>Tab1SDataShiftSummary[[#This Row],[Summary10]]-Tab1SDataShiftSummary[[#This Row],[Summary9]]</f>
        <v>67463.280000004917</v>
      </c>
      <c r="AM1767" s="93">
        <f>Tab1SDataShiftSummary[[#This Row],[Summary11]]-Tab1SDataShiftSummary[[#This Row],[Summary10]]</f>
        <v>157894.99499999732</v>
      </c>
      <c r="AN1767" s="93">
        <f>Tab1SDataShiftSummary[[#This Row],[Summary12]]-Tab1SDataShiftSummary[[#This Row],[Summary11]]</f>
        <v>-284118.94999999553</v>
      </c>
      <c r="AO1767" s="93">
        <f>Tab1SDataShiftSummary[[#This Row],[Summary13]]-Tab1SDataShiftSummary[[#This Row],[Summary12]]</f>
        <v>381662.24999999627</v>
      </c>
      <c r="AP1767" s="93">
        <f>Tab1SDataShiftSummary[[#This Row],[Summary14]]-Tab1SDataShiftSummary[[#This Row],[Summary13]]</f>
        <v>-139961.4319999963</v>
      </c>
      <c r="AQ1767" s="93">
        <f>Tab1SDataShiftSummary[[#This Row],[Summary15]]-Tab1SDataShiftSummary[[#This Row],[Summary14]]</f>
        <v>-480705.68190000206</v>
      </c>
      <c r="AR1767" s="93">
        <f>Tab1SDataShiftSummary[[#This Row],[Summary16]]-Tab1SDataShiftSummary[[#This Row],[Summary15]]</f>
        <v>-251828.15110000595</v>
      </c>
      <c r="AS1767" s="93">
        <f>Tab1SDataShiftSummary[[#This Row],[Summary17]]-Tab1SDataShiftSummary[[#This Row],[Summary16]]</f>
        <v>-18725.764999993145</v>
      </c>
      <c r="AT1767" s="93">
        <f>Tab1SDataShiftSummary[[#This Row],[Summary18]]-Tab1SDataShiftSummary[[#This Row],[Summary17]]</f>
        <v>-558812.72020000219</v>
      </c>
      <c r="AU1767" s="93">
        <f>Tab1SDataShiftSummary[[#This Row],[Summary19]]-Tab1SDataShiftSummary[[#This Row],[Summary18]]</f>
        <v>-220153.0204000026</v>
      </c>
      <c r="AV1767" s="1540">
        <f ca="1">Tab1SDataShiftSummary[[#This Row],[Summary20]]-Tab1SDataShiftSummary[[#This Row],[Summary19]]</f>
        <v>0</v>
      </c>
      <c r="AW1767" s="1" t="s">
        <v>2279</v>
      </c>
      <c r="AX1767" s="1049">
        <f ca="1">AV1767+BE1767</f>
        <v>0</v>
      </c>
      <c r="AY1767" s="1008" t="s">
        <v>1131</v>
      </c>
      <c r="BA1767" s="588" cm="1">
        <f t="array" aca="1" ref="BA1767" ca="1">SUMPRODUCT(
  (Entries!$A$554:$A$799 = BA$1764) *
  (Entries!$J$554:$J$799= Entries!$K34) *
  --(Entries!$E$554:$E$799)
)</f>
        <v>0</v>
      </c>
      <c r="BB1767" s="588" cm="1">
        <f t="array" aca="1" ref="BB1767" ca="1">SUMPRODUCT(
  (Entries!$A$554:$A$799 = BB$1764) *
  (Entries!$J$554:$J$799= Entries!$K34) *
  --(Entries!$E$554:$E$799)
)</f>
        <v>0</v>
      </c>
      <c r="BC1767" s="588" cm="1">
        <f t="array" aca="1" ref="BC1767" ca="1">SUMPRODUCT(
  (Entries!$A$554:$A$799 = BC$1764) *
  (Entries!$J$554:$J$799= Entries!$K34) *
  --(Entries!$E$554:$E$799)
)</f>
        <v>136928</v>
      </c>
      <c r="BD1767" s="588" cm="1">
        <f t="array" aca="1" ref="BD1767" ca="1">SUMPRODUCT(
  (Entries!$A$554:$A$799 = BD$1764) *
  (Entries!$J$554:$J$799= Entries!$K34) *
  --(Entries!$E$554:$E$799)
)</f>
        <v>0</v>
      </c>
      <c r="BE1767" s="588" cm="1">
        <f t="array" aca="1" ref="BE1767" ca="1">SUMPRODUCT(
  (Entries!$A$603:$A$799 = BE$1764) *
  (Entries!$J$603:$J$799= Entries!$K34) *
  --(Entries!$E$603:$E$799)
)</f>
        <v>0</v>
      </c>
      <c r="BF1767" s="1034">
        <f t="shared" ref="BF1767:BF1769" ca="1" si="139">SUM(BA1767:BE1767)</f>
        <v>136928</v>
      </c>
    </row>
    <row r="1768" spans="1:58" x14ac:dyDescent="0.3">
      <c r="A1768">
        <v>15</v>
      </c>
      <c r="B1768" s="720" t="s">
        <v>1445</v>
      </c>
      <c r="C1768"/>
      <c r="E1768"/>
      <c r="F1768" s="725">
        <v>1531460</v>
      </c>
      <c r="G1768" s="725">
        <v>1515500</v>
      </c>
      <c r="H1768" s="725">
        <v>1507200</v>
      </c>
      <c r="I1768" s="725">
        <v>1478440</v>
      </c>
      <c r="J1768" s="725">
        <v>1491660</v>
      </c>
      <c r="K1768" s="725">
        <v>1489840</v>
      </c>
      <c r="L1768" s="725">
        <v>1429850</v>
      </c>
      <c r="M1768" s="725">
        <v>1429850</v>
      </c>
      <c r="N1768" s="725">
        <v>1395630</v>
      </c>
      <c r="O1768" s="725">
        <v>1341390</v>
      </c>
      <c r="P1768" s="725">
        <v>1327667</v>
      </c>
      <c r="Q1768" s="725">
        <v>1287160</v>
      </c>
      <c r="R1768" s="725">
        <v>1279855</v>
      </c>
      <c r="S1768" s="725">
        <v>1146990</v>
      </c>
      <c r="T1768" s="725">
        <v>1075190</v>
      </c>
      <c r="U1768" s="725">
        <v>1045960</v>
      </c>
      <c r="V1768" s="725">
        <v>910780</v>
      </c>
      <c r="W1768" s="725">
        <v>898900</v>
      </c>
      <c r="X1768" s="725">
        <v>875529</v>
      </c>
      <c r="Y1768" s="725">
        <v>885230</v>
      </c>
      <c r="Z1768" s="725">
        <f ca="1">Z1726+Z1747</f>
        <v>885230</v>
      </c>
      <c r="AB1768" s="93">
        <f ca="1">Tab1SDataShiftSummary[[#This Row],[Summary0]]-Tab1SDataShiftSummary[[#This Row],[Summary20]]</f>
        <v>646230</v>
      </c>
      <c r="AC1768" s="93">
        <f>Tab1SDataShiftSummary[[#This Row],[Summary1]]-Tab1SDataShiftSummary[[#This Row],[Summary0]]</f>
        <v>-15960</v>
      </c>
      <c r="AD1768" s="93">
        <f>Tab1SDataShiftSummary[[#This Row],[Summary2]]-Tab1SDataShiftSummary[[#This Row],[Summary1]]</f>
        <v>-8300</v>
      </c>
      <c r="AE1768" s="93">
        <f>Tab1SDataShiftSummary[[#This Row],[Summary3]]-Tab1SDataShiftSummary[[#This Row],[Summary2]]</f>
        <v>-28760</v>
      </c>
      <c r="AF1768" s="93">
        <f>Tab1SDataShiftSummary[[#This Row],[Summary4]]-Tab1SDataShiftSummary[[#This Row],[Summary3]]</f>
        <v>13220</v>
      </c>
      <c r="AG1768" s="93">
        <f>Tab1SDataShiftSummary[[#This Row],[Summary5]]-Tab1SDataShiftSummary[[#This Row],[Summary4]]</f>
        <v>-1820</v>
      </c>
      <c r="AH1768" s="93">
        <f>Tab1SDataShiftSummary[[#This Row],[Summary6]]-Tab1SDataShiftSummary[[#This Row],[Summary5]]</f>
        <v>-59990</v>
      </c>
      <c r="AI1768" s="93">
        <f>Tab1SDataShiftSummary[[#This Row],[Summary7]]-Tab1SDataShiftSummary[[#This Row],[Summary6]]</f>
        <v>0</v>
      </c>
      <c r="AJ1768" s="93">
        <f>Tab1SDataShiftSummary[[#This Row],[Summary8]]-Tab1SDataShiftSummary[[#This Row],[Summary7]]</f>
        <v>-34220</v>
      </c>
      <c r="AK1768" s="93">
        <f>Tab1SDataShiftSummary[[#This Row],[Summary9]]-Tab1SDataShiftSummary[[#This Row],[Summary8]]</f>
        <v>-54240</v>
      </c>
      <c r="AL1768" s="93">
        <f>Tab1SDataShiftSummary[[#This Row],[Summary10]]-Tab1SDataShiftSummary[[#This Row],[Summary9]]</f>
        <v>-13723</v>
      </c>
      <c r="AM1768" s="93">
        <f>Tab1SDataShiftSummary[[#This Row],[Summary11]]-Tab1SDataShiftSummary[[#This Row],[Summary10]]</f>
        <v>-40507</v>
      </c>
      <c r="AN1768" s="93">
        <f>Tab1SDataShiftSummary[[#This Row],[Summary12]]-Tab1SDataShiftSummary[[#This Row],[Summary11]]</f>
        <v>-7305</v>
      </c>
      <c r="AO1768" s="93">
        <f>Tab1SDataShiftSummary[[#This Row],[Summary13]]-Tab1SDataShiftSummary[[#This Row],[Summary12]]</f>
        <v>-132865</v>
      </c>
      <c r="AP1768" s="93">
        <f>Tab1SDataShiftSummary[[#This Row],[Summary14]]-Tab1SDataShiftSummary[[#This Row],[Summary13]]</f>
        <v>-71800</v>
      </c>
      <c r="AQ1768" s="93">
        <f>Tab1SDataShiftSummary[[#This Row],[Summary15]]-Tab1SDataShiftSummary[[#This Row],[Summary14]]</f>
        <v>-29230</v>
      </c>
      <c r="AR1768" s="93">
        <f>Tab1SDataShiftSummary[[#This Row],[Summary16]]-Tab1SDataShiftSummary[[#This Row],[Summary15]]</f>
        <v>-135180</v>
      </c>
      <c r="AS1768" s="93">
        <f>Tab1SDataShiftSummary[[#This Row],[Summary17]]-Tab1SDataShiftSummary[[#This Row],[Summary16]]</f>
        <v>-11880</v>
      </c>
      <c r="AT1768" s="93">
        <f>Tab1SDataShiftSummary[[#This Row],[Summary18]]-Tab1SDataShiftSummary[[#This Row],[Summary17]]</f>
        <v>-23371</v>
      </c>
      <c r="AU1768" s="93">
        <f>Tab1SDataShiftSummary[[#This Row],[Summary19]]-Tab1SDataShiftSummary[[#This Row],[Summary18]]</f>
        <v>9701</v>
      </c>
      <c r="AV1768" s="1540">
        <f ca="1">Tab1SDataShiftSummary[[#This Row],[Summary20]]-Tab1SDataShiftSummary[[#This Row],[Summary19]]</f>
        <v>0</v>
      </c>
      <c r="AW1768" s="1" t="s">
        <v>2279</v>
      </c>
      <c r="AX1768" s="1049">
        <f ca="1">AV1768+BE1768</f>
        <v>0</v>
      </c>
      <c r="AY1768" s="1008" t="s">
        <v>1445</v>
      </c>
      <c r="BA1768" s="588" cm="1">
        <f t="array" aca="1" ref="BA1768" ca="1">SUMPRODUCT(
  (Entries!$A$554:$A$799 = BA$1764) *
  (Entries!$J$554:$J$799= Entries!$K35) *
  --(Entries!$E$554:$E$799)
)</f>
        <v>39920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34">
        <f t="shared" ca="1" si="139"/>
        <v>39920</v>
      </c>
    </row>
    <row r="1769" spans="1:58" ht="23" thickBot="1" x14ac:dyDescent="0.35">
      <c r="A1769">
        <v>16</v>
      </c>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1540">
        <f ca="1">Tab1SDataShiftSummary[[#This Row],[Summary20]]-Tab1SDataShiftSummary[[#This Row],[Summary19]]</f>
        <v>0</v>
      </c>
      <c r="AW1769" s="1" t="s">
        <v>2279</v>
      </c>
      <c r="AX1769" s="1050">
        <f ca="1">AV1769+BE1769</f>
        <v>0</v>
      </c>
      <c r="AY1769" s="1009" t="s">
        <v>1133</v>
      </c>
      <c r="BA1769" s="942" cm="1">
        <f t="array" aca="1" ref="BA1769" ca="1">SUMPRODUCT(
  (Entries!$A$554:$A$799 = BA$1764) *
  (Entries!$J$554:$J$799= Entries!$K36) *
  --(Entries!$E$554:$E$799)
)</f>
        <v>0</v>
      </c>
      <c r="BB1769" s="942" cm="1">
        <f t="array" aca="1" ref="BB1769" ca="1">SUMPRODUCT(
  (Entries!$A$554:$A$799 = BB$1764) *
  (Entries!$J$554:$J$799= Entries!$K36) *
  --(Entries!$E$554:$E$799)
)</f>
        <v>0</v>
      </c>
      <c r="BC1769" s="942" cm="1">
        <f t="array" aca="1" ref="BC1769" ca="1">SUMPRODUCT(
  (Entries!$A$554:$A$799 = BC$1764) *
  (Entries!$J$554:$J$799= Entries!$K36) *
  --(Entries!$E$554:$E$799)
)</f>
        <v>0</v>
      </c>
      <c r="BD1769" s="942" cm="1">
        <f t="array" aca="1" ref="BD1769" ca="1">SUMPRODUCT(
  (Entries!$A$554:$A$799 = BD$1764) *
  (Entries!$J$554:$J$799= Entries!$K36) *
  --(Entries!$E$554:$E$799)
)</f>
        <v>0</v>
      </c>
      <c r="BE1769" s="942" cm="1">
        <f t="array" aca="1" ref="BE1769" ca="1">SUMPRODUCT(
  (Entries!$A$603:$A$799 = BE$1764) *
  (Entries!$J$603:$J$799= Entries!$K36) *
  --(Entries!$E$603:$E$799)
)</f>
        <v>0</v>
      </c>
      <c r="BF1769" s="1035">
        <f t="shared" ca="1" si="139"/>
        <v>0</v>
      </c>
    </row>
    <row r="1770" spans="1:58" ht="23" thickBot="1" x14ac:dyDescent="0.35">
      <c r="A1770">
        <v>17</v>
      </c>
      <c r="B1770" s="1479" t="s">
        <v>2283</v>
      </c>
      <c r="C1770"/>
      <c r="E1770"/>
      <c r="F1770" s="308">
        <v>1.2075005607596929</v>
      </c>
      <c r="G1770" s="308">
        <v>1.2360935506405986</v>
      </c>
      <c r="H1770" s="308">
        <v>1.2353149170133884</v>
      </c>
      <c r="I1770" s="308">
        <v>1.2332360426766886</v>
      </c>
      <c r="J1770" s="308">
        <v>1.3165043751708529</v>
      </c>
      <c r="K1770" s="308">
        <v>1.3208124479060086</v>
      </c>
      <c r="L1770" s="308">
        <v>1.2632297930977008</v>
      </c>
      <c r="M1770" s="308">
        <v>1.2632029731374101</v>
      </c>
      <c r="N1770" s="308">
        <v>1.2854415002437309</v>
      </c>
      <c r="O1770" s="308">
        <v>1.2671002810752738</v>
      </c>
      <c r="P1770" s="308">
        <v>1.2887250545853774</v>
      </c>
      <c r="Q1770" s="308">
        <v>1.2935402205970581</v>
      </c>
      <c r="R1770" s="308">
        <v>1.2583994698082217</v>
      </c>
      <c r="S1770" s="308">
        <v>1.1815869436544904</v>
      </c>
      <c r="T1770" s="308">
        <v>1.2083592983511118</v>
      </c>
      <c r="U1770" s="308">
        <v>1.2533812357210199</v>
      </c>
      <c r="V1770" s="308">
        <v>1.2774693963268815</v>
      </c>
      <c r="W1770" s="308">
        <v>1.2661738862469447</v>
      </c>
      <c r="X1770" s="308">
        <v>1.1501189278102462</v>
      </c>
      <c r="Y1770" s="308">
        <v>1.1254152649960198</v>
      </c>
      <c r="Z1770" s="308">
        <f ca="1">-Z1761/Z1756</f>
        <v>1.1254152649960198</v>
      </c>
      <c r="AB1770" s="308">
        <f ca="1">Tab1SDataShiftSummary[[#This Row],[Summary0]]-Tab1SDataShiftSummary[[#This Row],[Summary20]]</f>
        <v>8.2085295763673072E-2</v>
      </c>
      <c r="AC1770" s="308">
        <f>Tab1SDataShiftSummary[[#This Row],[Summary1]]-Tab1SDataShiftSummary[[#This Row],[Summary0]]</f>
        <v>2.8592989880905639E-2</v>
      </c>
      <c r="AD1770" s="308">
        <f>Tab1SDataShiftSummary[[#This Row],[Summary2]]-Tab1SDataShiftSummary[[#This Row],[Summary1]]</f>
        <v>-7.7863362721020124E-4</v>
      </c>
      <c r="AE1770" s="308">
        <f>Tab1SDataShiftSummary[[#This Row],[Summary3]]-Tab1SDataShiftSummary[[#This Row],[Summary2]]</f>
        <v>-2.078874336699732E-3</v>
      </c>
      <c r="AF1770" s="308">
        <f>Tab1SDataShiftSummary[[#This Row],[Summary4]]-Tab1SDataShiftSummary[[#This Row],[Summary3]]</f>
        <v>8.3268332494164321E-2</v>
      </c>
      <c r="AG1770" s="308">
        <f>Tab1SDataShiftSummary[[#This Row],[Summary5]]-Tab1SDataShiftSummary[[#This Row],[Summary4]]</f>
        <v>4.3080727351556547E-3</v>
      </c>
      <c r="AH1770" s="308">
        <f>Tab1SDataShiftSummary[[#This Row],[Summary6]]-Tab1SDataShiftSummary[[#This Row],[Summary5]]</f>
        <v>-5.758265480830782E-2</v>
      </c>
      <c r="AI1770" s="308">
        <f>Tab1SDataShiftSummary[[#This Row],[Summary7]]-Tab1SDataShiftSummary[[#This Row],[Summary6]]</f>
        <v>-2.6819960290636047E-5</v>
      </c>
      <c r="AJ1770" s="308">
        <f>Tab1SDataShiftSummary[[#This Row],[Summary8]]-Tab1SDataShiftSummary[[#This Row],[Summary7]]</f>
        <v>2.2238527106320793E-2</v>
      </c>
      <c r="AK1770" s="308">
        <f>Tab1SDataShiftSummary[[#This Row],[Summary9]]-Tab1SDataShiftSummary[[#This Row],[Summary8]]</f>
        <v>-1.8341219168457101E-2</v>
      </c>
      <c r="AL1770" s="308">
        <f>Tab1SDataShiftSummary[[#This Row],[Summary10]]-Tab1SDataShiftSummary[[#This Row],[Summary9]]</f>
        <v>2.1624773510103612E-2</v>
      </c>
      <c r="AM1770" s="308">
        <f>Tab1SDataShiftSummary[[#This Row],[Summary11]]-Tab1SDataShiftSummary[[#This Row],[Summary10]]</f>
        <v>4.8151660116806383E-3</v>
      </c>
      <c r="AN1770" s="308">
        <f>Tab1SDataShiftSummary[[#This Row],[Summary12]]-Tab1SDataShiftSummary[[#This Row],[Summary11]]</f>
        <v>-3.5140750788836383E-2</v>
      </c>
      <c r="AO1770" s="308">
        <f>Tab1SDataShiftSummary[[#This Row],[Summary13]]-Tab1SDataShiftSummary[[#This Row],[Summary12]]</f>
        <v>-7.6812526153731353E-2</v>
      </c>
      <c r="AP1770" s="308">
        <f>Tab1SDataShiftSummary[[#This Row],[Summary14]]-Tab1SDataShiftSummary[[#This Row],[Summary13]]</f>
        <v>2.6772354696621425E-2</v>
      </c>
      <c r="AQ1770" s="308">
        <f>Tab1SDataShiftSummary[[#This Row],[Summary15]]-Tab1SDataShiftSummary[[#This Row],[Summary14]]</f>
        <v>4.5021937369908116E-2</v>
      </c>
      <c r="AR1770" s="308">
        <f>Tab1SDataShiftSummary[[#This Row],[Summary16]]-Tab1SDataShiftSummary[[#This Row],[Summary15]]</f>
        <v>2.4088160605861608E-2</v>
      </c>
      <c r="AS1770" s="308">
        <f>Tab1SDataShiftSummary[[#This Row],[Summary17]]-Tab1SDataShiftSummary[[#This Row],[Summary16]]</f>
        <v>-1.1295510079936788E-2</v>
      </c>
      <c r="AT1770" s="308">
        <f>Tab1SDataShiftSummary[[#This Row],[Summary18]]-Tab1SDataShiftSummary[[#This Row],[Summary17]]</f>
        <v>-0.11605495843669855</v>
      </c>
      <c r="AU1770" s="308">
        <f>Tab1SDataShiftSummary[[#This Row],[Summary19]]-Tab1SDataShiftSummary[[#This Row],[Summary18]]</f>
        <v>-2.4703662814226313E-2</v>
      </c>
      <c r="AV1770" s="1541">
        <f ca="1">Tab1SDataShiftSummary[[#This Row],[Summary20]]-Tab1SDataShiftSummary[[#This Row],[Summary19]]</f>
        <v>0</v>
      </c>
      <c r="AX1770" s="1036">
        <f ca="1">SUM(AX1766:AX1769)</f>
        <v>0</v>
      </c>
      <c r="AY1770" s="720" t="s">
        <v>2126</v>
      </c>
      <c r="BA1770" s="93">
        <f ca="1">SUM(BA1766:BA1769)</f>
        <v>-5530</v>
      </c>
      <c r="BB1770" s="93">
        <f t="shared" ref="BB1770:BE1770" ca="1" si="140">SUM(BB1766:BB1769)</f>
        <v>-88670</v>
      </c>
      <c r="BC1770" s="93">
        <f t="shared" ca="1" si="140"/>
        <v>136928</v>
      </c>
      <c r="BD1770" s="93">
        <f t="shared" ca="1" si="140"/>
        <v>0</v>
      </c>
      <c r="BE1770" s="93">
        <f t="shared" ca="1" si="140"/>
        <v>0</v>
      </c>
    </row>
    <row r="1771" spans="1:58" x14ac:dyDescent="0.3">
      <c r="A1771">
        <v>18</v>
      </c>
      <c r="B1771" s="1479" t="s">
        <v>2285</v>
      </c>
      <c r="C1771"/>
      <c r="E1771"/>
      <c r="F1771" s="308">
        <v>0.60364678223174617</v>
      </c>
      <c r="G1771" s="308">
        <v>0.6194310324951583</v>
      </c>
      <c r="H1771" s="308">
        <v>0.61163431660860912</v>
      </c>
      <c r="I1771" s="308">
        <v>0.60320774235325492</v>
      </c>
      <c r="J1771" s="308">
        <v>0.64479018948886535</v>
      </c>
      <c r="K1771" s="308">
        <v>0.63514903104893494</v>
      </c>
      <c r="L1771" s="308">
        <v>0.57289599656508894</v>
      </c>
      <c r="M1771" s="308">
        <v>0.57288383326118131</v>
      </c>
      <c r="N1771" s="308">
        <v>0.57405148014651897</v>
      </c>
      <c r="O1771" s="308">
        <v>0.56272841334141321</v>
      </c>
      <c r="P1771" s="308">
        <v>0.56955574375673446</v>
      </c>
      <c r="Q1771" s="308">
        <v>0.57394502656842439</v>
      </c>
      <c r="R1771" s="308">
        <v>0.55905859860234786</v>
      </c>
      <c r="S1771" s="308">
        <v>0.53424540080732597</v>
      </c>
      <c r="T1771" s="308">
        <v>0.5385330502669321</v>
      </c>
      <c r="U1771" s="308">
        <v>0.53434205814482749</v>
      </c>
      <c r="V1771" s="308">
        <v>0.53428352225488729</v>
      </c>
      <c r="W1771" s="308">
        <v>0.52927462885021548</v>
      </c>
      <c r="X1771" s="308">
        <v>0.49437363480817187</v>
      </c>
      <c r="Y1771" s="308">
        <v>0.48911435381515661</v>
      </c>
      <c r="Z1771" s="308">
        <f ca="1">ABS((Z1754+Z1759)/Z1759)</f>
        <v>0.48911435381515661</v>
      </c>
      <c r="AB1771" s="308">
        <f ca="1">Tab1SDataShiftSummary[[#This Row],[Summary0]]-Tab1SDataShiftSummary[[#This Row],[Summary20]]</f>
        <v>0.11453242841658956</v>
      </c>
      <c r="AC1771" s="308">
        <f>Tab1SDataShiftSummary[[#This Row],[Summary1]]-Tab1SDataShiftSummary[[#This Row],[Summary0]]</f>
        <v>1.5784250263412125E-2</v>
      </c>
      <c r="AD1771" s="308">
        <f>Tab1SDataShiftSummary[[#This Row],[Summary2]]-Tab1SDataShiftSummary[[#This Row],[Summary1]]</f>
        <v>-7.796715886549177E-3</v>
      </c>
      <c r="AE1771" s="308">
        <f>Tab1SDataShiftSummary[[#This Row],[Summary3]]-Tab1SDataShiftSummary[[#This Row],[Summary2]]</f>
        <v>-8.4265742553542022E-3</v>
      </c>
      <c r="AF1771" s="308">
        <f>Tab1SDataShiftSummary[[#This Row],[Summary4]]-Tab1SDataShiftSummary[[#This Row],[Summary3]]</f>
        <v>4.1582447135610434E-2</v>
      </c>
      <c r="AG1771" s="308">
        <f>Tab1SDataShiftSummary[[#This Row],[Summary5]]-Tab1SDataShiftSummary[[#This Row],[Summary4]]</f>
        <v>-9.6411584399304084E-3</v>
      </c>
      <c r="AH1771" s="308">
        <f>Tab1SDataShiftSummary[[#This Row],[Summary6]]-Tab1SDataShiftSummary[[#This Row],[Summary5]]</f>
        <v>-6.2253034483846004E-2</v>
      </c>
      <c r="AI1771" s="308">
        <f>Tab1SDataShiftSummary[[#This Row],[Summary7]]-Tab1SDataShiftSummary[[#This Row],[Summary6]]</f>
        <v>-1.2163303907630763E-5</v>
      </c>
      <c r="AJ1771" s="308">
        <f>Tab1SDataShiftSummary[[#This Row],[Summary8]]-Tab1SDataShiftSummary[[#This Row],[Summary7]]</f>
        <v>1.1676468853376587E-3</v>
      </c>
      <c r="AK1771" s="308">
        <f>Tab1SDataShiftSummary[[#This Row],[Summary9]]-Tab1SDataShiftSummary[[#This Row],[Summary8]]</f>
        <v>-1.1323066805105753E-2</v>
      </c>
      <c r="AL1771" s="308">
        <f>Tab1SDataShiftSummary[[#This Row],[Summary10]]-Tab1SDataShiftSummary[[#This Row],[Summary9]]</f>
        <v>6.8273304153212422E-3</v>
      </c>
      <c r="AM1771" s="308">
        <f>Tab1SDataShiftSummary[[#This Row],[Summary11]]-Tab1SDataShiftSummary[[#This Row],[Summary10]]</f>
        <v>4.3892828116899318E-3</v>
      </c>
      <c r="AN1771" s="308">
        <f>Tab1SDataShiftSummary[[#This Row],[Summary12]]-Tab1SDataShiftSummary[[#This Row],[Summary11]]</f>
        <v>-1.4886427966076532E-2</v>
      </c>
      <c r="AO1771" s="308">
        <f>Tab1SDataShiftSummary[[#This Row],[Summary13]]-Tab1SDataShiftSummary[[#This Row],[Summary12]]</f>
        <v>-2.4813197795021891E-2</v>
      </c>
      <c r="AP1771" s="308">
        <f>Tab1SDataShiftSummary[[#This Row],[Summary14]]-Tab1SDataShiftSummary[[#This Row],[Summary13]]</f>
        <v>4.2876494596061354E-3</v>
      </c>
      <c r="AQ1771" s="308">
        <f>Tab1SDataShiftSummary[[#This Row],[Summary15]]-Tab1SDataShiftSummary[[#This Row],[Summary14]]</f>
        <v>-4.1909921221046087E-3</v>
      </c>
      <c r="AR1771" s="308">
        <f>Tab1SDataShiftSummary[[#This Row],[Summary16]]-Tab1SDataShiftSummary[[#This Row],[Summary15]]</f>
        <v>-5.8535889940203312E-5</v>
      </c>
      <c r="AS1771" s="308">
        <f>Tab1SDataShiftSummary[[#This Row],[Summary17]]-Tab1SDataShiftSummary[[#This Row],[Summary16]]</f>
        <v>-5.0088934046718103E-3</v>
      </c>
      <c r="AT1771" s="308">
        <f>Tab1SDataShiftSummary[[#This Row],[Summary18]]-Tab1SDataShiftSummary[[#This Row],[Summary17]]</f>
        <v>-3.4900994042043609E-2</v>
      </c>
      <c r="AU1771" s="308">
        <f>Tab1SDataShiftSummary[[#This Row],[Summary19]]-Tab1SDataShiftSummary[[#This Row],[Summary18]]</f>
        <v>-5.2592809930152584E-3</v>
      </c>
      <c r="AV1771" s="1541">
        <f ca="1">Tab1SDataShiftSummary[[#This Row],[Summary20]]-Tab1SDataShiftSummary[[#This Row],[Summary19]]</f>
        <v>0</v>
      </c>
      <c r="AY1771" s="720" t="s">
        <v>2283</v>
      </c>
    </row>
    <row r="1772" spans="1:58" x14ac:dyDescent="0.3">
      <c r="A1772">
        <v>19</v>
      </c>
      <c r="B1772" s="1479" t="s">
        <v>2293</v>
      </c>
      <c r="C1772"/>
      <c r="E1772"/>
      <c r="F1772" s="725">
        <v>-23476521.496454716</v>
      </c>
      <c r="G1772" s="725">
        <v>-23425195.886454709</v>
      </c>
      <c r="H1772" s="725">
        <v>-23303545.066454716</v>
      </c>
      <c r="I1772" s="725">
        <v>-23181994.966454715</v>
      </c>
      <c r="J1772" s="725">
        <v>-23188401.468454711</v>
      </c>
      <c r="K1772" s="725">
        <v>-23251589.198454715</v>
      </c>
      <c r="L1772" s="725">
        <v>-24220950.208454713</v>
      </c>
      <c r="M1772" s="725">
        <v>-24220950.208454713</v>
      </c>
      <c r="N1772" s="725">
        <v>-24599910.208454713</v>
      </c>
      <c r="O1772" s="725">
        <v>-25292873.548454717</v>
      </c>
      <c r="P1772" s="725">
        <v>-25201848.548454717</v>
      </c>
      <c r="Q1772" s="725">
        <v>-25236746.348454714</v>
      </c>
      <c r="R1772" s="725">
        <v>-25276752.748454712</v>
      </c>
      <c r="S1772" s="725">
        <v>-25741805.948454715</v>
      </c>
      <c r="T1772" s="725">
        <v>-25638065.948454715</v>
      </c>
      <c r="U1772" s="725">
        <v>-25067450.948454715</v>
      </c>
      <c r="V1772" s="725">
        <v>-24902171.948454715</v>
      </c>
      <c r="W1772" s="725">
        <v>-24729178.807454709</v>
      </c>
      <c r="X1772" s="725">
        <v>-25058932.982662715</v>
      </c>
      <c r="Y1772" s="725">
        <v>-25124086.208417647</v>
      </c>
      <c r="Z1772" s="725">
        <f ca="1">Calc!BA103</f>
        <v>-25124086.208417647</v>
      </c>
      <c r="AB1772" s="863">
        <f ca="1">Tab1SDataShiftSummary[[#This Row],[Summary0]]-Tab1SDataShiftSummary[[#This Row],[Summary20]]</f>
        <v>1647564.7119629309</v>
      </c>
      <c r="AC1772" s="864">
        <f>Tab1SDataShiftSummary[[#This Row],[Summary1]]-Tab1SDataShiftSummary[[#This Row],[Summary0]]</f>
        <v>51325.610000006855</v>
      </c>
      <c r="AD1772" s="864">
        <f>Tab1SDataShiftSummary[[#This Row],[Summary2]]-Tab1SDataShiftSummary[[#This Row],[Summary1]]</f>
        <v>121650.81999999285</v>
      </c>
      <c r="AE1772" s="864">
        <f>Tab1SDataShiftSummary[[#This Row],[Summary3]]-Tab1SDataShiftSummary[[#This Row],[Summary2]]</f>
        <v>121550.10000000149</v>
      </c>
      <c r="AF1772" s="864">
        <f>Tab1SDataShiftSummary[[#This Row],[Summary4]]-Tab1SDataShiftSummary[[#This Row],[Summary3]]</f>
        <v>-6406.5019999966025</v>
      </c>
      <c r="AG1772" s="864">
        <f>Tab1SDataShiftSummary[[#This Row],[Summary5]]-Tab1SDataShiftSummary[[#This Row],[Summary4]]</f>
        <v>-63187.730000004172</v>
      </c>
      <c r="AH1772" s="864">
        <f>Tab1SDataShiftSummary[[#This Row],[Summary6]]-Tab1SDataShiftSummary[[#This Row],[Summary5]]</f>
        <v>-969361.00999999791</v>
      </c>
      <c r="AI1772" s="864">
        <f>Tab1SDataShiftSummary[[#This Row],[Summary7]]-Tab1SDataShiftSummary[[#This Row],[Summary6]]</f>
        <v>0</v>
      </c>
      <c r="AJ1772" s="864">
        <f>Tab1SDataShiftSummary[[#This Row],[Summary8]]-Tab1SDataShiftSummary[[#This Row],[Summary7]]</f>
        <v>-378960</v>
      </c>
      <c r="AK1772" s="864">
        <f>Tab1SDataShiftSummary[[#This Row],[Summary9]]-Tab1SDataShiftSummary[[#This Row],[Summary8]]</f>
        <v>-692963.34000000358</v>
      </c>
      <c r="AL1772" s="864">
        <f>Tab1SDataShiftSummary[[#This Row],[Summary10]]-Tab1SDataShiftSummary[[#This Row],[Summary9]]</f>
        <v>91025</v>
      </c>
      <c r="AM1772" s="864">
        <f>Tab1SDataShiftSummary[[#This Row],[Summary11]]-Tab1SDataShiftSummary[[#This Row],[Summary10]]</f>
        <v>-34897.79999999702</v>
      </c>
      <c r="AN1772" s="864">
        <f>Tab1SDataShiftSummary[[#This Row],[Summary12]]-Tab1SDataShiftSummary[[#This Row],[Summary11]]</f>
        <v>-40006.39999999851</v>
      </c>
      <c r="AO1772" s="864">
        <f>Tab1SDataShiftSummary[[#This Row],[Summary13]]-Tab1SDataShiftSummary[[#This Row],[Summary12]]</f>
        <v>-465053.20000000298</v>
      </c>
      <c r="AP1772" s="864">
        <f>Tab1SDataShiftSummary[[#This Row],[Summary14]]-Tab1SDataShiftSummary[[#This Row],[Summary13]]</f>
        <v>103740</v>
      </c>
      <c r="AQ1772" s="864">
        <f>Tab1SDataShiftSummary[[#This Row],[Summary15]]-Tab1SDataShiftSummary[[#This Row],[Summary14]]</f>
        <v>570615</v>
      </c>
      <c r="AR1772" s="864">
        <f>Tab1SDataShiftSummary[[#This Row],[Summary16]]-Tab1SDataShiftSummary[[#This Row],[Summary15]]</f>
        <v>165279</v>
      </c>
      <c r="AS1772" s="864">
        <f>Tab1SDataShiftSummary[[#This Row],[Summary17]]-Tab1SDataShiftSummary[[#This Row],[Summary16]]</f>
        <v>172993.14100000635</v>
      </c>
      <c r="AT1772" s="864">
        <f>Tab1SDataShiftSummary[[#This Row],[Summary18]]-Tab1SDataShiftSummary[[#This Row],[Summary17]]</f>
        <v>-329754.17520800605</v>
      </c>
      <c r="AU1772" s="93">
        <f>Tab1SDataShiftSummary[[#This Row],[Summary19]]-Tab1SDataShiftSummary[[#This Row],[Summary18]]</f>
        <v>-65153.225754931569</v>
      </c>
      <c r="AV1772" s="1540">
        <f ca="1">Tab1SDataShiftSummary[[#This Row],[Summary20]]-Tab1SDataShiftSummary[[#This Row],[Summary19]]</f>
        <v>0</v>
      </c>
      <c r="AY1772" s="720" t="s">
        <v>2293</v>
      </c>
    </row>
    <row r="1773" spans="1:58" x14ac:dyDescent="0.3">
      <c r="A1773">
        <v>20</v>
      </c>
      <c r="B1773" s="720" t="s">
        <v>1843</v>
      </c>
      <c r="C1773"/>
      <c r="E1773"/>
      <c r="F1773" s="725">
        <v>2985791.7396999998</v>
      </c>
      <c r="G1773" s="725">
        <v>3046430.5897000004</v>
      </c>
      <c r="H1773" s="725">
        <v>2928464.5897000004</v>
      </c>
      <c r="I1773" s="725">
        <v>2928464.5897000004</v>
      </c>
      <c r="J1773" s="725">
        <v>3145237.8597000008</v>
      </c>
      <c r="K1773" s="725">
        <v>3111660.5897000004</v>
      </c>
      <c r="L1773" s="725">
        <v>2434106.5996999992</v>
      </c>
      <c r="M1773" s="725">
        <v>2434106.5996999992</v>
      </c>
      <c r="N1773" s="725">
        <v>2474607.5996999992</v>
      </c>
      <c r="O1773" s="725">
        <v>2555847.5996999992</v>
      </c>
      <c r="P1773" s="725">
        <v>2559948.2996999994</v>
      </c>
      <c r="Q1773" s="725">
        <v>2596854.5996999992</v>
      </c>
      <c r="R1773" s="725">
        <v>2575382.0996999992</v>
      </c>
      <c r="S1773" s="725">
        <v>3042491.4128</v>
      </c>
      <c r="T1773" s="725">
        <v>2970153.4128</v>
      </c>
      <c r="U1773" s="725">
        <v>2970153.4128</v>
      </c>
      <c r="V1773" s="725">
        <v>3046155.4128</v>
      </c>
      <c r="W1773" s="725">
        <v>3067385.9418000006</v>
      </c>
      <c r="X1773" s="725">
        <v>3068409.3170080003</v>
      </c>
      <c r="Y1773" s="725">
        <v>3076387.1812322205</v>
      </c>
      <c r="Z1773" s="725">
        <f ca="1">Z1731+Z1752</f>
        <v>3076387.1812322205</v>
      </c>
      <c r="AB1773" s="863">
        <f ca="1">Tab1SDataShiftSummary[[#This Row],[Summary0]]-Tab1SDataShiftSummary[[#This Row],[Summary20]]</f>
        <v>-90595.441532220691</v>
      </c>
      <c r="AC1773" s="864">
        <f>Tab1SDataShiftSummary[[#This Row],[Summary1]]-Tab1SDataShiftSummary[[#This Row],[Summary0]]</f>
        <v>60638.850000000559</v>
      </c>
      <c r="AD1773" s="864">
        <f>Tab1SDataShiftSummary[[#This Row],[Summary2]]-Tab1SDataShiftSummary[[#This Row],[Summary1]]</f>
        <v>-117966</v>
      </c>
      <c r="AE1773" s="864">
        <f>Tab1SDataShiftSummary[[#This Row],[Summary3]]-Tab1SDataShiftSummary[[#This Row],[Summary2]]</f>
        <v>0</v>
      </c>
      <c r="AF1773" s="864">
        <f>Tab1SDataShiftSummary[[#This Row],[Summary4]]-Tab1SDataShiftSummary[[#This Row],[Summary3]]</f>
        <v>216773.27000000048</v>
      </c>
      <c r="AG1773" s="864">
        <f>Tab1SDataShiftSummary[[#This Row],[Summary5]]-Tab1SDataShiftSummary[[#This Row],[Summary4]]</f>
        <v>-33577.270000000484</v>
      </c>
      <c r="AH1773" s="864">
        <f>Tab1SDataShiftSummary[[#This Row],[Summary6]]-Tab1SDataShiftSummary[[#This Row],[Summary5]]</f>
        <v>-677553.99000000115</v>
      </c>
      <c r="AI1773" s="864">
        <f>Tab1SDataShiftSummary[[#This Row],[Summary7]]-Tab1SDataShiftSummary[[#This Row],[Summary6]]</f>
        <v>0</v>
      </c>
      <c r="AJ1773" s="864">
        <f>Tab1SDataShiftSummary[[#This Row],[Summary8]]-Tab1SDataShiftSummary[[#This Row],[Summary7]]</f>
        <v>40501</v>
      </c>
      <c r="AK1773" s="864">
        <f>Tab1SDataShiftSummary[[#This Row],[Summary9]]-Tab1SDataShiftSummary[[#This Row],[Summary8]]</f>
        <v>81240</v>
      </c>
      <c r="AL1773" s="864">
        <f>Tab1SDataShiftSummary[[#This Row],[Summary10]]-Tab1SDataShiftSummary[[#This Row],[Summary9]]</f>
        <v>4100.7000000001863</v>
      </c>
      <c r="AM1773" s="864">
        <f>Tab1SDataShiftSummary[[#This Row],[Summary11]]-Tab1SDataShiftSummary[[#This Row],[Summary10]]</f>
        <v>36906.299999999814</v>
      </c>
      <c r="AN1773" s="864">
        <f>Tab1SDataShiftSummary[[#This Row],[Summary12]]-Tab1SDataShiftSummary[[#This Row],[Summary11]]</f>
        <v>-21472.5</v>
      </c>
      <c r="AO1773" s="864">
        <f>Tab1SDataShiftSummary[[#This Row],[Summary13]]-Tab1SDataShiftSummary[[#This Row],[Summary12]]</f>
        <v>467109.31310000084</v>
      </c>
      <c r="AP1773" s="864">
        <f>Tab1SDataShiftSummary[[#This Row],[Summary14]]-Tab1SDataShiftSummary[[#This Row],[Summary13]]</f>
        <v>-72338</v>
      </c>
      <c r="AQ1773" s="864">
        <f>Tab1SDataShiftSummary[[#This Row],[Summary15]]-Tab1SDataShiftSummary[[#This Row],[Summary14]]</f>
        <v>0</v>
      </c>
      <c r="AR1773" s="864">
        <f>Tab1SDataShiftSummary[[#This Row],[Summary16]]-Tab1SDataShiftSummary[[#This Row],[Summary15]]</f>
        <v>76002</v>
      </c>
      <c r="AS1773" s="864">
        <f>Tab1SDataShiftSummary[[#This Row],[Summary17]]-Tab1SDataShiftSummary[[#This Row],[Summary16]]</f>
        <v>21230.529000000563</v>
      </c>
      <c r="AT1773" s="864">
        <f>Tab1SDataShiftSummary[[#This Row],[Summary18]]-Tab1SDataShiftSummary[[#This Row],[Summary17]]</f>
        <v>1023.3752079997212</v>
      </c>
      <c r="AU1773" s="93">
        <f>Tab1SDataShiftSummary[[#This Row],[Summary19]]-Tab1SDataShiftSummary[[#This Row],[Summary18]]</f>
        <v>7977.8642242201604</v>
      </c>
      <c r="AV1773" s="1540">
        <f ca="1">Tab1SDataShiftSummary[[#This Row],[Summary20]]-Tab1SDataShiftSummary[[#This Row],[Summary19]]</f>
        <v>0</v>
      </c>
      <c r="AY1773" s="720" t="s">
        <v>1843</v>
      </c>
    </row>
    <row r="1774" spans="1:58" ht="23" thickBot="1" x14ac:dyDescent="0.35">
      <c r="A1774">
        <v>21</v>
      </c>
      <c r="B1774" s="1479" t="s">
        <v>2718</v>
      </c>
      <c r="C1774"/>
      <c r="E1774"/>
      <c r="F1774" s="903">
        <v>0.60309732756435397</v>
      </c>
      <c r="G1774" s="903">
        <v>0.60460877132818147</v>
      </c>
      <c r="H1774" s="903">
        <v>0.60316993551937081</v>
      </c>
      <c r="I1774" s="903">
        <v>0.62514169351017124</v>
      </c>
      <c r="J1774" s="903">
        <v>0.62395587321339352</v>
      </c>
      <c r="K1774" s="903">
        <v>0.62005164941993784</v>
      </c>
      <c r="L1774" s="903">
        <v>0.44885234190931772</v>
      </c>
      <c r="M1774" s="903">
        <v>0.44886187181246262</v>
      </c>
      <c r="N1774" s="903">
        <v>0.41755126200788167</v>
      </c>
      <c r="O1774" s="903">
        <v>0.37283851333825019</v>
      </c>
      <c r="P1774" s="903">
        <v>0.37759217026024361</v>
      </c>
      <c r="Q1774" s="903">
        <v>0.37770031098597745</v>
      </c>
      <c r="R1774" s="903">
        <v>0.38015044192420833</v>
      </c>
      <c r="S1774" s="903">
        <v>0.42004853108870471</v>
      </c>
      <c r="T1774" s="903">
        <v>0.41383843590697977</v>
      </c>
      <c r="U1774" s="903">
        <v>0.47519716762134578</v>
      </c>
      <c r="V1774" s="903">
        <v>0.50708894663083248</v>
      </c>
      <c r="W1774" s="903">
        <v>0.53476602688998565</v>
      </c>
      <c r="X1774" s="903">
        <v>0.53445970862586856</v>
      </c>
      <c r="Y1774" s="903">
        <v>0.54383962306809441</v>
      </c>
      <c r="Z1774" s="903">
        <f ca="1">(Z1764+Z1773)/Z1761</f>
        <v>0.54383962306809441</v>
      </c>
      <c r="AB1774" s="308">
        <f ca="1">Tab1SDataShiftSummary[[#This Row],[Summary20]]-Tab1SDataShiftSummary[[#This Row],[Summary0]]</f>
        <v>-5.9257704496259556E-2</v>
      </c>
      <c r="AC1774" s="308">
        <f>Tab1SDataShiftSummary[[#This Row],[Summary1]]-Tab1SDataShiftSummary[[#This Row],[Summary0]]</f>
        <v>1.5114437638275025E-3</v>
      </c>
      <c r="AD1774" s="308">
        <f>Tab1SDataShiftSummary[[#This Row],[Summary2]]-Tab1SDataShiftSummary[[#This Row],[Summary1]]</f>
        <v>-1.4388358088106568E-3</v>
      </c>
      <c r="AE1774" s="308">
        <f>Tab1SDataShiftSummary[[#This Row],[Summary3]]-Tab1SDataShiftSummary[[#This Row],[Summary2]]</f>
        <v>2.1971757990800422E-2</v>
      </c>
      <c r="AF1774" s="308">
        <f>Tab1SDataShiftSummary[[#This Row],[Summary4]]-Tab1SDataShiftSummary[[#This Row],[Summary3]]</f>
        <v>-1.1858202967777176E-3</v>
      </c>
      <c r="AG1774" s="308">
        <f>Tab1SDataShiftSummary[[#This Row],[Summary5]]-Tab1SDataShiftSummary[[#This Row],[Summary4]]</f>
        <v>-3.9042237934556745E-3</v>
      </c>
      <c r="AH1774" s="308">
        <f>Tab1SDataShiftSummary[[#This Row],[Summary6]]-Tab1SDataShiftSummary[[#This Row],[Summary5]]</f>
        <v>-0.17119930751062012</v>
      </c>
      <c r="AI1774" s="308">
        <f>Tab1SDataShiftSummary[[#This Row],[Summary7]]-Tab1SDataShiftSummary[[#This Row],[Summary6]]</f>
        <v>9.5299031449003202E-6</v>
      </c>
      <c r="AJ1774" s="308">
        <f>Tab1SDataShiftSummary[[#This Row],[Summary8]]-Tab1SDataShiftSummary[[#This Row],[Summary7]]</f>
        <v>-3.1310609804580947E-2</v>
      </c>
      <c r="AK1774" s="308">
        <f>Tab1SDataShiftSummary[[#This Row],[Summary9]]-Tab1SDataShiftSummary[[#This Row],[Summary8]]</f>
        <v>-4.4712748669631486E-2</v>
      </c>
      <c r="AL1774" s="308">
        <f>Tab1SDataShiftSummary[[#This Row],[Summary10]]-Tab1SDataShiftSummary[[#This Row],[Summary9]]</f>
        <v>4.753656921993421E-3</v>
      </c>
      <c r="AM1774" s="308">
        <f>Tab1SDataShiftSummary[[#This Row],[Summary11]]-Tab1SDataShiftSummary[[#This Row],[Summary10]]</f>
        <v>1.081407257338407E-4</v>
      </c>
      <c r="AN1774" s="308">
        <f>Tab1SDataShiftSummary[[#This Row],[Summary12]]-Tab1SDataShiftSummary[[#This Row],[Summary11]]</f>
        <v>2.4501309382308767E-3</v>
      </c>
      <c r="AO1774" s="308">
        <f>Tab1SDataShiftSummary[[#This Row],[Summary13]]-Tab1SDataShiftSummary[[#This Row],[Summary12]]</f>
        <v>3.9898089164496386E-2</v>
      </c>
      <c r="AP1774" s="308">
        <f>Tab1SDataShiftSummary[[#This Row],[Summary14]]-Tab1SDataShiftSummary[[#This Row],[Summary13]]</f>
        <v>-6.2100951817249395E-3</v>
      </c>
      <c r="AQ1774" s="308">
        <f>Tab1SDataShiftSummary[[#This Row],[Summary15]]-Tab1SDataShiftSummary[[#This Row],[Summary14]]</f>
        <v>6.135873171436601E-2</v>
      </c>
      <c r="AR1774" s="308">
        <f>Tab1SDataShiftSummary[[#This Row],[Summary16]]-Tab1SDataShiftSummary[[#This Row],[Summary15]]</f>
        <v>3.1891779009486698E-2</v>
      </c>
      <c r="AS1774" s="308">
        <f>Tab1SDataShiftSummary[[#This Row],[Summary17]]-Tab1SDataShiftSummary[[#This Row],[Summary16]]</f>
        <v>2.7677080259153164E-2</v>
      </c>
      <c r="AT1774" s="308">
        <f>Tab1SDataShiftSummary[[#This Row],[Summary18]]-Tab1SDataShiftSummary[[#This Row],[Summary17]]</f>
        <v>-3.0631826411708918E-4</v>
      </c>
      <c r="AU1774" s="308">
        <f>Tab1SDataShiftSummary[[#This Row],[Summary19]]-Tab1SDataShiftSummary[[#This Row],[Summary18]]</f>
        <v>9.3799144422258562E-3</v>
      </c>
      <c r="AV1774" s="1541">
        <f ca="1">Tab1SDataShiftSummary[[#This Row],[Summary20]]-Tab1SDataShiftSummary[[#This Row],[Summary19]]</f>
        <v>0</v>
      </c>
      <c r="AY1774" s="720" t="s">
        <v>2718</v>
      </c>
    </row>
    <row r="1775" spans="1:58" ht="23" thickBot="1" x14ac:dyDescent="0.35">
      <c r="B1775" s="720" t="s">
        <v>2767</v>
      </c>
      <c r="C1775"/>
      <c r="E1775"/>
      <c r="F1775" s="725">
        <v>35845684.579699993</v>
      </c>
      <c r="G1775" s="725">
        <v>36048435.515199997</v>
      </c>
      <c r="H1775" s="725">
        <v>35765643.489700004</v>
      </c>
      <c r="I1775" s="725">
        <v>35399081.299699999</v>
      </c>
      <c r="J1775" s="725">
        <v>36112036.729699999</v>
      </c>
      <c r="K1775" s="725">
        <v>36043445.339699998</v>
      </c>
      <c r="L1775" s="725">
        <v>36702545.689699985</v>
      </c>
      <c r="M1775" s="725">
        <v>36702280.689699985</v>
      </c>
      <c r="N1775" s="725">
        <v>37300972.919699997</v>
      </c>
      <c r="O1775" s="725">
        <v>38087644.084699996</v>
      </c>
      <c r="P1775" s="725">
        <v>38097672.8847</v>
      </c>
      <c r="Q1775" s="725">
        <v>38230799.619699992</v>
      </c>
      <c r="R1775" s="725">
        <v>37968149.209699996</v>
      </c>
      <c r="S1775" s="725">
        <v>38365852.432800002</v>
      </c>
      <c r="T1775" s="725">
        <v>38343917.1708</v>
      </c>
      <c r="U1775" s="725">
        <v>37372039.798900001</v>
      </c>
      <c r="V1775" s="725">
        <v>37076535.887799993</v>
      </c>
      <c r="W1775" s="725">
        <v>36689647.921800002</v>
      </c>
      <c r="X1775" s="725">
        <v>36414593.126808003</v>
      </c>
      <c r="Y1775" s="725">
        <v>36391607.770632222</v>
      </c>
      <c r="Z1775" s="725">
        <f t="shared" ref="Z1775" ca="1" si="141">Z1754+Z1773</f>
        <v>36391607.770632222</v>
      </c>
      <c r="AA1775" s="831"/>
      <c r="AB1775" s="1477">
        <f ca="1">Tab1SDataShiftSummary[[#This Row],[Summary0]]-Tab1SDataShiftSummary[[#This Row],[Summary20]]</f>
        <v>-545923.19093222916</v>
      </c>
      <c r="AC1775" s="1478">
        <f>Tab1SDataShiftSummary[[#This Row],[Summary1]]-Tab1SDataShiftSummary[[#This Row],[Summary0]]</f>
        <v>202750.9355000034</v>
      </c>
      <c r="AD1775" s="1478">
        <f>Tab1SDataShiftSummary[[#This Row],[Summary2]]-Tab1SDataShiftSummary[[#This Row],[Summary1]]</f>
        <v>-282792.02549999207</v>
      </c>
      <c r="AE1775" s="1478">
        <f>Tab1SDataShiftSummary[[#This Row],[Summary3]]-Tab1SDataShiftSummary[[#This Row],[Summary2]]</f>
        <v>-366562.19000000507</v>
      </c>
      <c r="AF1775" s="1478">
        <f>Tab1SDataShiftSummary[[#This Row],[Summary4]]-Tab1SDataShiftSummary[[#This Row],[Summary3]]</f>
        <v>712955.4299999997</v>
      </c>
      <c r="AG1775" s="1478">
        <f>Tab1SDataShiftSummary[[#This Row],[Summary5]]-Tab1SDataShiftSummary[[#This Row],[Summary4]]</f>
        <v>-68591.390000000596</v>
      </c>
      <c r="AH1775" s="1478">
        <f>Tab1SDataShiftSummary[[#This Row],[Summary6]]-Tab1SDataShiftSummary[[#This Row],[Summary5]]</f>
        <v>659100.34999998659</v>
      </c>
      <c r="AI1775" s="1478">
        <f>Tab1SDataShiftSummary[[#This Row],[Summary7]]-Tab1SDataShiftSummary[[#This Row],[Summary6]]</f>
        <v>-265</v>
      </c>
      <c r="AJ1775" s="1478">
        <f>Tab1SDataShiftSummary[[#This Row],[Summary8]]-Tab1SDataShiftSummary[[#This Row],[Summary7]]</f>
        <v>598692.23000001162</v>
      </c>
      <c r="AK1775" s="1478">
        <f>Tab1SDataShiftSummary[[#This Row],[Summary9]]-Tab1SDataShiftSummary[[#This Row],[Summary8]]</f>
        <v>786671.16499999911</v>
      </c>
      <c r="AL1775" s="1478">
        <f>Tab1SDataShiftSummary[[#This Row],[Summary10]]-Tab1SDataShiftSummary[[#This Row],[Summary9]]</f>
        <v>10028.80000000447</v>
      </c>
      <c r="AM1775" s="1478">
        <f>Tab1SDataShiftSummary[[#This Row],[Summary11]]-Tab1SDataShiftSummary[[#This Row],[Summary10]]</f>
        <v>133126.73499999195</v>
      </c>
      <c r="AN1775" s="1478">
        <f>Tab1SDataShiftSummary[[#This Row],[Summary12]]-Tab1SDataShiftSummary[[#This Row],[Summary11]]</f>
        <v>-262650.40999999642</v>
      </c>
      <c r="AO1775" s="1478">
        <f>Tab1SDataShiftSummary[[#This Row],[Summary13]]-Tab1SDataShiftSummary[[#This Row],[Summary12]]</f>
        <v>397703.22310000658</v>
      </c>
      <c r="AP1775" s="1478">
        <f>Tab1SDataShiftSummary[[#This Row],[Summary14]]-Tab1SDataShiftSummary[[#This Row],[Summary13]]</f>
        <v>-21935.262000001967</v>
      </c>
      <c r="AQ1775" s="1478">
        <f>Tab1SDataShiftSummary[[#This Row],[Summary15]]-Tab1SDataShiftSummary[[#This Row],[Summary14]]</f>
        <v>-971877.37189999968</v>
      </c>
      <c r="AR1775" s="1478">
        <f>Tab1SDataShiftSummary[[#This Row],[Summary16]]-Tab1SDataShiftSummary[[#This Row],[Summary15]]</f>
        <v>-295503.91110000759</v>
      </c>
      <c r="AS1775" s="1478">
        <f>Tab1SDataShiftSummary[[#This Row],[Summary17]]-Tab1SDataShiftSummary[[#This Row],[Summary16]]</f>
        <v>-386887.9659999907</v>
      </c>
      <c r="AT1775" s="1478">
        <f>Tab1SDataShiftSummary[[#This Row],[Summary18]]-Tab1SDataShiftSummary[[#This Row],[Summary17]]</f>
        <v>-275054.79499199986</v>
      </c>
      <c r="AU1775" s="1476">
        <f>Tab1SDataShiftSummary[[#This Row],[Summary19]]-Tab1SDataShiftSummary[[#This Row],[Summary18]]</f>
        <v>-22985.356175780296</v>
      </c>
      <c r="AV1775" s="1545">
        <f ca="1">Tab1SDataShiftSummary[[#This Row],[Summary20]]-Tab1SDataShiftSummary[[#This Row],[Summary19]]</f>
        <v>0</v>
      </c>
      <c r="AY1775" s="1041" t="s">
        <v>2408</v>
      </c>
    </row>
    <row r="1776" spans="1:58" ht="23" thickTop="1" x14ac:dyDescent="0.3">
      <c r="B1776"/>
      <c r="C1776"/>
      <c r="E1776"/>
      <c r="F1776" s="903"/>
      <c r="G1776" s="903"/>
      <c r="H1776" s="903"/>
      <c r="I1776" s="903"/>
      <c r="J1776" s="903"/>
      <c r="K1776" s="903"/>
      <c r="L1776" s="903"/>
      <c r="M1776" s="903"/>
      <c r="N1776" s="903"/>
      <c r="O1776" s="903"/>
      <c r="P1776" s="903"/>
      <c r="Q1776" s="903"/>
      <c r="R1776" s="903"/>
      <c r="S1776" s="903"/>
      <c r="T1776" s="903"/>
      <c r="U1776" s="903"/>
      <c r="V1776" s="903"/>
      <c r="W1776" s="903"/>
      <c r="X1776" s="903"/>
      <c r="Y1776" s="903"/>
      <c r="Z1776" s="903"/>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41"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65">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2768</v>
      </c>
      <c r="G1800" t="s">
        <v>2769</v>
      </c>
      <c r="H1800" t="s">
        <v>2770</v>
      </c>
      <c r="I1800" t="s">
        <v>2771</v>
      </c>
      <c r="J1800" t="s">
        <v>2772</v>
      </c>
      <c r="K1800" t="s">
        <v>2773</v>
      </c>
      <c r="L1800" t="s">
        <v>2774</v>
      </c>
      <c r="M1800" t="s">
        <v>2775</v>
      </c>
      <c r="N1800" t="s">
        <v>2776</v>
      </c>
      <c r="O1800" t="s">
        <v>2777</v>
      </c>
      <c r="P1800" t="s">
        <v>2778</v>
      </c>
      <c r="Q1800" t="s">
        <v>2779</v>
      </c>
      <c r="R1800" t="s">
        <v>2780</v>
      </c>
      <c r="S1800" t="s">
        <v>2781</v>
      </c>
      <c r="T1800" t="s">
        <v>2782</v>
      </c>
      <c r="U1800" t="s">
        <v>2783</v>
      </c>
      <c r="V1800" t="s">
        <v>2784</v>
      </c>
      <c r="W1800" t="s">
        <v>2785</v>
      </c>
      <c r="X1800" t="s">
        <v>2786</v>
      </c>
      <c r="Y1800" t="s">
        <v>2787</v>
      </c>
      <c r="Z1800" t="s">
        <v>2788</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W1801" s="90">
        <v>276.43097</v>
      </c>
      <c r="X1801" s="115">
        <v>276.43097</v>
      </c>
      <c r="Y1801">
        <v>276.43097</v>
      </c>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W1802" s="90">
        <v>20.66667</v>
      </c>
      <c r="X1802" s="115">
        <v>20.66667</v>
      </c>
      <c r="Y1802">
        <v>20.66667</v>
      </c>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W1803" s="90">
        <v>96.66</v>
      </c>
      <c r="X1803" s="115">
        <v>96.66</v>
      </c>
      <c r="Y1803">
        <v>96.66</v>
      </c>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W1804" s="90">
        <v>288.42410000000001</v>
      </c>
      <c r="X1804" s="115">
        <v>288.42410000000001</v>
      </c>
      <c r="Y1804">
        <v>288.42410000000001</v>
      </c>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W1805" s="90">
        <v>1.5333300000000001</v>
      </c>
      <c r="X1805" s="115">
        <v>1.5333300000000001</v>
      </c>
      <c r="Y1805">
        <v>1.5333300000000001</v>
      </c>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W1806" s="90">
        <v>941.90326000000005</v>
      </c>
      <c r="X1806" s="115">
        <v>941.90326000000005</v>
      </c>
      <c r="Y1806">
        <v>941.90326000000005</v>
      </c>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W1807" s="90">
        <v>392.38164999999998</v>
      </c>
      <c r="X1807" s="115">
        <v>392.38164999999998</v>
      </c>
      <c r="Y1807">
        <v>392.38164999999998</v>
      </c>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W1808" s="90">
        <v>93.25273</v>
      </c>
      <c r="X1808" s="115">
        <v>93.25273</v>
      </c>
      <c r="Y1808">
        <v>93.25273</v>
      </c>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W1809" s="90">
        <v>2.75</v>
      </c>
      <c r="X1809" s="115">
        <v>2.75</v>
      </c>
      <c r="Y1809">
        <v>2.75</v>
      </c>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W1810" s="90">
        <v>0</v>
      </c>
      <c r="X1810" s="115">
        <v>0</v>
      </c>
      <c r="Y1810">
        <v>0</v>
      </c>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W1811" s="90">
        <v>113.7619</v>
      </c>
      <c r="X1811" s="115">
        <v>113.7619</v>
      </c>
      <c r="Y1811">
        <v>113.7619</v>
      </c>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W1812" s="90">
        <v>76.290949999999995</v>
      </c>
      <c r="X1812" s="115">
        <v>76.290949999999995</v>
      </c>
      <c r="Y1812">
        <v>76.290949999999995</v>
      </c>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W1813" s="90">
        <v>90.48</v>
      </c>
      <c r="X1813" s="115">
        <v>90.48</v>
      </c>
      <c r="Y1813">
        <v>90.48</v>
      </c>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W1814" s="90">
        <v>3.25</v>
      </c>
      <c r="X1814" s="115">
        <v>3.25</v>
      </c>
      <c r="Y1814">
        <v>3.25</v>
      </c>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W1815" s="90">
        <v>134.07239999999999</v>
      </c>
      <c r="X1815" s="115">
        <v>134.07239999999999</v>
      </c>
      <c r="Y1815">
        <v>134.07239999999999</v>
      </c>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W1816" s="90">
        <v>31.877780000000001</v>
      </c>
      <c r="X1816" s="115">
        <v>31.877780000000001</v>
      </c>
      <c r="Y1816">
        <v>31.877780000000001</v>
      </c>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W1817" s="90">
        <v>147.125</v>
      </c>
      <c r="X1817" s="115">
        <v>147.125</v>
      </c>
      <c r="Y1817">
        <v>147.125</v>
      </c>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W1818" s="90">
        <v>14.5</v>
      </c>
      <c r="X1818" s="115">
        <v>14.5</v>
      </c>
      <c r="Y1818">
        <v>14.5</v>
      </c>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W1819" s="90">
        <v>16.919589999999999</v>
      </c>
      <c r="X1819" s="115">
        <v>16.919589999999999</v>
      </c>
      <c r="Y1819">
        <v>16.919589999999999</v>
      </c>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W1820" s="90">
        <v>0</v>
      </c>
      <c r="X1820" s="115">
        <v>0</v>
      </c>
      <c r="Y1820">
        <v>0</v>
      </c>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W1821" s="90">
        <v>73.153850000000006</v>
      </c>
      <c r="X1821" s="115">
        <v>73.153850000000006</v>
      </c>
      <c r="Y1821">
        <v>73.153850000000006</v>
      </c>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W1822" s="90">
        <v>26.51211</v>
      </c>
      <c r="X1822" s="115">
        <v>26.51211</v>
      </c>
      <c r="Y1822">
        <v>26.51211</v>
      </c>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W1823" s="90">
        <v>28.282499999999999</v>
      </c>
      <c r="X1823" s="115">
        <v>28.282499999999999</v>
      </c>
      <c r="Y1823">
        <v>28.282499999999999</v>
      </c>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W1824" s="90">
        <v>464.0942</v>
      </c>
      <c r="X1824" s="115">
        <v>464.0942</v>
      </c>
      <c r="Y1824">
        <v>464.0942</v>
      </c>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W1825" s="90">
        <v>76.045450000000002</v>
      </c>
      <c r="X1825" s="115">
        <v>76.045450000000002</v>
      </c>
      <c r="Y1825">
        <v>76.045450000000002</v>
      </c>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W1826" s="90">
        <v>15</v>
      </c>
      <c r="X1826" s="115">
        <v>15</v>
      </c>
      <c r="Y1826">
        <v>15</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W1827" s="90">
        <v>5.9580000000000002</v>
      </c>
      <c r="X1827" s="115">
        <v>5.9580000000000002</v>
      </c>
      <c r="Y1827">
        <v>5.9580000000000002</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W1828" s="90">
        <v>40.299999999999997</v>
      </c>
      <c r="X1828" s="115">
        <v>40.299999999999997</v>
      </c>
      <c r="Y1828">
        <v>40.299999999999997</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W1829" s="90">
        <v>626.22655999999995</v>
      </c>
      <c r="X1829" s="115">
        <v>626.22655999999995</v>
      </c>
      <c r="Y1829">
        <v>626.22655999999995</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W1830" s="90">
        <v>91</v>
      </c>
      <c r="X1830" s="115">
        <v>91</v>
      </c>
      <c r="Y1830">
        <v>91</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W1831" s="90">
        <v>102.735</v>
      </c>
      <c r="X1831" s="115">
        <v>102.735</v>
      </c>
      <c r="Y1831">
        <v>102.735</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W1832" s="90">
        <v>1347.3231000000001</v>
      </c>
      <c r="X1832" s="115">
        <v>1347.3231000000001</v>
      </c>
      <c r="Y1832">
        <v>1347.3231000000001</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W1833" s="90">
        <v>31.501080000000002</v>
      </c>
      <c r="X1833" s="115">
        <v>31.501080000000002</v>
      </c>
      <c r="Y1833">
        <v>31.501080000000002</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W1834" s="90">
        <v>46.875</v>
      </c>
      <c r="X1834" s="115">
        <v>46.875</v>
      </c>
      <c r="Y1834">
        <v>46.875</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W1835" s="90">
        <v>12.1</v>
      </c>
      <c r="X1835" s="115">
        <v>12.1</v>
      </c>
      <c r="Y1835">
        <v>12.1</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W1836" s="90">
        <v>6.6333299999999999</v>
      </c>
      <c r="X1836" s="115">
        <v>6.6333299999999999</v>
      </c>
      <c r="Y1836">
        <v>6.6333299999999999</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W1837" s="90">
        <v>0</v>
      </c>
      <c r="X1837" s="115">
        <v>0</v>
      </c>
      <c r="Y1837">
        <v>0</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W1838" s="90">
        <v>38.333329999999997</v>
      </c>
      <c r="X1838" s="115">
        <v>38.333329999999997</v>
      </c>
      <c r="Y1838">
        <v>38.333329999999997</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W1839" s="90">
        <v>44.747059999999998</v>
      </c>
      <c r="X1839" s="115">
        <v>44.747059999999998</v>
      </c>
      <c r="Y1839">
        <v>44.747059999999998</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W1840" s="90">
        <v>288.66680000000002</v>
      </c>
      <c r="X1840" s="115">
        <v>288.66680000000002</v>
      </c>
      <c r="Y1840">
        <v>288.66680000000002</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W1841" s="90">
        <v>0</v>
      </c>
      <c r="X1841" s="115">
        <v>0</v>
      </c>
      <c r="Y1841">
        <v>0</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W1842" s="90">
        <v>13.33333</v>
      </c>
      <c r="X1842" s="115">
        <v>13.33333</v>
      </c>
      <c r="Y1842">
        <v>13.33333</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W1843" s="90">
        <v>391.31805000000003</v>
      </c>
      <c r="X1843" s="115">
        <v>391.31805000000003</v>
      </c>
      <c r="Y1843">
        <v>391.31805000000003</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W1844" s="90">
        <v>335.39688000000001</v>
      </c>
      <c r="X1844" s="115">
        <v>335.39688000000001</v>
      </c>
      <c r="Y1844">
        <v>335.39688000000001</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W1845" s="90">
        <v>0</v>
      </c>
      <c r="X1845" s="115">
        <v>0</v>
      </c>
      <c r="Y1845">
        <v>0</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W1846" s="90">
        <v>7.4222200000000003</v>
      </c>
      <c r="X1846" s="115">
        <v>7.4222200000000003</v>
      </c>
      <c r="Y1846">
        <v>7.4222200000000003</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W1847" s="90">
        <v>34</v>
      </c>
      <c r="X1847" s="115">
        <v>34</v>
      </c>
      <c r="Y1847">
        <v>34</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W1848" s="90">
        <v>61.5</v>
      </c>
      <c r="X1848" s="115">
        <v>61.5</v>
      </c>
      <c r="Y1848">
        <v>61.5</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W1849" s="90">
        <v>12</v>
      </c>
      <c r="X1849" s="115">
        <v>12</v>
      </c>
      <c r="Y1849">
        <v>12</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W1850" s="90">
        <v>0</v>
      </c>
      <c r="X1850" s="115">
        <v>0</v>
      </c>
      <c r="Y1850">
        <v>0</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W1851" s="90">
        <v>126.88</v>
      </c>
      <c r="X1851" s="115">
        <v>126.88</v>
      </c>
      <c r="Y1851">
        <v>126.88</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W1852" s="90">
        <v>11.4</v>
      </c>
      <c r="X1852" s="115">
        <v>11.4</v>
      </c>
      <c r="Y1852">
        <v>11.4</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W1853" s="90">
        <v>1.5333300000000001</v>
      </c>
      <c r="X1853" s="115">
        <v>1.5333300000000001</v>
      </c>
      <c r="Y1853">
        <v>1.5333300000000001</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W1854" s="90">
        <v>3.25</v>
      </c>
      <c r="X1854" s="115">
        <v>3.25</v>
      </c>
      <c r="Y1854">
        <v>3.25</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W1855" s="90">
        <v>31.877780000000001</v>
      </c>
      <c r="X1855" s="115">
        <v>31.877780000000001</v>
      </c>
      <c r="Y1855">
        <v>31.877780000000001</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W1856" s="90">
        <v>16.919589999999999</v>
      </c>
      <c r="X1856" s="115">
        <v>16.919589999999999</v>
      </c>
      <c r="Y1856">
        <v>16.919589999999999</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W1857" s="90">
        <v>16.122730000000001</v>
      </c>
      <c r="X1857" s="115">
        <v>16.122730000000001</v>
      </c>
      <c r="Y1857">
        <v>16.122730000000001</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W1858" s="90">
        <v>0</v>
      </c>
      <c r="X1858" s="115">
        <v>0</v>
      </c>
      <c r="Y1858">
        <v>0</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W1859" s="90">
        <v>64.686109999999999</v>
      </c>
      <c r="X1859" s="115">
        <v>64.686109999999999</v>
      </c>
      <c r="Y1859">
        <v>64.686109999999999</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W1860" s="90">
        <v>15.32222</v>
      </c>
      <c r="X1860" s="115">
        <v>15.32222</v>
      </c>
      <c r="Y1860">
        <v>15.32222</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W1861" s="90">
        <v>44.747059999999998</v>
      </c>
      <c r="X1861" s="115">
        <v>44.747059999999998</v>
      </c>
      <c r="Y1861">
        <v>44.747059999999998</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W1862" s="90">
        <v>288.66680000000002</v>
      </c>
      <c r="X1862" s="115">
        <v>288.66680000000002</v>
      </c>
      <c r="Y1862">
        <v>288.66680000000002</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W1863" s="90">
        <v>0</v>
      </c>
      <c r="X1863" s="115">
        <v>0</v>
      </c>
      <c r="Y1863">
        <v>0</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W1864" s="90">
        <v>276.43097</v>
      </c>
      <c r="X1864" s="115">
        <v>276.43097</v>
      </c>
      <c r="Y1864">
        <v>276.43097</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W1865" s="90">
        <v>288.42410000000001</v>
      </c>
      <c r="X1865" s="115">
        <v>288.42410000000001</v>
      </c>
      <c r="Y1865">
        <v>288.42410000000001</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W1866" s="90">
        <v>941.90326000000005</v>
      </c>
      <c r="X1866" s="115">
        <v>941.90326000000005</v>
      </c>
      <c r="Y1866">
        <v>941.90326000000005</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W1867" s="90">
        <v>3.25</v>
      </c>
      <c r="X1867" s="115">
        <v>3.25</v>
      </c>
      <c r="Y1867">
        <v>3.25</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W1868" s="90">
        <v>134.07239999999999</v>
      </c>
      <c r="X1868" s="115">
        <v>134.07239999999999</v>
      </c>
      <c r="Y1868">
        <v>134.07239999999999</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W1869" s="90">
        <v>73.153850000000006</v>
      </c>
      <c r="X1869" s="115">
        <v>73.153850000000006</v>
      </c>
      <c r="Y1869">
        <v>73.153850000000006</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W1870" s="90">
        <v>464.0942</v>
      </c>
      <c r="X1870" s="115">
        <v>464.0942</v>
      </c>
      <c r="Y1870">
        <v>464.0942</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W1871" s="90">
        <v>40.299999999999997</v>
      </c>
      <c r="X1871" s="115">
        <v>40.299999999999997</v>
      </c>
      <c r="Y1871">
        <v>40.299999999999997</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W1872" s="90">
        <v>2.4</v>
      </c>
      <c r="X1872" s="115">
        <v>2.4</v>
      </c>
      <c r="Y1872">
        <v>2.4</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W1873" s="90">
        <v>16.122730000000001</v>
      </c>
      <c r="X1873" s="115">
        <v>16.122730000000001</v>
      </c>
      <c r="Y1873">
        <v>16.122730000000001</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W1874" s="90">
        <v>626.25</v>
      </c>
      <c r="X1874" s="115">
        <v>626.25</v>
      </c>
      <c r="Y1874">
        <v>626.25</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W1875" s="90">
        <v>12.265000000000001</v>
      </c>
      <c r="X1875" s="115">
        <v>12.265000000000001</v>
      </c>
      <c r="Y1875">
        <v>12.265000000000001</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W1876" s="90">
        <v>64.686109999999999</v>
      </c>
      <c r="X1876" s="115">
        <v>64.686109999999999</v>
      </c>
      <c r="Y1876">
        <v>64.686109999999999</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W1877" s="90">
        <v>207.47059999999999</v>
      </c>
      <c r="X1877" s="115">
        <v>207.47059999999999</v>
      </c>
      <c r="Y1877">
        <v>207.47059999999999</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W1878" s="90">
        <v>801.84209999999996</v>
      </c>
      <c r="X1878" s="115">
        <v>801.84209999999996</v>
      </c>
      <c r="Y1878">
        <v>801.84209999999996</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W1879" s="90">
        <v>2.5</v>
      </c>
      <c r="X1879" s="115">
        <v>2.5</v>
      </c>
      <c r="Y1879">
        <v>2.5</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W1880" s="90">
        <v>34.073680000000003</v>
      </c>
      <c r="X1880" s="115">
        <v>34.073680000000003</v>
      </c>
      <c r="Y1880">
        <v>34.073680000000003</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W1881" s="90">
        <v>655.20569999999998</v>
      </c>
      <c r="X1881" s="115">
        <v>655.20569999999998</v>
      </c>
      <c r="Y1881">
        <v>655.20569999999998</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W1882" s="90">
        <v>12.612500000000001</v>
      </c>
      <c r="X1882" s="115">
        <v>12.612500000000001</v>
      </c>
      <c r="Y1882">
        <v>12.612500000000001</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W1883" s="90">
        <v>127.45399999999999</v>
      </c>
      <c r="X1883" s="115">
        <v>127.45399999999999</v>
      </c>
      <c r="Y1883">
        <v>127.45399999999999</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W1884" s="90">
        <v>15.32222</v>
      </c>
      <c r="X1884" s="115">
        <v>15.32222</v>
      </c>
      <c r="Y1884">
        <v>15.32222</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W1885" s="90">
        <v>49.913040000000002</v>
      </c>
      <c r="X1885" s="115">
        <v>49.913040000000002</v>
      </c>
      <c r="Y1885">
        <v>49.913040000000002</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W1886" s="90">
        <v>28.751899999999999</v>
      </c>
      <c r="X1886" s="115">
        <v>28.751899999999999</v>
      </c>
      <c r="Y1886">
        <v>28.751899999999999</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W1887" s="90">
        <v>3.9538500000000001</v>
      </c>
      <c r="X1887" s="115">
        <v>3.9538500000000001</v>
      </c>
      <c r="Y1887">
        <v>3.9538500000000001</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W1888" s="90">
        <v>41.415419999999997</v>
      </c>
      <c r="X1888" s="115">
        <v>41.415419999999997</v>
      </c>
      <c r="Y1888">
        <v>41.415419999999997</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W1889" s="90">
        <v>88.505260000000007</v>
      </c>
      <c r="X1889" s="115">
        <v>88.505260000000007</v>
      </c>
      <c r="Y1889">
        <v>88.505260000000007</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W1890" s="90">
        <v>229.61904999999999</v>
      </c>
      <c r="X1890" s="115">
        <v>229.61904999999999</v>
      </c>
      <c r="Y1890">
        <v>229.61904999999999</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W1891" s="90">
        <v>0</v>
      </c>
      <c r="X1891" s="115">
        <v>0</v>
      </c>
      <c r="Y1891">
        <v>0</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W1892" s="90">
        <v>0</v>
      </c>
      <c r="X1892" s="115">
        <v>0</v>
      </c>
      <c r="Y1892">
        <v>0</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W1893" s="90">
        <v>941.90326000000005</v>
      </c>
      <c r="X1893" s="115">
        <v>941.90326000000005</v>
      </c>
      <c r="Y1893">
        <v>941.90326000000005</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W1894" s="90">
        <v>16.919589999999999</v>
      </c>
      <c r="X1894" s="115">
        <v>16.919589999999999</v>
      </c>
      <c r="Y1894">
        <v>16.919589999999999</v>
      </c>
      <c r="Z1894">
        <f ca="1">_xlfn.XLOOKUP(A1894,TabCalc[Ticker],TabCalc[Y])</f>
        <v>16.919589999999999</v>
      </c>
    </row>
    <row r="1895" spans="1:26" x14ac:dyDescent="0.3">
      <c r="A1895" s="88">
        <f t="shared" si="143"/>
        <v>0</v>
      </c>
    </row>
    <row r="1896" spans="1:26" x14ac:dyDescent="0.3">
      <c r="A1896" s="88">
        <f t="shared" si="143"/>
        <v>0</v>
      </c>
    </row>
  </sheetData>
  <phoneticPr fontId="48"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6" priority="22" operator="lessThan">
      <formula>0</formula>
    </cfRule>
    <cfRule type="cellIs" dxfId="535" priority="23" operator="greaterThan">
      <formula>0</formula>
    </cfRule>
  </conditionalFormatting>
  <conditionalFormatting sqref="AC704:AC797">
    <cfRule type="top10" dxfId="534" priority="2147" rank="20"/>
    <cfRule type="top10" dxfId="533" priority="2148" rank="10"/>
    <cfRule type="top10" dxfId="532" priority="2149" bottom="1" rank="30"/>
    <cfRule type="top10" dxfId="531" priority="2150" bottom="1" rank="10"/>
  </conditionalFormatting>
  <conditionalFormatting sqref="AD704:AD797">
    <cfRule type="top10" dxfId="530" priority="2159" rank="20"/>
    <cfRule type="top10" dxfId="529" priority="2160" rank="10"/>
    <cfRule type="top10" dxfId="528" priority="2161" bottom="1" rank="30"/>
    <cfRule type="top10" dxfId="527" priority="2162" bottom="1" rank="10"/>
  </conditionalFormatting>
  <conditionalFormatting sqref="AE704:AE797">
    <cfRule type="top10" dxfId="526" priority="2171" rank="20"/>
    <cfRule type="top10" dxfId="525" priority="2172" rank="10"/>
    <cfRule type="top10" dxfId="524" priority="2173" bottom="1" rank="30"/>
    <cfRule type="top10" dxfId="523" priority="2174" bottom="1" rank="10"/>
  </conditionalFormatting>
  <conditionalFormatting sqref="AF704:AF797">
    <cfRule type="top10" dxfId="522" priority="2183" rank="20"/>
    <cfRule type="top10" dxfId="521" priority="2184" rank="10"/>
    <cfRule type="top10" dxfId="520" priority="2185" bottom="1" rank="30"/>
    <cfRule type="top10" dxfId="519" priority="2186" bottom="1" rank="10"/>
  </conditionalFormatting>
  <conditionalFormatting sqref="AG704:AG797">
    <cfRule type="top10" dxfId="518" priority="2195" rank="20"/>
    <cfRule type="top10" dxfId="517" priority="2196" rank="10"/>
    <cfRule type="top10" dxfId="516" priority="2197" bottom="1" rank="30"/>
    <cfRule type="top10" dxfId="515" priority="2198" bottom="1" rank="10"/>
  </conditionalFormatting>
  <conditionalFormatting sqref="AH704:AH797">
    <cfRule type="top10" dxfId="514" priority="2207" rank="20"/>
    <cfRule type="top10" dxfId="513" priority="2208" rank="10"/>
    <cfRule type="top10" dxfId="512" priority="2209" bottom="1" rank="30"/>
    <cfRule type="top10" dxfId="511" priority="2210" bottom="1" rank="10"/>
  </conditionalFormatting>
  <conditionalFormatting sqref="AI704:AI797">
    <cfRule type="top10" dxfId="510" priority="2219" rank="20"/>
    <cfRule type="top10" dxfId="509" priority="2220" rank="10"/>
    <cfRule type="top10" dxfId="508" priority="2221" bottom="1" rank="30"/>
    <cfRule type="top10" dxfId="507" priority="2222" bottom="1" rank="10"/>
  </conditionalFormatting>
  <conditionalFormatting sqref="AJ704:AJ797">
    <cfRule type="top10" dxfId="506" priority="2231" rank="20"/>
    <cfRule type="top10" dxfId="505" priority="2232" rank="10"/>
    <cfRule type="top10" dxfId="504" priority="2233" bottom="1" rank="30"/>
    <cfRule type="top10" dxfId="503" priority="2234" bottom="1" rank="10"/>
  </conditionalFormatting>
  <conditionalFormatting sqref="AK704:AK797">
    <cfRule type="top10" dxfId="502" priority="2327" rank="20"/>
    <cfRule type="top10" dxfId="501" priority="2328" rank="10"/>
    <cfRule type="top10" dxfId="500" priority="2329" bottom="1" rank="30"/>
    <cfRule type="top10" dxfId="499" priority="2330" bottom="1" rank="10"/>
  </conditionalFormatting>
  <conditionalFormatting sqref="AL704:AL797">
    <cfRule type="top10" dxfId="498" priority="2351" rank="20"/>
    <cfRule type="top10" dxfId="497" priority="2352" rank="10"/>
    <cfRule type="top10" dxfId="496" priority="2353" bottom="1" rank="30"/>
    <cfRule type="top10" dxfId="495"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opLeftCell="A658" zoomScale="146" zoomScaleNormal="146" workbookViewId="0">
      <selection activeCell="A664" sqref="A664:D664"/>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191">
        <v>45940.516319444447</v>
      </c>
      <c r="F1" s="454"/>
      <c r="G1" s="454"/>
      <c r="H1" s="454"/>
      <c r="I1" s="893" t="s">
        <v>1732</v>
      </c>
      <c r="S1" s="446">
        <v>500</v>
      </c>
      <c r="T1" s="446">
        <v>285.51</v>
      </c>
    </row>
    <row r="2" spans="1:20" ht="23" thickBot="1" x14ac:dyDescent="0.35">
      <c r="A2" s="462" t="s">
        <v>550</v>
      </c>
      <c r="B2" s="462" t="s">
        <v>546</v>
      </c>
      <c r="C2" s="462" t="s">
        <v>549</v>
      </c>
      <c r="D2" s="462" t="s">
        <v>139</v>
      </c>
      <c r="E2" s="1317" t="s">
        <v>660</v>
      </c>
      <c r="F2" s="920" t="s">
        <v>131</v>
      </c>
      <c r="H2" s="446" t="s">
        <v>1868</v>
      </c>
      <c r="I2" s="448" t="s">
        <v>1664</v>
      </c>
      <c r="S2" s="446">
        <v>300</v>
      </c>
      <c r="T2" s="446">
        <v>287.89</v>
      </c>
    </row>
    <row r="3" spans="1:20" ht="24" thickTop="1" thickBot="1" x14ac:dyDescent="0.35">
      <c r="A3" s="1318"/>
      <c r="B3" s="1319"/>
      <c r="C3" s="1320"/>
      <c r="D3" s="1321"/>
      <c r="E3" s="1322"/>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18"/>
      <c r="B4" s="1319"/>
      <c r="C4" s="1320"/>
      <c r="D4" s="1321"/>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23"/>
      <c r="B5" s="1021"/>
      <c r="C5" s="451"/>
      <c r="D5" s="452"/>
      <c r="E5" s="453"/>
      <c r="F5" s="446" t="str">
        <f ca="1">_xlfn.XLOOKUP(B5,TabCalc[Ticker],TabCalc[M],"no Order")</f>
        <v>no Order</v>
      </c>
      <c r="H5" s="446" t="s">
        <v>2726</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23"/>
      <c r="B6" s="1021"/>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80">
        <f>SUMPRODUCT(S1:S5,T1:T5)</f>
        <v>229122</v>
      </c>
    </row>
    <row r="7" spans="1:20" ht="23" thickBot="1" x14ac:dyDescent="0.35">
      <c r="A7" s="1323"/>
      <c r="B7" s="1021"/>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68">
        <f>T6/S6</f>
        <v>286.40249999999997</v>
      </c>
    </row>
    <row r="8" spans="1:20" ht="23" thickBot="1" x14ac:dyDescent="0.35">
      <c r="A8" s="1323"/>
      <c r="B8" s="1021"/>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23"/>
      <c r="B9" s="1021"/>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23"/>
      <c r="B10" s="1021"/>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23"/>
      <c r="B11" s="1021"/>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23"/>
      <c r="B12" s="1021"/>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23"/>
      <c r="B13" s="1021"/>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23"/>
      <c r="B14" s="1021"/>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23"/>
      <c r="B15" s="1021"/>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24"/>
      <c r="B16" s="1325"/>
      <c r="C16" s="1326"/>
      <c r="D16" s="1327"/>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86" t="s">
        <v>1134</v>
      </c>
    </row>
    <row r="34" spans="1:14" ht="23" thickBot="1" x14ac:dyDescent="0.35">
      <c r="A34" s="476" t="str">
        <f t="shared" si="0"/>
        <v/>
      </c>
      <c r="B34" s="20" t="str">
        <f t="shared" si="1"/>
        <v/>
      </c>
      <c r="C34" s="80" t="str">
        <f t="shared" si="2"/>
        <v/>
      </c>
      <c r="D34" s="477" t="str">
        <f t="shared" si="3"/>
        <v/>
      </c>
      <c r="E34" s="478">
        <f t="shared" si="4"/>
        <v>0</v>
      </c>
      <c r="F34" s="479">
        <f t="shared" si="5"/>
        <v>0</v>
      </c>
      <c r="K34" s="986" t="s">
        <v>1131</v>
      </c>
    </row>
    <row r="35" spans="1:14" x14ac:dyDescent="0.3">
      <c r="K35" s="986" t="s">
        <v>1445</v>
      </c>
    </row>
    <row r="36" spans="1:14" x14ac:dyDescent="0.3">
      <c r="K36" s="986" t="s">
        <v>1133</v>
      </c>
    </row>
    <row r="38" spans="1:14" ht="23" thickBot="1" x14ac:dyDescent="0.35">
      <c r="I38" s="812">
        <v>2.5999999999999999E-3</v>
      </c>
      <c r="J38" s="986" t="s">
        <v>1134</v>
      </c>
      <c r="K38" s="986" t="s">
        <v>1131</v>
      </c>
      <c r="L38" s="986" t="s">
        <v>1445</v>
      </c>
      <c r="M38" s="986" t="s">
        <v>1133</v>
      </c>
    </row>
    <row r="39" spans="1:14" ht="23" thickBot="1" x14ac:dyDescent="0.35">
      <c r="H39" s="1015" t="s">
        <v>2491</v>
      </c>
      <c r="I39" s="813" t="s">
        <v>1906</v>
      </c>
      <c r="J39" s="986" t="s">
        <v>1131</v>
      </c>
    </row>
    <row r="40" spans="1:14" ht="23" thickBot="1" x14ac:dyDescent="0.35">
      <c r="G40" s="1014" t="s">
        <v>2322</v>
      </c>
      <c r="H40" s="1016">
        <f ca="1">H42+I42</f>
        <v>-4594075.8330729958</v>
      </c>
      <c r="I40" s="811">
        <f ca="1">(H42-I42)*I38</f>
        <v>89888.803534589781</v>
      </c>
      <c r="J40" s="986" t="s">
        <v>1445</v>
      </c>
    </row>
    <row r="41" spans="1:14" x14ac:dyDescent="0.3">
      <c r="B41" s="454"/>
      <c r="C41" s="454"/>
      <c r="D41" s="814">
        <f>A43</f>
        <v>45684</v>
      </c>
      <c r="E41" s="810">
        <f>MAX(A43:A1003)</f>
        <v>45978</v>
      </c>
      <c r="F41" s="454" t="s">
        <v>2304</v>
      </c>
      <c r="G41" s="898" t="s">
        <v>2305</v>
      </c>
      <c r="H41" s="1017" t="s">
        <v>2228</v>
      </c>
      <c r="I41" s="1018" t="s">
        <v>1873</v>
      </c>
      <c r="J41" s="986" t="s">
        <v>1133</v>
      </c>
    </row>
    <row r="42" spans="1:14" ht="23" thickBot="1" x14ac:dyDescent="0.35">
      <c r="A42" s="461" t="s">
        <v>1659</v>
      </c>
      <c r="B42" s="1013" t="s">
        <v>546</v>
      </c>
      <c r="C42" s="1013" t="s">
        <v>549</v>
      </c>
      <c r="D42" s="1013" t="s">
        <v>139</v>
      </c>
      <c r="E42" s="1013" t="s">
        <v>999</v>
      </c>
      <c r="F42" s="811">
        <f ca="1">SUM(F43:F1000)</f>
        <v>-4594075.8330730004</v>
      </c>
      <c r="G42" s="899" t="s">
        <v>2321</v>
      </c>
      <c r="H42" s="1019" cm="1">
        <f t="array" aca="1" ref="H42" ca="1">SUM(_xlfn._xlws.FILTER(F43:F1000,F43:F1000&gt;0))</f>
        <v>14989270.455500001</v>
      </c>
      <c r="I42" s="1020" cm="1">
        <f t="array" aca="1" ref="I42" ca="1">SUM(_xlfn._xlws.FILTER(F43:F1000,F43:F1000&lt;0))</f>
        <v>-19583346.288572997</v>
      </c>
      <c r="K42" s="986" t="s">
        <v>1134</v>
      </c>
      <c r="L42" s="986" t="s">
        <v>1131</v>
      </c>
      <c r="M42" s="986" t="s">
        <v>1445</v>
      </c>
      <c r="N42" s="986" t="s">
        <v>1133</v>
      </c>
    </row>
    <row r="43" spans="1:14" x14ac:dyDescent="0.3">
      <c r="A43" s="463">
        <v>45684</v>
      </c>
      <c r="B43" s="446" t="s">
        <v>13</v>
      </c>
      <c r="C43" s="465">
        <v>2000</v>
      </c>
      <c r="D43" s="464">
        <v>36.674999999999997</v>
      </c>
      <c r="E43" s="1022">
        <f ca="1">IFERROR(C43*D43*_xlfn.XLOOKUP(B43,TabCalc[Ticker],TabCalc[Scale]),0)</f>
        <v>73350</v>
      </c>
      <c r="F43" s="1023" cm="1">
        <f t="array" aca="1" ref="F43" ca="1">IF(A43=A42,0,SUM(_xlfn._xlws.FILTER(E43:E53,A43:A53=A43)))</f>
        <v>26251.421999999999</v>
      </c>
      <c r="G43" s="1024">
        <f ca="1">IF(F43&lt;&gt;0,SUM($F$43:F43),0)</f>
        <v>26251.421999999999</v>
      </c>
      <c r="H43" s="1024" cm="1">
        <f t="array" aca="1" ref="H43" ca="1">IFERROR(IF(A43=A42,0,SUM(_xlfn._xlws.FILTER(E43:E53,(A43:A53=A43)*(E43:E53&gt;0)))),0)</f>
        <v>556728.522</v>
      </c>
      <c r="I43" s="1024" cm="1">
        <f t="array" aca="1" ref="I43" ca="1">IFERROR(IF(A43=A42,0,SUM(_xlfn._xlws.FILTER(E43:E53,(A43:A53=A43)*(F43&lt;0)))),0)</f>
        <v>0</v>
      </c>
      <c r="J43"/>
      <c r="K43"/>
      <c r="L43"/>
      <c r="M43"/>
      <c r="N43"/>
    </row>
    <row r="44" spans="1:14" x14ac:dyDescent="0.3">
      <c r="A44" s="463">
        <v>45684</v>
      </c>
      <c r="B44" s="446" t="s">
        <v>32</v>
      </c>
      <c r="C44" s="465">
        <v>200</v>
      </c>
      <c r="D44" s="464">
        <v>-647.1</v>
      </c>
      <c r="E44" s="1022">
        <f ca="1">IFERROR(C44*D44*_xlfn.XLOOKUP(B44,TabCalc[Ticker],TabCalc[Scale]),0)</f>
        <v>-129420</v>
      </c>
      <c r="F44" s="1023" cm="1">
        <f t="array" ref="F44">IF(A44=A43,0,SUM(_xlfn._xlws.FILTER(E44:E54,A44:A54=A44)))</f>
        <v>0</v>
      </c>
      <c r="G44" s="1024">
        <f>IF(F44&lt;&gt;0,SUM($F$43:F44),0)</f>
        <v>0</v>
      </c>
      <c r="H44" s="1024" cm="1">
        <f t="array" ref="H44">IFERROR(IF(A44=A43,0,SUM(_xlfn._xlws.FILTER(E44:E54,(A44:A54=A44)*(E44:E54&gt;0)))),0)</f>
        <v>0</v>
      </c>
      <c r="I44" s="1024" cm="1">
        <f t="array" ref="I44">IFERROR(IF(A44=A43,0,SUM(_xlfn._xlws.FILTER(E44:E54,(A44:A54=A44)*(F44&lt;0)))),0)</f>
        <v>0</v>
      </c>
      <c r="J44"/>
      <c r="K44"/>
      <c r="L44"/>
      <c r="M44"/>
      <c r="N44"/>
    </row>
    <row r="45" spans="1:14" x14ac:dyDescent="0.3">
      <c r="A45" s="463">
        <v>45684</v>
      </c>
      <c r="B45" s="446" t="s">
        <v>43</v>
      </c>
      <c r="C45" s="465">
        <v>800</v>
      </c>
      <c r="D45" s="464">
        <v>-189.88874999999999</v>
      </c>
      <c r="E45" s="1022">
        <f ca="1">IFERROR(C45*D45*_xlfn.XLOOKUP(B45,TabCalc[Ticker],TabCalc[Scale]),0)</f>
        <v>-151911</v>
      </c>
      <c r="F45" s="1023" cm="1">
        <f t="array" ref="F45">IF(A45=A44,0,SUM(_xlfn._xlws.FILTER(E45:E55,A45:A55=A45)))</f>
        <v>0</v>
      </c>
      <c r="G45" s="1024">
        <f>IF(F45&lt;&gt;0,SUM($F$43:F45),0)</f>
        <v>0</v>
      </c>
      <c r="H45" s="1024" cm="1">
        <f t="array" ref="H45">IFERROR(IF(A45=A44,0,SUM(_xlfn._xlws.FILTER(E45:E55,(A45:A55=A45)*(E45:E55&gt;0)))),0)</f>
        <v>0</v>
      </c>
      <c r="I45" s="1024" cm="1">
        <f t="array" ref="I45">IFERROR(IF(A45=A44,0,SUM(_xlfn._xlws.FILTER(E45:E55,(A45:A55=A45)*(F45&lt;0)))),0)</f>
        <v>0</v>
      </c>
      <c r="J45"/>
      <c r="K45"/>
      <c r="L45"/>
      <c r="M45"/>
      <c r="N45"/>
    </row>
    <row r="46" spans="1:14" x14ac:dyDescent="0.3">
      <c r="A46" s="463">
        <v>45684</v>
      </c>
      <c r="B46" s="446" t="s">
        <v>28</v>
      </c>
      <c r="C46" s="465">
        <v>1200</v>
      </c>
      <c r="D46" s="464">
        <v>72.409469999999999</v>
      </c>
      <c r="E46" s="1022">
        <f ca="1">IFERROR(C46*D46*_xlfn.XLOOKUP(B46,TabCalc[Ticker],TabCalc[Scale]),0)</f>
        <v>86891.364000000001</v>
      </c>
      <c r="F46" s="1023" cm="1">
        <f t="array" ref="F46">IF(A46=A45,0,SUM(_xlfn._xlws.FILTER(E46:E56,A46:A56=A46)))</f>
        <v>0</v>
      </c>
      <c r="G46" s="1024">
        <f>IF(F46&lt;&gt;0,SUM($F$43:F46),0)</f>
        <v>0</v>
      </c>
      <c r="H46" s="1024" cm="1">
        <f t="array" ref="H46">IFERROR(IF(A46=A45,0,SUM(_xlfn._xlws.FILTER(E46:E56,(A46:A56=A46)*(E46:E56&gt;0)))),0)</f>
        <v>0</v>
      </c>
      <c r="I46" s="1024" cm="1">
        <f t="array" ref="I46">IFERROR(IF(A46=A45,0,SUM(_xlfn._xlws.FILTER(E46:E56,(A46:A56=A46)*(F46&lt;0)))),0)</f>
        <v>0</v>
      </c>
      <c r="J46"/>
      <c r="K46"/>
      <c r="L46"/>
      <c r="M46"/>
      <c r="N46"/>
    </row>
    <row r="47" spans="1:14" x14ac:dyDescent="0.3">
      <c r="A47" s="463">
        <v>45684</v>
      </c>
      <c r="B47" s="446" t="s">
        <v>12</v>
      </c>
      <c r="C47" s="465">
        <v>900</v>
      </c>
      <c r="D47" s="464">
        <v>113.21462</v>
      </c>
      <c r="E47" s="1022">
        <f ca="1">IFERROR(C47*D47*_xlfn.XLOOKUP(B47,TabCalc[Ticker],TabCalc[Scale]),0)</f>
        <v>101893.158</v>
      </c>
      <c r="F47" s="1023" cm="1">
        <f t="array" ref="F47">IF(A47=A46,0,SUM(_xlfn._xlws.FILTER(E47:E57,A47:A57=A47)))</f>
        <v>0</v>
      </c>
      <c r="G47" s="1024">
        <f>IF(F47&lt;&gt;0,SUM($F$43:F47),0)</f>
        <v>0</v>
      </c>
      <c r="H47" s="1024" cm="1">
        <f t="array" ref="H47">IFERROR(IF(A47=A46,0,SUM(_xlfn._xlws.FILTER(E47:E57,(A47:A57=A47)*(E47:E57&gt;0)))),0)</f>
        <v>0</v>
      </c>
      <c r="I47" s="1024" cm="1">
        <f t="array" ref="I47">IFERROR(IF(A47=A46,0,SUM(_xlfn._xlws.FILTER(E47:E57,(A47:A57=A47)*(F47&lt;0)))),0)</f>
        <v>0</v>
      </c>
      <c r="J47"/>
      <c r="K47"/>
      <c r="L47"/>
      <c r="M47"/>
      <c r="N47"/>
    </row>
    <row r="48" spans="1:14" x14ac:dyDescent="0.3">
      <c r="A48" s="463">
        <v>45684</v>
      </c>
      <c r="B48" s="446" t="s">
        <v>21</v>
      </c>
      <c r="C48" s="465">
        <v>5000</v>
      </c>
      <c r="D48" s="464">
        <v>32.770000000000003</v>
      </c>
      <c r="E48" s="1022">
        <f ca="1">IFERROR(C48*D48*_xlfn.XLOOKUP(B48,TabCalc[Ticker],TabCalc[Scale]),0)</f>
        <v>163850.00000000003</v>
      </c>
      <c r="F48" s="1023" cm="1">
        <f t="array" ref="F48">IF(A48=A47,0,SUM(_xlfn._xlws.FILTER(E48:E58,A48:A58=A48)))</f>
        <v>0</v>
      </c>
      <c r="G48" s="1024">
        <f>IF(F48&lt;&gt;0,SUM($F$43:F48),0)</f>
        <v>0</v>
      </c>
      <c r="H48" s="1024" cm="1">
        <f t="array" ref="H48">IFERROR(IF(A48=A47,0,SUM(_xlfn._xlws.FILTER(E48:E58,(A48:A58=A48)*(E48:E58&gt;0)))),0)</f>
        <v>0</v>
      </c>
      <c r="I48" s="1024" cm="1">
        <f t="array" ref="I48">IFERROR(IF(A48=A47,0,SUM(_xlfn._xlws.FILTER(E48:E58,(A48:A58=A48)*(F48&lt;0)))),0)</f>
        <v>0</v>
      </c>
      <c r="J48"/>
      <c r="K48"/>
      <c r="L48"/>
      <c r="M48"/>
      <c r="N48"/>
    </row>
    <row r="49" spans="1:14" x14ac:dyDescent="0.3">
      <c r="A49" s="463">
        <v>45684</v>
      </c>
      <c r="B49" s="446" t="s">
        <v>5</v>
      </c>
      <c r="C49" s="465">
        <v>1300</v>
      </c>
      <c r="D49" s="464">
        <v>70.209999999999994</v>
      </c>
      <c r="E49" s="1022">
        <f ca="1">IFERROR(C49*D49*_xlfn.XLOOKUP(B49,TabCalc[Ticker],TabCalc[Scale]),0)</f>
        <v>91272.999999999985</v>
      </c>
      <c r="F49" s="1023" cm="1">
        <f t="array" ref="F49">IF(A49=A48,0,SUM(_xlfn._xlws.FILTER(E49:E59,A49:A59=A49)))</f>
        <v>0</v>
      </c>
      <c r="G49" s="1024">
        <f>IF(F49&lt;&gt;0,SUM($F$43:F49),0)</f>
        <v>0</v>
      </c>
      <c r="H49" s="1024" cm="1">
        <f t="array" ref="H49">IFERROR(IF(A49=A48,0,SUM(_xlfn._xlws.FILTER(E49:E59,(A49:A59=A49)*(E49:E59&gt;0)))),0)</f>
        <v>0</v>
      </c>
      <c r="I49" s="1024" cm="1">
        <f t="array" ref="I49">IFERROR(IF(A49=A48,0,SUM(_xlfn._xlws.FILTER(E49:E59,(A49:A59=A49)*(F49&lt;0)))),0)</f>
        <v>0</v>
      </c>
      <c r="J49"/>
      <c r="K49"/>
      <c r="L49"/>
      <c r="M49"/>
      <c r="N49"/>
    </row>
    <row r="50" spans="1:14" x14ac:dyDescent="0.3">
      <c r="A50" s="463">
        <v>45684</v>
      </c>
      <c r="B50" s="446" t="s">
        <v>46</v>
      </c>
      <c r="C50" s="465">
        <v>200</v>
      </c>
      <c r="D50" s="464">
        <v>197.35499999999999</v>
      </c>
      <c r="E50" s="1022">
        <f ca="1">IFERROR(C50*D50*_xlfn.XLOOKUP(B50,TabCalc[Ticker],TabCalc[Scale]),0)</f>
        <v>39471</v>
      </c>
      <c r="F50" s="1023" cm="1">
        <f t="array" ref="F50">IF(A50=A49,0,SUM(_xlfn._xlws.FILTER(E50:E60,A50:A60=A50)))</f>
        <v>0</v>
      </c>
      <c r="G50" s="1024">
        <f>IF(F50&lt;&gt;0,SUM($F$43:F50),0)</f>
        <v>0</v>
      </c>
      <c r="H50" s="1024" cm="1">
        <f t="array" ref="H50">IFERROR(IF(A50=A49,0,SUM(_xlfn._xlws.FILTER(E50:E60,(A50:A60=A50)*(E50:E60&gt;0)))),0)</f>
        <v>0</v>
      </c>
      <c r="I50" s="1024" cm="1">
        <f t="array" ref="I50">IFERROR(IF(A50=A49,0,SUM(_xlfn._xlws.FILTER(E50:E60,(A50:A60=A50)*(F50&lt;0)))),0)</f>
        <v>0</v>
      </c>
      <c r="J50"/>
      <c r="K50"/>
      <c r="L50"/>
      <c r="M50"/>
      <c r="N50"/>
    </row>
    <row r="51" spans="1:14" x14ac:dyDescent="0.3">
      <c r="A51" s="463">
        <v>45684</v>
      </c>
      <c r="B51" s="446" t="s">
        <v>9</v>
      </c>
      <c r="C51" s="465">
        <v>2000</v>
      </c>
      <c r="D51" s="464">
        <v>-59.125</v>
      </c>
      <c r="E51" s="1022">
        <f ca="1">IFERROR(C51*D51*_xlfn.XLOOKUP(B51,TabCalc[Ticker],TabCalc[Scale]),0)</f>
        <v>-118250</v>
      </c>
      <c r="F51" s="1023" cm="1">
        <f t="array" ref="F51">IF(A51=A50,0,SUM(_xlfn._xlws.FILTER(E51:E61,A51:A61=A51)))</f>
        <v>0</v>
      </c>
      <c r="G51" s="1024">
        <f>IF(F51&lt;&gt;0,SUM($F$43:F51),0)</f>
        <v>0</v>
      </c>
      <c r="H51" s="1024" cm="1">
        <f t="array" ref="H51">IFERROR(IF(A51=A50,0,SUM(_xlfn._xlws.FILTER(E51:E61,(A51:A61=A51)*(E51:E61&gt;0)))),0)</f>
        <v>0</v>
      </c>
      <c r="I51" s="1024" cm="1">
        <f t="array" ref="I51">IFERROR(IF(A51=A50,0,SUM(_xlfn._xlws.FILTER(E51:E61,(A51:A61=A51)*(F51&lt;0)))),0)</f>
        <v>0</v>
      </c>
      <c r="J51"/>
      <c r="K51"/>
      <c r="L51"/>
      <c r="M51"/>
      <c r="N51"/>
    </row>
    <row r="52" spans="1:14" hidden="1" x14ac:dyDescent="0.3">
      <c r="A52" s="463">
        <v>45684</v>
      </c>
      <c r="B52" s="446" t="s">
        <v>23</v>
      </c>
      <c r="C52" s="465">
        <v>2000</v>
      </c>
      <c r="D52" s="464">
        <v>-60.379750000000001</v>
      </c>
      <c r="E52" s="1022">
        <f ca="1">IFERROR(C52*D52*_xlfn.XLOOKUP(B52,TabCalc[Ticker],TabCalc[Scale]),0)</f>
        <v>-120759.5</v>
      </c>
      <c r="F52" s="1023" cm="1">
        <f t="array" ref="F52">IF(A52=A51,0,SUM(_xlfn._xlws.FILTER(E52:E62,A52:A62=A52)))</f>
        <v>0</v>
      </c>
      <c r="G52" s="1024">
        <f>IF(F52&lt;&gt;0,SUM($F$43:F52),0)</f>
        <v>0</v>
      </c>
      <c r="H52" s="1024" cm="1">
        <f t="array" ref="H52">IFERROR(IF(A52=A51,0,SUM(_xlfn._xlws.FILTER(E52:E62,(A52:A62=A52)*(E52:E62&gt;0)))),0)</f>
        <v>0</v>
      </c>
      <c r="I52" s="1024" cm="1">
        <f t="array" ref="I52">IFERROR(IF(A52=A51,0,SUM(_xlfn._xlws.FILTER(E52:E62,(A52:A62=A52)*(F52&lt;0)))),0)</f>
        <v>0</v>
      </c>
      <c r="J52"/>
      <c r="K52"/>
      <c r="L52"/>
      <c r="M52"/>
      <c r="N52"/>
    </row>
    <row r="53" spans="1:14" hidden="1" x14ac:dyDescent="0.3">
      <c r="A53" s="463">
        <v>45684</v>
      </c>
      <c r="B53" s="446" t="s">
        <v>25</v>
      </c>
      <c r="C53" s="465">
        <v>2000</v>
      </c>
      <c r="D53" s="464">
        <v>-5.0682999999999998</v>
      </c>
      <c r="E53" s="1022">
        <f ca="1">IFERROR(C53*D53*_xlfn.XLOOKUP(B53,TabCalc[Ticker],TabCalc[Scale]),0)</f>
        <v>-10136.6</v>
      </c>
      <c r="F53" s="1023" cm="1">
        <f t="array" ref="F53">IF(A53=A52,0,SUM(_xlfn._xlws.FILTER(E53:E63,A53:A63=A53)))</f>
        <v>0</v>
      </c>
      <c r="G53" s="1024">
        <f>IF(F53&lt;&gt;0,SUM($F$43:F53),0)</f>
        <v>0</v>
      </c>
      <c r="H53" s="1024" cm="1">
        <f t="array" ref="H53">IFERROR(IF(A53=A52,0,SUM(_xlfn._xlws.FILTER(E53:E63,(A53:A63=A53)*(E53:E63&gt;0)))),0)</f>
        <v>0</v>
      </c>
      <c r="I53" s="1024" cm="1">
        <f t="array" ref="I53">IFERROR(IF(A53=A52,0,SUM(_xlfn._xlws.FILTER(E53:E63,(A53:A63=A53)*(F53&lt;0)))),0)</f>
        <v>0</v>
      </c>
      <c r="J53"/>
      <c r="K53"/>
      <c r="L53"/>
      <c r="M53"/>
      <c r="N53"/>
    </row>
    <row r="54" spans="1:14" hidden="1" x14ac:dyDescent="0.3">
      <c r="A54" s="463">
        <v>45684</v>
      </c>
      <c r="B54" s="446" t="s">
        <v>20</v>
      </c>
      <c r="C54" s="465">
        <v>4000</v>
      </c>
      <c r="D54" s="464">
        <v>-22.580249999999999</v>
      </c>
      <c r="E54" s="1022">
        <f ca="1">IFERROR(C54*D54*_xlfn.XLOOKUP(B54,TabCalc[Ticker],TabCalc[Scale]),0)</f>
        <v>-90321</v>
      </c>
      <c r="F54" s="1023" cm="1">
        <f t="array" ref="F54">IF(A54=A53,0,SUM(_xlfn._xlws.FILTER(E54:E64,A54:A64=A54)))</f>
        <v>0</v>
      </c>
      <c r="G54" s="1024">
        <f>IF(F54&lt;&gt;0,SUM($F$43:F54),0)</f>
        <v>0</v>
      </c>
      <c r="H54" s="1024" cm="1">
        <f t="array" ref="H54">IFERROR(IF(A54=A53,0,SUM(_xlfn._xlws.FILTER(E54:E64,(A54:A64=A54)*(E54:E64&gt;0)))),0)</f>
        <v>0</v>
      </c>
      <c r="I54" s="1024" cm="1">
        <f t="array" ref="I54">IFERROR(IF(A54=A53,0,SUM(_xlfn._xlws.FILTER(E54:E64,(A54:A64=A54)*(F54&lt;0)))),0)</f>
        <v>0</v>
      </c>
      <c r="J54"/>
      <c r="K54"/>
      <c r="L54"/>
      <c r="M54"/>
      <c r="N54"/>
    </row>
    <row r="55" spans="1:14" hidden="1" x14ac:dyDescent="0.3">
      <c r="A55" s="449">
        <v>45685</v>
      </c>
      <c r="B55" s="462" t="s">
        <v>53</v>
      </c>
      <c r="C55" s="451">
        <v>10000</v>
      </c>
      <c r="D55" s="452">
        <v>1.46</v>
      </c>
      <c r="E55" s="1022">
        <f ca="1">IFERROR(C55*D55*_xlfn.XLOOKUP(B55,TabCalc[Ticker],TabCalc[Scale]),0)</f>
        <v>14600</v>
      </c>
      <c r="F55" s="1023" cm="1">
        <f t="array" aca="1" ref="F55" ca="1">IF(A55=A54,0,SUM(_xlfn._xlws.FILTER(E55:E65,A55:A65=A55)))</f>
        <v>121666.84</v>
      </c>
      <c r="G55" s="1024">
        <f ca="1">IF(F55&lt;&gt;0,SUM($F$43:F55),0)</f>
        <v>147918.26199999999</v>
      </c>
      <c r="H55" s="1024" cm="1">
        <f t="array" aca="1" ref="H55" ca="1">IFERROR(IF(A55=A54,0,SUM(_xlfn._xlws.FILTER(E55:E65,(A55:A65=A55)*(E55:E65&gt;0)))),0)</f>
        <v>256960.69</v>
      </c>
      <c r="I55" s="1024"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22">
        <f ca="1">IFERROR(C56*D56*_xlfn.XLOOKUP(B56,TabCalc[Ticker],TabCalc[Scale]),0)</f>
        <v>-71008.849999999991</v>
      </c>
      <c r="F56" s="1023" cm="1">
        <f t="array" ref="F56">IF(A56=A55,0,SUM(_xlfn._xlws.FILTER(E56:E66,A56:A66=A56)))</f>
        <v>0</v>
      </c>
      <c r="G56" s="1024">
        <f>IF(F56&lt;&gt;0,SUM($F$43:F56),0)</f>
        <v>0</v>
      </c>
      <c r="H56" s="1024" cm="1">
        <f t="array" ref="H56">IFERROR(IF(A56=A55,0,SUM(_xlfn._xlws.FILTER(E56:E66,(A56:A66=A56)*(E56:E66&gt;0)))),0)</f>
        <v>0</v>
      </c>
      <c r="I56" s="1024" cm="1">
        <f t="array" ref="I56">IFERROR(IF(A56=A55,0,SUM(_xlfn._xlws.FILTER(E56:E66,(A56:A66=A56)*(F56&lt;0)))),0)</f>
        <v>0</v>
      </c>
      <c r="J56"/>
      <c r="K56"/>
      <c r="L56"/>
      <c r="M56"/>
      <c r="N56"/>
    </row>
    <row r="57" spans="1:14" hidden="1" x14ac:dyDescent="0.3">
      <c r="A57" s="449">
        <v>45685</v>
      </c>
      <c r="B57" s="450" t="s">
        <v>82</v>
      </c>
      <c r="C57" s="451">
        <v>100</v>
      </c>
      <c r="D57" s="452">
        <v>546.66999999999996</v>
      </c>
      <c r="E57" s="1022">
        <f ca="1">IFERROR(C57*D57*_xlfn.XLOOKUP(B57,TabCalc[Ticker],TabCalc[Scale]),0)</f>
        <v>54666.999999999993</v>
      </c>
      <c r="F57" s="1023" cm="1">
        <f t="array" ref="F57">IF(A57=A56,0,SUM(_xlfn._xlws.FILTER(E57:E67,A57:A67=A57)))</f>
        <v>0</v>
      </c>
      <c r="G57" s="1024">
        <f>IF(F57&lt;&gt;0,SUM($F$43:F57),0)</f>
        <v>0</v>
      </c>
      <c r="H57" s="1024" cm="1">
        <f t="array" ref="H57">IFERROR(IF(A57=A56,0,SUM(_xlfn._xlws.FILTER(E57:E67,(A57:A67=A57)*(E57:E67&gt;0)))),0)</f>
        <v>0</v>
      </c>
      <c r="I57" s="1024" cm="1">
        <f t="array" ref="I57">IFERROR(IF(A57=A56,0,SUM(_xlfn._xlws.FILTER(E57:E67,(A57:A67=A57)*(F57&lt;0)))),0)</f>
        <v>0</v>
      </c>
      <c r="J57"/>
      <c r="K57"/>
      <c r="L57"/>
      <c r="M57"/>
      <c r="N57"/>
    </row>
    <row r="58" spans="1:14" hidden="1" x14ac:dyDescent="0.3">
      <c r="A58" s="449">
        <v>45685</v>
      </c>
      <c r="B58" s="450" t="s">
        <v>69</v>
      </c>
      <c r="C58" s="451">
        <v>700</v>
      </c>
      <c r="D58" s="452">
        <v>113.19670000000001</v>
      </c>
      <c r="E58" s="1022">
        <f ca="1">IFERROR(C58*D58*_xlfn.XLOOKUP(B58,TabCalc[Ticker],TabCalc[Scale]),0)</f>
        <v>79237.69</v>
      </c>
      <c r="F58" s="1023" cm="1">
        <f t="array" ref="F58">IF(A58=A57,0,SUM(_xlfn._xlws.FILTER(E58:E68,A58:A68=A58)))</f>
        <v>0</v>
      </c>
      <c r="G58" s="1024">
        <f>IF(F58&lt;&gt;0,SUM($F$43:F58),0)</f>
        <v>0</v>
      </c>
      <c r="H58" s="1024" cm="1">
        <f t="array" ref="H58">IFERROR(IF(A58=A57,0,SUM(_xlfn._xlws.FILTER(E58:E68,(A58:A68=A58)*(E58:E68&gt;0)))),0)</f>
        <v>0</v>
      </c>
      <c r="I58" s="1024" cm="1">
        <f t="array" ref="I58">IFERROR(IF(A58=A57,0,SUM(_xlfn._xlws.FILTER(E58:E68,(A58:A68=A58)*(F58&lt;0)))),0)</f>
        <v>0</v>
      </c>
      <c r="J58"/>
      <c r="K58"/>
      <c r="L58"/>
      <c r="M58"/>
      <c r="N58"/>
    </row>
    <row r="59" spans="1:14" hidden="1" x14ac:dyDescent="0.3">
      <c r="A59" s="449">
        <v>45685</v>
      </c>
      <c r="B59" s="450" t="s">
        <v>66</v>
      </c>
      <c r="C59" s="451">
        <v>200</v>
      </c>
      <c r="D59" s="452">
        <v>231.18</v>
      </c>
      <c r="E59" s="1022">
        <f ca="1">IFERROR(C59*D59*_xlfn.XLOOKUP(B59,TabCalc[Ticker],TabCalc[Scale]),0)</f>
        <v>46236</v>
      </c>
      <c r="F59" s="1023" cm="1">
        <f t="array" ref="F59">IF(A59=A58,0,SUM(_xlfn._xlws.FILTER(E59:E69,A59:A69=A59)))</f>
        <v>0</v>
      </c>
      <c r="G59" s="1024">
        <f>IF(F59&lt;&gt;0,SUM($F$43:F59),0)</f>
        <v>0</v>
      </c>
      <c r="H59" s="1024" cm="1">
        <f t="array" ref="H59">IFERROR(IF(A59=A58,0,SUM(_xlfn._xlws.FILTER(E59:E69,(A59:A69=A59)*(E59:E69&gt;0)))),0)</f>
        <v>0</v>
      </c>
      <c r="I59" s="1024" cm="1">
        <f t="array" ref="I59">IFERROR(IF(A59=A58,0,SUM(_xlfn._xlws.FILTER(E59:E69,(A59:A69=A59)*(F59&lt;0)))),0)</f>
        <v>0</v>
      </c>
      <c r="J59"/>
      <c r="K59"/>
      <c r="L59"/>
      <c r="M59"/>
      <c r="N59"/>
    </row>
    <row r="60" spans="1:14" hidden="1" x14ac:dyDescent="0.3">
      <c r="A60" s="449">
        <v>45685</v>
      </c>
      <c r="B60" s="450" t="s">
        <v>73</v>
      </c>
      <c r="C60" s="451">
        <v>100</v>
      </c>
      <c r="D60" s="452">
        <v>-642.85</v>
      </c>
      <c r="E60" s="1022">
        <f ca="1">IFERROR(C60*D60*_xlfn.XLOOKUP(B60,TabCalc[Ticker],TabCalc[Scale]),0)</f>
        <v>-64285</v>
      </c>
      <c r="F60" s="1023" cm="1">
        <f t="array" ref="F60">IF(A60=A59,0,SUM(_xlfn._xlws.FILTER(E60:E70,A60:A70=A60)))</f>
        <v>0</v>
      </c>
      <c r="G60" s="1024">
        <f>IF(F60&lt;&gt;0,SUM($F$43:F60),0)</f>
        <v>0</v>
      </c>
      <c r="H60" s="1024" cm="1">
        <f t="array" ref="H60">IFERROR(IF(A60=A59,0,SUM(_xlfn._xlws.FILTER(E60:E70,(A60:A70=A60)*(E60:E70&gt;0)))),0)</f>
        <v>0</v>
      </c>
      <c r="I60" s="1024" cm="1">
        <f t="array" ref="I60">IFERROR(IF(A60=A59,0,SUM(_xlfn._xlws.FILTER(E60:E70,(A60:A70=A60)*(F60&lt;0)))),0)</f>
        <v>0</v>
      </c>
      <c r="J60"/>
      <c r="K60"/>
      <c r="L60"/>
      <c r="M60"/>
      <c r="N60"/>
    </row>
    <row r="61" spans="1:14" hidden="1" x14ac:dyDescent="0.3">
      <c r="A61" s="449">
        <v>45685</v>
      </c>
      <c r="B61" s="450" t="s">
        <v>75</v>
      </c>
      <c r="C61" s="451">
        <v>6000</v>
      </c>
      <c r="D61" s="452">
        <v>10.37</v>
      </c>
      <c r="E61" s="1022">
        <f ca="1">IFERROR(C61*D61*_xlfn.XLOOKUP(B61,TabCalc[Ticker],TabCalc[Scale]),0)</f>
        <v>62219.999999999993</v>
      </c>
      <c r="F61" s="1023" cm="1">
        <f t="array" ref="F61">IF(A61=A60,0,SUM(_xlfn._xlws.FILTER(E61:E71,A61:A71=A61)))</f>
        <v>0</v>
      </c>
      <c r="G61" s="1024">
        <f>IF(F61&lt;&gt;0,SUM($F$43:F61),0)</f>
        <v>0</v>
      </c>
      <c r="H61" s="1024" cm="1">
        <f t="array" ref="H61">IFERROR(IF(A61=A60,0,SUM(_xlfn._xlws.FILTER(E61:E71,(A61:A71=A61)*(E61:E71&gt;0)))),0)</f>
        <v>0</v>
      </c>
      <c r="I61" s="1024" cm="1">
        <f t="array" ref="I61">IFERROR(IF(A61=A60,0,SUM(_xlfn._xlws.FILTER(E61:E71,(A61:A71=A61)*(F61&lt;0)))),0)</f>
        <v>0</v>
      </c>
      <c r="J61"/>
      <c r="K61"/>
      <c r="L61"/>
      <c r="M61"/>
      <c r="N61"/>
    </row>
    <row r="62" spans="1:14" hidden="1" x14ac:dyDescent="0.3">
      <c r="A62" s="463">
        <v>45686</v>
      </c>
      <c r="B62" s="446" t="s">
        <v>42</v>
      </c>
      <c r="C62" s="465">
        <v>6300</v>
      </c>
      <c r="D62" s="464">
        <v>10.39</v>
      </c>
      <c r="E62" s="1022">
        <f ca="1">IFERROR(C62*D62*_xlfn.XLOOKUP(B62,TabCalc[Ticker],TabCalc[Scale]),0)</f>
        <v>65457</v>
      </c>
      <c r="F62" s="1023" cm="1">
        <f t="array" aca="1" ref="F62" ca="1">IF(A62=A61,0,SUM(_xlfn._xlws.FILTER(E62:E72,A62:A72=A62)))</f>
        <v>408827.35000000003</v>
      </c>
      <c r="G62" s="1024">
        <f ca="1">IF(F62&lt;&gt;0,SUM($F$43:F62),0)</f>
        <v>556745.61199999996</v>
      </c>
      <c r="H62" s="1024" cm="1">
        <f t="array" aca="1" ref="H62" ca="1">IFERROR(IF(A62=A61,0,SUM(_xlfn._xlws.FILTER(E62:E72,(A62:A72=A62)*(E62:E72&gt;0)))),0)</f>
        <v>505636.2</v>
      </c>
      <c r="I62" s="1024" cm="1">
        <f t="array" aca="1" ref="I62" ca="1">IFERROR(IF(A62=A61,0,SUM(_xlfn._xlws.FILTER(E62:E72,(A62:A72=A62)*(F62&lt;0)))),0)</f>
        <v>0</v>
      </c>
      <c r="J62"/>
      <c r="K62"/>
      <c r="L62"/>
      <c r="M62"/>
      <c r="N62"/>
    </row>
    <row r="63" spans="1:14" hidden="1" x14ac:dyDescent="0.3">
      <c r="A63" s="463">
        <v>45686</v>
      </c>
      <c r="B63" s="446" t="s">
        <v>37</v>
      </c>
      <c r="C63" s="465">
        <v>4000</v>
      </c>
      <c r="D63" s="464">
        <v>29.33</v>
      </c>
      <c r="E63" s="1022">
        <f ca="1">IFERROR(C63*D63*_xlfn.XLOOKUP(B63,TabCalc[Ticker],TabCalc[Scale]),0)</f>
        <v>117320</v>
      </c>
      <c r="F63" s="1023" cm="1">
        <f t="array" ref="F63">IF(A63=A62,0,SUM(_xlfn._xlws.FILTER(E63:E73,A63:A73=A63)))</f>
        <v>0</v>
      </c>
      <c r="G63" s="1024">
        <f>IF(F63&lt;&gt;0,SUM($F$43:F63),0)</f>
        <v>0</v>
      </c>
      <c r="H63" s="1024" cm="1">
        <f t="array" ref="H63">IFERROR(IF(A63=A62,0,SUM(_xlfn._xlws.FILTER(E63:E73,(A63:A73=A63)*(E63:E73&gt;0)))),0)</f>
        <v>0</v>
      </c>
      <c r="I63" s="1024" cm="1">
        <f t="array" ref="I63">IFERROR(IF(A63=A62,0,SUM(_xlfn._xlws.FILTER(E63:E73,(A63:A73=A63)*(F63&lt;0)))),0)</f>
        <v>0</v>
      </c>
      <c r="J63"/>
      <c r="K63"/>
      <c r="L63"/>
      <c r="M63"/>
      <c r="N63"/>
    </row>
    <row r="64" spans="1:14" hidden="1" x14ac:dyDescent="0.3">
      <c r="A64" s="463">
        <v>45686</v>
      </c>
      <c r="B64" s="446" t="s">
        <v>59</v>
      </c>
      <c r="C64" s="465">
        <v>4000</v>
      </c>
      <c r="D64" s="464">
        <v>29.29</v>
      </c>
      <c r="E64" s="1022">
        <f ca="1">IFERROR(C64*D64*_xlfn.XLOOKUP(B64,TabCalc[Ticker],TabCalc[Scale]),0)</f>
        <v>117160</v>
      </c>
      <c r="F64" s="1023" cm="1">
        <f t="array" ref="F64">IF(A64=A63,0,SUM(_xlfn._xlws.FILTER(E64:E74,A64:A74=A64)))</f>
        <v>0</v>
      </c>
      <c r="G64" s="1024">
        <f>IF(F64&lt;&gt;0,SUM($F$43:F64),0)</f>
        <v>0</v>
      </c>
      <c r="H64" s="1024" cm="1">
        <f t="array" ref="H64">IFERROR(IF(A64=A63,0,SUM(_xlfn._xlws.FILTER(E64:E74,(A64:A74=A64)*(E64:E74&gt;0)))),0)</f>
        <v>0</v>
      </c>
      <c r="I64" s="1024" cm="1">
        <f t="array" ref="I64">IFERROR(IF(A64=A63,0,SUM(_xlfn._xlws.FILTER(E64:E74,(A64:A74=A64)*(F64&lt;0)))),0)</f>
        <v>0</v>
      </c>
      <c r="J64"/>
      <c r="K64"/>
      <c r="L64"/>
      <c r="M64"/>
      <c r="N64"/>
    </row>
    <row r="65" spans="1:14" hidden="1" x14ac:dyDescent="0.3">
      <c r="A65" s="463">
        <v>45686</v>
      </c>
      <c r="B65" s="446" t="s">
        <v>8</v>
      </c>
      <c r="C65" s="465">
        <v>500</v>
      </c>
      <c r="D65" s="464">
        <v>80.89</v>
      </c>
      <c r="E65" s="1022">
        <f ca="1">IFERROR(C65*D65*_xlfn.XLOOKUP(B65,TabCalc[Ticker],TabCalc[Scale]),0)</f>
        <v>40445</v>
      </c>
      <c r="F65" s="1023" cm="1">
        <f t="array" ref="F65">IF(A65=A64,0,SUM(_xlfn._xlws.FILTER(E65:E75,A65:A75=A65)))</f>
        <v>0</v>
      </c>
      <c r="G65" s="1024">
        <f>IF(F65&lt;&gt;0,SUM($F$43:F65),0)</f>
        <v>0</v>
      </c>
      <c r="H65" s="1024" cm="1">
        <f t="array" ref="H65">IFERROR(IF(A65=A64,0,SUM(_xlfn._xlws.FILTER(E65:E75,(A65:A75=A65)*(E65:E75&gt;0)))),0)</f>
        <v>0</v>
      </c>
      <c r="I65" s="1024" cm="1">
        <f t="array" ref="I65">IFERROR(IF(A65=A64,0,SUM(_xlfn._xlws.FILTER(E65:E75,(A65:A75=A65)*(F65&lt;0)))),0)</f>
        <v>0</v>
      </c>
      <c r="J65"/>
      <c r="K65"/>
      <c r="L65"/>
      <c r="M65"/>
      <c r="N65"/>
    </row>
    <row r="66" spans="1:14" hidden="1" x14ac:dyDescent="0.3">
      <c r="A66" s="463">
        <v>45686</v>
      </c>
      <c r="B66" s="446" t="s">
        <v>17</v>
      </c>
      <c r="C66" s="465">
        <v>15000</v>
      </c>
      <c r="D66" s="464">
        <v>-1.72</v>
      </c>
      <c r="E66" s="1022">
        <f ca="1">IFERROR(C66*D66*_xlfn.XLOOKUP(B66,TabCalc[Ticker],TabCalc[Scale]),0)</f>
        <v>-25800</v>
      </c>
      <c r="F66" s="1023" cm="1">
        <f t="array" ref="F66">IF(A66=A65,0,SUM(_xlfn._xlws.FILTER(E66:E76,A66:A76=A66)))</f>
        <v>0</v>
      </c>
      <c r="G66" s="1024">
        <f>IF(F66&lt;&gt;0,SUM($F$43:F66),0)</f>
        <v>0</v>
      </c>
      <c r="H66" s="1024" cm="1">
        <f t="array" ref="H66">IFERROR(IF(A66=A65,0,SUM(_xlfn._xlws.FILTER(E66:E76,(A66:A76=A66)*(E66:E76&gt;0)))),0)</f>
        <v>0</v>
      </c>
      <c r="I66" s="1024" cm="1">
        <f t="array" ref="I66">IFERROR(IF(A66=A65,0,SUM(_xlfn._xlws.FILTER(E66:E76,(A66:A76=A66)*(F66&lt;0)))),0)</f>
        <v>0</v>
      </c>
      <c r="J66"/>
      <c r="K66"/>
      <c r="L66"/>
      <c r="M66"/>
      <c r="N66"/>
    </row>
    <row r="67" spans="1:14" hidden="1" x14ac:dyDescent="0.3">
      <c r="A67" s="463">
        <v>45686</v>
      </c>
      <c r="B67" s="446" t="s">
        <v>26</v>
      </c>
      <c r="C67" s="465">
        <v>3000</v>
      </c>
      <c r="D67" s="464">
        <v>41.35</v>
      </c>
      <c r="E67" s="1022">
        <f ca="1">IFERROR(C67*D67*_xlfn.XLOOKUP(B67,TabCalc[Ticker],TabCalc[Scale]),0)</f>
        <v>124050</v>
      </c>
      <c r="F67" s="1023" cm="1">
        <f t="array" ref="F67">IF(A67=A66,0,SUM(_xlfn._xlws.FILTER(E67:E77,A67:A77=A67)))</f>
        <v>0</v>
      </c>
      <c r="G67" s="1024">
        <f>IF(F67&lt;&gt;0,SUM($F$43:F67),0)</f>
        <v>0</v>
      </c>
      <c r="H67" s="1024" cm="1">
        <f t="array" ref="H67">IFERROR(IF(A67=A66,0,SUM(_xlfn._xlws.FILTER(E67:E77,(A67:A77=A67)*(E67:E77&gt;0)))),0)</f>
        <v>0</v>
      </c>
      <c r="I67" s="1024" cm="1">
        <f t="array" ref="I67">IFERROR(IF(A67=A66,0,SUM(_xlfn._xlws.FILTER(E67:E77,(A67:A77=A67)*(F67&lt;0)))),0)</f>
        <v>0</v>
      </c>
      <c r="J67"/>
      <c r="K67"/>
      <c r="L67"/>
      <c r="M67"/>
      <c r="N67"/>
    </row>
    <row r="68" spans="1:14" hidden="1" x14ac:dyDescent="0.3">
      <c r="A68" s="463">
        <v>45686</v>
      </c>
      <c r="B68" s="446" t="s">
        <v>72</v>
      </c>
      <c r="C68" s="465">
        <v>400</v>
      </c>
      <c r="D68" s="464">
        <v>103.01049999999999</v>
      </c>
      <c r="E68" s="1022">
        <f ca="1">IFERROR(C68*D68*_xlfn.XLOOKUP(B68,TabCalc[Ticker],TabCalc[Scale]),0)</f>
        <v>41204.199999999997</v>
      </c>
      <c r="F68" s="1023" cm="1">
        <f t="array" ref="F68">IF(A68=A67,0,SUM(_xlfn._xlws.FILTER(E68:E78,A68:A78=A68)))</f>
        <v>0</v>
      </c>
      <c r="G68" s="1024">
        <f>IF(F68&lt;&gt;0,SUM($F$43:F68),0)</f>
        <v>0</v>
      </c>
      <c r="H68" s="1024" cm="1">
        <f t="array" ref="H68">IFERROR(IF(A68=A67,0,SUM(_xlfn._xlws.FILTER(E68:E78,(A68:A78=A68)*(E68:E78&gt;0)))),0)</f>
        <v>0</v>
      </c>
      <c r="I68" s="1024" cm="1">
        <f t="array" ref="I68">IFERROR(IF(A68=A67,0,SUM(_xlfn._xlws.FILTER(E68:E78,(A68:A78=A68)*(F68&lt;0)))),0)</f>
        <v>0</v>
      </c>
      <c r="J68"/>
      <c r="K68"/>
      <c r="L68"/>
      <c r="M68"/>
      <c r="N68"/>
    </row>
    <row r="69" spans="1:14" hidden="1" x14ac:dyDescent="0.3">
      <c r="A69" s="463">
        <v>45686</v>
      </c>
      <c r="B69" s="446" t="s">
        <v>88</v>
      </c>
      <c r="C69" s="465">
        <v>500</v>
      </c>
      <c r="D69" s="464">
        <v>-142.01769999999999</v>
      </c>
      <c r="E69" s="1022">
        <f ca="1">IFERROR(C69*D69*_xlfn.XLOOKUP(B69,TabCalc[Ticker],TabCalc[Scale]),0)</f>
        <v>-71008.849999999991</v>
      </c>
      <c r="F69" s="1023" cm="1">
        <f t="array" ref="F69">IF(A69=A68,0,SUM(_xlfn._xlws.FILTER(E69:E79,A69:A79=A69)))</f>
        <v>0</v>
      </c>
      <c r="G69" s="1024">
        <f>IF(F69&lt;&gt;0,SUM($F$43:F69),0)</f>
        <v>0</v>
      </c>
      <c r="H69" s="1024" cm="1">
        <f t="array" ref="H69">IFERROR(IF(A69=A68,0,SUM(_xlfn._xlws.FILTER(E69:E79,(A69:A79=A69)*(E69:E79&gt;0)))),0)</f>
        <v>0</v>
      </c>
      <c r="I69" s="1024" cm="1">
        <f t="array" ref="I69">IFERROR(IF(A69=A68,0,SUM(_xlfn._xlws.FILTER(E69:E79,(A69:A79=A69)*(F69&lt;0)))),0)</f>
        <v>0</v>
      </c>
      <c r="J69"/>
      <c r="K69"/>
      <c r="L69"/>
      <c r="M69"/>
      <c r="N69"/>
    </row>
    <row r="70" spans="1:14" hidden="1" x14ac:dyDescent="0.3">
      <c r="A70" s="449">
        <v>45687</v>
      </c>
      <c r="B70" s="450" t="s">
        <v>20</v>
      </c>
      <c r="C70" s="451">
        <v>4000</v>
      </c>
      <c r="D70" s="452">
        <v>-21.21</v>
      </c>
      <c r="E70" s="1022">
        <f ca="1">IFERROR(C70*D70*_xlfn.XLOOKUP(B70,TabCalc[Ticker],TabCalc[Scale]),0)</f>
        <v>-84840</v>
      </c>
      <c r="F70" s="1023" cm="1">
        <f t="array" aca="1" ref="F70" ca="1">IF(A70=A69,0,SUM(_xlfn._xlws.FILTER(E70:E80,A70:A80=A70)))</f>
        <v>-84840</v>
      </c>
      <c r="G70" s="1024">
        <f ca="1">IF(F70&lt;&gt;0,SUM($F$43:F70),0)</f>
        <v>471905.61199999996</v>
      </c>
      <c r="H70" s="1024" cm="1">
        <f t="array" aca="1" ref="H70" ca="1">IFERROR(IF(A70=A69,0,SUM(_xlfn._xlws.FILTER(E70:E80,(A70:A80=A70)*(E70:E80&gt;0)))),0)</f>
        <v>0</v>
      </c>
      <c r="I70" s="1024" cm="1">
        <f t="array" aca="1" ref="I70" ca="1">IFERROR(IF(A70=A69,0,SUM(_xlfn._xlws.FILTER(E70:E80,(A70:A80=A70)*(F70&lt;0)))),0)</f>
        <v>-84840</v>
      </c>
      <c r="J70"/>
      <c r="K70"/>
      <c r="L70"/>
      <c r="M70"/>
      <c r="N70"/>
    </row>
    <row r="71" spans="1:14" hidden="1" x14ac:dyDescent="0.3">
      <c r="A71" s="463">
        <v>45688</v>
      </c>
      <c r="B71" s="446" t="s">
        <v>0</v>
      </c>
      <c r="C71" s="465">
        <v>200</v>
      </c>
      <c r="D71" s="464">
        <v>-233.95</v>
      </c>
      <c r="E71" s="1022">
        <f ca="1">IFERROR(C71*D71*_xlfn.XLOOKUP(B71,TabCalc[Ticker],TabCalc[Scale]),0)</f>
        <v>-46790</v>
      </c>
      <c r="F71" s="1023" cm="1">
        <f t="array" aca="1" ref="F71" ca="1">IF(A71=A70,0,SUM(_xlfn._xlws.FILTER(E71:E81,A71:A81=A71)))</f>
        <v>78944.12</v>
      </c>
      <c r="G71" s="1024">
        <f ca="1">IF(F71&lt;&gt;0,SUM($F$43:F71),0)</f>
        <v>550849.73199999996</v>
      </c>
      <c r="H71" s="1024" cm="1">
        <f t="array" aca="1" ref="H71" ca="1">IFERROR(IF(A71=A70,0,SUM(_xlfn._xlws.FILTER(E71:E81,(A71:A81=A71)*(E71:E81&gt;0)))),0)</f>
        <v>183640</v>
      </c>
      <c r="I71" s="1024" cm="1">
        <f t="array" aca="1" ref="I71" ca="1">IFERROR(IF(A71=A70,0,SUM(_xlfn._xlws.FILTER(E71:E81,(A71:A81=A71)*(F71&lt;0)))),0)</f>
        <v>0</v>
      </c>
      <c r="J71"/>
      <c r="K71"/>
      <c r="L71"/>
      <c r="M71"/>
      <c r="N71"/>
    </row>
    <row r="72" spans="1:14" hidden="1" x14ac:dyDescent="0.3">
      <c r="A72" s="463">
        <v>45688</v>
      </c>
      <c r="B72" s="446" t="s">
        <v>88</v>
      </c>
      <c r="C72" s="465">
        <v>150</v>
      </c>
      <c r="D72" s="464">
        <v>-140.46</v>
      </c>
      <c r="E72" s="1022">
        <f ca="1">IFERROR(C72*D72*_xlfn.XLOOKUP(B72,TabCalc[Ticker],TabCalc[Scale]),0)</f>
        <v>-21069</v>
      </c>
      <c r="F72" s="1023" cm="1">
        <f t="array" ref="F72">IF(A72=A71,0,SUM(_xlfn._xlws.FILTER(E72:E82,A72:A82=A72)))</f>
        <v>0</v>
      </c>
      <c r="G72" s="1024">
        <f>IF(F72&lt;&gt;0,SUM($F$43:F72),0)</f>
        <v>0</v>
      </c>
      <c r="H72" s="1024" cm="1">
        <f t="array" ref="H72">IFERROR(IF(A72=A71,0,SUM(_xlfn._xlws.FILTER(E72:E82,(A72:A82=A72)*(E72:E82&gt;0)))),0)</f>
        <v>0</v>
      </c>
      <c r="I72" s="1024" cm="1">
        <f t="array" ref="I72">IFERROR(IF(A72=A71,0,SUM(_xlfn._xlws.FILTER(E72:E82,(A72:A82=A72)*(F72&lt;0)))),0)</f>
        <v>0</v>
      </c>
      <c r="J72"/>
      <c r="K72"/>
      <c r="L72"/>
      <c r="M72"/>
      <c r="N72"/>
    </row>
    <row r="73" spans="1:14" hidden="1" x14ac:dyDescent="0.3">
      <c r="A73" s="463">
        <v>45688</v>
      </c>
      <c r="B73" s="446" t="s">
        <v>60</v>
      </c>
      <c r="C73" s="465">
        <v>2000</v>
      </c>
      <c r="D73" s="464">
        <v>31.31</v>
      </c>
      <c r="E73" s="1022">
        <f ca="1">IFERROR(C73*D73*_xlfn.XLOOKUP(B73,TabCalc[Ticker],TabCalc[Scale]),0)</f>
        <v>62620</v>
      </c>
      <c r="F73" s="1023" cm="1">
        <f t="array" ref="F73">IF(A73=A72,0,SUM(_xlfn._xlws.FILTER(E73:E83,A73:A83=A73)))</f>
        <v>0</v>
      </c>
      <c r="G73" s="1024">
        <f>IF(F73&lt;&gt;0,SUM($F$43:F73),0)</f>
        <v>0</v>
      </c>
      <c r="H73" s="1024" cm="1">
        <f t="array" ref="H73">IFERROR(IF(A73=A72,0,SUM(_xlfn._xlws.FILTER(E73:E83,(A73:A83=A73)*(E73:E83&gt;0)))),0)</f>
        <v>0</v>
      </c>
      <c r="I73" s="1024" cm="1">
        <f t="array" ref="I73">IFERROR(IF(A73=A72,0,SUM(_xlfn._xlws.FILTER(E73:E83,(A73:A83=A73)*(F73&lt;0)))),0)</f>
        <v>0</v>
      </c>
      <c r="J73"/>
      <c r="K73"/>
      <c r="L73"/>
      <c r="M73"/>
      <c r="N73"/>
    </row>
    <row r="74" spans="1:14" hidden="1" x14ac:dyDescent="0.3">
      <c r="A74" s="463">
        <v>45688</v>
      </c>
      <c r="B74" s="446" t="s">
        <v>9</v>
      </c>
      <c r="C74" s="465">
        <v>2000</v>
      </c>
      <c r="D74" s="464">
        <v>60.51</v>
      </c>
      <c r="E74" s="1022">
        <f ca="1">IFERROR(C74*D74*_xlfn.XLOOKUP(B74,TabCalc[Ticker],TabCalc[Scale]),0)</f>
        <v>121020</v>
      </c>
      <c r="F74" s="1023" cm="1">
        <f t="array" ref="F74">IF(A74=A73,0,SUM(_xlfn._xlws.FILTER(E74:E84,A74:A84=A74)))</f>
        <v>0</v>
      </c>
      <c r="G74" s="1024">
        <f>IF(F74&lt;&gt;0,SUM($F$43:F74),0)</f>
        <v>0</v>
      </c>
      <c r="H74" s="1024" cm="1">
        <f t="array" ref="H74">IFERROR(IF(A74=A73,0,SUM(_xlfn._xlws.FILTER(E74:E84,(A74:A84=A74)*(E74:E84&gt;0)))),0)</f>
        <v>0</v>
      </c>
      <c r="I74" s="1024" cm="1">
        <f t="array" ref="I74">IFERROR(IF(A74=A73,0,SUM(_xlfn._xlws.FILTER(E74:E84,(A74:A84=A74)*(F74&lt;0)))),0)</f>
        <v>0</v>
      </c>
      <c r="J74"/>
      <c r="K74"/>
      <c r="L74"/>
      <c r="M74"/>
      <c r="N74"/>
    </row>
    <row r="75" spans="1:14" hidden="1" x14ac:dyDescent="0.3">
      <c r="A75" s="463">
        <v>45688</v>
      </c>
      <c r="B75" s="446" t="s">
        <v>87</v>
      </c>
      <c r="C75" s="465">
        <v>1200</v>
      </c>
      <c r="D75" s="464">
        <v>-30.697399999999998</v>
      </c>
      <c r="E75" s="1022">
        <f ca="1">IFERROR(C75*D75*_xlfn.XLOOKUP(B75,TabCalc[Ticker],TabCalc[Scale]),0)</f>
        <v>-36836.879999999997</v>
      </c>
      <c r="F75" s="1023" cm="1">
        <f t="array" ref="F75">IF(A75=A74,0,SUM(_xlfn._xlws.FILTER(E75:E85,A75:A85=A75)))</f>
        <v>0</v>
      </c>
      <c r="G75" s="1024">
        <f>IF(F75&lt;&gt;0,SUM($F$43:F75),0)</f>
        <v>0</v>
      </c>
      <c r="H75" s="1024" cm="1">
        <f t="array" ref="H75">IFERROR(IF(A75=A74,0,SUM(_xlfn._xlws.FILTER(E75:E85,(A75:A85=A75)*(E75:E85&gt;0)))),0)</f>
        <v>0</v>
      </c>
      <c r="I75" s="1024" cm="1">
        <f t="array" ref="I75">IFERROR(IF(A75=A74,0,SUM(_xlfn._xlws.FILTER(E75:E85,(A75:A85=A75)*(F75&lt;0)))),0)</f>
        <v>0</v>
      </c>
      <c r="J75"/>
      <c r="K75"/>
      <c r="L75"/>
      <c r="M75"/>
      <c r="N75"/>
    </row>
    <row r="76" spans="1:14" hidden="1" x14ac:dyDescent="0.3">
      <c r="A76" s="449">
        <v>45692</v>
      </c>
      <c r="B76" s="450" t="s">
        <v>0</v>
      </c>
      <c r="C76" s="451">
        <v>300</v>
      </c>
      <c r="D76" s="452">
        <v>-230.7</v>
      </c>
      <c r="E76" s="1022">
        <f ca="1">IFERROR(C76*D76*_xlfn.XLOOKUP(B76,TabCalc[Ticker],TabCalc[Scale]),0)</f>
        <v>-69210</v>
      </c>
      <c r="F76" s="1023" cm="1">
        <f t="array" aca="1" ref="F76" ca="1">IF(A76=A75,0,SUM(_xlfn._xlws.FILTER(E76:E86,A76:A86=A76)))</f>
        <v>170520</v>
      </c>
      <c r="G76" s="1024">
        <f ca="1">IF(F76&lt;&gt;0,SUM($F$43:F76),0)</f>
        <v>721369.73199999996</v>
      </c>
      <c r="H76" s="1024" cm="1">
        <f t="array" aca="1" ref="H76" ca="1">IFERROR(IF(A76=A75,0,SUM(_xlfn._xlws.FILTER(E76:E86,(A76:A86=A76)*(E76:E86&gt;0)))),0)</f>
        <v>239730</v>
      </c>
      <c r="I76" s="1024"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22">
        <f ca="1">IFERROR(C77*D77*_xlfn.XLOOKUP(B77,TabCalc[Ticker],TabCalc[Scale]),0)</f>
        <v>39120</v>
      </c>
      <c r="F77" s="1023" cm="1">
        <f t="array" ref="F77">IF(A77=A76,0,SUM(_xlfn._xlws.FILTER(E77:E87,A77:A87=A77)))</f>
        <v>0</v>
      </c>
      <c r="G77" s="1024">
        <f>IF(F77&lt;&gt;0,SUM($F$43:F77),0)</f>
        <v>0</v>
      </c>
      <c r="H77" s="1024" cm="1">
        <f t="array" ref="H77">IFERROR(IF(A77=A76,0,SUM(_xlfn._xlws.FILTER(E77:E87,(A77:A87=A77)*(E77:E87&gt;0)))),0)</f>
        <v>0</v>
      </c>
      <c r="I77" s="1024" cm="1">
        <f t="array" ref="I77">IFERROR(IF(A77=A76,0,SUM(_xlfn._xlws.FILTER(E77:E87,(A77:A87=A77)*(F77&lt;0)))),0)</f>
        <v>0</v>
      </c>
      <c r="J77"/>
      <c r="K77"/>
      <c r="L77"/>
      <c r="M77"/>
      <c r="N77"/>
    </row>
    <row r="78" spans="1:14" hidden="1" x14ac:dyDescent="0.3">
      <c r="A78" s="449">
        <v>45692</v>
      </c>
      <c r="B78" s="450" t="s">
        <v>13</v>
      </c>
      <c r="C78" s="451">
        <v>2000</v>
      </c>
      <c r="D78" s="452">
        <v>40.119999999999997</v>
      </c>
      <c r="E78" s="1022">
        <f ca="1">IFERROR(C78*D78*_xlfn.XLOOKUP(B78,TabCalc[Ticker],TabCalc[Scale]),0)</f>
        <v>80240</v>
      </c>
      <c r="F78" s="1023" cm="1">
        <f t="array" ref="F78">IF(A78=A77,0,SUM(_xlfn._xlws.FILTER(E78:E88,A78:A88=A78)))</f>
        <v>0</v>
      </c>
      <c r="G78" s="1024">
        <f>IF(F78&lt;&gt;0,SUM($F$43:F78),0)</f>
        <v>0</v>
      </c>
      <c r="H78" s="1024" cm="1">
        <f t="array" ref="H78">IFERROR(IF(A78=A77,0,SUM(_xlfn._xlws.FILTER(E78:E88,(A78:A88=A78)*(E78:E88&gt;0)))),0)</f>
        <v>0</v>
      </c>
      <c r="I78" s="1024" cm="1">
        <f t="array" ref="I78">IFERROR(IF(A78=A77,0,SUM(_xlfn._xlws.FILTER(E78:E88,(A78:A88=A78)*(F78&lt;0)))),0)</f>
        <v>0</v>
      </c>
      <c r="J78"/>
      <c r="K78"/>
      <c r="L78"/>
      <c r="M78"/>
      <c r="N78"/>
    </row>
    <row r="79" spans="1:14" hidden="1" x14ac:dyDescent="0.3">
      <c r="A79" s="449">
        <v>45692</v>
      </c>
      <c r="B79" s="450" t="s">
        <v>56</v>
      </c>
      <c r="C79" s="451">
        <v>1000</v>
      </c>
      <c r="D79" s="452">
        <v>39.549999999999997</v>
      </c>
      <c r="E79" s="1022">
        <f ca="1">IFERROR(C79*D79*_xlfn.XLOOKUP(B79,TabCalc[Ticker],TabCalc[Scale]),0)</f>
        <v>39550</v>
      </c>
      <c r="F79" s="1023" cm="1">
        <f t="array" ref="F79">IF(A79=A78,0,SUM(_xlfn._xlws.FILTER(E79:E89,A79:A89=A79)))</f>
        <v>0</v>
      </c>
      <c r="G79" s="1024">
        <f>IF(F79&lt;&gt;0,SUM($F$43:F79),0)</f>
        <v>0</v>
      </c>
      <c r="H79" s="1024" cm="1">
        <f t="array" ref="H79">IFERROR(IF(A79=A78,0,SUM(_xlfn._xlws.FILTER(E79:E89,(A79:A89=A79)*(E79:E89&gt;0)))),0)</f>
        <v>0</v>
      </c>
      <c r="I79" s="1024" cm="1">
        <f t="array" ref="I79">IFERROR(IF(A79=A78,0,SUM(_xlfn._xlws.FILTER(E79:E89,(A79:A89=A79)*(F79&lt;0)))),0)</f>
        <v>0</v>
      </c>
      <c r="J79"/>
      <c r="K79"/>
      <c r="L79"/>
      <c r="M79"/>
      <c r="N79"/>
    </row>
    <row r="80" spans="1:14" hidden="1" x14ac:dyDescent="0.3">
      <c r="A80" s="449">
        <v>45692</v>
      </c>
      <c r="B80" s="450" t="s">
        <v>56</v>
      </c>
      <c r="C80" s="451">
        <v>2000</v>
      </c>
      <c r="D80" s="452">
        <v>40.409999999999997</v>
      </c>
      <c r="E80" s="1022">
        <f ca="1">IFERROR(C80*D80*_xlfn.XLOOKUP(B80,TabCalc[Ticker],TabCalc[Scale]),0)</f>
        <v>80820</v>
      </c>
      <c r="F80" s="1023" cm="1">
        <f t="array" ref="F80">IF(A80=A79,0,SUM(_xlfn._xlws.FILTER(E80:E90,A80:A90=A80)))</f>
        <v>0</v>
      </c>
      <c r="G80" s="1024">
        <f>IF(F80&lt;&gt;0,SUM($F$43:F80),0)</f>
        <v>0</v>
      </c>
      <c r="H80" s="1024" cm="1">
        <f t="array" ref="H80">IFERROR(IF(A80=A79,0,SUM(_xlfn._xlws.FILTER(E80:E90,(A80:A90=A80)*(E80:E90&gt;0)))),0)</f>
        <v>0</v>
      </c>
      <c r="I80" s="1024" cm="1">
        <f t="array" ref="I80">IFERROR(IF(A80=A79,0,SUM(_xlfn._xlws.FILTER(E80:E90,(A80:A90=A80)*(F80&lt;0)))),0)</f>
        <v>0</v>
      </c>
      <c r="J80"/>
      <c r="K80"/>
      <c r="L80"/>
      <c r="M80"/>
      <c r="N80"/>
    </row>
    <row r="81" spans="1:14" hidden="1" x14ac:dyDescent="0.3">
      <c r="A81" s="463">
        <v>45693</v>
      </c>
      <c r="B81" s="446" t="s">
        <v>65</v>
      </c>
      <c r="C81" s="465">
        <v>250</v>
      </c>
      <c r="D81" s="464">
        <v>-236.91</v>
      </c>
      <c r="E81" s="1022">
        <f ca="1">IFERROR(C81*D81*_xlfn.XLOOKUP(B81,TabCalc[Ticker],TabCalc[Scale]),0)</f>
        <v>-59227.5</v>
      </c>
      <c r="F81" s="1023" cm="1">
        <f t="array" aca="1" ref="F81" ca="1">IF(A81=A80,0,SUM(_xlfn._xlws.FILTER(E81:E91,A81:A91=A81)))</f>
        <v>115626.432</v>
      </c>
      <c r="G81" s="1024">
        <f ca="1">IF(F81&lt;&gt;0,SUM($F$43:F81),0)</f>
        <v>836996.16399999999</v>
      </c>
      <c r="H81" s="1024" cm="1">
        <f t="array" aca="1" ref="H81" ca="1">IFERROR(IF(A81=A80,0,SUM(_xlfn._xlws.FILTER(E81:E91,(A81:A91=A81)*(E81:E91&gt;0)))),0)</f>
        <v>372004.13199999998</v>
      </c>
      <c r="I81" s="1024"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22">
        <f ca="1">IFERROR(C82*D82*_xlfn.XLOOKUP(B82,TabCalc[Ticker],TabCalc[Scale]),0)</f>
        <v>40700</v>
      </c>
      <c r="F82" s="1023" cm="1">
        <f t="array" ref="F82">IF(A82=A81,0,SUM(_xlfn._xlws.FILTER(E82:E92,A82:A92=A82)))</f>
        <v>0</v>
      </c>
      <c r="G82" s="1024">
        <f>IF(F82&lt;&gt;0,SUM($F$43:F82),0)</f>
        <v>0</v>
      </c>
      <c r="H82" s="1024" cm="1">
        <f t="array" ref="H82">IFERROR(IF(A82=A81,0,SUM(_xlfn._xlws.FILTER(E82:E92,(A82:A92=A82)*(E82:E92&gt;0)))),0)</f>
        <v>0</v>
      </c>
      <c r="I82" s="1024" cm="1">
        <f t="array" ref="I82">IFERROR(IF(A82=A81,0,SUM(_xlfn._xlws.FILTER(E82:E92,(A82:A92=A82)*(F82&lt;0)))),0)</f>
        <v>0</v>
      </c>
      <c r="J82"/>
      <c r="K82"/>
      <c r="L82"/>
      <c r="M82"/>
      <c r="N82"/>
    </row>
    <row r="83" spans="1:14" hidden="1" x14ac:dyDescent="0.3">
      <c r="A83" s="463">
        <v>45693</v>
      </c>
      <c r="B83" s="446" t="s">
        <v>36</v>
      </c>
      <c r="C83" s="465">
        <v>100</v>
      </c>
      <c r="D83" s="464">
        <v>-382.16199999999998</v>
      </c>
      <c r="E83" s="1022">
        <f ca="1">IFERROR(C83*D83*_xlfn.XLOOKUP(B83,TabCalc[Ticker],TabCalc[Scale]),0)</f>
        <v>-38216.199999999997</v>
      </c>
      <c r="F83" s="1023" cm="1">
        <f t="array" ref="F83">IF(A83=A82,0,SUM(_xlfn._xlws.FILTER(E83:E93,A83:A93=A83)))</f>
        <v>0</v>
      </c>
      <c r="G83" s="1024">
        <f>IF(F83&lt;&gt;0,SUM($F$43:F83),0)</f>
        <v>0</v>
      </c>
      <c r="H83" s="1024" cm="1">
        <f t="array" ref="H83">IFERROR(IF(A83=A82,0,SUM(_xlfn._xlws.FILTER(E83:E93,(A83:A93=A83)*(E83:E93&gt;0)))),0)</f>
        <v>0</v>
      </c>
      <c r="I83" s="1024" cm="1">
        <f t="array" ref="I83">IFERROR(IF(A83=A82,0,SUM(_xlfn._xlws.FILTER(E83:E93,(A83:A93=A83)*(F83&lt;0)))),0)</f>
        <v>0</v>
      </c>
      <c r="J83"/>
      <c r="K83"/>
      <c r="L83"/>
      <c r="M83"/>
      <c r="N83"/>
    </row>
    <row r="84" spans="1:14" hidden="1" x14ac:dyDescent="0.3">
      <c r="A84" s="463">
        <v>45693</v>
      </c>
      <c r="B84" s="446" t="s">
        <v>20</v>
      </c>
      <c r="C84" s="465">
        <v>4000</v>
      </c>
      <c r="D84" s="464">
        <v>21.358283</v>
      </c>
      <c r="E84" s="1022">
        <f ca="1">IFERROR(C84*D84*_xlfn.XLOOKUP(B84,TabCalc[Ticker],TabCalc[Scale]),0)</f>
        <v>85433.131999999998</v>
      </c>
      <c r="F84" s="1023" cm="1">
        <f t="array" ref="F84">IF(A84=A83,0,SUM(_xlfn._xlws.FILTER(E84:E94,A84:A94=A84)))</f>
        <v>0</v>
      </c>
      <c r="G84" s="1024">
        <f>IF(F84&lt;&gt;0,SUM($F$43:F84),0)</f>
        <v>0</v>
      </c>
      <c r="H84" s="1024" cm="1">
        <f t="array" ref="H84">IFERROR(IF(A84=A83,0,SUM(_xlfn._xlws.FILTER(E84:E94,(A84:A94=A84)*(E84:E94&gt;0)))),0)</f>
        <v>0</v>
      </c>
      <c r="I84" s="1024" cm="1">
        <f t="array" ref="I84">IFERROR(IF(A84=A83,0,SUM(_xlfn._xlws.FILTER(E84:E94,(A84:A94=A84)*(F84&lt;0)))),0)</f>
        <v>0</v>
      </c>
      <c r="J84"/>
      <c r="K84"/>
      <c r="L84"/>
      <c r="M84"/>
      <c r="N84"/>
    </row>
    <row r="85" spans="1:14" hidden="1" x14ac:dyDescent="0.3">
      <c r="A85" s="463">
        <v>45693</v>
      </c>
      <c r="B85" s="446" t="s">
        <v>3</v>
      </c>
      <c r="C85" s="465">
        <v>400</v>
      </c>
      <c r="D85" s="464">
        <v>-236.70750000000001</v>
      </c>
      <c r="E85" s="1022">
        <f ca="1">IFERROR(C85*D85*_xlfn.XLOOKUP(B85,TabCalc[Ticker],TabCalc[Scale]),0)</f>
        <v>-94683</v>
      </c>
      <c r="F85" s="1023" cm="1">
        <f t="array" ref="F85">IF(A85=A84,0,SUM(_xlfn._xlws.FILTER(E85:E95,A85:A95=A85)))</f>
        <v>0</v>
      </c>
      <c r="G85" s="1024">
        <f>IF(F85&lt;&gt;0,SUM($F$43:F85),0)</f>
        <v>0</v>
      </c>
      <c r="H85" s="1024" cm="1">
        <f t="array" ref="H85">IFERROR(IF(A85=A84,0,SUM(_xlfn._xlws.FILTER(E85:E95,(A85:A95=A85)*(E85:E95&gt;0)))),0)</f>
        <v>0</v>
      </c>
      <c r="I85" s="1024" cm="1">
        <f t="array" ref="I85">IFERROR(IF(A85=A84,0,SUM(_xlfn._xlws.FILTER(E85:E95,(A85:A95=A85)*(F85&lt;0)))),0)</f>
        <v>0</v>
      </c>
      <c r="J85"/>
      <c r="K85"/>
      <c r="L85"/>
      <c r="M85"/>
      <c r="N85"/>
    </row>
    <row r="86" spans="1:14" hidden="1" x14ac:dyDescent="0.3">
      <c r="A86" s="463">
        <v>45693</v>
      </c>
      <c r="B86" s="446" t="s">
        <v>23</v>
      </c>
      <c r="C86" s="465">
        <v>1000</v>
      </c>
      <c r="D86" s="464">
        <v>65.63</v>
      </c>
      <c r="E86" s="1022">
        <f ca="1">IFERROR(C86*D86*_xlfn.XLOOKUP(B86,TabCalc[Ticker],TabCalc[Scale]),0)</f>
        <v>65630</v>
      </c>
      <c r="F86" s="1023" cm="1">
        <f t="array" ref="F86">IF(A86=A85,0,SUM(_xlfn._xlws.FILTER(E86:E96,A86:A96=A86)))</f>
        <v>0</v>
      </c>
      <c r="G86" s="1024">
        <f>IF(F86&lt;&gt;0,SUM($F$43:F86),0)</f>
        <v>0</v>
      </c>
      <c r="H86" s="1024" cm="1">
        <f t="array" ref="H86">IFERROR(IF(A86=A85,0,SUM(_xlfn._xlws.FILTER(E86:E96,(A86:A96=A86)*(E86:E96&gt;0)))),0)</f>
        <v>0</v>
      </c>
      <c r="I86" s="1024" cm="1">
        <f t="array" ref="I86">IFERROR(IF(A86=A85,0,SUM(_xlfn._xlws.FILTER(E86:E96,(A86:A96=A86)*(F86&lt;0)))),0)</f>
        <v>0</v>
      </c>
      <c r="J86"/>
      <c r="K86"/>
      <c r="L86"/>
      <c r="M86"/>
      <c r="N86"/>
    </row>
    <row r="87" spans="1:14" hidden="1" x14ac:dyDescent="0.3">
      <c r="A87" s="463">
        <v>45693</v>
      </c>
      <c r="B87" s="446" t="s">
        <v>64</v>
      </c>
      <c r="C87" s="465">
        <v>20000</v>
      </c>
      <c r="D87" s="464">
        <v>4.5999999999999996</v>
      </c>
      <c r="E87" s="1022">
        <f ca="1">IFERROR(C87*D87*_xlfn.XLOOKUP(B87,TabCalc[Ticker],TabCalc[Scale]),0)</f>
        <v>92000</v>
      </c>
      <c r="F87" s="1023" cm="1">
        <f t="array" ref="F87">IF(A87=A86,0,SUM(_xlfn._xlws.FILTER(E87:E97,A87:A97=A87)))</f>
        <v>0</v>
      </c>
      <c r="G87" s="1024">
        <f>IF(F87&lt;&gt;0,SUM($F$43:F87),0)</f>
        <v>0</v>
      </c>
      <c r="H87" s="1024" cm="1">
        <f t="array" ref="H87">IFERROR(IF(A87=A86,0,SUM(_xlfn._xlws.FILTER(E87:E97,(A87:A97=A87)*(E87:E97&gt;0)))),0)</f>
        <v>0</v>
      </c>
      <c r="I87" s="1024" cm="1">
        <f t="array" ref="I87">IFERROR(IF(A87=A86,0,SUM(_xlfn._xlws.FILTER(E87:E97,(A87:A97=A87)*(F87&lt;0)))),0)</f>
        <v>0</v>
      </c>
      <c r="J87"/>
      <c r="K87"/>
      <c r="L87"/>
      <c r="M87"/>
      <c r="N87"/>
    </row>
    <row r="88" spans="1:14" hidden="1" x14ac:dyDescent="0.3">
      <c r="A88" s="463">
        <v>45693</v>
      </c>
      <c r="B88" s="446" t="s">
        <v>77</v>
      </c>
      <c r="C88" s="465">
        <v>9000</v>
      </c>
      <c r="D88" s="464">
        <v>529.4</v>
      </c>
      <c r="E88" s="1022">
        <f ca="1">IFERROR(C88*D88*_xlfn.XLOOKUP(B88,TabCalc[Ticker],TabCalc[Scale]),0)</f>
        <v>47646</v>
      </c>
      <c r="F88" s="1023" cm="1">
        <f t="array" ref="F88">IF(A88=A87,0,SUM(_xlfn._xlws.FILTER(E88:E98,A88:A98=A88)))</f>
        <v>0</v>
      </c>
      <c r="G88" s="1024">
        <f>IF(F88&lt;&gt;0,SUM($F$43:F88),0)</f>
        <v>0</v>
      </c>
      <c r="H88" s="1024" cm="1">
        <f t="array" ref="H88">IFERROR(IF(A88=A87,0,SUM(_xlfn._xlws.FILTER(E88:E98,(A88:A98=A88)*(E88:E98&gt;0)))),0)</f>
        <v>0</v>
      </c>
      <c r="I88" s="1024" cm="1">
        <f t="array" ref="I88">IFERROR(IF(A88=A87,0,SUM(_xlfn._xlws.FILTER(E88:E98,(A88:A98=A88)*(F88&lt;0)))),0)</f>
        <v>0</v>
      </c>
      <c r="J88"/>
      <c r="K88"/>
      <c r="L88"/>
      <c r="M88"/>
      <c r="N88"/>
    </row>
    <row r="89" spans="1:14" hidden="1" x14ac:dyDescent="0.3">
      <c r="A89" s="463">
        <v>45693</v>
      </c>
      <c r="B89" s="446" t="s">
        <v>80</v>
      </c>
      <c r="C89" s="465">
        <v>450</v>
      </c>
      <c r="D89" s="464">
        <v>-142.78</v>
      </c>
      <c r="E89" s="1022">
        <f ca="1">IFERROR(C89*D89*_xlfn.XLOOKUP(B89,TabCalc[Ticker],TabCalc[Scale]),0)</f>
        <v>-64251</v>
      </c>
      <c r="F89" s="1023" cm="1">
        <f t="array" ref="F89">IF(A89=A88,0,SUM(_xlfn._xlws.FILTER(E89:E99,A89:A99=A89)))</f>
        <v>0</v>
      </c>
      <c r="G89" s="1024">
        <f>IF(F89&lt;&gt;0,SUM($F$43:F89),0)</f>
        <v>0</v>
      </c>
      <c r="H89" s="1024" cm="1">
        <f t="array" ref="H89">IFERROR(IF(A89=A88,0,SUM(_xlfn._xlws.FILTER(E89:E99,(A89:A99=A89)*(E89:E99&gt;0)))),0)</f>
        <v>0</v>
      </c>
      <c r="I89" s="1024" cm="1">
        <f t="array" ref="I89">IFERROR(IF(A89=A88,0,SUM(_xlfn._xlws.FILTER(E89:E99,(A89:A99=A89)*(F89&lt;0)))),0)</f>
        <v>0</v>
      </c>
      <c r="J89"/>
      <c r="K89"/>
      <c r="L89"/>
      <c r="M89"/>
      <c r="N89"/>
    </row>
    <row r="90" spans="1:14" hidden="1" x14ac:dyDescent="0.3">
      <c r="A90" s="463">
        <v>45693</v>
      </c>
      <c r="B90" s="446" t="s">
        <v>13</v>
      </c>
      <c r="C90" s="465">
        <v>1000</v>
      </c>
      <c r="D90" s="464">
        <v>40.594999999999999</v>
      </c>
      <c r="E90" s="1022">
        <f ca="1">IFERROR(C90*D90*_xlfn.XLOOKUP(B90,TabCalc[Ticker],TabCalc[Scale]),0)</f>
        <v>40595</v>
      </c>
      <c r="F90" s="1023" cm="1">
        <f t="array" ref="F90">IF(A90=A89,0,SUM(_xlfn._xlws.FILTER(E90:E100,A90:A100=A90)))</f>
        <v>0</v>
      </c>
      <c r="G90" s="1024">
        <f>IF(F90&lt;&gt;0,SUM($F$43:F90),0)</f>
        <v>0</v>
      </c>
      <c r="H90" s="1024" cm="1">
        <f t="array" ref="H90">IFERROR(IF(A90=A89,0,SUM(_xlfn._xlws.FILTER(E90:E100,(A90:A100=A90)*(E90:E100&gt;0)))),0)</f>
        <v>0</v>
      </c>
      <c r="I90" s="1024" cm="1">
        <f t="array" ref="I90">IFERROR(IF(A90=A89,0,SUM(_xlfn._xlws.FILTER(E90:E100,(A90:A100=A90)*(F90&lt;0)))),0)</f>
        <v>0</v>
      </c>
      <c r="J90"/>
      <c r="K90"/>
      <c r="L90"/>
      <c r="M90"/>
      <c r="N90"/>
    </row>
    <row r="91" spans="1:14" hidden="1" x14ac:dyDescent="0.3">
      <c r="A91" s="449">
        <v>45694</v>
      </c>
      <c r="B91" s="450" t="s">
        <v>4</v>
      </c>
      <c r="C91" s="451">
        <v>10000</v>
      </c>
      <c r="D91" s="452">
        <v>-1.1000000000000001</v>
      </c>
      <c r="E91" s="1022">
        <f ca="1">IFERROR(C91*D91*_xlfn.XLOOKUP(B91,TabCalc[Ticker],TabCalc[Scale]),0)</f>
        <v>-11000</v>
      </c>
      <c r="F91" s="1023" cm="1">
        <f t="array" aca="1" ref="F91" ca="1">IF(A91=A90,0,SUM(_xlfn._xlws.FILTER(E91:E101,A91:A101=A91)))</f>
        <v>-163864.0001</v>
      </c>
      <c r="G91" s="1024">
        <f ca="1">IF(F91&lt;&gt;0,SUM($F$43:F91),0)</f>
        <v>673132.16390000004</v>
      </c>
      <c r="H91" s="1024" cm="1">
        <f t="array" aca="1" ref="H91" ca="1">IFERROR(IF(A91=A90,0,SUM(_xlfn._xlws.FILTER(E91:E101,(A91:A101=A91)*(E91:E101&gt;0)))),0)</f>
        <v>178688.69990000001</v>
      </c>
      <c r="I91" s="1024"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22">
        <f ca="1">IFERROR(C92*D92*_xlfn.XLOOKUP(B92,TabCalc[Ticker],TabCalc[Scale]),0)</f>
        <v>34525</v>
      </c>
      <c r="F92" s="1023" cm="1">
        <f t="array" ref="F92">IF(A92=A91,0,SUM(_xlfn._xlws.FILTER(E92:E102,A92:A102=A92)))</f>
        <v>0</v>
      </c>
      <c r="G92" s="1024">
        <f>IF(F92&lt;&gt;0,SUM($F$43:F92),0)</f>
        <v>0</v>
      </c>
      <c r="H92" s="1024" cm="1">
        <f t="array" ref="H92">IFERROR(IF(A92=A91,0,SUM(_xlfn._xlws.FILTER(E92:E102,(A92:A102=A92)*(E92:E102&gt;0)))),0)</f>
        <v>0</v>
      </c>
      <c r="I92" s="1024" cm="1">
        <f t="array" ref="I92">IFERROR(IF(A92=A91,0,SUM(_xlfn._xlws.FILTER(E92:E102,(A92:A102=A92)*(F92&lt;0)))),0)</f>
        <v>0</v>
      </c>
      <c r="J92"/>
      <c r="K92"/>
      <c r="L92"/>
      <c r="M92"/>
      <c r="N92"/>
    </row>
    <row r="93" spans="1:14" hidden="1" x14ac:dyDescent="0.3">
      <c r="A93" s="449">
        <v>45694</v>
      </c>
      <c r="B93" s="450" t="s">
        <v>11</v>
      </c>
      <c r="C93" s="451">
        <v>15000</v>
      </c>
      <c r="D93" s="452">
        <v>4.6399999999999997</v>
      </c>
      <c r="E93" s="1022">
        <f ca="1">IFERROR(C93*D93*_xlfn.XLOOKUP(B93,TabCalc[Ticker],TabCalc[Scale]),0)</f>
        <v>69600</v>
      </c>
      <c r="F93" s="1023" cm="1">
        <f t="array" ref="F93">IF(A93=A92,0,SUM(_xlfn._xlws.FILTER(E93:E103,A93:A103=A93)))</f>
        <v>0</v>
      </c>
      <c r="G93" s="1024">
        <f>IF(F93&lt;&gt;0,SUM($F$43:F93),0)</f>
        <v>0</v>
      </c>
      <c r="H93" s="1024" cm="1">
        <f t="array" ref="H93">IFERROR(IF(A93=A92,0,SUM(_xlfn._xlws.FILTER(E93:E103,(A93:A103=A93)*(E93:E103&gt;0)))),0)</f>
        <v>0</v>
      </c>
      <c r="I93" s="1024" cm="1">
        <f t="array" ref="I93">IFERROR(IF(A93=A92,0,SUM(_xlfn._xlws.FILTER(E93:E103,(A93:A103=A93)*(F93&lt;0)))),0)</f>
        <v>0</v>
      </c>
      <c r="J93"/>
      <c r="K93"/>
      <c r="L93"/>
      <c r="M93"/>
      <c r="N93"/>
    </row>
    <row r="94" spans="1:14" hidden="1" x14ac:dyDescent="0.3">
      <c r="A94" s="449">
        <v>45694</v>
      </c>
      <c r="B94" s="450" t="s">
        <v>61</v>
      </c>
      <c r="C94" s="451">
        <v>363</v>
      </c>
      <c r="D94" s="452">
        <v>-42.2</v>
      </c>
      <c r="E94" s="1022">
        <f ca="1">IFERROR(C94*D94*_xlfn.XLOOKUP(B94,TabCalc[Ticker],TabCalc[Scale]),0)</f>
        <v>-15318.6</v>
      </c>
      <c r="F94" s="1023" cm="1">
        <f t="array" ref="F94">IF(A94=A93,0,SUM(_xlfn._xlws.FILTER(E94:E104,A94:A104=A94)))</f>
        <v>0</v>
      </c>
      <c r="G94" s="1024">
        <f>IF(F94&lt;&gt;0,SUM($F$43:F94),0)</f>
        <v>0</v>
      </c>
      <c r="H94" s="1024" cm="1">
        <f t="array" ref="H94">IFERROR(IF(A94=A93,0,SUM(_xlfn._xlws.FILTER(E94:E104,(A94:A104=A94)*(E94:E104&gt;0)))),0)</f>
        <v>0</v>
      </c>
      <c r="I94" s="1024" cm="1">
        <f t="array" ref="I94">IFERROR(IF(A94=A93,0,SUM(_xlfn._xlws.FILTER(E94:E104,(A94:A104=A94)*(F94&lt;0)))),0)</f>
        <v>0</v>
      </c>
      <c r="J94"/>
      <c r="K94"/>
      <c r="L94"/>
      <c r="M94"/>
      <c r="N94"/>
    </row>
    <row r="95" spans="1:14" hidden="1" x14ac:dyDescent="0.3">
      <c r="A95" s="449">
        <v>45694</v>
      </c>
      <c r="B95" s="450" t="s">
        <v>22</v>
      </c>
      <c r="C95" s="451">
        <v>10000</v>
      </c>
      <c r="D95" s="452">
        <v>362.61099999999999</v>
      </c>
      <c r="E95" s="1022">
        <f ca="1">IFERROR(C95*D95*_xlfn.XLOOKUP(B95,TabCalc[Ticker],TabCalc[Scale]),0)</f>
        <v>36261.1</v>
      </c>
      <c r="F95" s="1023" cm="1">
        <f t="array" ref="F95">IF(A95=A94,0,SUM(_xlfn._xlws.FILTER(E95:E105,A95:A105=A95)))</f>
        <v>0</v>
      </c>
      <c r="G95" s="1024">
        <f>IF(F95&lt;&gt;0,SUM($F$43:F95),0)</f>
        <v>0</v>
      </c>
      <c r="H95" s="1024" cm="1">
        <f t="array" ref="H95">IFERROR(IF(A95=A94,0,SUM(_xlfn._xlws.FILTER(E95:E105,(A95:A105=A95)*(E95:E105&gt;0)))),0)</f>
        <v>0</v>
      </c>
      <c r="I95" s="1024" cm="1">
        <f t="array" ref="I95">IFERROR(IF(A95=A94,0,SUM(_xlfn._xlws.FILTER(E95:E105,(A95:A105=A95)*(F95&lt;0)))),0)</f>
        <v>0</v>
      </c>
      <c r="J95"/>
      <c r="K95"/>
      <c r="L95"/>
      <c r="M95"/>
      <c r="N95"/>
    </row>
    <row r="96" spans="1:14" hidden="1" x14ac:dyDescent="0.3">
      <c r="A96" s="449">
        <v>45694</v>
      </c>
      <c r="B96" s="450" t="s">
        <v>28</v>
      </c>
      <c r="C96" s="451">
        <v>1000</v>
      </c>
      <c r="D96" s="452">
        <v>-68.929749999999999</v>
      </c>
      <c r="E96" s="1022">
        <f ca="1">IFERROR(C96*D96*_xlfn.XLOOKUP(B96,TabCalc[Ticker],TabCalc[Scale]),0)</f>
        <v>-68929.75</v>
      </c>
      <c r="F96" s="1023" cm="1">
        <f t="array" ref="F96">IF(A96=A95,0,SUM(_xlfn._xlws.FILTER(E96:E106,A96:A106=A96)))</f>
        <v>0</v>
      </c>
      <c r="G96" s="1024">
        <f>IF(F96&lt;&gt;0,SUM($F$43:F96),0)</f>
        <v>0</v>
      </c>
      <c r="H96" s="1024" cm="1">
        <f t="array" ref="H96">IFERROR(IF(A96=A95,0,SUM(_xlfn._xlws.FILTER(E96:E106,(A96:A106=A96)*(E96:E106&gt;0)))),0)</f>
        <v>0</v>
      </c>
      <c r="I96" s="1024" cm="1">
        <f t="array" ref="I96">IFERROR(IF(A96=A95,0,SUM(_xlfn._xlws.FILTER(E96:E106,(A96:A106=A96)*(F96&lt;0)))),0)</f>
        <v>0</v>
      </c>
      <c r="J96"/>
      <c r="K96"/>
      <c r="L96"/>
      <c r="M96"/>
      <c r="N96"/>
    </row>
    <row r="97" spans="1:14" hidden="1" x14ac:dyDescent="0.3">
      <c r="A97" s="449">
        <v>45694</v>
      </c>
      <c r="B97" s="450" t="s">
        <v>83</v>
      </c>
      <c r="C97" s="451">
        <v>4500</v>
      </c>
      <c r="D97" s="452">
        <v>-9.75</v>
      </c>
      <c r="E97" s="1022">
        <f ca="1">IFERROR(C97*D97*_xlfn.XLOOKUP(B97,TabCalc[Ticker],TabCalc[Scale]),0)</f>
        <v>-43875</v>
      </c>
      <c r="F97" s="1023" cm="1">
        <f t="array" ref="F97">IF(A97=A96,0,SUM(_xlfn._xlws.FILTER(E97:E107,A97:A107=A97)))</f>
        <v>0</v>
      </c>
      <c r="G97" s="1024">
        <f>IF(F97&lt;&gt;0,SUM($F$43:F97),0)</f>
        <v>0</v>
      </c>
      <c r="H97" s="1024" cm="1">
        <f t="array" ref="H97">IFERROR(IF(A97=A96,0,SUM(_xlfn._xlws.FILTER(E97:E107,(A97:A107=A97)*(E97:E107&gt;0)))),0)</f>
        <v>0</v>
      </c>
      <c r="I97" s="1024" cm="1">
        <f t="array" ref="I97">IFERROR(IF(A97=A96,0,SUM(_xlfn._xlws.FILTER(E97:E107,(A97:A107=A97)*(F97&lt;0)))),0)</f>
        <v>0</v>
      </c>
      <c r="J97"/>
      <c r="K97"/>
      <c r="L97"/>
      <c r="M97"/>
      <c r="N97"/>
    </row>
    <row r="98" spans="1:14" hidden="1" x14ac:dyDescent="0.3">
      <c r="A98" s="449">
        <v>45694</v>
      </c>
      <c r="B98" s="450" t="s">
        <v>37</v>
      </c>
      <c r="C98" s="451">
        <v>4000</v>
      </c>
      <c r="D98" s="452">
        <v>-29.234999999999999</v>
      </c>
      <c r="E98" s="1022">
        <f ca="1">IFERROR(C98*D98*_xlfn.XLOOKUP(B98,TabCalc[Ticker],TabCalc[Scale]),0)</f>
        <v>-116940</v>
      </c>
      <c r="F98" s="1023" cm="1">
        <f t="array" ref="F98">IF(A98=A97,0,SUM(_xlfn._xlws.FILTER(E98:E108,A98:A108=A98)))</f>
        <v>0</v>
      </c>
      <c r="G98" s="1024">
        <f>IF(F98&lt;&gt;0,SUM($F$43:F98),0)</f>
        <v>0</v>
      </c>
      <c r="H98" s="1024" cm="1">
        <f t="array" ref="H98">IFERROR(IF(A98=A97,0,SUM(_xlfn._xlws.FILTER(E98:E108,(A98:A108=A98)*(E98:E108&gt;0)))),0)</f>
        <v>0</v>
      </c>
      <c r="I98" s="1024" cm="1">
        <f t="array" ref="I98">IFERROR(IF(A98=A97,0,SUM(_xlfn._xlws.FILTER(E98:E108,(A98:A108=A98)*(F98&lt;0)))),0)</f>
        <v>0</v>
      </c>
      <c r="J98"/>
      <c r="K98"/>
      <c r="L98"/>
      <c r="M98"/>
      <c r="N98"/>
    </row>
    <row r="99" spans="1:14" hidden="1" x14ac:dyDescent="0.3">
      <c r="A99" s="449">
        <v>45694</v>
      </c>
      <c r="B99" s="450" t="s">
        <v>40</v>
      </c>
      <c r="C99" s="451">
        <v>3000</v>
      </c>
      <c r="D99" s="452">
        <v>12.7675333</v>
      </c>
      <c r="E99" s="1022">
        <f ca="1">IFERROR(C99*D99*_xlfn.XLOOKUP(B99,TabCalc[Ticker],TabCalc[Scale]),0)</f>
        <v>38302.599900000001</v>
      </c>
      <c r="F99" s="1023" cm="1">
        <f t="array" ref="F99">IF(A99=A98,0,SUM(_xlfn._xlws.FILTER(E99:E109,A99:A109=A99)))</f>
        <v>0</v>
      </c>
      <c r="G99" s="1024">
        <f>IF(F99&lt;&gt;0,SUM($F$43:F99),0)</f>
        <v>0</v>
      </c>
      <c r="H99" s="1024" cm="1">
        <f t="array" ref="H99">IFERROR(IF(A99=A98,0,SUM(_xlfn._xlws.FILTER(E99:E109,(A99:A109=A99)*(E99:E109&gt;0)))),0)</f>
        <v>0</v>
      </c>
      <c r="I99" s="1024" cm="1">
        <f t="array" ref="I99">IFERROR(IF(A99=A98,0,SUM(_xlfn._xlws.FILTER(E99:E109,(A99:A109=A99)*(F99&lt;0)))),0)</f>
        <v>0</v>
      </c>
      <c r="J99"/>
      <c r="K99"/>
      <c r="L99"/>
      <c r="M99"/>
      <c r="N99"/>
    </row>
    <row r="100" spans="1:14" hidden="1" x14ac:dyDescent="0.3">
      <c r="A100" s="449">
        <v>45694</v>
      </c>
      <c r="B100" s="450" t="s">
        <v>44</v>
      </c>
      <c r="C100" s="451">
        <v>500</v>
      </c>
      <c r="D100" s="452">
        <v>-42.2</v>
      </c>
      <c r="E100" s="1022">
        <f ca="1">IFERROR(C100*D100*_xlfn.XLOOKUP(B100,TabCalc[Ticker],TabCalc[Scale]),0)</f>
        <v>-21100</v>
      </c>
      <c r="F100" s="1023" cm="1">
        <f t="array" ref="F100">IF(A100=A99,0,SUM(_xlfn._xlws.FILTER(E100:E110,A100:A110=A100)))</f>
        <v>0</v>
      </c>
      <c r="G100" s="1024">
        <f>IF(F100&lt;&gt;0,SUM($F$43:F100),0)</f>
        <v>0</v>
      </c>
      <c r="H100" s="1024" cm="1">
        <f t="array" ref="H100">IFERROR(IF(A100=A99,0,SUM(_xlfn._xlws.FILTER(E100:E110,(A100:A110=A100)*(E100:E110&gt;0)))),0)</f>
        <v>0</v>
      </c>
      <c r="I100" s="1024"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22">
        <f ca="1">IFERROR(C101*D101*_xlfn.XLOOKUP(B101,TabCalc[Ticker],TabCalc[Scale]),0)</f>
        <v>-65389.350000000006</v>
      </c>
      <c r="F101" s="1023" cm="1">
        <f t="array" ref="F101">IF(A101=A100,0,SUM(_xlfn._xlws.FILTER(E101:E111,A101:A111=A101)))</f>
        <v>0</v>
      </c>
      <c r="G101" s="1024">
        <f>IF(F101&lt;&gt;0,SUM($F$43:F101),0)</f>
        <v>0</v>
      </c>
      <c r="H101" s="1024" cm="1">
        <f t="array" ref="H101">IFERROR(IF(A101=A100,0,SUM(_xlfn._xlws.FILTER(E101:E111,(A101:A111=A101)*(E101:E111&gt;0)))),0)</f>
        <v>0</v>
      </c>
      <c r="I101" s="1024"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22">
        <f ca="1">IFERROR(C102*D102*_xlfn.XLOOKUP(B102,TabCalc[Ticker],TabCalc[Scale]),0)</f>
        <v>61200</v>
      </c>
      <c r="F102" s="1023" cm="1">
        <f t="array" aca="1" ref="F102" ca="1">IF(A102=A101,0,SUM(_xlfn._xlws.FILTER(E102:E112,A102:A112=A102)))</f>
        <v>248687.5</v>
      </c>
      <c r="G102" s="1024">
        <f ca="1">IF(F102&lt;&gt;0,SUM($F$43:F102),0)</f>
        <v>921819.66390000004</v>
      </c>
      <c r="H102" s="1024" cm="1">
        <f t="array" aca="1" ref="H102" ca="1">IFERROR(IF(A102=A101,0,SUM(_xlfn._xlws.FILTER(E102:E112,(A102:A112=A102)*(E102:E112&gt;0)))),0)</f>
        <v>273187.5</v>
      </c>
      <c r="I102" s="1024"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22">
        <f ca="1">IFERROR(C103*D103*_xlfn.XLOOKUP(B103,TabCalc[Ticker],TabCalc[Scale]),0)</f>
        <v>46520</v>
      </c>
      <c r="F103" s="1023" cm="1">
        <f t="array" ref="F103">IF(A103=A102,0,SUM(_xlfn._xlws.FILTER(E103:E113,A103:A113=A103)))</f>
        <v>0</v>
      </c>
      <c r="G103" s="1024">
        <f>IF(F103&lt;&gt;0,SUM($F$43:F103),0)</f>
        <v>0</v>
      </c>
      <c r="H103" s="1024" cm="1">
        <f t="array" ref="H103">IFERROR(IF(A103=A102,0,SUM(_xlfn._xlws.FILTER(E103:E113,(A103:A113=A103)*(E103:E113&gt;0)))),0)</f>
        <v>0</v>
      </c>
      <c r="I103" s="1024"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22">
        <f ca="1">IFERROR(C104*D104*_xlfn.XLOOKUP(B104,TabCalc[Ticker],TabCalc[Scale]),0)</f>
        <v>-24500</v>
      </c>
      <c r="F104" s="1023" cm="1">
        <f t="array" ref="F104">IF(A104=A103,0,SUM(_xlfn._xlws.FILTER(E104:E114,A104:A114=A104)))</f>
        <v>0</v>
      </c>
      <c r="G104" s="1024">
        <f>IF(F104&lt;&gt;0,SUM($F$43:F104),0)</f>
        <v>0</v>
      </c>
      <c r="H104" s="1024" cm="1">
        <f t="array" ref="H104">IFERROR(IF(A104=A103,0,SUM(_xlfn._xlws.FILTER(E104:E114,(A104:A114=A104)*(E104:E114&gt;0)))),0)</f>
        <v>0</v>
      </c>
      <c r="I104" s="1024"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22">
        <f ca="1">IFERROR(C105*D105*_xlfn.XLOOKUP(B105,TabCalc[Ticker],TabCalc[Scale]),0)</f>
        <v>103027.5</v>
      </c>
      <c r="F105" s="1023" cm="1">
        <f t="array" ref="F105">IF(A105=A104,0,SUM(_xlfn._xlws.FILTER(E105:E115,A105:A115=A105)))</f>
        <v>0</v>
      </c>
      <c r="G105" s="1024">
        <f>IF(F105&lt;&gt;0,SUM($F$43:F105),0)</f>
        <v>0</v>
      </c>
      <c r="H105" s="1024" cm="1">
        <f t="array" ref="H105">IFERROR(IF(A105=A104,0,SUM(_xlfn._xlws.FILTER(E105:E115,(A105:A115=A105)*(E105:E115&gt;0)))),0)</f>
        <v>0</v>
      </c>
      <c r="I105" s="1024"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22">
        <f ca="1">IFERROR(C106*D106*_xlfn.XLOOKUP(B106,TabCalc[Ticker],TabCalc[Scale]),0)</f>
        <v>62440</v>
      </c>
      <c r="F106" s="1023" cm="1">
        <f t="array" ref="F106">IF(A106=A105,0,SUM(_xlfn._xlws.FILTER(E106:E116,A106:A116=A106)))</f>
        <v>0</v>
      </c>
      <c r="G106" s="1024">
        <f>IF(F106&lt;&gt;0,SUM($F$43:F106),0)</f>
        <v>0</v>
      </c>
      <c r="H106" s="1024" cm="1">
        <f t="array" ref="H106">IFERROR(IF(A106=A105,0,SUM(_xlfn._xlws.FILTER(E106:E116,(A106:A116=A106)*(E106:E116&gt;0)))),0)</f>
        <v>0</v>
      </c>
      <c r="I106" s="1024"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22">
        <f ca="1">IFERROR(C107*D107*_xlfn.XLOOKUP(B107,TabCalc[Ticker],TabCalc[Scale]),0)</f>
        <v>-58222.5</v>
      </c>
      <c r="F107" s="1023" cm="1">
        <f t="array" aca="1" ref="F107" ca="1">IF(A107=A106,0,SUM(_xlfn._xlws.FILTER(E107:E117,A107:A117=A107)))</f>
        <v>-58222.5</v>
      </c>
      <c r="G107" s="1024">
        <f ca="1">IF(F107&lt;&gt;0,SUM($F$43:F107),0)</f>
        <v>863597.16390000004</v>
      </c>
      <c r="H107" s="1024" cm="1">
        <f t="array" aca="1" ref="H107" ca="1">IFERROR(IF(A107=A106,0,SUM(_xlfn._xlws.FILTER(E107:E117,(A107:A117=A107)*(E107:E117&gt;0)))),0)</f>
        <v>0</v>
      </c>
      <c r="I107" s="1024"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22">
        <f ca="1">IFERROR(C108*D108*_xlfn.XLOOKUP(B108,TabCalc[Ticker],TabCalc[Scale]),0)</f>
        <v>16600</v>
      </c>
      <c r="F108" s="1023" cm="1">
        <f t="array" aca="1" ref="F108" ca="1">IF(A108=A107,0,SUM(_xlfn._xlws.FILTER(E108:E118,A108:A118=A108)))</f>
        <v>-18100</v>
      </c>
      <c r="G108" s="1024">
        <f ca="1">IF(F108&lt;&gt;0,SUM($F$43:F108),0)</f>
        <v>845497.16390000004</v>
      </c>
      <c r="H108" s="1024" cm="1">
        <f t="array" aca="1" ref="H108" ca="1">IFERROR(IF(A108=A107,0,SUM(_xlfn._xlws.FILTER(E108:E118,(A108:A118=A108)*(E108:E118&gt;0)))),0)</f>
        <v>16600</v>
      </c>
      <c r="I108" s="1024"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22">
        <f ca="1">IFERROR(C109*D109*_xlfn.XLOOKUP(B109,TabCalc[Ticker],TabCalc[Scale]),0)</f>
        <v>-34700</v>
      </c>
      <c r="F109" s="1023" cm="1">
        <f t="array" ref="F109">IF(A109=A108,0,SUM(_xlfn._xlws.FILTER(E109:E119,A109:A119=A109)))</f>
        <v>0</v>
      </c>
      <c r="G109" s="1024">
        <f>IF(F109&lt;&gt;0,SUM($F$43:F109),0)</f>
        <v>0</v>
      </c>
      <c r="H109" s="1024" cm="1">
        <f t="array" ref="H109">IFERROR(IF(A109=A108,0,SUM(_xlfn._xlws.FILTER(E109:E119,(A109:A119=A109)*(E109:E119&gt;0)))),0)</f>
        <v>0</v>
      </c>
      <c r="I109" s="1024"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22">
        <f ca="1">IFERROR(C110*D110*_xlfn.XLOOKUP(B110,TabCalc[Ticker],TabCalc[Scale]),0)</f>
        <v>40010</v>
      </c>
      <c r="F110" s="1023" cm="1">
        <f t="array" aca="1" ref="F110" ca="1">IF(A110=A109,0,SUM(_xlfn._xlws.FILTER(E110:E120,A110:A120=A110)))</f>
        <v>144579.5</v>
      </c>
      <c r="G110" s="1024">
        <f ca="1">IF(F110&lt;&gt;0,SUM($F$43:F110),0)</f>
        <v>990076.66390000004</v>
      </c>
      <c r="H110" s="1024" cm="1">
        <f t="array" aca="1" ref="H110" ca="1">IFERROR(IF(A110=A109,0,SUM(_xlfn._xlws.FILTER(E110:E120,(A110:A120=A110)*(E110:E120&gt;0)))),0)</f>
        <v>346414.3</v>
      </c>
      <c r="I110" s="1024"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22">
        <f ca="1">IFERROR(C111*D111*_xlfn.XLOOKUP(B111,TabCalc[Ticker],TabCalc[Scale]),0)</f>
        <v>40010</v>
      </c>
      <c r="F111" s="1023" cm="1">
        <f t="array" ref="F111">IF(A111=A110,0,SUM(_xlfn._xlws.FILTER(E111:E121,A111:A121=A111)))</f>
        <v>0</v>
      </c>
      <c r="G111" s="1024">
        <f>IF(F111&lt;&gt;0,SUM($F$43:F111),0)</f>
        <v>0</v>
      </c>
      <c r="H111" s="1024" cm="1">
        <f t="array" ref="H111">IFERROR(IF(A111=A110,0,SUM(_xlfn._xlws.FILTER(E111:E121,(A111:A121=A111)*(E111:E121&gt;0)))),0)</f>
        <v>0</v>
      </c>
      <c r="I111" s="1024"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22">
        <f ca="1">IFERROR(C112*D112*_xlfn.XLOOKUP(B112,TabCalc[Ticker],TabCalc[Scale]),0)</f>
        <v>-11500</v>
      </c>
      <c r="F112" s="1023" cm="1">
        <f t="array" ref="F112">IF(A112=A111,0,SUM(_xlfn._xlws.FILTER(E112:E122,A112:A122=A112)))</f>
        <v>0</v>
      </c>
      <c r="G112" s="1024">
        <f>IF(F112&lt;&gt;0,SUM($F$43:F112),0)</f>
        <v>0</v>
      </c>
      <c r="H112" s="1024" cm="1">
        <f t="array" ref="H112">IFERROR(IF(A112=A111,0,SUM(_xlfn._xlws.FILTER(E112:E122,(A112:A122=A112)*(E112:E122&gt;0)))),0)</f>
        <v>0</v>
      </c>
      <c r="I112" s="1024"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22">
        <f ca="1">IFERROR(C113*D113*_xlfn.XLOOKUP(B113,TabCalc[Ticker],TabCalc[Scale]),0)</f>
        <v>58867.5</v>
      </c>
      <c r="F113" s="1023" cm="1">
        <f t="array" ref="F113">IF(A113=A112,0,SUM(_xlfn._xlws.FILTER(E113:E123,A113:A123=A113)))</f>
        <v>0</v>
      </c>
      <c r="G113" s="1024">
        <f>IF(F113&lt;&gt;0,SUM($F$43:F113),0)</f>
        <v>0</v>
      </c>
      <c r="H113" s="1024" cm="1">
        <f t="array" ref="H113">IFERROR(IF(A113=A112,0,SUM(_xlfn._xlws.FILTER(E113:E123,(A113:A123=A113)*(E113:E123&gt;0)))),0)</f>
        <v>0</v>
      </c>
      <c r="I113" s="1024"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22">
        <f ca="1">IFERROR(C114*D114*_xlfn.XLOOKUP(B114,TabCalc[Ticker],TabCalc[Scale]),0)</f>
        <v>-43281</v>
      </c>
      <c r="F114" s="1023" cm="1">
        <f t="array" ref="F114">IF(A114=A113,0,SUM(_xlfn._xlws.FILTER(E114:E124,A114:A124=A114)))</f>
        <v>0</v>
      </c>
      <c r="G114" s="1024">
        <f>IF(F114&lt;&gt;0,SUM($F$43:F114),0)</f>
        <v>0</v>
      </c>
      <c r="H114" s="1024" cm="1">
        <f t="array" ref="H114">IFERROR(IF(A114=A113,0,SUM(_xlfn._xlws.FILTER(E114:E124,(A114:A124=A114)*(E114:E124&gt;0)))),0)</f>
        <v>0</v>
      </c>
      <c r="I114" s="1024"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22">
        <f ca="1">IFERROR(C115*D115*_xlfn.XLOOKUP(B115,TabCalc[Ticker],TabCalc[Scale]),0)</f>
        <v>43346.8</v>
      </c>
      <c r="F115" s="1023" cm="1">
        <f t="array" ref="F115">IF(A115=A114,0,SUM(_xlfn._xlws.FILTER(E115:E125,A115:A125=A115)))</f>
        <v>0</v>
      </c>
      <c r="G115" s="1024">
        <f>IF(F115&lt;&gt;0,SUM($F$43:F115),0)</f>
        <v>0</v>
      </c>
      <c r="H115" s="1024" cm="1">
        <f t="array" ref="H115">IFERROR(IF(A115=A114,0,SUM(_xlfn._xlws.FILTER(E115:E125,(A115:A125=A115)*(E115:E125&gt;0)))),0)</f>
        <v>0</v>
      </c>
      <c r="I115" s="1024"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22">
        <f ca="1">IFERROR(C116*D116*_xlfn.XLOOKUP(B116,TabCalc[Ticker],TabCalc[Scale]),0)</f>
        <v>39400</v>
      </c>
      <c r="F116" s="1023" cm="1">
        <f t="array" ref="F116">IF(A116=A115,0,SUM(_xlfn._xlws.FILTER(E116:E126,A116:A126=A116)))</f>
        <v>0</v>
      </c>
      <c r="G116" s="1024">
        <f>IF(F116&lt;&gt;0,SUM($F$43:F116),0)</f>
        <v>0</v>
      </c>
      <c r="H116" s="1024" cm="1">
        <f t="array" ref="H116">IFERROR(IF(A116=A115,0,SUM(_xlfn._xlws.FILTER(E116:E126,(A116:A126=A116)*(E116:E126&gt;0)))),0)</f>
        <v>0</v>
      </c>
      <c r="I116" s="1024"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22">
        <f ca="1">IFERROR(C117*D117*_xlfn.XLOOKUP(B117,TabCalc[Ticker],TabCalc[Scale]),0)</f>
        <v>124780</v>
      </c>
      <c r="F117" s="1023" cm="1">
        <f t="array" ref="F117">IF(A117=A116,0,SUM(_xlfn._xlws.FILTER(E117:E127,A117:A127=A117)))</f>
        <v>0</v>
      </c>
      <c r="G117" s="1024">
        <f>IF(F117&lt;&gt;0,SUM($F$43:F117),0)</f>
        <v>0</v>
      </c>
      <c r="H117" s="1024" cm="1">
        <f t="array" ref="H117">IFERROR(IF(A117=A116,0,SUM(_xlfn._xlws.FILTER(E117:E127,(A117:A127=A117)*(E117:E127&gt;0)))),0)</f>
        <v>0</v>
      </c>
      <c r="I117" s="1024"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22">
        <f ca="1">IFERROR(C118*D118*_xlfn.XLOOKUP(B118,TabCalc[Ticker],TabCalc[Scale]),0)</f>
        <v>-12449.8</v>
      </c>
      <c r="F118" s="1023" cm="1">
        <f t="array" ref="F118">IF(A118=A117,0,SUM(_xlfn._xlws.FILTER(E118:E128,A118:A128=A118)))</f>
        <v>0</v>
      </c>
      <c r="G118" s="1024">
        <f>IF(F118&lt;&gt;0,SUM($F$43:F118),0)</f>
        <v>0</v>
      </c>
      <c r="H118" s="1024" cm="1">
        <f t="array" ref="H118">IFERROR(IF(A118=A117,0,SUM(_xlfn._xlws.FILTER(E118:E128,(A118:A128=A118)*(E118:E128&gt;0)))),0)</f>
        <v>0</v>
      </c>
      <c r="I118" s="1024"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22">
        <f ca="1">IFERROR(C119*D119*_xlfn.XLOOKUP(B119,TabCalc[Ticker],TabCalc[Scale]),0)</f>
        <v>-134604</v>
      </c>
      <c r="F119" s="1023" cm="1">
        <f t="array" ref="F119">IF(A119=A118,0,SUM(_xlfn._xlws.FILTER(E119:E129,A119:A129=A119)))</f>
        <v>0</v>
      </c>
      <c r="G119" s="1024">
        <f>IF(F119&lt;&gt;0,SUM($F$43:F119),0)</f>
        <v>0</v>
      </c>
      <c r="H119" s="1024" cm="1">
        <f t="array" ref="H119">IFERROR(IF(A119=A118,0,SUM(_xlfn._xlws.FILTER(E119:E129,(A119:A129=A119)*(E119:E129&gt;0)))),0)</f>
        <v>0</v>
      </c>
      <c r="I119" s="1024"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22">
        <f ca="1">IFERROR(C120*D120*_xlfn.XLOOKUP(B120,TabCalc[Ticker],TabCalc[Scale]),0)</f>
        <v>71460</v>
      </c>
      <c r="F120" s="1023" cm="1">
        <f t="array" aca="1" ref="F120" ca="1">IF(A120=A119,0,SUM(_xlfn._xlws.FILTER(E120:E130,A120:A130=A120)))</f>
        <v>310489.75</v>
      </c>
      <c r="G120" s="1024">
        <f ca="1">IF(F120&lt;&gt;0,SUM($F$43:F120),0)</f>
        <v>1300566.4139</v>
      </c>
      <c r="H120" s="1024" cm="1">
        <f t="array" aca="1" ref="H120" ca="1">IFERROR(IF(A120=A119,0,SUM(_xlfn._xlws.FILTER(E120:E130,(A120:A130=A120)*(E120:E130&gt;0)))),0)</f>
        <v>533342</v>
      </c>
      <c r="I120" s="1024"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22">
        <f ca="1">IFERROR(C121*D121*_xlfn.XLOOKUP(B121,TabCalc[Ticker],TabCalc[Scale]),0)</f>
        <v>73710</v>
      </c>
      <c r="F121" s="1023" cm="1">
        <f t="array" ref="F121">IF(A121=A120,0,SUM(_xlfn._xlws.FILTER(E121:E131,A121:A131=A121)))</f>
        <v>0</v>
      </c>
      <c r="G121" s="1024">
        <f>IF(F121&lt;&gt;0,SUM($F$43:F121),0)</f>
        <v>0</v>
      </c>
      <c r="H121" s="1024" cm="1">
        <f t="array" ref="H121">IFERROR(IF(A121=A120,0,SUM(_xlfn._xlws.FILTER(E121:E131,(A121:A131=A121)*(E121:E131&gt;0)))),0)</f>
        <v>0</v>
      </c>
      <c r="I121" s="1024"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22">
        <f ca="1">IFERROR(C122*D122*_xlfn.XLOOKUP(B122,TabCalc[Ticker],TabCalc[Scale]),0)</f>
        <v>-113460</v>
      </c>
      <c r="F122" s="1023" cm="1">
        <f t="array" ref="F122">IF(A122=A121,0,SUM(_xlfn._xlws.FILTER(E122:E132,A122:A132=A122)))</f>
        <v>0</v>
      </c>
      <c r="G122" s="1024">
        <f>IF(F122&lt;&gt;0,SUM($F$43:F122),0)</f>
        <v>0</v>
      </c>
      <c r="H122" s="1024" cm="1">
        <f t="array" ref="H122">IFERROR(IF(A122=A121,0,SUM(_xlfn._xlws.FILTER(E122:E132,(A122:A132=A122)*(E122:E132&gt;0)))),0)</f>
        <v>0</v>
      </c>
      <c r="I122" s="1024"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22">
        <f ca="1">IFERROR(C123*D123*_xlfn.XLOOKUP(B123,TabCalc[Ticker],TabCalc[Scale]),0)</f>
        <v>-40458.75</v>
      </c>
      <c r="F123" s="1023" cm="1">
        <f t="array" ref="F123">IF(A123=A122,0,SUM(_xlfn._xlws.FILTER(E123:E133,A123:A133=A123)))</f>
        <v>0</v>
      </c>
      <c r="G123" s="1024">
        <f>IF(F123&lt;&gt;0,SUM($F$43:F123),0)</f>
        <v>0</v>
      </c>
      <c r="H123" s="1024" cm="1">
        <f t="array" ref="H123">IFERROR(IF(A123=A122,0,SUM(_xlfn._xlws.FILTER(E123:E133,(A123:A133=A123)*(E123:E133&gt;0)))),0)</f>
        <v>0</v>
      </c>
      <c r="I123" s="1024"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22">
        <f ca="1">IFERROR(C124*D124*_xlfn.XLOOKUP(B124,TabCalc[Ticker],TabCalc[Scale]),0)</f>
        <v>134140</v>
      </c>
      <c r="F124" s="1023" cm="1">
        <f t="array" ref="F124">IF(A124=A123,0,SUM(_xlfn._xlws.FILTER(E124:E134,A124:A134=A124)))</f>
        <v>0</v>
      </c>
      <c r="G124" s="1024">
        <f>IF(F124&lt;&gt;0,SUM($F$43:F124),0)</f>
        <v>0</v>
      </c>
      <c r="H124" s="1024" cm="1">
        <f t="array" ref="H124">IFERROR(IF(A124=A123,0,SUM(_xlfn._xlws.FILTER(E124:E134,(A124:A134=A124)*(E124:E134&gt;0)))),0)</f>
        <v>0</v>
      </c>
      <c r="I124" s="1024"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22">
        <f ca="1">IFERROR(C125*D125*_xlfn.XLOOKUP(B125,TabCalc[Ticker],TabCalc[Scale]),0)</f>
        <v>15040</v>
      </c>
      <c r="F125" s="1023" cm="1">
        <f t="array" ref="F125">IF(A125=A124,0,SUM(_xlfn._xlws.FILTER(E125:E135,A125:A135=A125)))</f>
        <v>0</v>
      </c>
      <c r="G125" s="1024">
        <f>IF(F125&lt;&gt;0,SUM($F$43:F125),0)</f>
        <v>0</v>
      </c>
      <c r="H125" s="1024" cm="1">
        <f t="array" ref="H125">IFERROR(IF(A125=A124,0,SUM(_xlfn._xlws.FILTER(E125:E135,(A125:A135=A125)*(E125:E135&gt;0)))),0)</f>
        <v>0</v>
      </c>
      <c r="I125" s="1024"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22">
        <f ca="1">IFERROR(C126*D126*_xlfn.XLOOKUP(B126,TabCalc[Ticker],TabCalc[Scale]),0)</f>
        <v>71940</v>
      </c>
      <c r="F126" s="1023" cm="1">
        <f t="array" ref="F126">IF(A126=A125,0,SUM(_xlfn._xlws.FILTER(E126:E136,A126:A136=A126)))</f>
        <v>0</v>
      </c>
      <c r="G126" s="1024">
        <f>IF(F126&lt;&gt;0,SUM($F$43:F126),0)</f>
        <v>0</v>
      </c>
      <c r="H126" s="1024" cm="1">
        <f t="array" ref="H126">IFERROR(IF(A126=A125,0,SUM(_xlfn._xlws.FILTER(E126:E136,(A126:A136=A126)*(E126:E136&gt;0)))),0)</f>
        <v>0</v>
      </c>
      <c r="I126" s="1024"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22">
        <f ca="1">IFERROR(C127*D127*_xlfn.XLOOKUP(B127,TabCalc[Ticker],TabCalc[Scale]),0)</f>
        <v>75450</v>
      </c>
      <c r="F127" s="1023" cm="1">
        <f t="array" ref="F127">IF(A127=A126,0,SUM(_xlfn._xlws.FILTER(E127:E137,A127:A137=A127)))</f>
        <v>0</v>
      </c>
      <c r="G127" s="1024">
        <f>IF(F127&lt;&gt;0,SUM($F$43:F127),0)</f>
        <v>0</v>
      </c>
      <c r="H127" s="1024" cm="1">
        <f t="array" ref="H127">IFERROR(IF(A127=A126,0,SUM(_xlfn._xlws.FILTER(E127:E137,(A127:A137=A127)*(E127:E137&gt;0)))),0)</f>
        <v>0</v>
      </c>
      <c r="I127" s="1024"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22">
        <f ca="1">IFERROR(C128*D128*_xlfn.XLOOKUP(B128,TabCalc[Ticker],TabCalc[Scale]),0)</f>
        <v>91602</v>
      </c>
      <c r="F128" s="1023" cm="1">
        <f t="array" ref="F128">IF(A128=A127,0,SUM(_xlfn._xlws.FILTER(E128:E138,A128:A138=A128)))</f>
        <v>0</v>
      </c>
      <c r="G128" s="1024">
        <f>IF(F128&lt;&gt;0,SUM($F$43:F128),0)</f>
        <v>0</v>
      </c>
      <c r="H128" s="1024" cm="1">
        <f t="array" ref="H128">IFERROR(IF(A128=A127,0,SUM(_xlfn._xlws.FILTER(E128:E138,(A128:A138=A128)*(E128:E138&gt;0)))),0)</f>
        <v>0</v>
      </c>
      <c r="I128" s="1024"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22">
        <f ca="1">IFERROR(C129*D129*_xlfn.XLOOKUP(B129,TabCalc[Ticker],TabCalc[Scale]),0)</f>
        <v>-20440</v>
      </c>
      <c r="F129" s="1023" cm="1">
        <f t="array" ref="F129">IF(A129=A128,0,SUM(_xlfn._xlws.FILTER(E129:E139,A129:A139=A129)))</f>
        <v>0</v>
      </c>
      <c r="G129" s="1024">
        <f>IF(F129&lt;&gt;0,SUM($F$43:F129),0)</f>
        <v>0</v>
      </c>
      <c r="H129" s="1024" cm="1">
        <f t="array" ref="H129">IFERROR(IF(A129=A128,0,SUM(_xlfn._xlws.FILTER(E129:E139,(A129:A139=A129)*(E129:E139&gt;0)))),0)</f>
        <v>0</v>
      </c>
      <c r="I129" s="1024"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22">
        <f ca="1">IFERROR(C130*D130*_xlfn.XLOOKUP(B130,TabCalc[Ticker],TabCalc[Scale]),0)</f>
        <v>-48493.499999999993</v>
      </c>
      <c r="F130" s="1023" cm="1">
        <f t="array" ref="F130">IF(A130=A129,0,SUM(_xlfn._xlws.FILTER(E130:E140,A130:A140=A130)))</f>
        <v>0</v>
      </c>
      <c r="G130" s="1024">
        <f>IF(F130&lt;&gt;0,SUM($F$43:F130),0)</f>
        <v>0</v>
      </c>
      <c r="H130" s="1024" cm="1">
        <f t="array" ref="H130">IFERROR(IF(A130=A129,0,SUM(_xlfn._xlws.FILTER(E130:E140,(A130:A140=A130)*(E130:E140&gt;0)))),0)</f>
        <v>0</v>
      </c>
      <c r="I130" s="1024"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22">
        <f ca="1">IFERROR(C131*D131*_xlfn.XLOOKUP(B131,TabCalc[Ticker],TabCalc[Scale]),0)</f>
        <v>22413.84</v>
      </c>
      <c r="F131" s="1023" cm="1">
        <f t="array" aca="1" ref="F131" ca="1">IF(A131=A130,0,SUM(_xlfn._xlws.FILTER(E131:E141,A131:A141=A131)))</f>
        <v>-118176.95999999999</v>
      </c>
      <c r="G131" s="1024">
        <f ca="1">IF(F131&lt;&gt;0,SUM($F$43:F131),0)</f>
        <v>1182389.4539000001</v>
      </c>
      <c r="H131" s="1024" cm="1">
        <f t="array" aca="1" ref="H131" ca="1">IFERROR(IF(A131=A130,0,SUM(_xlfn._xlws.FILTER(E131:E141,(A131:A141=A131)*(E131:E141&gt;0)))),0)</f>
        <v>206539.84</v>
      </c>
      <c r="I131" s="1024"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22">
        <f ca="1">IFERROR(C132*D132*_xlfn.XLOOKUP(B132,TabCalc[Ticker],TabCalc[Scale]),0)</f>
        <v>-54650</v>
      </c>
      <c r="F132" s="1023" cm="1">
        <f t="array" ref="F132">IF(A132=A131,0,SUM(_xlfn._xlws.FILTER(E132:E142,A132:A142=A132)))</f>
        <v>0</v>
      </c>
      <c r="G132" s="1024">
        <f>IF(F132&lt;&gt;0,SUM($F$43:F132),0)</f>
        <v>0</v>
      </c>
      <c r="H132" s="1024" cm="1">
        <f t="array" ref="H132">IFERROR(IF(A132=A131,0,SUM(_xlfn._xlws.FILTER(E132:E142,(A132:A142=A132)*(E132:E142&gt;0)))),0)</f>
        <v>0</v>
      </c>
      <c r="I132" s="1024"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22">
        <f ca="1">IFERROR(C133*D133*_xlfn.XLOOKUP(B133,TabCalc[Ticker],TabCalc[Scale]),0)</f>
        <v>-41164.799999999996</v>
      </c>
      <c r="F133" s="1023" cm="1">
        <f t="array" ref="F133">IF(A133=A132,0,SUM(_xlfn._xlws.FILTER(E133:E143,A133:A143=A133)))</f>
        <v>0</v>
      </c>
      <c r="G133" s="1024">
        <f>IF(F133&lt;&gt;0,SUM($F$43:F133),0)</f>
        <v>0</v>
      </c>
      <c r="H133" s="1024" cm="1">
        <f t="array" ref="H133">IFERROR(IF(A133=A132,0,SUM(_xlfn._xlws.FILTER(E133:E143,(A133:A143=A133)*(E133:E143&gt;0)))),0)</f>
        <v>0</v>
      </c>
      <c r="I133" s="1024"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22">
        <f ca="1">IFERROR(C134*D134*_xlfn.XLOOKUP(B134,TabCalc[Ticker],TabCalc[Scale]),0)</f>
        <v>-66132</v>
      </c>
      <c r="F134" s="1023" cm="1">
        <f t="array" ref="F134">IF(A134=A133,0,SUM(_xlfn._xlws.FILTER(E134:E144,A134:A144=A134)))</f>
        <v>0</v>
      </c>
      <c r="G134" s="1024">
        <f>IF(F134&lt;&gt;0,SUM($F$43:F134),0)</f>
        <v>0</v>
      </c>
      <c r="H134" s="1024" cm="1">
        <f t="array" ref="H134">IFERROR(IF(A134=A133,0,SUM(_xlfn._xlws.FILTER(E134:E144,(A134:A144=A134)*(E134:E144&gt;0)))),0)</f>
        <v>0</v>
      </c>
      <c r="I134" s="1024"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22">
        <f ca="1">IFERROR(C135*D135*_xlfn.XLOOKUP(B135,TabCalc[Ticker],TabCalc[Scale]),0)</f>
        <v>-33400</v>
      </c>
      <c r="F135" s="1023" cm="1">
        <f t="array" ref="F135">IF(A135=A134,0,SUM(_xlfn._xlws.FILTER(E135:E145,A135:A145=A135)))</f>
        <v>0</v>
      </c>
      <c r="G135" s="1024">
        <f>IF(F135&lt;&gt;0,SUM($F$43:F135),0)</f>
        <v>0</v>
      </c>
      <c r="H135" s="1024" cm="1">
        <f t="array" ref="H135">IFERROR(IF(A135=A134,0,SUM(_xlfn._xlws.FILTER(E135:E145,(A135:A145=A135)*(E135:E145&gt;0)))),0)</f>
        <v>0</v>
      </c>
      <c r="I135" s="1024"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22">
        <f ca="1">IFERROR(C136*D136*_xlfn.XLOOKUP(B136,TabCalc[Ticker],TabCalc[Scale]),0)</f>
        <v>73236</v>
      </c>
      <c r="F136" s="1023" cm="1">
        <f t="array" ref="F136">IF(A136=A135,0,SUM(_xlfn._xlws.FILTER(E136:E146,A136:A146=A136)))</f>
        <v>0</v>
      </c>
      <c r="G136" s="1024">
        <f>IF(F136&lt;&gt;0,SUM($F$43:F136),0)</f>
        <v>0</v>
      </c>
      <c r="H136" s="1024" cm="1">
        <f t="array" ref="H136">IFERROR(IF(A136=A135,0,SUM(_xlfn._xlws.FILTER(E136:E146,(A136:A146=A136)*(E136:E146&gt;0)))),0)</f>
        <v>0</v>
      </c>
      <c r="I136" s="1024"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22">
        <f ca="1">IFERROR(C137*D137*_xlfn.XLOOKUP(B137,TabCalc[Ticker],TabCalc[Scale]),0)</f>
        <v>-114270</v>
      </c>
      <c r="F137" s="1023" cm="1">
        <f t="array" ref="F137">IF(A137=A136,0,SUM(_xlfn._xlws.FILTER(E137:E147,A137:A147=A137)))</f>
        <v>0</v>
      </c>
      <c r="G137" s="1024">
        <f>IF(F137&lt;&gt;0,SUM($F$43:F137),0)</f>
        <v>0</v>
      </c>
      <c r="H137" s="1024" cm="1">
        <f t="array" ref="H137">IFERROR(IF(A137=A136,0,SUM(_xlfn._xlws.FILTER(E137:E147,(A137:A147=A137)*(E137:E147&gt;0)))),0)</f>
        <v>0</v>
      </c>
      <c r="I137" s="1024"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22">
        <f ca="1">IFERROR(C138*D138*_xlfn.XLOOKUP(B138,TabCalc[Ticker],TabCalc[Scale]),0)</f>
        <v>68030</v>
      </c>
      <c r="F138" s="1023" cm="1">
        <f t="array" ref="F138">IF(A138=A137,0,SUM(_xlfn._xlws.FILTER(E138:E148,A138:A148=A138)))</f>
        <v>0</v>
      </c>
      <c r="G138" s="1024">
        <f>IF(F138&lt;&gt;0,SUM($F$43:F138),0)</f>
        <v>0</v>
      </c>
      <c r="H138" s="1024" cm="1">
        <f t="array" ref="H138">IFERROR(IF(A138=A137,0,SUM(_xlfn._xlws.FILTER(E138:E148,(A138:A148=A138)*(E138:E148&gt;0)))),0)</f>
        <v>0</v>
      </c>
      <c r="I138" s="1024"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22">
        <f ca="1">IFERROR(C139*D139*_xlfn.XLOOKUP(B139,TabCalc[Ticker],TabCalc[Scale]),0)</f>
        <v>42860</v>
      </c>
      <c r="F139" s="1023" cm="1">
        <f t="array" ref="F139">IF(A139=A138,0,SUM(_xlfn._xlws.FILTER(E139:E149,A139:A149=A139)))</f>
        <v>0</v>
      </c>
      <c r="G139" s="1024">
        <f>IF(F139&lt;&gt;0,SUM($F$43:F139),0)</f>
        <v>0</v>
      </c>
      <c r="H139" s="1024" cm="1">
        <f t="array" ref="H139">IFERROR(IF(A139=A138,0,SUM(_xlfn._xlws.FILTER(E139:E149,(A139:A149=A139)*(E139:E149&gt;0)))),0)</f>
        <v>0</v>
      </c>
      <c r="I139" s="1024"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22">
        <f ca="1">IFERROR(C140*D140*_xlfn.XLOOKUP(B140,TabCalc[Ticker],TabCalc[Scale]),0)</f>
        <v>-15100</v>
      </c>
      <c r="F140" s="1023" cm="1">
        <f t="array" ref="F140">IF(A140=A139,0,SUM(_xlfn._xlws.FILTER(E140:E150,A140:A150=A140)))</f>
        <v>0</v>
      </c>
      <c r="G140" s="1024">
        <f>IF(F140&lt;&gt;0,SUM($F$43:F140),0)</f>
        <v>0</v>
      </c>
      <c r="H140" s="1024" cm="1">
        <f t="array" ref="H140">IFERROR(IF(A140=A139,0,SUM(_xlfn._xlws.FILTER(E140:E150,(A140:A150=A140)*(E140:E150&gt;0)))),0)</f>
        <v>0</v>
      </c>
      <c r="I140" s="1024"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22">
        <f ca="1">IFERROR(C141*D141*_xlfn.XLOOKUP(B141,TabCalc[Ticker],TabCalc[Scale]),0)</f>
        <v>-33700</v>
      </c>
      <c r="F141" s="1023" cm="1">
        <f t="array" aca="1" ref="F141" ca="1">IF(A141=A140,0,SUM(_xlfn._xlws.FILTER(E141:E151,A141:A151=A141)))</f>
        <v>-33700</v>
      </c>
      <c r="G141" s="1024">
        <f ca="1">IF(F141&lt;&gt;0,SUM($F$43:F141),0)</f>
        <v>1148689.4539000001</v>
      </c>
      <c r="H141" s="1024" cm="1">
        <f t="array" aca="1" ref="H141" ca="1">IFERROR(IF(A141=A140,0,SUM(_xlfn._xlws.FILTER(E141:E151,(A141:A151=A141)*(E141:E151&gt;0)))),0)</f>
        <v>0</v>
      </c>
      <c r="I141" s="1024"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22">
        <f ca="1">IFERROR(C142*D142*_xlfn.XLOOKUP(B142,TabCalc[Ticker],TabCalc[Scale]),0)</f>
        <v>-22919.510000000002</v>
      </c>
      <c r="F142" s="1023" cm="1">
        <f t="array" aca="1" ref="F142" ca="1">IF(A142=A141,0,SUM(_xlfn._xlws.FILTER(E142:E152,A142:A152=A142)))</f>
        <v>-234428.51</v>
      </c>
      <c r="G142" s="1024">
        <f ca="1">IF(F142&lt;&gt;0,SUM($F$43:F142),0)</f>
        <v>914260.94390000007</v>
      </c>
      <c r="H142" s="1024" cm="1">
        <f t="array" aca="1" ref="H142" ca="1">IFERROR(IF(A142=A141,0,SUM(_xlfn._xlws.FILTER(E142:E152,(A142:A152=A142)*(E142:E152&gt;0)))),0)</f>
        <v>126420</v>
      </c>
      <c r="I142" s="1024"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22">
        <f ca="1">IFERROR(C143*D143*_xlfn.XLOOKUP(B143,TabCalc[Ticker],TabCalc[Scale]),0)</f>
        <v>-33000</v>
      </c>
      <c r="F143" s="1023" cm="1">
        <f t="array" ref="F143">IF(A143=A142,0,SUM(_xlfn._xlws.FILTER(E143:E153,A143:A153=A143)))</f>
        <v>0</v>
      </c>
      <c r="G143" s="1024">
        <f>IF(F143&lt;&gt;0,SUM($F$43:F143),0)</f>
        <v>0</v>
      </c>
      <c r="H143" s="1024" cm="1">
        <f t="array" ref="H143">IFERROR(IF(A143=A142,0,SUM(_xlfn._xlws.FILTER(E143:E153,(A143:A153=A143)*(E143:E153&gt;0)))),0)</f>
        <v>0</v>
      </c>
      <c r="I143" s="1024"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22">
        <f ca="1">IFERROR(C144*D144*_xlfn.XLOOKUP(B144,TabCalc[Ticker],TabCalc[Scale]),0)</f>
        <v>-87424</v>
      </c>
      <c r="F144" s="1023" cm="1">
        <f t="array" ref="F144">IF(A144=A143,0,SUM(_xlfn._xlws.FILTER(E144:E154,A144:A154=A144)))</f>
        <v>0</v>
      </c>
      <c r="G144" s="1024">
        <f>IF(F144&lt;&gt;0,SUM($F$43:F144),0)</f>
        <v>0</v>
      </c>
      <c r="H144" s="1024" cm="1">
        <f t="array" ref="H144">IFERROR(IF(A144=A143,0,SUM(_xlfn._xlws.FILTER(E144:E154,(A144:A154=A144)*(E144:E154&gt;0)))),0)</f>
        <v>0</v>
      </c>
      <c r="I144" s="1024"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22">
        <f ca="1">IFERROR(C145*D145*_xlfn.XLOOKUP(B145,TabCalc[Ticker],TabCalc[Scale]),0)</f>
        <v>-33700</v>
      </c>
      <c r="F145" s="1023" cm="1">
        <f t="array" ref="F145">IF(A145=A144,0,SUM(_xlfn._xlws.FILTER(E145:E155,A145:A155=A145)))</f>
        <v>0</v>
      </c>
      <c r="G145" s="1024">
        <f>IF(F145&lt;&gt;0,SUM($F$43:F145),0)</f>
        <v>0</v>
      </c>
      <c r="H145" s="1024" cm="1">
        <f t="array" ref="H145">IFERROR(IF(A145=A144,0,SUM(_xlfn._xlws.FILTER(E145:E155,(A145:A155=A145)*(E145:E155&gt;0)))),0)</f>
        <v>0</v>
      </c>
      <c r="I145" s="1024"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22">
        <f ca="1">IFERROR(C146*D146*_xlfn.XLOOKUP(B146,TabCalc[Ticker],TabCalc[Scale]),0)</f>
        <v>-112720</v>
      </c>
      <c r="F146" s="1023" cm="1">
        <f t="array" ref="F146">IF(A146=A145,0,SUM(_xlfn._xlws.FILTER(E146:E156,A146:A156=A146)))</f>
        <v>0</v>
      </c>
      <c r="G146" s="1024">
        <f>IF(F146&lt;&gt;0,SUM($F$43:F146),0)</f>
        <v>0</v>
      </c>
      <c r="H146" s="1024" cm="1">
        <f t="array" ref="H146">IFERROR(IF(A146=A145,0,SUM(_xlfn._xlws.FILTER(E146:E156,(A146:A156=A146)*(E146:E156&gt;0)))),0)</f>
        <v>0</v>
      </c>
      <c r="I146" s="1024"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22">
        <f ca="1">IFERROR(C147*D147*_xlfn.XLOOKUP(B147,TabCalc[Ticker],TabCalc[Scale]),0)</f>
        <v>-22919.999999999996</v>
      </c>
      <c r="F147" s="1023" cm="1">
        <f t="array" ref="F147">IF(A147=A146,0,SUM(_xlfn._xlws.FILTER(E147:E157,A147:A157=A147)))</f>
        <v>0</v>
      </c>
      <c r="G147" s="1024">
        <f>IF(F147&lt;&gt;0,SUM($F$43:F147),0)</f>
        <v>0</v>
      </c>
      <c r="H147" s="1024" cm="1">
        <f t="array" ref="H147">IFERROR(IF(A147=A146,0,SUM(_xlfn._xlws.FILTER(E147:E157,(A147:A157=A147)*(E147:E157&gt;0)))),0)</f>
        <v>0</v>
      </c>
      <c r="I147" s="1024"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22">
        <f ca="1">IFERROR(C148*D148*_xlfn.XLOOKUP(B148,TabCalc[Ticker],TabCalc[Scale]),0)</f>
        <v>71720</v>
      </c>
      <c r="F148" s="1023" cm="1">
        <f t="array" ref="F148">IF(A148=A147,0,SUM(_xlfn._xlws.FILTER(E148:E158,A148:A158=A148)))</f>
        <v>0</v>
      </c>
      <c r="G148" s="1024">
        <f>IF(F148&lt;&gt;0,SUM($F$43:F148),0)</f>
        <v>0</v>
      </c>
      <c r="H148" s="1024" cm="1">
        <f t="array" ref="H148">IFERROR(IF(A148=A147,0,SUM(_xlfn._xlws.FILTER(E148:E158,(A148:A158=A148)*(E148:E158&gt;0)))),0)</f>
        <v>0</v>
      </c>
      <c r="I148" s="1024"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22">
        <f ca="1">IFERROR(C149*D149*_xlfn.XLOOKUP(B149,TabCalc[Ticker],TabCalc[Scale]),0)</f>
        <v>-3255</v>
      </c>
      <c r="F149" s="1023" cm="1">
        <f t="array" ref="F149">IF(A149=A148,0,SUM(_xlfn._xlws.FILTER(E149:E159,A149:A159=A149)))</f>
        <v>0</v>
      </c>
      <c r="G149" s="1024">
        <f>IF(F149&lt;&gt;0,SUM($F$43:F149),0)</f>
        <v>0</v>
      </c>
      <c r="H149" s="1024" cm="1">
        <f t="array" ref="H149">IFERROR(IF(A149=A148,0,SUM(_xlfn._xlws.FILTER(E149:E159,(A149:A159=A149)*(E149:E159&gt;0)))),0)</f>
        <v>0</v>
      </c>
      <c r="I149" s="1024"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22">
        <f ca="1">IFERROR(C150*D150*_xlfn.XLOOKUP(B150,TabCalc[Ticker],TabCalc[Scale]),0)</f>
        <v>-44910</v>
      </c>
      <c r="F150" s="1023" cm="1">
        <f t="array" ref="F150">IF(A150=A149,0,SUM(_xlfn._xlws.FILTER(E150:E160,A150:A160=A150)))</f>
        <v>0</v>
      </c>
      <c r="G150" s="1024">
        <f>IF(F150&lt;&gt;0,SUM($F$43:F150),0)</f>
        <v>0</v>
      </c>
      <c r="H150" s="1024" cm="1">
        <f t="array" ref="H150">IFERROR(IF(A150=A149,0,SUM(_xlfn._xlws.FILTER(E150:E160,(A150:A160=A150)*(E150:E160&gt;0)))),0)</f>
        <v>0</v>
      </c>
      <c r="I150" s="1024"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22">
        <f ca="1">IFERROR(C151*D151*_xlfn.XLOOKUP(B151,TabCalc[Ticker],TabCalc[Scale]),0)</f>
        <v>32295</v>
      </c>
      <c r="F151" s="1023" cm="1">
        <f t="array" ref="F151">IF(A151=A150,0,SUM(_xlfn._xlws.FILTER(E151:E161,A151:A161=A151)))</f>
        <v>0</v>
      </c>
      <c r="G151" s="1024">
        <f>IF(F151&lt;&gt;0,SUM($F$43:F151),0)</f>
        <v>0</v>
      </c>
      <c r="H151" s="1024" cm="1">
        <f t="array" ref="H151">IFERROR(IF(A151=A150,0,SUM(_xlfn._xlws.FILTER(E151:E161,(A151:A161=A151)*(E151:E161&gt;0)))),0)</f>
        <v>0</v>
      </c>
      <c r="I151" s="1024"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22">
        <f ca="1">IFERROR(C152*D152*_xlfn.XLOOKUP(B152,TabCalc[Ticker],TabCalc[Scale]),0)</f>
        <v>22405</v>
      </c>
      <c r="F152" s="1023" cm="1">
        <f t="array" ref="F152">IF(A152=A151,0,SUM(_xlfn._xlws.FILTER(E152:E162,A152:A162=A152)))</f>
        <v>0</v>
      </c>
      <c r="G152" s="1024">
        <f>IF(F152&lt;&gt;0,SUM($F$43:F152),0)</f>
        <v>0</v>
      </c>
      <c r="H152" s="1024" cm="1">
        <f t="array" ref="H152">IFERROR(IF(A152=A151,0,SUM(_xlfn._xlws.FILTER(E152:E162,(A152:A162=A152)*(E152:E162&gt;0)))),0)</f>
        <v>0</v>
      </c>
      <c r="I152" s="1024"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22">
        <f ca="1">IFERROR(C153*D153*_xlfn.XLOOKUP(B153,TabCalc[Ticker],TabCalc[Scale]),0)</f>
        <v>-92350</v>
      </c>
      <c r="F153" s="1023" cm="1">
        <f t="array" ref="F153">IF(A153=A152,0,SUM(_xlfn._xlws.FILTER(E153:E163,A153:A163=A153)))</f>
        <v>0</v>
      </c>
      <c r="G153" s="1024">
        <f>IF(F153&lt;&gt;0,SUM($F$43:F153),0)</f>
        <v>0</v>
      </c>
      <c r="H153" s="1024" cm="1">
        <f t="array" ref="H153">IFERROR(IF(A153=A152,0,SUM(_xlfn._xlws.FILTER(E153:E163,(A153:A163=A153)*(E153:E163&gt;0)))),0)</f>
        <v>0</v>
      </c>
      <c r="I153" s="1024"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22">
        <f ca="1">IFERROR(C154*D154*_xlfn.XLOOKUP(B154,TabCalc[Ticker],TabCalc[Scale]),0)</f>
        <v>-56875</v>
      </c>
      <c r="F154" s="1023" cm="1">
        <f t="array" aca="1" ref="F154" ca="1">IF(A154=A153,0,SUM(_xlfn._xlws.FILTER(E154:E164,A154:A164=A154)))</f>
        <v>-77950.62</v>
      </c>
      <c r="G154" s="1024">
        <f ca="1">IF(F154&lt;&gt;0,SUM($F$43:F154),0)</f>
        <v>836310.32390000008</v>
      </c>
      <c r="H154" s="1024" cm="1">
        <f t="array" aca="1" ref="H154" ca="1">IFERROR(IF(A154=A153,0,SUM(_xlfn._xlws.FILTER(E154:E164,(A154:A164=A154)*(E154:E164&gt;0)))),0)</f>
        <v>293444.38</v>
      </c>
      <c r="I154" s="1024"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22">
        <f ca="1">IFERROR(C155*D155*_xlfn.XLOOKUP(B155,TabCalc[Ticker],TabCalc[Scale]),0)</f>
        <v>64849.999999999993</v>
      </c>
      <c r="F155" s="1023" cm="1">
        <f t="array" ref="F155">IF(A155=A154,0,SUM(_xlfn._xlws.FILTER(E155:E165,A155:A165=A155)))</f>
        <v>0</v>
      </c>
      <c r="G155" s="1024">
        <f>IF(F155&lt;&gt;0,SUM($F$43:F155),0)</f>
        <v>0</v>
      </c>
      <c r="H155" s="1024" cm="1">
        <f t="array" ref="H155">IFERROR(IF(A155=A154,0,SUM(_xlfn._xlws.FILTER(E155:E165,(A155:A165=A155)*(E155:E165&gt;0)))),0)</f>
        <v>0</v>
      </c>
      <c r="I155" s="1024"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22">
        <f ca="1">IFERROR(C156*D156*_xlfn.XLOOKUP(B156,TabCalc[Ticker],TabCalc[Scale]),0)</f>
        <v>44616</v>
      </c>
      <c r="F156" s="1023" cm="1">
        <f t="array" ref="F156">IF(A156=A155,0,SUM(_xlfn._xlws.FILTER(E156:E166,A156:A166=A156)))</f>
        <v>0</v>
      </c>
      <c r="G156" s="1024">
        <f>IF(F156&lt;&gt;0,SUM($F$43:F156),0)</f>
        <v>0</v>
      </c>
      <c r="H156" s="1024" cm="1">
        <f t="array" ref="H156">IFERROR(IF(A156=A155,0,SUM(_xlfn._xlws.FILTER(E156:E166,(A156:A166=A156)*(E156:E166&gt;0)))),0)</f>
        <v>0</v>
      </c>
      <c r="I156" s="1024"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22">
        <f ca="1">IFERROR(C157*D157*_xlfn.XLOOKUP(B157,TabCalc[Ticker],TabCalc[Scale]),0)</f>
        <v>-60300</v>
      </c>
      <c r="F157" s="1023" cm="1">
        <f t="array" ref="F157">IF(A157=A156,0,SUM(_xlfn._xlws.FILTER(E157:E167,A157:A167=A157)))</f>
        <v>0</v>
      </c>
      <c r="G157" s="1024">
        <f>IF(F157&lt;&gt;0,SUM($F$43:F157),0)</f>
        <v>0</v>
      </c>
      <c r="H157" s="1024" cm="1">
        <f t="array" ref="H157">IFERROR(IF(A157=A156,0,SUM(_xlfn._xlws.FILTER(E157:E167,(A157:A167=A157)*(E157:E167&gt;0)))),0)</f>
        <v>0</v>
      </c>
      <c r="I157" s="1024"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22">
        <f ca="1">IFERROR(C158*D158*_xlfn.XLOOKUP(B158,TabCalc[Ticker],TabCalc[Scale]),0)</f>
        <v>13860</v>
      </c>
      <c r="F158" s="1023" cm="1">
        <f t="array" ref="F158">IF(A158=A157,0,SUM(_xlfn._xlws.FILTER(E158:E168,A158:A168=A158)))</f>
        <v>0</v>
      </c>
      <c r="G158" s="1024">
        <f>IF(F158&lt;&gt;0,SUM($F$43:F158),0)</f>
        <v>0</v>
      </c>
      <c r="H158" s="1024" cm="1">
        <f t="array" ref="H158">IFERROR(IF(A158=A157,0,SUM(_xlfn._xlws.FILTER(E158:E168,(A158:A168=A158)*(E158:E168&gt;0)))),0)</f>
        <v>0</v>
      </c>
      <c r="I158" s="1024"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22">
        <f ca="1">IFERROR(C159*D159*_xlfn.XLOOKUP(B159,TabCalc[Ticker],TabCalc[Scale]),0)</f>
        <v>-189000</v>
      </c>
      <c r="F159" s="1023" cm="1">
        <f t="array" ref="F159">IF(A159=A158,0,SUM(_xlfn._xlws.FILTER(E159:E169,A159:A169=A159)))</f>
        <v>0</v>
      </c>
      <c r="G159" s="1024">
        <f>IF(F159&lt;&gt;0,SUM($F$43:F159),0)</f>
        <v>0</v>
      </c>
      <c r="H159" s="1024" cm="1">
        <f t="array" ref="H159">IFERROR(IF(A159=A158,0,SUM(_xlfn._xlws.FILTER(E159:E169,(A159:A169=A159)*(E159:E169&gt;0)))),0)</f>
        <v>0</v>
      </c>
      <c r="I159" s="1024"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22">
        <f ca="1">IFERROR(C160*D160*_xlfn.XLOOKUP(B160,TabCalc[Ticker],TabCalc[Scale]),0)</f>
        <v>-65219.999999999993</v>
      </c>
      <c r="F160" s="1023" cm="1">
        <f t="array" ref="F160">IF(A160=A159,0,SUM(_xlfn._xlws.FILTER(E160:E170,A160:A170=A160)))</f>
        <v>0</v>
      </c>
      <c r="G160" s="1024">
        <f>IF(F160&lt;&gt;0,SUM($F$43:F160),0)</f>
        <v>0</v>
      </c>
      <c r="H160" s="1024" cm="1">
        <f t="array" ref="H160">IFERROR(IF(A160=A159,0,SUM(_xlfn._xlws.FILTER(E160:E170,(A160:A170=A160)*(E160:E170&gt;0)))),0)</f>
        <v>0</v>
      </c>
      <c r="I160" s="1024"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22">
        <f ca="1">IFERROR(C161*D161*_xlfn.XLOOKUP(B161,TabCalc[Ticker],TabCalc[Scale]),0)</f>
        <v>58749.599999999999</v>
      </c>
      <c r="F161" s="1023" cm="1">
        <f t="array" ref="F161">IF(A161=A160,0,SUM(_xlfn._xlws.FILTER(E161:E171,A161:A171=A161)))</f>
        <v>0</v>
      </c>
      <c r="G161" s="1024">
        <f>IF(F161&lt;&gt;0,SUM($F$43:F161),0)</f>
        <v>0</v>
      </c>
      <c r="H161" s="1024" cm="1">
        <f t="array" ref="H161">IFERROR(IF(A161=A160,0,SUM(_xlfn._xlws.FILTER(E161:E171,(A161:A171=A161)*(E161:E171&gt;0)))),0)</f>
        <v>0</v>
      </c>
      <c r="I161" s="1024"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22">
        <f ca="1">IFERROR(C162*D162*_xlfn.XLOOKUP(B162,TabCalc[Ticker],TabCalc[Scale]),0)</f>
        <v>59508.78</v>
      </c>
      <c r="F162" s="1023" cm="1">
        <f t="array" ref="F162">IF(A162=A161,0,SUM(_xlfn._xlws.FILTER(E162:E172,A162:A172=A162)))</f>
        <v>0</v>
      </c>
      <c r="G162" s="1024">
        <f>IF(F162&lt;&gt;0,SUM($F$43:F162),0)</f>
        <v>0</v>
      </c>
      <c r="H162" s="1024" cm="1">
        <f t="array" ref="H162">IFERROR(IF(A162=A161,0,SUM(_xlfn._xlws.FILTER(E162:E172,(A162:A172=A162)*(E162:E172&gt;0)))),0)</f>
        <v>0</v>
      </c>
      <c r="I162" s="1024"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22">
        <f ca="1">IFERROR(C163*D163*_xlfn.XLOOKUP(B163,TabCalc[Ticker],TabCalc[Scale]),0)</f>
        <v>51860</v>
      </c>
      <c r="F163" s="1023" cm="1">
        <f t="array" ref="F163">IF(A163=A162,0,SUM(_xlfn._xlws.FILTER(E163:E173,A163:A173=A163)))</f>
        <v>0</v>
      </c>
      <c r="G163" s="1024">
        <f>IF(F163&lt;&gt;0,SUM($F$43:F163),0)</f>
        <v>0</v>
      </c>
      <c r="H163" s="1024" cm="1">
        <f t="array" ref="H163">IFERROR(IF(A163=A162,0,SUM(_xlfn._xlws.FILTER(E163:E173,(A163:A173=A163)*(E163:E173&gt;0)))),0)</f>
        <v>0</v>
      </c>
      <c r="I163" s="1024"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22">
        <f ca="1">IFERROR(C164*D164*_xlfn.XLOOKUP(B164,TabCalc[Ticker],TabCalc[Scale]),0)</f>
        <v>-8529.7080000000005</v>
      </c>
      <c r="F164" s="1023" cm="1">
        <f t="array" aca="1" ref="F164" ca="1">IF(A164=A163,0,SUM(_xlfn._xlws.FILTER(E164:E174,A164:A174=A164)))</f>
        <v>61566.292000000001</v>
      </c>
      <c r="G164" s="1024">
        <f ca="1">IF(F164&lt;&gt;0,SUM($F$43:F164),0)</f>
        <v>897876.61590000009</v>
      </c>
      <c r="H164" s="1024" cm="1">
        <f t="array" aca="1" ref="H164" ca="1">IFERROR(IF(A164=A163,0,SUM(_xlfn._xlws.FILTER(E164:E174,(A164:A174=A164)*(E164:E174&gt;0)))),0)</f>
        <v>70096</v>
      </c>
      <c r="I164" s="1024"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22">
        <f ca="1">IFERROR(C165*D165*_xlfn.XLOOKUP(B165,TabCalc[Ticker],TabCalc[Scale]),0)</f>
        <v>70096</v>
      </c>
      <c r="F165" s="1023" cm="1">
        <f t="array" ref="F165">IF(A165=A164,0,SUM(_xlfn._xlws.FILTER(E165:E175,A165:A175=A165)))</f>
        <v>0</v>
      </c>
      <c r="G165" s="1024">
        <f>IF(F165&lt;&gt;0,SUM($F$43:F165),0)</f>
        <v>0</v>
      </c>
      <c r="H165" s="1024" cm="1">
        <f t="array" ref="H165">IFERROR(IF(A165=A164,0,SUM(_xlfn._xlws.FILTER(E165:E175,(A165:A175=A165)*(E165:E175&gt;0)))),0)</f>
        <v>0</v>
      </c>
      <c r="I165" s="1024"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22">
        <f ca="1">IFERROR(C166*D166*_xlfn.XLOOKUP(B166,TabCalc[Ticker],TabCalc[Scale]),0)</f>
        <v>-107725</v>
      </c>
      <c r="F166" s="1023" cm="1">
        <f t="array" aca="1" ref="F166" ca="1">IF(A166=A165,0,SUM(_xlfn._xlws.FILTER(E166:E176,A166:A176=A166)))</f>
        <v>-141324.100274</v>
      </c>
      <c r="G166" s="1024">
        <f ca="1">IF(F166&lt;&gt;0,SUM($F$43:F166),0)</f>
        <v>756552.51562600012</v>
      </c>
      <c r="H166" s="1024" cm="1">
        <f t="array" aca="1" ref="H166" ca="1">IFERROR(IF(A166=A165,0,SUM(_xlfn._xlws.FILTER(E166:E176,(A166:A176=A166)*(E166:E176&gt;0)))),0)</f>
        <v>106193.93</v>
      </c>
      <c r="I166" s="1024"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22">
        <f ca="1">IFERROR(C167*D167*_xlfn.XLOOKUP(B167,TabCalc[Ticker],TabCalc[Scale]),0)</f>
        <v>-70660</v>
      </c>
      <c r="F167" s="1023" cm="1">
        <f t="array" ref="F167">IF(A167=A166,0,SUM(_xlfn._xlws.FILTER(E167:E177,A167:A177=A167)))</f>
        <v>0</v>
      </c>
      <c r="G167" s="1024">
        <f>IF(F167&lt;&gt;0,SUM($F$43:F167),0)</f>
        <v>0</v>
      </c>
      <c r="H167" s="1024" cm="1">
        <f t="array" ref="H167">IFERROR(IF(A167=A166,0,SUM(_xlfn._xlws.FILTER(E167:E177,(A167:A177=A167)*(E167:E177&gt;0)))),0)</f>
        <v>0</v>
      </c>
      <c r="I167" s="1024"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22">
        <f ca="1">IFERROR(C168*D168*_xlfn.XLOOKUP(B168,TabCalc[Ticker],TabCalc[Scale]),0)</f>
        <v>71240</v>
      </c>
      <c r="F168" s="1023" cm="1">
        <f t="array" ref="F168">IF(A168=A167,0,SUM(_xlfn._xlws.FILTER(E168:E178,A168:A178=A168)))</f>
        <v>0</v>
      </c>
      <c r="G168" s="1024">
        <f>IF(F168&lt;&gt;0,SUM($F$43:F168),0)</f>
        <v>0</v>
      </c>
      <c r="H168" s="1024" cm="1">
        <f t="array" ref="H168">IFERROR(IF(A168=A167,0,SUM(_xlfn._xlws.FILTER(E168:E178,(A168:A178=A168)*(E168:E178&gt;0)))),0)</f>
        <v>0</v>
      </c>
      <c r="I168" s="1024"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22">
        <f ca="1">IFERROR(C169*D169*_xlfn.XLOOKUP(B169,TabCalc[Ticker],TabCalc[Scale]),0)</f>
        <v>-13221.030273999999</v>
      </c>
      <c r="F169" s="1023" cm="1">
        <f t="array" ref="F169">IF(A169=A168,0,SUM(_xlfn._xlws.FILTER(E169:E179,A169:A179=A169)))</f>
        <v>0</v>
      </c>
      <c r="G169" s="1024">
        <f>IF(F169&lt;&gt;0,SUM($F$43:F169),0)</f>
        <v>0</v>
      </c>
      <c r="H169" s="1024" cm="1">
        <f t="array" ref="H169">IFERROR(IF(A169=A168,0,SUM(_xlfn._xlws.FILTER(E169:E179,(A169:A179=A169)*(E169:E179&gt;0)))),0)</f>
        <v>0</v>
      </c>
      <c r="I169" s="1024"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22">
        <f ca="1">IFERROR(C170*D170*_xlfn.XLOOKUP(B170,TabCalc[Ticker],TabCalc[Scale]),0)</f>
        <v>34953.93</v>
      </c>
      <c r="F170" s="1023" cm="1">
        <f t="array" ref="F170">IF(A170=A169,0,SUM(_xlfn._xlws.FILTER(E170:E180,A170:A180=A170)))</f>
        <v>0</v>
      </c>
      <c r="G170" s="1024">
        <f>IF(F170&lt;&gt;0,SUM($F$43:F170),0)</f>
        <v>0</v>
      </c>
      <c r="H170" s="1024" cm="1">
        <f t="array" ref="H170">IFERROR(IF(A170=A169,0,SUM(_xlfn._xlws.FILTER(E170:E180,(A170:A180=A170)*(E170:E180&gt;0)))),0)</f>
        <v>0</v>
      </c>
      <c r="I170" s="1024"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22">
        <f ca="1">IFERROR(C171*D171*_xlfn.XLOOKUP(B171,TabCalc[Ticker],TabCalc[Scale]),0)</f>
        <v>-55912</v>
      </c>
      <c r="F171" s="1023" cm="1">
        <f t="array" ref="F171">IF(A171=A170,0,SUM(_xlfn._xlws.FILTER(E171:E181,A171:A181=A171)))</f>
        <v>0</v>
      </c>
      <c r="G171" s="1024">
        <f>IF(F171&lt;&gt;0,SUM($F$43:F171),0)</f>
        <v>0</v>
      </c>
      <c r="H171" s="1024" cm="1">
        <f t="array" ref="H171">IFERROR(IF(A171=A170,0,SUM(_xlfn._xlws.FILTER(E171:E181,(A171:A181=A171)*(E171:E181&gt;0)))),0)</f>
        <v>0</v>
      </c>
      <c r="I171" s="1024"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22">
        <f ca="1">IFERROR(C172*D172*_xlfn.XLOOKUP(B172,TabCalc[Ticker],TabCalc[Scale]),0)</f>
        <v>137486.97499999998</v>
      </c>
      <c r="F172" s="1023" cm="1">
        <f t="array" aca="1" ref="F172" ca="1">IF(A172=A171,0,SUM(_xlfn._xlws.FILTER(E172:E182,A172:A182=A172)))</f>
        <v>360547.32499999995</v>
      </c>
      <c r="G172" s="1024">
        <f ca="1">IF(F172&lt;&gt;0,SUM($F$43:F172),0)</f>
        <v>1117099.840626</v>
      </c>
      <c r="H172" s="1024" cm="1">
        <f t="array" aca="1" ref="H172" ca="1">IFERROR(IF(A172=A171,0,SUM(_xlfn._xlws.FILTER(E172:E182,(A172:A182=A172)*(E172:E182&gt;0)))),0)</f>
        <v>551832.32499999995</v>
      </c>
      <c r="I172" s="1024"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22">
        <f ca="1">IFERROR(C173*D173*_xlfn.XLOOKUP(B173,TabCalc[Ticker],TabCalc[Scale]),0)</f>
        <v>137549.34999999998</v>
      </c>
      <c r="F173" s="1023" cm="1">
        <f t="array" ref="F173">IF(A173=A172,0,SUM(_xlfn._xlws.FILTER(E173:E183,A173:A183=A173)))</f>
        <v>0</v>
      </c>
      <c r="G173" s="1024">
        <f>IF(F173&lt;&gt;0,SUM($F$43:F173),0)</f>
        <v>0</v>
      </c>
      <c r="H173" s="1024" cm="1">
        <f t="array" ref="H173">IFERROR(IF(A173=A172,0,SUM(_xlfn._xlws.FILTER(E173:E183,(A173:A183=A173)*(E173:E183&gt;0)))),0)</f>
        <v>0</v>
      </c>
      <c r="I173" s="1024"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22">
        <f ca="1">IFERROR(C174*D174*_xlfn.XLOOKUP(B174,TabCalc[Ticker],TabCalc[Scale]),0)</f>
        <v>96720</v>
      </c>
      <c r="F174" s="1023" cm="1">
        <f t="array" ref="F174">IF(A174=A173,0,SUM(_xlfn._xlws.FILTER(E174:E184,A174:A184=A174)))</f>
        <v>0</v>
      </c>
      <c r="G174" s="1024">
        <f>IF(F174&lt;&gt;0,SUM($F$43:F174),0)</f>
        <v>0</v>
      </c>
      <c r="H174" s="1024" cm="1">
        <f t="array" ref="H174">IFERROR(IF(A174=A173,0,SUM(_xlfn._xlws.FILTER(E174:E184,(A174:A184=A174)*(E174:E184&gt;0)))),0)</f>
        <v>0</v>
      </c>
      <c r="I174" s="1024"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22">
        <f ca="1">IFERROR(C175*D175*_xlfn.XLOOKUP(B175,TabCalc[Ticker],TabCalc[Scale]),0)</f>
        <v>49843.3</v>
      </c>
      <c r="F175" s="1023" cm="1">
        <f t="array" ref="F175">IF(A175=A174,0,SUM(_xlfn._xlws.FILTER(E175:E185,A175:A185=A175)))</f>
        <v>0</v>
      </c>
      <c r="G175" s="1024">
        <f>IF(F175&lt;&gt;0,SUM($F$43:F175),0)</f>
        <v>0</v>
      </c>
      <c r="H175" s="1024" cm="1">
        <f t="array" ref="H175">IFERROR(IF(A175=A174,0,SUM(_xlfn._xlws.FILTER(E175:E185,(A175:A185=A175)*(E175:E185&gt;0)))),0)</f>
        <v>0</v>
      </c>
      <c r="I175" s="1024"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22">
        <f ca="1">IFERROR(C176*D176*_xlfn.XLOOKUP(B176,TabCalc[Ticker],TabCalc[Scale]),0)</f>
        <v>-87400</v>
      </c>
      <c r="F176" s="1023" cm="1">
        <f t="array" ref="F176">IF(A176=A175,0,SUM(_xlfn._xlws.FILTER(E176:E186,A176:A186=A176)))</f>
        <v>0</v>
      </c>
      <c r="G176" s="1024">
        <f>IF(F176&lt;&gt;0,SUM($F$43:F176),0)</f>
        <v>0</v>
      </c>
      <c r="H176" s="1024" cm="1">
        <f t="array" ref="H176">IFERROR(IF(A176=A175,0,SUM(_xlfn._xlws.FILTER(E176:E186,(A176:A186=A176)*(E176:E186&gt;0)))),0)</f>
        <v>0</v>
      </c>
      <c r="I176" s="1024"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22">
        <f ca="1">IFERROR(C177*D177*_xlfn.XLOOKUP(B177,TabCalc[Ticker],TabCalc[Scale]),0)</f>
        <v>130232.7</v>
      </c>
      <c r="F177" s="1023" cm="1">
        <f t="array" ref="F177">IF(A177=A176,0,SUM(_xlfn._xlws.FILTER(E177:E187,A177:A187=A177)))</f>
        <v>0</v>
      </c>
      <c r="G177" s="1024">
        <f>IF(F177&lt;&gt;0,SUM($F$43:F177),0)</f>
        <v>0</v>
      </c>
      <c r="H177" s="1024" cm="1">
        <f t="array" ref="H177">IFERROR(IF(A177=A176,0,SUM(_xlfn._xlws.FILTER(E177:E187,(A177:A187=A177)*(E177:E187&gt;0)))),0)</f>
        <v>0</v>
      </c>
      <c r="I177" s="1024"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22">
        <f ca="1">IFERROR(C178*D178*_xlfn.XLOOKUP(B178,TabCalc[Ticker],TabCalc[Scale]),0)</f>
        <v>-103885</v>
      </c>
      <c r="F178" s="1023" cm="1">
        <f t="array" ref="F178">IF(A178=A177,0,SUM(_xlfn._xlws.FILTER(E178:E188,A178:A188=A178)))</f>
        <v>0</v>
      </c>
      <c r="G178" s="1024">
        <f>IF(F178&lt;&gt;0,SUM($F$43:F178),0)</f>
        <v>0</v>
      </c>
      <c r="H178" s="1024" cm="1">
        <f t="array" ref="H178">IFERROR(IF(A178=A177,0,SUM(_xlfn._xlws.FILTER(E178:E188,(A178:A188=A178)*(E178:E188&gt;0)))),0)</f>
        <v>0</v>
      </c>
      <c r="I178" s="1024"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22">
        <f ca="1">IFERROR(C179*D179*_xlfn.XLOOKUP(B179,TabCalc[Ticker],TabCalc[Scale]),0)</f>
        <v>-48822.199992000002</v>
      </c>
      <c r="F179" s="1023" cm="1">
        <f t="array" aca="1" ref="F179" ca="1">IF(A179=A178,0,SUM(_xlfn._xlws.FILTER(E179:E189,A179:A189=A179)))</f>
        <v>-937150.96999199991</v>
      </c>
      <c r="G179" s="1024">
        <f ca="1">IF(F179&lt;&gt;0,SUM($F$43:F179),0)</f>
        <v>179948.87063400005</v>
      </c>
      <c r="H179" s="1024" cm="1">
        <f t="array" aca="1" ref="H179" ca="1">IFERROR(IF(A179=A178,0,SUM(_xlfn._xlws.FILTER(E179:E189,(A179:A189=A179)*(E179:E189&gt;0)))),0)</f>
        <v>284248.55000000005</v>
      </c>
      <c r="I179" s="1024"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22">
        <f ca="1">IFERROR(C180*D180*_xlfn.XLOOKUP(B180,TabCalc[Ticker],TabCalc[Scale]),0)</f>
        <v>193468.55000000002</v>
      </c>
      <c r="F180" s="1023" cm="1">
        <f t="array" ref="F180">IF(A180=A179,0,SUM(_xlfn._xlws.FILTER(E180:E190,A180:A190=A180)))</f>
        <v>0</v>
      </c>
      <c r="G180" s="1024">
        <f>IF(F180&lt;&gt;0,SUM($F$43:F180),0)</f>
        <v>0</v>
      </c>
      <c r="H180" s="1024" cm="1">
        <f t="array" ref="H180">IFERROR(IF(A180=A179,0,SUM(_xlfn._xlws.FILTER(E180:E190,(A180:A190=A180)*(E180:E190&gt;0)))),0)</f>
        <v>0</v>
      </c>
      <c r="I180" s="1024"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22">
        <f ca="1">IFERROR(C181*D181*_xlfn.XLOOKUP(B181,TabCalc[Ticker],TabCalc[Scale]),0)</f>
        <v>-207270</v>
      </c>
      <c r="F181" s="1023" cm="1">
        <f t="array" ref="F181">IF(A181=A180,0,SUM(_xlfn._xlws.FILTER(E181:E191,A181:A191=A181)))</f>
        <v>0</v>
      </c>
      <c r="G181" s="1024">
        <f>IF(F181&lt;&gt;0,SUM($F$43:F181),0)</f>
        <v>0</v>
      </c>
      <c r="H181" s="1024" cm="1">
        <f t="array" ref="H181">IFERROR(IF(A181=A180,0,SUM(_xlfn._xlws.FILTER(E181:E191,(A181:A191=A181)*(E181:E191&gt;0)))),0)</f>
        <v>0</v>
      </c>
      <c r="I181" s="1024"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22">
        <f ca="1">IFERROR(C182*D182*_xlfn.XLOOKUP(B182,TabCalc[Ticker],TabCalc[Scale]),0)</f>
        <v>90780</v>
      </c>
      <c r="F182" s="1023" cm="1">
        <f t="array" ref="F182">IF(A182=A181,0,SUM(_xlfn._xlws.FILTER(E182:E192,A182:A192=A182)))</f>
        <v>0</v>
      </c>
      <c r="G182" s="1024">
        <f>IF(F182&lt;&gt;0,SUM($F$43:F182),0)</f>
        <v>0</v>
      </c>
      <c r="H182" s="1024" cm="1">
        <f t="array" ref="H182">IFERROR(IF(A182=A181,0,SUM(_xlfn._xlws.FILTER(E182:E192,(A182:A192=A182)*(E182:E192&gt;0)))),0)</f>
        <v>0</v>
      </c>
      <c r="I182" s="1024"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22">
        <f ca="1">IFERROR(C183*D183*_xlfn.XLOOKUP(B183,TabCalc[Ticker],TabCalc[Scale]),0)</f>
        <v>-164946.72</v>
      </c>
      <c r="F183" s="1023" cm="1">
        <f t="array" ref="F183">IF(A183=A182,0,SUM(_xlfn._xlws.FILTER(E183:E193,A183:A193=A183)))</f>
        <v>0</v>
      </c>
      <c r="G183" s="1024">
        <f>IF(F183&lt;&gt;0,SUM($F$43:F183),0)</f>
        <v>0</v>
      </c>
      <c r="H183" s="1024" cm="1">
        <f t="array" ref="H183">IFERROR(IF(A183=A182,0,SUM(_xlfn._xlws.FILTER(E183:E193,(A183:A193=A183)*(E183:E193&gt;0)))),0)</f>
        <v>0</v>
      </c>
      <c r="I183" s="1024"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22">
        <f ca="1">IFERROR(C184*D184*_xlfn.XLOOKUP(B184,TabCalc[Ticker],TabCalc[Scale]),0)</f>
        <v>-800360.6</v>
      </c>
      <c r="F184" s="1023" cm="1">
        <f t="array" ref="F184">IF(A184=A183,0,SUM(_xlfn._xlws.FILTER(E184:E194,A184:A194=A184)))</f>
        <v>0</v>
      </c>
      <c r="G184" s="1024">
        <f>IF(F184&lt;&gt;0,SUM($F$43:F184),0)</f>
        <v>0</v>
      </c>
      <c r="H184" s="1024" cm="1">
        <f t="array" ref="H184">IFERROR(IF(A184=A183,0,SUM(_xlfn._xlws.FILTER(E184:E194,(A184:A194=A184)*(E184:E194&gt;0)))),0)</f>
        <v>0</v>
      </c>
      <c r="I184" s="1024"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22">
        <f ca="1">IFERROR(C185*D185*_xlfn.XLOOKUP(B185,TabCalc[Ticker],TabCalc[Scale]),0)</f>
        <v>-72102</v>
      </c>
      <c r="F185" s="1023" cm="1">
        <f t="array" aca="1" ref="F185" ca="1">IF(A185=A184,0,SUM(_xlfn._xlws.FILTER(E185:E195,A185:A195=A185)))</f>
        <v>181614.23199999999</v>
      </c>
      <c r="G185" s="1024">
        <f ca="1">IF(F185&lt;&gt;0,SUM($F$43:F185),0)</f>
        <v>361563.10263400001</v>
      </c>
      <c r="H185" s="1024" cm="1">
        <f t="array" aca="1" ref="H185" ca="1">IFERROR(IF(A185=A184,0,SUM(_xlfn._xlws.FILTER(E185:E195,(A185:A195=A185)*(E185:E195&gt;0)))),0)</f>
        <v>308616.23199999996</v>
      </c>
      <c r="I185" s="1024"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22">
        <f ca="1">IFERROR(C186*D186*_xlfn.XLOOKUP(B186,TabCalc[Ticker],TabCalc[Scale]),0)</f>
        <v>-54900</v>
      </c>
      <c r="F186" s="1023" cm="1">
        <f t="array" ref="F186">IF(A186=A185,0,SUM(_xlfn._xlws.FILTER(E186:E196,A186:A196=A186)))</f>
        <v>0</v>
      </c>
      <c r="G186" s="1024">
        <f>IF(F186&lt;&gt;0,SUM($F$43:F186),0)</f>
        <v>0</v>
      </c>
      <c r="H186" s="1024" cm="1">
        <f t="array" ref="H186">IFERROR(IF(A186=A185,0,SUM(_xlfn._xlws.FILTER(E186:E196,(A186:A196=A186)*(E186:E196&gt;0)))),0)</f>
        <v>0</v>
      </c>
      <c r="I186" s="1024"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22">
        <f ca="1">IFERROR(C187*D187*_xlfn.XLOOKUP(B187,TabCalc[Ticker],TabCalc[Scale]),0)</f>
        <v>81151.831999999995</v>
      </c>
      <c r="F187" s="1023" cm="1">
        <f t="array" ref="F187">IF(A187=A186,0,SUM(_xlfn._xlws.FILTER(E187:E197,A187:A197=A187)))</f>
        <v>0</v>
      </c>
      <c r="G187" s="1024">
        <f>IF(F187&lt;&gt;0,SUM($F$43:F187),0)</f>
        <v>0</v>
      </c>
      <c r="H187" s="1024" cm="1">
        <f t="array" ref="H187">IFERROR(IF(A187=A186,0,SUM(_xlfn._xlws.FILTER(E187:E197,(A187:A197=A187)*(E187:E197&gt;0)))),0)</f>
        <v>0</v>
      </c>
      <c r="I187" s="1024"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22">
        <f ca="1">IFERROR(C188*D188*_xlfn.XLOOKUP(B188,TabCalc[Ticker],TabCalc[Scale]),0)</f>
        <v>122080</v>
      </c>
      <c r="F188" s="1023" cm="1">
        <f t="array" ref="F188">IF(A188=A187,0,SUM(_xlfn._xlws.FILTER(E188:E198,A188:A198=A188)))</f>
        <v>0</v>
      </c>
      <c r="G188" s="1024">
        <f>IF(F188&lt;&gt;0,SUM($F$43:F188),0)</f>
        <v>0</v>
      </c>
      <c r="H188" s="1024" cm="1">
        <f t="array" ref="H188">IFERROR(IF(A188=A187,0,SUM(_xlfn._xlws.FILTER(E188:E198,(A188:A198=A188)*(E188:E198&gt;0)))),0)</f>
        <v>0</v>
      </c>
      <c r="I188" s="1024"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22">
        <f ca="1">IFERROR(C189*D189*_xlfn.XLOOKUP(B189,TabCalc[Ticker],TabCalc[Scale]),0)</f>
        <v>37554.400000000001</v>
      </c>
      <c r="F189" s="1023" cm="1">
        <f t="array" ref="F189">IF(A189=A188,0,SUM(_xlfn._xlws.FILTER(E189:E199,A189:A199=A189)))</f>
        <v>0</v>
      </c>
      <c r="G189" s="1024">
        <f>IF(F189&lt;&gt;0,SUM($F$43:F189),0)</f>
        <v>0</v>
      </c>
      <c r="H189" s="1024" cm="1">
        <f t="array" ref="H189">IFERROR(IF(A189=A188,0,SUM(_xlfn._xlws.FILTER(E189:E199,(A189:A199=A189)*(E189:E199&gt;0)))),0)</f>
        <v>0</v>
      </c>
      <c r="I189" s="1024"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22">
        <f ca="1">IFERROR(C190*D190*_xlfn.XLOOKUP(B190,TabCalc[Ticker],TabCalc[Scale]),0)</f>
        <v>67830</v>
      </c>
      <c r="F190" s="1023" cm="1">
        <f t="array" ref="F190">IF(A190=A189,0,SUM(_xlfn._xlws.FILTER(E190:E200,A190:A200=A190)))</f>
        <v>0</v>
      </c>
      <c r="G190" s="1024">
        <f>IF(F190&lt;&gt;0,SUM($F$43:F190),0)</f>
        <v>0</v>
      </c>
      <c r="H190" s="1024" cm="1">
        <f t="array" ref="H190">IFERROR(IF(A190=A189,0,SUM(_xlfn._xlws.FILTER(E190:E200,(A190:A200=A190)*(E190:E200&gt;0)))),0)</f>
        <v>0</v>
      </c>
      <c r="I190" s="1024"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22">
        <f ca="1">IFERROR(C191*D191*_xlfn.XLOOKUP(B191,TabCalc[Ticker],TabCalc[Scale]),0)</f>
        <v>62450</v>
      </c>
      <c r="F191" s="1023" cm="1">
        <f t="array" aca="1" ref="F191" ca="1">IF(A191=A190,0,SUM(_xlfn._xlws.FILTER(E191:E201,A191:A201=A191)))</f>
        <v>246702.07050000003</v>
      </c>
      <c r="G191" s="1024">
        <f ca="1">IF(F191&lt;&gt;0,SUM($F$43:F191),0)</f>
        <v>608265.17313400004</v>
      </c>
      <c r="H191" s="1024" cm="1">
        <f t="array" aca="1" ref="H191" ca="1">IFERROR(IF(A191=A190,0,SUM(_xlfn._xlws.FILTER(E191:E201,(A191:A201=A191)*(E191:E201&gt;0)))),0)</f>
        <v>246702.07050000003</v>
      </c>
      <c r="I191" s="1024"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22">
        <f ca="1">IFERROR(C192*D192*_xlfn.XLOOKUP(B192,TabCalc[Ticker],TabCalc[Scale]),0)</f>
        <v>68520</v>
      </c>
      <c r="F192" s="1023" cm="1">
        <f t="array" ref="F192">IF(A192=A191,0,SUM(_xlfn._xlws.FILTER(E192:E202,A192:A202=A192)))</f>
        <v>0</v>
      </c>
      <c r="G192" s="1024">
        <f>IF(F192&lt;&gt;0,SUM($F$43:F192),0)</f>
        <v>0</v>
      </c>
      <c r="H192" s="1024" cm="1">
        <f t="array" ref="H192">IFERROR(IF(A192=A191,0,SUM(_xlfn._xlws.FILTER(E192:E202,(A192:A202=A192)*(E192:E202&gt;0)))),0)</f>
        <v>0</v>
      </c>
      <c r="I192" s="1024"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22">
        <f ca="1">IFERROR(C193*D193*_xlfn.XLOOKUP(B193,TabCalc[Ticker],TabCalc[Scale]),0)</f>
        <v>15504.5695</v>
      </c>
      <c r="F193" s="1023" cm="1">
        <f t="array" ref="F193">IF(A193=A192,0,SUM(_xlfn._xlws.FILTER(E193:E203,A193:A203=A193)))</f>
        <v>0</v>
      </c>
      <c r="G193" s="1024">
        <f>IF(F193&lt;&gt;0,SUM($F$43:F193),0)</f>
        <v>0</v>
      </c>
      <c r="H193" s="1024" cm="1">
        <f t="array" ref="H193">IFERROR(IF(A193=A192,0,SUM(_xlfn._xlws.FILTER(E193:E203,(A193:A203=A193)*(E193:E203&gt;0)))),0)</f>
        <v>0</v>
      </c>
      <c r="I193" s="1024"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22">
        <f ca="1">IFERROR(C194*D194*_xlfn.XLOOKUP(B194,TabCalc[Ticker],TabCalc[Scale]),0)</f>
        <v>100227.50100000002</v>
      </c>
      <c r="F194" s="1023" cm="1">
        <f t="array" ref="F194">IF(A194=A193,0,SUM(_xlfn._xlws.FILTER(E194:E204,A194:A204=A194)))</f>
        <v>0</v>
      </c>
      <c r="G194" s="1024">
        <f>IF(F194&lt;&gt;0,SUM($F$43:F194),0)</f>
        <v>0</v>
      </c>
      <c r="H194" s="1024" cm="1">
        <f t="array" ref="H194">IFERROR(IF(A194=A193,0,SUM(_xlfn._xlws.FILTER(E194:E204,(A194:A204=A194)*(E194:E204&gt;0)))),0)</f>
        <v>0</v>
      </c>
      <c r="I194" s="1024"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22">
        <f ca="1">IFERROR(C195*D195*_xlfn.XLOOKUP(B195,TabCalc[Ticker],TabCalc[Scale]),0)</f>
        <v>-18000</v>
      </c>
      <c r="F195" s="1023" cm="1">
        <f t="array" aca="1" ref="F195" ca="1">IF(A195=A194,0,SUM(_xlfn._xlws.FILTER(E195:E205,A195:A205=A195)))</f>
        <v>-41258.44</v>
      </c>
      <c r="G195" s="1024">
        <f ca="1">IF(F195&lt;&gt;0,SUM($F$43:F195),0)</f>
        <v>567006.7331340001</v>
      </c>
      <c r="H195" s="1024" cm="1">
        <f t="array" aca="1" ref="H195" ca="1">IFERROR(IF(A195=A194,0,SUM(_xlfn._xlws.FILTER(E195:E205,(A195:A205=A195)*(E195:E205&gt;0)))),0)</f>
        <v>99472.950000000012</v>
      </c>
      <c r="I195" s="1024"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22">
        <f ca="1">IFERROR(C196*D196*_xlfn.XLOOKUP(B196,TabCalc[Ticker],TabCalc[Scale]),0)</f>
        <v>35142.950000000004</v>
      </c>
      <c r="F196" s="1023" cm="1">
        <f t="array" ref="F196">IF(A196=A195,0,SUM(_xlfn._xlws.FILTER(E196:E206,A196:A206=A196)))</f>
        <v>0</v>
      </c>
      <c r="G196" s="1024">
        <f>IF(F196&lt;&gt;0,SUM($F$43:F196),0)</f>
        <v>0</v>
      </c>
      <c r="H196" s="1024" cm="1">
        <f t="array" ref="H196">IFERROR(IF(A196=A195,0,SUM(_xlfn._xlws.FILTER(E196:E206,(A196:A206=A196)*(E196:E206&gt;0)))),0)</f>
        <v>0</v>
      </c>
      <c r="I196" s="1024"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22">
        <f ca="1">IFERROR(C197*D197*_xlfn.XLOOKUP(B197,TabCalc[Ticker],TabCalc[Scale]),0)</f>
        <v>-20200</v>
      </c>
      <c r="F197" s="1023" cm="1">
        <f t="array" ref="F197">IF(A197=A196,0,SUM(_xlfn._xlws.FILTER(E197:E207,A197:A207=A197)))</f>
        <v>0</v>
      </c>
      <c r="G197" s="1024">
        <f>IF(F197&lt;&gt;0,SUM($F$43:F197),0)</f>
        <v>0</v>
      </c>
      <c r="H197" s="1024" cm="1">
        <f t="array" ref="H197">IFERROR(IF(A197=A196,0,SUM(_xlfn._xlws.FILTER(E197:E207,(A197:A207=A197)*(E197:E207&gt;0)))),0)</f>
        <v>0</v>
      </c>
      <c r="I197" s="1024"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22">
        <f ca="1">IFERROR(C198*D198*_xlfn.XLOOKUP(B198,TabCalc[Ticker],TabCalc[Scale]),0)</f>
        <v>-102531.39</v>
      </c>
      <c r="F198" s="1023" cm="1">
        <f t="array" ref="F198">IF(A198=A197,0,SUM(_xlfn._xlws.FILTER(E198:E208,A198:A208=A198)))</f>
        <v>0</v>
      </c>
      <c r="G198" s="1024">
        <f>IF(F198&lt;&gt;0,SUM($F$43:F198),0)</f>
        <v>0</v>
      </c>
      <c r="H198" s="1024" cm="1">
        <f t="array" ref="H198">IFERROR(IF(A198=A197,0,SUM(_xlfn._xlws.FILTER(E198:E208,(A198:A208=A198)*(E198:E208&gt;0)))),0)</f>
        <v>0</v>
      </c>
      <c r="I198" s="1024"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22">
        <f ca="1">IFERROR(C199*D199*_xlfn.XLOOKUP(B199,TabCalc[Ticker],TabCalc[Scale]),0)</f>
        <v>64330</v>
      </c>
      <c r="F199" s="1023" cm="1">
        <f t="array" ref="F199">IF(A199=A198,0,SUM(_xlfn._xlws.FILTER(E199:E209,A199:A209=A199)))</f>
        <v>0</v>
      </c>
      <c r="G199" s="1024">
        <f>IF(F199&lt;&gt;0,SUM($F$43:F199),0)</f>
        <v>0</v>
      </c>
      <c r="H199" s="1024" cm="1">
        <f t="array" ref="H199">IFERROR(IF(A199=A198,0,SUM(_xlfn._xlws.FILTER(E199:E209,(A199:A209=A199)*(E199:E209&gt;0)))),0)</f>
        <v>0</v>
      </c>
      <c r="I199" s="1024"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22">
        <f ca="1">IFERROR(C200*D200*_xlfn.XLOOKUP(B200,TabCalc[Ticker],TabCalc[Scale]),0)</f>
        <v>68805.999999999985</v>
      </c>
      <c r="F200" s="1023" cm="1">
        <f t="array" aca="1" ref="F200" ca="1">IF(A200=A199,0,SUM(_xlfn._xlws.FILTER(E200:E210,A200:A210=A200)))</f>
        <v>186431.2</v>
      </c>
      <c r="G200" s="1024">
        <f ca="1">IF(F200&lt;&gt;0,SUM($F$43:F200),0)</f>
        <v>753437.93313400005</v>
      </c>
      <c r="H200" s="1024" cm="1">
        <f t="array" aca="1" ref="H200" ca="1">IFERROR(IF(A200=A199,0,SUM(_xlfn._xlws.FILTER(E200:E210,(A200:A210=A200)*(E200:E210&gt;0)))),0)</f>
        <v>350821.2</v>
      </c>
      <c r="I200" s="1024"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22">
        <f ca="1">IFERROR(C201*D201*_xlfn.XLOOKUP(B201,TabCalc[Ticker],TabCalc[Scale]),0)</f>
        <v>-79068</v>
      </c>
      <c r="F201" s="1023" cm="1">
        <f t="array" ref="F201">IF(A201=A200,0,SUM(_xlfn._xlws.FILTER(E201:E211,A201:A211=A201)))</f>
        <v>0</v>
      </c>
      <c r="G201" s="1024">
        <f>IF(F201&lt;&gt;0,SUM($F$43:F201),0)</f>
        <v>0</v>
      </c>
      <c r="H201" s="1024" cm="1">
        <f t="array" ref="H201">IFERROR(IF(A201=A200,0,SUM(_xlfn._xlws.FILTER(E201:E211,(A201:A211=A201)*(E201:E211&gt;0)))),0)</f>
        <v>0</v>
      </c>
      <c r="I201" s="1024"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22">
        <f ca="1">IFERROR(C202*D202*_xlfn.XLOOKUP(B202,TabCalc[Ticker],TabCalc[Scale]),0)</f>
        <v>196522</v>
      </c>
      <c r="F202" s="1023" cm="1">
        <f t="array" ref="F202">IF(A202=A201,0,SUM(_xlfn._xlws.FILTER(E202:E212,A202:A212=A202)))</f>
        <v>0</v>
      </c>
      <c r="G202" s="1024">
        <f>IF(F202&lt;&gt;0,SUM($F$43:F202),0)</f>
        <v>0</v>
      </c>
      <c r="H202" s="1024" cm="1">
        <f t="array" ref="H202">IFERROR(IF(A202=A201,0,SUM(_xlfn._xlws.FILTER(E202:E212,(A202:A212=A202)*(E202:E212&gt;0)))),0)</f>
        <v>0</v>
      </c>
      <c r="I202" s="1024"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22">
        <f ca="1">IFERROR(C203*D203*_xlfn.XLOOKUP(B203,TabCalc[Ticker],TabCalc[Scale]),0)</f>
        <v>-26460</v>
      </c>
      <c r="F203" s="1023" cm="1">
        <f t="array" ref="F203">IF(A203=A202,0,SUM(_xlfn._xlws.FILTER(E203:E213,A203:A213=A203)))</f>
        <v>0</v>
      </c>
      <c r="G203" s="1024">
        <f>IF(F203&lt;&gt;0,SUM($F$43:F203),0)</f>
        <v>0</v>
      </c>
      <c r="H203" s="1024" cm="1">
        <f t="array" ref="H203">IFERROR(IF(A203=A202,0,SUM(_xlfn._xlws.FILTER(E203:E213,(A203:A213=A203)*(E203:E213&gt;0)))),0)</f>
        <v>0</v>
      </c>
      <c r="I203" s="1024"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22">
        <f ca="1">IFERROR(C204*D204*_xlfn.XLOOKUP(B204,TabCalc[Ticker],TabCalc[Scale]),0)</f>
        <v>39283.199999999997</v>
      </c>
      <c r="F204" s="1023" cm="1">
        <f t="array" ref="F204">IF(A204=A203,0,SUM(_xlfn._xlws.FILTER(E204:E214,A204:A214=A204)))</f>
        <v>0</v>
      </c>
      <c r="G204" s="1024">
        <f>IF(F204&lt;&gt;0,SUM($F$43:F204),0)</f>
        <v>0</v>
      </c>
      <c r="H204" s="1024" cm="1">
        <f t="array" ref="H204">IFERROR(IF(A204=A203,0,SUM(_xlfn._xlws.FILTER(E204:E214,(A204:A214=A204)*(E204:E214&gt;0)))),0)</f>
        <v>0</v>
      </c>
      <c r="I204" s="1024"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22">
        <f ca="1">IFERROR(C205*D205*_xlfn.XLOOKUP(B205,TabCalc[Ticker],TabCalc[Scale]),0)</f>
        <v>46210</v>
      </c>
      <c r="F205" s="1023" cm="1">
        <f t="array" ref="F205">IF(A205=A204,0,SUM(_xlfn._xlws.FILTER(E205:E215,A205:A215=A205)))</f>
        <v>0</v>
      </c>
      <c r="G205" s="1024">
        <f>IF(F205&lt;&gt;0,SUM($F$43:F205),0)</f>
        <v>0</v>
      </c>
      <c r="H205" s="1024" cm="1">
        <f t="array" ref="H205">IFERROR(IF(A205=A204,0,SUM(_xlfn._xlws.FILTER(E205:E215,(A205:A215=A205)*(E205:E215&gt;0)))),0)</f>
        <v>0</v>
      </c>
      <c r="I205" s="1024"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22">
        <f ca="1">IFERROR(C206*D206*_xlfn.XLOOKUP(B206,TabCalc[Ticker],TabCalc[Scale]),0)</f>
        <v>-23200</v>
      </c>
      <c r="F206" s="1023" cm="1">
        <f t="array" ref="F206">IF(A206=A205,0,SUM(_xlfn._xlws.FILTER(E206:E216,A206:A216=A206)))</f>
        <v>0</v>
      </c>
      <c r="G206" s="1024">
        <f>IF(F206&lt;&gt;0,SUM($F$43:F206),0)</f>
        <v>0</v>
      </c>
      <c r="H206" s="1024" cm="1">
        <f t="array" ref="H206">IFERROR(IF(A206=A205,0,SUM(_xlfn._xlws.FILTER(E206:E216,(A206:A216=A206)*(E206:E216&gt;0)))),0)</f>
        <v>0</v>
      </c>
      <c r="I206" s="1024"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22">
        <f ca="1">IFERROR(C207*D207*_xlfn.XLOOKUP(B207,TabCalc[Ticker],TabCalc[Scale]),0)</f>
        <v>-35662</v>
      </c>
      <c r="F207" s="1023" cm="1">
        <f t="array" ref="F207">IF(A207=A206,0,SUM(_xlfn._xlws.FILTER(E207:E217,A207:A217=A207)))</f>
        <v>0</v>
      </c>
      <c r="G207" s="1024">
        <f>IF(F207&lt;&gt;0,SUM($F$43:F207),0)</f>
        <v>0</v>
      </c>
      <c r="H207" s="1024" cm="1">
        <f t="array" ref="H207">IFERROR(IF(A207=A206,0,SUM(_xlfn._xlws.FILTER(E207:E217,(A207:A217=A207)*(E207:E217&gt;0)))),0)</f>
        <v>0</v>
      </c>
      <c r="I207" s="1024"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22">
        <f ca="1">IFERROR(C208*D208*_xlfn.XLOOKUP(B208,TabCalc[Ticker],TabCalc[Scale]),0)</f>
        <v>-62136</v>
      </c>
      <c r="F208" s="1023" cm="1">
        <f t="array" aca="1" ref="F208" ca="1">IF(A208=A207,0,SUM(_xlfn._xlws.FILTER(E208:E218,A208:A218=A208)))</f>
        <v>-62136</v>
      </c>
      <c r="G208" s="1024">
        <f ca="1">IF(F208&lt;&gt;0,SUM($F$43:F208),0)</f>
        <v>691301.93313400005</v>
      </c>
      <c r="H208" s="1024" cm="1">
        <f t="array" aca="1" ref="H208" ca="1">IFERROR(IF(A208=A207,0,SUM(_xlfn._xlws.FILTER(E208:E218,(A208:A218=A208)*(E208:E218&gt;0)))),0)</f>
        <v>0</v>
      </c>
      <c r="I208" s="1024"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22">
        <f ca="1">IFERROR(C209*D209*_xlfn.XLOOKUP(B209,TabCalc[Ticker],TabCalc[Scale]),0)</f>
        <v>-31520</v>
      </c>
      <c r="F209" s="1023" cm="1">
        <f t="array" aca="1" ref="F209" ca="1">IF(A209=A208,0,SUM(_xlfn._xlws.FILTER(E209:E219,A209:A219=A209)))</f>
        <v>-31520</v>
      </c>
      <c r="G209" s="1024">
        <f ca="1">IF(F209&lt;&gt;0,SUM($F$43:F209),0)</f>
        <v>659781.93313400005</v>
      </c>
      <c r="H209" s="1024" cm="1">
        <f t="array" aca="1" ref="H209" ca="1">IFERROR(IF(A209=A208,0,SUM(_xlfn._xlws.FILTER(E209:E219,(A209:A219=A209)*(E209:E219&gt;0)))),0)</f>
        <v>0</v>
      </c>
      <c r="I209" s="1024"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22">
        <f ca="1">IFERROR(C210*D210*_xlfn.XLOOKUP(B210,TabCalc[Ticker],TabCalc[Scale]),0)</f>
        <v>-189840</v>
      </c>
      <c r="F210" s="1023" cm="1">
        <f t="array" aca="1" ref="F210" ca="1">IF(A210=A209,0,SUM(_xlfn._xlws.FILTER(E210:E220,A210:A220=A210)))</f>
        <v>-304395.5</v>
      </c>
      <c r="G210" s="1024">
        <f ca="1">IF(F210&lt;&gt;0,SUM($F$43:F210),0)</f>
        <v>355386.43313400005</v>
      </c>
      <c r="H210" s="1024" cm="1">
        <f t="array" aca="1" ref="H210" ca="1">IFERROR(IF(A210=A209,0,SUM(_xlfn._xlws.FILTER(E210:E220,(A210:A220=A210)*(E210:E220&gt;0)))),0)</f>
        <v>59233.5</v>
      </c>
      <c r="I210" s="1024"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22">
        <f ca="1">IFERROR(C211*D211*_xlfn.XLOOKUP(B211,TabCalc[Ticker],TabCalc[Scale]),0)</f>
        <v>-63920</v>
      </c>
      <c r="F211" s="1023" cm="1">
        <f t="array" ref="F211">IF(A211=A210,0,SUM(_xlfn._xlws.FILTER(E211:E221,A211:A221=A211)))</f>
        <v>0</v>
      </c>
      <c r="G211" s="1024">
        <f>IF(F211&lt;&gt;0,SUM($F$43:F211),0)</f>
        <v>0</v>
      </c>
      <c r="H211" s="1024" cm="1">
        <f t="array" ref="H211">IFERROR(IF(A211=A210,0,SUM(_xlfn._xlws.FILTER(E211:E221,(A211:A221=A211)*(E211:E221&gt;0)))),0)</f>
        <v>0</v>
      </c>
      <c r="I211" s="1024"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22">
        <f ca="1">IFERROR(C212*D212*_xlfn.XLOOKUP(B212,TabCalc[Ticker],TabCalc[Scale]),0)</f>
        <v>59233.5</v>
      </c>
      <c r="F212" s="1023" cm="1">
        <f t="array" ref="F212">IF(A212=A211,0,SUM(_xlfn._xlws.FILTER(E212:E222,A212:A222=A212)))</f>
        <v>0</v>
      </c>
      <c r="G212" s="1024">
        <f>IF(F212&lt;&gt;0,SUM($F$43:F212),0)</f>
        <v>0</v>
      </c>
      <c r="H212" s="1024" cm="1">
        <f t="array" ref="H212">IFERROR(IF(A212=A211,0,SUM(_xlfn._xlws.FILTER(E212:E222,(A212:A222=A212)*(E212:E222&gt;0)))),0)</f>
        <v>0</v>
      </c>
      <c r="I212" s="1024"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22">
        <f ca="1">IFERROR(C213*D213*_xlfn.XLOOKUP(B213,TabCalc[Ticker],TabCalc[Scale]),0)</f>
        <v>-61496.5</v>
      </c>
      <c r="F213" s="1023" cm="1">
        <f t="array" ref="F213">IF(A213=A212,0,SUM(_xlfn._xlws.FILTER(E213:E223,A213:A223=A213)))</f>
        <v>0</v>
      </c>
      <c r="G213" s="1024">
        <f>IF(F213&lt;&gt;0,SUM($F$43:F213),0)</f>
        <v>0</v>
      </c>
      <c r="H213" s="1024" cm="1">
        <f t="array" ref="H213">IFERROR(IF(A213=A212,0,SUM(_xlfn._xlws.FILTER(E213:E223,(A213:A223=A213)*(E213:E223&gt;0)))),0)</f>
        <v>0</v>
      </c>
      <c r="I213" s="1024"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22">
        <f ca="1">IFERROR(C214*D214*_xlfn.XLOOKUP(B214,TabCalc[Ticker],TabCalc[Scale]),0)</f>
        <v>-48372.5</v>
      </c>
      <c r="F214" s="1023" cm="1">
        <f t="array" ref="F214">IF(A214=A213,0,SUM(_xlfn._xlws.FILTER(E214:E224,A214:A224=A214)))</f>
        <v>0</v>
      </c>
      <c r="G214" s="1024">
        <f>IF(F214&lt;&gt;0,SUM($F$43:F214),0)</f>
        <v>0</v>
      </c>
      <c r="H214" s="1024" cm="1">
        <f t="array" ref="H214">IFERROR(IF(A214=A213,0,SUM(_xlfn._xlws.FILTER(E214:E224,(A214:A224=A214)*(E214:E224&gt;0)))),0)</f>
        <v>0</v>
      </c>
      <c r="I214" s="1024"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22">
        <f ca="1">IFERROR(C215*D215*_xlfn.XLOOKUP(B215,TabCalc[Ticker],TabCalc[Scale]),0)</f>
        <v>57540</v>
      </c>
      <c r="F215" s="1023" cm="1">
        <f t="array" aca="1" ref="F215" ca="1">IF(A215=A214,0,SUM(_xlfn._xlws.FILTER(E215:E225,A215:A225=A215)))</f>
        <v>-4764.0779999999941</v>
      </c>
      <c r="G215" s="1024">
        <f ca="1">IF(F215&lt;&gt;0,SUM($F$43:F215),0)</f>
        <v>350622.35513400007</v>
      </c>
      <c r="H215" s="1024" cm="1">
        <f t="array" aca="1" ref="H215" ca="1">IFERROR(IF(A215=A214,0,SUM(_xlfn._xlws.FILTER(E215:E225,(A215:A225=A215)*(E215:E225&gt;0)))),0)</f>
        <v>237449</v>
      </c>
      <c r="I215" s="1024"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22">
        <f ca="1">IFERROR(C216*D216*_xlfn.XLOOKUP(B216,TabCalc[Ticker],TabCalc[Scale]),0)</f>
        <v>9800</v>
      </c>
      <c r="F216" s="1023" cm="1">
        <f t="array" ref="F216">IF(A216=A215,0,SUM(_xlfn._xlws.FILTER(E216:E226,A216:A226=A216)))</f>
        <v>0</v>
      </c>
      <c r="G216" s="1024">
        <f>IF(F216&lt;&gt;0,SUM($F$43:F216),0)</f>
        <v>0</v>
      </c>
      <c r="H216" s="1024" cm="1">
        <f t="array" ref="H216">IFERROR(IF(A216=A215,0,SUM(_xlfn._xlws.FILTER(E216:E226,(A216:A226=A216)*(E216:E226&gt;0)))),0)</f>
        <v>0</v>
      </c>
      <c r="I216" s="1024"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22">
        <f ca="1">IFERROR(C217*D217*_xlfn.XLOOKUP(B217,TabCalc[Ticker],TabCalc[Scale]),0)</f>
        <v>73359</v>
      </c>
      <c r="F217" s="1023" cm="1">
        <f t="array" ref="F217">IF(A217=A216,0,SUM(_xlfn._xlws.FILTER(E217:E227,A217:A227=A217)))</f>
        <v>0</v>
      </c>
      <c r="G217" s="1024">
        <f>IF(F217&lt;&gt;0,SUM($F$43:F217),0)</f>
        <v>0</v>
      </c>
      <c r="H217" s="1024" cm="1">
        <f t="array" ref="H217">IFERROR(IF(A217=A216,0,SUM(_xlfn._xlws.FILTER(E217:E227,(A217:A227=A217)*(E217:E227&gt;0)))),0)</f>
        <v>0</v>
      </c>
      <c r="I217" s="1024"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22">
        <f ca="1">IFERROR(C218*D218*_xlfn.XLOOKUP(B218,TabCalc[Ticker],TabCalc[Scale]),0)</f>
        <v>-89460</v>
      </c>
      <c r="F218" s="1023" cm="1">
        <f t="array" ref="F218">IF(A218=A217,0,SUM(_xlfn._xlws.FILTER(E218:E228,A218:A228=A218)))</f>
        <v>0</v>
      </c>
      <c r="G218" s="1024">
        <f>IF(F218&lt;&gt;0,SUM($F$43:F218),0)</f>
        <v>0</v>
      </c>
      <c r="H218" s="1024" cm="1">
        <f t="array" ref="H218">IFERROR(IF(A218=A217,0,SUM(_xlfn._xlws.FILTER(E218:E228,(A218:A228=A218)*(E218:E228&gt;0)))),0)</f>
        <v>0</v>
      </c>
      <c r="I218" s="1024"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22">
        <f ca="1">IFERROR(C219*D219*_xlfn.XLOOKUP(B219,TabCalc[Ticker],TabCalc[Scale]),0)</f>
        <v>-13650</v>
      </c>
      <c r="F219" s="1023" cm="1">
        <f t="array" ref="F219">IF(A219=A218,0,SUM(_xlfn._xlws.FILTER(E219:E229,A219:A229=A219)))</f>
        <v>0</v>
      </c>
      <c r="G219" s="1024">
        <f>IF(F219&lt;&gt;0,SUM($F$43:F219),0)</f>
        <v>0</v>
      </c>
      <c r="H219" s="1024" cm="1">
        <f t="array" ref="H219">IFERROR(IF(A219=A218,0,SUM(_xlfn._xlws.FILTER(E219:E229,(A219:A229=A219)*(E219:E229&gt;0)))),0)</f>
        <v>0</v>
      </c>
      <c r="I219" s="1024"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22">
        <f ca="1">IFERROR(C220*D220*_xlfn.XLOOKUP(B220,TabCalc[Ticker],TabCalc[Scale]),0)</f>
        <v>-87087.077999999994</v>
      </c>
      <c r="F220" s="1023" cm="1">
        <f t="array" ref="F220">IF(A220=A219,0,SUM(_xlfn._xlws.FILTER(E220:E230,A220:A230=A220)))</f>
        <v>0</v>
      </c>
      <c r="G220" s="1024">
        <f>IF(F220&lt;&gt;0,SUM($F$43:F220),0)</f>
        <v>0</v>
      </c>
      <c r="H220" s="1024" cm="1">
        <f t="array" ref="H220">IFERROR(IF(A220=A219,0,SUM(_xlfn._xlws.FILTER(E220:E230,(A220:A230=A220)*(E220:E230&gt;0)))),0)</f>
        <v>0</v>
      </c>
      <c r="I220" s="1024"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22">
        <f ca="1">IFERROR(C221*D221*_xlfn.XLOOKUP(B221,TabCalc[Ticker],TabCalc[Scale]),0)</f>
        <v>-52016</v>
      </c>
      <c r="F221" s="1023" cm="1">
        <f t="array" ref="F221">IF(A221=A220,0,SUM(_xlfn._xlws.FILTER(E221:E231,A221:A231=A221)))</f>
        <v>0</v>
      </c>
      <c r="G221" s="1024">
        <f>IF(F221&lt;&gt;0,SUM($F$43:F221),0)</f>
        <v>0</v>
      </c>
      <c r="H221" s="1024" cm="1">
        <f t="array" ref="H221">IFERROR(IF(A221=A220,0,SUM(_xlfn._xlws.FILTER(E221:E231,(A221:A231=A221)*(E221:E231&gt;0)))),0)</f>
        <v>0</v>
      </c>
      <c r="I221" s="1024"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22">
        <f ca="1">IFERROR(C222*D222*_xlfn.XLOOKUP(B222,TabCalc[Ticker],TabCalc[Scale]),0)</f>
        <v>96750</v>
      </c>
      <c r="F222" s="1023" cm="1">
        <f t="array" ref="F222">IF(A222=A221,0,SUM(_xlfn._xlws.FILTER(E222:E232,A222:A232=A222)))</f>
        <v>0</v>
      </c>
      <c r="G222" s="1024">
        <f>IF(F222&lt;&gt;0,SUM($F$43:F222),0)</f>
        <v>0</v>
      </c>
      <c r="H222" s="1024" cm="1">
        <f t="array" ref="H222">IFERROR(IF(A222=A221,0,SUM(_xlfn._xlws.FILTER(E222:E232,(A222:A232=A222)*(E222:E232&gt;0)))),0)</f>
        <v>0</v>
      </c>
      <c r="I222" s="1024"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22">
        <f ca="1">IFERROR(C223*D223*_xlfn.XLOOKUP(B223,TabCalc[Ticker],TabCalc[Scale]),0)</f>
        <v>91980</v>
      </c>
      <c r="F223" s="1023" cm="1">
        <f t="array" aca="1" ref="F223" ca="1">IF(A223=A222,0,SUM(_xlfn._xlws.FILTER(E223:E233,A223:A233=A223)))</f>
        <v>-22542.5</v>
      </c>
      <c r="G223" s="1024">
        <f ca="1">IF(F223&lt;&gt;0,SUM($F$43:F223),0)</f>
        <v>328079.85513400007</v>
      </c>
      <c r="H223" s="1024" cm="1">
        <f t="array" aca="1" ref="H223" ca="1">IFERROR(IF(A223=A222,0,SUM(_xlfn._xlws.FILTER(E223:E233,(A223:A233=A223)*(E223:E233&gt;0)))),0)</f>
        <v>91980</v>
      </c>
      <c r="I223" s="1024"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22">
        <f ca="1">IFERROR(C224*D224*_xlfn.XLOOKUP(B224,TabCalc[Ticker],TabCalc[Scale]),0)</f>
        <v>-67282.5</v>
      </c>
      <c r="F224" s="1023" cm="1">
        <f t="array" ref="F224">IF(A224=A223,0,SUM(_xlfn._xlws.FILTER(E224:E234,A224:A234=A224)))</f>
        <v>0</v>
      </c>
      <c r="G224" s="1024">
        <f>IF(F224&lt;&gt;0,SUM($F$43:F224),0)</f>
        <v>0</v>
      </c>
      <c r="H224" s="1024" cm="1">
        <f t="array" ref="H224">IFERROR(IF(A224=A223,0,SUM(_xlfn._xlws.FILTER(E224:E234,(A224:A234=A224)*(E224:E234&gt;0)))),0)</f>
        <v>0</v>
      </c>
      <c r="I224" s="1024"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22">
        <f ca="1">IFERROR(C225*D225*_xlfn.XLOOKUP(B225,TabCalc[Ticker],TabCalc[Scale]),0)</f>
        <v>-47240</v>
      </c>
      <c r="F225" s="1023" cm="1">
        <f t="array" ref="F225">IF(A225=A224,0,SUM(_xlfn._xlws.FILTER(E225:E235,A225:A235=A225)))</f>
        <v>0</v>
      </c>
      <c r="G225" s="1024">
        <f>IF(F225&lt;&gt;0,SUM($F$43:F225),0)</f>
        <v>0</v>
      </c>
      <c r="H225" s="1024" cm="1">
        <f t="array" ref="H225">IFERROR(IF(A225=A224,0,SUM(_xlfn._xlws.FILTER(E225:E235,(A225:A235=A225)*(E225:E235&gt;0)))),0)</f>
        <v>0</v>
      </c>
      <c r="I225" s="1024"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22">
        <f ca="1">IFERROR(C226*D226*_xlfn.XLOOKUP(B226,TabCalc[Ticker],TabCalc[Scale]),0)</f>
        <v>-13950</v>
      </c>
      <c r="F226" s="1023" cm="1">
        <f t="array" aca="1" ref="F226" ca="1">IF(A226=A225,0,SUM(_xlfn._xlws.FILTER(E226:E236,A226:A236=A226)))</f>
        <v>-52730</v>
      </c>
      <c r="G226" s="1024">
        <f ca="1">IF(F226&lt;&gt;0,SUM($F$43:F226),0)</f>
        <v>275349.85513400007</v>
      </c>
      <c r="H226" s="1024" cm="1">
        <f t="array" aca="1" ref="H226" ca="1">IFERROR(IF(A226=A225,0,SUM(_xlfn._xlws.FILTER(E226:E236,(A226:A236=A226)*(E226:E236&gt;0)))),0)</f>
        <v>0</v>
      </c>
      <c r="I226" s="1024"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22">
        <f ca="1">IFERROR(C227*D227*_xlfn.XLOOKUP(B227,TabCalc[Ticker],TabCalc[Scale]),0)</f>
        <v>-38780</v>
      </c>
      <c r="F227" s="1023" cm="1">
        <f t="array" ref="F227">IF(A227=A226,0,SUM(_xlfn._xlws.FILTER(E227:E237,A227:A237=A227)))</f>
        <v>0</v>
      </c>
      <c r="G227" s="1024">
        <f>IF(F227&lt;&gt;0,SUM($F$43:F227),0)</f>
        <v>0</v>
      </c>
      <c r="H227" s="1024" cm="1">
        <f t="array" ref="H227">IFERROR(IF(A227=A226,0,SUM(_xlfn._xlws.FILTER(E227:E237,(A227:A237=A227)*(E227:E237&gt;0)))),0)</f>
        <v>0</v>
      </c>
      <c r="I227" s="1024"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22">
        <f ca="1">IFERROR(C228*D228*_xlfn.XLOOKUP(B228,TabCalc[Ticker],TabCalc[Scale]),0)</f>
        <v>200280</v>
      </c>
      <c r="F228" s="1023" cm="1">
        <f t="array" aca="1" ref="F228" ca="1">IF(A228=A227,0,SUM(_xlfn._xlws.FILTER(E228:E238,A228:A238=A228)))</f>
        <v>322582</v>
      </c>
      <c r="G228" s="1024">
        <f ca="1">IF(F228&lt;&gt;0,SUM($F$43:F228),0)</f>
        <v>597931.85513400007</v>
      </c>
      <c r="H228" s="1024" cm="1">
        <f t="array" aca="1" ref="H228" ca="1">IFERROR(IF(A228=A227,0,SUM(_xlfn._xlws.FILTER(E228:E238,(A228:A238=A228)*(E228:E238&gt;0)))),0)</f>
        <v>322582</v>
      </c>
      <c r="I228" s="1024"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22">
        <f ca="1">IFERROR(C229*D229*_xlfn.XLOOKUP(B229,TabCalc[Ticker],TabCalc[Scale]),0)</f>
        <v>63100</v>
      </c>
      <c r="F229" s="1023" cm="1">
        <f t="array" ref="F229">IF(A229=A228,0,SUM(_xlfn._xlws.FILTER(E229:E239,A229:A239=A229)))</f>
        <v>0</v>
      </c>
      <c r="G229" s="1024">
        <f>IF(F229&lt;&gt;0,SUM($F$43:F229),0)</f>
        <v>0</v>
      </c>
      <c r="H229" s="1024" cm="1">
        <f t="array" ref="H229">IFERROR(IF(A229=A228,0,SUM(_xlfn._xlws.FILTER(E229:E239,(A229:A239=A229)*(E229:E239&gt;0)))),0)</f>
        <v>0</v>
      </c>
      <c r="I229" s="1024"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22">
        <f ca="1">IFERROR(C230*D230*_xlfn.XLOOKUP(B230,TabCalc[Ticker],TabCalc[Scale]),0)</f>
        <v>59202</v>
      </c>
      <c r="F230" s="1023" cm="1">
        <f t="array" ref="F230">IF(A230=A229,0,SUM(_xlfn._xlws.FILTER(E230:E240,A230:A240=A230)))</f>
        <v>0</v>
      </c>
      <c r="G230" s="1024">
        <f>IF(F230&lt;&gt;0,SUM($F$43:F230),0)</f>
        <v>0</v>
      </c>
      <c r="H230" s="1024" cm="1">
        <f t="array" ref="H230">IFERROR(IF(A230=A229,0,SUM(_xlfn._xlws.FILTER(E230:E240,(A230:A240=A230)*(E230:E240&gt;0)))),0)</f>
        <v>0</v>
      </c>
      <c r="I230" s="1024"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22">
        <f ca="1">IFERROR(C231*D231*_xlfn.XLOOKUP(B231,TabCalc[Ticker],TabCalc[Scale]),0)</f>
        <v>-250800</v>
      </c>
      <c r="F231" s="1023" cm="1">
        <f t="array" aca="1" ref="F231" ca="1">IF(A231=A230,0,SUM(_xlfn._xlws.FILTER(E231:E241,A231:A241=A231)))</f>
        <v>-260330.36</v>
      </c>
      <c r="G231" s="1024">
        <f ca="1">IF(F231&lt;&gt;0,SUM($F$43:F231),0)</f>
        <v>337601.49513400008</v>
      </c>
      <c r="H231" s="1024" cm="1">
        <f t="array" aca="1" ref="H231" ca="1">IFERROR(IF(A231=A230,0,SUM(_xlfn._xlws.FILTER(E231:E241,(A231:A241=A231)*(E231:E241&gt;0)))),0)</f>
        <v>0</v>
      </c>
      <c r="I231" s="1024"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22">
        <f ca="1">IFERROR(C232*D232*_xlfn.XLOOKUP(B232,TabCalc[Ticker],TabCalc[Scale]),0)</f>
        <v>-9530.36</v>
      </c>
      <c r="F232" s="1023" cm="1">
        <f t="array" ref="F232">IF(A232=A231,0,SUM(_xlfn._xlws.FILTER(E232:E242,A232:A242=A232)))</f>
        <v>0</v>
      </c>
      <c r="G232" s="1024">
        <f>IF(F232&lt;&gt;0,SUM($F$43:F232),0)</f>
        <v>0</v>
      </c>
      <c r="H232" s="1024" cm="1">
        <f t="array" ref="H232">IFERROR(IF(A232=A231,0,SUM(_xlfn._xlws.FILTER(E232:E242,(A232:A242=A232)*(E232:E242&gt;0)))),0)</f>
        <v>0</v>
      </c>
      <c r="I232" s="1024"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22">
        <f ca="1">IFERROR(C233*D233*_xlfn.XLOOKUP(B233,TabCalc[Ticker],TabCalc[Scale]),0)</f>
        <v>23690</v>
      </c>
      <c r="F233" s="1023" cm="1">
        <f t="array" aca="1" ref="F233" ca="1">IF(A233=A232,0,SUM(_xlfn._xlws.FILTER(E233:E243,A233:A243=A233)))</f>
        <v>43035</v>
      </c>
      <c r="G233" s="1024">
        <f ca="1">IF(F233&lt;&gt;0,SUM($F$43:F233),0)</f>
        <v>380636.49513400008</v>
      </c>
      <c r="H233" s="1024" cm="1">
        <f t="array" aca="1" ref="H233" ca="1">IFERROR(IF(A233=A232,0,SUM(_xlfn._xlws.FILTER(E233:E243,(A233:A243=A233)*(E233:E243&gt;0)))),0)</f>
        <v>43035</v>
      </c>
      <c r="I233" s="1024"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22">
        <f ca="1">IFERROR(C234*D234*_xlfn.XLOOKUP(B234,TabCalc[Ticker],TabCalc[Scale]),0)</f>
        <v>19345</v>
      </c>
      <c r="F234" s="1023" cm="1">
        <f t="array" ref="F234">IF(A234=A233,0,SUM(_xlfn._xlws.FILTER(E234:E244,A234:A244=A234)))</f>
        <v>0</v>
      </c>
      <c r="G234" s="1024">
        <f>IF(F234&lt;&gt;0,SUM($F$43:F234),0)</f>
        <v>0</v>
      </c>
      <c r="H234" s="1024" cm="1">
        <f t="array" ref="H234">IFERROR(IF(A234=A233,0,SUM(_xlfn._xlws.FILTER(E234:E244,(A234:A244=A234)*(E234:E244&gt;0)))),0)</f>
        <v>0</v>
      </c>
      <c r="I234" s="1024"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22">
        <f ca="1">IFERROR(C235*D235*_xlfn.XLOOKUP(B235,TabCalc[Ticker],TabCalc[Scale]),0)</f>
        <v>-8036.5688069999997</v>
      </c>
      <c r="F235" s="1023" cm="1">
        <f t="array" aca="1" ref="F235" ca="1">IF(A235=A234,0,SUM(_xlfn._xlws.FILTER(E235:E245,A235:A245=A235)))</f>
        <v>-518276.568807</v>
      </c>
      <c r="G235" s="1024">
        <f ca="1">IF(F235&lt;&gt;0,SUM($F$43:F235),0)</f>
        <v>-137640.07367299992</v>
      </c>
      <c r="H235" s="1024" cm="1">
        <f t="array" aca="1" ref="H235" ca="1">IFERROR(IF(A235=A234,0,SUM(_xlfn._xlws.FILTER(E235:E245,(A235:A245=A235)*(E235:E245&gt;0)))),0)</f>
        <v>0</v>
      </c>
      <c r="I235" s="1024"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22">
        <f ca="1">IFERROR(C236*D236*_xlfn.XLOOKUP(B236,TabCalc[Ticker],TabCalc[Scale]),0)</f>
        <v>-255050</v>
      </c>
      <c r="F236" s="1023" cm="1">
        <f t="array" ref="F236">IF(A236=A235,0,SUM(_xlfn._xlws.FILTER(E236:E246,A236:A246=A236)))</f>
        <v>0</v>
      </c>
      <c r="G236" s="1024">
        <f>IF(F236&lt;&gt;0,SUM($F$43:F236),0)</f>
        <v>0</v>
      </c>
      <c r="H236" s="1024" cm="1">
        <f t="array" ref="H236">IFERROR(IF(A236=A235,0,SUM(_xlfn._xlws.FILTER(E236:E246,(A236:A246=A236)*(E236:E246&gt;0)))),0)</f>
        <v>0</v>
      </c>
      <c r="I236" s="1024"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22">
        <f ca="1">IFERROR(C237*D237*_xlfn.XLOOKUP(B237,TabCalc[Ticker],TabCalc[Scale]),0)</f>
        <v>-255190</v>
      </c>
      <c r="F237" s="1023" cm="1">
        <f t="array" ref="F237">IF(A237=A236,0,SUM(_xlfn._xlws.FILTER(E237:E246,A237:A246=A237)))</f>
        <v>0</v>
      </c>
      <c r="G237" s="1024">
        <f>IF(F237&lt;&gt;0,SUM($F$43:F237),0)</f>
        <v>0</v>
      </c>
      <c r="H237" s="1024" cm="1">
        <f t="array" ref="H237">IFERROR(IF(A237=A236,0,SUM(_xlfn._xlws.FILTER(E237:E246,(A237:A246=A237)*(E237:E246&gt;0)))),0)</f>
        <v>0</v>
      </c>
      <c r="I237" s="1024"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22">
        <f ca="1">IFERROR(C238*D238*_xlfn.XLOOKUP(B238,TabCalc[Ticker],TabCalc[Scale]),0)</f>
        <v>23800</v>
      </c>
      <c r="F238" s="1023" cm="1">
        <f t="array" aca="1" ref="F238" ca="1">IF(A238=A237,0,SUM(_xlfn._xlws.FILTER(E238:E247,A238:A247=A238)))</f>
        <v>32075</v>
      </c>
      <c r="G238" s="1024">
        <f ca="1">IF(F238&lt;&gt;0,SUM($F$43:F238),0)</f>
        <v>-105565.07367299992</v>
      </c>
      <c r="H238" s="1024" cm="1">
        <f t="array" aca="1" ref="H238" ca="1">IFERROR(IF(A238=A237,0,SUM(_xlfn._xlws.FILTER(E238:E247,(A238:A247=A238)*(E238:E247&gt;0)))),0)</f>
        <v>32075</v>
      </c>
      <c r="I238" s="1024"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22">
        <f ca="1">IFERROR(C239*D239*_xlfn.XLOOKUP(B239,TabCalc[Ticker],TabCalc[Scale]),0)</f>
        <v>8275</v>
      </c>
      <c r="F239" s="1023" cm="1">
        <f t="array" ref="F239">IF(A239=A238,0,SUM(_xlfn._xlws.FILTER(E239:E248,A239:A248=A239)))</f>
        <v>0</v>
      </c>
      <c r="G239" s="1024">
        <f>IF(F239&lt;&gt;0,SUM($F$43:F239),0)</f>
        <v>0</v>
      </c>
      <c r="H239" s="1024" cm="1">
        <f t="array" ref="H239">IFERROR(IF(A239=A238,0,SUM(_xlfn._xlws.FILTER(E239:E248,(A239:A248=A239)*(E239:E248&gt;0)))),0)</f>
        <v>0</v>
      </c>
      <c r="I239" s="1024"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22">
        <f ca="1">IFERROR(C240*D240*_xlfn.XLOOKUP(B240,TabCalc[Ticker],TabCalc[Scale]),0)</f>
        <v>-33075</v>
      </c>
      <c r="F240" s="1023" cm="1">
        <f t="array" aca="1" ref="F240" ca="1">IF(A240=A239,0,SUM(_xlfn._xlws.FILTER(E240:E249,A240:A249=A240)))</f>
        <v>-33075</v>
      </c>
      <c r="G240" s="1024">
        <f ca="1">IF(F240&lt;&gt;0,SUM($F$43:F240),0)</f>
        <v>-138640.07367299992</v>
      </c>
      <c r="H240" s="1024" cm="1">
        <f t="array" aca="1" ref="H240" ca="1">IFERROR(IF(A240=A239,0,SUM(_xlfn._xlws.FILTER(E240:E249,(A240:A249=A240)*(E240:E249&gt;0)))),0)</f>
        <v>0</v>
      </c>
      <c r="I240" s="1024"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22">
        <f ca="1">IFERROR(C241*D241*_xlfn.XLOOKUP(B241,TabCalc[Ticker],TabCalc[Scale]),0)</f>
        <v>-194190</v>
      </c>
      <c r="F241" s="1023" cm="1">
        <f t="array" aca="1" ref="F241" ca="1">IF(A241=A240,0,SUM(_xlfn._xlws.FILTER(E241:E250,A241:A250=A241)))</f>
        <v>-194190</v>
      </c>
      <c r="G241" s="1024">
        <f ca="1">IF(F241&lt;&gt;0,SUM($F$43:F241),0)</f>
        <v>-332830.07367299992</v>
      </c>
      <c r="H241" s="1024" cm="1">
        <f t="array" aca="1" ref="H241" ca="1">IFERROR(IF(A241=A240,0,SUM(_xlfn._xlws.FILTER(E241:E250,(A241:A250=A241)*(E241:E250&gt;0)))),0)</f>
        <v>0</v>
      </c>
      <c r="I241" s="1024"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22">
        <f ca="1">IFERROR(C242*D242*_xlfn.XLOOKUP(B242,TabCalc[Ticker],TabCalc[Scale]),0)</f>
        <v>-56895.58</v>
      </c>
      <c r="F242" s="1023" cm="1">
        <f t="array" aca="1" ref="F242" ca="1">IF(A242=A241,0,SUM(_xlfn._xlws.FILTER(E242:E251,A242:A251=A242)))</f>
        <v>-20908.750000000007</v>
      </c>
      <c r="G242" s="1024">
        <f ca="1">IF(F242&lt;&gt;0,SUM($F$43:F242),0)</f>
        <v>-353738.82367299992</v>
      </c>
      <c r="H242" s="1024" cm="1">
        <f t="array" aca="1" ref="H242" ca="1">IFERROR(IF(A242=A241,0,SUM(_xlfn._xlws.FILTER(E242:E251,(A242:A251=A242)*(E242:E251&gt;0)))),0)</f>
        <v>106150.82999999999</v>
      </c>
      <c r="I242" s="1024"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22">
        <f ca="1">IFERROR(C243*D243*_xlfn.XLOOKUP(B243,TabCalc[Ticker],TabCalc[Scale]),0)</f>
        <v>65775</v>
      </c>
      <c r="F243" s="1023" cm="1">
        <f t="array" ref="F243">IF(A243=A242,0,SUM(_xlfn._xlws.FILTER(E243:E252,A243:A252=A243)))</f>
        <v>0</v>
      </c>
      <c r="G243" s="1024">
        <f>IF(F243&lt;&gt;0,SUM($F$43:F243),0)</f>
        <v>0</v>
      </c>
      <c r="H243" s="1024" cm="1">
        <f t="array" ref="H243">IFERROR(IF(A243=A242,0,SUM(_xlfn._xlws.FILTER(E243:E252,(A243:A252=A243)*(E243:E252&gt;0)))),0)</f>
        <v>0</v>
      </c>
      <c r="I243" s="1024"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22">
        <f ca="1">IFERROR(C244*D244*_xlfn.XLOOKUP(B244,TabCalc[Ticker],TabCalc[Scale]),0)</f>
        <v>40375.829999999994</v>
      </c>
      <c r="F244" s="1023" cm="1">
        <f t="array" ref="F244">IF(A244=A243,0,SUM(_xlfn._xlws.FILTER(E244:E253,A244:A253=A244)))</f>
        <v>0</v>
      </c>
      <c r="G244" s="1024">
        <f>IF(F244&lt;&gt;0,SUM($F$43:F244),0)</f>
        <v>0</v>
      </c>
      <c r="H244" s="1024" cm="1">
        <f t="array" ref="H244">IFERROR(IF(A244=A243,0,SUM(_xlfn._xlws.FILTER(E244:E253,(A244:A253=A244)*(E244:E253&gt;0)))),0)</f>
        <v>0</v>
      </c>
      <c r="I244" s="1024"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22">
        <f ca="1">IFERROR(C245*D245*_xlfn.XLOOKUP(B245,TabCalc[Ticker],TabCalc[Scale]),0)</f>
        <v>-13350</v>
      </c>
      <c r="F245" s="1023" cm="1">
        <f t="array" ref="F245">IF(A245=A244,0,SUM(_xlfn._xlws.FILTER(E245:E254,A245:A254=A245)))</f>
        <v>0</v>
      </c>
      <c r="G245" s="1024">
        <f>IF(F245&lt;&gt;0,SUM($F$43:F245),0)</f>
        <v>0</v>
      </c>
      <c r="H245" s="1024" cm="1">
        <f t="array" ref="H245">IFERROR(IF(A245=A244,0,SUM(_xlfn._xlws.FILTER(E245:E254,(A245:A254=A245)*(E245:E254&gt;0)))),0)</f>
        <v>0</v>
      </c>
      <c r="I245" s="1024"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22">
        <f ca="1">IFERROR(C246*D246*_xlfn.XLOOKUP(B246,TabCalc[Ticker],TabCalc[Scale]),0)</f>
        <v>-56814</v>
      </c>
      <c r="F246" s="1023" cm="1">
        <f t="array" ref="F246">IF(A246=A245,0,SUM(_xlfn._xlws.FILTER(E246:E255,A246:A255=A246)))</f>
        <v>0</v>
      </c>
      <c r="G246" s="1024">
        <f>IF(F246&lt;&gt;0,SUM($F$43:F246),0)</f>
        <v>0</v>
      </c>
      <c r="H246" s="1024" cm="1">
        <f t="array" ref="H246">IFERROR(IF(A246=A245,0,SUM(_xlfn._xlws.FILTER(E246:E255,(A246:A255=A246)*(E246:E255&gt;0)))),0)</f>
        <v>0</v>
      </c>
      <c r="I246" s="1024"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22">
        <f ca="1">IFERROR(C247*D247*_xlfn.XLOOKUP(B247,TabCalc[Ticker],TabCalc[Scale]),0)</f>
        <v>97580</v>
      </c>
      <c r="F247" s="1023" cm="1">
        <f t="array" aca="1" ref="F247" ca="1">IF(A247=A246,0,SUM(_xlfn._xlws.FILTER(E247:E256,A247:A256=A247)))</f>
        <v>109715.4005</v>
      </c>
      <c r="G247" s="1024">
        <f ca="1">IF(F247&lt;&gt;0,SUM($F$43:F247),0)</f>
        <v>-244023.42317299993</v>
      </c>
      <c r="H247" s="1024" cm="1">
        <f t="array" aca="1" ref="H247" ca="1">IFERROR(IF(A247=A246,0,SUM(_xlfn._xlws.FILTER(E247:E256,(A247:A256=A247)*(E247:E256&gt;0)))),0)</f>
        <v>109715.4005</v>
      </c>
      <c r="I247" s="1024"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22">
        <f ca="1">IFERROR(C248*D248*_xlfn.XLOOKUP(B248,TabCalc[Ticker],TabCalc[Scale]),0)</f>
        <v>12135.4005</v>
      </c>
      <c r="F248" s="1023" cm="1">
        <f t="array" ref="F248">IF(A248=A247,0,SUM(_xlfn._xlws.FILTER(E248:E257,A248:A257=A248)))</f>
        <v>0</v>
      </c>
      <c r="G248" s="1024">
        <f>IF(F248&lt;&gt;0,SUM($F$43:F248),0)</f>
        <v>0</v>
      </c>
      <c r="H248" s="1024" cm="1">
        <f t="array" ref="H248">IFERROR(IF(A248=A247,0,SUM(_xlfn._xlws.FILTER(E248:E257,(A248:A257=A248)*(E248:E257&gt;0)))),0)</f>
        <v>0</v>
      </c>
      <c r="I248" s="1024"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22">
        <f ca="1">IFERROR(C249*D249*_xlfn.XLOOKUP(B249,TabCalc[Ticker],TabCalc[Scale]),0)</f>
        <v>-96410</v>
      </c>
      <c r="F249" s="1023" cm="1">
        <f t="array" aca="1" ref="F249" ca="1">IF(A249=A248,0,SUM(_xlfn._xlws.FILTER(E249:E258,A249:A258=A249)))</f>
        <v>-154345.20000000001</v>
      </c>
      <c r="G249" s="1024">
        <f ca="1">IF(F249&lt;&gt;0,SUM($F$43:F249),0)</f>
        <v>-398368.62317299994</v>
      </c>
      <c r="H249" s="1024" cm="1">
        <f t="array" aca="1" ref="H249" ca="1">IFERROR(IF(A249=A248,0,SUM(_xlfn._xlws.FILTER(E249:E258,(A249:A258=A249)*(E249:E258&gt;0)))),0)</f>
        <v>52140</v>
      </c>
      <c r="I249" s="1024"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22">
        <f ca="1">IFERROR(C250*D250*_xlfn.XLOOKUP(B250,TabCalc[Ticker],TabCalc[Scale]),0)</f>
        <v>28080</v>
      </c>
      <c r="F250" s="1023" cm="1">
        <f t="array" ref="F250">IF(A250=A249,0,SUM(_xlfn._xlws.FILTER(E250:E259,A250:A259=A250)))</f>
        <v>0</v>
      </c>
      <c r="G250" s="1024">
        <f>IF(F250&lt;&gt;0,SUM($F$43:F250),0)</f>
        <v>0</v>
      </c>
      <c r="H250" s="1024" cm="1">
        <f t="array" ref="H250">IFERROR(IF(A250=A249,0,SUM(_xlfn._xlws.FILTER(E250:E259,(A250:A259=A250)*(E250:E259&gt;0)))),0)</f>
        <v>0</v>
      </c>
      <c r="I250" s="1024"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22">
        <f ca="1">IFERROR(C251*D251*_xlfn.XLOOKUP(B251,TabCalc[Ticker],TabCalc[Scale]),0)</f>
        <v>-53402</v>
      </c>
      <c r="F251" s="1023" cm="1">
        <f t="array" ref="F251">IF(A251=A250,0,SUM(_xlfn._xlws.FILTER(E251:E260,A251:A260=A251)))</f>
        <v>0</v>
      </c>
      <c r="G251" s="1024">
        <f>IF(F251&lt;&gt;0,SUM($F$43:F251),0)</f>
        <v>0</v>
      </c>
      <c r="H251" s="1024" cm="1">
        <f t="array" ref="H251">IFERROR(IF(A251=A250,0,SUM(_xlfn._xlws.FILTER(E251:E260,(A251:A260=A251)*(E251:E260&gt;0)))),0)</f>
        <v>0</v>
      </c>
      <c r="I251" s="1024"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22">
        <f ca="1">IFERROR(C252*D252*_xlfn.XLOOKUP(B252,TabCalc[Ticker],TabCalc[Scale]),0)</f>
        <v>-56673.200000000004</v>
      </c>
      <c r="F252" s="1023" cm="1">
        <f t="array" ref="F252">IF(A252=A251,0,SUM(_xlfn._xlws.FILTER(E252:E261,A252:A261=A252)))</f>
        <v>0</v>
      </c>
      <c r="G252" s="1024">
        <f>IF(F252&lt;&gt;0,SUM($F$43:F252),0)</f>
        <v>0</v>
      </c>
      <c r="H252" s="1024" cm="1">
        <f t="array" ref="H252">IFERROR(IF(A252=A251,0,SUM(_xlfn._xlws.FILTER(E252:E261,(A252:A261=A252)*(E252:E261&gt;0)))),0)</f>
        <v>0</v>
      </c>
      <c r="I252" s="1024"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22">
        <f ca="1">IFERROR(C253*D253*_xlfn.XLOOKUP(B253,TabCalc[Ticker],TabCalc[Scale]),0)</f>
        <v>24060</v>
      </c>
      <c r="F253" s="1023" cm="1">
        <f t="array" ref="F253">IF(A253=A252,0,SUM(_xlfn._xlws.FILTER(E253:E262,A253:A262=A253)))</f>
        <v>0</v>
      </c>
      <c r="G253" s="1024">
        <f>IF(F253&lt;&gt;0,SUM($F$43:F253),0)</f>
        <v>0</v>
      </c>
      <c r="H253" s="1024" cm="1">
        <f t="array" ref="H253">IFERROR(IF(A253=A252,0,SUM(_xlfn._xlws.FILTER(E253:E262,(A253:A262=A253)*(E253:E262&gt;0)))),0)</f>
        <v>0</v>
      </c>
      <c r="I253" s="1024"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22">
        <f ca="1">IFERROR(C254*D254*_xlfn.XLOOKUP(B254,TabCalc[Ticker],TabCalc[Scale]),0)</f>
        <v>-70880</v>
      </c>
      <c r="F254" s="1023" cm="1">
        <f t="array" aca="1" ref="F254" ca="1">IF(A254=A253,0,SUM(_xlfn._xlws.FILTER(E254:E263,A254:A263=A254)))</f>
        <v>-10830</v>
      </c>
      <c r="G254" s="1024">
        <f ca="1">IF(F254&lt;&gt;0,SUM($F$43:F254),0)</f>
        <v>-409198.62317299994</v>
      </c>
      <c r="H254" s="1024" cm="1">
        <f t="array" aca="1" ref="H254" ca="1">IFERROR(IF(A254=A253,0,SUM(_xlfn._xlws.FILTER(E254:E263,(A254:A263=A254)*(E254:E263&gt;0)))),0)</f>
        <v>60050</v>
      </c>
      <c r="I254" s="1024"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22">
        <f ca="1">IFERROR(C255*D255*_xlfn.XLOOKUP(B255,TabCalc[Ticker],TabCalc[Scale]),0)</f>
        <v>60050</v>
      </c>
      <c r="F255" s="1023" cm="1">
        <f t="array" ref="F255">IF(A255=A254,0,SUM(_xlfn._xlws.FILTER(E255:E264,A255:A264=A255)))</f>
        <v>0</v>
      </c>
      <c r="G255" s="1024">
        <f>IF(F255&lt;&gt;0,SUM($F$43:F255),0)</f>
        <v>0</v>
      </c>
      <c r="H255" s="1024" cm="1">
        <f t="array" ref="H255">IFERROR(IF(A255=A254,0,SUM(_xlfn._xlws.FILTER(E255:E264,(A255:A264=A255)*(E255:E264&gt;0)))),0)</f>
        <v>0</v>
      </c>
      <c r="I255" s="1024"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22">
        <f ca="1">IFERROR(C256*D256*_xlfn.XLOOKUP(B256,TabCalc[Ticker],TabCalc[Scale]),0)</f>
        <v>-341340</v>
      </c>
      <c r="F256" s="1023" cm="1">
        <f t="array" aca="1" ref="F256" ca="1">IF(A256=A255,0,SUM(_xlfn._xlws.FILTER(E256:E265,A256:A265=A256)))</f>
        <v>-341340</v>
      </c>
      <c r="G256" s="1024">
        <f ca="1">IF(F256&lt;&gt;0,SUM($F$43:F256),0)</f>
        <v>-750538.62317299994</v>
      </c>
      <c r="H256" s="1024" cm="1">
        <f t="array" aca="1" ref="H256" ca="1">IFERROR(IF(A256=A255,0,SUM(_xlfn._xlws.FILTER(E256:E265,(A256:A265=A256)*(E256:E265&gt;0)))),0)</f>
        <v>0</v>
      </c>
      <c r="I256" s="1024"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22">
        <f ca="1">IFERROR(C257*D257*_xlfn.XLOOKUP(B257,TabCalc[Ticker],TabCalc[Scale]),0)</f>
        <v>-222800</v>
      </c>
      <c r="F257" s="1023" cm="1">
        <f t="array" aca="1" ref="F257" ca="1">IF(A257=A256,0,SUM(_xlfn._xlws.FILTER(E257:E266,A257:A266=A257)))</f>
        <v>-222800</v>
      </c>
      <c r="G257" s="1024">
        <f ca="1">IF(F257&lt;&gt;0,SUM($F$43:F257),0)</f>
        <v>-973338.62317299994</v>
      </c>
      <c r="H257" s="1024" cm="1">
        <f t="array" aca="1" ref="H257" ca="1">IFERROR(IF(A257=A256,0,SUM(_xlfn._xlws.FILTER(E257:E266,(A257:A266=A257)*(E257:E266&gt;0)))),0)</f>
        <v>0</v>
      </c>
      <c r="I257" s="1024"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22">
        <f ca="1">IFERROR(C258*D258*_xlfn.XLOOKUP(B258,TabCalc[Ticker],TabCalc[Scale]),0)</f>
        <v>-10950</v>
      </c>
      <c r="F258" s="1023" cm="1">
        <f t="array" aca="1" ref="F258" ca="1">IF(A258=A257,0,SUM(_xlfn._xlws.FILTER(E258:E267,A258:A267=A258)))</f>
        <v>-10950</v>
      </c>
      <c r="G258" s="1024">
        <f ca="1">IF(F258&lt;&gt;0,SUM($F$43:F258),0)</f>
        <v>-984288.62317299994</v>
      </c>
      <c r="H258" s="1024" cm="1">
        <f t="array" aca="1" ref="H258" ca="1">IFERROR(IF(A258=A257,0,SUM(_xlfn._xlws.FILTER(E258:E267,(A258:A267=A258)*(E258:E267&gt;0)))),0)</f>
        <v>0</v>
      </c>
      <c r="I258" s="1024"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22">
        <f ca="1">IFERROR(C259*D259*_xlfn.XLOOKUP(B259,TabCalc[Ticker],TabCalc[Scale]),0)</f>
        <v>-31010</v>
      </c>
      <c r="F259" s="1023" cm="1">
        <f t="array" aca="1" ref="F259" ca="1">IF(A259=A258,0,SUM(_xlfn._xlws.FILTER(E259:E268,A259:A268=A259)))</f>
        <v>-243567.49999999997</v>
      </c>
      <c r="G259" s="1024">
        <f ca="1">IF(F259&lt;&gt;0,SUM($F$43:F259),0)</f>
        <v>-1227856.1231729998</v>
      </c>
      <c r="H259" s="1024" cm="1">
        <f t="array" aca="1" ref="H259" ca="1">IFERROR(IF(A259=A258,0,SUM(_xlfn._xlws.FILTER(E259:E268,(A259:A268=A259)*(E259:E268&gt;0)))),0)</f>
        <v>0</v>
      </c>
      <c r="I259" s="1024"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22">
        <f ca="1">IFERROR(C260*D260*_xlfn.XLOOKUP(B260,TabCalc[Ticker],TabCalc[Scale]),0)</f>
        <v>-212557.49999999997</v>
      </c>
      <c r="F260" s="1023" cm="1">
        <f t="array" ref="F260">IF(A260=A259,0,SUM(_xlfn._xlws.FILTER(E260:E269,A260:A269=A260)))</f>
        <v>0</v>
      </c>
      <c r="G260" s="1024">
        <f>IF(F260&lt;&gt;0,SUM($F$43:F260),0)</f>
        <v>0</v>
      </c>
      <c r="H260" s="1024" cm="1">
        <f t="array" ref="H260">IFERROR(IF(A260=A259,0,SUM(_xlfn._xlws.FILTER(E260:E269,(A260:A269=A260)*(E260:E269&gt;0)))),0)</f>
        <v>0</v>
      </c>
      <c r="I260" s="1024"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22">
        <f ca="1">IFERROR(C261*D261*_xlfn.XLOOKUP(B261,TabCalc[Ticker],TabCalc[Scale]),0)</f>
        <v>234520</v>
      </c>
      <c r="F261" s="1023" cm="1">
        <f t="array" aca="1" ref="F261" ca="1">IF(A261=A260,0,SUM(_xlfn._xlws.FILTER(E261:E270,A261:A270=A261)))</f>
        <v>499130</v>
      </c>
      <c r="G261" s="1024">
        <f ca="1">IF(F261&lt;&gt;0,SUM($F$43:F261),0)</f>
        <v>-728726.12317299983</v>
      </c>
      <c r="H261" s="1024" cm="1">
        <f t="array" aca="1" ref="H261" ca="1">IFERROR(IF(A261=A260,0,SUM(_xlfn._xlws.FILTER(E261:E270,(A261:A270=A261)*(E261:E270&gt;0)))),0)</f>
        <v>499130</v>
      </c>
      <c r="I261" s="1024"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22">
        <f ca="1">IFERROR(C262*D262*_xlfn.XLOOKUP(B262,TabCalc[Ticker],TabCalc[Scale]),0)</f>
        <v>126660</v>
      </c>
      <c r="F262" s="1023" cm="1">
        <f t="array" ref="F262">IF(A262=A261,0,SUM(_xlfn._xlws.FILTER(E262:E271,A262:A271=A262)))</f>
        <v>0</v>
      </c>
      <c r="G262" s="1024">
        <f>IF(F262&lt;&gt;0,SUM($F$43:F262),0)</f>
        <v>0</v>
      </c>
      <c r="H262" s="1024" cm="1">
        <f t="array" ref="H262">IFERROR(IF(A262=A261,0,SUM(_xlfn._xlws.FILTER(E262:E271,(A262:A271=A262)*(E262:E271&gt;0)))),0)</f>
        <v>0</v>
      </c>
      <c r="I262" s="1024"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22">
        <f ca="1">IFERROR(C263*D263*_xlfn.XLOOKUP(B263,TabCalc[Ticker],TabCalc[Scale]),0)</f>
        <v>63099.999999999993</v>
      </c>
      <c r="F263" s="1023" cm="1">
        <f t="array" ref="F263">IF(A263=A262,0,SUM(_xlfn._xlws.FILTER(E263:E272,A263:A272=A263)))</f>
        <v>0</v>
      </c>
      <c r="G263" s="1024">
        <f>IF(F263&lt;&gt;0,SUM($F$43:F263),0)</f>
        <v>0</v>
      </c>
      <c r="H263" s="1024" cm="1">
        <f t="array" ref="H263">IFERROR(IF(A263=A262,0,SUM(_xlfn._xlws.FILTER(E263:E272,(A263:A272=A263)*(E263:E272&gt;0)))),0)</f>
        <v>0</v>
      </c>
      <c r="I263" s="1024"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22">
        <f ca="1">IFERROR(C264*D264*_xlfn.XLOOKUP(B264,TabCalc[Ticker],TabCalc[Scale]),0)</f>
        <v>74850</v>
      </c>
      <c r="F264" s="1023" cm="1">
        <f t="array" ref="F264">IF(A264=A263,0,SUM(_xlfn._xlws.FILTER(E264:E273,A264:A273=A264)))</f>
        <v>0</v>
      </c>
      <c r="G264" s="1024">
        <f>IF(F264&lt;&gt;0,SUM($F$43:F264),0)</f>
        <v>0</v>
      </c>
      <c r="H264" s="1024" cm="1">
        <f t="array" ref="H264">IFERROR(IF(A264=A263,0,SUM(_xlfn._xlws.FILTER(E264:E273,(A264:A273=A264)*(E264:E273&gt;0)))),0)</f>
        <v>0</v>
      </c>
      <c r="I264" s="1024"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22">
        <f ca="1">IFERROR(C265*D265*_xlfn.XLOOKUP(B265,TabCalc[Ticker],TabCalc[Scale]),0)</f>
        <v>-101274.4</v>
      </c>
      <c r="F265" s="1023" cm="1">
        <f t="array" aca="1" ref="F265" ca="1">IF(A265=A264,0,SUM(_xlfn._xlws.FILTER(E265:E274,A265:A274=A265)))</f>
        <v>-48974.399999999994</v>
      </c>
      <c r="G265" s="1024">
        <f ca="1">IF(F265&lt;&gt;0,SUM($F$43:F265),0)</f>
        <v>-777700.52317299985</v>
      </c>
      <c r="H265" s="1024" cm="1">
        <f t="array" aca="1" ref="H265" ca="1">IFERROR(IF(A265=A264,0,SUM(_xlfn._xlws.FILTER(E265:E274,(A265:A274=A265)*(E265:E274&gt;0)))),0)</f>
        <v>52300</v>
      </c>
      <c r="I265" s="1024"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22">
        <f ca="1">IFERROR(C266*D266*_xlfn.XLOOKUP(B266,TabCalc[Ticker],TabCalc[Scale]),0)</f>
        <v>52300</v>
      </c>
      <c r="F266" s="1023" cm="1">
        <f t="array" ref="F266">IF(A266=A265,0,SUM(_xlfn._xlws.FILTER(E266:E275,A266:A275=A266)))</f>
        <v>0</v>
      </c>
      <c r="G266" s="1024">
        <f>IF(F266&lt;&gt;0,SUM($F$43:F266),0)</f>
        <v>0</v>
      </c>
      <c r="H266" s="1024" cm="1">
        <f t="array" ref="H266">IFERROR(IF(A266=A265,0,SUM(_xlfn._xlws.FILTER(E266:E275,(A266:A275=A266)*(E266:E275&gt;0)))),0)</f>
        <v>0</v>
      </c>
      <c r="I266" s="1024"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22">
        <f ca="1">IFERROR(C267*D267*_xlfn.XLOOKUP(B267,TabCalc[Ticker],TabCalc[Scale]),0)</f>
        <v>-34710</v>
      </c>
      <c r="F267" s="1023" cm="1">
        <f t="array" aca="1" ref="F267" ca="1">IF(A267=A266,0,SUM(_xlfn._xlws.FILTER(E267:E276,A267:A276=A267)))</f>
        <v>-34710</v>
      </c>
      <c r="G267" s="1024">
        <f ca="1">IF(F267&lt;&gt;0,SUM($F$43:F267),0)</f>
        <v>-812410.52317299985</v>
      </c>
      <c r="H267" s="1024" cm="1">
        <f t="array" aca="1" ref="H267" ca="1">IFERROR(IF(A267=A266,0,SUM(_xlfn._xlws.FILTER(E267:E276,(A267:A276=A267)*(E267:E276&gt;0)))),0)</f>
        <v>0</v>
      </c>
      <c r="I267" s="1024"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22">
        <f ca="1">IFERROR(C268*D268*_xlfn.XLOOKUP(B268,TabCalc[Ticker],TabCalc[Scale]),0)</f>
        <v>-98710</v>
      </c>
      <c r="F268" s="1023" cm="1">
        <f t="array" aca="1" ref="F268" ca="1">IF(A268=A267,0,SUM(_xlfn._xlws.FILTER(E268:E277,A268:A277=A268)))</f>
        <v>-562369.5</v>
      </c>
      <c r="G268" s="1024">
        <f ca="1">IF(F268&lt;&gt;0,SUM($F$43:F268),0)</f>
        <v>-1374780.0231729997</v>
      </c>
      <c r="H268" s="1024" cm="1">
        <f t="array" aca="1" ref="H268" ca="1">IFERROR(IF(A268=A267,0,SUM(_xlfn._xlws.FILTER(E268:E277,(A268:A277=A268)*(E268:E277&gt;0)))),0)</f>
        <v>0</v>
      </c>
      <c r="I268" s="1024"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22">
        <f ca="1">IFERROR(C269*D269*_xlfn.XLOOKUP(B269,TabCalc[Ticker],TabCalc[Scale]),0)</f>
        <v>-120759.99999999999</v>
      </c>
      <c r="F269" s="1023" cm="1">
        <f t="array" aca="1" ref="F269" ca="1">IF(A269=A268,0,SUM(_xlfn._xlws.FILTER(E269:E278,A269:A278=A269)))</f>
        <v>-120759.99999999999</v>
      </c>
      <c r="G269" s="1024">
        <f ca="1">IF(F269&lt;&gt;0,SUM($F$43:F269),0)</f>
        <v>-1495540.0231729997</v>
      </c>
      <c r="H269" s="1024" cm="1">
        <f t="array" aca="1" ref="H269" ca="1">IFERROR(IF(A269=A268,0,SUM(_xlfn._xlws.FILTER(E269:E278,(A269:A278=A269)*(E269:E278&gt;0)))),0)</f>
        <v>0</v>
      </c>
      <c r="I269" s="1024"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22">
        <f ca="1">IFERROR(C270*D270*_xlfn.XLOOKUP(B270,TabCalc[Ticker],TabCalc[Scale]),0)</f>
        <v>-99285</v>
      </c>
      <c r="F270" s="1023" cm="1">
        <f t="array" aca="1" ref="F270" ca="1">IF(A270=A269,0,SUM(_xlfn._xlws.FILTER(E270:E279,A270:A279=A270)))</f>
        <v>-422700.06000000006</v>
      </c>
      <c r="G270" s="1024">
        <f ca="1">IF(F270&lt;&gt;0,SUM($F$43:F270),0)</f>
        <v>-1918240.0831729998</v>
      </c>
      <c r="H270" s="1024" cm="1">
        <f t="array" aca="1" ref="H270" ca="1">IFERROR(IF(A270=A269,0,SUM(_xlfn._xlws.FILTER(E270:E279,(A270:A279=A270)*(E270:E279&gt;0)))),0)</f>
        <v>0</v>
      </c>
      <c r="I270" s="1024"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22">
        <f ca="1">IFERROR(C271*D271*_xlfn.XLOOKUP(B271,TabCalc[Ticker],TabCalc[Scale]),0)</f>
        <v>-103659.75</v>
      </c>
      <c r="F271" s="1023" cm="1">
        <f t="array" ref="F271">IF(A271=A270,0,SUM(_xlfn._xlws.FILTER(E271:E280,A271:A280=A271)))</f>
        <v>0</v>
      </c>
      <c r="G271" s="1024">
        <f>IF(F271&lt;&gt;0,SUM($F$43:F271),0)</f>
        <v>0</v>
      </c>
      <c r="H271" s="1024" cm="1">
        <f t="array" ref="H271">IFERROR(IF(A271=A270,0,SUM(_xlfn._xlws.FILTER(E271:E280,(A271:A280=A271)*(E271:E280&gt;0)))),0)</f>
        <v>0</v>
      </c>
      <c r="I271" s="1024"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22">
        <f ca="1">IFERROR(C272*D272*_xlfn.XLOOKUP(B272,TabCalc[Ticker],TabCalc[Scale]),0)</f>
        <v>-117280.65000000001</v>
      </c>
      <c r="F272" s="1023" cm="1">
        <f t="array" ref="F272">IF(A272=A271,0,SUM(_xlfn._xlws.FILTER(E272:E281,A272:A281=A272)))</f>
        <v>0</v>
      </c>
      <c r="G272" s="1024">
        <f>IF(F272&lt;&gt;0,SUM($F$43:F272),0)</f>
        <v>0</v>
      </c>
      <c r="H272" s="1024" cm="1">
        <f t="array" ref="H272">IFERROR(IF(A272=A271,0,SUM(_xlfn._xlws.FILTER(E272:E281,(A272:A281=A272)*(E272:E281&gt;0)))),0)</f>
        <v>0</v>
      </c>
      <c r="I272" s="1024"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22">
        <f ca="1">IFERROR(C273*D273*_xlfn.XLOOKUP(B273,TabCalc[Ticker],TabCalc[Scale]),0)</f>
        <v>-102474.66</v>
      </c>
      <c r="F273" s="1023" cm="1">
        <f t="array" ref="F273">IF(A273=A272,0,SUM(_xlfn._xlws.FILTER(E273:E282,A273:A282=A273)))</f>
        <v>0</v>
      </c>
      <c r="G273" s="1024">
        <f>IF(F273&lt;&gt;0,SUM($F$43:F273),0)</f>
        <v>0</v>
      </c>
      <c r="H273" s="1024" cm="1">
        <f t="array" ref="H273">IFERROR(IF(A273=A272,0,SUM(_xlfn._xlws.FILTER(E273:E282,(A273:A282=A273)*(E273:E282&gt;0)))),0)</f>
        <v>0</v>
      </c>
      <c r="I273" s="1024"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22">
        <f ca="1">IFERROR(C274*D274*_xlfn.XLOOKUP(B274,TabCalc[Ticker],TabCalc[Scale]),0)</f>
        <v>-31375</v>
      </c>
      <c r="F274" s="1023" cm="1">
        <f t="array" aca="1" ref="F274" ca="1">IF(A274=A273,0,SUM(_xlfn._xlws.FILTER(E274:E283,A274:A283=A274)))</f>
        <v>-463659.5</v>
      </c>
      <c r="G274" s="1024">
        <f ca="1">IF(F274&lt;&gt;0,SUM($F$43:F274),0)</f>
        <v>-2381899.5831729998</v>
      </c>
      <c r="H274" s="1024" cm="1">
        <f t="array" aca="1" ref="H274" ca="1">IFERROR(IF(A274=A273,0,SUM(_xlfn._xlws.FILTER(E274:E283,(A274:A283=A274)*(E274:E283&gt;0)))),0)</f>
        <v>0</v>
      </c>
      <c r="I274" s="1024"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22">
        <f ca="1">IFERROR(C275*D275*_xlfn.XLOOKUP(B275,TabCalc[Ticker],TabCalc[Scale]),0)</f>
        <v>-56764.5</v>
      </c>
      <c r="F275" s="1023" cm="1">
        <f t="array" ref="F275">IF(A275=A274,0,SUM(_xlfn._xlws.FILTER(E275:E284,A275:A284=A275)))</f>
        <v>0</v>
      </c>
      <c r="G275" s="1024">
        <f>IF(F275&lt;&gt;0,SUM($F$43:F275),0)</f>
        <v>0</v>
      </c>
      <c r="H275" s="1024" cm="1">
        <f t="array" ref="H275">IFERROR(IF(A275=A274,0,SUM(_xlfn._xlws.FILTER(E275:E284,(A275:A284=A275)*(E275:E284&gt;0)))),0)</f>
        <v>0</v>
      </c>
      <c r="I275" s="1024"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22">
        <f ca="1">IFERROR(C276*D276*_xlfn.XLOOKUP(B276,TabCalc[Ticker],TabCalc[Scale]),0)</f>
        <v>-152320</v>
      </c>
      <c r="F276" s="1023" cm="1">
        <f t="array" ref="F276">IF(A276=A275,0,SUM(_xlfn._xlws.FILTER(E276:E285,A276:A285=A276)))</f>
        <v>0</v>
      </c>
      <c r="G276" s="1024">
        <f>IF(F276&lt;&gt;0,SUM($F$43:F276),0)</f>
        <v>0</v>
      </c>
      <c r="H276" s="1024" cm="1">
        <f t="array" ref="H276">IFERROR(IF(A276=A275,0,SUM(_xlfn._xlws.FILTER(E276:E285,(A276:A285=A276)*(E276:E285&gt;0)))),0)</f>
        <v>0</v>
      </c>
      <c r="I276" s="1024"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22">
        <f ca="1">IFERROR(C277*D277*_xlfn.XLOOKUP(B277,TabCalc[Ticker],TabCalc[Scale]),0)</f>
        <v>-223200</v>
      </c>
      <c r="F277" s="1023" cm="1">
        <f t="array" ref="F277">IF(A277=A276,0,SUM(_xlfn._xlws.FILTER(E277:E286,A277:A286=A277)))</f>
        <v>0</v>
      </c>
      <c r="G277" s="1024">
        <f>IF(F277&lt;&gt;0,SUM($F$43:F277),0)</f>
        <v>0</v>
      </c>
      <c r="H277" s="1024" cm="1">
        <f t="array" ref="H277">IFERROR(IF(A277=A276,0,SUM(_xlfn._xlws.FILTER(E277:E286,(A277:A286=A277)*(E277:E286&gt;0)))),0)</f>
        <v>0</v>
      </c>
      <c r="I277" s="1024"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22">
        <f ca="1">IFERROR(C278*D278*_xlfn.XLOOKUP(B278,TabCalc[Ticker],TabCalc[Scale]),0)</f>
        <v>-70880</v>
      </c>
      <c r="F278" s="1023" cm="1">
        <f t="array" aca="1" ref="F278" ca="1">IF(A278=A277,0,SUM(_xlfn._xlws.FILTER(E278:E287,A278:A287=A278)))</f>
        <v>-70880</v>
      </c>
      <c r="G278" s="1024">
        <f ca="1">IF(F278&lt;&gt;0,SUM($F$43:F278),0)</f>
        <v>-2452779.5831729998</v>
      </c>
      <c r="H278" s="1024" cm="1">
        <f t="array" aca="1" ref="H278" ca="1">IFERROR(IF(A278=A277,0,SUM(_xlfn._xlws.FILTER(E278:E287,(A278:A287=A278)*(E278:E287&gt;0)))),0)</f>
        <v>0</v>
      </c>
      <c r="I278" s="1024"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22">
        <f ca="1">IFERROR(C279*D279*_xlfn.XLOOKUP(B279,TabCalc[Ticker],TabCalc[Scale]),0)</f>
        <v>-197950.00000000003</v>
      </c>
      <c r="F279" s="1023" cm="1">
        <f t="array" aca="1" ref="F279" ca="1">IF(A279=A278,0,SUM(_xlfn._xlws.FILTER(E279:E288,A279:A288=A279)))</f>
        <v>-395900.00000000006</v>
      </c>
      <c r="G279" s="1024">
        <f ca="1">IF(F279&lt;&gt;0,SUM($F$43:F279),0)</f>
        <v>-2848679.5831729998</v>
      </c>
      <c r="H279" s="1024" cm="1">
        <f t="array" aca="1" ref="H279" ca="1">IFERROR(IF(A279=A278,0,SUM(_xlfn._xlws.FILTER(E279:E288,(A279:A288=A279)*(E279:E288&gt;0)))),0)</f>
        <v>0</v>
      </c>
      <c r="I279" s="1024"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22">
        <f ca="1">IFERROR(C280*D280*_xlfn.XLOOKUP(B280,TabCalc[Ticker],TabCalc[Scale]),0)</f>
        <v>-197950.00000000003</v>
      </c>
      <c r="F280" s="1023" cm="1">
        <f t="array" ref="F280">IF(A280=A279,0,SUM(_xlfn._xlws.FILTER(E280:E289,A280:A289=A280)))</f>
        <v>0</v>
      </c>
      <c r="G280" s="1024">
        <f>IF(F280&lt;&gt;0,SUM($F$43:F280),0)</f>
        <v>0</v>
      </c>
      <c r="H280" s="1024" cm="1">
        <f t="array" ref="H280">IFERROR(IF(A280=A279,0,SUM(_xlfn._xlws.FILTER(E280:E289,(A280:A289=A280)*(E280:E289&gt;0)))),0)</f>
        <v>0</v>
      </c>
      <c r="I280" s="1024"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22">
        <f ca="1">IFERROR(C281*D281*_xlfn.XLOOKUP(B281,TabCalc[Ticker],TabCalc[Scale]),0)</f>
        <v>-25180</v>
      </c>
      <c r="F281" s="1023" cm="1">
        <f t="array" aca="1" ref="F281" ca="1">IF(A281=A280,0,SUM(_xlfn._xlws.FILTER(E281:E290,A281:A290=A281)))</f>
        <v>201572</v>
      </c>
      <c r="G281" s="1024">
        <f ca="1">IF(F281&lt;&gt;0,SUM($F$43:F281),0)</f>
        <v>-2647107.5831729998</v>
      </c>
      <c r="H281" s="1024" cm="1">
        <f t="array" aca="1" ref="H281" ca="1">IFERROR(IF(A281=A280,0,SUM(_xlfn._xlws.FILTER(E281:E290,(A281:A290=A281)*(E281:E290&gt;0)))),0)</f>
        <v>226752</v>
      </c>
      <c r="I281" s="1024"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22">
        <f ca="1">IFERROR(C282*D282*_xlfn.XLOOKUP(B282,TabCalc[Ticker],TabCalc[Scale]),0)</f>
        <v>226752</v>
      </c>
      <c r="F282" s="1023" cm="1">
        <f t="array" ref="F282">IF(A282=A281,0,SUM(_xlfn._xlws.FILTER(E282:E291,A282:A291=A282)))</f>
        <v>0</v>
      </c>
      <c r="G282" s="1024">
        <f>IF(F282&lt;&gt;0,SUM($F$43:F282),0)</f>
        <v>0</v>
      </c>
      <c r="H282" s="1024" cm="1">
        <f t="array" ref="H282">IFERROR(IF(A282=A281,0,SUM(_xlfn._xlws.FILTER(E282:E291,(A282:A291=A282)*(E282:E291&gt;0)))),0)</f>
        <v>0</v>
      </c>
      <c r="I282" s="1024"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22">
        <f ca="1">IFERROR(C283*D283*_xlfn.XLOOKUP(B283,TabCalc[Ticker],TabCalc[Scale]),0)</f>
        <v>40039.56</v>
      </c>
      <c r="F283" s="1023" cm="1">
        <f t="array" aca="1" ref="F283" ca="1">IF(A283=A282,0,SUM(_xlfn._xlws.FILTER(E283:E292,A283:A292=A283)))</f>
        <v>40039.56</v>
      </c>
      <c r="G283" s="1024">
        <f ca="1">IF(F283&lt;&gt;0,SUM($F$43:F283),0)</f>
        <v>-2607068.0231729997</v>
      </c>
      <c r="H283" s="1024" cm="1">
        <f t="array" aca="1" ref="H283" ca="1">IFERROR(IF(A283=A282,0,SUM(_xlfn._xlws.FILTER(E283:E292,(A283:A292=A283)*(E283:E292&gt;0)))),0)</f>
        <v>40039.56</v>
      </c>
      <c r="I283" s="1024"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22">
        <f ca="1">IFERROR(C284*D284*_xlfn.XLOOKUP(B284,TabCalc[Ticker],TabCalc[Scale]),0)</f>
        <v>570</v>
      </c>
      <c r="F284" s="1023" cm="1">
        <f t="array" aca="1" ref="F284" ca="1">IF(A284=A283,0,SUM(_xlfn._xlws.FILTER(E284:E293,A284:A293=A284)))</f>
        <v>434880.3125</v>
      </c>
      <c r="G284" s="1024">
        <f ca="1">IF(F284&lt;&gt;0,SUM($F$43:F284),0)</f>
        <v>-2172187.7106729997</v>
      </c>
      <c r="H284" s="1024" cm="1">
        <f t="array" aca="1" ref="H284" ca="1">IFERROR(IF(A284=A283,0,SUM(_xlfn._xlws.FILTER(E284:E293,(A284:A293=A284)*(E284:E293&gt;0)))),0)</f>
        <v>566330.3125</v>
      </c>
      <c r="I284" s="1024"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22">
        <f ca="1">IFERROR(C285*D285*_xlfn.XLOOKUP(B285,TabCalc[Ticker],TabCalc[Scale]),0)</f>
        <v>40825.3125</v>
      </c>
      <c r="F285" s="1023" cm="1">
        <f t="array" ref="F285">IF(A285=A284,0,SUM(_xlfn._xlws.FILTER(E285:E294,A285:A294=A285)))</f>
        <v>0</v>
      </c>
      <c r="G285" s="1024">
        <f>IF(F285&lt;&gt;0,SUM($F$43:F285),0)</f>
        <v>0</v>
      </c>
      <c r="H285" s="1024" cm="1">
        <f t="array" ref="H285">IFERROR(IF(A285=A284,0,SUM(_xlfn._xlws.FILTER(E285:E294,(A285:A294=A285)*(E285:E294&gt;0)))),0)</f>
        <v>0</v>
      </c>
      <c r="I285" s="1024"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22">
        <f ca="1">IFERROR(C286*D286*_xlfn.XLOOKUP(B286,TabCalc[Ticker],TabCalc[Scale]),0)</f>
        <v>132825</v>
      </c>
      <c r="F286" s="1023" cm="1">
        <f t="array" ref="F286">IF(A286=A285,0,SUM(_xlfn._xlws.FILTER(E286:E295,A286:A295=A286)))</f>
        <v>0</v>
      </c>
      <c r="G286" s="1024">
        <f>IF(F286&lt;&gt;0,SUM($F$43:F286),0)</f>
        <v>0</v>
      </c>
      <c r="H286" s="1024" cm="1">
        <f t="array" ref="H286">IFERROR(IF(A286=A285,0,SUM(_xlfn._xlws.FILTER(E286:E295,(A286:A295=A286)*(E286:E295&gt;0)))),0)</f>
        <v>0</v>
      </c>
      <c r="I286" s="1024"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22">
        <f ca="1">IFERROR(C287*D287*_xlfn.XLOOKUP(B287,TabCalc[Ticker],TabCalc[Scale]),0)</f>
        <v>132825</v>
      </c>
      <c r="F287" s="1023" cm="1">
        <f t="array" ref="F287">IF(A287=A286,0,SUM(_xlfn._xlws.FILTER(E287:E296,A287:A296=A287)))</f>
        <v>0</v>
      </c>
      <c r="G287" s="1024">
        <f>IF(F287&lt;&gt;0,SUM($F$43:F287),0)</f>
        <v>0</v>
      </c>
      <c r="H287" s="1024" cm="1">
        <f t="array" ref="H287">IFERROR(IF(A287=A286,0,SUM(_xlfn._xlws.FILTER(E287:E296,(A287:A296=A287)*(E287:E296&gt;0)))),0)</f>
        <v>0</v>
      </c>
      <c r="I287" s="1024"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22">
        <f ca="1">IFERROR(C288*D288*_xlfn.XLOOKUP(B288,TabCalc[Ticker],TabCalc[Scale]),0)</f>
        <v>45760</v>
      </c>
      <c r="F288" s="1023" cm="1">
        <f t="array" ref="F288">IF(A288=A287,0,SUM(_xlfn._xlws.FILTER(E288:E297,A288:A297=A288)))</f>
        <v>0</v>
      </c>
      <c r="G288" s="1024">
        <f>IF(F288&lt;&gt;0,SUM($F$43:F288),0)</f>
        <v>0</v>
      </c>
      <c r="H288" s="1024" cm="1">
        <f t="array" ref="H288">IFERROR(IF(A288=A287,0,SUM(_xlfn._xlws.FILTER(E288:E297,(A288:A297=A288)*(E288:E297&gt;0)))),0)</f>
        <v>0</v>
      </c>
      <c r="I288" s="1024"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22">
        <f ca="1">IFERROR(C289*D289*_xlfn.XLOOKUP(B289,TabCalc[Ticker],TabCalc[Scale]),0)</f>
        <v>37995</v>
      </c>
      <c r="F289" s="1023" cm="1">
        <f t="array" ref="F289">IF(A289=A288,0,SUM(_xlfn._xlws.FILTER(E289:E298,A289:A298=A289)))</f>
        <v>0</v>
      </c>
      <c r="G289" s="1024">
        <f>IF(F289&lt;&gt;0,SUM($F$43:F289),0)</f>
        <v>0</v>
      </c>
      <c r="H289" s="1024" cm="1">
        <f t="array" ref="H289">IFERROR(IF(A289=A288,0,SUM(_xlfn._xlws.FILTER(E289:E298,(A289:A298=A289)*(E289:E298&gt;0)))),0)</f>
        <v>0</v>
      </c>
      <c r="I289" s="1024"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22">
        <f ca="1">IFERROR(C290*D290*_xlfn.XLOOKUP(B290,TabCalc[Ticker],TabCalc[Scale]),0)</f>
        <v>19550</v>
      </c>
      <c r="F290" s="1023" cm="1">
        <f t="array" ref="F290">IF(A290=A289,0,SUM(_xlfn._xlws.FILTER(E290:E299,A290:A299=A290)))</f>
        <v>0</v>
      </c>
      <c r="G290" s="1024">
        <f>IF(F290&lt;&gt;0,SUM($F$43:F290),0)</f>
        <v>0</v>
      </c>
      <c r="H290" s="1024" cm="1">
        <f t="array" ref="H290">IFERROR(IF(A290=A289,0,SUM(_xlfn._xlws.FILTER(E290:E299,(A290:A299=A290)*(E290:E299&gt;0)))),0)</f>
        <v>0</v>
      </c>
      <c r="I290" s="1024"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22">
        <f ca="1">IFERROR(C291*D291*_xlfn.XLOOKUP(B291,TabCalc[Ticker],TabCalc[Scale]),0)</f>
        <v>124180</v>
      </c>
      <c r="F291" s="1023" cm="1">
        <f t="array" ref="F291">IF(A291=A290,0,SUM(_xlfn._xlws.FILTER(E291:E300,A291:A300=A291)))</f>
        <v>0</v>
      </c>
      <c r="G291" s="1024">
        <f>IF(F291&lt;&gt;0,SUM($F$43:F291),0)</f>
        <v>0</v>
      </c>
      <c r="H291" s="1024" cm="1">
        <f t="array" ref="H291">IFERROR(IF(A291=A290,0,SUM(_xlfn._xlws.FILTER(E291:E300,(A291:A300=A291)*(E291:E300&gt;0)))),0)</f>
        <v>0</v>
      </c>
      <c r="I291" s="1024"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22">
        <f ca="1">IFERROR(C292*D292*_xlfn.XLOOKUP(B292,TabCalc[Ticker],TabCalc[Scale]),0)</f>
        <v>31800</v>
      </c>
      <c r="F292" s="1023" cm="1">
        <f t="array" ref="F292">IF(A292=A291,0,SUM(_xlfn._xlws.FILTER(E292:E301,A292:A301=A292)))</f>
        <v>0</v>
      </c>
      <c r="G292" s="1024">
        <f>IF(F292&lt;&gt;0,SUM($F$43:F292),0)</f>
        <v>0</v>
      </c>
      <c r="H292" s="1024" cm="1">
        <f t="array" ref="H292">IFERROR(IF(A292=A291,0,SUM(_xlfn._xlws.FILTER(E292:E301,(A292:A301=A292)*(E292:E301&gt;0)))),0)</f>
        <v>0</v>
      </c>
      <c r="I292" s="1024"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22">
        <f ca="1">IFERROR(C293*D293*_xlfn.XLOOKUP(B293,TabCalc[Ticker],TabCalc[Scale]),0)</f>
        <v>-131450</v>
      </c>
      <c r="F293" s="1023" cm="1">
        <f t="array" ref="F293">IF(A293=A292,0,SUM(_xlfn._xlws.FILTER(E293:E302,A293:A302=A293)))</f>
        <v>0</v>
      </c>
      <c r="G293" s="1024">
        <f>IF(F293&lt;&gt;0,SUM($F$43:F293),0)</f>
        <v>0</v>
      </c>
      <c r="H293" s="1024" cm="1">
        <f t="array" ref="H293">IFERROR(IF(A293=A292,0,SUM(_xlfn._xlws.FILTER(E293:E302,(A293:A302=A293)*(E293:E302&gt;0)))),0)</f>
        <v>0</v>
      </c>
      <c r="I293" s="1024"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22">
        <f ca="1">IFERROR(C294*D294*_xlfn.XLOOKUP(B294,TabCalc[Ticker],TabCalc[Scale]),0)</f>
        <v>-131440</v>
      </c>
      <c r="F294" s="1023" cm="1">
        <f t="array" ref="F294">IF(A294=A293,0,SUM(_xlfn._xlws.FILTER(E294:E303,A294:A303=A294)))</f>
        <v>0</v>
      </c>
      <c r="G294" s="1024">
        <f>IF(F294&lt;&gt;0,SUM($F$43:F294),0)</f>
        <v>0</v>
      </c>
      <c r="H294" s="1024" cm="1">
        <f t="array" ref="H294">IFERROR(IF(A294=A293,0,SUM(_xlfn._xlws.FILTER(E294:E303,(A294:A303=A294)*(E294:E303&gt;0)))),0)</f>
        <v>0</v>
      </c>
      <c r="I294" s="1024"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22">
        <f ca="1">IFERROR(C295*D295*_xlfn.XLOOKUP(B295,TabCalc[Ticker],TabCalc[Scale]),0)</f>
        <v>-7824.3</v>
      </c>
      <c r="F295" s="1023" cm="1">
        <f t="array" aca="1" ref="F295" ca="1">IF(A295=A294,0,SUM(_xlfn._xlws.FILTER(E295:E304,A295:A304=A295)))</f>
        <v>-7824.3</v>
      </c>
      <c r="G295" s="1024">
        <f ca="1">IF(F295&lt;&gt;0,SUM($F$43:F295),0)</f>
        <v>-2180012.0106729995</v>
      </c>
      <c r="H295" s="1024" cm="1">
        <f t="array" aca="1" ref="H295" ca="1">IFERROR(IF(A295=A294,0,SUM(_xlfn._xlws.FILTER(E295:E304,(A295:A304=A295)*(E295:E304&gt;0)))),0)</f>
        <v>0</v>
      </c>
      <c r="I295" s="1024"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22">
        <f ca="1">IFERROR(C296*D296*_xlfn.XLOOKUP(B296,TabCalc[Ticker],TabCalc[Scale]),0)</f>
        <v>-101260</v>
      </c>
      <c r="F296" s="1023" cm="1">
        <f t="array" aca="1" ref="F296" ca="1">IF(A296=A295,0,SUM(_xlfn._xlws.FILTER(E296:E305,A296:A305=A296)))</f>
        <v>-122670</v>
      </c>
      <c r="G296" s="1024">
        <f ca="1">IF(F296&lt;&gt;0,SUM($F$43:F296),0)</f>
        <v>-2302682.0106729995</v>
      </c>
      <c r="H296" s="1024" cm="1">
        <f t="array" aca="1" ref="H296" ca="1">IFERROR(IF(A296=A295,0,SUM(_xlfn._xlws.FILTER(E296:E305,(A296:A305=A296)*(E296:E305&gt;0)))),0)</f>
        <v>47470</v>
      </c>
      <c r="I296" s="1024"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22">
        <f ca="1">IFERROR(C297*D297*_xlfn.XLOOKUP(B297,TabCalc[Ticker],TabCalc[Scale]),0)</f>
        <v>-68880</v>
      </c>
      <c r="F297" s="1023" cm="1">
        <f t="array" ref="F297">IF(A297=A296,0,SUM(_xlfn._xlws.FILTER(E297:E306,A297:A306=A297)))</f>
        <v>0</v>
      </c>
      <c r="G297" s="1024">
        <f>IF(F297&lt;&gt;0,SUM($F$43:F297),0)</f>
        <v>0</v>
      </c>
      <c r="H297" s="1024" cm="1">
        <f t="array" ref="H297">IFERROR(IF(A297=A296,0,SUM(_xlfn._xlws.FILTER(E297:E306,(A297:A306=A297)*(E297:E306&gt;0)))),0)</f>
        <v>0</v>
      </c>
      <c r="I297" s="1024"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22">
        <f ca="1">IFERROR(C298*D298*_xlfn.XLOOKUP(B298,TabCalc[Ticker],TabCalc[Scale]),0)</f>
        <v>47470</v>
      </c>
      <c r="F298" s="1023" cm="1">
        <f t="array" ref="F298">IF(A298=A297,0,SUM(_xlfn._xlws.FILTER(E298:E307,A298:A307=A298)))</f>
        <v>0</v>
      </c>
      <c r="G298" s="1024">
        <f>IF(F298&lt;&gt;0,SUM($F$43:F298),0)</f>
        <v>0</v>
      </c>
      <c r="H298" s="1024" cm="1">
        <f t="array" ref="H298">IFERROR(IF(A298=A297,0,SUM(_xlfn._xlws.FILTER(E298:E307,(A298:A307=A298)*(E298:E307&gt;0)))),0)</f>
        <v>0</v>
      </c>
      <c r="I298" s="1024"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22">
        <f ca="1">IFERROR(C299*D299*_xlfn.XLOOKUP(B299,TabCalc[Ticker],TabCalc[Scale]),0)</f>
        <v>-18375</v>
      </c>
      <c r="F299" s="1023" cm="1">
        <f t="array" aca="1" ref="F299" ca="1">IF(A299=A298,0,SUM(_xlfn._xlws.FILTER(E299:E308,A299:A308=A299)))</f>
        <v>-176524</v>
      </c>
      <c r="G299" s="1024">
        <f ca="1">IF(F299&lt;&gt;0,SUM($F$43:F299),0)</f>
        <v>-2479206.0106729995</v>
      </c>
      <c r="H299" s="1024" cm="1">
        <f t="array" aca="1" ref="H299" ca="1">IFERROR(IF(A299=A298,0,SUM(_xlfn._xlws.FILTER(E299:E308,(A299:A308=A299)*(E299:E308&gt;0)))),0)</f>
        <v>0</v>
      </c>
      <c r="I299" s="1024"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22">
        <f ca="1">IFERROR(C300*D300*_xlfn.XLOOKUP(B300,TabCalc[Ticker],TabCalc[Scale]),0)</f>
        <v>-29460</v>
      </c>
      <c r="F300" s="1023" cm="1">
        <f t="array" ref="F300">IF(A300=A299,0,SUM(_xlfn._xlws.FILTER(E300:E309,A300:A309=A300)))</f>
        <v>0</v>
      </c>
      <c r="G300" s="1024">
        <f>IF(F300&lt;&gt;0,SUM($F$43:F300),0)</f>
        <v>0</v>
      </c>
      <c r="H300" s="1024" cm="1">
        <f t="array" ref="H300">IFERROR(IF(A300=A299,0,SUM(_xlfn._xlws.FILTER(E300:E309,(A300:A309=A300)*(E300:E309&gt;0)))),0)</f>
        <v>0</v>
      </c>
      <c r="I300" s="1024"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22">
        <f ca="1">IFERROR(C301*D301*_xlfn.XLOOKUP(B301,TabCalc[Ticker],TabCalc[Scale]),0)</f>
        <v>-38200</v>
      </c>
      <c r="F301" s="1023" cm="1">
        <f t="array" ref="F301">IF(A301=A300,0,SUM(_xlfn._xlws.FILTER(E301:E310,A301:A310=A301)))</f>
        <v>0</v>
      </c>
      <c r="G301" s="1024">
        <f>IF(F301&lt;&gt;0,SUM($F$43:F301),0)</f>
        <v>0</v>
      </c>
      <c r="H301" s="1024" cm="1">
        <f t="array" ref="H301">IFERROR(IF(A301=A300,0,SUM(_xlfn._xlws.FILTER(E301:E310,(A301:A310=A301)*(E301:E310&gt;0)))),0)</f>
        <v>0</v>
      </c>
      <c r="I301" s="1024"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22">
        <f ca="1">IFERROR(C302*D302*_xlfn.XLOOKUP(B302,TabCalc[Ticker],TabCalc[Scale]),0)</f>
        <v>-40509</v>
      </c>
      <c r="F302" s="1023" cm="1">
        <f t="array" ref="F302">IF(A302=A301,0,SUM(_xlfn._xlws.FILTER(E302:E311,A302:A311=A302)))</f>
        <v>0</v>
      </c>
      <c r="G302" s="1024">
        <f>IF(F302&lt;&gt;0,SUM($F$43:F302),0)</f>
        <v>0</v>
      </c>
      <c r="H302" s="1024" cm="1">
        <f t="array" ref="H302">IFERROR(IF(A302=A301,0,SUM(_xlfn._xlws.FILTER(E302:E311,(A302:A311=A302)*(E302:E311&gt;0)))),0)</f>
        <v>0</v>
      </c>
      <c r="I302" s="1024"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22">
        <f ca="1">IFERROR(C303*D303*_xlfn.XLOOKUP(B303,TabCalc[Ticker],TabCalc[Scale]),0)</f>
        <v>-49980</v>
      </c>
      <c r="F303" s="1023" cm="1">
        <f t="array" ref="F303">IF(A303=A302,0,SUM(_xlfn._xlws.FILTER(E303:E312,A303:A312=A303)))</f>
        <v>0</v>
      </c>
      <c r="G303" s="1024">
        <f>IF(F303&lt;&gt;0,SUM($F$43:F303),0)</f>
        <v>0</v>
      </c>
      <c r="H303" s="1024" cm="1">
        <f t="array" ref="H303">IFERROR(IF(A303=A302,0,SUM(_xlfn._xlws.FILTER(E303:E312,(A303:A312=A303)*(E303:E312&gt;0)))),0)</f>
        <v>0</v>
      </c>
      <c r="I303" s="1024"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22">
        <f ca="1">IFERROR(C304*D304*_xlfn.XLOOKUP(B304,TabCalc[Ticker],TabCalc[Scale]),0)</f>
        <v>126600</v>
      </c>
      <c r="F304" s="1023" cm="1">
        <f t="array" aca="1" ref="F304" ca="1">IF(A304=A303,0,SUM(_xlfn._xlws.FILTER(E304:E313,A304:A313=A304)))</f>
        <v>155430</v>
      </c>
      <c r="G304" s="1024">
        <f ca="1">IF(F304&lt;&gt;0,SUM($F$43:F304),0)</f>
        <v>-2323776.0106729995</v>
      </c>
      <c r="H304" s="1024" cm="1">
        <f t="array" aca="1" ref="H304" ca="1">IFERROR(IF(A304=A303,0,SUM(_xlfn._xlws.FILTER(E304:E313,(A304:A313=A304)*(E304:E313&gt;0)))),0)</f>
        <v>155430</v>
      </c>
      <c r="I304" s="1024"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22">
        <f ca="1">IFERROR(C305*D305*_xlfn.XLOOKUP(B305,TabCalc[Ticker],TabCalc[Scale]),0)</f>
        <v>28830</v>
      </c>
      <c r="F305" s="1023" cm="1">
        <f t="array" ref="F305">IF(A305=A304,0,SUM(_xlfn._xlws.FILTER(E305:E314,A305:A314=A305)))</f>
        <v>0</v>
      </c>
      <c r="G305" s="1024">
        <f>IF(F305&lt;&gt;0,SUM($F$43:F305),0)</f>
        <v>0</v>
      </c>
      <c r="H305" s="1024" cm="1">
        <f t="array" ref="H305">IFERROR(IF(A305=A304,0,SUM(_xlfn._xlws.FILTER(E305:E314,(A305:A314=A305)*(E305:E314&gt;0)))),0)</f>
        <v>0</v>
      </c>
      <c r="I305" s="1024"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22">
        <f ca="1">IFERROR(C306*D306*_xlfn.XLOOKUP(B306,TabCalc[Ticker],TabCalc[Scale]),0)</f>
        <v>97956</v>
      </c>
      <c r="F306" s="1023" cm="1">
        <f t="array" aca="1" ref="F306" ca="1">IF(A306=A305,0,SUM(_xlfn._xlws.FILTER(E306:E315,A306:A315=A306)))</f>
        <v>97956</v>
      </c>
      <c r="G306" s="1024">
        <f ca="1">IF(F306&lt;&gt;0,SUM($F$43:F306),0)</f>
        <v>-2225820.0106729995</v>
      </c>
      <c r="H306" s="1024" cm="1">
        <f t="array" aca="1" ref="H306" ca="1">IFERROR(IF(A306=A305,0,SUM(_xlfn._xlws.FILTER(E306:E315,(A306:A315=A306)*(E306:E315&gt;0)))),0)</f>
        <v>97956</v>
      </c>
      <c r="I306" s="1024"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22">
        <f ca="1">IFERROR(C307*D307*_xlfn.XLOOKUP(B307,TabCalc[Ticker],TabCalc[Scale]),0)</f>
        <v>-206730</v>
      </c>
      <c r="F307" s="1023" cm="1">
        <f t="array" aca="1" ref="F307" ca="1">IF(A307=A306,0,SUM(_xlfn._xlws.FILTER(E307:E316,A307:A316=A307)))</f>
        <v>-377242.5</v>
      </c>
      <c r="G307" s="1024">
        <f ca="1">IF(F307&lt;&gt;0,SUM($F$43:F307),0)</f>
        <v>-2603062.5106729995</v>
      </c>
      <c r="H307" s="1024" cm="1">
        <f t="array" aca="1" ref="H307" ca="1">IFERROR(IF(A307=A306,0,SUM(_xlfn._xlws.FILTER(E307:E316,(A307:A316=A307)*(E307:E316&gt;0)))),0)</f>
        <v>33585</v>
      </c>
      <c r="I307" s="1024"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22">
        <f ca="1">IFERROR(C308*D308*_xlfn.XLOOKUP(B308,TabCalc[Ticker],TabCalc[Scale]),0)</f>
        <v>-204097.5</v>
      </c>
      <c r="F308" s="1023" cm="1">
        <f t="array" ref="F308">IF(A308=A307,0,SUM(_xlfn._xlws.FILTER(E308:E317,A308:A317=A308)))</f>
        <v>0</v>
      </c>
      <c r="G308" s="1024">
        <f>IF(F308&lt;&gt;0,SUM($F$43:F308),0)</f>
        <v>0</v>
      </c>
      <c r="H308" s="1024" cm="1">
        <f t="array" ref="H308">IFERROR(IF(A308=A307,0,SUM(_xlfn._xlws.FILTER(E308:E317,(A308:A317=A308)*(E308:E317&gt;0)))),0)</f>
        <v>0</v>
      </c>
      <c r="I308" s="1024"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22">
        <f ca="1">IFERROR(C309*D309*_xlfn.XLOOKUP(B309,TabCalc[Ticker],TabCalc[Scale]),0)</f>
        <v>33585</v>
      </c>
      <c r="F309" s="1023" cm="1">
        <f t="array" ref="F309">IF(A309=A308,0,SUM(_xlfn._xlws.FILTER(E309:E318,A309:A318=A309)))</f>
        <v>0</v>
      </c>
      <c r="G309" s="1024">
        <f>IF(F309&lt;&gt;0,SUM($F$43:F309),0)</f>
        <v>0</v>
      </c>
      <c r="H309" s="1024" cm="1">
        <f t="array" ref="H309">IFERROR(IF(A309=A308,0,SUM(_xlfn._xlws.FILTER(E309:E318,(A309:A318=A309)*(E309:E318&gt;0)))),0)</f>
        <v>0</v>
      </c>
      <c r="I309" s="1024"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22">
        <f ca="1">IFERROR(C310*D310*_xlfn.XLOOKUP(B310,TabCalc[Ticker],TabCalc[Scale]),0)</f>
        <v>45004.399999999994</v>
      </c>
      <c r="F310" s="1023" cm="1">
        <f t="array" aca="1" ref="F310" ca="1">IF(A310=A309,0,SUM(_xlfn._xlws.FILTER(E310:E319,A310:A319=A310)))</f>
        <v>656424.55000000005</v>
      </c>
      <c r="G310" s="1024">
        <f ca="1">IF(F310&lt;&gt;0,SUM($F$43:F310),0)</f>
        <v>-1946637.9606729995</v>
      </c>
      <c r="H310" s="1024" cm="1">
        <f t="array" aca="1" ref="H310" ca="1">IFERROR(IF(A310=A309,0,SUM(_xlfn._xlws.FILTER(E310:E319,(A310:A319=A310)*(E310:E319&gt;0)))),0)</f>
        <v>656424.55000000005</v>
      </c>
      <c r="I310" s="1024"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22">
        <f ca="1">IFERROR(C311*D311*_xlfn.XLOOKUP(B311,TabCalc[Ticker],TabCalc[Scale]),0)</f>
        <v>73815</v>
      </c>
      <c r="F311" s="1023" cm="1">
        <f t="array" ref="F311">IF(A311=A310,0,SUM(_xlfn._xlws.FILTER(E311:E320,A311:A320=A311)))</f>
        <v>0</v>
      </c>
      <c r="G311" s="1024">
        <f>IF(F311&lt;&gt;0,SUM($F$43:F311),0)</f>
        <v>0</v>
      </c>
      <c r="H311" s="1024" cm="1">
        <f t="array" ref="H311">IFERROR(IF(A311=A310,0,SUM(_xlfn._xlws.FILTER(E311:E320,(A311:A320=A311)*(E311:E320&gt;0)))),0)</f>
        <v>0</v>
      </c>
      <c r="I311" s="1024"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22">
        <f ca="1">IFERROR(C312*D312*_xlfn.XLOOKUP(B312,TabCalc[Ticker],TabCalc[Scale]),0)</f>
        <v>48360</v>
      </c>
      <c r="F312" s="1023" cm="1">
        <f t="array" ref="F312">IF(A312=A311,0,SUM(_xlfn._xlws.FILTER(E312:E321,A312:A321=A312)))</f>
        <v>0</v>
      </c>
      <c r="G312" s="1024">
        <f>IF(F312&lt;&gt;0,SUM($F$43:F312),0)</f>
        <v>0</v>
      </c>
      <c r="H312" s="1024" cm="1">
        <f t="array" ref="H312">IFERROR(IF(A312=A311,0,SUM(_xlfn._xlws.FILTER(E312:E321,(A312:A321=A312)*(E312:E321&gt;0)))),0)</f>
        <v>0</v>
      </c>
      <c r="I312" s="1024"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22">
        <f ca="1">IFERROR(C313*D313*_xlfn.XLOOKUP(B313,TabCalc[Ticker],TabCalc[Scale]),0)</f>
        <v>131937.5</v>
      </c>
      <c r="F313" s="1023" cm="1">
        <f t="array" ref="F313">IF(A313=A312,0,SUM(_xlfn._xlws.FILTER(E313:E322,A313:A322=A313)))</f>
        <v>0</v>
      </c>
      <c r="G313" s="1024">
        <f>IF(F313&lt;&gt;0,SUM($F$43:F313),0)</f>
        <v>0</v>
      </c>
      <c r="H313" s="1024" cm="1">
        <f t="array" ref="H313">IFERROR(IF(A313=A312,0,SUM(_xlfn._xlws.FILTER(E313:E322,(A313:A322=A313)*(E313:E322&gt;0)))),0)</f>
        <v>0</v>
      </c>
      <c r="I313" s="1024"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22">
        <f ca="1">IFERROR(C314*D314*_xlfn.XLOOKUP(B314,TabCalc[Ticker],TabCalc[Scale]),0)</f>
        <v>131900</v>
      </c>
      <c r="F314" s="1023" cm="1">
        <f t="array" ref="F314">IF(A314=A313,0,SUM(_xlfn._xlws.FILTER(E314:E323,A314:A323=A314)))</f>
        <v>0</v>
      </c>
      <c r="G314" s="1024">
        <f>IF(F314&lt;&gt;0,SUM($F$43:F314),0)</f>
        <v>0</v>
      </c>
      <c r="H314" s="1024" cm="1">
        <f t="array" ref="H314">IFERROR(IF(A314=A313,0,SUM(_xlfn._xlws.FILTER(E314:E323,(A314:A323=A314)*(E314:E323&gt;0)))),0)</f>
        <v>0</v>
      </c>
      <c r="I314" s="1024"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22">
        <f ca="1">IFERROR(C315*D315*_xlfn.XLOOKUP(B315,TabCalc[Ticker],TabCalc[Scale]),0)</f>
        <v>30442</v>
      </c>
      <c r="F315" s="1023" cm="1">
        <f t="array" ref="F315">IF(A315=A314,0,SUM(_xlfn._xlws.FILTER(E315:E324,A315:A324=A315)))</f>
        <v>0</v>
      </c>
      <c r="G315" s="1024">
        <f>IF(F315&lt;&gt;0,SUM($F$43:F315),0)</f>
        <v>0</v>
      </c>
      <c r="H315" s="1024" cm="1">
        <f t="array" ref="H315">IFERROR(IF(A315=A314,0,SUM(_xlfn._xlws.FILTER(E315:E324,(A315:A324=A315)*(E315:E324&gt;0)))),0)</f>
        <v>0</v>
      </c>
      <c r="I315" s="1024"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22">
        <f ca="1">IFERROR(C316*D316*_xlfn.XLOOKUP(B316,TabCalc[Ticker],TabCalc[Scale]),0)</f>
        <v>29095</v>
      </c>
      <c r="F316" s="1023" cm="1">
        <f t="array" ref="F316">IF(A316=A315,0,SUM(_xlfn._xlws.FILTER(E316:E325,A316:A325=A316)))</f>
        <v>0</v>
      </c>
      <c r="G316" s="1024">
        <f>IF(F316&lt;&gt;0,SUM($F$43:F316),0)</f>
        <v>0</v>
      </c>
      <c r="H316" s="1024" cm="1">
        <f t="array" ref="H316">IFERROR(IF(A316=A315,0,SUM(_xlfn._xlws.FILTER(E316:E325,(A316:A325=A316)*(E316:E325&gt;0)))),0)</f>
        <v>0</v>
      </c>
      <c r="I316" s="1024"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22">
        <f ca="1">IFERROR(C317*D317*_xlfn.XLOOKUP(B317,TabCalc[Ticker],TabCalc[Scale]),0)</f>
        <v>47051.25</v>
      </c>
      <c r="F317" s="1023" cm="1">
        <f t="array" ref="F317">IF(A317=A316,0,SUM(_xlfn._xlws.FILTER(E317:E326,A317:A326=A317)))</f>
        <v>0</v>
      </c>
      <c r="G317" s="1024">
        <f>IF(F317&lt;&gt;0,SUM($F$43:F317),0)</f>
        <v>0</v>
      </c>
      <c r="H317" s="1024" cm="1">
        <f t="array" ref="H317">IFERROR(IF(A317=A316,0,SUM(_xlfn._xlws.FILTER(E317:E326,(A317:A326=A317)*(E317:E326&gt;0)))),0)</f>
        <v>0</v>
      </c>
      <c r="I317" s="1024"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22">
        <f ca="1">IFERROR(C318*D318*_xlfn.XLOOKUP(B318,TabCalc[Ticker],TabCalc[Scale]),0)</f>
        <v>45004.399999999994</v>
      </c>
      <c r="F318" s="1023" cm="1">
        <f t="array" ref="F318">IF(A318=A317,0,SUM(_xlfn._xlws.FILTER(E318:E327,A318:A327=A318)))</f>
        <v>0</v>
      </c>
      <c r="G318" s="1024">
        <f>IF(F318&lt;&gt;0,SUM($F$43:F318),0)</f>
        <v>0</v>
      </c>
      <c r="H318" s="1024" cm="1">
        <f t="array" ref="H318">IFERROR(IF(A318=A317,0,SUM(_xlfn._xlws.FILTER(E318:E327,(A318:A327=A318)*(E318:E327&gt;0)))),0)</f>
        <v>0</v>
      </c>
      <c r="I318" s="1024"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22">
        <f ca="1">IFERROR(C319*D319*_xlfn.XLOOKUP(B319,TabCalc[Ticker],TabCalc[Scale]),0)</f>
        <v>73815</v>
      </c>
      <c r="F319" s="1023" cm="1">
        <f t="array" ref="F319">IF(A319=A318,0,SUM(_xlfn._xlws.FILTER(E319:E328,A319:A328=A319)))</f>
        <v>0</v>
      </c>
      <c r="G319" s="1024">
        <f>IF(F319&lt;&gt;0,SUM($F$43:F319),0)</f>
        <v>0</v>
      </c>
      <c r="H319" s="1024" cm="1">
        <f t="array" ref="H319">IFERROR(IF(A319=A318,0,SUM(_xlfn._xlws.FILTER(E319:E328,(A319:A328=A319)*(E319:E328&gt;0)))),0)</f>
        <v>0</v>
      </c>
      <c r="I319" s="1024"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22">
        <f ca="1">IFERROR(C320*D320*_xlfn.XLOOKUP(B320,TabCalc[Ticker],TabCalc[Scale]),0)</f>
        <v>48360</v>
      </c>
      <c r="F320" s="1023" cm="1">
        <f t="array" ref="F320">IF(A320=A319,0,SUM(_xlfn._xlws.FILTER(E320:E329,A320:A329=A320)))</f>
        <v>0</v>
      </c>
      <c r="G320" s="1024">
        <f>IF(F320&lt;&gt;0,SUM($F$43:F320),0)</f>
        <v>0</v>
      </c>
      <c r="H320" s="1024" cm="1">
        <f t="array" ref="H320">IFERROR(IF(A320=A319,0,SUM(_xlfn._xlws.FILTER(E320:E329,(A320:A329=A320)*(E320:E329&gt;0)))),0)</f>
        <v>0</v>
      </c>
      <c r="I320" s="1024"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22">
        <f ca="1">IFERROR(C321*D321*_xlfn.XLOOKUP(B321,TabCalc[Ticker],TabCalc[Scale]),0)</f>
        <v>131937.5</v>
      </c>
      <c r="F321" s="1023" cm="1">
        <f t="array" ref="F321">IF(A321=A320,0,SUM(_xlfn._xlws.FILTER(E321:E330,A321:A330=A321)))</f>
        <v>0</v>
      </c>
      <c r="G321" s="1024">
        <f>IF(F321&lt;&gt;0,SUM($F$43:F321),0)</f>
        <v>0</v>
      </c>
      <c r="H321" s="1024" cm="1">
        <f t="array" ref="H321">IFERROR(IF(A321=A320,0,SUM(_xlfn._xlws.FILTER(E321:E330,(A321:A330=A321)*(E321:E330&gt;0)))),0)</f>
        <v>0</v>
      </c>
      <c r="I321" s="1024"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22">
        <f ca="1">IFERROR(C322*D322*_xlfn.XLOOKUP(B322,TabCalc[Ticker],TabCalc[Scale]),0)</f>
        <v>131900</v>
      </c>
      <c r="F322" s="1023" cm="1">
        <f t="array" ref="F322">IF(A322=A321,0,SUM(_xlfn._xlws.FILTER(E322:E331,A322:A331=A322)))</f>
        <v>0</v>
      </c>
      <c r="G322" s="1024">
        <f>IF(F322&lt;&gt;0,SUM($F$43:F322),0)</f>
        <v>0</v>
      </c>
      <c r="H322" s="1024" cm="1">
        <f t="array" ref="H322">IFERROR(IF(A322=A321,0,SUM(_xlfn._xlws.FILTER(E322:E331,(A322:A331=A322)*(E322:E331&gt;0)))),0)</f>
        <v>0</v>
      </c>
      <c r="I322" s="1024"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22">
        <f ca="1">IFERROR(C323*D323*_xlfn.XLOOKUP(B323,TabCalc[Ticker],TabCalc[Scale]),0)</f>
        <v>30442</v>
      </c>
      <c r="F323" s="1023" cm="1">
        <f t="array" ref="F323">IF(A323=A322,0,SUM(_xlfn._xlws.FILTER(E323:E332,A323:A332=A323)))</f>
        <v>0</v>
      </c>
      <c r="G323" s="1024">
        <f>IF(F323&lt;&gt;0,SUM($F$43:F323),0)</f>
        <v>0</v>
      </c>
      <c r="H323" s="1024" cm="1">
        <f t="array" ref="H323">IFERROR(IF(A323=A322,0,SUM(_xlfn._xlws.FILTER(E323:E332,(A323:A332=A323)*(E323:E332&gt;0)))),0)</f>
        <v>0</v>
      </c>
      <c r="I323" s="1024"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22">
        <f ca="1">IFERROR(C324*D324*_xlfn.XLOOKUP(B324,TabCalc[Ticker],TabCalc[Scale]),0)</f>
        <v>29095</v>
      </c>
      <c r="F324" s="1023" cm="1">
        <f t="array" ref="F324">IF(A324=A323,0,SUM(_xlfn._xlws.FILTER(E324:E333,A324:A333=A324)))</f>
        <v>0</v>
      </c>
      <c r="G324" s="1024">
        <f>IF(F324&lt;&gt;0,SUM($F$43:F324),0)</f>
        <v>0</v>
      </c>
      <c r="H324" s="1024" cm="1">
        <f t="array" ref="H324">IFERROR(IF(A324=A323,0,SUM(_xlfn._xlws.FILTER(E324:E333,(A324:A333=A324)*(E324:E333&gt;0)))),0)</f>
        <v>0</v>
      </c>
      <c r="I324" s="1024"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22">
        <f ca="1">IFERROR(C325*D325*_xlfn.XLOOKUP(B325,TabCalc[Ticker],TabCalc[Scale]),0)</f>
        <v>47051.25</v>
      </c>
      <c r="F325" s="1023" cm="1">
        <f t="array" ref="F325">IF(A325=A324,0,SUM(_xlfn._xlws.FILTER(E325:E334,A325:A334=A325)))</f>
        <v>0</v>
      </c>
      <c r="G325" s="1024">
        <f>IF(F325&lt;&gt;0,SUM($F$43:F325),0)</f>
        <v>0</v>
      </c>
      <c r="H325" s="1024" cm="1">
        <f t="array" ref="H325">IFERROR(IF(A325=A324,0,SUM(_xlfn._xlws.FILTER(E325:E334,(A325:A334=A325)*(E325:E334&gt;0)))),0)</f>
        <v>0</v>
      </c>
      <c r="I325" s="1024"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22">
        <f ca="1">IFERROR(C326*D326*_xlfn.XLOOKUP(B326,TabCalc[Ticker],TabCalc[Scale]),0)</f>
        <v>39900</v>
      </c>
      <c r="F326" s="1023" cm="1">
        <f t="array" aca="1" ref="F326" ca="1">IF(A326=A325,0,SUM(_xlfn._xlws.FILTER(E326:E335,A326:A335=A326)))</f>
        <v>39900</v>
      </c>
      <c r="G326" s="1024">
        <f ca="1">IF(F326&lt;&gt;0,SUM($F$43:F326),0)</f>
        <v>-1906737.9606729995</v>
      </c>
      <c r="H326" s="1024" cm="1">
        <f t="array" aca="1" ref="H326" ca="1">IFERROR(IF(A326=A325,0,SUM(_xlfn._xlws.FILTER(E326:E335,(A326:A335=A326)*(E326:E335&gt;0)))),0)</f>
        <v>39900</v>
      </c>
      <c r="I326" s="1024"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22">
        <f ca="1">IFERROR(C327*D327*_xlfn.XLOOKUP(B327,TabCalc[Ticker],TabCalc[Scale]),0)</f>
        <v>46642.539000000004</v>
      </c>
      <c r="F327" s="1023" cm="1">
        <f t="array" aca="1" ref="F327" ca="1">IF(A327=A326,0,SUM(_xlfn._xlws.FILTER(E327:E336,A327:A336=A327)))</f>
        <v>-151472.96100000001</v>
      </c>
      <c r="G327" s="1024">
        <f ca="1">IF(F327&lt;&gt;0,SUM($F$43:F327),0)</f>
        <v>-2058210.9216729994</v>
      </c>
      <c r="H327" s="1024" cm="1">
        <f t="array" aca="1" ref="H327" ca="1">IFERROR(IF(A327=A326,0,SUM(_xlfn._xlws.FILTER(E327:E336,(A327:A336=A327)*(E327:E336&gt;0)))),0)</f>
        <v>244418.03899999999</v>
      </c>
      <c r="I327" s="1024"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22">
        <f ca="1">IFERROR(C328*D328*_xlfn.XLOOKUP(B328,TabCalc[Ticker],TabCalc[Scale]),0)</f>
        <v>104591.5</v>
      </c>
      <c r="F328" s="1023" cm="1">
        <f t="array" ref="F328">IF(A328=A327,0,SUM(_xlfn._xlws.FILTER(E328:E337,A328:A337=A328)))</f>
        <v>0</v>
      </c>
      <c r="G328" s="1024">
        <f>IF(F328&lt;&gt;0,SUM($F$43:F328),0)</f>
        <v>0</v>
      </c>
      <c r="H328" s="1024" cm="1">
        <f t="array" ref="H328">IFERROR(IF(A328=A327,0,SUM(_xlfn._xlws.FILTER(E328:E337,(A328:A337=A328)*(E328:E337&gt;0)))),0)</f>
        <v>0</v>
      </c>
      <c r="I328" s="1024"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22">
        <f ca="1">IFERROR(C329*D329*_xlfn.XLOOKUP(B329,TabCalc[Ticker],TabCalc[Scale]),0)</f>
        <v>45964</v>
      </c>
      <c r="F329" s="1023" cm="1">
        <f t="array" ref="F329">IF(A329=A328,0,SUM(_xlfn._xlws.FILTER(E329:E338,A329:A338=A329)))</f>
        <v>0</v>
      </c>
      <c r="G329" s="1024">
        <f>IF(F329&lt;&gt;0,SUM($F$43:F329),0)</f>
        <v>0</v>
      </c>
      <c r="H329" s="1024" cm="1">
        <f t="array" ref="H329">IFERROR(IF(A329=A328,0,SUM(_xlfn._xlws.FILTER(E329:E338,(A329:A338=A329)*(E329:E338&gt;0)))),0)</f>
        <v>0</v>
      </c>
      <c r="I329" s="1024"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22">
        <f ca="1">IFERROR(C330*D330*_xlfn.XLOOKUP(B330,TabCalc[Ticker],TabCalc[Scale]),0)</f>
        <v>-128200</v>
      </c>
      <c r="F330" s="1023" cm="1">
        <f t="array" ref="F330">IF(A330=A329,0,SUM(_xlfn._xlws.FILTER(E330:E339,A330:A339=A330)))</f>
        <v>0</v>
      </c>
      <c r="G330" s="1024">
        <f>IF(F330&lt;&gt;0,SUM($F$43:F330),0)</f>
        <v>0</v>
      </c>
      <c r="H330" s="1024" cm="1">
        <f t="array" ref="H330">IFERROR(IF(A330=A329,0,SUM(_xlfn._xlws.FILTER(E330:E339,(A330:A339=A330)*(E330:E339&gt;0)))),0)</f>
        <v>0</v>
      </c>
      <c r="I330" s="1024"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22">
        <f ca="1">IFERROR(C331*D331*_xlfn.XLOOKUP(B331,TabCalc[Ticker],TabCalc[Scale]),0)</f>
        <v>-128479.99999999999</v>
      </c>
      <c r="F331" s="1023" cm="1">
        <f t="array" ref="F331">IF(A331=A330,0,SUM(_xlfn._xlws.FILTER(E331:E340,A331:A340=A331)))</f>
        <v>0</v>
      </c>
      <c r="G331" s="1024">
        <f>IF(F331&lt;&gt;0,SUM($F$43:F331),0)</f>
        <v>0</v>
      </c>
      <c r="H331" s="1024" cm="1">
        <f t="array" ref="H331">IFERROR(IF(A331=A330,0,SUM(_xlfn._xlws.FILTER(E331:E340,(A331:A340=A331)*(E331:E340&gt;0)))),0)</f>
        <v>0</v>
      </c>
      <c r="I331" s="1024"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22">
        <f ca="1">IFERROR(C332*D332*_xlfn.XLOOKUP(B332,TabCalc[Ticker],TabCalc[Scale]),0)</f>
        <v>-31701</v>
      </c>
      <c r="F332" s="1023" cm="1">
        <f t="array" ref="F332">IF(A332=A331,0,SUM(_xlfn._xlws.FILTER(E332:E341,A332:A341=A332)))</f>
        <v>0</v>
      </c>
      <c r="G332" s="1024">
        <f>IF(F332&lt;&gt;0,SUM($F$43:F332),0)</f>
        <v>0</v>
      </c>
      <c r="H332" s="1024" cm="1">
        <f t="array" ref="H332">IFERROR(IF(A332=A331,0,SUM(_xlfn._xlws.FILTER(E332:E341,(A332:A341=A332)*(E332:E341&gt;0)))),0)</f>
        <v>0</v>
      </c>
      <c r="I332" s="1024"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22">
        <f ca="1">IFERROR(C333*D333*_xlfn.XLOOKUP(B333,TabCalc[Ticker],TabCalc[Scale]),0)</f>
        <v>-66360</v>
      </c>
      <c r="F333" s="1023" cm="1">
        <f t="array" ref="F333">IF(A333=A332,0,SUM(_xlfn._xlws.FILTER(E333:E342,A333:A342=A333)))</f>
        <v>0</v>
      </c>
      <c r="G333" s="1024">
        <f>IF(F333&lt;&gt;0,SUM($F$43:F333),0)</f>
        <v>0</v>
      </c>
      <c r="H333" s="1024" cm="1">
        <f t="array" ref="H333">IFERROR(IF(A333=A332,0,SUM(_xlfn._xlws.FILTER(E333:E342,(A333:A342=A333)*(E333:E342&gt;0)))),0)</f>
        <v>0</v>
      </c>
      <c r="I333" s="1024"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22">
        <f ca="1">IFERROR(C334*D334*_xlfn.XLOOKUP(B334,TabCalc[Ticker],TabCalc[Scale]),0)</f>
        <v>-41150</v>
      </c>
      <c r="F334" s="1023" cm="1">
        <f t="array" ref="F334">IF(A334=A333,0,SUM(_xlfn._xlws.FILTER(E334:E343,A334:A343=A334)))</f>
        <v>0</v>
      </c>
      <c r="G334" s="1024">
        <f>IF(F334&lt;&gt;0,SUM($F$43:F334),0)</f>
        <v>0</v>
      </c>
      <c r="H334" s="1024" cm="1">
        <f t="array" ref="H334">IFERROR(IF(A334=A333,0,SUM(_xlfn._xlws.FILTER(E334:E343,(A334:A343=A334)*(E334:E343&gt;0)))),0)</f>
        <v>0</v>
      </c>
      <c r="I334" s="1024"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22">
        <f ca="1">IFERROR(C335*D335*_xlfn.XLOOKUP(B335,TabCalc[Ticker],TabCalc[Scale]),0)</f>
        <v>47220</v>
      </c>
      <c r="F335" s="1023" cm="1">
        <f t="array" ref="F335">IF(A335=A334,0,SUM(_xlfn._xlws.FILTER(E335:E344,A335:A344=A335)))</f>
        <v>0</v>
      </c>
      <c r="G335" s="1024">
        <f>IF(F335&lt;&gt;0,SUM($F$43:F335),0)</f>
        <v>0</v>
      </c>
      <c r="H335" s="1024" cm="1">
        <f t="array" ref="H335">IFERROR(IF(A335=A334,0,SUM(_xlfn._xlws.FILTER(E335:E344,(A335:A344=A335)*(E335:E344&gt;0)))),0)</f>
        <v>0</v>
      </c>
      <c r="I335" s="1024"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22">
        <f ca="1">IFERROR(C336*D336*_xlfn.XLOOKUP(B336,TabCalc[Ticker],TabCalc[Scale]),0)</f>
        <v>133560</v>
      </c>
      <c r="F336" s="1023" cm="1">
        <f t="array" aca="1" ref="F336" ca="1">IF(A336=A335,0,SUM(_xlfn._xlws.FILTER(E336:E345,A336:A345=A336)))</f>
        <v>133560</v>
      </c>
      <c r="G336" s="1024">
        <f ca="1">IF(F336&lt;&gt;0,SUM($F$43:F336),0)</f>
        <v>-1924650.9216729994</v>
      </c>
      <c r="H336" s="1024" cm="1">
        <f t="array" aca="1" ref="H336" ca="1">IFERROR(IF(A336=A335,0,SUM(_xlfn._xlws.FILTER(E336:E345,(A336:A345=A336)*(E336:E345&gt;0)))),0)</f>
        <v>133560</v>
      </c>
      <c r="I336" s="1024"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22">
        <f ca="1">IFERROR(C337*D337*_xlfn.XLOOKUP(B337,TabCalc[Ticker],TabCalc[Scale]),0)</f>
        <v>-24420</v>
      </c>
      <c r="F337" s="1023" cm="1">
        <f t="array" aca="1" ref="F337" ca="1">IF(A337=A336,0,SUM(_xlfn._xlws.FILTER(E337:E346,A337:A346=A337)))</f>
        <v>137812.25</v>
      </c>
      <c r="G337" s="1024">
        <f ca="1">IF(F337&lt;&gt;0,SUM($F$43:F337),0)</f>
        <v>-1786838.6716729994</v>
      </c>
      <c r="H337" s="1024" cm="1">
        <f t="array" aca="1" ref="H337" ca="1">IFERROR(IF(A337=A336,0,SUM(_xlfn._xlws.FILTER(E337:E346,(A337:A346=A337)*(E337:E346&gt;0)))),0)</f>
        <v>162232.25</v>
      </c>
      <c r="I337" s="1024"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22">
        <f ca="1">IFERROR(C338*D338*_xlfn.XLOOKUP(B338,TabCalc[Ticker],TabCalc[Scale]),0)</f>
        <v>60432.25</v>
      </c>
      <c r="F338" s="1023" cm="1">
        <f t="array" ref="F338">IF(A338=A337,0,SUM(_xlfn._xlws.FILTER(E338:E347,A338:A347=A338)))</f>
        <v>0</v>
      </c>
      <c r="G338" s="1024">
        <f>IF(F338&lt;&gt;0,SUM($F$43:F338),0)</f>
        <v>0</v>
      </c>
      <c r="H338" s="1024" cm="1">
        <f t="array" ref="H338">IFERROR(IF(A338=A337,0,SUM(_xlfn._xlws.FILTER(E338:E347,(A338:A347=A338)*(E338:E347&gt;0)))),0)</f>
        <v>0</v>
      </c>
      <c r="I338" s="1024"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22">
        <f ca="1">IFERROR(C339*D339*_xlfn.XLOOKUP(B339,TabCalc[Ticker],TabCalc[Scale]),0)</f>
        <v>101800</v>
      </c>
      <c r="F339" s="1023" cm="1">
        <f t="array" ref="F339">IF(A339=A338,0,SUM(_xlfn._xlws.FILTER(E339:E348,A339:A348=A339)))</f>
        <v>0</v>
      </c>
      <c r="G339" s="1024">
        <f>IF(F339&lt;&gt;0,SUM($F$43:F339),0)</f>
        <v>0</v>
      </c>
      <c r="H339" s="1024" cm="1">
        <f t="array" ref="H339">IFERROR(IF(A339=A338,0,SUM(_xlfn._xlws.FILTER(E339:E348,(A339:A348=A339)*(E339:E348&gt;0)))),0)</f>
        <v>0</v>
      </c>
      <c r="I339" s="1024"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22">
        <f ca="1">IFERROR(C340*D340*_xlfn.XLOOKUP(B340,TabCalc[Ticker],TabCalc[Scale]),0)</f>
        <v>-16475</v>
      </c>
      <c r="F340" s="1023" cm="1">
        <f t="array" aca="1" ref="F340" ca="1">IF(A340=A339,0,SUM(_xlfn._xlws.FILTER(E340:E349,A340:A349=A340)))</f>
        <v>-1289260.112</v>
      </c>
      <c r="G340" s="1024">
        <f ca="1">IF(F340&lt;&gt;0,SUM($F$43:F340),0)</f>
        <v>-3076098.7836729996</v>
      </c>
      <c r="H340" s="1024" cm="1">
        <f t="array" aca="1" ref="H340" ca="1">IFERROR(IF(A340=A339,0,SUM(_xlfn._xlws.FILTER(E340:E349,(A340:A349=A340)*(E340:E349&gt;0)))),0)</f>
        <v>0</v>
      </c>
      <c r="I340" s="1024"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22">
        <f ca="1">IFERROR(C341*D341*_xlfn.XLOOKUP(B341,TabCalc[Ticker],TabCalc[Scale]),0)</f>
        <v>-131800</v>
      </c>
      <c r="F341" s="1023" cm="1">
        <f t="array" ref="F341">IF(A341=A340,0,SUM(_xlfn._xlws.FILTER(E341:E350,A341:A350=A341)))</f>
        <v>0</v>
      </c>
      <c r="G341" s="1024">
        <f>IF(F341&lt;&gt;0,SUM($F$43:F341),0)</f>
        <v>0</v>
      </c>
      <c r="H341" s="1024" cm="1">
        <f t="array" ref="H341">IFERROR(IF(A341=A340,0,SUM(_xlfn._xlws.FILTER(E341:E350,(A341:A350=A341)*(E341:E350&gt;0)))),0)</f>
        <v>0</v>
      </c>
      <c r="I341" s="1024"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22">
        <f ca="1">IFERROR(C342*D342*_xlfn.XLOOKUP(B342,TabCalc[Ticker],TabCalc[Scale]),0)</f>
        <v>-103680</v>
      </c>
      <c r="F342" s="1023" cm="1">
        <f t="array" ref="F342">IF(A342=A341,0,SUM(_xlfn._xlws.FILTER(E342:E351,A342:A351=A342)))</f>
        <v>0</v>
      </c>
      <c r="G342" s="1024">
        <f>IF(F342&lt;&gt;0,SUM($F$43:F342),0)</f>
        <v>0</v>
      </c>
      <c r="H342" s="1024" cm="1">
        <f t="array" ref="H342">IFERROR(IF(A342=A341,0,SUM(_xlfn._xlws.FILTER(E342:E351,(A342:A351=A342)*(E342:E351&gt;0)))),0)</f>
        <v>0</v>
      </c>
      <c r="I342" s="1024"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22">
        <f ca="1">IFERROR(C343*D343*_xlfn.XLOOKUP(B343,TabCalc[Ticker],TabCalc[Scale]),0)</f>
        <v>-79140</v>
      </c>
      <c r="F343" s="1023" cm="1">
        <f t="array" ref="F343">IF(A343=A342,0,SUM(_xlfn._xlws.FILTER(E343:E352,A343:A352=A343)))</f>
        <v>0</v>
      </c>
      <c r="G343" s="1024">
        <f>IF(F343&lt;&gt;0,SUM($F$43:F343),0)</f>
        <v>0</v>
      </c>
      <c r="H343" s="1024" cm="1">
        <f t="array" ref="H343">IFERROR(IF(A343=A342,0,SUM(_xlfn._xlws.FILTER(E343:E352,(A343:A352=A343)*(E343:E352&gt;0)))),0)</f>
        <v>0</v>
      </c>
      <c r="I343" s="1024"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22">
        <f ca="1">IFERROR(C344*D344*_xlfn.XLOOKUP(B344,TabCalc[Ticker],TabCalc[Scale]),0)</f>
        <v>-605252.61</v>
      </c>
      <c r="F344" s="1023" cm="1">
        <f t="array" ref="F344">IF(A344=A343,0,SUM(_xlfn._xlws.FILTER(E344:E353,A344:A353=A344)))</f>
        <v>0</v>
      </c>
      <c r="G344" s="1024">
        <f>IF(F344&lt;&gt;0,SUM($F$43:F344),0)</f>
        <v>0</v>
      </c>
      <c r="H344" s="1024" cm="1">
        <f t="array" ref="H344">IFERROR(IF(A344=A343,0,SUM(_xlfn._xlws.FILTER(E344:E353,(A344:A353=A344)*(E344:E353&gt;0)))),0)</f>
        <v>0</v>
      </c>
      <c r="I344" s="1024"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22">
        <f ca="1">IFERROR(C345*D345*_xlfn.XLOOKUP(B345,TabCalc[Ticker],TabCalc[Scale]),0)</f>
        <v>-99799.991999999998</v>
      </c>
      <c r="F345" s="1023" cm="1">
        <f t="array" ref="F345">IF(A345=A344,0,SUM(_xlfn._xlws.FILTER(E345:E354,A345:A354=A345)))</f>
        <v>0</v>
      </c>
      <c r="G345" s="1024">
        <f>IF(F345&lt;&gt;0,SUM($F$43:F345),0)</f>
        <v>0</v>
      </c>
      <c r="H345" s="1024" cm="1">
        <f t="array" ref="H345">IFERROR(IF(A345=A344,0,SUM(_xlfn._xlws.FILTER(E345:E354,(A345:A354=A345)*(E345:E354&gt;0)))),0)</f>
        <v>0</v>
      </c>
      <c r="I345" s="1024"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22">
        <f ca="1">IFERROR(C346*D346*_xlfn.XLOOKUP(B346,TabCalc[Ticker],TabCalc[Scale]),0)</f>
        <v>-136799</v>
      </c>
      <c r="F346" s="1023" cm="1">
        <f t="array" ref="F346">IF(A346=A345,0,SUM(_xlfn._xlws.FILTER(E346:E355,A346:A355=A346)))</f>
        <v>0</v>
      </c>
      <c r="G346" s="1024">
        <f>IF(F346&lt;&gt;0,SUM($F$43:F346),0)</f>
        <v>0</v>
      </c>
      <c r="H346" s="1024" cm="1">
        <f t="array" ref="H346">IFERROR(IF(A346=A345,0,SUM(_xlfn._xlws.FILTER(E346:E355,(A346:A355=A346)*(E346:E355&gt;0)))),0)</f>
        <v>0</v>
      </c>
      <c r="I346" s="1024"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22">
        <f ca="1">IFERROR(C347*D347*_xlfn.XLOOKUP(B347,TabCalc[Ticker],TabCalc[Scale]),0)</f>
        <v>-116313.51</v>
      </c>
      <c r="F347" s="1023" cm="1">
        <f t="array" ref="F347">IF(A347=A346,0,SUM(_xlfn._xlws.FILTER(E347:E356,A347:A356=A347)))</f>
        <v>0</v>
      </c>
      <c r="G347" s="1024">
        <f>IF(F347&lt;&gt;0,SUM($F$43:F347),0)</f>
        <v>0</v>
      </c>
      <c r="H347" s="1024" cm="1">
        <f t="array" ref="H347">IFERROR(IF(A347=A346,0,SUM(_xlfn._xlws.FILTER(E347:E356,(A347:A356=A347)*(E347:E356&gt;0)))),0)</f>
        <v>0</v>
      </c>
      <c r="I347" s="1024"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22">
        <f ca="1">IFERROR(C348*D348*_xlfn.XLOOKUP(B348,TabCalc[Ticker],TabCalc[Scale]),0)</f>
        <v>133740</v>
      </c>
      <c r="F348" s="1023" cm="1">
        <f t="array" aca="1" ref="F348" ca="1">IF(A348=A347,0,SUM(_xlfn._xlws.FILTER(E348:E357,A348:A357=A348)))</f>
        <v>944492.64</v>
      </c>
      <c r="G348" s="1024">
        <f ca="1">IF(F348&lt;&gt;0,SUM($F$43:F348),0)</f>
        <v>-2131606.1436729995</v>
      </c>
      <c r="H348" s="1024" cm="1">
        <f t="array" aca="1" ref="H348" ca="1">IFERROR(IF(A348=A347,0,SUM(_xlfn._xlws.FILTER(E348:E357,(A348:A357=A348)*(E348:E357&gt;0)))),0)</f>
        <v>995732.64</v>
      </c>
      <c r="I348" s="1024"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22">
        <f ca="1">IFERROR(C349*D349*_xlfn.XLOOKUP(B349,TabCalc[Ticker],TabCalc[Scale]),0)</f>
        <v>133406.63999999998</v>
      </c>
      <c r="F349" s="1023" cm="1">
        <f t="array" ref="F349">IF(A349=A348,0,SUM(_xlfn._xlws.FILTER(E349:E358,A349:A358=A349)))</f>
        <v>0</v>
      </c>
      <c r="G349" s="1024">
        <f>IF(F349&lt;&gt;0,SUM($F$43:F349),0)</f>
        <v>0</v>
      </c>
      <c r="H349" s="1024" cm="1">
        <f t="array" ref="H349">IFERROR(IF(A349=A348,0,SUM(_xlfn._xlws.FILTER(E349:E358,(A349:A358=A349)*(E349:E358&gt;0)))),0)</f>
        <v>0</v>
      </c>
      <c r="I349" s="1024"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22">
        <f ca="1">IFERROR(C350*D350*_xlfn.XLOOKUP(B350,TabCalc[Ticker],TabCalc[Scale]),0)</f>
        <v>106752</v>
      </c>
      <c r="F350" s="1023" cm="1">
        <f t="array" ref="F350">IF(A350=A349,0,SUM(_xlfn._xlws.FILTER(E350:E359,A350:A359=A350)))</f>
        <v>0</v>
      </c>
      <c r="G350" s="1024">
        <f>IF(F350&lt;&gt;0,SUM($F$43:F350),0)</f>
        <v>0</v>
      </c>
      <c r="H350" s="1024" cm="1">
        <f t="array" ref="H350">IFERROR(IF(A350=A349,0,SUM(_xlfn._xlws.FILTER(E350:E359,(A350:A359=A350)*(E350:E359&gt;0)))),0)</f>
        <v>0</v>
      </c>
      <c r="I350" s="1024"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22">
        <f ca="1">IFERROR(C351*D351*_xlfn.XLOOKUP(B351,TabCalc[Ticker],TabCalc[Scale]),0)</f>
        <v>377400</v>
      </c>
      <c r="F351" s="1023" cm="1">
        <f t="array" ref="F351">IF(A351=A350,0,SUM(_xlfn._xlws.FILTER(E351:E360,A351:A360=A351)))</f>
        <v>0</v>
      </c>
      <c r="G351" s="1024">
        <f>IF(F351&lt;&gt;0,SUM($F$43:F351),0)</f>
        <v>0</v>
      </c>
      <c r="H351" s="1024" cm="1">
        <f t="array" ref="H351">IFERROR(IF(A351=A350,0,SUM(_xlfn._xlws.FILTER(E351:E360,(A351:A360=A351)*(E351:E360&gt;0)))),0)</f>
        <v>0</v>
      </c>
      <c r="I351" s="1024"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22">
        <f ca="1">IFERROR(C352*D352*_xlfn.XLOOKUP(B352,TabCalc[Ticker],TabCalc[Scale]),0)</f>
        <v>244434</v>
      </c>
      <c r="F352" s="1023" cm="1">
        <f t="array" ref="F352">IF(A352=A351,0,SUM(_xlfn._xlws.FILTER(E352:E361,A352:A361=A352)))</f>
        <v>0</v>
      </c>
      <c r="G352" s="1024">
        <f>IF(F352&lt;&gt;0,SUM($F$43:F352),0)</f>
        <v>0</v>
      </c>
      <c r="H352" s="1024" cm="1">
        <f t="array" ref="H352">IFERROR(IF(A352=A351,0,SUM(_xlfn._xlws.FILTER(E352:E361,(A352:A361=A352)*(E352:E361&gt;0)))),0)</f>
        <v>0</v>
      </c>
      <c r="I352" s="1024"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22">
        <f ca="1">IFERROR(C353*D353*_xlfn.XLOOKUP(B353,TabCalc[Ticker],TabCalc[Scale]),0)</f>
        <v>-51240</v>
      </c>
      <c r="F353" s="1023" cm="1">
        <f t="array" ref="F353">IF(A353=A352,0,SUM(_xlfn._xlws.FILTER(E353:E362,A353:A362=A353)))</f>
        <v>0</v>
      </c>
      <c r="G353" s="1024">
        <f>IF(F353&lt;&gt;0,SUM($F$43:F353),0)</f>
        <v>0</v>
      </c>
      <c r="H353" s="1024" cm="1">
        <f t="array" ref="H353">IFERROR(IF(A353=A352,0,SUM(_xlfn._xlws.FILTER(E353:E362,(A353:A362=A353)*(E353:E362&gt;0)))),0)</f>
        <v>0</v>
      </c>
      <c r="I353" s="1024"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22">
        <f ca="1">IFERROR(C354*D354*_xlfn.XLOOKUP(B354,TabCalc[Ticker],TabCalc[Scale]),0)</f>
        <v>136575</v>
      </c>
      <c r="F354" s="1023" cm="1">
        <f t="array" aca="1" ref="F354" ca="1">IF(A354=A353,0,SUM(_xlfn._xlws.FILTER(E354:E363,A354:A363=A354)))</f>
        <v>136575</v>
      </c>
      <c r="G354" s="1024">
        <f ca="1">IF(F354&lt;&gt;0,SUM($F$43:F354),0)</f>
        <v>-1995031.1436729995</v>
      </c>
      <c r="H354" s="1024" cm="1">
        <f t="array" aca="1" ref="H354" ca="1">IFERROR(IF(A354=A353,0,SUM(_xlfn._xlws.FILTER(E354:E363,(A354:A363=A354)*(E354:E363&gt;0)))),0)</f>
        <v>136575</v>
      </c>
      <c r="I354" s="1024"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22">
        <f ca="1">IFERROR(C355*D355*_xlfn.XLOOKUP(B355,TabCalc[Ticker],TabCalc[Scale]),0)</f>
        <v>-106625</v>
      </c>
      <c r="F355" s="1023" cm="1">
        <f t="array" aca="1" ref="F355" ca="1">IF(A355=A354,0,SUM(_xlfn._xlws.FILTER(E355:E364,A355:A364=A355)))</f>
        <v>-270992</v>
      </c>
      <c r="G355" s="1024">
        <f ca="1">IF(F355&lt;&gt;0,SUM($F$43:F355),0)</f>
        <v>-2266023.1436729995</v>
      </c>
      <c r="H355" s="1024" cm="1">
        <f t="array" aca="1" ref="H355" ca="1">IFERROR(IF(A355=A354,0,SUM(_xlfn._xlws.FILTER(E355:E364,(A355:A364=A355)*(E355:E364&gt;0)))),0)</f>
        <v>0</v>
      </c>
      <c r="I355" s="1024"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22">
        <f ca="1">IFERROR(C356*D356*_xlfn.XLOOKUP(B356,TabCalc[Ticker],TabCalc[Scale]),0)</f>
        <v>-106715</v>
      </c>
      <c r="F356" s="1023" cm="1">
        <f t="array" ref="F356">IF(A356=A355,0,SUM(_xlfn._xlws.FILTER(E356:E365,A356:A365=A356)))</f>
        <v>0</v>
      </c>
      <c r="G356" s="1024">
        <f>IF(F356&lt;&gt;0,SUM($F$43:F356),0)</f>
        <v>0</v>
      </c>
      <c r="H356" s="1024" cm="1">
        <f t="array" ref="H356">IFERROR(IF(A356=A355,0,SUM(_xlfn._xlws.FILTER(E356:E365,(A356:A365=A356)*(E356:E365&gt;0)))),0)</f>
        <v>0</v>
      </c>
      <c r="I356" s="1024"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22">
        <f ca="1">IFERROR(C357*D357*_xlfn.XLOOKUP(B357,TabCalc[Ticker],TabCalc[Scale]),0)</f>
        <v>-57652</v>
      </c>
      <c r="F357" s="1023" cm="1">
        <f t="array" ref="F357">IF(A357=A356,0,SUM(_xlfn._xlws.FILTER(E357:E366,A357:A366=A357)))</f>
        <v>0</v>
      </c>
      <c r="G357" s="1024">
        <f>IF(F357&lt;&gt;0,SUM($F$43:F357),0)</f>
        <v>0</v>
      </c>
      <c r="H357" s="1024" cm="1">
        <f t="array" ref="H357">IFERROR(IF(A357=A356,0,SUM(_xlfn._xlws.FILTER(E357:E366,(A357:A366=A357)*(E357:E366&gt;0)))),0)</f>
        <v>0</v>
      </c>
      <c r="I357" s="1024"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22">
        <f ca="1">IFERROR(C358*D358*_xlfn.XLOOKUP(B358,TabCalc[Ticker],TabCalc[Scale]),0)</f>
        <v>-97875</v>
      </c>
      <c r="F358" s="1023" cm="1">
        <f t="array" aca="1" ref="F358" ca="1">IF(A358=A357,0,SUM(_xlfn._xlws.FILTER(E358:E367,A358:A367=A358)))</f>
        <v>-136995</v>
      </c>
      <c r="G358" s="1024">
        <f ca="1">IF(F358&lt;&gt;0,SUM($F$43:F358),0)</f>
        <v>-2403018.1436729995</v>
      </c>
      <c r="H358" s="1024" cm="1">
        <f t="array" aca="1" ref="H358" ca="1">IFERROR(IF(A358=A357,0,SUM(_xlfn._xlws.FILTER(E358:E367,(A358:A367=A358)*(E358:E367&gt;0)))),0)</f>
        <v>0</v>
      </c>
      <c r="I358" s="1024" cm="1">
        <f t="array" aca="1" ref="I358" ca="1">IFERROR(IF(A358=A357,0,SUM(_xlfn._xlws.FILTER(E358:E367,(A358:A367=A358)*(F358&lt;0)))),0)</f>
        <v>-136995</v>
      </c>
      <c r="J358" s="1023"/>
      <c r="K358"/>
      <c r="L358"/>
      <c r="M358"/>
      <c r="N358"/>
    </row>
    <row r="359" spans="1:14" hidden="1" x14ac:dyDescent="0.3">
      <c r="A359" s="463">
        <v>45821</v>
      </c>
      <c r="B359" s="446" t="s">
        <v>1</v>
      </c>
      <c r="C359" s="465">
        <v>3000</v>
      </c>
      <c r="D359" s="644">
        <v>-13.04</v>
      </c>
      <c r="E359" s="1022">
        <f ca="1">IFERROR(C359*D359*_xlfn.XLOOKUP(B359,TabCalc[Ticker],TabCalc[Scale]),0)</f>
        <v>-39120</v>
      </c>
      <c r="F359" s="1023" cm="1">
        <f t="array" ref="F359">IF(A359=A358,0,SUM(_xlfn._xlws.FILTER(E359:E368,A359:A368=A359)))</f>
        <v>0</v>
      </c>
      <c r="G359" s="1024">
        <f>IF(F359&lt;&gt;0,SUM($F$43:F359),0)</f>
        <v>0</v>
      </c>
      <c r="H359" s="1024" cm="1">
        <f t="array" ref="H359">IFERROR(IF(A359=A358,0,SUM(_xlfn._xlws.FILTER(E359:E368,(A359:A368=A359)*(E359:E368&gt;0)))),0)</f>
        <v>0</v>
      </c>
      <c r="I359" s="1024"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22">
        <f ca="1">IFERROR(C360*D360*_xlfn.XLOOKUP(B360,TabCalc[Ticker],TabCalc[Scale]),0)</f>
        <v>244104</v>
      </c>
      <c r="F360" s="1023" cm="1">
        <f t="array" aca="1" ref="F360" ca="1">IF(A360=A359,0,SUM(_xlfn._xlws.FILTER(E360:E369,A360:A369=A360)))</f>
        <v>244104</v>
      </c>
      <c r="G360" s="1024">
        <f ca="1">IF(F360&lt;&gt;0,SUM($F$43:F360),0)</f>
        <v>-2158914.1436729995</v>
      </c>
      <c r="H360" s="1024" cm="1">
        <f t="array" aca="1" ref="H360" ca="1">IFERROR(IF(A360=A359,0,SUM(_xlfn._xlws.FILTER(E360:E369,(A360:A369=A360)*(E360:E369&gt;0)))),0)</f>
        <v>244104</v>
      </c>
      <c r="I360" s="1024"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22">
        <f ca="1">IFERROR(C361*D361*_xlfn.XLOOKUP(B361,TabCalc[Ticker],TabCalc[Scale]),0)</f>
        <v>-15670</v>
      </c>
      <c r="F361" s="1023" cm="1">
        <f t="array" aca="1" ref="F361" ca="1">IF(A361=A360,0,SUM(_xlfn._xlws.FILTER(E361:E370,A361:A370=A361)))</f>
        <v>-235092.28289999999</v>
      </c>
      <c r="G361" s="1024">
        <f ca="1">IF(F361&lt;&gt;0,SUM($F$43:F361),0)</f>
        <v>-2394006.4265729995</v>
      </c>
      <c r="H361" s="1024" cm="1">
        <f t="array" aca="1" ref="H361" ca="1">IFERROR(IF(A361=A360,0,SUM(_xlfn._xlws.FILTER(E361:E370,(A361:A370=A361)*(E361:E370&gt;0)))),0)</f>
        <v>5472.0171</v>
      </c>
      <c r="I361" s="1024"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22">
        <f ca="1">IFERROR(C362*D362*_xlfn.XLOOKUP(B362,TabCalc[Ticker],TabCalc[Scale]),0)</f>
        <v>5472.0171</v>
      </c>
      <c r="F362" s="1023" cm="1">
        <f t="array" ref="F362">IF(A362=A361,0,SUM(_xlfn._xlws.FILTER(E362:E371,A362:A371=A362)))</f>
        <v>0</v>
      </c>
      <c r="G362" s="1024">
        <f>IF(F362&lt;&gt;0,SUM($F$43:F362),0)</f>
        <v>0</v>
      </c>
      <c r="H362" s="1024" cm="1">
        <f t="array" ref="H362">IFERROR(IF(A362=A361,0,SUM(_xlfn._xlws.FILTER(E362:E371,(A362:A371=A362)*(E362:E371&gt;0)))),0)</f>
        <v>0</v>
      </c>
      <c r="I362" s="1024"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22">
        <f ca="1">IFERROR(C363*D363*_xlfn.XLOOKUP(B363,TabCalc[Ticker],TabCalc[Scale]),0)</f>
        <v>-58998</v>
      </c>
      <c r="F363" s="1023" cm="1">
        <f t="array" ref="F363">IF(A363=A362,0,SUM(_xlfn._xlws.FILTER(E363:E372,A363:A372=A363)))</f>
        <v>0</v>
      </c>
      <c r="G363" s="1024">
        <f>IF(F363&lt;&gt;0,SUM($F$43:F363),0)</f>
        <v>0</v>
      </c>
      <c r="H363" s="1024" cm="1">
        <f t="array" ref="H363">IFERROR(IF(A363=A362,0,SUM(_xlfn._xlws.FILTER(E363:E372,(A363:A372=A363)*(E363:E372&gt;0)))),0)</f>
        <v>0</v>
      </c>
      <c r="I363" s="1024"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22">
        <f ca="1">IFERROR(C364*D364*_xlfn.XLOOKUP(B364,TabCalc[Ticker],TabCalc[Scale]),0)</f>
        <v>-4398.3</v>
      </c>
      <c r="F364" s="1023" cm="1">
        <f t="array" ref="F364">IF(A364=A363,0,SUM(_xlfn._xlws.FILTER(E364:E373,A364:A373=A364)))</f>
        <v>0</v>
      </c>
      <c r="G364" s="1024">
        <f>IF(F364&lt;&gt;0,SUM($F$43:F364),0)</f>
        <v>0</v>
      </c>
      <c r="H364" s="1024" cm="1">
        <f t="array" ref="H364">IFERROR(IF(A364=A363,0,SUM(_xlfn._xlws.FILTER(E364:E373,(A364:A373=A364)*(E364:E373&gt;0)))),0)</f>
        <v>0</v>
      </c>
      <c r="I364" s="1024"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22">
        <f ca="1">IFERROR(C365*D365*_xlfn.XLOOKUP(B365,TabCalc[Ticker],TabCalc[Scale]),0)</f>
        <v>-15680</v>
      </c>
      <c r="F365" s="1023" cm="1">
        <f t="array" ref="F365">IF(A365=A364,0,SUM(_xlfn._xlws.FILTER(E365:E374,A365:A374=A365)))</f>
        <v>0</v>
      </c>
      <c r="G365" s="1024">
        <f>IF(F365&lt;&gt;0,SUM($F$43:F365),0)</f>
        <v>0</v>
      </c>
      <c r="H365" s="1024" cm="1">
        <f t="array" ref="H365">IFERROR(IF(A365=A364,0,SUM(_xlfn._xlws.FILTER(E365:E374,(A365:A374=A365)*(E365:E374&gt;0)))),0)</f>
        <v>0</v>
      </c>
      <c r="I365" s="1024"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22">
        <f ca="1">IFERROR(C366*D366*_xlfn.XLOOKUP(B366,TabCalc[Ticker],TabCalc[Scale]),0)</f>
        <v>-109361.99999999999</v>
      </c>
      <c r="F366" s="1023" cm="1">
        <f t="array" ref="F366">IF(A366=A365,0,SUM(_xlfn._xlws.FILTER(E366:E375,A366:A375=A366)))</f>
        <v>0</v>
      </c>
      <c r="G366" s="1024">
        <f>IF(F366&lt;&gt;0,SUM($F$43:F366),0)</f>
        <v>0</v>
      </c>
      <c r="H366" s="1024" cm="1">
        <f t="array" ref="H366">IFERROR(IF(A366=A365,0,SUM(_xlfn._xlws.FILTER(E366:E375,(A366:A375=A366)*(E366:E375&gt;0)))),0)</f>
        <v>0</v>
      </c>
      <c r="I366" s="1024"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22">
        <f ca="1">IFERROR(C367*D367*_xlfn.XLOOKUP(B367,TabCalc[Ticker],TabCalc[Scale]),0)</f>
        <v>-15475</v>
      </c>
      <c r="F367" s="1023" cm="1">
        <f t="array" aca="1" ref="F367" ca="1">IF(A367=A366,0,SUM(_xlfn._xlws.FILTER(E367:E376,A367:A376=A367)))</f>
        <v>-15475</v>
      </c>
      <c r="G367" s="1024">
        <f ca="1">IF(F367&lt;&gt;0,SUM($F$43:F367),0)</f>
        <v>-2409481.4265729995</v>
      </c>
      <c r="H367" s="1024" cm="1">
        <f t="array" aca="1" ref="H367" ca="1">IFERROR(IF(A367=A366,0,SUM(_xlfn._xlws.FILTER(E367:E376,(A367:A376=A367)*(E367:E376&gt;0)))),0)</f>
        <v>0</v>
      </c>
      <c r="I367" s="1024"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22">
        <f ca="1">IFERROR(C368*D368*_xlfn.XLOOKUP(B368,TabCalc[Ticker],TabCalc[Scale]),0)</f>
        <v>-36456</v>
      </c>
      <c r="F368" s="1023" cm="1">
        <f t="array" aca="1" ref="F368" ca="1">IF(A368=A367,0,SUM(_xlfn._xlws.FILTER(E368:E377,A368:A377=A368)))</f>
        <v>-36456</v>
      </c>
      <c r="G368" s="1024">
        <f ca="1">IF(F368&lt;&gt;0,SUM($F$43:F368),0)</f>
        <v>-2445937.4265729995</v>
      </c>
      <c r="H368" s="1024" cm="1">
        <f t="array" aca="1" ref="H368" ca="1">IFERROR(IF(A368=A367,0,SUM(_xlfn._xlws.FILTER(E368:E377,(A368:A377=A368)*(E368:E377&gt;0)))),0)</f>
        <v>0</v>
      </c>
      <c r="I368" s="1024"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22">
        <f ca="1">IFERROR(C369*D369*_xlfn.XLOOKUP(B369,TabCalc[Ticker],TabCalc[Scale]),0)</f>
        <v>10402</v>
      </c>
      <c r="F369" s="1023" cm="1">
        <f t="array" aca="1" ref="F369" ca="1">IF(A369=A368,0,SUM(_xlfn._xlws.FILTER(E369:E378,A369:A378=A369)))</f>
        <v>-150178</v>
      </c>
      <c r="G369" s="1024">
        <f ca="1">IF(F369&lt;&gt;0,SUM($F$43:F369),0)</f>
        <v>-2596115.4265729995</v>
      </c>
      <c r="H369" s="1024" cm="1">
        <f t="array" aca="1" ref="H369" ca="1">IFERROR(IF(A369=A368,0,SUM(_xlfn._xlws.FILTER(E369:E378,(A369:A378=A369)*(E369:E378&gt;0)))),0)</f>
        <v>129182</v>
      </c>
      <c r="I369" s="1024"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22">
        <f ca="1">IFERROR(C370*D370*_xlfn.XLOOKUP(B370,TabCalc[Ticker],TabCalc[Scale]),0)</f>
        <v>46960</v>
      </c>
      <c r="F370" s="1023" cm="1">
        <f t="array" ref="F370">IF(A370=A369,0,SUM(_xlfn._xlws.FILTER(E370:E379,A370:A379=A370)))</f>
        <v>0</v>
      </c>
      <c r="G370" s="1024">
        <f>IF(F370&lt;&gt;0,SUM($F$43:F370),0)</f>
        <v>0</v>
      </c>
      <c r="H370" s="1024" cm="1">
        <f t="array" ref="H370">IFERROR(IF(A370=A369,0,SUM(_xlfn._xlws.FILTER(E370:E379,(A370:A379=A370)*(E370:E379&gt;0)))),0)</f>
        <v>0</v>
      </c>
      <c r="I370" s="1024"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22">
        <f ca="1">IFERROR(C371*D371*_xlfn.XLOOKUP(B371,TabCalc[Ticker],TabCalc[Scale]),0)</f>
        <v>-279360</v>
      </c>
      <c r="F371" s="1023" cm="1">
        <f t="array" ref="F371">IF(A371=A370,0,SUM(_xlfn._xlws.FILTER(E371:E380,A371:A380=A371)))</f>
        <v>0</v>
      </c>
      <c r="G371" s="1024">
        <f>IF(F371&lt;&gt;0,SUM($F$43:F371),0)</f>
        <v>0</v>
      </c>
      <c r="H371" s="1024" cm="1">
        <f t="array" ref="H371">IFERROR(IF(A371=A370,0,SUM(_xlfn._xlws.FILTER(E371:E380,(A371:A380=A371)*(E371:E380&gt;0)))),0)</f>
        <v>0</v>
      </c>
      <c r="I371" s="1024"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22">
        <f ca="1">IFERROR(C372*D372*_xlfn.XLOOKUP(B372,TabCalc[Ticker],TabCalc[Scale]),0)</f>
        <v>71820</v>
      </c>
      <c r="F372" s="1023" cm="1">
        <f t="array" ref="F372">IF(A372=A371,0,SUM(_xlfn._xlws.FILTER(E372:E381,A372:A381=A372)))</f>
        <v>0</v>
      </c>
      <c r="G372" s="1024">
        <f>IF(F372&lt;&gt;0,SUM($F$43:F372),0)</f>
        <v>0</v>
      </c>
      <c r="H372" s="1024" cm="1">
        <f t="array" ref="H372">IFERROR(IF(A372=A371,0,SUM(_xlfn._xlws.FILTER(E372:E381,(A372:A381=A372)*(E372:E381&gt;0)))),0)</f>
        <v>0</v>
      </c>
      <c r="I372" s="1024"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22">
        <f ca="1">IFERROR(C373*D373*_xlfn.XLOOKUP(B373,TabCalc[Ticker],TabCalc[Scale]),0)</f>
        <v>-250750</v>
      </c>
      <c r="F373" s="1023" cm="1">
        <f t="array" aca="1" ref="F373" ca="1">IF(A373=A372,0,SUM(_xlfn._xlws.FILTER(E373:E382,A373:A382=A373)))</f>
        <v>-500500</v>
      </c>
      <c r="G373" s="1024">
        <f ca="1">IF(F373&lt;&gt;0,SUM($F$43:F373),0)</f>
        <v>-3096615.4265729995</v>
      </c>
      <c r="H373" s="1024" cm="1">
        <f t="array" aca="1" ref="H373" ca="1">IFERROR(IF(A373=A372,0,SUM(_xlfn._xlws.FILTER(E373:E382,(A373:A382=A373)*(E373:E382&gt;0)))),0)</f>
        <v>0</v>
      </c>
      <c r="I373" s="1024"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22">
        <f ca="1">IFERROR(C374*D374*_xlfn.XLOOKUP(B374,TabCalc[Ticker],TabCalc[Scale]),0)</f>
        <v>-249750</v>
      </c>
      <c r="F374" s="1023" cm="1">
        <f t="array" ref="F374">IF(A374=A373,0,SUM(_xlfn._xlws.FILTER(E374:E383,A374:A383=A374)))</f>
        <v>0</v>
      </c>
      <c r="G374" s="1024">
        <f>IF(F374&lt;&gt;0,SUM($F$43:F374),0)</f>
        <v>0</v>
      </c>
      <c r="H374" s="1024" cm="1">
        <f t="array" ref="H374">IFERROR(IF(A374=A373,0,SUM(_xlfn._xlws.FILTER(E374:E383,(A374:A383=A374)*(E374:E383&gt;0)))),0)</f>
        <v>0</v>
      </c>
      <c r="I374" s="1024"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22">
        <f ca="1">IFERROR(C375*D375*_xlfn.XLOOKUP(B375,TabCalc[Ticker],TabCalc[Scale]),0)</f>
        <v>-60210</v>
      </c>
      <c r="F375" s="1023" cm="1">
        <f t="array" aca="1" ref="F375" ca="1">IF(A375=A374,0,SUM(_xlfn._xlws.FILTER(E375:E384,A375:A384=A375)))</f>
        <v>-166700</v>
      </c>
      <c r="G375" s="1024">
        <f ca="1">IF(F375&lt;&gt;0,SUM($F$43:F375),0)</f>
        <v>-3263315.4265729995</v>
      </c>
      <c r="H375" s="1024" cm="1">
        <f t="array" aca="1" ref="H375" ca="1">IFERROR(IF(A375=A374,0,SUM(_xlfn._xlws.FILTER(E375:E384,(A375:A384=A375)*(E375:E384&gt;0)))),0)</f>
        <v>0</v>
      </c>
      <c r="I375" s="1024"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22">
        <f ca="1">IFERROR(C376*D376*_xlfn.XLOOKUP(B376,TabCalc[Ticker],TabCalc[Scale]),0)</f>
        <v>-106490</v>
      </c>
      <c r="F376" s="1023" cm="1">
        <f t="array" ref="F376">IF(A376=A375,0,SUM(_xlfn._xlws.FILTER(E376:E385,A376:A385=A376)))</f>
        <v>0</v>
      </c>
      <c r="G376" s="1024">
        <f>IF(F376&lt;&gt;0,SUM($F$43:F376),0)</f>
        <v>0</v>
      </c>
      <c r="H376" s="1024" cm="1">
        <f t="array" ref="H376">IFERROR(IF(A376=A375,0,SUM(_xlfn._xlws.FILTER(E376:E385,(A376:A385=A376)*(E376:E385&gt;0)))),0)</f>
        <v>0</v>
      </c>
      <c r="I376" s="1024"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22">
        <f ca="1">IFERROR(C377*D377*_xlfn.XLOOKUP(B377,TabCalc[Ticker],TabCalc[Scale]),0)</f>
        <v>-139100</v>
      </c>
      <c r="F377" s="1023" cm="1">
        <f t="array" aca="1" ref="F377" ca="1">IF(A377=A376,0,SUM(_xlfn._xlws.FILTER(E377:E386,A377:A386=A377)))</f>
        <v>198948.25</v>
      </c>
      <c r="G377" s="1024">
        <f ca="1">IF(F377&lt;&gt;0,SUM($F$43:F377),0)</f>
        <v>-3064367.1765729995</v>
      </c>
      <c r="H377" s="1024" cm="1">
        <f t="array" aca="1" ref="H377" ca="1">IFERROR(IF(A377=A376,0,SUM(_xlfn._xlws.FILTER(E377:E386,(A377:A386=A377)*(E377:E386&gt;0)))),0)</f>
        <v>434498.25</v>
      </c>
      <c r="I377" s="1024"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22">
        <f ca="1">IFERROR(C378*D378*_xlfn.XLOOKUP(B378,TabCalc[Ticker],TabCalc[Scale]),0)</f>
        <v>95456</v>
      </c>
      <c r="F378" s="1023" cm="1">
        <f t="array" ref="F378">IF(A378=A377,0,SUM(_xlfn._xlws.FILTER(E378:E387,A378:A387=A378)))</f>
        <v>0</v>
      </c>
      <c r="G378" s="1024">
        <f>IF(F378&lt;&gt;0,SUM($F$43:F378),0)</f>
        <v>0</v>
      </c>
      <c r="H378" s="1024" cm="1">
        <f t="array" ref="H378">IFERROR(IF(A378=A377,0,SUM(_xlfn._xlws.FILTER(E378:E387,(A378:A387=A378)*(E378:E387&gt;0)))),0)</f>
        <v>0</v>
      </c>
      <c r="I378" s="1024"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22">
        <f ca="1">IFERROR(C379*D379*_xlfn.XLOOKUP(B379,TabCalc[Ticker],TabCalc[Scale]),0)</f>
        <v>52500</v>
      </c>
      <c r="F379" s="1023" cm="1">
        <f t="array" ref="F379">IF(A379=A378,0,SUM(_xlfn._xlws.FILTER(E379:E388,A379:A388=A379)))</f>
        <v>0</v>
      </c>
      <c r="G379" s="1024">
        <f>IF(F379&lt;&gt;0,SUM($F$43:F379),0)</f>
        <v>0</v>
      </c>
      <c r="H379" s="1024" cm="1">
        <f t="array" ref="H379">IFERROR(IF(A379=A378,0,SUM(_xlfn._xlws.FILTER(E379:E388,(A379:A388=A379)*(E379:E388&gt;0)))),0)</f>
        <v>0</v>
      </c>
      <c r="I379" s="1024"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22">
        <f ca="1">IFERROR(C380*D380*_xlfn.XLOOKUP(B380,TabCalc[Ticker],TabCalc[Scale]),0)</f>
        <v>59192</v>
      </c>
      <c r="F380" s="1023" cm="1">
        <f t="array" ref="F380">IF(A380=A379,0,SUM(_xlfn._xlws.FILTER(E380:E389,A380:A389=A380)))</f>
        <v>0</v>
      </c>
      <c r="G380" s="1024">
        <f>IF(F380&lt;&gt;0,SUM($F$43:F380),0)</f>
        <v>0</v>
      </c>
      <c r="H380" s="1024" cm="1">
        <f t="array" ref="H380">IFERROR(IF(A380=A379,0,SUM(_xlfn._xlws.FILTER(E380:E389,(A380:A389=A380)*(E380:E389&gt;0)))),0)</f>
        <v>0</v>
      </c>
      <c r="I380" s="1024"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22">
        <f ca="1">IFERROR(C381*D381*_xlfn.XLOOKUP(B381,TabCalc[Ticker],TabCalc[Scale]),0)</f>
        <v>-46350</v>
      </c>
      <c r="F381" s="1023" cm="1">
        <f t="array" ref="F381">IF(A381=A380,0,SUM(_xlfn._xlws.FILTER(E381:E390,A381:A390=A381)))</f>
        <v>0</v>
      </c>
      <c r="G381" s="1024">
        <f>IF(F381&lt;&gt;0,SUM($F$43:F381),0)</f>
        <v>0</v>
      </c>
      <c r="H381" s="1024" cm="1">
        <f t="array" ref="H381">IFERROR(IF(A381=A380,0,SUM(_xlfn._xlws.FILTER(E381:E390,(A381:A390=A381)*(E381:E390&gt;0)))),0)</f>
        <v>0</v>
      </c>
      <c r="I381" s="1024"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22">
        <f ca="1">IFERROR(C382*D382*_xlfn.XLOOKUP(B382,TabCalc[Ticker],TabCalc[Scale]),0)</f>
        <v>-12800</v>
      </c>
      <c r="F382" s="1023" cm="1">
        <f t="array" ref="F382">IF(A382=A381,0,SUM(_xlfn._xlws.FILTER(E382:E391,A382:A391=A382)))</f>
        <v>0</v>
      </c>
      <c r="G382" s="1024">
        <f>IF(F382&lt;&gt;0,SUM($F$43:F382),0)</f>
        <v>0</v>
      </c>
      <c r="H382" s="1024" cm="1">
        <f t="array" ref="H382">IFERROR(IF(A382=A381,0,SUM(_xlfn._xlws.FILTER(E382:E391,(A382:A391=A382)*(E382:E391&gt;0)))),0)</f>
        <v>0</v>
      </c>
      <c r="I382" s="1024"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22">
        <f ca="1">IFERROR(C383*D383*_xlfn.XLOOKUP(B383,TabCalc[Ticker],TabCalc[Scale]),0)</f>
        <v>-37300</v>
      </c>
      <c r="F383" s="1023" cm="1">
        <f t="array" ref="F383">IF(A383=A382,0,SUM(_xlfn._xlws.FILTER(E383:E392,A383:A392=A383)))</f>
        <v>0</v>
      </c>
      <c r="G383" s="1024">
        <f>IF(F383&lt;&gt;0,SUM($F$43:F383),0)</f>
        <v>0</v>
      </c>
      <c r="H383" s="1024" cm="1">
        <f t="array" ref="H383">IFERROR(IF(A383=A382,0,SUM(_xlfn._xlws.FILTER(E383:E392,(A383:A392=A383)*(E383:E392&gt;0)))),0)</f>
        <v>0</v>
      </c>
      <c r="I383" s="1024"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22">
        <f ca="1">IFERROR(C384*D384*_xlfn.XLOOKUP(B384,TabCalc[Ticker],TabCalc[Scale]),0)</f>
        <v>58125</v>
      </c>
      <c r="F384" s="1023" cm="1">
        <f t="array" ref="F384">IF(A384=A383,0,SUM(_xlfn._xlws.FILTER(E384:E393,A384:A393=A384)))</f>
        <v>0</v>
      </c>
      <c r="G384" s="1024">
        <f>IF(F384&lt;&gt;0,SUM($F$43:F384),0)</f>
        <v>0</v>
      </c>
      <c r="H384" s="1024" cm="1">
        <f t="array" ref="H384">IFERROR(IF(A384=A383,0,SUM(_xlfn._xlws.FILTER(E384:E393,(A384:A393=A384)*(E384:E393&gt;0)))),0)</f>
        <v>0</v>
      </c>
      <c r="I384" s="1024"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22">
        <f ca="1">IFERROR(C385*D385*_xlfn.XLOOKUP(B385,TabCalc[Ticker],TabCalc[Scale]),0)</f>
        <v>73721.25</v>
      </c>
      <c r="F385" s="1023" cm="1">
        <f t="array" ref="F385">IF(A385=A384,0,SUM(_xlfn._xlws.FILTER(E385:E394,A385:A394=A385)))</f>
        <v>0</v>
      </c>
      <c r="G385" s="1024">
        <f>IF(F385&lt;&gt;0,SUM($F$43:F385),0)</f>
        <v>0</v>
      </c>
      <c r="H385" s="1024" cm="1">
        <f t="array" ref="H385">IFERROR(IF(A385=A384,0,SUM(_xlfn._xlws.FILTER(E385:E394,(A385:A394=A385)*(E385:E394&gt;0)))),0)</f>
        <v>0</v>
      </c>
      <c r="I385" s="1024"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22">
        <f ca="1">IFERROR(C386*D386*_xlfn.XLOOKUP(B386,TabCalc[Ticker],TabCalc[Scale]),0)</f>
        <v>95504</v>
      </c>
      <c r="F386" s="1023" cm="1">
        <f t="array" ref="F386">IF(A386=A385,0,SUM(_xlfn._xlws.FILTER(E386:E395,A386:A395=A386)))</f>
        <v>0</v>
      </c>
      <c r="G386" s="1024">
        <f>IF(F386&lt;&gt;0,SUM($F$43:F386),0)</f>
        <v>0</v>
      </c>
      <c r="H386" s="1024" cm="1">
        <f t="array" ref="H386">IFERROR(IF(A386=A385,0,SUM(_xlfn._xlws.FILTER(E386:E395,(A386:A395=A386)*(E386:E395&gt;0)))),0)</f>
        <v>0</v>
      </c>
      <c r="I386" s="1024"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22">
        <f ca="1">IFERROR(C387*D387*_xlfn.XLOOKUP(B387,TabCalc[Ticker],TabCalc[Scale]),0)</f>
        <v>68320</v>
      </c>
      <c r="F387" s="1023" cm="1">
        <f t="array" ref="F387">IF(A387=A386,0,SUM(_xlfn._xlws.FILTER(E387:E396,A387:A396=A387)))</f>
        <v>0</v>
      </c>
      <c r="G387" s="1024">
        <f>IF(F387&lt;&gt;0,SUM($F$43:F387),0)</f>
        <v>0</v>
      </c>
      <c r="H387" s="1024" cm="1">
        <f t="array" ref="H387">IFERROR(IF(A387=A386,0,SUM(_xlfn._xlws.FILTER(E387:E396,(A387:A396=A387)*(E387:E396&gt;0)))),0)</f>
        <v>0</v>
      </c>
      <c r="I387" s="1024"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22">
        <f ca="1">IFERROR(C388*D388*_xlfn.XLOOKUP(B388,TabCalc[Ticker],TabCalc[Scale]),0)</f>
        <v>41335</v>
      </c>
      <c r="F388" s="1023" cm="1">
        <f t="array" ref="F388">IF(A388=A387,0,SUM(_xlfn._xlws.FILTER(E388:E397,A388:A397=A388)))</f>
        <v>0</v>
      </c>
      <c r="G388" s="1024">
        <f>IF(F388&lt;&gt;0,SUM($F$43:F388),0)</f>
        <v>0</v>
      </c>
      <c r="H388" s="1024" cm="1">
        <f t="array" ref="H388">IFERROR(IF(A388=A387,0,SUM(_xlfn._xlws.FILTER(E388:E397,(A388:A397=A388)*(E388:E397&gt;0)))),0)</f>
        <v>0</v>
      </c>
      <c r="I388" s="1024"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22">
        <f ca="1">IFERROR(C389*D389*_xlfn.XLOOKUP(B389,TabCalc[Ticker],TabCalc[Scale]),0)</f>
        <v>66260</v>
      </c>
      <c r="F389" s="1023" cm="1">
        <f t="array" ref="F389">IF(A389=A388,0,SUM(_xlfn._xlws.FILTER(E389:E398,A389:A398=A389)))</f>
        <v>0</v>
      </c>
      <c r="G389" s="1024">
        <f>IF(F389&lt;&gt;0,SUM($F$43:F389),0)</f>
        <v>0</v>
      </c>
      <c r="H389" s="1024" cm="1">
        <f t="array" ref="H389">IFERROR(IF(A389=A388,0,SUM(_xlfn._xlws.FILTER(E389:E398,(A389:A398=A389)*(E389:E398&gt;0)))),0)</f>
        <v>0</v>
      </c>
      <c r="I389" s="1024"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22">
        <f ca="1">IFERROR(C390*D390*_xlfn.XLOOKUP(B390,TabCalc[Ticker],TabCalc[Scale]),0)</f>
        <v>-45330</v>
      </c>
      <c r="F390" s="1023" cm="1">
        <f t="array" aca="1" ref="F390" ca="1">IF(A390=A389,0,SUM(_xlfn._xlws.FILTER(E390:E399,A390:A399=A390)))</f>
        <v>160005</v>
      </c>
      <c r="G390" s="1024">
        <f ca="1">IF(F390&lt;&gt;0,SUM($F$43:F390),0)</f>
        <v>-2904362.1765729995</v>
      </c>
      <c r="H390" s="1024" cm="1">
        <f t="array" aca="1" ref="H390" ca="1">IFERROR(IF(A390=A389,0,SUM(_xlfn._xlws.FILTER(E390:E399,(A390:A399=A390)*(E390:E399&gt;0)))),0)</f>
        <v>245815</v>
      </c>
      <c r="I390" s="1024"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22">
        <f ca="1">IFERROR(C391*D391*_xlfn.XLOOKUP(B391,TabCalc[Ticker],TabCalc[Scale]),0)</f>
        <v>74445</v>
      </c>
      <c r="F391" s="1023" cm="1">
        <f t="array" ref="F391">IF(A391=A390,0,SUM(_xlfn._xlws.FILTER(E391:E400,A391:A400=A391)))</f>
        <v>0</v>
      </c>
      <c r="G391" s="1024">
        <f>IF(F391&lt;&gt;0,SUM($F$43:F391),0)</f>
        <v>0</v>
      </c>
      <c r="H391" s="1024" cm="1">
        <f t="array" ref="H391">IFERROR(IF(A391=A390,0,SUM(_xlfn._xlws.FILTER(E391:E400,(A391:A400=A391)*(E391:E400&gt;0)))),0)</f>
        <v>0</v>
      </c>
      <c r="I391" s="1024"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22">
        <f ca="1">IFERROR(C392*D392*_xlfn.XLOOKUP(B392,TabCalc[Ticker],TabCalc[Scale]),0)</f>
        <v>-40480</v>
      </c>
      <c r="F392" s="1023" cm="1">
        <f t="array" ref="F392">IF(A392=A391,0,SUM(_xlfn._xlws.FILTER(E392:E401,A392:A401=A392)))</f>
        <v>0</v>
      </c>
      <c r="G392" s="1024">
        <f>IF(F392&lt;&gt;0,SUM($F$43:F392),0)</f>
        <v>0</v>
      </c>
      <c r="H392" s="1024" cm="1">
        <f t="array" ref="H392">IFERROR(IF(A392=A391,0,SUM(_xlfn._xlws.FILTER(E392:E401,(A392:A401=A392)*(E392:E401&gt;0)))),0)</f>
        <v>0</v>
      </c>
      <c r="I392" s="1024"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22">
        <f ca="1">IFERROR(C393*D393*_xlfn.XLOOKUP(B393,TabCalc[Ticker],TabCalc[Scale]),0)</f>
        <v>59160</v>
      </c>
      <c r="F393" s="1023" cm="1">
        <f t="array" ref="F393">IF(A393=A392,0,SUM(_xlfn._xlws.FILTER(E393:E402,A393:A402=A393)))</f>
        <v>0</v>
      </c>
      <c r="G393" s="1024">
        <f>IF(F393&lt;&gt;0,SUM($F$43:F393),0)</f>
        <v>0</v>
      </c>
      <c r="H393" s="1024" cm="1">
        <f t="array" ref="H393">IFERROR(IF(A393=A392,0,SUM(_xlfn._xlws.FILTER(E393:E402,(A393:A402=A393)*(E393:E402&gt;0)))),0)</f>
        <v>0</v>
      </c>
      <c r="I393" s="1024"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22">
        <f ca="1">IFERROR(C394*D394*_xlfn.XLOOKUP(B394,TabCalc[Ticker],TabCalc[Scale]),0)</f>
        <v>112210</v>
      </c>
      <c r="F394" s="1023" cm="1">
        <f t="array" ref="F394">IF(A394=A393,0,SUM(_xlfn._xlws.FILTER(E394:E403,A394:A403=A394)))</f>
        <v>0</v>
      </c>
      <c r="G394" s="1024">
        <f>IF(F394&lt;&gt;0,SUM($F$43:F394),0)</f>
        <v>0</v>
      </c>
      <c r="H394" s="1024" cm="1">
        <f t="array" ref="H394">IFERROR(IF(A394=A393,0,SUM(_xlfn._xlws.FILTER(E394:E403,(A394:A403=A394)*(E394:E403&gt;0)))),0)</f>
        <v>0</v>
      </c>
      <c r="I394" s="1024"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22">
        <f ca="1">IFERROR(C395*D395*_xlfn.XLOOKUP(B395,TabCalc[Ticker],TabCalc[Scale]),0)</f>
        <v>-27530</v>
      </c>
      <c r="F395" s="1023" cm="1">
        <f t="array" aca="1" ref="F395" ca="1">IF(A395=A394,0,SUM(_xlfn._xlws.FILTER(E395:E404,A395:A404=A395)))</f>
        <v>-27530</v>
      </c>
      <c r="G395" s="1024">
        <f ca="1">IF(F395&lt;&gt;0,SUM($F$43:F395),0)</f>
        <v>-2931892.1765729995</v>
      </c>
      <c r="H395" s="1024" cm="1">
        <f t="array" aca="1" ref="H395" ca="1">IFERROR(IF(A395=A394,0,SUM(_xlfn._xlws.FILTER(E395:E404,(A395:A404=A395)*(E395:E404&gt;0)))),0)</f>
        <v>0</v>
      </c>
      <c r="I395" s="1024"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22">
        <f ca="1">IFERROR(C396*D396*_xlfn.XLOOKUP(B396,TabCalc[Ticker],TabCalc[Scale]),0)</f>
        <v>41040</v>
      </c>
      <c r="F396" s="1023" cm="1">
        <f t="array" aca="1" ref="F396" ca="1">IF(A396=A395,0,SUM(_xlfn._xlws.FILTER(E396:E405,A396:A405=A396)))</f>
        <v>41040</v>
      </c>
      <c r="G396" s="1024">
        <f ca="1">IF(F396&lt;&gt;0,SUM($F$43:F396),0)</f>
        <v>-2890852.1765729995</v>
      </c>
      <c r="H396" s="1024" cm="1">
        <f t="array" aca="1" ref="H396" ca="1">IFERROR(IF(A396=A395,0,SUM(_xlfn._xlws.FILTER(E396:E405,(A396:A405=A396)*(E396:E405&gt;0)))),0)</f>
        <v>41040</v>
      </c>
      <c r="I396" s="1024"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22">
        <f ca="1">IFERROR(C397*D397*_xlfn.XLOOKUP(B397,TabCalc[Ticker],TabCalc[Scale]),0)</f>
        <v>286.834</v>
      </c>
      <c r="F397" s="1023" cm="1">
        <f t="array" aca="1" ref="F397" ca="1">IF(A397=A396,0,SUM(_xlfn._xlws.FILTER(E397:E406,A397:A406=A397)))</f>
        <v>286.834</v>
      </c>
      <c r="G397" s="1024">
        <f ca="1">IF(F397&lt;&gt;0,SUM($F$43:F397),0)</f>
        <v>-2890565.3425729997</v>
      </c>
      <c r="H397" s="1024" cm="1">
        <f t="array" aca="1" ref="H397" ca="1">IFERROR(IF(A397=A396,0,SUM(_xlfn._xlws.FILTER(E397:E406,(A397:A406=A397)*(E397:E406&gt;0)))),0)</f>
        <v>286.834</v>
      </c>
      <c r="I397" s="1024"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22">
        <f ca="1">IFERROR(C398*D398*_xlfn.XLOOKUP(B398,TabCalc[Ticker],TabCalc[Scale]),0)</f>
        <v>69160</v>
      </c>
      <c r="F398" s="1023" cm="1">
        <f t="array" aca="1" ref="F398" ca="1">IF(A398=A397,0,SUM(_xlfn._xlws.FILTER(E398:E407,A398:A407=A398)))</f>
        <v>69160</v>
      </c>
      <c r="G398" s="1024">
        <f ca="1">IF(F398&lt;&gt;0,SUM($F$43:F398),0)</f>
        <v>-2821405.3425729997</v>
      </c>
      <c r="H398" s="1024" cm="1">
        <f t="array" aca="1" ref="H398" ca="1">IFERROR(IF(A398=A397,0,SUM(_xlfn._xlws.FILTER(E398:E407,(A398:A407=A398)*(E398:E407&gt;0)))),0)</f>
        <v>69160</v>
      </c>
      <c r="I398" s="1024"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22">
        <f ca="1">IFERROR(C399*D399*_xlfn.XLOOKUP(B399,TabCalc[Ticker],TabCalc[Scale]),0)</f>
        <v>40580.1</v>
      </c>
      <c r="F399" s="1023" cm="1">
        <f t="array" aca="1" ref="F399" ca="1">IF(A399=A398,0,SUM(_xlfn._xlws.FILTER(E399:E408,A399:A408=A399)))</f>
        <v>40580.1</v>
      </c>
      <c r="G399" s="1024">
        <f ca="1">IF(F399&lt;&gt;0,SUM($F$43:F399),0)</f>
        <v>-2780825.2425729996</v>
      </c>
      <c r="H399" s="1024" cm="1">
        <f t="array" aca="1" ref="H399" ca="1">IFERROR(IF(A399=A398,0,SUM(_xlfn._xlws.FILTER(E399:E408,(A399:A408=A399)*(E399:E408&gt;0)))),0)</f>
        <v>40580.1</v>
      </c>
      <c r="I399" s="1024"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22">
        <f ca="1">IFERROR(C400*D400*_xlfn.XLOOKUP(B400,TabCalc[Ticker],TabCalc[Scale]),0)</f>
        <v>-52420</v>
      </c>
      <c r="F400" s="1023" cm="1">
        <f t="array" aca="1" ref="F400" ca="1">IF(A400=A399,0,SUM(_xlfn._xlws.FILTER(E400:E409,A400:A409=A400)))</f>
        <v>21420</v>
      </c>
      <c r="G400" s="1024">
        <f ca="1">IF(F400&lt;&gt;0,SUM($F$43:F400),0)</f>
        <v>-2759405.2425729996</v>
      </c>
      <c r="H400" s="1024" cm="1">
        <f t="array" aca="1" ref="H400" ca="1">IFERROR(IF(A400=A399,0,SUM(_xlfn._xlws.FILTER(E400:E409,(A400:A409=A400)*(E400:E409&gt;0)))),0)</f>
        <v>73840</v>
      </c>
      <c r="I400" s="1024"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22">
        <f ca="1">IFERROR(C401*D401*_xlfn.XLOOKUP(B401,TabCalc[Ticker],TabCalc[Scale]),0)</f>
        <v>73840</v>
      </c>
      <c r="F401" s="1023" cm="1">
        <f t="array" ref="F401">IF(A401=A400,0,SUM(_xlfn._xlws.FILTER(E401:E410,A401:A410=A401)))</f>
        <v>0</v>
      </c>
      <c r="G401" s="1024">
        <f>IF(F401&lt;&gt;0,SUM($F$43:F401),0)</f>
        <v>0</v>
      </c>
      <c r="H401" s="1024" cm="1">
        <f t="array" ref="H401">IFERROR(IF(A401=A400,0,SUM(_xlfn._xlws.FILTER(E401:E410,(A401:A410=A401)*(E401:E410&gt;0)))),0)</f>
        <v>0</v>
      </c>
      <c r="I401" s="1024"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22">
        <f ca="1">IFERROR(C402*D402*_xlfn.XLOOKUP(B402,TabCalc[Ticker],TabCalc[Scale]),0)</f>
        <v>80341.400000000009</v>
      </c>
      <c r="F402" s="1023" cm="1">
        <f t="array" aca="1" ref="F402" ca="1">IF(A402=A401,0,SUM(_xlfn._xlws.FILTER(E402:E411,A402:A411=A402)))</f>
        <v>24371.400000000009</v>
      </c>
      <c r="G402" s="1024">
        <f ca="1">IF(F402&lt;&gt;0,SUM($F$43:F402),0)</f>
        <v>-2735033.8425729997</v>
      </c>
      <c r="H402" s="1024" cm="1">
        <f t="array" aca="1" ref="H402" ca="1">IFERROR(IF(A402=A401,0,SUM(_xlfn._xlws.FILTER(E402:E411,(A402:A411=A402)*(E402:E411&gt;0)))),0)</f>
        <v>80341.400000000009</v>
      </c>
      <c r="I402" s="1024"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22">
        <f ca="1">IFERROR(C403*D403*_xlfn.XLOOKUP(B403,TabCalc[Ticker],TabCalc[Scale]),0)</f>
        <v>-55970</v>
      </c>
      <c r="F403" s="1023" cm="1">
        <f t="array" ref="F403">IF(A403=A402,0,SUM(_xlfn._xlws.FILTER(E403:E412,A403:A412=A403)))</f>
        <v>0</v>
      </c>
      <c r="G403" s="1024">
        <f>IF(F403&lt;&gt;0,SUM($F$43:F403),0)</f>
        <v>0</v>
      </c>
      <c r="H403" s="1024" cm="1">
        <f t="array" ref="H403">IFERROR(IF(A403=A402,0,SUM(_xlfn._xlws.FILTER(E403:E412,(A403:A412=A403)*(E403:E412&gt;0)))),0)</f>
        <v>0</v>
      </c>
      <c r="I403" s="1024"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22">
        <f ca="1">IFERROR(C404*D404*_xlfn.XLOOKUP(B404,TabCalc[Ticker],TabCalc[Scale]),0)</f>
        <v>965.02499999999998</v>
      </c>
      <c r="F404" s="1023" cm="1">
        <f t="array" aca="1" ref="F404" ca="1">IF(A404=A403,0,SUM(_xlfn._xlws.FILTER(E404:E413,A404:A413=A404)))</f>
        <v>965.02499999999998</v>
      </c>
      <c r="G404" s="1024">
        <f ca="1">IF(F404&lt;&gt;0,SUM($F$43:F404),0)</f>
        <v>-2734068.8175729997</v>
      </c>
      <c r="H404" s="1024" cm="1">
        <f t="array" aca="1" ref="H404" ca="1">IFERROR(IF(A404=A403,0,SUM(_xlfn._xlws.FILTER(E404:E413,(A404:A413=A404)*(E404:E413&gt;0)))),0)</f>
        <v>965.02499999999998</v>
      </c>
      <c r="I404" s="1024"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22">
        <f ca="1">IFERROR(C405*D405*_xlfn.XLOOKUP(B405,TabCalc[Ticker],TabCalc[Scale]),0)</f>
        <v>-2707.5</v>
      </c>
      <c r="F405" s="1023" cm="1">
        <f t="array" aca="1" ref="F405" ca="1">IF(A405=A404,0,SUM(_xlfn._xlws.FILTER(E405:E414,A405:A414=A405)))</f>
        <v>334724.875</v>
      </c>
      <c r="G405" s="1024">
        <f ca="1">IF(F405&lt;&gt;0,SUM($F$43:F405),0)</f>
        <v>-2399343.9425729997</v>
      </c>
      <c r="H405" s="1024" cm="1">
        <f t="array" aca="1" ref="H405" ca="1">IFERROR(IF(A405=A404,0,SUM(_xlfn._xlws.FILTER(E405:E414,(A405:A414=A405)*(E405:E414&gt;0)))),0)</f>
        <v>389693.47499999998</v>
      </c>
      <c r="I405" s="1024"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22">
        <f ca="1">IFERROR(C406*D406*_xlfn.XLOOKUP(B406,TabCalc[Ticker],TabCalc[Scale]),0)</f>
        <v>16250</v>
      </c>
      <c r="F406" s="1023" cm="1">
        <f t="array" ref="F406">IF(A406=A405,0,SUM(_xlfn._xlws.FILTER(E406:E415,A406:A415=A406)))</f>
        <v>0</v>
      </c>
      <c r="G406" s="1024">
        <f>IF(F406&lt;&gt;0,SUM($F$43:F406),0)</f>
        <v>0</v>
      </c>
      <c r="H406" s="1024" cm="1">
        <f t="array" ref="H406">IFERROR(IF(A406=A405,0,SUM(_xlfn._xlws.FILTER(E406:E415,(A406:A415=A406)*(E406:E415&gt;0)))),0)</f>
        <v>0</v>
      </c>
      <c r="I406" s="1024"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22">
        <f ca="1">IFERROR(C407*D407*_xlfn.XLOOKUP(B407,TabCalc[Ticker],TabCalc[Scale]),0)</f>
        <v>79750</v>
      </c>
      <c r="F407" s="1023" cm="1">
        <f t="array" ref="F407">IF(A407=A406,0,SUM(_xlfn._xlws.FILTER(E407:E416,A407:A416=A407)))</f>
        <v>0</v>
      </c>
      <c r="G407" s="1024">
        <f>IF(F407&lt;&gt;0,SUM($F$43:F407),0)</f>
        <v>0</v>
      </c>
      <c r="H407" s="1024" cm="1">
        <f t="array" ref="H407">IFERROR(IF(A407=A406,0,SUM(_xlfn._xlws.FILTER(E407:E416,(A407:A416=A407)*(E407:E416&gt;0)))),0)</f>
        <v>0</v>
      </c>
      <c r="I407" s="1024"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22">
        <f ca="1">IFERROR(C408*D408*_xlfn.XLOOKUP(B408,TabCalc[Ticker],TabCalc[Scale]),0)</f>
        <v>37343.474999999999</v>
      </c>
      <c r="F408" s="1023" cm="1">
        <f t="array" ref="F408">IF(A408=A407,0,SUM(_xlfn._xlws.FILTER(E408:E417,A408:A417=A408)))</f>
        <v>0</v>
      </c>
      <c r="G408" s="1024">
        <f>IF(F408&lt;&gt;0,SUM($F$43:F408),0)</f>
        <v>0</v>
      </c>
      <c r="H408" s="1024" cm="1">
        <f t="array" ref="H408">IFERROR(IF(A408=A407,0,SUM(_xlfn._xlws.FILTER(E408:E417,(A408:A417=A408)*(E408:E417&gt;0)))),0)</f>
        <v>0</v>
      </c>
      <c r="I408" s="1024"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22">
        <f ca="1">IFERROR(C409*D409*_xlfn.XLOOKUP(B409,TabCalc[Ticker],TabCalc[Scale]),0)</f>
        <v>132525</v>
      </c>
      <c r="F409" s="1023" cm="1">
        <f t="array" ref="F409">IF(A409=A408,0,SUM(_xlfn._xlws.FILTER(E409:E418,A409:A418=A409)))</f>
        <v>0</v>
      </c>
      <c r="G409" s="1024">
        <f>IF(F409&lt;&gt;0,SUM($F$43:F409),0)</f>
        <v>0</v>
      </c>
      <c r="H409" s="1024" cm="1">
        <f t="array" ref="H409">IFERROR(IF(A409=A408,0,SUM(_xlfn._xlws.FILTER(E409:E418,(A409:A418=A409)*(E409:E418&gt;0)))),0)</f>
        <v>0</v>
      </c>
      <c r="I409" s="1024"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22">
        <f ca="1">IFERROR(C410*D410*_xlfn.XLOOKUP(B410,TabCalc[Ticker],TabCalc[Scale]),0)</f>
        <v>123825</v>
      </c>
      <c r="F410" s="1023" cm="1">
        <f t="array" ref="F410">IF(A410=A409,0,SUM(_xlfn._xlws.FILTER(E410:E419,A410:A419=A410)))</f>
        <v>0</v>
      </c>
      <c r="G410" s="1024">
        <f>IF(F410&lt;&gt;0,SUM($F$43:F410),0)</f>
        <v>0</v>
      </c>
      <c r="H410" s="1024" cm="1">
        <f t="array" ref="H410">IFERROR(IF(A410=A409,0,SUM(_xlfn._xlws.FILTER(E410:E419,(A410:A419=A410)*(E410:E419&gt;0)))),0)</f>
        <v>0</v>
      </c>
      <c r="I410" s="1024" cm="1">
        <f t="array" ref="I410">IFERROR(IF(A410=A409,0,SUM(_xlfn._xlws.FILTER(E410:E419,(A410:A419=A410)*(F410&lt;0)))),0)</f>
        <v>0</v>
      </c>
      <c r="J410"/>
      <c r="K410"/>
      <c r="L410"/>
      <c r="M410"/>
      <c r="N410"/>
    </row>
    <row r="411" spans="1:14" hidden="1" x14ac:dyDescent="0.3">
      <c r="A411" s="449">
        <v>45855</v>
      </c>
      <c r="B411" s="462" t="s">
        <v>61</v>
      </c>
      <c r="C411" s="451">
        <v>9</v>
      </c>
      <c r="D411" s="645">
        <v>-37.9</v>
      </c>
      <c r="E411" s="1022">
        <f ca="1">IFERROR(C411*D411*_xlfn.XLOOKUP(B411,TabCalc[Ticker],TabCalc[Scale]),0)</f>
        <v>-341.09999999999997</v>
      </c>
      <c r="F411" s="1023" cm="1">
        <f t="array" ref="F411">IF(A411=A410,0,SUM(_xlfn._xlws.FILTER(E411:E420,A411:A420=A411)))</f>
        <v>0</v>
      </c>
      <c r="G411" s="1024">
        <f>IF(F411&lt;&gt;0,SUM($F$43:F411),0)</f>
        <v>0</v>
      </c>
      <c r="H411" s="1024" cm="1">
        <f t="array" ref="H411">IFERROR(IF(A411=A410,0,SUM(_xlfn._xlws.FILTER(E411:E420,(A411:A420=A411)*(E411:E420&gt;0)))),0)</f>
        <v>0</v>
      </c>
      <c r="I411" s="1024"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22">
        <f ca="1">IFERROR(C412*D412*_xlfn.XLOOKUP(B412,TabCalc[Ticker],TabCalc[Scale]),0)</f>
        <v>-51920.000000000007</v>
      </c>
      <c r="F412" s="1023" cm="1">
        <f t="array" ref="F412">IF(A412=A411,0,SUM(_xlfn._xlws.FILTER(E412:E421,A412:A421=A412)))</f>
        <v>0</v>
      </c>
      <c r="G412" s="1024">
        <f>IF(F412&lt;&gt;0,SUM($F$43:F412),0)</f>
        <v>0</v>
      </c>
      <c r="H412" s="1024" cm="1">
        <f t="array" ref="H412">IFERROR(IF(A412=A411,0,SUM(_xlfn._xlws.FILTER(E412:E421,(A412:A421=A412)*(E412:E421&gt;0)))),0)</f>
        <v>0</v>
      </c>
      <c r="I412" s="1024"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22">
        <f ca="1">IFERROR(C413*D413*_xlfn.XLOOKUP(B413,TabCalc[Ticker],TabCalc[Scale]),0)</f>
        <v>-63295.000000000007</v>
      </c>
      <c r="F413" s="1023" cm="1">
        <f t="array" aca="1" ref="F413" ca="1">IF(A413=A412,0,SUM(_xlfn._xlws.FILTER(E413:E422,A413:A422=A413)))</f>
        <v>-811179.82000000007</v>
      </c>
      <c r="G413" s="1024">
        <f ca="1">IF(F413&lt;&gt;0,SUM($F$43:F413),0)</f>
        <v>-3210523.762573</v>
      </c>
      <c r="H413" s="1024" cm="1">
        <f t="array" aca="1" ref="H413" ca="1">IFERROR(IF(A413=A412,0,SUM(_xlfn._xlws.FILTER(E413:E422,(A413:A422=A413)*(E413:E422&gt;0)))),0)</f>
        <v>0</v>
      </c>
      <c r="I413" s="1024"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22">
        <f ca="1">IFERROR(C414*D414*_xlfn.XLOOKUP(B414,TabCalc[Ticker],TabCalc[Scale]),0)</f>
        <v>-129100</v>
      </c>
      <c r="F414" s="1023" cm="1">
        <f t="array" ref="F414">IF(A414=A413,0,SUM(_xlfn._xlws.FILTER(E414:E423,A414:A423=A414)))</f>
        <v>0</v>
      </c>
      <c r="G414" s="1024">
        <f>IF(F414&lt;&gt;0,SUM($F$43:F414),0)</f>
        <v>0</v>
      </c>
      <c r="H414" s="1024" cm="1">
        <f t="array" ref="H414">IFERROR(IF(A414=A413,0,SUM(_xlfn._xlws.FILTER(E414:E423,(A414:A423=A414)*(E414:E423&gt;0)))),0)</f>
        <v>0</v>
      </c>
      <c r="I414" s="1024"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22">
        <f ca="1">IFERROR(C415*D415*_xlfn.XLOOKUP(B415,TabCalc[Ticker],TabCalc[Scale]),0)</f>
        <v>-1459.5749999999998</v>
      </c>
      <c r="F415" s="1023" cm="1">
        <f t="array" ref="F415">IF(A415=A414,0,SUM(_xlfn._xlws.FILTER(E415:E424,A415:A424=A415)))</f>
        <v>0</v>
      </c>
      <c r="G415" s="1024">
        <f>IF(F415&lt;&gt;0,SUM($F$43:F415),0)</f>
        <v>0</v>
      </c>
      <c r="H415" s="1024" cm="1">
        <f t="array" ref="H415">IFERROR(IF(A415=A414,0,SUM(_xlfn._xlws.FILTER(E415:E424,(A415:A424=A415)*(E415:E424&gt;0)))),0)</f>
        <v>0</v>
      </c>
      <c r="I415" s="1024"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22">
        <f ca="1">IFERROR(C416*D416*_xlfn.XLOOKUP(B416,TabCalc[Ticker],TabCalc[Scale]),0)</f>
        <v>-13034.244999999999</v>
      </c>
      <c r="F416" s="1023" cm="1">
        <f t="array" ref="F416">IF(A416=A415,0,SUM(_xlfn._xlws.FILTER(E416:E425,A416:A425=A416)))</f>
        <v>0</v>
      </c>
      <c r="G416" s="1024">
        <f>IF(F416&lt;&gt;0,SUM($F$43:F416),0)</f>
        <v>0</v>
      </c>
      <c r="H416" s="1024" cm="1">
        <f t="array" ref="H416">IFERROR(IF(A416=A415,0,SUM(_xlfn._xlws.FILTER(E416:E425,(A416:A425=A416)*(E416:E425&gt;0)))),0)</f>
        <v>0</v>
      </c>
      <c r="I416" s="1024"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22">
        <f ca="1">IFERROR(C417*D417*_xlfn.XLOOKUP(B417,TabCalc[Ticker],TabCalc[Scale]),0)</f>
        <v>-483596</v>
      </c>
      <c r="F417" s="1023" cm="1">
        <f t="array" ref="F417">IF(A417=A416,0,SUM(_xlfn._xlws.FILTER(E417:E426,A417:A426=A417)))</f>
        <v>0</v>
      </c>
      <c r="G417" s="1024">
        <f>IF(F417&lt;&gt;0,SUM($F$43:F417),0)</f>
        <v>0</v>
      </c>
      <c r="H417" s="1024" cm="1">
        <f t="array" ref="H417">IFERROR(IF(A417=A416,0,SUM(_xlfn._xlws.FILTER(E417:E426,(A417:A426=A417)*(E417:E426&gt;0)))),0)</f>
        <v>0</v>
      </c>
      <c r="I417" s="1024"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22">
        <f ca="1">IFERROR(C418*D418*_xlfn.XLOOKUP(B418,TabCalc[Ticker],TabCalc[Scale]),0)</f>
        <v>-120695</v>
      </c>
      <c r="F418" s="1023" cm="1">
        <f t="array" ref="F418">IF(A418=A417,0,SUM(_xlfn._xlws.FILTER(E418:E427,A418:A427=A418)))</f>
        <v>0</v>
      </c>
      <c r="G418" s="1024">
        <f>IF(F418&lt;&gt;0,SUM($F$43:F418),0)</f>
        <v>0</v>
      </c>
      <c r="H418" s="1024" cm="1">
        <f t="array" ref="H418">IFERROR(IF(A418=A417,0,SUM(_xlfn._xlws.FILTER(E418:E427,(A418:A427=A418)*(E418:E427&gt;0)))),0)</f>
        <v>0</v>
      </c>
      <c r="I418" s="1024"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22">
        <f ca="1">IFERROR(C419*D419*_xlfn.XLOOKUP(B419,TabCalc[Ticker],TabCalc[Scale]),0)</f>
        <v>-57920</v>
      </c>
      <c r="F419" s="1023" cm="1">
        <f t="array" aca="1" ref="F419" ca="1">IF(A419=A418,0,SUM(_xlfn._xlws.FILTER(E419:E428,A419:A428=A419)))</f>
        <v>-196609.1</v>
      </c>
      <c r="G419" s="1024">
        <f ca="1">IF(F419&lt;&gt;0,SUM($F$43:F419),0)</f>
        <v>-3407132.8625730001</v>
      </c>
      <c r="H419" s="1024" cm="1">
        <f t="array" aca="1" ref="H419" ca="1">IFERROR(IF(A419=A418,0,SUM(_xlfn._xlws.FILTER(E419:E428,(A419:A428=A419)*(E419:E428&gt;0)))),0)</f>
        <v>0</v>
      </c>
      <c r="I419" s="1024"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22">
        <f ca="1">IFERROR(C420*D420*_xlfn.XLOOKUP(B420,TabCalc[Ticker],TabCalc[Scale]),0)</f>
        <v>-138689.1</v>
      </c>
      <c r="F420" s="1023" cm="1">
        <f t="array" ref="F420">IF(A420=A419,0,SUM(_xlfn._xlws.FILTER(E420:E429,A420:A429=A420)))</f>
        <v>0</v>
      </c>
      <c r="G420" s="1024">
        <f>IF(F420&lt;&gt;0,SUM($F$43:F420),0)</f>
        <v>0</v>
      </c>
      <c r="H420" s="1024" cm="1">
        <f t="array" ref="H420">IFERROR(IF(A420=A419,0,SUM(_xlfn._xlws.FILTER(E420:E429,(A420:A429=A420)*(E420:E429&gt;0)))),0)</f>
        <v>0</v>
      </c>
      <c r="I420" s="1024"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22">
        <f ca="1">IFERROR(C421*D421*_xlfn.XLOOKUP(B421,TabCalc[Ticker],TabCalc[Scale]),0)</f>
        <v>-180765</v>
      </c>
      <c r="F421" s="1023" cm="1">
        <f t="array" aca="1" ref="F421" ca="1">IF(A421=A420,0,SUM(_xlfn._xlws.FILTER(E421:E430,A421:A430=A421)))</f>
        <v>-180765</v>
      </c>
      <c r="G421" s="1024">
        <f ca="1">IF(F421&lt;&gt;0,SUM($F$43:F421),0)</f>
        <v>-3587897.8625730001</v>
      </c>
      <c r="H421" s="1024" cm="1">
        <f t="array" aca="1" ref="H421" ca="1">IFERROR(IF(A421=A420,0,SUM(_xlfn._xlws.FILTER(E421:E430,(A421:A430=A421)*(E421:E430&gt;0)))),0)</f>
        <v>0</v>
      </c>
      <c r="I421" s="1024"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22">
        <f ca="1">IFERROR(C422*D422*_xlfn.XLOOKUP(B422,TabCalc[Ticker],TabCalc[Scale]),0)</f>
        <v>-50180</v>
      </c>
      <c r="F422" s="1023" cm="1">
        <f t="array" aca="1" ref="F422" ca="1">IF(A422=A421,0,SUM(_xlfn._xlws.FILTER(E422:E431,A422:A431=A422)))</f>
        <v>-393285</v>
      </c>
      <c r="G422" s="1024">
        <f ca="1">IF(F422&lt;&gt;0,SUM($F$43:F422),0)</f>
        <v>-3981182.8625730001</v>
      </c>
      <c r="H422" s="1024" cm="1">
        <f t="array" aca="1" ref="H422" ca="1">IFERROR(IF(A422=A421,0,SUM(_xlfn._xlws.FILTER(E422:E431,(A422:A431=A422)*(E422:E431&gt;0)))),0)</f>
        <v>0</v>
      </c>
      <c r="I422" s="1024"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22">
        <f ca="1">IFERROR(C423*D423*_xlfn.XLOOKUP(B423,TabCalc[Ticker],TabCalc[Scale]),0)</f>
        <v>-125425</v>
      </c>
      <c r="F423" s="1023" cm="1">
        <f t="array" ref="F423">IF(A423=A422,0,SUM(_xlfn._xlws.FILTER(E423:E432,A423:A432=A423)))</f>
        <v>0</v>
      </c>
      <c r="G423" s="1024">
        <f>IF(F423&lt;&gt;0,SUM($F$43:F423),0)</f>
        <v>0</v>
      </c>
      <c r="H423" s="1024" cm="1">
        <f t="array" ref="H423">IFERROR(IF(A423=A422,0,SUM(_xlfn._xlws.FILTER(E423:E432,(A423:A432=A423)*(E423:E432&gt;0)))),0)</f>
        <v>0</v>
      </c>
      <c r="I423" s="1024"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22">
        <f ca="1">IFERROR(C424*D424*_xlfn.XLOOKUP(B424,TabCalc[Ticker],TabCalc[Scale]),0)</f>
        <v>-217680</v>
      </c>
      <c r="F424" s="1023" cm="1">
        <f t="array" ref="F424">IF(A424=A423,0,SUM(_xlfn._xlws.FILTER(E424:E433,A424:A433=A424)))</f>
        <v>0</v>
      </c>
      <c r="G424" s="1024">
        <f>IF(F424&lt;&gt;0,SUM($F$43:F424),0)</f>
        <v>0</v>
      </c>
      <c r="H424" s="1024" cm="1">
        <f t="array" ref="H424">IFERROR(IF(A424=A423,0,SUM(_xlfn._xlws.FILTER(E424:E433,(A424:A433=A424)*(E424:E433&gt;0)))),0)</f>
        <v>0</v>
      </c>
      <c r="I424" s="1024"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22">
        <f ca="1">IFERROR(C425*D425*_xlfn.XLOOKUP(B425,TabCalc[Ticker],TabCalc[Scale]),0)</f>
        <v>-366300</v>
      </c>
      <c r="F425" s="1023" cm="1">
        <f t="array" aca="1" ref="F425" ca="1">IF(A425=A424,0,SUM(_xlfn._xlws.FILTER(E425:E434,A425:A434=A425)))</f>
        <v>-231614.27</v>
      </c>
      <c r="G425" s="1024">
        <f ca="1">IF(F425&lt;&gt;0,SUM($F$43:F425),0)</f>
        <v>-4212797.1325730002</v>
      </c>
      <c r="H425" s="1024" cm="1">
        <f t="array" aca="1" ref="H425" ca="1">IFERROR(IF(A425=A424,0,SUM(_xlfn._xlws.FILTER(E425:E434,(A425:A434=A425)*(E425:E434&gt;0)))),0)</f>
        <v>134685.73000000001</v>
      </c>
      <c r="I425" s="1024"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22">
        <f ca="1">IFERROR(C426*D426*_xlfn.XLOOKUP(B426,TabCalc[Ticker],TabCalc[Scale]),0)</f>
        <v>115520</v>
      </c>
      <c r="F426" s="1023" cm="1">
        <f t="array" ref="F426">IF(A426=A425,0,SUM(_xlfn._xlws.FILTER(E426:E435,A426:A435=A426)))</f>
        <v>0</v>
      </c>
      <c r="G426" s="1024">
        <f>IF(F426&lt;&gt;0,SUM($F$43:F426),0)</f>
        <v>0</v>
      </c>
      <c r="H426" s="1024" cm="1">
        <f t="array" ref="H426">IFERROR(IF(A426=A425,0,SUM(_xlfn._xlws.FILTER(E426:E435,(A426:A435=A426)*(E426:E435&gt;0)))),0)</f>
        <v>0</v>
      </c>
      <c r="I426" s="1024"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22">
        <f ca="1">IFERROR(C427*D427*_xlfn.XLOOKUP(B427,TabCalc[Ticker],TabCalc[Scale]),0)</f>
        <v>19165.73</v>
      </c>
      <c r="F427" s="1023" cm="1">
        <f t="array" ref="F427">IF(A427=A426,0,SUM(_xlfn._xlws.FILTER(E427:E436,A427:A436=A427)))</f>
        <v>0</v>
      </c>
      <c r="G427" s="1024">
        <f>IF(F427&lt;&gt;0,SUM($F$43:F427),0)</f>
        <v>0</v>
      </c>
      <c r="H427" s="1024" cm="1">
        <f t="array" ref="H427">IFERROR(IF(A427=A426,0,SUM(_xlfn._xlws.FILTER(E427:E436,(A427:A436=A427)*(E427:E436&gt;0)))),0)</f>
        <v>0</v>
      </c>
      <c r="I427" s="1024"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22">
        <f ca="1">IFERROR(C428*D428*_xlfn.XLOOKUP(B428,TabCalc[Ticker],TabCalc[Scale]),0)</f>
        <v>52196</v>
      </c>
      <c r="F428" s="1023" cm="1">
        <f t="array" aca="1" ref="F428" ca="1">IF(A428=A427,0,SUM(_xlfn._xlws.FILTER(E428:E437,A428:A437=A428)))</f>
        <v>111396</v>
      </c>
      <c r="G428" s="1024">
        <f ca="1">IF(F428&lt;&gt;0,SUM($F$43:F428),0)</f>
        <v>-4101401.1325730002</v>
      </c>
      <c r="H428" s="1024" cm="1">
        <f t="array" aca="1" ref="H428" ca="1">IFERROR(IF(A428=A427,0,SUM(_xlfn._xlws.FILTER(E428:E437,(A428:A437=A428)*(E428:E437&gt;0)))),0)</f>
        <v>263576</v>
      </c>
      <c r="I428" s="1024"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22">
        <f ca="1">IFERROR(C429*D429*_xlfn.XLOOKUP(B429,TabCalc[Ticker],TabCalc[Scale]),0)</f>
        <v>145080</v>
      </c>
      <c r="F429" s="1023" cm="1">
        <f t="array" ref="F429">IF(A429=A428,0,SUM(_xlfn._xlws.FILTER(E429:E438,A429:A438=A429)))</f>
        <v>0</v>
      </c>
      <c r="G429" s="1024">
        <f>IF(F429&lt;&gt;0,SUM($F$43:F429),0)</f>
        <v>0</v>
      </c>
      <c r="H429" s="1024" cm="1">
        <f t="array" ref="H429">IFERROR(IF(A429=A428,0,SUM(_xlfn._xlws.FILTER(E429:E438,(A429:A438=A429)*(E429:E438&gt;0)))),0)</f>
        <v>0</v>
      </c>
      <c r="I429" s="1024"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22">
        <f ca="1">IFERROR(C430*D430*_xlfn.XLOOKUP(B430,TabCalc[Ticker],TabCalc[Scale]),0)</f>
        <v>-152180</v>
      </c>
      <c r="F430" s="1023" cm="1">
        <f t="array" ref="F430">IF(A430=A429,0,SUM(_xlfn._xlws.FILTER(E430:E439,A430:A439=A430)))</f>
        <v>0</v>
      </c>
      <c r="G430" s="1024">
        <f>IF(F430&lt;&gt;0,SUM($F$43:F430),0)</f>
        <v>0</v>
      </c>
      <c r="H430" s="1024" cm="1">
        <f t="array" ref="H430">IFERROR(IF(A430=A429,0,SUM(_xlfn._xlws.FILTER(E430:E439,(A430:A439=A430)*(E430:E439&gt;0)))),0)</f>
        <v>0</v>
      </c>
      <c r="I430" s="1024"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22">
        <f ca="1">IFERROR(C431*D431*_xlfn.XLOOKUP(B431,TabCalc[Ticker],TabCalc[Scale]),0)</f>
        <v>66300</v>
      </c>
      <c r="F431" s="1023" cm="1">
        <f t="array" ref="F431">IF(A431=A430,0,SUM(_xlfn._xlws.FILTER(E431:E440,A431:A440=A431)))</f>
        <v>0</v>
      </c>
      <c r="G431" s="1024">
        <f>IF(F431&lt;&gt;0,SUM($F$43:F431),0)</f>
        <v>0</v>
      </c>
      <c r="H431" s="1024" cm="1">
        <f t="array" ref="H431">IFERROR(IF(A431=A430,0,SUM(_xlfn._xlws.FILTER(E431:E440,(A431:A440=A431)*(E431:E440&gt;0)))),0)</f>
        <v>0</v>
      </c>
      <c r="I431" s="1024"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22">
        <f ca="1">IFERROR(C432*D432*_xlfn.XLOOKUP(B432,TabCalc[Ticker],TabCalc[Scale]),0)</f>
        <v>-76000</v>
      </c>
      <c r="F432" s="1023" cm="1">
        <f t="array" aca="1" ref="F432" ca="1">IF(A432=A431,0,SUM(_xlfn._xlws.FILTER(E432:E441,A432:A441=A432)))</f>
        <v>-76000</v>
      </c>
      <c r="G432" s="1024">
        <f ca="1">IF(F432&lt;&gt;0,SUM($F$43:F432),0)</f>
        <v>-4177401.1325730002</v>
      </c>
      <c r="H432" s="1024" cm="1">
        <f t="array" aca="1" ref="H432" ca="1">IFERROR(IF(A432=A431,0,SUM(_xlfn._xlws.FILTER(E432:E441,(A432:A441=A432)*(E432:E441&gt;0)))),0)</f>
        <v>0</v>
      </c>
      <c r="I432" s="1024"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22">
        <f ca="1">IFERROR(C433*D433*_xlfn.XLOOKUP(B433,TabCalc[Ticker],TabCalc[Scale]),0)</f>
        <v>59280</v>
      </c>
      <c r="F433" s="1023" cm="1">
        <f t="array" aca="1" ref="F433" ca="1">IF(A433=A432,0,SUM(_xlfn._xlws.FILTER(E433:E442,A433:A442=A433)))</f>
        <v>-394920</v>
      </c>
      <c r="G433" s="1024">
        <f ca="1">IF(F433&lt;&gt;0,SUM($F$43:F433),0)</f>
        <v>-4572321.1325730002</v>
      </c>
      <c r="H433" s="1024" cm="1">
        <f t="array" aca="1" ref="H433" ca="1">IFERROR(IF(A433=A432,0,SUM(_xlfn._xlws.FILTER(E433:E442,(A433:A442=A433)*(E433:E442&gt;0)))),0)</f>
        <v>59280</v>
      </c>
      <c r="I433" s="1024"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22">
        <f ca="1">IFERROR(C434*D434*_xlfn.XLOOKUP(B434,TabCalc[Ticker],TabCalc[Scale]),0)</f>
        <v>-357000</v>
      </c>
      <c r="F434" s="1023" cm="1">
        <f t="array" ref="F434">IF(A434=A433,0,SUM(_xlfn._xlws.FILTER(E434:E443,A434:A443=A434)))</f>
        <v>0</v>
      </c>
      <c r="G434" s="1024">
        <f>IF(F434&lt;&gt;0,SUM($F$43:F434),0)</f>
        <v>0</v>
      </c>
      <c r="H434" s="1024" cm="1">
        <f t="array" ref="H434">IFERROR(IF(A434=A433,0,SUM(_xlfn._xlws.FILTER(E434:E443,(A434:A443=A434)*(E434:E443&gt;0)))),0)</f>
        <v>0</v>
      </c>
      <c r="I434" s="1024"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22">
        <f ca="1">IFERROR(C435*D435*_xlfn.XLOOKUP(B435,TabCalc[Ticker],TabCalc[Scale]),0)</f>
        <v>-97200</v>
      </c>
      <c r="F435" s="1023" cm="1">
        <f t="array" ref="F435">IF(A435=A434,0,SUM(_xlfn._xlws.FILTER(E435:E444,A435:A444=A435)))</f>
        <v>0</v>
      </c>
      <c r="G435" s="1024">
        <f>IF(F435&lt;&gt;0,SUM($F$43:F435),0)</f>
        <v>0</v>
      </c>
      <c r="H435" s="1024" cm="1">
        <f t="array" ref="H435">IFERROR(IF(A435=A434,0,SUM(_xlfn._xlws.FILTER(E435:E444,(A435:A444=A435)*(E435:E444&gt;0)))),0)</f>
        <v>0</v>
      </c>
      <c r="I435" s="1024"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22">
        <f ca="1">IFERROR(C436*D436*_xlfn.XLOOKUP(B436,TabCalc[Ticker],TabCalc[Scale]),0)</f>
        <v>-430040</v>
      </c>
      <c r="F436" s="1023" cm="1">
        <f t="array" aca="1" ref="F436" ca="1">IF(A436=A435,0,SUM(_xlfn._xlws.FILTER(E436:E445,A436:A445=A436)))</f>
        <v>-665290</v>
      </c>
      <c r="G436" s="1024">
        <f ca="1">IF(F436&lt;&gt;0,SUM($F$43:F436),0)</f>
        <v>-5237611.1325730002</v>
      </c>
      <c r="H436" s="1024" cm="1">
        <f t="array" aca="1" ref="H436" ca="1">IFERROR(IF(A436=A435,0,SUM(_xlfn._xlws.FILTER(E436:E445,(A436:A445=A436)*(E436:E445&gt;0)))),0)</f>
        <v>0</v>
      </c>
      <c r="I436" s="1024"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22">
        <f ca="1">IFERROR(C437*D437*_xlfn.XLOOKUP(B437,TabCalc[Ticker],TabCalc[Scale]),0)</f>
        <v>-235250</v>
      </c>
      <c r="F437" s="1023" cm="1">
        <f t="array" ref="F437">IF(A437=A436,0,SUM(_xlfn._xlws.FILTER(E437:E446,A437:A446=A437)))</f>
        <v>0</v>
      </c>
      <c r="G437" s="1024">
        <f>IF(F437&lt;&gt;0,SUM($F$43:F437),0)</f>
        <v>0</v>
      </c>
      <c r="H437" s="1024" cm="1">
        <f t="array" ref="H437">IFERROR(IF(A437=A436,0,SUM(_xlfn._xlws.FILTER(E437:E446,(A437:A446=A437)*(E437:E446&gt;0)))),0)</f>
        <v>0</v>
      </c>
      <c r="I437" s="1024"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22">
        <f ca="1">IFERROR(C438*D438*_xlfn.XLOOKUP(B438,TabCalc[Ticker],TabCalc[Scale]),0)</f>
        <v>-299650</v>
      </c>
      <c r="F438" s="1023" cm="1">
        <f t="array" aca="1" ref="F438" ca="1">IF(A438=A437,0,SUM(_xlfn._xlws.FILTER(E438:E447,A438:A447=A438)))</f>
        <v>-417850</v>
      </c>
      <c r="G438" s="1024">
        <f ca="1">IF(F438&lt;&gt;0,SUM($F$43:F438),0)</f>
        <v>-5655461.1325730002</v>
      </c>
      <c r="H438" s="1024" cm="1">
        <f t="array" aca="1" ref="H438" ca="1">IFERROR(IF(A438=A437,0,SUM(_xlfn._xlws.FILTER(E438:E447,(A438:A447=A438)*(E438:E447&gt;0)))),0)</f>
        <v>0</v>
      </c>
      <c r="I438" s="1024"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22">
        <f ca="1">IFERROR(C439*D439*_xlfn.XLOOKUP(B439,TabCalc[Ticker],TabCalc[Scale]),0)</f>
        <v>-118200</v>
      </c>
      <c r="F439" s="1023" cm="1">
        <f t="array" ref="F439">IF(A439=A438,0,SUM(_xlfn._xlws.FILTER(E439:E448,A439:A448=A439)))</f>
        <v>0</v>
      </c>
      <c r="G439" s="1024">
        <f>IF(F439&lt;&gt;0,SUM($F$43:F439),0)</f>
        <v>0</v>
      </c>
      <c r="H439" s="1024" cm="1">
        <f t="array" ref="H439">IFERROR(IF(A439=A438,0,SUM(_xlfn._xlws.FILTER(E439:E448,(A439:A448=A439)*(E439:E448&gt;0)))),0)</f>
        <v>0</v>
      </c>
      <c r="I439" s="1024"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22">
        <f ca="1">IFERROR(C440*D440*_xlfn.XLOOKUP(B440,TabCalc[Ticker],TabCalc[Scale]),0)</f>
        <v>82550.000000000015</v>
      </c>
      <c r="F440" s="1023" cm="1">
        <f t="array" aca="1" ref="F440" ca="1">IF(A440=A439,0,SUM(_xlfn._xlws.FILTER(E440:E449,A440:A449=A440)))</f>
        <v>82550.000000000015</v>
      </c>
      <c r="G440" s="1024">
        <f ca="1">IF(F440&lt;&gt;0,SUM($F$43:F440),0)</f>
        <v>-5572911.1325730002</v>
      </c>
      <c r="H440" s="1024" cm="1">
        <f t="array" aca="1" ref="H440" ca="1">IFERROR(IF(A440=A439,0,SUM(_xlfn._xlws.FILTER(E440:E449,(A440:A449=A440)*(E440:E449&gt;0)))),0)</f>
        <v>82550.000000000015</v>
      </c>
      <c r="I440" s="1024"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22">
        <f ca="1">IFERROR(C441*D441*_xlfn.XLOOKUP(B441,TabCalc[Ticker],TabCalc[Scale]),0)</f>
        <v>63400</v>
      </c>
      <c r="F441" s="1023" cm="1">
        <f t="array" aca="1" ref="F441" ca="1">IF(A441=A440,0,SUM(_xlfn._xlws.FILTER(E441:E450,A441:A450=A441)))</f>
        <v>63400</v>
      </c>
      <c r="G441" s="1024">
        <f ca="1">IF(F441&lt;&gt;0,SUM($F$43:F441),0)</f>
        <v>-5509511.1325730002</v>
      </c>
      <c r="H441" s="1024" cm="1">
        <f t="array" aca="1" ref="H441" ca="1">IFERROR(IF(A441=A440,0,SUM(_xlfn._xlws.FILTER(E441:E450,(A441:A450=A441)*(E441:E450&gt;0)))),0)</f>
        <v>63400</v>
      </c>
      <c r="I441" s="1024"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22">
        <f ca="1">IFERROR(C442*D442*_xlfn.XLOOKUP(B442,TabCalc[Ticker],TabCalc[Scale]),0)</f>
        <v>-115992.54999999999</v>
      </c>
      <c r="F442" s="1023" cm="1">
        <f t="array" aca="1" ref="F442" ca="1">IF(A442=A441,0,SUM(_xlfn._xlws.FILTER(E442:E451,A442:A451=A442)))</f>
        <v>-115992.54999999999</v>
      </c>
      <c r="G442" s="1024">
        <f ca="1">IF(F442&lt;&gt;0,SUM($F$43:F442),0)</f>
        <v>-5625503.682573</v>
      </c>
      <c r="H442" s="1024" cm="1">
        <f t="array" aca="1" ref="H442" ca="1">IFERROR(IF(A442=A441,0,SUM(_xlfn._xlws.FILTER(E442:E451,(A442:A451=A442)*(E442:E451&gt;0)))),0)</f>
        <v>0</v>
      </c>
      <c r="I442" s="1024"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22">
        <f ca="1">IFERROR(C443*D443*_xlfn.XLOOKUP(B443,TabCalc[Ticker],TabCalc[Scale]),0)</f>
        <v>-38150</v>
      </c>
      <c r="F443" s="1023" cm="1">
        <f t="array" aca="1" ref="F443" ca="1">IF(A443=A442,0,SUM(_xlfn._xlws.FILTER(E443:E452,A443:A452=A443)))</f>
        <v>36090</v>
      </c>
      <c r="G443" s="1024">
        <f ca="1">IF(F443&lt;&gt;0,SUM($F$43:F443),0)</f>
        <v>-5589413.682573</v>
      </c>
      <c r="H443" s="1024" cm="1">
        <f t="array" aca="1" ref="H443" ca="1">IFERROR(IF(A443=A442,0,SUM(_xlfn._xlws.FILTER(E443:E452,(A443:A452=A443)*(E443:E452&gt;0)))),0)</f>
        <v>74240</v>
      </c>
      <c r="I443" s="1024"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22">
        <f ca="1">IFERROR(C444*D444*_xlfn.XLOOKUP(B444,TabCalc[Ticker],TabCalc[Scale]),0)</f>
        <v>74240</v>
      </c>
      <c r="F444" s="1023" cm="1">
        <f t="array" ref="F444">IF(A444=A443,0,SUM(_xlfn._xlws.FILTER(E444:E453,A444:A453=A444)))</f>
        <v>0</v>
      </c>
      <c r="G444" s="1024">
        <f>IF(F444&lt;&gt;0,SUM($F$43:F444),0)</f>
        <v>0</v>
      </c>
      <c r="H444" s="1024" cm="1">
        <f t="array" ref="H444">IFERROR(IF(A444=A443,0,SUM(_xlfn._xlws.FILTER(E444:E453,(A444:A453=A444)*(E444:E453&gt;0)))),0)</f>
        <v>0</v>
      </c>
      <c r="I444" s="1024"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22">
        <f ca="1">IFERROR(C445*D445*_xlfn.XLOOKUP(B445,TabCalc[Ticker],TabCalc[Scale]),0)</f>
        <v>-53280</v>
      </c>
      <c r="F445" s="1023" cm="1">
        <f t="array" aca="1" ref="F445" ca="1">IF(A445=A444,0,SUM(_xlfn._xlws.FILTER(E445:E454,A445:A454=A445)))</f>
        <v>-53280</v>
      </c>
      <c r="G445" s="1024">
        <f ca="1">IF(F445&lt;&gt;0,SUM($F$43:F445),0)</f>
        <v>-5642693.682573</v>
      </c>
      <c r="H445" s="1024" cm="1">
        <f t="array" aca="1" ref="H445" ca="1">IFERROR(IF(A445=A444,0,SUM(_xlfn._xlws.FILTER(E445:E454,(A445:A454=A445)*(E445:E454&gt;0)))),0)</f>
        <v>0</v>
      </c>
      <c r="I445" s="1024"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22">
        <f ca="1">IFERROR(C446*D446*_xlfn.XLOOKUP(B446,TabCalc[Ticker],TabCalc[Scale]),0)</f>
        <v>-117589.1</v>
      </c>
      <c r="F446" s="1023" cm="1">
        <f t="array" aca="1" ref="F446" ca="1">IF(A446=A445,0,SUM(_xlfn._xlws.FILTER(E446:E455,A446:A455=A446)))</f>
        <v>-160639.1</v>
      </c>
      <c r="G446" s="1024">
        <f ca="1">IF(F446&lt;&gt;0,SUM($F$43:F446),0)</f>
        <v>-5803332.7825729996</v>
      </c>
      <c r="H446" s="1024" cm="1">
        <f t="array" aca="1" ref="H446" ca="1">IFERROR(IF(A446=A445,0,SUM(_xlfn._xlws.FILTER(E446:E455,(A446:A455=A446)*(E446:E455&gt;0)))),0)</f>
        <v>0</v>
      </c>
      <c r="I446" s="1024"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22">
        <f ca="1">IFERROR(C447*D447*_xlfn.XLOOKUP(B447,TabCalc[Ticker],TabCalc[Scale]),0)</f>
        <v>-43050</v>
      </c>
      <c r="F447" s="1023" cm="1">
        <f t="array" ref="F447">IF(A447=A446,0,SUM(_xlfn._xlws.FILTER(E447:E456,A447:A456=A447)))</f>
        <v>0</v>
      </c>
      <c r="G447" s="1024">
        <f>IF(F447&lt;&gt;0,SUM($F$43:F447),0)</f>
        <v>0</v>
      </c>
      <c r="H447" s="1024" cm="1">
        <f t="array" ref="H447">IFERROR(IF(A447=A446,0,SUM(_xlfn._xlws.FILTER(E447:E456,(A447:A456=A447)*(E447:E456&gt;0)))),0)</f>
        <v>0</v>
      </c>
      <c r="I447" s="1024"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22">
        <f ca="1">IFERROR(C448*D448*_xlfn.XLOOKUP(B448,TabCalc[Ticker],TabCalc[Scale]),0)</f>
        <v>108320</v>
      </c>
      <c r="F448" s="1023" cm="1">
        <f t="array" aca="1" ref="F448" ca="1">IF(A448=A447,0,SUM(_xlfn._xlws.FILTER(E448:E457,A448:A457=A448)))</f>
        <v>677730</v>
      </c>
      <c r="G448" s="1024">
        <f ca="1">IF(F448&lt;&gt;0,SUM($F$43:F448),0)</f>
        <v>-5125602.7825729996</v>
      </c>
      <c r="H448" s="1024" cm="1">
        <f t="array" aca="1" ref="H448" ca="1">IFERROR(IF(A448=A447,0,SUM(_xlfn._xlws.FILTER(E448:E457,(A448:A457=A448)*(E448:E457&gt;0)))),0)</f>
        <v>677730</v>
      </c>
      <c r="I448" s="1024"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22">
        <f ca="1">IFERROR(C449*D449*_xlfn.XLOOKUP(B449,TabCalc[Ticker],TabCalc[Scale]),0)</f>
        <v>92040</v>
      </c>
      <c r="F449" s="1023" cm="1">
        <f t="array" ref="F449">IF(A449=A448,0,SUM(_xlfn._xlws.FILTER(E449:E458,A449:A458=A449)))</f>
        <v>0</v>
      </c>
      <c r="G449" s="1024">
        <f>IF(F449&lt;&gt;0,SUM($F$43:F449),0)</f>
        <v>0</v>
      </c>
      <c r="H449" s="1024" cm="1">
        <f t="array" ref="H449">IFERROR(IF(A449=A448,0,SUM(_xlfn._xlws.FILTER(E449:E458,(A449:A458=A449)*(E449:E458&gt;0)))),0)</f>
        <v>0</v>
      </c>
      <c r="I449" s="1024"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22">
        <f ca="1">IFERROR(C450*D450*_xlfn.XLOOKUP(B450,TabCalc[Ticker],TabCalc[Scale]),0)</f>
        <v>159020</v>
      </c>
      <c r="F450" s="1023" cm="1">
        <f t="array" ref="F450">IF(A450=A449,0,SUM(_xlfn._xlws.FILTER(E450:E459,A450:A459=A450)))</f>
        <v>0</v>
      </c>
      <c r="G450" s="1024">
        <f>IF(F450&lt;&gt;0,SUM($F$43:F450),0)</f>
        <v>0</v>
      </c>
      <c r="H450" s="1024" cm="1">
        <f t="array" ref="H450">IFERROR(IF(A450=A449,0,SUM(_xlfn._xlws.FILTER(E450:E459,(A450:A459=A450)*(E450:E459&gt;0)))),0)</f>
        <v>0</v>
      </c>
      <c r="I450" s="1024"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22">
        <f ca="1">IFERROR(C451*D451*_xlfn.XLOOKUP(B451,TabCalc[Ticker],TabCalc[Scale]),0)</f>
        <v>318350</v>
      </c>
      <c r="F451" s="1023" cm="1">
        <f t="array" ref="F451">IF(A451=A450,0,SUM(_xlfn._xlws.FILTER(E451:E460,A451:A460=A451)))</f>
        <v>0</v>
      </c>
      <c r="G451" s="1024">
        <f>IF(F451&lt;&gt;0,SUM($F$43:F451),0)</f>
        <v>0</v>
      </c>
      <c r="H451" s="1024" cm="1">
        <f t="array" ref="H451">IFERROR(IF(A451=A450,0,SUM(_xlfn._xlws.FILTER(E451:E460,(A451:A460=A451)*(E451:E460&gt;0)))),0)</f>
        <v>0</v>
      </c>
      <c r="I451" s="1024"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22">
        <f ca="1">IFERROR(C452*D452*_xlfn.XLOOKUP(B452,TabCalc[Ticker],TabCalc[Scale]),0)</f>
        <v>323100</v>
      </c>
      <c r="F452" s="1023" cm="1">
        <f t="array" aca="1" ref="F452" ca="1">IF(A452=A451,0,SUM(_xlfn._xlws.FILTER(E452:E461,A452:A461=A452)))</f>
        <v>808100</v>
      </c>
      <c r="G452" s="1024">
        <f ca="1">IF(F452&lt;&gt;0,SUM($F$43:F452),0)</f>
        <v>-4317502.7825729996</v>
      </c>
      <c r="H452" s="1024" cm="1">
        <f t="array" aca="1" ref="H452" ca="1">IFERROR(IF(A452=A451,0,SUM(_xlfn._xlws.FILTER(E452:E461,(A452:A461=A452)*(E452:E461&gt;0)))),0)</f>
        <v>808100</v>
      </c>
      <c r="I452" s="1024"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22">
        <f ca="1">IFERROR(C453*D453*_xlfn.XLOOKUP(B453,TabCalc[Ticker],TabCalc[Scale]),0)</f>
        <v>140240</v>
      </c>
      <c r="F453" s="1023" cm="1">
        <f t="array" ref="F453">IF(A453=A452,0,SUM(_xlfn._xlws.FILTER(E453:E462,A453:A462=A453)))</f>
        <v>0</v>
      </c>
      <c r="G453" s="1024">
        <f>IF(F453&lt;&gt;0,SUM($F$43:F453),0)</f>
        <v>0</v>
      </c>
      <c r="H453" s="1024" cm="1">
        <f t="array" ref="H453">IFERROR(IF(A453=A452,0,SUM(_xlfn._xlws.FILTER(E453:E462,(A453:A462=A453)*(E453:E462&gt;0)))),0)</f>
        <v>0</v>
      </c>
      <c r="I453" s="1024"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22">
        <f ca="1">IFERROR(C454*D454*_xlfn.XLOOKUP(B454,TabCalc[Ticker],TabCalc[Scale]),0)</f>
        <v>32030</v>
      </c>
      <c r="F454" s="1023" cm="1">
        <f t="array" ref="F454">IF(A454=A453,0,SUM(_xlfn._xlws.FILTER(E454:E463,A454:A463=A454)))</f>
        <v>0</v>
      </c>
      <c r="G454" s="1024">
        <f>IF(F454&lt;&gt;0,SUM($F$43:F454),0)</f>
        <v>0</v>
      </c>
      <c r="H454" s="1024" cm="1">
        <f t="array" ref="H454">IFERROR(IF(A454=A453,0,SUM(_xlfn._xlws.FILTER(E454:E463,(A454:A463=A454)*(E454:E463&gt;0)))),0)</f>
        <v>0</v>
      </c>
      <c r="I454" s="1024"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22">
        <f ca="1">IFERROR(C455*D455*_xlfn.XLOOKUP(B455,TabCalc[Ticker],TabCalc[Scale]),0)</f>
        <v>228629.99999999997</v>
      </c>
      <c r="F455" s="1023" cm="1">
        <f t="array" ref="F455">IF(A455=A454,0,SUM(_xlfn._xlws.FILTER(E455:E464,A455:A464=A455)))</f>
        <v>0</v>
      </c>
      <c r="G455" s="1024">
        <f>IF(F455&lt;&gt;0,SUM($F$43:F455),0)</f>
        <v>0</v>
      </c>
      <c r="H455" s="1024" cm="1">
        <f t="array" ref="H455">IFERROR(IF(A455=A454,0,SUM(_xlfn._xlws.FILTER(E455:E464,(A455:A464=A455)*(E455:E464&gt;0)))),0)</f>
        <v>0</v>
      </c>
      <c r="I455" s="1024"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22">
        <f ca="1">IFERROR(C456*D456*_xlfn.XLOOKUP(B456,TabCalc[Ticker],TabCalc[Scale]),0)</f>
        <v>84100</v>
      </c>
      <c r="F456" s="1023" cm="1">
        <f t="array" ref="F456">IF(A456=A455,0,SUM(_xlfn._xlws.FILTER(E456:E465,A456:A465=A456)))</f>
        <v>0</v>
      </c>
      <c r="G456" s="1024">
        <f>IF(F456&lt;&gt;0,SUM($F$43:F456),0)</f>
        <v>0</v>
      </c>
      <c r="H456" s="1024" cm="1">
        <f t="array" ref="H456">IFERROR(IF(A456=A455,0,SUM(_xlfn._xlws.FILTER(E456:E465,(A456:A465=A456)*(E456:E465&gt;0)))),0)</f>
        <v>0</v>
      </c>
      <c r="I456" s="1024"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22">
        <f ca="1">IFERROR(C457*D457*_xlfn.XLOOKUP(B457,TabCalc[Ticker],TabCalc[Scale]),0)</f>
        <v>41420</v>
      </c>
      <c r="F457" s="1023" cm="1">
        <f t="array" aca="1" ref="F457" ca="1">IF(A457=A456,0,SUM(_xlfn._xlws.FILTER(E457:E466,A457:A466=A457)))</f>
        <v>331480</v>
      </c>
      <c r="G457" s="1024">
        <f ca="1">IF(F457&lt;&gt;0,SUM($F$43:F457),0)</f>
        <v>-3986022.7825729996</v>
      </c>
      <c r="H457" s="1024" cm="1">
        <f t="array" aca="1" ref="H457" ca="1">IFERROR(IF(A457=A456,0,SUM(_xlfn._xlws.FILTER(E457:E466,(A457:A466=A457)*(E457:E466&gt;0)))),0)</f>
        <v>331480</v>
      </c>
      <c r="I457" s="1024"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22">
        <f ca="1">IFERROR(C458*D458*_xlfn.XLOOKUP(B458,TabCalc[Ticker],TabCalc[Scale]),0)</f>
        <v>75420</v>
      </c>
      <c r="F458" s="1023" cm="1">
        <f t="array" ref="F458">IF(A458=A457,0,SUM(_xlfn._xlws.FILTER(E458:E467,A458:A467=A458)))</f>
        <v>0</v>
      </c>
      <c r="G458" s="1024">
        <f>IF(F458&lt;&gt;0,SUM($F$43:F458),0)</f>
        <v>0</v>
      </c>
      <c r="H458" s="1024" cm="1">
        <f t="array" ref="H458">IFERROR(IF(A458=A457,0,SUM(_xlfn._xlws.FILTER(E458:E467,(A458:A467=A458)*(E458:E467&gt;0)))),0)</f>
        <v>0</v>
      </c>
      <c r="I458" s="1024"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22">
        <f ca="1">IFERROR(C459*D459*_xlfn.XLOOKUP(B459,TabCalc[Ticker],TabCalc[Scale]),0)</f>
        <v>44900</v>
      </c>
      <c r="F459" s="1023" cm="1">
        <f t="array" ref="F459">IF(A459=A458,0,SUM(_xlfn._xlws.FILTER(E459:E468,A459:A468=A459)))</f>
        <v>0</v>
      </c>
      <c r="G459" s="1024">
        <f>IF(F459&lt;&gt;0,SUM($F$43:F459),0)</f>
        <v>0</v>
      </c>
      <c r="H459" s="1024" cm="1">
        <f t="array" ref="H459">IFERROR(IF(A459=A458,0,SUM(_xlfn._xlws.FILTER(E459:E468,(A459:A468=A459)*(E459:E468&gt;0)))),0)</f>
        <v>0</v>
      </c>
      <c r="I459" s="1024"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22">
        <f ca="1">IFERROR(C460*D460*_xlfn.XLOOKUP(B460,TabCalc[Ticker],TabCalc[Scale]),0)</f>
        <v>52900</v>
      </c>
      <c r="F460" s="1023" cm="1">
        <f t="array" ref="F460">IF(A460=A459,0,SUM(_xlfn._xlws.FILTER(E460:E469,A460:A469=A460)))</f>
        <v>0</v>
      </c>
      <c r="G460" s="1024">
        <f>IF(F460&lt;&gt;0,SUM($F$43:F460),0)</f>
        <v>0</v>
      </c>
      <c r="H460" s="1024" cm="1">
        <f t="array" ref="H460">IFERROR(IF(A460=A459,0,SUM(_xlfn._xlws.FILTER(E460:E469,(A460:A469=A460)*(E460:E469&gt;0)))),0)</f>
        <v>0</v>
      </c>
      <c r="I460" s="1024"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22">
        <f ca="1">IFERROR(C461*D461*_xlfn.XLOOKUP(B461,TabCalc[Ticker],TabCalc[Scale]),0)</f>
        <v>-13500</v>
      </c>
      <c r="F461" s="1023" cm="1">
        <f t="array" aca="1" ref="F461" ca="1">IF(A461=A460,0,SUM(_xlfn._xlws.FILTER(E461:E470,A461:A470=A461)))</f>
        <v>261732</v>
      </c>
      <c r="G461" s="1024">
        <f ca="1">IF(F461&lt;&gt;0,SUM($F$43:F461),0)</f>
        <v>-3724290.7825729996</v>
      </c>
      <c r="H461" s="1024" cm="1">
        <f t="array" aca="1" ref="H461" ca="1">IFERROR(IF(A461=A460,0,SUM(_xlfn._xlws.FILTER(E461:E470,(A461:A470=A461)*(E461:E470&gt;0)))),0)</f>
        <v>288732</v>
      </c>
      <c r="I461" s="1024"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22">
        <f ca="1">IFERROR(C462*D462*_xlfn.XLOOKUP(B462,TabCalc[Ticker],TabCalc[Scale]),0)</f>
        <v>113946</v>
      </c>
      <c r="F462" s="1023" cm="1">
        <f t="array" ref="F462">IF(A462=A461,0,SUM(_xlfn._xlws.FILTER(E462:E471,A462:A471=A462)))</f>
        <v>0</v>
      </c>
      <c r="G462" s="1024">
        <f>IF(F462&lt;&gt;0,SUM($F$43:F462),0)</f>
        <v>0</v>
      </c>
      <c r="H462" s="1024" cm="1">
        <f t="array" ref="H462">IFERROR(IF(A462=A461,0,SUM(_xlfn._xlws.FILTER(E462:E471,(A462:A471=A462)*(E462:E471&gt;0)))),0)</f>
        <v>0</v>
      </c>
      <c r="I462" s="1024"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22">
        <f ca="1">IFERROR(C463*D463*_xlfn.XLOOKUP(B463,TabCalc[Ticker],TabCalc[Scale]),0)</f>
        <v>30420</v>
      </c>
      <c r="F463" s="1023" cm="1">
        <f t="array" ref="F463">IF(A463=A462,0,SUM(_xlfn._xlws.FILTER(E463:E472,A463:A472=A463)))</f>
        <v>0</v>
      </c>
      <c r="G463" s="1024">
        <f>IF(F463&lt;&gt;0,SUM($F$43:F463),0)</f>
        <v>0</v>
      </c>
      <c r="H463" s="1024" cm="1">
        <f t="array" ref="H463">IFERROR(IF(A463=A462,0,SUM(_xlfn._xlws.FILTER(E463:E472,(A463:A472=A463)*(E463:E472&gt;0)))),0)</f>
        <v>0</v>
      </c>
      <c r="I463" s="1024"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22">
        <f ca="1">IFERROR(C464*D464*_xlfn.XLOOKUP(B464,TabCalc[Ticker],TabCalc[Scale]),0)</f>
        <v>34860</v>
      </c>
      <c r="F464" s="1023" cm="1">
        <f t="array" aca="1" ref="F464" ca="1">IF(A464=A463,0,SUM(_xlfn._xlws.FILTER(E464:E473,A464:A473=A464)))</f>
        <v>69720</v>
      </c>
      <c r="G464" s="1024">
        <f ca="1">IF(F464&lt;&gt;0,SUM($F$43:F464),0)</f>
        <v>-3654570.7825729996</v>
      </c>
      <c r="H464" s="1024" cm="1">
        <f t="array" aca="1" ref="H464" ca="1">IFERROR(IF(A464=A463,0,SUM(_xlfn._xlws.FILTER(E464:E473,(A464:A473=A464)*(E464:E473&gt;0)))),0)</f>
        <v>69720</v>
      </c>
      <c r="I464" s="1024"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22">
        <f ca="1">IFERROR(C465*D465*_xlfn.XLOOKUP(B465,TabCalc[Ticker],TabCalc[Scale]),0)</f>
        <v>41420</v>
      </c>
      <c r="F465" s="1023" cm="1">
        <f t="array" aca="1" ref="F465" ca="1">IF(A465=A464,0,SUM(_xlfn._xlws.FILTER(E465:E474,A465:A474=A465)))</f>
        <v>169740</v>
      </c>
      <c r="G465" s="1024">
        <f ca="1">IF(F465&lt;&gt;0,SUM($F$43:F465),0)</f>
        <v>-3484830.7825729996</v>
      </c>
      <c r="H465" s="1024" cm="1">
        <f t="array" aca="1" ref="H465" ca="1">IFERROR(IF(A465=A464,0,SUM(_xlfn._xlws.FILTER(E465:E474,(A465:A474=A465)*(E465:E474&gt;0)))),0)</f>
        <v>169740</v>
      </c>
      <c r="I465" s="1024"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22">
        <f ca="1">IFERROR(C466*D466*_xlfn.XLOOKUP(B466,TabCalc[Ticker],TabCalc[Scale]),0)</f>
        <v>75420</v>
      </c>
      <c r="F466" s="1023" cm="1">
        <f t="array" ref="F466">IF(A466=A465,0,SUM(_xlfn._xlws.FILTER(E466:E475,A466:A475=A466)))</f>
        <v>0</v>
      </c>
      <c r="G466" s="1024">
        <f>IF(F466&lt;&gt;0,SUM($F$43:F466),0)</f>
        <v>0</v>
      </c>
      <c r="H466" s="1024" cm="1">
        <f t="array" ref="H466">IFERROR(IF(A466=A465,0,SUM(_xlfn._xlws.FILTER(E466:E475,(A466:A475=A466)*(E466:E475&gt;0)))),0)</f>
        <v>0</v>
      </c>
      <c r="I466" s="1024"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22">
        <f ca="1">IFERROR(C467*D467*_xlfn.XLOOKUP(B467,TabCalc[Ticker],TabCalc[Scale]),0)</f>
        <v>52900</v>
      </c>
      <c r="F467" s="1023" cm="1">
        <f t="array" ref="F467">IF(A467=A466,0,SUM(_xlfn._xlws.FILTER(E467:E476,A467:A476=A467)))</f>
        <v>0</v>
      </c>
      <c r="G467" s="1024">
        <f>IF(F467&lt;&gt;0,SUM($F$43:F467),0)</f>
        <v>0</v>
      </c>
      <c r="H467" s="1024" cm="1">
        <f t="array" ref="H467">IFERROR(IF(A467=A466,0,SUM(_xlfn._xlws.FILTER(E467:E476,(A467:A476=A467)*(E467:E476&gt;0)))),0)</f>
        <v>0</v>
      </c>
      <c r="I467" s="1024"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22">
        <f ca="1">IFERROR(C468*D468*_xlfn.XLOOKUP(B468,TabCalc[Ticker],TabCalc[Scale]),0)</f>
        <v>-13500</v>
      </c>
      <c r="F468" s="1023" cm="1">
        <f t="array" aca="1" ref="F468" ca="1">IF(A468=A467,0,SUM(_xlfn._xlws.FILTER(E468:E477,A468:A477=A468)))</f>
        <v>130866</v>
      </c>
      <c r="G468" s="1024">
        <f ca="1">IF(F468&lt;&gt;0,SUM($F$43:F468),0)</f>
        <v>-3353964.7825729996</v>
      </c>
      <c r="H468" s="1024" cm="1">
        <f t="array" aca="1" ref="H468" ca="1">IFERROR(IF(A468=A467,0,SUM(_xlfn._xlws.FILTER(E468:E477,(A468:A477=A468)*(E468:E477&gt;0)))),0)</f>
        <v>144366</v>
      </c>
      <c r="I468" s="1024"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22">
        <f ca="1">IFERROR(C469*D469*_xlfn.XLOOKUP(B469,TabCalc[Ticker],TabCalc[Scale]),0)</f>
        <v>113946</v>
      </c>
      <c r="F469" s="1023" cm="1">
        <f t="array" ref="F469">IF(A469=A468,0,SUM(_xlfn._xlws.FILTER(E469:E478,A469:A478=A469)))</f>
        <v>0</v>
      </c>
      <c r="G469" s="1024">
        <f>IF(F469&lt;&gt;0,SUM($F$43:F469),0)</f>
        <v>0</v>
      </c>
      <c r="H469" s="1024" cm="1">
        <f t="array" ref="H469">IFERROR(IF(A469=A468,0,SUM(_xlfn._xlws.FILTER(E469:E478,(A469:A478=A469)*(E469:E478&gt;0)))),0)</f>
        <v>0</v>
      </c>
      <c r="I469" s="1024"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22">
        <f ca="1">IFERROR(C470*D470*_xlfn.XLOOKUP(B470,TabCalc[Ticker],TabCalc[Scale]),0)</f>
        <v>30420</v>
      </c>
      <c r="F470" s="1023" cm="1">
        <f t="array" ref="F470">IF(A470=A469,0,SUM(_xlfn._xlws.FILTER(E470:E479,A470:A479=A470)))</f>
        <v>0</v>
      </c>
      <c r="G470" s="1024">
        <f>IF(F470&lt;&gt;0,SUM($F$43:F470),0)</f>
        <v>0</v>
      </c>
      <c r="H470" s="1024" cm="1">
        <f t="array" ref="H470">IFERROR(IF(A470=A469,0,SUM(_xlfn._xlws.FILTER(E470:E479,(A470:A479=A470)*(E470:E479&gt;0)))),0)</f>
        <v>0</v>
      </c>
      <c r="I470" s="1024"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22">
        <f ca="1">IFERROR(C471*D471*_xlfn.XLOOKUP(B471,TabCalc[Ticker],TabCalc[Scale]),0)</f>
        <v>34860</v>
      </c>
      <c r="F471" s="1023" cm="1">
        <f t="array" aca="1" ref="F471" ca="1">IF(A471=A470,0,SUM(_xlfn._xlws.FILTER(E471:E480,A471:A480=A471)))</f>
        <v>34860</v>
      </c>
      <c r="G471" s="1024">
        <f ca="1">IF(F471&lt;&gt;0,SUM($F$43:F471),0)</f>
        <v>-3319104.7825729996</v>
      </c>
      <c r="H471" s="1024" cm="1">
        <f t="array" aca="1" ref="H471" ca="1">IFERROR(IF(A471=A470,0,SUM(_xlfn._xlws.FILTER(E471:E480,(A471:A480=A471)*(E471:E480&gt;0)))),0)</f>
        <v>34860</v>
      </c>
      <c r="I471" s="1024"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22">
        <f ca="1">IFERROR(C472*D472*_xlfn.XLOOKUP(B472,TabCalc[Ticker],TabCalc[Scale]),0)</f>
        <v>-44338.8</v>
      </c>
      <c r="F472" s="1023" cm="1">
        <f t="array" aca="1" ref="F472" ca="1">IF(A472=A471,0,SUM(_xlfn._xlws.FILTER(E472:E481,A472:A481=A472)))</f>
        <v>-5618.8000000000029</v>
      </c>
      <c r="G472" s="1024">
        <f ca="1">IF(F472&lt;&gt;0,SUM($F$43:F472),0)</f>
        <v>-3324723.5825729994</v>
      </c>
      <c r="H472" s="1024" cm="1">
        <f t="array" aca="1" ref="H472" ca="1">IFERROR(IF(A472=A471,0,SUM(_xlfn._xlws.FILTER(E472:E481,(A472:A481=A472)*(E472:E481&gt;0)))),0)</f>
        <v>38720</v>
      </c>
      <c r="I472" s="1024"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22">
        <f ca="1">IFERROR(C473*D473*_xlfn.XLOOKUP(B473,TabCalc[Ticker],TabCalc[Scale]),0)</f>
        <v>38720</v>
      </c>
      <c r="F473" s="1023" cm="1">
        <f t="array" ref="F473">IF(A473=A472,0,SUM(_xlfn._xlws.FILTER(E473:E482,A473:A482=A473)))</f>
        <v>0</v>
      </c>
      <c r="G473" s="1024">
        <f>IF(F473&lt;&gt;0,SUM($F$43:F473),0)</f>
        <v>0</v>
      </c>
      <c r="H473" s="1024" cm="1">
        <f t="array" ref="H473">IFERROR(IF(A473=A472,0,SUM(_xlfn._xlws.FILTER(E473:E482,(A473:A482=A473)*(E473:E482&gt;0)))),0)</f>
        <v>0</v>
      </c>
      <c r="I473" s="1024"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22">
        <f ca="1">IFERROR(C474*D474*_xlfn.XLOOKUP(B474,TabCalc[Ticker],TabCalc[Scale]),0)</f>
        <v>-74100</v>
      </c>
      <c r="F474" s="1023" cm="1">
        <f t="array" aca="1" ref="F474" ca="1">IF(A474=A473,0,SUM(_xlfn._xlws.FILTER(E474:E483,A474:A483=A474)))</f>
        <v>-507190</v>
      </c>
      <c r="G474" s="1024">
        <f ca="1">IF(F474&lt;&gt;0,SUM($F$43:F474),0)</f>
        <v>-3831913.5825729994</v>
      </c>
      <c r="H474" s="1024" cm="1">
        <f t="array" aca="1" ref="H474" ca="1">IFERROR(IF(A474=A473,0,SUM(_xlfn._xlws.FILTER(E474:E483,(A474:A483=A474)*(E474:E483&gt;0)))),0)</f>
        <v>0</v>
      </c>
      <c r="I474" s="1024" cm="1">
        <f t="array" aca="1" ref="I474" ca="1">IFERROR(IF(A474=A473,0,SUM(_xlfn._xlws.FILTER(E474:E483,(A474:A483=A474)*(F474&lt;0)))),0)</f>
        <v>-507190</v>
      </c>
      <c r="J474" s="293" t="str">
        <f ca="1">IFERROR(_xlfn.XLOOKUP(B474,TabCalc[Ticker],TabCalc[Cur]),"")</f>
        <v>EUR</v>
      </c>
      <c r="K474" s="1023" cm="1">
        <f t="array" aca="1" ref="K474" ca="1">IFERROR(IF($A474=$A473,0,SUM(_xlfn._xlws.FILTER($E474:$E484,($A474:$A484=$A474)*($J474:$J484=K$42)))),0)</f>
        <v>-459100</v>
      </c>
      <c r="L474" s="1023" cm="1">
        <f t="array" aca="1" ref="L474" ca="1">IFERROR(IF($A474=$A473,0,SUM(_xlfn._xlws.FILTER($E474:$E484,($A474:$A484=$A474)*($J474:$J484=L$42)))),0)</f>
        <v>0</v>
      </c>
      <c r="M474" s="1023" cm="1">
        <f t="array" aca="1" ref="M474" ca="1">IFERROR(IF($A474=$A473,0,SUM(_xlfn._xlws.FILTER($E474:$E484,($A474:$A484=$A474)*($J474:$J484=M$42)))),0)</f>
        <v>-48090</v>
      </c>
      <c r="N474" s="1023" cm="1">
        <f t="array" aca="1" ref="N474" ca="1">IFERROR(IF($A474=$A473,0,SUM(_xlfn._xlws.FILTER($E474:$E484,($A474:$A484=$A474)*($J474:$J484=N$42)))),0)</f>
        <v>0</v>
      </c>
    </row>
    <row r="475" spans="1:14" hidden="1" x14ac:dyDescent="0.3">
      <c r="A475" s="463">
        <v>45902</v>
      </c>
      <c r="B475" s="446" t="s">
        <v>77</v>
      </c>
      <c r="C475" s="465">
        <v>10000</v>
      </c>
      <c r="D475" s="644">
        <v>-480.9</v>
      </c>
      <c r="E475" s="1022">
        <f ca="1">IFERROR(C475*D475*_xlfn.XLOOKUP(B475,TabCalc[Ticker],TabCalc[Scale]),0)</f>
        <v>-48090</v>
      </c>
      <c r="F475" s="1023" cm="1">
        <f t="array" ref="F475">IF(A475=A474,0,SUM(_xlfn._xlws.FILTER(E475:E484,A475:A484=A475)))</f>
        <v>0</v>
      </c>
      <c r="G475" s="1024">
        <f>IF(F475&lt;&gt;0,SUM($F$43:F475),0)</f>
        <v>0</v>
      </c>
      <c r="H475" s="1024" cm="1">
        <f t="array" ref="H475">IFERROR(IF(A475=A474,0,SUM(_xlfn._xlws.FILTER(E475:E484,(A475:A484=A475)*(E475:E484&gt;0)))),0)</f>
        <v>0</v>
      </c>
      <c r="I475" s="1024" cm="1">
        <f t="array" ref="I475">IFERROR(IF(A475=A474,0,SUM(_xlfn._xlws.FILTER(E475:E484,(A475:A484=A475)*(F475&lt;0)))),0)</f>
        <v>0</v>
      </c>
      <c r="J475" s="293" t="str">
        <f ca="1">IFERROR(_xlfn.XLOOKUP(B475,TabCalc[Ticker],TabCalc[Cur]),"")</f>
        <v>GBp</v>
      </c>
      <c r="K475" s="1023" cm="1">
        <f t="array" ref="K475">IFERROR(IF($A475=$A474,0,SUM(_xlfn._xlws.FILTER($E475:$E485,($A475:$A485=$A475)*($J475:$J485=K$42)))),0)</f>
        <v>0</v>
      </c>
      <c r="L475" s="1023" cm="1">
        <f t="array" ref="L475">IFERROR(IF($A475=$A474,0,SUM(_xlfn._xlws.FILTER($E475:$E485,($A475:$A485=$A475)*($J475:$J485=L$42)))),0)</f>
        <v>0</v>
      </c>
      <c r="M475" s="1023" cm="1">
        <f t="array" ref="M475">IFERROR(IF($A475=$A474,0,SUM(_xlfn._xlws.FILTER($E475:$E485,($A475:$A485=$A475)*($J475:$J485=M$42)))),0)</f>
        <v>0</v>
      </c>
      <c r="N475" s="1023" cm="1">
        <f t="array" ref="N475">IFERROR(IF($A475=$A474,0,SUM(_xlfn._xlws.FILTER($E475:$E485,($A475:$A485=$A475)*($J475:$J485=N$42)))),0)</f>
        <v>0</v>
      </c>
    </row>
    <row r="476" spans="1:14" hidden="1" x14ac:dyDescent="0.3">
      <c r="A476" s="463">
        <v>45902</v>
      </c>
      <c r="B476" s="446" t="s">
        <v>16</v>
      </c>
      <c r="C476" s="465">
        <v>5000</v>
      </c>
      <c r="D476" s="644">
        <v>-14.78</v>
      </c>
      <c r="E476" s="1022">
        <f ca="1">IFERROR(C476*D476*_xlfn.XLOOKUP(B476,TabCalc[Ticker],TabCalc[Scale]),0)</f>
        <v>-73900</v>
      </c>
      <c r="F476" s="1023" cm="1">
        <f t="array" ref="F476">IF(A476=A475,0,SUM(_xlfn._xlws.FILTER(E476:E485,A476:A485=A476)))</f>
        <v>0</v>
      </c>
      <c r="G476" s="1024">
        <f>IF(F476&lt;&gt;0,SUM($F$43:F476),0)</f>
        <v>0</v>
      </c>
      <c r="H476" s="1024" cm="1">
        <f t="array" ref="H476">IFERROR(IF(A476=A475,0,SUM(_xlfn._xlws.FILTER(E476:E485,(A476:A485=A476)*(E476:E485&gt;0)))),0)</f>
        <v>0</v>
      </c>
      <c r="I476" s="1024" cm="1">
        <f t="array" ref="I476">IFERROR(IF(A476=A475,0,SUM(_xlfn._xlws.FILTER(E476:E485,(A476:A485=A476)*(F476&lt;0)))),0)</f>
        <v>0</v>
      </c>
      <c r="J476" s="293" t="str">
        <f ca="1">IFERROR(_xlfn.XLOOKUP(B476,TabCalc[Ticker],TabCalc[Cur]),"")</f>
        <v>EUR</v>
      </c>
      <c r="K476" s="1023" cm="1">
        <f t="array" ref="K476">IFERROR(IF($A476=$A475,0,SUM(_xlfn._xlws.FILTER($E476:$E486,($A476:$A486=$A476)*($J476:$J486=K$42)))),0)</f>
        <v>0</v>
      </c>
      <c r="L476" s="1023" cm="1">
        <f t="array" ref="L476">IFERROR(IF($A476=$A475,0,SUM(_xlfn._xlws.FILTER($E476:$E486,($A476:$A486=$A476)*($J476:$J486=L$42)))),0)</f>
        <v>0</v>
      </c>
      <c r="M476" s="1023" cm="1">
        <f t="array" ref="M476">IFERROR(IF($A476=$A475,0,SUM(_xlfn._xlws.FILTER($E476:$E486,($A476:$A486=$A476)*($J476:$J486=M$42)))),0)</f>
        <v>0</v>
      </c>
      <c r="N476" s="1023" cm="1">
        <f t="array" ref="N476">IFERROR(IF($A476=$A475,0,SUM(_xlfn._xlws.FILTER($E476:$E486,($A476:$A486=$A476)*($J476:$J486=N$42)))),0)</f>
        <v>0</v>
      </c>
    </row>
    <row r="477" spans="1:14" hidden="1" x14ac:dyDescent="0.3">
      <c r="A477" s="463">
        <v>45902</v>
      </c>
      <c r="B477" s="446" t="s">
        <v>32</v>
      </c>
      <c r="C477" s="465">
        <v>500</v>
      </c>
      <c r="D477" s="644">
        <v>-622.20000000000005</v>
      </c>
      <c r="E477" s="1022">
        <f ca="1">IFERROR(C477*D477*_xlfn.XLOOKUP(B477,TabCalc[Ticker],TabCalc[Scale]),0)</f>
        <v>-311100</v>
      </c>
      <c r="F477" s="1023" cm="1">
        <f t="array" ref="F477">IF(A477=A476,0,SUM(_xlfn._xlws.FILTER(E477:E486,A477:A486=A477)))</f>
        <v>0</v>
      </c>
      <c r="G477" s="1024">
        <f>IF(F477&lt;&gt;0,SUM($F$43:F477),0)</f>
        <v>0</v>
      </c>
      <c r="H477" s="1024" cm="1">
        <f t="array" ref="H477">IFERROR(IF(A477=A476,0,SUM(_xlfn._xlws.FILTER(E477:E486,(A477:A486=A477)*(E477:E486&gt;0)))),0)</f>
        <v>0</v>
      </c>
      <c r="I477" s="1024" cm="1">
        <f t="array" ref="I477">IFERROR(IF(A477=A476,0,SUM(_xlfn._xlws.FILTER(E477:E486,(A477:A486=A477)*(F477&lt;0)))),0)</f>
        <v>0</v>
      </c>
      <c r="J477" s="293" t="str">
        <f ca="1">IFERROR(_xlfn.XLOOKUP(B477,TabCalc[Ticker],TabCalc[Cur]),"")</f>
        <v>EUR</v>
      </c>
      <c r="K477" s="1023" cm="1">
        <f t="array" ref="K477">IFERROR(IF($A477=$A476,0,SUM(_xlfn._xlws.FILTER($E477:$E487,($A477:$A487=$A477)*($J477:$J487=K$42)))),0)</f>
        <v>0</v>
      </c>
      <c r="L477" s="1023" cm="1">
        <f t="array" ref="L477">IFERROR(IF($A477=$A476,0,SUM(_xlfn._xlws.FILTER($E477:$E487,($A477:$A487=$A477)*($J477:$J487=L$42)))),0)</f>
        <v>0</v>
      </c>
      <c r="M477" s="1023" cm="1">
        <f t="array" ref="M477">IFERROR(IF($A477=$A476,0,SUM(_xlfn._xlws.FILTER($E477:$E487,($A477:$A487=$A477)*($J477:$J487=M$42)))),0)</f>
        <v>0</v>
      </c>
      <c r="N477" s="1023" cm="1">
        <f t="array" ref="N477">IFERROR(IF($A477=$A476,0,SUM(_xlfn._xlws.FILTER($E477:$E487,($A477:$A487=$A477)*($J477:$J487=N$42)))),0)</f>
        <v>0</v>
      </c>
    </row>
    <row r="478" spans="1:14" hidden="1" x14ac:dyDescent="0.3">
      <c r="A478" s="463">
        <v>45904</v>
      </c>
      <c r="B478" s="446" t="s">
        <v>48</v>
      </c>
      <c r="C478" s="465">
        <v>1010</v>
      </c>
      <c r="D478" s="644">
        <v>61.8</v>
      </c>
      <c r="E478" s="1022">
        <f ca="1">IFERROR(C478*D478*_xlfn.XLOOKUP(B478,TabCalc[Ticker],TabCalc[Scale]),0)</f>
        <v>62418</v>
      </c>
      <c r="F478" s="1023" cm="1">
        <f t="array" aca="1" ref="F478" ca="1">IF(A478=A477,0,SUM(_xlfn._xlws.FILTER(E478:E487,A478:A487=A478)))</f>
        <v>62418</v>
      </c>
      <c r="G478" s="1024">
        <f ca="1">IF(F478&lt;&gt;0,SUM($F$43:F478),0)</f>
        <v>-3769495.5825729994</v>
      </c>
      <c r="H478" s="1024" cm="1">
        <f t="array" aca="1" ref="H478" ca="1">IFERROR(IF(A478=A477,0,SUM(_xlfn._xlws.FILTER(E478:E487,(A478:A487=A478)*(E478:E487&gt;0)))),0)</f>
        <v>62418</v>
      </c>
      <c r="I478" s="1024" cm="1">
        <f t="array" aca="1" ref="I478" ca="1">IFERROR(IF(A478=A477,0,SUM(_xlfn._xlws.FILTER(E478:E487,(A478:A487=A478)*(F478&lt;0)))),0)</f>
        <v>0</v>
      </c>
      <c r="J478" s="293" t="str">
        <f ca="1">IFERROR(_xlfn.XLOOKUP(B478,TabCalc[Ticker],TabCalc[Cur]),"")</f>
        <v>CHF</v>
      </c>
      <c r="K478" s="1023" cm="1">
        <f t="array" aca="1" ref="K478" ca="1">IFERROR(IF($A478=$A477,0,SUM(_xlfn._xlws.FILTER($E478:$E488,($A478:$A488=$A478)*($J478:$J488=K$42)))),0)</f>
        <v>0</v>
      </c>
      <c r="L478" s="1023" cm="1">
        <f t="array" aca="1" ref="L478" ca="1">IFERROR(IF($A478=$A477,0,SUM(_xlfn._xlws.FILTER($E478:$E488,($A478:$A488=$A478)*($J478:$J488=L$42)))),0)</f>
        <v>0</v>
      </c>
      <c r="M478" s="1023" cm="1">
        <f t="array" aca="1" ref="M478" ca="1">IFERROR(IF($A478=$A477,0,SUM(_xlfn._xlws.FILTER($E478:$E488,($A478:$A488=$A478)*($J478:$J488=M$42)))),0)</f>
        <v>0</v>
      </c>
      <c r="N478" s="1023" cm="1">
        <f t="array" aca="1" ref="N478" ca="1">IFERROR(IF($A478=$A477,0,SUM(_xlfn._xlws.FILTER($E478:$E488,($A478:$A488=$A478)*($J478:$J488=N$42)))),0)</f>
        <v>62418</v>
      </c>
    </row>
    <row r="479" spans="1:14" ht="23" hidden="1" thickBot="1" x14ac:dyDescent="0.35">
      <c r="A479" s="894">
        <v>45905</v>
      </c>
      <c r="B479" s="447" t="s">
        <v>73</v>
      </c>
      <c r="C479" s="921">
        <v>54</v>
      </c>
      <c r="D479" s="895">
        <v>660.2</v>
      </c>
      <c r="E479" s="1022">
        <f ca="1">IFERROR(C479*D479*_xlfn.XLOOKUP(B479,TabCalc[Ticker],TabCalc[Scale]),0)</f>
        <v>35650.800000000003</v>
      </c>
      <c r="F479" s="1023" cm="1">
        <f t="array" aca="1" ref="F479" ca="1">IF(A479=A478,0,SUM(_xlfn._xlws.FILTER(E479:E488,A479:A488=A479)))</f>
        <v>35650.800000000003</v>
      </c>
      <c r="G479" s="1024">
        <f ca="1">IF(F479&lt;&gt;0,SUM($F$43:F479),0)</f>
        <v>-3733844.7825729996</v>
      </c>
      <c r="H479" s="1024" cm="1">
        <f t="array" aca="1" ref="H479" ca="1">IFERROR(IF(A479=A478,0,SUM(_xlfn._xlws.FILTER(E479:E488,(A479:A488=A479)*(E479:E488&gt;0)))),0)</f>
        <v>35650.800000000003</v>
      </c>
      <c r="I479" s="1024" cm="1">
        <f t="array" aca="1" ref="I479" ca="1">IFERROR(IF(A479=A478,0,SUM(_xlfn._xlws.FILTER(E479:E488,(A479:A488=A479)*(F479&lt;0)))),0)</f>
        <v>0</v>
      </c>
      <c r="J479" s="293" t="str">
        <f ca="1">IFERROR(_xlfn.XLOOKUP(B479,TabCalc[Ticker],TabCalc[Cur]),"")</f>
        <v>EUR</v>
      </c>
      <c r="K479" s="1023" cm="1">
        <f t="array" aca="1" ref="K479" ca="1">IFERROR(IF($A479=$A478,0,SUM(_xlfn._xlws.FILTER($E479:$E489,($A479:$A489=$A479)*($J479:$J489=K$42)))),0)</f>
        <v>35650.800000000003</v>
      </c>
      <c r="L479" s="1023" cm="1">
        <f t="array" aca="1" ref="L479" ca="1">IFERROR(IF($A479=$A478,0,SUM(_xlfn._xlws.FILTER($E479:$E489,($A479:$A489=$A479)*($J479:$J489=L$42)))),0)</f>
        <v>0</v>
      </c>
      <c r="M479" s="1023" cm="1">
        <f t="array" aca="1" ref="M479" ca="1">IFERROR(IF($A479=$A478,0,SUM(_xlfn._xlws.FILTER($E479:$E489,($A479:$A489=$A479)*($J479:$J489=M$42)))),0)</f>
        <v>0</v>
      </c>
      <c r="N479" s="1023" cm="1">
        <f t="array" aca="1" ref="N479" ca="1">IFERROR(IF($A479=$A478,0,SUM(_xlfn._xlws.FILTER($E479:$E489,($A479:$A489=$A479)*($J479:$J489=N$42)))),0)</f>
        <v>0</v>
      </c>
    </row>
    <row r="480" spans="1:14" ht="23" hidden="1" thickTop="1" x14ac:dyDescent="0.3">
      <c r="A480" s="463">
        <v>45908</v>
      </c>
      <c r="B480" s="446" t="s">
        <v>32</v>
      </c>
      <c r="C480" s="446">
        <v>200</v>
      </c>
      <c r="D480" s="644">
        <v>667.2</v>
      </c>
      <c r="E480" s="1022">
        <f ca="1">IFERROR(C480*D480*_xlfn.XLOOKUP(B480,TabCalc[Ticker],TabCalc[Scale]),0)</f>
        <v>133440</v>
      </c>
      <c r="F480" s="1023" cm="1">
        <f t="array" aca="1" ref="F480" ca="1">IF(A480=A479,0,SUM(_xlfn._xlws.FILTER(E480:E489,A480:A489=A480)))</f>
        <v>133440</v>
      </c>
      <c r="G480" s="1024">
        <f ca="1">IF(F480&lt;&gt;0,SUM($F$43:F480),0)</f>
        <v>-3600404.7825729996</v>
      </c>
      <c r="H480" s="1024" cm="1">
        <f t="array" aca="1" ref="H480" ca="1">IFERROR(IF(A480=A479,0,SUM(_xlfn._xlws.FILTER(E480:E489,(A480:A489=A480)*(E480:E489&gt;0)))),0)</f>
        <v>133440</v>
      </c>
      <c r="I480" s="1024" cm="1">
        <f t="array" aca="1" ref="I480" ca="1">IFERROR(IF(A480=A479,0,SUM(_xlfn._xlws.FILTER(E480:E489,(A480:A489=A480)*(F480&lt;0)))),0)</f>
        <v>0</v>
      </c>
      <c r="J480" s="293" t="str">
        <f ca="1">IFERROR(_xlfn.XLOOKUP(B480,TabCalc[Ticker],TabCalc[Cur]),"")</f>
        <v>EUR</v>
      </c>
      <c r="K480" s="1023" cm="1">
        <f t="array" aca="1" ref="K480" ca="1">IFERROR(IF($A480=$A479,0,SUM(_xlfn._xlws.FILTER($E480:$E490,($A480:$A490=$A480)*($J480:$J490=K$42)))),0)</f>
        <v>133440</v>
      </c>
      <c r="L480" s="1023" cm="1">
        <f t="array" aca="1" ref="L480" ca="1">IFERROR(IF($A480=$A479,0,SUM(_xlfn._xlws.FILTER($E480:$E490,($A480:$A490=$A480)*($J480:$J490=L$42)))),0)</f>
        <v>0</v>
      </c>
      <c r="M480" s="1023" cm="1">
        <f t="array" aca="1" ref="M480" ca="1">IFERROR(IF($A480=$A479,0,SUM(_xlfn._xlws.FILTER($E480:$E490,($A480:$A490=$A480)*($J480:$J490=M$42)))),0)</f>
        <v>0</v>
      </c>
      <c r="N480" s="1023" cm="1">
        <f t="array" aca="1" ref="N480" ca="1">IFERROR(IF($A480=$A479,0,SUM(_xlfn._xlws.FILTER($E480:$E490,($A480:$A490=$A480)*($J480:$J490=N$42)))),0)</f>
        <v>0</v>
      </c>
    </row>
    <row r="481" spans="1:14" ht="23" hidden="1" thickBot="1" x14ac:dyDescent="0.35">
      <c r="A481" s="894">
        <v>45909</v>
      </c>
      <c r="B481" s="447" t="s">
        <v>88</v>
      </c>
      <c r="C481" s="921">
        <v>250</v>
      </c>
      <c r="D481" s="895">
        <v>194.28</v>
      </c>
      <c r="E481" s="1022">
        <f ca="1">IFERROR(C481*D481*_xlfn.XLOOKUP(B481,TabCalc[Ticker],TabCalc[Scale]),0)</f>
        <v>48570</v>
      </c>
      <c r="F481" s="1023" cm="1">
        <f t="array" aca="1" ref="F481" ca="1">IF(A481=A480,0,SUM(_xlfn._xlws.FILTER(E481:E490,A481:A490=A481)))</f>
        <v>48570</v>
      </c>
      <c r="G481" s="1024">
        <f ca="1">IF(F481&lt;&gt;0,SUM($F$43:F481),0)</f>
        <v>-3551834.7825729996</v>
      </c>
      <c r="H481" s="1024" cm="1">
        <f t="array" aca="1" ref="H481" ca="1">IFERROR(IF(A481=A480,0,SUM(_xlfn._xlws.FILTER(E481:E490,(A481:A490=A481)*(E481:E490&gt;0)))),0)</f>
        <v>48570</v>
      </c>
      <c r="I481" s="1024" cm="1">
        <f t="array" aca="1" ref="I481" ca="1">IFERROR(IF(A481=A480,0,SUM(_xlfn._xlws.FILTER(E481:E490,(A481:A490=A481)*(F481&lt;0)))),0)</f>
        <v>0</v>
      </c>
      <c r="J481" s="293" t="str">
        <f ca="1">IFERROR(_xlfn.XLOOKUP(B481,TabCalc[Ticker],TabCalc[Cur]),"")</f>
        <v>USD</v>
      </c>
      <c r="K481" s="1023" cm="1">
        <f t="array" aca="1" ref="K481" ca="1">IFERROR(IF($A481=$A480,0,SUM(_xlfn._xlws.FILTER($E481:$E491,($A481:$A491=$A481)*($J481:$J491=K$42)))),0)</f>
        <v>0</v>
      </c>
      <c r="L481" s="1023" cm="1">
        <f t="array" aca="1" ref="L481" ca="1">IFERROR(IF($A481=$A480,0,SUM(_xlfn._xlws.FILTER($E481:$E491,($A481:$A491=$A481)*($J481:$J491=L$42)))),0)</f>
        <v>48570</v>
      </c>
      <c r="M481" s="1023" cm="1">
        <f t="array" aca="1" ref="M481" ca="1">IFERROR(IF($A481=$A480,0,SUM(_xlfn._xlws.FILTER($E481:$E491,($A481:$A491=$A481)*($J481:$J491=M$42)))),0)</f>
        <v>0</v>
      </c>
      <c r="N481" s="1023" cm="1">
        <f t="array" aca="1" ref="N481" ca="1">IFERROR(IF($A481=$A480,0,SUM(_xlfn._xlws.FILTER($E481:$E491,($A481:$A491=$A481)*($J481:$J491=N$42)))),0)</f>
        <v>0</v>
      </c>
    </row>
    <row r="482" spans="1:14" ht="23" hidden="1" thickTop="1" x14ac:dyDescent="0.3">
      <c r="A482" s="463">
        <v>45910</v>
      </c>
      <c r="B482" s="446" t="s">
        <v>79</v>
      </c>
      <c r="C482" s="446">
        <v>2000</v>
      </c>
      <c r="D482" s="644">
        <v>11.41</v>
      </c>
      <c r="E482" s="1022">
        <f ca="1">IFERROR(C482*D482*_xlfn.XLOOKUP(B482,TabCalc[Ticker],TabCalc[Scale]),0)</f>
        <v>22820</v>
      </c>
      <c r="F482" s="1023" cm="1">
        <f t="array" aca="1" ref="F482" ca="1">IF(A482=A481,0,SUM(_xlfn._xlws.FILTER(E482:E491,A482:A491=A482)))</f>
        <v>-344649.147</v>
      </c>
      <c r="G482" s="1024">
        <f ca="1">IF(F482&lt;&gt;0,SUM($F$43:F482),0)</f>
        <v>-3896483.9295729995</v>
      </c>
      <c r="H482" s="1024" cm="1">
        <f t="array" aca="1" ref="H482" ca="1">IFERROR(IF(A482=A481,0,SUM(_xlfn._xlws.FILTER(E482:E491,(A482:A491=A482)*(E482:E491&gt;0)))),0)</f>
        <v>32070.625</v>
      </c>
      <c r="I482" s="1024" cm="1">
        <f t="array" aca="1" ref="I482" ca="1">IFERROR(IF(A482=A481,0,SUM(_xlfn._xlws.FILTER(E482:E491,(A482:A491=A482)*(F482&lt;0)))),0)</f>
        <v>-344649.147</v>
      </c>
      <c r="J482" s="293" t="str">
        <f ca="1">IFERROR(_xlfn.XLOOKUP(B482,TabCalc[Ticker],TabCalc[Cur]),"")</f>
        <v>USD</v>
      </c>
      <c r="K482" s="1023" cm="1">
        <f t="array" aca="1" ref="K482" ca="1">IFERROR(IF($A482=$A481,0,SUM(_xlfn._xlws.FILTER($E482:$E492,($A482:$A492=$A482)*($J482:$J492=K$42)))),0)</f>
        <v>0</v>
      </c>
      <c r="L482" s="1023" cm="1">
        <f t="array" aca="1" ref="L482" ca="1">IFERROR(IF($A482=$A481,0,SUM(_xlfn._xlws.FILTER($E482:$E492,($A482:$A492=$A482)*($J482:$J492=L$42)))),0)</f>
        <v>-344649.147</v>
      </c>
      <c r="M482" s="1023" cm="1">
        <f t="array" aca="1" ref="M482" ca="1">IFERROR(IF($A482=$A481,0,SUM(_xlfn._xlws.FILTER($E482:$E492,($A482:$A492=$A482)*($J482:$J492=M$42)))),0)</f>
        <v>0</v>
      </c>
      <c r="N482" s="1023" cm="1">
        <f t="array" aca="1" ref="N482" ca="1">IFERROR(IF($A482=$A481,0,SUM(_xlfn._xlws.FILTER($E482:$E492,($A482:$A492=$A482)*($J482:$J492=N$42)))),0)</f>
        <v>0</v>
      </c>
    </row>
    <row r="483" spans="1:14" hidden="1" x14ac:dyDescent="0.3">
      <c r="A483" s="463">
        <v>45910</v>
      </c>
      <c r="B483" s="446" t="s">
        <v>8</v>
      </c>
      <c r="C483" s="446">
        <v>95</v>
      </c>
      <c r="D483" s="644">
        <v>97.375</v>
      </c>
      <c r="E483" s="1022">
        <f ca="1">IFERROR(C483*D483*_xlfn.XLOOKUP(B483,TabCalc[Ticker],TabCalc[Scale]),0)</f>
        <v>9250.625</v>
      </c>
      <c r="F483" s="1023" cm="1">
        <f t="array" ref="F483">IF(A483=A482,0,SUM(_xlfn._xlws.FILTER(E483:E492,A483:A492=A483)))</f>
        <v>0</v>
      </c>
      <c r="G483" s="1024">
        <f>IF(F483&lt;&gt;0,SUM($F$43:F483),0)</f>
        <v>0</v>
      </c>
      <c r="H483" s="1024" cm="1">
        <f t="array" ref="H483">IFERROR(IF(A483=A482,0,SUM(_xlfn._xlws.FILTER(E483:E492,(A483:A492=A483)*(E483:E492&gt;0)))),0)</f>
        <v>0</v>
      </c>
      <c r="I483" s="1024" cm="1">
        <f t="array" ref="I483">IFERROR(IF(A483=A482,0,SUM(_xlfn._xlws.FILTER(E483:E492,(A483:A492=A483)*(F483&lt;0)))),0)</f>
        <v>0</v>
      </c>
      <c r="J483" s="293" t="str">
        <f ca="1">IFERROR(_xlfn.XLOOKUP(B483,TabCalc[Ticker],TabCalc[Cur]),"")</f>
        <v>USD</v>
      </c>
      <c r="K483" s="1023" cm="1">
        <f t="array" ref="K483">IFERROR(IF($A483=$A482,0,SUM(_xlfn._xlws.FILTER($E483:$E493,($A483:$A493=$A483)*($J483:$J493=K$42)))),0)</f>
        <v>0</v>
      </c>
      <c r="L483" s="1023" cm="1">
        <f t="array" ref="L483">IFERROR(IF($A483=$A482,0,SUM(_xlfn._xlws.FILTER($E483:$E493,($A483:$A493=$A483)*($J483:$J493=L$42)))),0)</f>
        <v>0</v>
      </c>
      <c r="M483" s="1023" cm="1">
        <f t="array" ref="M483">IFERROR(IF($A483=$A482,0,SUM(_xlfn._xlws.FILTER($E483:$E493,($A483:$A493=$A483)*($J483:$J493=M$42)))),0)</f>
        <v>0</v>
      </c>
      <c r="N483" s="1023" cm="1">
        <f t="array" ref="N483">IFERROR(IF($A483=$A482,0,SUM(_xlfn._xlws.FILTER($E483:$E493,($A483:$A493=$A483)*($J483:$J493=N$42)))),0)</f>
        <v>0</v>
      </c>
    </row>
    <row r="484" spans="1:14" hidden="1" x14ac:dyDescent="0.3">
      <c r="A484" s="463">
        <v>45910</v>
      </c>
      <c r="B484" s="446" t="s">
        <v>28</v>
      </c>
      <c r="C484" s="446">
        <v>4000</v>
      </c>
      <c r="D484" s="644">
        <v>-71.000443000000004</v>
      </c>
      <c r="E484" s="1022">
        <f ca="1">IFERROR(C484*D484*_xlfn.XLOOKUP(B484,TabCalc[Ticker],TabCalc[Scale]),0)</f>
        <v>-284001.772</v>
      </c>
      <c r="F484" s="1023" cm="1">
        <f t="array" ref="F484">IF(A484=A483,0,SUM(_xlfn._xlws.FILTER(E484:E493,A484:A493=A484)))</f>
        <v>0</v>
      </c>
      <c r="G484" s="1024">
        <f>IF(F484&lt;&gt;0,SUM($F$43:F484),0)</f>
        <v>0</v>
      </c>
      <c r="H484" s="1024" cm="1">
        <f t="array" ref="H484">IFERROR(IF(A484=A483,0,SUM(_xlfn._xlws.FILTER(E484:E493,(A484:A493=A484)*(E484:E493&gt;0)))),0)</f>
        <v>0</v>
      </c>
      <c r="I484" s="1024" cm="1">
        <f t="array" ref="I484">IFERROR(IF(A484=A483,0,SUM(_xlfn._xlws.FILTER(E484:E493,(A484:A493=A484)*(F484&lt;0)))),0)</f>
        <v>0</v>
      </c>
      <c r="J484" s="293" t="str">
        <f ca="1">IFERROR(_xlfn.XLOOKUP(B484,TabCalc[Ticker],TabCalc[Cur]),"")</f>
        <v>USD</v>
      </c>
      <c r="K484" s="1023" cm="1">
        <f t="array" ref="K484">IFERROR(IF($A484=$A483,0,SUM(_xlfn._xlws.FILTER($E484:$E494,($A484:$A494=$A484)*($J484:$J494=K$42)))),0)</f>
        <v>0</v>
      </c>
      <c r="L484" s="1023" cm="1">
        <f t="array" ref="L484">IFERROR(IF($A484=$A483,0,SUM(_xlfn._xlws.FILTER($E484:$E494,($A484:$A494=$A484)*($J484:$J494=L$42)))),0)</f>
        <v>0</v>
      </c>
      <c r="M484" s="1023" cm="1">
        <f t="array" ref="M484">IFERROR(IF($A484=$A483,0,SUM(_xlfn._xlws.FILTER($E484:$E494,($A484:$A494=$A484)*($J484:$J494=M$42)))),0)</f>
        <v>0</v>
      </c>
      <c r="N484" s="1023" cm="1">
        <f t="array" ref="N484">IFERROR(IF($A484=$A483,0,SUM(_xlfn._xlws.FILTER($E484:$E494,($A484:$A494=$A484)*($J484:$J494=N$42)))),0)</f>
        <v>0</v>
      </c>
    </row>
    <row r="485" spans="1:14" hidden="1" x14ac:dyDescent="0.3">
      <c r="A485" s="463">
        <v>45910</v>
      </c>
      <c r="B485" s="446" t="s">
        <v>12</v>
      </c>
      <c r="C485" s="446">
        <v>800</v>
      </c>
      <c r="D485" s="644">
        <v>-115.89749999999999</v>
      </c>
      <c r="E485" s="1022">
        <f ca="1">IFERROR(C485*D485*_xlfn.XLOOKUP(B485,TabCalc[Ticker],TabCalc[Scale]),0)</f>
        <v>-92718</v>
      </c>
      <c r="F485" s="1023" cm="1">
        <f t="array" ref="F485">IF(A485=A484,0,SUM(_xlfn._xlws.FILTER(E485:E494,A485:A494=A485)))</f>
        <v>0</v>
      </c>
      <c r="G485" s="1024">
        <f>IF(F485&lt;&gt;0,SUM($F$43:F485),0)</f>
        <v>0</v>
      </c>
      <c r="H485" s="1024" cm="1">
        <f t="array" ref="H485">IFERROR(IF(A485=A484,0,SUM(_xlfn._xlws.FILTER(E485:E494,(A485:A494=A485)*(E485:E494&gt;0)))),0)</f>
        <v>0</v>
      </c>
      <c r="I485" s="1024" cm="1">
        <f t="array" ref="I485">IFERROR(IF(A485=A484,0,SUM(_xlfn._xlws.FILTER(E485:E494,(A485:A494=A485)*(F485&lt;0)))),0)</f>
        <v>0</v>
      </c>
      <c r="J485" s="293" t="str">
        <f ca="1">IFERROR(_xlfn.XLOOKUP(B485,TabCalc[Ticker],TabCalc[Cur]),"")</f>
        <v>USD</v>
      </c>
      <c r="K485" s="1023" cm="1">
        <f t="array" ref="K485">IFERROR(IF($A485=$A484,0,SUM(_xlfn._xlws.FILTER($E485:$E495,($A485:$A495=$A485)*($J485:$J495=K$42)))),0)</f>
        <v>0</v>
      </c>
      <c r="L485" s="1023" cm="1">
        <f t="array" ref="L485">IFERROR(IF($A485=$A484,0,SUM(_xlfn._xlws.FILTER($E485:$E495,($A485:$A495=$A485)*($J485:$J495=L$42)))),0)</f>
        <v>0</v>
      </c>
      <c r="M485" s="1023" cm="1">
        <f t="array" ref="M485">IFERROR(IF($A485=$A484,0,SUM(_xlfn._xlws.FILTER($E485:$E495,($A485:$A495=$A485)*($J485:$J495=M$42)))),0)</f>
        <v>0</v>
      </c>
      <c r="N485" s="1023" cm="1">
        <f t="array" ref="N485">IFERROR(IF($A485=$A484,0,SUM(_xlfn._xlws.FILTER($E485:$E495,($A485:$A495=$A485)*($J485:$J495=N$42)))),0)</f>
        <v>0</v>
      </c>
    </row>
    <row r="486" spans="1:14" hidden="1" x14ac:dyDescent="0.3">
      <c r="A486" s="463">
        <v>45911</v>
      </c>
      <c r="B486" s="446" t="s">
        <v>0</v>
      </c>
      <c r="C486" s="446">
        <v>300</v>
      </c>
      <c r="D486" s="644">
        <v>230.35</v>
      </c>
      <c r="E486" s="1022">
        <f ca="1">IFERROR(C486*D486*_xlfn.XLOOKUP(B486,TabCalc[Ticker],TabCalc[Scale]),0)</f>
        <v>69105</v>
      </c>
      <c r="F486" s="1023" cm="1">
        <f t="array" aca="1" ref="F486" ca="1">IF(A486=A485,0,SUM(_xlfn._xlws.FILTER(E486:E495,A486:A495=A486)))</f>
        <v>138168</v>
      </c>
      <c r="G486" s="1024">
        <f ca="1">IF(F486&lt;&gt;0,SUM($F$43:F486),0)</f>
        <v>-3758315.9295729995</v>
      </c>
      <c r="H486" s="1024" cm="1">
        <f t="array" aca="1" ref="H486" ca="1">IFERROR(IF(A486=A485,0,SUM(_xlfn._xlws.FILTER(E486:E495,(A486:A495=A486)*(E486:E495&gt;0)))),0)</f>
        <v>138168</v>
      </c>
      <c r="I486" s="1024" cm="1">
        <f t="array" aca="1" ref="I486" ca="1">IFERROR(IF(A486=A485,0,SUM(_xlfn._xlws.FILTER(E486:E495,(A486:A495=A486)*(F486&lt;0)))),0)</f>
        <v>0</v>
      </c>
      <c r="J486" s="293" t="str">
        <f ca="1">IFERROR(_xlfn.XLOOKUP(B486,TabCalc[Ticker],TabCalc[Cur]),"")</f>
        <v>USD</v>
      </c>
      <c r="K486" s="1023" cm="1">
        <f t="array" aca="1" ref="K486" ca="1">IFERROR(IF($A486=$A485,0,SUM(_xlfn._xlws.FILTER($E486:$E496,($A486:$A496=$A486)*($J486:$J496=K$42)))),0)</f>
        <v>0</v>
      </c>
      <c r="L486" s="1023" cm="1">
        <f t="array" aca="1" ref="L486" ca="1">IFERROR(IF($A486=$A485,0,SUM(_xlfn._xlws.FILTER($E486:$E496,($A486:$A496=$A486)*($J486:$J496=L$42)))),0)</f>
        <v>138168</v>
      </c>
      <c r="M486" s="1023" cm="1">
        <f t="array" aca="1" ref="M486" ca="1">IFERROR(IF($A486=$A485,0,SUM(_xlfn._xlws.FILTER($E486:$E496,($A486:$A496=$A486)*($J486:$J496=M$42)))),0)</f>
        <v>0</v>
      </c>
      <c r="N486" s="1023" cm="1">
        <f t="array" aca="1" ref="N486" ca="1">IFERROR(IF($A486=$A485,0,SUM(_xlfn._xlws.FILTER($E486:$E496,($A486:$A496=$A486)*($J486:$J496=N$42)))),0)</f>
        <v>0</v>
      </c>
    </row>
    <row r="487" spans="1:14" ht="23" hidden="1" thickBot="1" x14ac:dyDescent="0.35">
      <c r="A487" s="894">
        <v>45911</v>
      </c>
      <c r="B487" s="447" t="s">
        <v>66</v>
      </c>
      <c r="C487" s="921">
        <v>300</v>
      </c>
      <c r="D487" s="895">
        <v>230.21</v>
      </c>
      <c r="E487" s="1022">
        <f ca="1">IFERROR(C487*D487*_xlfn.XLOOKUP(B487,TabCalc[Ticker],TabCalc[Scale]),0)</f>
        <v>69063</v>
      </c>
      <c r="F487" s="1023" cm="1">
        <f t="array" ref="F487">IF(A487=A486,0,SUM(_xlfn._xlws.FILTER(E487:E496,A487:A496=A487)))</f>
        <v>0</v>
      </c>
      <c r="G487" s="1024">
        <f>IF(F487&lt;&gt;0,SUM($F$43:F487),0)</f>
        <v>0</v>
      </c>
      <c r="H487" s="1024" cm="1">
        <f t="array" ref="H487">IFERROR(IF(A487=A486,0,SUM(_xlfn._xlws.FILTER(E487:E496,(A487:A496=A487)*(E487:E496&gt;0)))),0)</f>
        <v>0</v>
      </c>
      <c r="I487" s="1024" cm="1">
        <f t="array" ref="I487">IFERROR(IF(A487=A486,0,SUM(_xlfn._xlws.FILTER(E487:E496,(A487:A496=A487)*(F487&lt;0)))),0)</f>
        <v>0</v>
      </c>
      <c r="J487" s="293" t="str">
        <f ca="1">IFERROR(_xlfn.XLOOKUP(B487,TabCalc[Ticker],TabCalc[Cur]),"")</f>
        <v>USD</v>
      </c>
      <c r="K487" s="1023" cm="1">
        <f t="array" ref="K487">IFERROR(IF($A487=$A486,0,SUM(_xlfn._xlws.FILTER($E487:$E497,($A487:$A497=$A487)*($J487:$J497=K$42)))),0)</f>
        <v>0</v>
      </c>
      <c r="L487" s="1023" cm="1">
        <f t="array" ref="L487">IFERROR(IF($A487=$A486,0,SUM(_xlfn._xlws.FILTER($E487:$E497,($A487:$A497=$A487)*($J487:$J497=L$42)))),0)</f>
        <v>0</v>
      </c>
      <c r="M487" s="1023" cm="1">
        <f t="array" ref="M487">IFERROR(IF($A487=$A486,0,SUM(_xlfn._xlws.FILTER($E487:$E497,($A487:$A497=$A487)*($J487:$J497=M$42)))),0)</f>
        <v>0</v>
      </c>
      <c r="N487" s="1023" cm="1">
        <f t="array" ref="N487">IFERROR(IF($A487=$A486,0,SUM(_xlfn._xlws.FILTER($E487:$E497,($A487:$A497=$A487)*($J487:$J497=N$42)))),0)</f>
        <v>0</v>
      </c>
    </row>
    <row r="488" spans="1:14" ht="23" hidden="1" thickTop="1" x14ac:dyDescent="0.3">
      <c r="A488" s="463">
        <v>45912</v>
      </c>
      <c r="B488" s="446" t="s">
        <v>16</v>
      </c>
      <c r="C488" s="446">
        <v>3750</v>
      </c>
      <c r="D488" s="644">
        <v>15.53</v>
      </c>
      <c r="E488" s="1022">
        <f ca="1">IFERROR(C488*D488*_xlfn.XLOOKUP(B488,TabCalc[Ticker],TabCalc[Scale]),0)</f>
        <v>58237.5</v>
      </c>
      <c r="F488" s="1023" cm="1">
        <f t="array" aca="1" ref="F488" ca="1">IF(A488=A487,0,SUM(_xlfn._xlws.FILTER(E488:E497,A488:A497=A488)))</f>
        <v>216757.5</v>
      </c>
      <c r="G488" s="1024">
        <f ca="1">IF(F488&lt;&gt;0,SUM($F$43:F488),0)</f>
        <v>-3541558.4295729995</v>
      </c>
      <c r="H488" s="1024" cm="1">
        <f t="array" aca="1" ref="H488" ca="1">IFERROR(IF(A488=A487,0,SUM(_xlfn._xlws.FILTER(E488:E497,(A488:A497=A488)*(E488:E497&gt;0)))),0)</f>
        <v>216757.5</v>
      </c>
      <c r="I488" s="1024" cm="1">
        <f t="array" aca="1" ref="I488" ca="1">IFERROR(IF(A488=A487,0,SUM(_xlfn._xlws.FILTER(E488:E497,(A488:A497=A488)*(F488&lt;0)))),0)</f>
        <v>0</v>
      </c>
      <c r="J488" s="293" t="str">
        <f ca="1">IFERROR(_xlfn.XLOOKUP(B488,TabCalc[Ticker],TabCalc[Cur]),"")</f>
        <v>EUR</v>
      </c>
      <c r="K488" s="1023" cm="1">
        <f t="array" aca="1" ref="K488" ca="1">IFERROR(IF($A488=$A487,0,SUM(_xlfn._xlws.FILTER($E488:$E498,($A488:$A498=$A488)*($J488:$J498=K$42)))),0)</f>
        <v>58237.5</v>
      </c>
      <c r="L488" s="1023" cm="1">
        <f t="array" aca="1" ref="L488" ca="1">IFERROR(IF($A488=$A487,0,SUM(_xlfn._xlws.FILTER($E488:$E498,($A488:$A498=$A488)*($J488:$J498=L$42)))),0)</f>
        <v>158520</v>
      </c>
      <c r="M488" s="1023" cm="1">
        <f t="array" aca="1" ref="M488" ca="1">IFERROR(IF($A488=$A487,0,SUM(_xlfn._xlws.FILTER($E488:$E498,($A488:$A498=$A488)*($J488:$J498=M$42)))),0)</f>
        <v>0</v>
      </c>
      <c r="N488" s="1023" cm="1">
        <f t="array" aca="1" ref="N488" ca="1">IFERROR(IF($A488=$A487,0,SUM(_xlfn._xlws.FILTER($E488:$E498,($A488:$A498=$A488)*($J488:$J498=N$42)))),0)</f>
        <v>0</v>
      </c>
    </row>
    <row r="489" spans="1:14" hidden="1" x14ac:dyDescent="0.3">
      <c r="A489" s="463">
        <v>45912</v>
      </c>
      <c r="B489" s="446" t="s">
        <v>29</v>
      </c>
      <c r="C489" s="446">
        <v>2000</v>
      </c>
      <c r="D489" s="644">
        <v>79.260000000000005</v>
      </c>
      <c r="E489" s="1022">
        <f ca="1">IFERROR(C489*D489*_xlfn.XLOOKUP(B489,TabCalc[Ticker],TabCalc[Scale]),0)</f>
        <v>158520</v>
      </c>
      <c r="F489" s="1023" cm="1">
        <f t="array" ref="F489">IF(A489=A488,0,SUM(_xlfn._xlws.FILTER(E489:E498,A489:A498=A489)))</f>
        <v>0</v>
      </c>
      <c r="G489" s="1024">
        <f>IF(F489&lt;&gt;0,SUM($F$43:F489),0)</f>
        <v>0</v>
      </c>
      <c r="H489" s="1024" cm="1">
        <f t="array" ref="H489">IFERROR(IF(A489=A488,0,SUM(_xlfn._xlws.FILTER(E489:E498,(A489:A498=A489)*(E489:E498&gt;0)))),0)</f>
        <v>0</v>
      </c>
      <c r="I489" s="1024" cm="1">
        <f t="array" ref="I489">IFERROR(IF(A489=A488,0,SUM(_xlfn._xlws.FILTER(E489:E498,(A489:A498=A489)*(F489&lt;0)))),0)</f>
        <v>0</v>
      </c>
      <c r="J489" s="293" t="str">
        <f ca="1">IFERROR(_xlfn.XLOOKUP(B489,TabCalc[Ticker],TabCalc[Cur]),"")</f>
        <v>USD</v>
      </c>
      <c r="K489" s="1023" cm="1">
        <f t="array" ref="K489">IFERROR(IF($A489=$A488,0,SUM(_xlfn._xlws.FILTER($E489:$E499,($A489:$A499=$A489)*($J489:$J499=K$42)))),0)</f>
        <v>0</v>
      </c>
      <c r="L489" s="1023" cm="1">
        <f t="array" ref="L489">IFERROR(IF($A489=$A488,0,SUM(_xlfn._xlws.FILTER($E489:$E499,($A489:$A499=$A489)*($J489:$J499=L$42)))),0)</f>
        <v>0</v>
      </c>
      <c r="M489" s="1023" cm="1">
        <f t="array" ref="M489">IFERROR(IF($A489=$A488,0,SUM(_xlfn._xlws.FILTER($E489:$E499,($A489:$A499=$A489)*($J489:$J499=M$42)))),0)</f>
        <v>0</v>
      </c>
      <c r="N489" s="1023" cm="1">
        <f t="array" ref="N489">IFERROR(IF($A489=$A488,0,SUM(_xlfn._xlws.FILTER($E489:$E499,($A489:$A499=$A489)*($J489:$J499=N$42)))),0)</f>
        <v>0</v>
      </c>
    </row>
    <row r="490" spans="1:14" ht="23" hidden="1" thickBot="1" x14ac:dyDescent="0.35">
      <c r="A490" s="894">
        <v>45915</v>
      </c>
      <c r="B490" s="447" t="s">
        <v>18</v>
      </c>
      <c r="C490" s="921">
        <v>5000</v>
      </c>
      <c r="D490" s="895">
        <v>15.63</v>
      </c>
      <c r="E490" s="1022">
        <f ca="1">IFERROR(C490*D490*_xlfn.XLOOKUP(B490,TabCalc[Ticker],TabCalc[Scale]),0)</f>
        <v>78150</v>
      </c>
      <c r="F490" s="1023" cm="1">
        <f t="array" aca="1" ref="F490" ca="1">IF(A490=A489,0,SUM(_xlfn._xlws.FILTER(E490:E499,A490:A499=A490)))</f>
        <v>224336</v>
      </c>
      <c r="G490" s="1024">
        <f ca="1">IF(F490&lt;&gt;0,SUM($F$43:F490),0)</f>
        <v>-3317222.4295729995</v>
      </c>
      <c r="H490" s="1024" cm="1">
        <f t="array" aca="1" ref="H490" ca="1">IFERROR(IF(A490=A489,0,SUM(_xlfn._xlws.FILTER(E490:E499,(A490:A499=A490)*(E490:E499&gt;0)))),0)</f>
        <v>336170</v>
      </c>
      <c r="I490" s="1024" cm="1">
        <f t="array" aca="1" ref="I490" ca="1">IFERROR(IF(A490=A489,0,SUM(_xlfn._xlws.FILTER(E490:E499,(A490:A499=A490)*(F490&lt;0)))),0)</f>
        <v>0</v>
      </c>
      <c r="J490" s="293" t="str">
        <f ca="1">IFERROR(_xlfn.XLOOKUP(B490,TabCalc[Ticker],TabCalc[Cur]),"")</f>
        <v>EUR</v>
      </c>
      <c r="K490" s="1023" cm="1">
        <f t="array" aca="1" ref="K490" ca="1">IFERROR(IF($A490=$A489,0,SUM(_xlfn._xlws.FILTER($E490:$E500,($A490:$A500=$A490)*($J490:$J500=K$42)))),0)</f>
        <v>336170</v>
      </c>
      <c r="L490" s="1023" cm="1">
        <f t="array" aca="1" ref="L490" ca="1">IFERROR(IF($A490=$A489,0,SUM(_xlfn._xlws.FILTER($E490:$E500,($A490:$A500=$A490)*($J490:$J500=L$42)))),0)</f>
        <v>-111833.99999999999</v>
      </c>
      <c r="M490" s="1023" cm="1">
        <f t="array" aca="1" ref="M490" ca="1">IFERROR(IF($A490=$A489,0,SUM(_xlfn._xlws.FILTER($E490:$E500,($A490:$A500=$A490)*($J490:$J500=M$42)))),0)</f>
        <v>0</v>
      </c>
      <c r="N490" s="1023" cm="1">
        <f t="array" aca="1" ref="N490" ca="1">IFERROR(IF($A490=$A489,0,SUM(_xlfn._xlws.FILTER($E490:$E500,($A490:$A500=$A490)*($J490:$J500=N$42)))),0)</f>
        <v>0</v>
      </c>
    </row>
    <row r="491" spans="1:14" ht="24" hidden="1" thickTop="1" thickBot="1" x14ac:dyDescent="0.35">
      <c r="A491" s="894">
        <v>45915</v>
      </c>
      <c r="B491" s="447" t="s">
        <v>16</v>
      </c>
      <c r="C491" s="921">
        <v>2500</v>
      </c>
      <c r="D491" s="895">
        <v>15.8</v>
      </c>
      <c r="E491" s="1022">
        <f ca="1">IFERROR(C491*D491*_xlfn.XLOOKUP(B491,TabCalc[Ticker],TabCalc[Scale]),0)</f>
        <v>39500</v>
      </c>
      <c r="F491" s="1023" cm="1">
        <f t="array" ref="F491">IF(A491=A490,0,SUM(_xlfn._xlws.FILTER(E491:E500,A491:A500=A491)))</f>
        <v>0</v>
      </c>
      <c r="G491" s="1024">
        <f>IF(F491&lt;&gt;0,SUM($F$43:F491),0)</f>
        <v>0</v>
      </c>
      <c r="H491" s="1024" cm="1">
        <f t="array" ref="H491">IFERROR(IF(A491=A490,0,SUM(_xlfn._xlws.FILTER(E491:E500,(A491:A500=A491)*(E491:E500&gt;0)))),0)</f>
        <v>0</v>
      </c>
      <c r="I491" s="1024" cm="1">
        <f t="array" ref="I491">IFERROR(IF(A491=A490,0,SUM(_xlfn._xlws.FILTER(E491:E500,(A491:A500=A491)*(F491&lt;0)))),0)</f>
        <v>0</v>
      </c>
      <c r="J491" s="293" t="str">
        <f ca="1">IFERROR(_xlfn.XLOOKUP(B491,TabCalc[Ticker],TabCalc[Cur]),"")</f>
        <v>EUR</v>
      </c>
      <c r="K491" s="1023" cm="1">
        <f t="array" ref="K491">IFERROR(IF($A491=$A490,0,SUM(_xlfn._xlws.FILTER($E491:$E501,($A491:$A501=$A491)*($J491:$J501=K$42)))),0)</f>
        <v>0</v>
      </c>
      <c r="L491" s="1023" cm="1">
        <f t="array" ref="L491">IFERROR(IF($A491=$A490,0,SUM(_xlfn._xlws.FILTER($E491:$E501,($A491:$A501=$A491)*($J491:$J501=L$42)))),0)</f>
        <v>0</v>
      </c>
      <c r="M491" s="1023" cm="1">
        <f t="array" ref="M491">IFERROR(IF($A491=$A490,0,SUM(_xlfn._xlws.FILTER($E491:$E501,($A491:$A501=$A491)*($J491:$J501=M$42)))),0)</f>
        <v>0</v>
      </c>
      <c r="N491" s="1023" cm="1">
        <f t="array" ref="N491">IFERROR(IF($A491=$A490,0,SUM(_xlfn._xlws.FILTER($E491:$E501,($A491:$A501=$A491)*($J491:$J501=N$42)))),0)</f>
        <v>0</v>
      </c>
    </row>
    <row r="492" spans="1:14" ht="24" hidden="1" thickTop="1" thickBot="1" x14ac:dyDescent="0.35">
      <c r="A492" s="894">
        <v>45915</v>
      </c>
      <c r="B492" s="447" t="s">
        <v>32</v>
      </c>
      <c r="C492" s="921">
        <v>300</v>
      </c>
      <c r="D492" s="895">
        <v>728.4</v>
      </c>
      <c r="E492" s="1022">
        <f ca="1">IFERROR(C492*D492*_xlfn.XLOOKUP(B492,TabCalc[Ticker],TabCalc[Scale]),0)</f>
        <v>218520</v>
      </c>
      <c r="F492" s="1023" cm="1">
        <f t="array" ref="F492">IF(A492=A491,0,SUM(_xlfn._xlws.FILTER(E492:E501,A492:A501=A492)))</f>
        <v>0</v>
      </c>
      <c r="G492" s="1024">
        <f>IF(F492&lt;&gt;0,SUM($F$43:F492),0)</f>
        <v>0</v>
      </c>
      <c r="H492" s="1024" cm="1">
        <f t="array" ref="H492">IFERROR(IF(A492=A491,0,SUM(_xlfn._xlws.FILTER(E492:E501,(A492:A501=A492)*(E492:E501&gt;0)))),0)</f>
        <v>0</v>
      </c>
      <c r="I492" s="1024" cm="1">
        <f t="array" ref="I492">IFERROR(IF(A492=A491,0,SUM(_xlfn._xlws.FILTER(E492:E501,(A492:A501=A492)*(F492&lt;0)))),0)</f>
        <v>0</v>
      </c>
      <c r="J492" s="293" t="str">
        <f ca="1">IFERROR(_xlfn.XLOOKUP(B492,TabCalc[Ticker],TabCalc[Cur]),"")</f>
        <v>EUR</v>
      </c>
      <c r="K492" s="1023" cm="1">
        <f t="array" ref="K492">IFERROR(IF($A492=$A491,0,SUM(_xlfn._xlws.FILTER($E492:$E502,($A492:$A502=$A492)*($J492:$J502=K$42)))),0)</f>
        <v>0</v>
      </c>
      <c r="L492" s="1023" cm="1">
        <f t="array" ref="L492">IFERROR(IF($A492=$A491,0,SUM(_xlfn._xlws.FILTER($E492:$E502,($A492:$A502=$A492)*($J492:$J502=L$42)))),0)</f>
        <v>0</v>
      </c>
      <c r="M492" s="1023" cm="1">
        <f t="array" ref="M492">IFERROR(IF($A492=$A491,0,SUM(_xlfn._xlws.FILTER($E492:$E502,($A492:$A502=$A492)*($J492:$J502=M$42)))),0)</f>
        <v>0</v>
      </c>
      <c r="N492" s="1023" cm="1">
        <f t="array" ref="N492">IFERROR(IF($A492=$A491,0,SUM(_xlfn._xlws.FILTER($E492:$E502,($A492:$A502=$A492)*($J492:$J502=N$42)))),0)</f>
        <v>0</v>
      </c>
    </row>
    <row r="493" spans="1:14" ht="24" hidden="1" thickTop="1" thickBot="1" x14ac:dyDescent="0.35">
      <c r="A493" s="894">
        <v>45915</v>
      </c>
      <c r="B493" s="447" t="s">
        <v>80</v>
      </c>
      <c r="C493" s="921">
        <v>600</v>
      </c>
      <c r="D493" s="895">
        <v>-186.39</v>
      </c>
      <c r="E493" s="1022">
        <f ca="1">IFERROR(C493*D493*_xlfn.XLOOKUP(B493,TabCalc[Ticker],TabCalc[Scale]),0)</f>
        <v>-111833.99999999999</v>
      </c>
      <c r="F493" s="1023" cm="1">
        <f t="array" ref="F493">IF(A493=A492,0,SUM(_xlfn._xlws.FILTER(E493:E502,A493:A502=A493)))</f>
        <v>0</v>
      </c>
      <c r="G493" s="1024">
        <f>IF(F493&lt;&gt;0,SUM($F$43:F493),0)</f>
        <v>0</v>
      </c>
      <c r="H493" s="1024" cm="1">
        <f t="array" ref="H493">IFERROR(IF(A493=A492,0,SUM(_xlfn._xlws.FILTER(E493:E502,(A493:A502=A493)*(E493:E502&gt;0)))),0)</f>
        <v>0</v>
      </c>
      <c r="I493" s="1024" cm="1">
        <f t="array" ref="I493">IFERROR(IF(A493=A492,0,SUM(_xlfn._xlws.FILTER(E493:E502,(A493:A502=A493)*(F493&lt;0)))),0)</f>
        <v>0</v>
      </c>
      <c r="J493" s="293" t="str">
        <f ca="1">IFERROR(_xlfn.XLOOKUP(B493,TabCalc[Ticker],TabCalc[Cur]),"")</f>
        <v>USD</v>
      </c>
      <c r="K493" s="1023" cm="1">
        <f t="array" ref="K493">IFERROR(IF($A493=$A492,0,SUM(_xlfn._xlws.FILTER($E493:$E503,($A493:$A503=$A493)*($J493:$J503=K$42)))),0)</f>
        <v>0</v>
      </c>
      <c r="L493" s="1023" cm="1">
        <f t="array" ref="L493">IFERROR(IF($A493=$A492,0,SUM(_xlfn._xlws.FILTER($E493:$E503,($A493:$A503=$A493)*($J493:$J503=L$42)))),0)</f>
        <v>0</v>
      </c>
      <c r="M493" s="1023" cm="1">
        <f t="array" ref="M493">IFERROR(IF($A493=$A492,0,SUM(_xlfn._xlws.FILTER($E493:$E503,($A493:$A503=$A493)*($J493:$J503=M$42)))),0)</f>
        <v>0</v>
      </c>
      <c r="N493" s="1023" cm="1">
        <f t="array" ref="N493">IFERROR(IF($A493=$A492,0,SUM(_xlfn._xlws.FILTER($E493:$E503,($A493:$A503=$A493)*($J493:$J503=N$42)))),0)</f>
        <v>0</v>
      </c>
    </row>
    <row r="494" spans="1:14" ht="23" hidden="1" thickTop="1" x14ac:dyDescent="0.3">
      <c r="A494" s="463">
        <v>45916</v>
      </c>
      <c r="B494" s="446" t="s">
        <v>20</v>
      </c>
      <c r="C494" s="446">
        <v>2000</v>
      </c>
      <c r="D494" s="644">
        <v>24.46</v>
      </c>
      <c r="E494" s="1022">
        <f ca="1">IFERROR(C494*D494*_xlfn.XLOOKUP(B494,TabCalc[Ticker],TabCalc[Scale]),0)</f>
        <v>48920</v>
      </c>
      <c r="F494" s="1023" cm="1">
        <f t="array" aca="1" ref="F494" ca="1">IF(A494=A493,0,SUM(_xlfn._xlws.FILTER(E494:E503,A494:A503=A494)))</f>
        <v>90770</v>
      </c>
      <c r="G494" s="1024">
        <f ca="1">IF(F494&lt;&gt;0,SUM($F$43:F494),0)</f>
        <v>-3226452.4295729995</v>
      </c>
      <c r="H494" s="1024" cm="1">
        <f t="array" aca="1" ref="H494" ca="1">IFERROR(IF(A494=A493,0,SUM(_xlfn._xlws.FILTER(E494:E503,(A494:A503=A494)*(E494:E503&gt;0)))),0)</f>
        <v>90770</v>
      </c>
      <c r="I494" s="1024" cm="1">
        <f t="array" aca="1" ref="I494" ca="1">IFERROR(IF(A494=A493,0,SUM(_xlfn._xlws.FILTER(E494:E503,(A494:A503=A494)*(F494&lt;0)))),0)</f>
        <v>0</v>
      </c>
      <c r="J494" s="293" t="str">
        <f ca="1">IFERROR(_xlfn.XLOOKUP(B494,TabCalc[Ticker],TabCalc[Cur]),"")</f>
        <v>USD</v>
      </c>
      <c r="K494" s="1023" cm="1">
        <f t="array" aca="1" ref="K494" ca="1">IFERROR(IF($A494=$A493,0,SUM(_xlfn._xlws.FILTER($E494:$E504,($A494:$A504=$A494)*($J494:$J504=K$42)))),0)</f>
        <v>0</v>
      </c>
      <c r="L494" s="1023" cm="1">
        <f t="array" aca="1" ref="L494" ca="1">IFERROR(IF($A494=$A493,0,SUM(_xlfn._xlws.FILTER($E494:$E504,($A494:$A504=$A494)*($J494:$J504=L$42)))),0)</f>
        <v>90770</v>
      </c>
      <c r="M494" s="1023" cm="1">
        <f t="array" aca="1" ref="M494" ca="1">IFERROR(IF($A494=$A493,0,SUM(_xlfn._xlws.FILTER($E494:$E504,($A494:$A504=$A494)*($J494:$J504=M$42)))),0)</f>
        <v>0</v>
      </c>
      <c r="N494" s="1023" cm="1">
        <f t="array" aca="1" ref="N494" ca="1">IFERROR(IF($A494=$A493,0,SUM(_xlfn._xlws.FILTER($E494:$E504,($A494:$A504=$A494)*($J494:$J504=N$42)))),0)</f>
        <v>0</v>
      </c>
    </row>
    <row r="495" spans="1:14" hidden="1" x14ac:dyDescent="0.3">
      <c r="A495" s="463">
        <v>45916</v>
      </c>
      <c r="B495" s="446" t="s">
        <v>25</v>
      </c>
      <c r="C495" s="446">
        <v>1000</v>
      </c>
      <c r="D495" s="644">
        <v>5.56</v>
      </c>
      <c r="E495" s="1022">
        <f ca="1">IFERROR(C495*D495*_xlfn.XLOOKUP(B495,TabCalc[Ticker],TabCalc[Scale]),0)</f>
        <v>5560</v>
      </c>
      <c r="F495" s="1023" cm="1">
        <f t="array" ref="F495">IF(A495=A494,0,SUM(_xlfn._xlws.FILTER(E495:E504,A495:A504=A495)))</f>
        <v>0</v>
      </c>
      <c r="G495" s="1024">
        <f>IF(F495&lt;&gt;0,SUM($F$43:F495),0)</f>
        <v>0</v>
      </c>
      <c r="H495" s="1024" cm="1">
        <f t="array" ref="H495">IFERROR(IF(A495=A494,0,SUM(_xlfn._xlws.FILTER(E495:E504,(A495:A504=A495)*(E495:E504&gt;0)))),0)</f>
        <v>0</v>
      </c>
      <c r="I495" s="1024" cm="1">
        <f t="array" ref="I495">IFERROR(IF(A495=A494,0,SUM(_xlfn._xlws.FILTER(E495:E504,(A495:A504=A495)*(F495&lt;0)))),0)</f>
        <v>0</v>
      </c>
      <c r="J495" s="293" t="str">
        <f ca="1">IFERROR(_xlfn.XLOOKUP(B495,TabCalc[Ticker],TabCalc[Cur]),"")</f>
        <v>USD</v>
      </c>
      <c r="K495" s="1023" cm="1">
        <f t="array" ref="K495">IFERROR(IF($A495=$A494,0,SUM(_xlfn._xlws.FILTER($E495:$E505,($A495:$A505=$A495)*($J495:$J505=K$42)))),0)</f>
        <v>0</v>
      </c>
      <c r="L495" s="1023" cm="1">
        <f t="array" ref="L495">IFERROR(IF($A495=$A494,0,SUM(_xlfn._xlws.FILTER($E495:$E505,($A495:$A505=$A495)*($J495:$J505=L$42)))),0)</f>
        <v>0</v>
      </c>
      <c r="M495" s="1023" cm="1">
        <f t="array" ref="M495">IFERROR(IF($A495=$A494,0,SUM(_xlfn._xlws.FILTER($E495:$E505,($A495:$A505=$A495)*($J495:$J505=M$42)))),0)</f>
        <v>0</v>
      </c>
      <c r="N495" s="1023" cm="1">
        <f t="array" ref="N495">IFERROR(IF($A495=$A494,0,SUM(_xlfn._xlws.FILTER($E495:$E505,($A495:$A505=$A495)*($J495:$J505=N$42)))),0)</f>
        <v>0</v>
      </c>
    </row>
    <row r="496" spans="1:14" hidden="1" x14ac:dyDescent="0.3">
      <c r="A496" s="463">
        <v>45916</v>
      </c>
      <c r="B496" s="446" t="s">
        <v>31</v>
      </c>
      <c r="C496" s="446">
        <v>1000</v>
      </c>
      <c r="D496" s="644">
        <v>36.29</v>
      </c>
      <c r="E496" s="1022">
        <f ca="1">IFERROR(C496*D496*_xlfn.XLOOKUP(B496,TabCalc[Ticker],TabCalc[Scale]),0)</f>
        <v>36290</v>
      </c>
      <c r="F496" s="1023" cm="1">
        <f t="array" ref="F496">IF(A496=A495,0,SUM(_xlfn._xlws.FILTER(E496:E505,A496:A505=A496)))</f>
        <v>0</v>
      </c>
      <c r="G496" s="1024">
        <f>IF(F496&lt;&gt;0,SUM($F$43:F496),0)</f>
        <v>0</v>
      </c>
      <c r="H496" s="1024" cm="1">
        <f t="array" ref="H496">IFERROR(IF(A496=A495,0,SUM(_xlfn._xlws.FILTER(E496:E505,(A496:A505=A496)*(E496:E505&gt;0)))),0)</f>
        <v>0</v>
      </c>
      <c r="I496" s="1024" cm="1">
        <f t="array" ref="I496">IFERROR(IF(A496=A495,0,SUM(_xlfn._xlws.FILTER(E496:E505,(A496:A505=A496)*(F496&lt;0)))),0)</f>
        <v>0</v>
      </c>
      <c r="J496" s="293" t="str">
        <f ca="1">IFERROR(_xlfn.XLOOKUP(B496,TabCalc[Ticker],TabCalc[Cur]),"")</f>
        <v>USD</v>
      </c>
      <c r="K496" s="1023" cm="1">
        <f t="array" ref="K496">IFERROR(IF($A496=$A495,0,SUM(_xlfn._xlws.FILTER($E496:$E506,($A496:$A506=$A496)*($J496:$J506=K$42)))),0)</f>
        <v>0</v>
      </c>
      <c r="L496" s="1023" cm="1">
        <f t="array" ref="L496">IFERROR(IF($A496=$A495,0,SUM(_xlfn._xlws.FILTER($E496:$E506,($A496:$A506=$A496)*($J496:$J506=L$42)))),0)</f>
        <v>0</v>
      </c>
      <c r="M496" s="1023" cm="1">
        <f t="array" ref="M496">IFERROR(IF($A496=$A495,0,SUM(_xlfn._xlws.FILTER($E496:$E506,($A496:$A506=$A496)*($J496:$J506=M$42)))),0)</f>
        <v>0</v>
      </c>
      <c r="N496" s="1023" cm="1">
        <f t="array" ref="N496">IFERROR(IF($A496=$A495,0,SUM(_xlfn._xlws.FILTER($E496:$E506,($A496:$A506=$A496)*($J496:$J506=N$42)))),0)</f>
        <v>0</v>
      </c>
    </row>
    <row r="497" spans="1:14" ht="23" hidden="1" thickBot="1" x14ac:dyDescent="0.35">
      <c r="A497" s="894">
        <v>45917</v>
      </c>
      <c r="B497" s="447" t="s">
        <v>48</v>
      </c>
      <c r="C497" s="921">
        <v>1000</v>
      </c>
      <c r="D497" s="895">
        <v>-60.1</v>
      </c>
      <c r="E497" s="1022">
        <f ca="1">IFERROR(C497*D497*_xlfn.XLOOKUP(B497,TabCalc[Ticker],TabCalc[Scale]),0)</f>
        <v>-60100</v>
      </c>
      <c r="F497" s="1023" cm="1">
        <f t="array" aca="1" ref="F497" ca="1">IF(A497=A496,0,SUM(_xlfn._xlws.FILTER(E497:E506,A497:A506=A497)))</f>
        <v>-60100</v>
      </c>
      <c r="G497" s="1024">
        <f ca="1">IF(F497&lt;&gt;0,SUM($F$43:F497),0)</f>
        <v>-3286552.4295729995</v>
      </c>
      <c r="H497" s="1024" cm="1">
        <f t="array" aca="1" ref="H497" ca="1">IFERROR(IF(A497=A496,0,SUM(_xlfn._xlws.FILTER(E497:E506,(A497:A506=A497)*(E497:E506&gt;0)))),0)</f>
        <v>0</v>
      </c>
      <c r="I497" s="1024" cm="1">
        <f t="array" aca="1" ref="I497" ca="1">IFERROR(IF(A497=A496,0,SUM(_xlfn._xlws.FILTER(E497:E506,(A497:A506=A497)*(F497&lt;0)))),0)</f>
        <v>-60100</v>
      </c>
      <c r="J497" s="293" t="str">
        <f ca="1">IFERROR(_xlfn.XLOOKUP(B497,TabCalc[Ticker],TabCalc[Cur]),"")</f>
        <v>CHF</v>
      </c>
      <c r="K497" s="1023" cm="1">
        <f t="array" aca="1" ref="K497" ca="1">IFERROR(IF($A497=$A496,0,SUM(_xlfn._xlws.FILTER($E497:$E507,($A497:$A507=$A497)*($J497:$J507=K$42)))),0)</f>
        <v>0</v>
      </c>
      <c r="L497" s="1023" cm="1">
        <f t="array" aca="1" ref="L497" ca="1">IFERROR(IF($A497=$A496,0,SUM(_xlfn._xlws.FILTER($E497:$E507,($A497:$A507=$A497)*($J497:$J507=L$42)))),0)</f>
        <v>0</v>
      </c>
      <c r="M497" s="1023" cm="1">
        <f t="array" aca="1" ref="M497" ca="1">IFERROR(IF($A497=$A496,0,SUM(_xlfn._xlws.FILTER($E497:$E507,($A497:$A507=$A497)*($J497:$J507=M$42)))),0)</f>
        <v>0</v>
      </c>
      <c r="N497" s="1023" cm="1">
        <f t="array" aca="1" ref="N497" ca="1">IFERROR(IF($A497=$A496,0,SUM(_xlfn._xlws.FILTER($E497:$E507,($A497:$A507=$A497)*($J497:$J507=N$42)))),0)</f>
        <v>-60100</v>
      </c>
    </row>
    <row r="498" spans="1:14" ht="23" hidden="1" thickTop="1" x14ac:dyDescent="0.3">
      <c r="A498" s="463">
        <v>45918</v>
      </c>
      <c r="B498" s="446" t="s">
        <v>32</v>
      </c>
      <c r="C498" s="446">
        <v>100</v>
      </c>
      <c r="D498" s="644">
        <v>772.4</v>
      </c>
      <c r="E498" s="1022">
        <f ca="1">IFERROR(C498*D498*_xlfn.XLOOKUP(B498,TabCalc[Ticker],TabCalc[Scale]),0)</f>
        <v>77240</v>
      </c>
      <c r="F498" s="1023" cm="1">
        <f t="array" aca="1" ref="F498" ca="1">IF(A498=A497,0,SUM(_xlfn._xlws.FILTER(E498:E507,A498:A507=A498)))</f>
        <v>345830</v>
      </c>
      <c r="G498" s="1024">
        <f ca="1">IF(F498&lt;&gt;0,SUM($F$43:F498),0)</f>
        <v>-2940722.4295729995</v>
      </c>
      <c r="H498" s="1024" cm="1">
        <f t="array" aca="1" ref="H498" ca="1">IFERROR(IF(A498=A497,0,SUM(_xlfn._xlws.FILTER(E498:E507,(A498:A507=A498)*(E498:E507&gt;0)))),0)</f>
        <v>345830</v>
      </c>
      <c r="I498" s="1024" cm="1">
        <f t="array" aca="1" ref="I498" ca="1">IFERROR(IF(A498=A497,0,SUM(_xlfn._xlws.FILTER(E498:E507,(A498:A507=A498)*(F498&lt;0)))),0)</f>
        <v>0</v>
      </c>
      <c r="J498" s="293" t="str">
        <f ca="1">IFERROR(_xlfn.XLOOKUP(B498,TabCalc[Ticker],TabCalc[Cur]),"")</f>
        <v>EUR</v>
      </c>
      <c r="K498" s="1023" cm="1">
        <f t="array" aca="1" ref="K498" ca="1">IFERROR(IF($A498=$A497,0,SUM(_xlfn._xlws.FILTER($E498:$E508,($A498:$A508=$A498)*($J498:$J508=K$42)))),0)</f>
        <v>77240</v>
      </c>
      <c r="L498" s="1023" cm="1">
        <f t="array" aca="1" ref="L498" ca="1">IFERROR(IF($A498=$A497,0,SUM(_xlfn._xlws.FILTER($E498:$E508,($A498:$A508=$A498)*($J498:$J508=L$42)))),0)</f>
        <v>268590</v>
      </c>
      <c r="M498" s="1023" cm="1">
        <f t="array" aca="1" ref="M498" ca="1">IFERROR(IF($A498=$A497,0,SUM(_xlfn._xlws.FILTER($E498:$E508,($A498:$A508=$A498)*($J498:$J508=M$42)))),0)</f>
        <v>0</v>
      </c>
      <c r="N498" s="1023" cm="1">
        <f t="array" aca="1" ref="N498" ca="1">IFERROR(IF($A498=$A497,0,SUM(_xlfn._xlws.FILTER($E498:$E508,($A498:$A508=$A498)*($J498:$J508=N$42)))),0)</f>
        <v>0</v>
      </c>
    </row>
    <row r="499" spans="1:14" hidden="1" x14ac:dyDescent="0.3">
      <c r="A499" s="463">
        <v>45918</v>
      </c>
      <c r="B499" s="446" t="s">
        <v>43</v>
      </c>
      <c r="C499" s="446">
        <v>1000</v>
      </c>
      <c r="D499" s="644">
        <v>268.58999999999997</v>
      </c>
      <c r="E499" s="1022">
        <f ca="1">IFERROR(C499*D499*_xlfn.XLOOKUP(B499,TabCalc[Ticker],TabCalc[Scale]),0)</f>
        <v>268590</v>
      </c>
      <c r="F499" s="1023" cm="1">
        <f t="array" ref="F499">IF(A499=A498,0,SUM(_xlfn._xlws.FILTER(E499:E508,A499:A508=A499)))</f>
        <v>0</v>
      </c>
      <c r="G499" s="1024">
        <f>IF(F499&lt;&gt;0,SUM($F$43:F499),0)</f>
        <v>0</v>
      </c>
      <c r="H499" s="1024" cm="1">
        <f t="array" ref="H499">IFERROR(IF(A499=A498,0,SUM(_xlfn._xlws.FILTER(E499:E508,(A499:A508=A499)*(E499:E508&gt;0)))),0)</f>
        <v>0</v>
      </c>
      <c r="I499" s="1024" cm="1">
        <f t="array" ref="I499">IFERROR(IF(A499=A498,0,SUM(_xlfn._xlws.FILTER(E499:E508,(A499:A508=A499)*(F499&lt;0)))),0)</f>
        <v>0</v>
      </c>
      <c r="J499" s="293" t="str">
        <f ca="1">IFERROR(_xlfn.XLOOKUP(B499,TabCalc[Ticker],TabCalc[Cur]),"")</f>
        <v>USD</v>
      </c>
      <c r="K499" s="1023" cm="1">
        <f t="array" ref="K499">IFERROR(IF($A499=$A498,0,SUM(_xlfn._xlws.FILTER($E499:$E509,($A499:$A509=$A499)*($J499:$J509=K$42)))),0)</f>
        <v>0</v>
      </c>
      <c r="L499" s="1023" cm="1">
        <f t="array" ref="L499">IFERROR(IF($A499=$A498,0,SUM(_xlfn._xlws.FILTER($E499:$E509,($A499:$A509=$A499)*($J499:$J509=L$42)))),0)</f>
        <v>0</v>
      </c>
      <c r="M499" s="1023" cm="1">
        <f t="array" ref="M499">IFERROR(IF($A499=$A498,0,SUM(_xlfn._xlws.FILTER($E499:$E509,($A499:$A509=$A499)*($J499:$J509=M$42)))),0)</f>
        <v>0</v>
      </c>
      <c r="N499" s="1023" cm="1">
        <f t="array" ref="N499">IFERROR(IF($A499=$A498,0,SUM(_xlfn._xlws.FILTER($E499:$E509,($A499:$A509=$A499)*($J499:$J509=N$42)))),0)</f>
        <v>0</v>
      </c>
    </row>
    <row r="500" spans="1:14" hidden="1" x14ac:dyDescent="0.3">
      <c r="A500" s="449">
        <v>45919</v>
      </c>
      <c r="B500" s="462" t="s">
        <v>74</v>
      </c>
      <c r="C500" s="451">
        <v>9990</v>
      </c>
      <c r="D500" s="452">
        <v>-14.92</v>
      </c>
      <c r="E500" s="1022">
        <f ca="1">IFERROR(C500*D500*_xlfn.XLOOKUP(B500,TabCalc[Ticker],TabCalc[Scale]),0)</f>
        <v>-149050.79999999999</v>
      </c>
      <c r="F500" s="1023" cm="1">
        <f t="array" aca="1" ref="F500" ca="1">IF(A500=A499,0,SUM(_xlfn._xlws.FILTER(E500:E509,A500:A509=A500)))</f>
        <v>-433371.815</v>
      </c>
      <c r="G500" s="1024">
        <f ca="1">IF(F500&lt;&gt;0,SUM($F$43:F500),0)</f>
        <v>-3374094.2445729994</v>
      </c>
      <c r="H500" s="1024" cm="1">
        <f t="array" aca="1" ref="H500" ca="1">IFERROR(IF(A500=A499,0,SUM(_xlfn._xlws.FILTER(E500:E509,(A500:A509=A500)*(E500:E509&gt;0)))),0)</f>
        <v>228443.685</v>
      </c>
      <c r="I500" s="1024" cm="1">
        <f t="array" aca="1" ref="I500" ca="1">IFERROR(IF(A500=A499,0,SUM(_xlfn._xlws.FILTER(E500:E509,(A500:A509=A500)*(F500&lt;0)))),0)</f>
        <v>-433371.815</v>
      </c>
      <c r="J500" s="293" t="str">
        <f ca="1">IFERROR(_xlfn.XLOOKUP(B500,TabCalc[Ticker],TabCalc[Cur]),"")</f>
        <v>EUR</v>
      </c>
      <c r="K500" s="1023" cm="1">
        <f t="array" aca="1" ref="K500" ca="1">IFERROR(IF($A500=$A499,0,SUM(_xlfn._xlws.FILTER($E500:$E510,($A500:$A510=$A500)*($J500:$J510=K$42)))),0)</f>
        <v>-202372.3</v>
      </c>
      <c r="L500" s="1023" cm="1">
        <f t="array" aca="1" ref="L500" ca="1">IFERROR(IF($A500=$A499,0,SUM(_xlfn._xlws.FILTER($E500:$E510,($A500:$A510=$A500)*($J500:$J510=L$42)))),0)</f>
        <v>86752.484999999986</v>
      </c>
      <c r="M500" s="1023" cm="1">
        <f t="array" aca="1" ref="M500" ca="1">IFERROR(IF($A500=$A499,0,SUM(_xlfn._xlws.FILTER($E500:$E510,($A500:$A510=$A500)*($J500:$J510=M$42)))),0)</f>
        <v>-90202</v>
      </c>
      <c r="N500" s="1023" cm="1">
        <f t="array" aca="1" ref="N500" ca="1">IFERROR(IF($A500=$A499,0,SUM(_xlfn._xlws.FILTER($E500:$E510,($A500:$A510=$A500)*($J500:$J510=N$42)))),0)</f>
        <v>0</v>
      </c>
    </row>
    <row r="501" spans="1:14" hidden="1" x14ac:dyDescent="0.3">
      <c r="A501" s="449">
        <v>45919</v>
      </c>
      <c r="B501" s="462" t="s">
        <v>74</v>
      </c>
      <c r="C501" s="451">
        <v>10010</v>
      </c>
      <c r="D501" s="452">
        <v>-14.87</v>
      </c>
      <c r="E501" s="1022">
        <f ca="1">IFERROR(C501*D501*_xlfn.XLOOKUP(B501,TabCalc[Ticker],TabCalc[Scale]),0)</f>
        <v>-148848.69999999998</v>
      </c>
      <c r="F501" s="1023" cm="1">
        <f t="array" ref="F501">IF(A501=A500,0,SUM(_xlfn._xlws.FILTER(E501:E510,A501:A510=A501)))</f>
        <v>0</v>
      </c>
      <c r="G501" s="1024">
        <f>IF(F501&lt;&gt;0,SUM($F$43:F501),0)</f>
        <v>0</v>
      </c>
      <c r="H501" s="1024" cm="1">
        <f t="array" ref="H501">IFERROR(IF(A501=A500,0,SUM(_xlfn._xlws.FILTER(E501:E510,(A501:A510=A501)*(E501:E510&gt;0)))),0)</f>
        <v>0</v>
      </c>
      <c r="I501" s="1024" cm="1">
        <f t="array" ref="I501">IFERROR(IF(A501=A500,0,SUM(_xlfn._xlws.FILTER(E501:E510,(A501:A510=A501)*(F501&lt;0)))),0)</f>
        <v>0</v>
      </c>
      <c r="J501" s="293" t="str">
        <f ca="1">IFERROR(_xlfn.XLOOKUP(B501,TabCalc[Ticker],TabCalc[Cur]),"")</f>
        <v>EUR</v>
      </c>
      <c r="K501" s="1023" cm="1">
        <f t="array" ref="K501">IFERROR(IF($A501=$A500,0,SUM(_xlfn._xlws.FILTER($E501:$E511,($A501:$A511=$A501)*($J501:$J511=K$42)))),0)</f>
        <v>0</v>
      </c>
      <c r="L501" s="1023" cm="1">
        <f t="array" ref="L501">IFERROR(IF($A501=$A500,0,SUM(_xlfn._xlws.FILTER($E501:$E511,($A501:$A511=$A501)*($J501:$J511=L$42)))),0)</f>
        <v>0</v>
      </c>
      <c r="M501" s="1023" cm="1">
        <f t="array" ref="M501">IFERROR(IF($A501=$A500,0,SUM(_xlfn._xlws.FILTER($E501:$E511,($A501:$A511=$A501)*($J501:$J511=M$42)))),0)</f>
        <v>0</v>
      </c>
      <c r="N501" s="1023" cm="1">
        <f t="array" ref="N501">IFERROR(IF($A501=$A500,0,SUM(_xlfn._xlws.FILTER($E501:$E511,($A501:$A511=$A501)*($J501:$J511=N$42)))),0)</f>
        <v>0</v>
      </c>
    </row>
    <row r="502" spans="1:14" hidden="1" x14ac:dyDescent="0.3">
      <c r="A502" s="449">
        <v>45919</v>
      </c>
      <c r="B502" s="462" t="s">
        <v>77</v>
      </c>
      <c r="C502" s="451">
        <v>20000</v>
      </c>
      <c r="D502" s="452">
        <v>-451.01</v>
      </c>
      <c r="E502" s="1022">
        <f ca="1">IFERROR(C502*D502*_xlfn.XLOOKUP(B502,TabCalc[Ticker],TabCalc[Scale]),0)</f>
        <v>-90202</v>
      </c>
      <c r="F502" s="1023" cm="1">
        <f t="array" ref="F502">IF(A502=A501,0,SUM(_xlfn._xlws.FILTER(E502:E511,A502:A511=A502)))</f>
        <v>0</v>
      </c>
      <c r="G502" s="1024">
        <f>IF(F502&lt;&gt;0,SUM($F$43:F502),0)</f>
        <v>0</v>
      </c>
      <c r="H502" s="1024" cm="1">
        <f t="array" ref="H502">IFERROR(IF(A502=A501,0,SUM(_xlfn._xlws.FILTER(E502:E511,(A502:A511=A502)*(E502:E511&gt;0)))),0)</f>
        <v>0</v>
      </c>
      <c r="I502" s="1024" cm="1">
        <f t="array" ref="I502">IFERROR(IF(A502=A501,0,SUM(_xlfn._xlws.FILTER(E502:E511,(A502:A511=A502)*(F502&lt;0)))),0)</f>
        <v>0</v>
      </c>
      <c r="J502" s="293" t="str">
        <f ca="1">IFERROR(_xlfn.XLOOKUP(B502,TabCalc[Ticker],TabCalc[Cur]),"")</f>
        <v>GBp</v>
      </c>
      <c r="K502" s="1023" cm="1">
        <f t="array" ref="K502">IFERROR(IF($A502=$A501,0,SUM(_xlfn._xlws.FILTER($E502:$E512,($A502:$A512=$A502)*($J502:$J512=K$42)))),0)</f>
        <v>0</v>
      </c>
      <c r="L502" s="1023" cm="1">
        <f t="array" ref="L502">IFERROR(IF($A502=$A501,0,SUM(_xlfn._xlws.FILTER($E502:$E512,($A502:$A512=$A502)*($J502:$J512=L$42)))),0)</f>
        <v>0</v>
      </c>
      <c r="M502" s="1023" cm="1">
        <f t="array" ref="M502">IFERROR(IF($A502=$A501,0,SUM(_xlfn._xlws.FILTER($E502:$E512,($A502:$A512=$A502)*($J502:$J512=M$42)))),0)</f>
        <v>0</v>
      </c>
      <c r="N502" s="1023" cm="1">
        <f t="array" ref="N502">IFERROR(IF($A502=$A501,0,SUM(_xlfn._xlws.FILTER($E502:$E512,($A502:$A512=$A502)*($J502:$J512=N$42)))),0)</f>
        <v>0</v>
      </c>
    </row>
    <row r="503" spans="1:14" hidden="1" x14ac:dyDescent="0.3">
      <c r="A503" s="449">
        <v>45919</v>
      </c>
      <c r="B503" s="462" t="s">
        <v>42</v>
      </c>
      <c r="C503" s="451">
        <v>1200</v>
      </c>
      <c r="D503" s="452">
        <v>13.744999999999999</v>
      </c>
      <c r="E503" s="1022">
        <f ca="1">IFERROR(C503*D503*_xlfn.XLOOKUP(B503,TabCalc[Ticker],TabCalc[Scale]),0)</f>
        <v>16494</v>
      </c>
      <c r="F503" s="1023" cm="1">
        <f t="array" ref="F503">IF(A503=A502,0,SUM(_xlfn._xlws.FILTER(E503:E512,A503:A512=A503)))</f>
        <v>0</v>
      </c>
      <c r="G503" s="1024">
        <f>IF(F503&lt;&gt;0,SUM($F$43:F503),0)</f>
        <v>0</v>
      </c>
      <c r="H503" s="1024" cm="1">
        <f t="array" ref="H503">IFERROR(IF(A503=A502,0,SUM(_xlfn._xlws.FILTER(E503:E512,(A503:A512=A503)*(E503:E512&gt;0)))),0)</f>
        <v>0</v>
      </c>
      <c r="I503" s="1024" cm="1">
        <f t="array" ref="I503">IFERROR(IF(A503=A502,0,SUM(_xlfn._xlws.FILTER(E503:E512,(A503:A512=A503)*(F503&lt;0)))),0)</f>
        <v>0</v>
      </c>
      <c r="J503" s="293" t="str">
        <f ca="1">IFERROR(_xlfn.XLOOKUP(B503,TabCalc[Ticker],TabCalc[Cur]),"")</f>
        <v>EUR</v>
      </c>
      <c r="K503" s="1023" cm="1">
        <f t="array" ref="K503">IFERROR(IF($A503=$A502,0,SUM(_xlfn._xlws.FILTER($E503:$E513,($A503:$A513=$A503)*($J503:$J513=K$42)))),0)</f>
        <v>0</v>
      </c>
      <c r="L503" s="1023" cm="1">
        <f t="array" ref="L503">IFERROR(IF($A503=$A502,0,SUM(_xlfn._xlws.FILTER($E503:$E513,($A503:$A513=$A503)*($J503:$J513=L$42)))),0)</f>
        <v>0</v>
      </c>
      <c r="M503" s="1023" cm="1">
        <f t="array" ref="M503">IFERROR(IF($A503=$A502,0,SUM(_xlfn._xlws.FILTER($E503:$E513,($A503:$A513=$A503)*($J503:$J513=M$42)))),0)</f>
        <v>0</v>
      </c>
      <c r="N503" s="1023" cm="1">
        <f t="array" ref="N503">IFERROR(IF($A503=$A502,0,SUM(_xlfn._xlws.FILTER($E503:$E513,($A503:$A513=$A503)*($J503:$J513=N$42)))),0)</f>
        <v>0</v>
      </c>
    </row>
    <row r="504" spans="1:14" hidden="1" x14ac:dyDescent="0.3">
      <c r="A504" s="449">
        <v>45919</v>
      </c>
      <c r="B504" s="462" t="s">
        <v>32</v>
      </c>
      <c r="C504" s="451">
        <v>100</v>
      </c>
      <c r="D504" s="452">
        <v>790.33199999999999</v>
      </c>
      <c r="E504" s="1022">
        <f ca="1">IFERROR(C504*D504*_xlfn.XLOOKUP(B504,TabCalc[Ticker],TabCalc[Scale]),0)</f>
        <v>79033.2</v>
      </c>
      <c r="F504" s="1023" cm="1">
        <f t="array" ref="F504">IF(A504=A503,0,SUM(_xlfn._xlws.FILTER(E504:E513,A504:A513=A504)))</f>
        <v>0</v>
      </c>
      <c r="G504" s="1024">
        <f>IF(F504&lt;&gt;0,SUM($F$43:F504),0)</f>
        <v>0</v>
      </c>
      <c r="H504" s="1024" cm="1">
        <f t="array" ref="H504">IFERROR(IF(A504=A503,0,SUM(_xlfn._xlws.FILTER(E504:E513,(A504:A513=A504)*(E504:E513&gt;0)))),0)</f>
        <v>0</v>
      </c>
      <c r="I504" s="1024" cm="1">
        <f t="array" ref="I504">IFERROR(IF(A504=A503,0,SUM(_xlfn._xlws.FILTER(E504:E513,(A504:A513=A504)*(F504&lt;0)))),0)</f>
        <v>0</v>
      </c>
      <c r="J504" s="293" t="str">
        <f ca="1">IFERROR(_xlfn.XLOOKUP(B504,TabCalc[Ticker],TabCalc[Cur]),"")</f>
        <v>EUR</v>
      </c>
      <c r="K504" s="1023" cm="1">
        <f t="array" ref="K504">IFERROR(IF($A504=$A503,0,SUM(_xlfn._xlws.FILTER($E504:$E514,($A504:$A514=$A504)*($J504:$J514=K$42)))),0)</f>
        <v>0</v>
      </c>
      <c r="L504" s="1023" cm="1">
        <f t="array" ref="L504">IFERROR(IF($A504=$A503,0,SUM(_xlfn._xlws.FILTER($E504:$E514,($A504:$A514=$A504)*($J504:$J514=L$42)))),0)</f>
        <v>0</v>
      </c>
      <c r="M504" s="1023" cm="1">
        <f t="array" ref="M504">IFERROR(IF($A504=$A503,0,SUM(_xlfn._xlws.FILTER($E504:$E514,($A504:$A514=$A504)*($J504:$J514=M$42)))),0)</f>
        <v>0</v>
      </c>
      <c r="N504" s="1023" cm="1">
        <f t="array" ref="N504">IFERROR(IF($A504=$A503,0,SUM(_xlfn._xlws.FILTER($E504:$E514,($A504:$A514=$A504)*($J504:$J514=N$42)))),0)</f>
        <v>0</v>
      </c>
    </row>
    <row r="505" spans="1:14" hidden="1" x14ac:dyDescent="0.3">
      <c r="A505" s="449">
        <v>45919</v>
      </c>
      <c r="B505" s="462" t="s">
        <v>666</v>
      </c>
      <c r="C505" s="451">
        <v>600</v>
      </c>
      <c r="D505" s="452">
        <v>-76.94</v>
      </c>
      <c r="E505" s="1022">
        <f ca="1">IFERROR(C505*D505*_xlfn.XLOOKUP(B505,TabCalc[Ticker],TabCalc[Scale]),0)</f>
        <v>-46164</v>
      </c>
      <c r="F505" s="1023" cm="1">
        <f t="array" ref="F505">IF(A505=A504,0,SUM(_xlfn._xlws.FILTER(E505:E514,A505:A514=A505)))</f>
        <v>0</v>
      </c>
      <c r="G505" s="1024">
        <f>IF(F505&lt;&gt;0,SUM($F$43:F505),0)</f>
        <v>0</v>
      </c>
      <c r="H505" s="1024" cm="1">
        <f t="array" ref="H505">IFERROR(IF(A505=A504,0,SUM(_xlfn._xlws.FILTER(E505:E514,(A505:A514=A505)*(E505:E514&gt;0)))),0)</f>
        <v>0</v>
      </c>
      <c r="I505" s="1024" cm="1">
        <f t="array" ref="I505">IFERROR(IF(A505=A504,0,SUM(_xlfn._xlws.FILTER(E505:E514,(A505:A514=A505)*(F505&lt;0)))),0)</f>
        <v>0</v>
      </c>
      <c r="J505" s="293" t="str">
        <f ca="1">IFERROR(_xlfn.XLOOKUP(B505,TabCalc[Ticker],TabCalc[Cur]),"")</f>
        <v>USD</v>
      </c>
      <c r="K505" s="1023" cm="1">
        <f t="array" ref="K505">IFERROR(IF($A505=$A504,0,SUM(_xlfn._xlws.FILTER($E505:$E515,($A505:$A515=$A505)*($J505:$J515=K$42)))),0)</f>
        <v>0</v>
      </c>
      <c r="L505" s="1023" cm="1">
        <f t="array" ref="L505">IFERROR(IF($A505=$A504,0,SUM(_xlfn._xlws.FILTER($E505:$E515,($A505:$A515=$A505)*($J505:$J515=L$42)))),0)</f>
        <v>0</v>
      </c>
      <c r="M505" s="1023" cm="1">
        <f t="array" ref="M505">IFERROR(IF($A505=$A504,0,SUM(_xlfn._xlws.FILTER($E505:$E515,($A505:$A515=$A505)*($J505:$J515=M$42)))),0)</f>
        <v>0</v>
      </c>
      <c r="N505" s="1023" cm="1">
        <f t="array" ref="N505">IFERROR(IF($A505=$A504,0,SUM(_xlfn._xlws.FILTER($E505:$E515,($A505:$A515=$A505)*($J505:$J515=N$42)))),0)</f>
        <v>0</v>
      </c>
    </row>
    <row r="506" spans="1:14" hidden="1" x14ac:dyDescent="0.3">
      <c r="A506" s="449">
        <v>45919</v>
      </c>
      <c r="B506" s="462" t="s">
        <v>82</v>
      </c>
      <c r="C506" s="451">
        <v>100</v>
      </c>
      <c r="D506" s="452">
        <v>592.67999999999995</v>
      </c>
      <c r="E506" s="1022">
        <f ca="1">IFERROR(C506*D506*_xlfn.XLOOKUP(B506,TabCalc[Ticker],TabCalc[Scale]),0)</f>
        <v>59267.999999999993</v>
      </c>
      <c r="F506" s="1023" cm="1">
        <f t="array" ref="F506">IF(A506=A505,0,SUM(_xlfn._xlws.FILTER(E506:E515,A506:A515=A506)))</f>
        <v>0</v>
      </c>
      <c r="G506" s="1024">
        <f>IF(F506&lt;&gt;0,SUM($F$43:F506),0)</f>
        <v>0</v>
      </c>
      <c r="H506" s="1024" cm="1">
        <f t="array" ref="H506">IFERROR(IF(A506=A505,0,SUM(_xlfn._xlws.FILTER(E506:E515,(A506:A515=A506)*(E506:E515&gt;0)))),0)</f>
        <v>0</v>
      </c>
      <c r="I506" s="1024" cm="1">
        <f t="array" ref="I506">IFERROR(IF(A506=A505,0,SUM(_xlfn._xlws.FILTER(E506:E515,(A506:A515=A506)*(F506&lt;0)))),0)</f>
        <v>0</v>
      </c>
      <c r="J506" s="293" t="str">
        <f ca="1">IFERROR(_xlfn.XLOOKUP(B506,TabCalc[Ticker],TabCalc[Cur]),"")</f>
        <v>USD</v>
      </c>
      <c r="K506" s="1023" cm="1">
        <f t="array" ref="K506">IFERROR(IF($A506=$A505,0,SUM(_xlfn._xlws.FILTER($E506:$E516,($A506:$A516=$A506)*($J506:$J516=K$42)))),0)</f>
        <v>0</v>
      </c>
      <c r="L506" s="1023" cm="1">
        <f t="array" ref="L506">IFERROR(IF($A506=$A505,0,SUM(_xlfn._xlws.FILTER($E506:$E516,($A506:$A516=$A506)*($J506:$J516=L$42)))),0)</f>
        <v>0</v>
      </c>
      <c r="M506" s="1023" cm="1">
        <f t="array" ref="M506">IFERROR(IF($A506=$A505,0,SUM(_xlfn._xlws.FILTER($E506:$E516,($A506:$A516=$A506)*($J506:$J516=M$42)))),0)</f>
        <v>0</v>
      </c>
      <c r="N506" s="1023" cm="1">
        <f t="array" ref="N506">IFERROR(IF($A506=$A505,0,SUM(_xlfn._xlws.FILTER($E506:$E516,($A506:$A516=$A506)*($J506:$J516=N$42)))),0)</f>
        <v>0</v>
      </c>
    </row>
    <row r="507" spans="1:14" hidden="1" x14ac:dyDescent="0.3">
      <c r="A507" s="449">
        <v>45919</v>
      </c>
      <c r="B507" s="462" t="s">
        <v>0</v>
      </c>
      <c r="C507" s="451">
        <v>300</v>
      </c>
      <c r="D507" s="452">
        <v>245.49494999999999</v>
      </c>
      <c r="E507" s="1022">
        <f ca="1">IFERROR(C507*D507*_xlfn.XLOOKUP(B507,TabCalc[Ticker],TabCalc[Scale]),0)</f>
        <v>73648.485000000001</v>
      </c>
      <c r="F507" s="1023" cm="1">
        <f t="array" ref="F507">IF(A507=A506,0,SUM(_xlfn._xlws.FILTER(E507:E516,A507:A516=A507)))</f>
        <v>0</v>
      </c>
      <c r="G507" s="1024">
        <f>IF(F507&lt;&gt;0,SUM($F$43:F507),0)</f>
        <v>0</v>
      </c>
      <c r="H507" s="1024" cm="1">
        <f t="array" ref="H507">IFERROR(IF(A507=A506,0,SUM(_xlfn._xlws.FILTER(E507:E516,(A507:A516=A507)*(E507:E516&gt;0)))),0)</f>
        <v>0</v>
      </c>
      <c r="I507" s="1024" cm="1">
        <f t="array" ref="I507">IFERROR(IF(A507=A506,0,SUM(_xlfn._xlws.FILTER(E507:E516,(A507:A516=A507)*(F507&lt;0)))),0)</f>
        <v>0</v>
      </c>
      <c r="J507" s="293" t="str">
        <f ca="1">IFERROR(_xlfn.XLOOKUP(B507,TabCalc[Ticker],TabCalc[Cur]),"")</f>
        <v>USD</v>
      </c>
      <c r="K507" s="1023" cm="1">
        <f t="array" ref="K507">IFERROR(IF($A507=$A506,0,SUM(_xlfn._xlws.FILTER($E507:$E517,($A507:$A517=$A507)*($J507:$J517=K$42)))),0)</f>
        <v>0</v>
      </c>
      <c r="L507" s="1023" cm="1">
        <f t="array" ref="L507">IFERROR(IF($A507=$A506,0,SUM(_xlfn._xlws.FILTER($E507:$E517,($A507:$A517=$A507)*($J507:$J517=L$42)))),0)</f>
        <v>0</v>
      </c>
      <c r="M507" s="1023" cm="1">
        <f t="array" ref="M507">IFERROR(IF($A507=$A506,0,SUM(_xlfn._xlws.FILTER($E507:$E517,($A507:$A517=$A507)*($J507:$J517=M$42)))),0)</f>
        <v>0</v>
      </c>
      <c r="N507" s="1023" cm="1">
        <f t="array" ref="N507">IFERROR(IF($A507=$A506,0,SUM(_xlfn._xlws.FILTER($E507:$E517,($A507:$A517=$A507)*($J507:$J517=N$42)))),0)</f>
        <v>0</v>
      </c>
    </row>
    <row r="508" spans="1:14" hidden="1" x14ac:dyDescent="0.3">
      <c r="A508" s="449">
        <v>45919</v>
      </c>
      <c r="B508" s="462" t="s">
        <v>38</v>
      </c>
      <c r="C508" s="451">
        <v>1000</v>
      </c>
      <c r="D508" s="452">
        <v>-227.55</v>
      </c>
      <c r="E508" s="1022">
        <f ca="1">IFERROR(C508*D508*_xlfn.XLOOKUP(B508,TabCalc[Ticker],TabCalc[Scale]),0)</f>
        <v>-227550</v>
      </c>
      <c r="F508" s="1023" cm="1">
        <f t="array" ref="F508">IF(A508=A507,0,SUM(_xlfn._xlws.FILTER(E508:E517,A508:A517=A508)))</f>
        <v>0</v>
      </c>
      <c r="G508" s="1024">
        <f>IF(F508&lt;&gt;0,SUM($F$43:F508),0)</f>
        <v>0</v>
      </c>
      <c r="H508" s="1024" cm="1">
        <f t="array" ref="H508">IFERROR(IF(A508=A507,0,SUM(_xlfn._xlws.FILTER(E508:E517,(A508:A517=A508)*(E508:E517&gt;0)))),0)</f>
        <v>0</v>
      </c>
      <c r="I508" s="1024" cm="1">
        <f t="array" ref="I508">IFERROR(IF(A508=A507,0,SUM(_xlfn._xlws.FILTER(E508:E517,(A508:A517=A508)*(F508&lt;0)))),0)</f>
        <v>0</v>
      </c>
      <c r="J508" s="293" t="str">
        <f ca="1">IFERROR(_xlfn.XLOOKUP(C508,TabCalc[Ticker],TabCalc[Cur]),"")</f>
        <v/>
      </c>
      <c r="K508" s="1023" cm="1">
        <f t="array" ref="K508">IFERROR(IF($A508=$A507,0,SUM(_xlfn._xlws.FILTER($E508:$E518,($A508:$A518=$A508)*($J508:$J518=K$42)))),0)</f>
        <v>0</v>
      </c>
      <c r="L508" s="1023" cm="1">
        <f t="array" ref="L508">IFERROR(IF($A508=$A507,0,SUM(_xlfn._xlws.FILTER($E508:$E518,($A508:$A518=$A508)*($J508:$J518=L$42)))),0)</f>
        <v>0</v>
      </c>
      <c r="M508" s="1023" cm="1">
        <f t="array" ref="M508">IFERROR(IF($A508=$A507,0,SUM(_xlfn._xlws.FILTER($E508:$E518,($A508:$A518=$A508)*($J508:$J518=M$42)))),0)</f>
        <v>0</v>
      </c>
      <c r="N508" s="1023" cm="1">
        <f t="array" ref="N508">IFERROR(IF($A508=$A507,0,SUM(_xlfn._xlws.FILTER($E508:$E518,($A508:$A518=$A508)*($J508:$J518=N$42)))),0)</f>
        <v>0</v>
      </c>
    </row>
    <row r="509" spans="1:14" hidden="1" x14ac:dyDescent="0.3">
      <c r="A509" s="463">
        <v>45922</v>
      </c>
      <c r="B509" s="446" t="s">
        <v>32</v>
      </c>
      <c r="C509" s="446">
        <v>100</v>
      </c>
      <c r="D509" s="644">
        <v>814.2</v>
      </c>
      <c r="E509" s="1022">
        <f ca="1">IFERROR(C509*D509*_xlfn.XLOOKUP(B509,TabCalc[Ticker],TabCalc[Scale]),0)</f>
        <v>81420</v>
      </c>
      <c r="F509" s="1023" cm="1">
        <f t="array" aca="1" ref="F509" ca="1">IF(A509=A508,0,SUM(_xlfn._xlws.FILTER(E509:E518,A509:A518=A509)))</f>
        <v>54340</v>
      </c>
      <c r="G509" s="1024">
        <f ca="1">IF(F509&lt;&gt;0,SUM($F$43:F509),0)</f>
        <v>-3319754.2445729994</v>
      </c>
      <c r="H509" s="1024" cm="1">
        <f t="array" aca="1" ref="H509" ca="1">IFERROR(IF(A509=A508,0,SUM(_xlfn._xlws.FILTER(E509:E518,(A509:A518=A509)*(E509:E518&gt;0)))),0)</f>
        <v>98280</v>
      </c>
      <c r="I509" s="1024" cm="1">
        <f t="array" aca="1" ref="I509" ca="1">IFERROR(IF(A509=A508,0,SUM(_xlfn._xlws.FILTER(E509:E518,(A509:A518=A509)*(F509&lt;0)))),0)</f>
        <v>0</v>
      </c>
      <c r="J509" s="293" t="str">
        <f ca="1">IFERROR(_xlfn.XLOOKUP(B509,TabCalc[Ticker],TabCalc[Cur]),"")</f>
        <v>EUR</v>
      </c>
      <c r="K509" s="1023" cm="1">
        <f t="array" aca="1" ref="K509" ca="1">IFERROR(IF($A509=$A508,0,SUM(_xlfn._xlws.FILTER($E509:$E519,($A509:$A519=$A509)*($J509:$J519=K$42)))),0)</f>
        <v>81420</v>
      </c>
      <c r="L509" s="1023" cm="1">
        <f t="array" aca="1" ref="L509" ca="1">IFERROR(IF($A509=$A508,0,SUM(_xlfn._xlws.FILTER($E509:$E519,($A509:$A519=$A509)*($J509:$J519=L$42)))),0)</f>
        <v>-27080</v>
      </c>
      <c r="M509" s="1023" cm="1">
        <f t="array" aca="1" ref="M509" ca="1">IFERROR(IF($A509=$A508,0,SUM(_xlfn._xlws.FILTER($E509:$E519,($A509:$A519=$A509)*($J509:$J519=M$42)))),0)</f>
        <v>0</v>
      </c>
      <c r="N509" s="1023" cm="1">
        <f t="array" aca="1" ref="N509" ca="1">IFERROR(IF($A509=$A508,0,SUM(_xlfn._xlws.FILTER($E509:$E519,($A509:$A519=$A509)*($J509:$J519=N$42)))),0)</f>
        <v>0</v>
      </c>
    </row>
    <row r="510" spans="1:14" hidden="1" x14ac:dyDescent="0.3">
      <c r="A510" s="463">
        <v>45922</v>
      </c>
      <c r="B510" s="446" t="s">
        <v>1</v>
      </c>
      <c r="C510" s="446">
        <v>1000</v>
      </c>
      <c r="D510" s="644">
        <v>16.86</v>
      </c>
      <c r="E510" s="1022">
        <f ca="1">IFERROR(C510*D510*_xlfn.XLOOKUP(B510,TabCalc[Ticker],TabCalc[Scale]),0)</f>
        <v>16860</v>
      </c>
      <c r="F510" s="1023" cm="1">
        <f t="array" ref="F510">IF(A510=A509,0,SUM(_xlfn._xlws.FILTER(E510:E519,A510:A519=A510)))</f>
        <v>0</v>
      </c>
      <c r="G510" s="1024">
        <f>IF(F510&lt;&gt;0,SUM($F$43:F510),0)</f>
        <v>0</v>
      </c>
      <c r="H510" s="1024" cm="1">
        <f t="array" ref="H510">IFERROR(IF(A510=A509,0,SUM(_xlfn._xlws.FILTER(E510:E519,(A510:A519=A510)*(E510:E519&gt;0)))),0)</f>
        <v>0</v>
      </c>
      <c r="I510" s="1024" cm="1">
        <f t="array" ref="I510">IFERROR(IF(A510=A509,0,SUM(_xlfn._xlws.FILTER(E510:E519,(A510:A519=A510)*(F510&lt;0)))),0)</f>
        <v>0</v>
      </c>
      <c r="J510" s="293" t="str">
        <f ca="1">IFERROR(_xlfn.XLOOKUP(B510,TabCalc[Ticker],TabCalc[Cur]),"")</f>
        <v>USD</v>
      </c>
      <c r="K510" s="1023" cm="1">
        <f t="array" ref="K510">IFERROR(IF($A510=$A509,0,SUM(_xlfn._xlws.FILTER($E510:$E520,($A510:$A520=$A510)*($J510:$J520=K$42)))),0)</f>
        <v>0</v>
      </c>
      <c r="L510" s="1023" cm="1">
        <f t="array" ref="L510">IFERROR(IF($A510=$A509,0,SUM(_xlfn._xlws.FILTER($E510:$E520,($A510:$A520=$A510)*($J510:$J520=L$42)))),0)</f>
        <v>0</v>
      </c>
      <c r="M510" s="1023" cm="1">
        <f t="array" ref="M510">IFERROR(IF($A510=$A509,0,SUM(_xlfn._xlws.FILTER($E510:$E520,($A510:$A520=$A510)*($J510:$J520=M$42)))),0)</f>
        <v>0</v>
      </c>
      <c r="N510" s="1023" cm="1">
        <f t="array" ref="N510">IFERROR(IF($A510=$A509,0,SUM(_xlfn._xlws.FILTER($E510:$E520,($A510:$A520=$A510)*($J510:$J520=N$42)))),0)</f>
        <v>0</v>
      </c>
    </row>
    <row r="511" spans="1:14" hidden="1" x14ac:dyDescent="0.3">
      <c r="A511" s="463">
        <v>45922</v>
      </c>
      <c r="B511" s="446" t="s">
        <v>71</v>
      </c>
      <c r="C511" s="446">
        <v>13000</v>
      </c>
      <c r="D511" s="644">
        <v>-3.38</v>
      </c>
      <c r="E511" s="1022">
        <f ca="1">IFERROR(C511*D511*_xlfn.XLOOKUP(B511,TabCalc[Ticker],TabCalc[Scale]),0)</f>
        <v>-43940</v>
      </c>
      <c r="F511" s="1023" cm="1">
        <f t="array" ref="F511">IF(A511=A510,0,SUM(_xlfn._xlws.FILTER(E511:E520,A511:A520=A511)))</f>
        <v>0</v>
      </c>
      <c r="G511" s="1024">
        <f>IF(F511&lt;&gt;0,SUM($F$43:F511),0)</f>
        <v>0</v>
      </c>
      <c r="H511" s="1024" cm="1">
        <f t="array" ref="H511">IFERROR(IF(A511=A510,0,SUM(_xlfn._xlws.FILTER(E511:E520,(A511:A520=A511)*(E511:E520&gt;0)))),0)</f>
        <v>0</v>
      </c>
      <c r="I511" s="1024" cm="1">
        <f t="array" ref="I511">IFERROR(IF(A511=A510,0,SUM(_xlfn._xlws.FILTER(E511:E520,(A511:A520=A511)*(F511&lt;0)))),0)</f>
        <v>0</v>
      </c>
      <c r="J511" s="293" t="str">
        <f ca="1">IFERROR(_xlfn.XLOOKUP(B511,TabCalc[Ticker],TabCalc[Cur]),"")</f>
        <v>USD</v>
      </c>
      <c r="K511" s="1023" cm="1">
        <f t="array" ref="K511">IFERROR(IF($A511=$A510,0,SUM(_xlfn._xlws.FILTER($E511:$E521,($A511:$A521=$A511)*($J511:$J521=K$42)))),0)</f>
        <v>0</v>
      </c>
      <c r="L511" s="1023" cm="1">
        <f t="array" ref="L511">IFERROR(IF($A511=$A510,0,SUM(_xlfn._xlws.FILTER($E511:$E521,($A511:$A521=$A511)*($J511:$J521=L$42)))),0)</f>
        <v>0</v>
      </c>
      <c r="M511" s="1023" cm="1">
        <f t="array" ref="M511">IFERROR(IF($A511=$A510,0,SUM(_xlfn._xlws.FILTER($E511:$E521,($A511:$A521=$A511)*($J511:$J521=M$42)))),0)</f>
        <v>0</v>
      </c>
      <c r="N511" s="1023" cm="1">
        <f t="array" ref="N511">IFERROR(IF($A511=$A510,0,SUM(_xlfn._xlws.FILTER($E511:$E521,($A511:$A521=$A511)*($J511:$J521=N$42)))),0)</f>
        <v>0</v>
      </c>
    </row>
    <row r="512" spans="1:14" hidden="1" x14ac:dyDescent="0.3">
      <c r="A512" s="449">
        <v>45923</v>
      </c>
      <c r="B512" s="462" t="s">
        <v>32</v>
      </c>
      <c r="C512" s="451">
        <v>100</v>
      </c>
      <c r="D512" s="452">
        <v>821.4</v>
      </c>
      <c r="E512" s="1022">
        <f ca="1">IFERROR(C512*D512*_xlfn.XLOOKUP(B512,TabCalc[Ticker],TabCalc[Scale]),0)</f>
        <v>82140</v>
      </c>
      <c r="F512" s="1023" cm="1">
        <f t="array" aca="1" ref="F512" ca="1">IF(A512=A511,0,SUM(_xlfn._xlws.FILTER(E512:E521,A512:A521=A512)))</f>
        <v>138184</v>
      </c>
      <c r="G512" s="1024">
        <f ca="1">IF(F512&lt;&gt;0,SUM($F$43:F512),0)</f>
        <v>-3181570.2445729994</v>
      </c>
      <c r="H512" s="1024" cm="1">
        <f t="array" aca="1" ref="H512" ca="1">IFERROR(IF(A512=A511,0,SUM(_xlfn._xlws.FILTER(E512:E521,(A512:A521=A512)*(E512:E521&gt;0)))),0)</f>
        <v>171524</v>
      </c>
      <c r="I512" s="1024" cm="1">
        <f t="array" aca="1" ref="I512" ca="1">IFERROR(IF(A512=A511,0,SUM(_xlfn._xlws.FILTER(E512:E521,(A512:A521=A512)*(F512&lt;0)))),0)</f>
        <v>0</v>
      </c>
      <c r="J512" s="293" t="str">
        <f ca="1">IFERROR(_xlfn.XLOOKUP(B512,TabCalc[Ticker],TabCalc[Cur]),"")</f>
        <v>EUR</v>
      </c>
      <c r="K512" s="1023" cm="1">
        <f t="array" aca="1" ref="K512" ca="1">IFERROR(IF($A512=$A511,0,SUM(_xlfn._xlws.FILTER($E512:$E522,($A512:$A522=$A512)*($J512:$J522=K$42)))),0)</f>
        <v>82140</v>
      </c>
      <c r="L512" s="1023" cm="1">
        <f t="array" aca="1" ref="L512" ca="1">IFERROR(IF($A512=$A511,0,SUM(_xlfn._xlws.FILTER($E512:$E522,($A512:$A522=$A512)*($J512:$J522=L$42)))),0)</f>
        <v>56044</v>
      </c>
      <c r="M512" s="1023" cm="1">
        <f t="array" aca="1" ref="M512" ca="1">IFERROR(IF($A512=$A511,0,SUM(_xlfn._xlws.FILTER($E512:$E522,($A512:$A522=$A512)*($J512:$J522=M$42)))),0)</f>
        <v>0</v>
      </c>
      <c r="N512" s="1023" cm="1">
        <f t="array" aca="1" ref="N512" ca="1">IFERROR(IF($A512=$A511,0,SUM(_xlfn._xlws.FILTER($E512:$E522,($A512:$A522=$A512)*($J512:$J522=N$42)))),0)</f>
        <v>0</v>
      </c>
    </row>
    <row r="513" spans="1:14" hidden="1" x14ac:dyDescent="0.3">
      <c r="A513" s="449">
        <v>45923</v>
      </c>
      <c r="B513" s="462" t="s">
        <v>29</v>
      </c>
      <c r="C513" s="451">
        <v>200</v>
      </c>
      <c r="D513" s="452">
        <v>85.32</v>
      </c>
      <c r="E513" s="1022">
        <f ca="1">IFERROR(C513*D513*_xlfn.XLOOKUP(B513,TabCalc[Ticker],TabCalc[Scale]),0)</f>
        <v>17064</v>
      </c>
      <c r="F513" s="1023" cm="1">
        <f t="array" ref="F513">IF(A513=A512,0,SUM(_xlfn._xlws.FILTER(E513:E522,A513:A522=A513)))</f>
        <v>0</v>
      </c>
      <c r="G513" s="1024">
        <f>IF(F513&lt;&gt;0,SUM($F$43:F513),0)</f>
        <v>0</v>
      </c>
      <c r="H513" s="1024" cm="1">
        <f t="array" ref="H513">IFERROR(IF(A513=A512,0,SUM(_xlfn._xlws.FILTER(E513:E522,(A513:A522=A513)*(E513:E522&gt;0)))),0)</f>
        <v>0</v>
      </c>
      <c r="I513" s="1024" cm="1">
        <f t="array" ref="I513">IFERROR(IF(A513=A512,0,SUM(_xlfn._xlws.FILTER(E513:E522,(A513:A522=A513)*(F513&lt;0)))),0)</f>
        <v>0</v>
      </c>
      <c r="J513" s="293" t="str">
        <f ca="1">IFERROR(_xlfn.XLOOKUP(B513,TabCalc[Ticker],TabCalc[Cur]),"")</f>
        <v>USD</v>
      </c>
      <c r="K513" s="1023" cm="1">
        <f t="array" ref="K513">IFERROR(IF($A513=$A512,0,SUM(_xlfn._xlws.FILTER($E513:$E523,($A513:$A523=$A513)*($J513:$J523=K$42)))),0)</f>
        <v>0</v>
      </c>
      <c r="L513" s="1023" cm="1">
        <f t="array" ref="L513">IFERROR(IF($A513=$A512,0,SUM(_xlfn._xlws.FILTER($E513:$E523,($A513:$A523=$A513)*($J513:$J523=L$42)))),0)</f>
        <v>0</v>
      </c>
      <c r="M513" s="1023" cm="1">
        <f t="array" ref="M513">IFERROR(IF($A513=$A512,0,SUM(_xlfn._xlws.FILTER($E513:$E523,($A513:$A523=$A513)*($J513:$J523=M$42)))),0)</f>
        <v>0</v>
      </c>
      <c r="N513" s="1023" cm="1">
        <f t="array" ref="N513">IFERROR(IF($A513=$A512,0,SUM(_xlfn._xlws.FILTER($E513:$E523,($A513:$A523=$A513)*($J513:$J523=N$42)))),0)</f>
        <v>0</v>
      </c>
    </row>
    <row r="514" spans="1:14" hidden="1" x14ac:dyDescent="0.3">
      <c r="A514" s="449">
        <v>45923</v>
      </c>
      <c r="B514" s="462" t="s">
        <v>80</v>
      </c>
      <c r="C514" s="451">
        <v>200</v>
      </c>
      <c r="D514" s="452">
        <v>-166.7</v>
      </c>
      <c r="E514" s="1022">
        <f ca="1">IFERROR(C514*D514*_xlfn.XLOOKUP(B514,TabCalc[Ticker],TabCalc[Scale]),0)</f>
        <v>-33340</v>
      </c>
      <c r="F514" s="1023" cm="1">
        <f t="array" ref="F514">IF(A514=A513,0,SUM(_xlfn._xlws.FILTER(E514:E523,A514:A523=A514)))</f>
        <v>0</v>
      </c>
      <c r="G514" s="1024">
        <f>IF(F514&lt;&gt;0,SUM($F$43:F514),0)</f>
        <v>0</v>
      </c>
      <c r="H514" s="1024" cm="1">
        <f t="array" ref="H514">IFERROR(IF(A514=A513,0,SUM(_xlfn._xlws.FILTER(E514:E523,(A514:A523=A514)*(E514:E523&gt;0)))),0)</f>
        <v>0</v>
      </c>
      <c r="I514" s="1024" cm="1">
        <f t="array" ref="I514">IFERROR(IF(A514=A513,0,SUM(_xlfn._xlws.FILTER(E514:E523,(A514:A523=A514)*(F514&lt;0)))),0)</f>
        <v>0</v>
      </c>
      <c r="J514" s="293" t="str">
        <f ca="1">IFERROR(_xlfn.XLOOKUP(B514,TabCalc[Ticker],TabCalc[Cur]),"")</f>
        <v>USD</v>
      </c>
      <c r="K514" s="1023" cm="1">
        <f t="array" ref="K514">IFERROR(IF($A514=$A513,0,SUM(_xlfn._xlws.FILTER($E514:$E524,($A514:$A524=$A514)*($J514:$J524=K$42)))),0)</f>
        <v>0</v>
      </c>
      <c r="L514" s="1023" cm="1">
        <f t="array" ref="L514">IFERROR(IF($A514=$A513,0,SUM(_xlfn._xlws.FILTER($E514:$E524,($A514:$A524=$A514)*($J514:$J524=L$42)))),0)</f>
        <v>0</v>
      </c>
      <c r="M514" s="1023" cm="1">
        <f t="array" ref="M514">IFERROR(IF($A514=$A513,0,SUM(_xlfn._xlws.FILTER($E514:$E524,($A514:$A524=$A514)*($J514:$J524=M$42)))),0)</f>
        <v>0</v>
      </c>
      <c r="N514" s="1023" cm="1">
        <f t="array" ref="N514">IFERROR(IF($A514=$A513,0,SUM(_xlfn._xlws.FILTER($E514:$E524,($A514:$A524=$A514)*($J514:$J524=N$42)))),0)</f>
        <v>0</v>
      </c>
    </row>
    <row r="515" spans="1:14" hidden="1" x14ac:dyDescent="0.3">
      <c r="A515" s="449">
        <v>45923</v>
      </c>
      <c r="B515" s="462" t="s">
        <v>28</v>
      </c>
      <c r="C515" s="451">
        <v>1000</v>
      </c>
      <c r="D515" s="452">
        <v>72.319999999999993</v>
      </c>
      <c r="E515" s="1022">
        <f ca="1">IFERROR(C515*D515*_xlfn.XLOOKUP(B515,TabCalc[Ticker],TabCalc[Scale]),0)</f>
        <v>72320</v>
      </c>
      <c r="F515" s="1023" cm="1">
        <f t="array" ref="F515">IF(A515=A514,0,SUM(_xlfn._xlws.FILTER(E515:E524,A515:A524=A515)))</f>
        <v>0</v>
      </c>
      <c r="G515" s="1024">
        <f>IF(F515&lt;&gt;0,SUM($F$43:F515),0)</f>
        <v>0</v>
      </c>
      <c r="H515" s="1024" cm="1">
        <f t="array" ref="H515">IFERROR(IF(A515=A514,0,SUM(_xlfn._xlws.FILTER(E515:E524,(A515:A524=A515)*(E515:E524&gt;0)))),0)</f>
        <v>0</v>
      </c>
      <c r="I515" s="1024" cm="1">
        <f t="array" ref="I515">IFERROR(IF(A515=A514,0,SUM(_xlfn._xlws.FILTER(E515:E524,(A515:A524=A515)*(F515&lt;0)))),0)</f>
        <v>0</v>
      </c>
      <c r="J515" s="293" t="str">
        <f ca="1">IFERROR(_xlfn.XLOOKUP(B515,TabCalc[Ticker],TabCalc[Cur]),"")</f>
        <v>USD</v>
      </c>
      <c r="K515" s="1023" cm="1">
        <f t="array" ref="K515">IFERROR(IF($A515=$A514,0,SUM(_xlfn._xlws.FILTER($E515:$E525,($A515:$A525=$A515)*($J515:$J525=K$42)))),0)</f>
        <v>0</v>
      </c>
      <c r="L515" s="1023" cm="1">
        <f t="array" ref="L515">IFERROR(IF($A515=$A514,0,SUM(_xlfn._xlws.FILTER($E515:$E525,($A515:$A525=$A515)*($J515:$J525=L$42)))),0)</f>
        <v>0</v>
      </c>
      <c r="M515" s="1023" cm="1">
        <f t="array" ref="M515">IFERROR(IF($A515=$A514,0,SUM(_xlfn._xlws.FILTER($E515:$E525,($A515:$A525=$A515)*($J515:$J525=M$42)))),0)</f>
        <v>0</v>
      </c>
      <c r="N515" s="1023" cm="1">
        <f t="array" ref="N515">IFERROR(IF($A515=$A514,0,SUM(_xlfn._xlws.FILTER($E515:$E525,($A515:$A525=$A515)*($J515:$J525=N$42)))),0)</f>
        <v>0</v>
      </c>
    </row>
    <row r="516" spans="1:14" hidden="1" x14ac:dyDescent="0.3">
      <c r="A516" s="463">
        <v>45924</v>
      </c>
      <c r="B516" s="446" t="s">
        <v>32</v>
      </c>
      <c r="C516" s="446">
        <v>200</v>
      </c>
      <c r="D516" s="446">
        <v>824.25</v>
      </c>
      <c r="E516" s="1022">
        <f ca="1">IFERROR(C516*D516*_xlfn.XLOOKUP(B516,TabCalc[Ticker],TabCalc[Scale]),0)</f>
        <v>164850</v>
      </c>
      <c r="F516" s="1023" cm="1">
        <f t="array" aca="1" ref="F516" ca="1">IF(A516=A515,0,SUM(_xlfn._xlws.FILTER(E516:E525,A516:A525=A516)))</f>
        <v>87501</v>
      </c>
      <c r="G516" s="1024">
        <f ca="1">IF(F516&lt;&gt;0,SUM($F$43:F516),0)</f>
        <v>-3094069.2445729994</v>
      </c>
      <c r="H516" s="1024" cm="1">
        <f t="array" aca="1" ref="H516" ca="1">IFERROR(IF(A516=A515,0,SUM(_xlfn._xlws.FILTER(E516:E525,(A516:A525=A516)*(E516:E525&gt;0)))),0)</f>
        <v>164850</v>
      </c>
      <c r="I516" s="1024" cm="1">
        <f t="array" aca="1" ref="I516" ca="1">IFERROR(IF(A516=A515,0,SUM(_xlfn._xlws.FILTER(E516:E525,(A516:A525=A516)*(F516&lt;0)))),0)</f>
        <v>0</v>
      </c>
      <c r="J516" s="293" t="str">
        <f ca="1">IFERROR(_xlfn.XLOOKUP(B516,TabCalc[Ticker],TabCalc[Cur]),"")</f>
        <v>EUR</v>
      </c>
      <c r="K516" s="1023" cm="1">
        <f t="array" aca="1" ref="K516" ca="1">IFERROR(IF($A516=$A515,0,SUM(_xlfn._xlws.FILTER($E516:$E526,($A516:$A526=$A516)*($J516:$J526=K$42)))),0)</f>
        <v>164850</v>
      </c>
      <c r="L516" s="1023" cm="1">
        <f t="array" aca="1" ref="L516" ca="1">IFERROR(IF($A516=$A515,0,SUM(_xlfn._xlws.FILTER($E516:$E526,($A516:$A526=$A516)*($J516:$J526=L$42)))),0)</f>
        <v>-77349</v>
      </c>
      <c r="M516" s="1023" cm="1">
        <f t="array" aca="1" ref="M516" ca="1">IFERROR(IF($A516=$A515,0,SUM(_xlfn._xlws.FILTER($E516:$E526,($A516:$A526=$A516)*($J516:$J526=M$42)))),0)</f>
        <v>0</v>
      </c>
      <c r="N516" s="1023" cm="1">
        <f t="array" aca="1" ref="N516" ca="1">IFERROR(IF($A516=$A515,0,SUM(_xlfn._xlws.FILTER($E516:$E526,($A516:$A526=$A516)*($J516:$J526=N$42)))),0)</f>
        <v>0</v>
      </c>
    </row>
    <row r="517" spans="1:14" hidden="1" x14ac:dyDescent="0.3">
      <c r="A517" s="463">
        <v>45924</v>
      </c>
      <c r="B517" s="446" t="s">
        <v>33</v>
      </c>
      <c r="C517" s="446">
        <v>4000</v>
      </c>
      <c r="D517" s="644">
        <v>-5.19</v>
      </c>
      <c r="E517" s="1022">
        <f ca="1">IFERROR(C517*D517*_xlfn.XLOOKUP(B517,TabCalc[Ticker],TabCalc[Scale]),0)</f>
        <v>-20760</v>
      </c>
      <c r="F517" s="1023" cm="1">
        <f t="array" ref="F517">IF(A517=A516,0,SUM(_xlfn._xlws.FILTER(E517:E526,A517:A526=A517)))</f>
        <v>0</v>
      </c>
      <c r="G517" s="1024">
        <f>IF(F517&lt;&gt;0,SUM($F$43:F517),0)</f>
        <v>0</v>
      </c>
      <c r="H517" s="1024" cm="1">
        <f t="array" ref="H517">IFERROR(IF(A517=A516,0,SUM(_xlfn._xlws.FILTER(E517:E526,(A517:A526=A517)*(E517:E526&gt;0)))),0)</f>
        <v>0</v>
      </c>
      <c r="I517" s="1024" cm="1">
        <f t="array" ref="I517">IFERROR(IF(A517=A516,0,SUM(_xlfn._xlws.FILTER(E517:E526,(A517:A526=A517)*(F517&lt;0)))),0)</f>
        <v>0</v>
      </c>
      <c r="J517" s="293" t="str">
        <f ca="1">IFERROR(_xlfn.XLOOKUP(B517,TabCalc[Ticker],TabCalc[Cur]),"")</f>
        <v>USD</v>
      </c>
      <c r="K517" s="1023" cm="1">
        <f t="array" ref="K517">IFERROR(IF($A517=$A516,0,SUM(_xlfn._xlws.FILTER($E517:$E527,($A517:$A527=$A517)*($J517:$J527=K$42)))),0)</f>
        <v>0</v>
      </c>
      <c r="L517" s="1023" cm="1">
        <f t="array" ref="L517">IFERROR(IF($A517=$A516,0,SUM(_xlfn._xlws.FILTER($E517:$E527,($A517:$A527=$A517)*($J517:$J527=L$42)))),0)</f>
        <v>0</v>
      </c>
      <c r="M517" s="1023" cm="1">
        <f t="array" ref="M517">IFERROR(IF($A517=$A516,0,SUM(_xlfn._xlws.FILTER($E517:$E527,($A517:$A527=$A517)*($J517:$J527=M$42)))),0)</f>
        <v>0</v>
      </c>
      <c r="N517" s="1023" cm="1">
        <f t="array" ref="N517">IFERROR(IF($A517=$A516,0,SUM(_xlfn._xlws.FILTER($E517:$E527,($A517:$A527=$A517)*($J517:$J527=N$42)))),0)</f>
        <v>0</v>
      </c>
    </row>
    <row r="518" spans="1:14" hidden="1" x14ac:dyDescent="0.3">
      <c r="A518" s="463">
        <v>45924</v>
      </c>
      <c r="B518" s="446" t="s">
        <v>82</v>
      </c>
      <c r="C518" s="446">
        <v>100</v>
      </c>
      <c r="D518" s="446">
        <v>-565.89</v>
      </c>
      <c r="E518" s="1022">
        <f ca="1">IFERROR(C518*D518*_xlfn.XLOOKUP(B518,TabCalc[Ticker],TabCalc[Scale]),0)</f>
        <v>-56589</v>
      </c>
      <c r="F518" s="1023" cm="1">
        <f t="array" ref="F518">IF(A518=A517,0,SUM(_xlfn._xlws.FILTER(E518:E527,A518:A527=A518)))</f>
        <v>0</v>
      </c>
      <c r="G518" s="1024">
        <f>IF(F518&lt;&gt;0,SUM($F$43:F518),0)</f>
        <v>0</v>
      </c>
      <c r="H518" s="1024" cm="1">
        <f t="array" ref="H518">IFERROR(IF(A518=A517,0,SUM(_xlfn._xlws.FILTER(E518:E527,(A518:A527=A518)*(E518:E527&gt;0)))),0)</f>
        <v>0</v>
      </c>
      <c r="I518" s="1024" cm="1">
        <f t="array" ref="I518">IFERROR(IF(A518=A517,0,SUM(_xlfn._xlws.FILTER(E518:E527,(A518:A527=A518)*(F518&lt;0)))),0)</f>
        <v>0</v>
      </c>
      <c r="J518" s="293" t="str">
        <f ca="1">IFERROR(_xlfn.XLOOKUP(B518,TabCalc[Ticker],TabCalc[Cur]),"")</f>
        <v>USD</v>
      </c>
      <c r="K518" s="1023" cm="1">
        <f t="array" ref="K518">IFERROR(IF($A518=$A517,0,SUM(_xlfn._xlws.FILTER($E518:$E528,($A518:$A528=$A518)*($J518:$J528=K$42)))),0)</f>
        <v>0</v>
      </c>
      <c r="L518" s="1023" cm="1">
        <f t="array" ref="L518">IFERROR(IF($A518=$A517,0,SUM(_xlfn._xlws.FILTER($E518:$E528,($A518:$A528=$A518)*($J518:$J528=L$42)))),0)</f>
        <v>0</v>
      </c>
      <c r="M518" s="1023" cm="1">
        <f t="array" ref="M518">IFERROR(IF($A518=$A517,0,SUM(_xlfn._xlws.FILTER($E518:$E528,($A518:$A528=$A518)*($J518:$J528=M$42)))),0)</f>
        <v>0</v>
      </c>
      <c r="N518" s="1023" cm="1">
        <f t="array" ref="N518">IFERROR(IF($A518=$A517,0,SUM(_xlfn._xlws.FILTER($E518:$E528,($A518:$A528=$A518)*($J518:$J528=N$42)))),0)</f>
        <v>0</v>
      </c>
    </row>
    <row r="519" spans="1:14" hidden="1" x14ac:dyDescent="0.3">
      <c r="A519" s="449">
        <v>45925</v>
      </c>
      <c r="B519" s="462" t="s">
        <v>32</v>
      </c>
      <c r="C519" s="451">
        <v>200</v>
      </c>
      <c r="D519" s="452">
        <v>-804.9</v>
      </c>
      <c r="E519" s="1022">
        <f ca="1">IFERROR(C519*D519*_xlfn.XLOOKUP(B519,TabCalc[Ticker],TabCalc[Scale]),0)</f>
        <v>-160980</v>
      </c>
      <c r="F519" s="1023" cm="1">
        <f t="array" aca="1" ref="F519" ca="1">IF(A519=A518,0,SUM(_xlfn._xlws.FILTER(E519:E528,A519:A528=A519)))</f>
        <v>716.56499999999505</v>
      </c>
      <c r="G519" s="1024">
        <f ca="1">IF(F519&lt;&gt;0,SUM($F$43:F519),0)</f>
        <v>-3093352.6795729995</v>
      </c>
      <c r="H519" s="1024" cm="1">
        <f t="array" aca="1" ref="H519" ca="1">IFERROR(IF(A519=A518,0,SUM(_xlfn._xlws.FILTER(E519:E528,(A519:A528=A519)*(E519:E528&gt;0)))),0)</f>
        <v>327396.565</v>
      </c>
      <c r="I519" s="1024" cm="1">
        <f t="array" aca="1" ref="I519" ca="1">IFERROR(IF(A519=A518,0,SUM(_xlfn._xlws.FILTER(E519:E528,(A519:A528=A519)*(F519&lt;0)))),0)</f>
        <v>0</v>
      </c>
      <c r="J519" s="293" t="str">
        <f ca="1">IFERROR(_xlfn.XLOOKUP(B519,TabCalc[Ticker],TabCalc[Cur]),"")</f>
        <v>EUR</v>
      </c>
      <c r="K519" s="1023" cm="1">
        <f t="array" aca="1" ref="K519" ca="1">IFERROR(IF($A519=$A518,0,SUM(_xlfn._xlws.FILTER($E519:$E529,($A519:$A529=$A519)*($J519:$J529=K$42)))),0)</f>
        <v>30540</v>
      </c>
      <c r="L519" s="1023" cm="1">
        <f t="array" aca="1" ref="L519" ca="1">IFERROR(IF($A519=$A518,0,SUM(_xlfn._xlws.FILTER($E519:$E529,($A519:$A529=$A519)*($J519:$J529=L$42)))),0)</f>
        <v>88576.565000000002</v>
      </c>
      <c r="M519" s="1023" cm="1">
        <f t="array" aca="1" ref="M519" ca="1">IFERROR(IF($A519=$A518,0,SUM(_xlfn._xlws.FILTER($E519:$E529,($A519:$A529=$A519)*($J519:$J529=M$42)))),0)</f>
        <v>0</v>
      </c>
      <c r="N519" s="1023" cm="1">
        <f t="array" aca="1" ref="N519" ca="1">IFERROR(IF($A519=$A518,0,SUM(_xlfn._xlws.FILTER($E519:$E529,($A519:$A529=$A519)*($J519:$J529=N$42)))),0)</f>
        <v>-118400</v>
      </c>
    </row>
    <row r="520" spans="1:14" hidden="1" x14ac:dyDescent="0.3">
      <c r="A520" s="449">
        <v>45925</v>
      </c>
      <c r="B520" s="462" t="s">
        <v>48</v>
      </c>
      <c r="C520" s="451">
        <v>2000</v>
      </c>
      <c r="D520" s="452">
        <v>-59.2</v>
      </c>
      <c r="E520" s="1022">
        <f ca="1">IFERROR(C520*D520*_xlfn.XLOOKUP(B520,TabCalc[Ticker],TabCalc[Scale]),0)</f>
        <v>-118400</v>
      </c>
      <c r="F520" s="1023" cm="1">
        <f t="array" ref="F520">IF(A520=A519,0,SUM(_xlfn._xlws.FILTER(E520:E529,A520:A529=A520)))</f>
        <v>0</v>
      </c>
      <c r="G520" s="1024">
        <f>IF(F520&lt;&gt;0,SUM($F$43:F520),0)</f>
        <v>0</v>
      </c>
      <c r="H520" s="1024" cm="1">
        <f t="array" ref="H520">IFERROR(IF(A520=A519,0,SUM(_xlfn._xlws.FILTER(E520:E529,(A520:A529=A520)*(E520:E529&gt;0)))),0)</f>
        <v>0</v>
      </c>
      <c r="I520" s="1024" cm="1">
        <f t="array" ref="I520">IFERROR(IF(A520=A519,0,SUM(_xlfn._xlws.FILTER(E520:E529,(A520:A529=A520)*(F520&lt;0)))),0)</f>
        <v>0</v>
      </c>
      <c r="J520" s="293" t="str">
        <f ca="1">IFERROR(_xlfn.XLOOKUP(B520,TabCalc[Ticker],TabCalc[Cur]),"")</f>
        <v>CHF</v>
      </c>
      <c r="K520" s="1023" cm="1">
        <f t="array" ref="K520">IFERROR(IF($A520=$A519,0,SUM(_xlfn._xlws.FILTER($E520:$E530,($A520:$A530=$A520)*($J520:$J530=K$42)))),0)</f>
        <v>0</v>
      </c>
      <c r="L520" s="1023" cm="1">
        <f t="array" ref="L520">IFERROR(IF($A520=$A519,0,SUM(_xlfn._xlws.FILTER($E520:$E530,($A520:$A530=$A520)*($J520:$J530=L$42)))),0)</f>
        <v>0</v>
      </c>
      <c r="M520" s="1023" cm="1">
        <f t="array" ref="M520">IFERROR(IF($A520=$A519,0,SUM(_xlfn._xlws.FILTER($E520:$E530,($A520:$A530=$A520)*($J520:$J530=M$42)))),0)</f>
        <v>0</v>
      </c>
      <c r="N520" s="1023" cm="1">
        <f t="array" ref="N520">IFERROR(IF($A520=$A519,0,SUM(_xlfn._xlws.FILTER($E520:$E530,($A520:$A530=$A520)*($J520:$J530=N$42)))),0)</f>
        <v>0</v>
      </c>
    </row>
    <row r="521" spans="1:14" hidden="1" x14ac:dyDescent="0.3">
      <c r="A521" s="449">
        <v>45925</v>
      </c>
      <c r="B521" s="462" t="s">
        <v>18</v>
      </c>
      <c r="C521" s="451">
        <v>12000</v>
      </c>
      <c r="D521" s="452">
        <v>15.96</v>
      </c>
      <c r="E521" s="1022">
        <f ca="1">IFERROR(C521*D521*_xlfn.XLOOKUP(B521,TabCalc[Ticker],TabCalc[Scale]),0)</f>
        <v>191520</v>
      </c>
      <c r="F521" s="1023" cm="1">
        <f t="array" ref="F521">IF(A521=A520,0,SUM(_xlfn._xlws.FILTER(E521:E530,A521:A530=A521)))</f>
        <v>0</v>
      </c>
      <c r="G521" s="1024">
        <f>IF(F521&lt;&gt;0,SUM($F$43:F521),0)</f>
        <v>0</v>
      </c>
      <c r="H521" s="1024" cm="1">
        <f t="array" ref="H521">IFERROR(IF(A521=A520,0,SUM(_xlfn._xlws.FILTER(E521:E530,(A521:A530=A521)*(E521:E530&gt;0)))),0)</f>
        <v>0</v>
      </c>
      <c r="I521" s="1024" cm="1">
        <f t="array" ref="I521">IFERROR(IF(A521=A520,0,SUM(_xlfn._xlws.FILTER(E521:E530,(A521:A530=A521)*(F521&lt;0)))),0)</f>
        <v>0</v>
      </c>
      <c r="J521" s="293" t="str">
        <f ca="1">IFERROR(_xlfn.XLOOKUP(B521,TabCalc[Ticker],TabCalc[Cur]),"")</f>
        <v>EUR</v>
      </c>
      <c r="K521" s="1023" cm="1">
        <f t="array" ref="K521">IFERROR(IF($A521=$A520,0,SUM(_xlfn._xlws.FILTER($E521:$E531,($A521:$A531=$A521)*($J521:$J531=K$42)))),0)</f>
        <v>0</v>
      </c>
      <c r="L521" s="1023" cm="1">
        <f t="array" ref="L521">IFERROR(IF($A521=$A520,0,SUM(_xlfn._xlws.FILTER($E521:$E531,($A521:$A531=$A521)*($J521:$J531=L$42)))),0)</f>
        <v>0</v>
      </c>
      <c r="M521" s="1023" cm="1">
        <f t="array" ref="M521">IFERROR(IF($A521=$A520,0,SUM(_xlfn._xlws.FILTER($E521:$E531,($A521:$A531=$A521)*($J521:$J531=M$42)))),0)</f>
        <v>0</v>
      </c>
      <c r="N521" s="1023" cm="1">
        <f t="array" ref="N521">IFERROR(IF($A521=$A520,0,SUM(_xlfn._xlws.FILTER($E521:$E531,($A521:$A531=$A521)*($J521:$J531=N$42)))),0)</f>
        <v>0</v>
      </c>
    </row>
    <row r="522" spans="1:14" hidden="1" x14ac:dyDescent="0.3">
      <c r="A522" s="449">
        <v>45925</v>
      </c>
      <c r="B522" s="462" t="s">
        <v>10</v>
      </c>
      <c r="C522" s="451">
        <v>249</v>
      </c>
      <c r="D522" s="452">
        <v>74.685000000000002</v>
      </c>
      <c r="E522" s="1022">
        <f ca="1">IFERROR(C522*D522*_xlfn.XLOOKUP(B522,TabCalc[Ticker],TabCalc[Scale]),0)</f>
        <v>18596.565000000002</v>
      </c>
      <c r="F522" s="1023" cm="1">
        <f t="array" ref="F522">IF(A522=A521,0,SUM(_xlfn._xlws.FILTER(E522:E531,A522:A531=A522)))</f>
        <v>0</v>
      </c>
      <c r="G522" s="1024">
        <f>IF(F522&lt;&gt;0,SUM($F$43:F522),0)</f>
        <v>0</v>
      </c>
      <c r="H522" s="1024" cm="1">
        <f t="array" ref="H522">IFERROR(IF(A522=A521,0,SUM(_xlfn._xlws.FILTER(E522:E531,(A522:A531=A522)*(E522:E531&gt;0)))),0)</f>
        <v>0</v>
      </c>
      <c r="I522" s="1024" cm="1">
        <f t="array" ref="I522">IFERROR(IF(A522=A521,0,SUM(_xlfn._xlws.FILTER(E522:E531,(A522:A531=A522)*(F522&lt;0)))),0)</f>
        <v>0</v>
      </c>
      <c r="J522" s="293" t="str">
        <f ca="1">IFERROR(_xlfn.XLOOKUP(B522,TabCalc[Ticker],TabCalc[Cur]),"")</f>
        <v>USD</v>
      </c>
      <c r="K522" s="1023" cm="1">
        <f t="array" ref="K522">IFERROR(IF($A522=$A521,0,SUM(_xlfn._xlws.FILTER($E522:$E532,($A522:$A532=$A522)*($J522:$J532=K$42)))),0)</f>
        <v>0</v>
      </c>
      <c r="L522" s="1023" cm="1">
        <f t="array" ref="L522">IFERROR(IF($A522=$A521,0,SUM(_xlfn._xlws.FILTER($E522:$E532,($A522:$A532=$A522)*($J522:$J532=L$42)))),0)</f>
        <v>0</v>
      </c>
      <c r="M522" s="1023" cm="1">
        <f t="array" ref="M522">IFERROR(IF($A522=$A521,0,SUM(_xlfn._xlws.FILTER($E522:$E532,($A522:$A532=$A522)*($J522:$J532=M$42)))),0)</f>
        <v>0</v>
      </c>
      <c r="N522" s="1023" cm="1">
        <f t="array" ref="N522">IFERROR(IF($A522=$A521,0,SUM(_xlfn._xlws.FILTER($E522:$E532,($A522:$A532=$A522)*($J522:$J532=N$42)))),0)</f>
        <v>0</v>
      </c>
    </row>
    <row r="523" spans="1:14" hidden="1" x14ac:dyDescent="0.3">
      <c r="A523" s="449">
        <v>45925</v>
      </c>
      <c r="B523" s="462" t="s">
        <v>78</v>
      </c>
      <c r="C523" s="451">
        <v>28000</v>
      </c>
      <c r="D523" s="452">
        <v>1.52</v>
      </c>
      <c r="E523" s="1022">
        <f ca="1">IFERROR(C523*D523*_xlfn.XLOOKUP(B523,TabCalc[Ticker],TabCalc[Scale]),0)</f>
        <v>42560</v>
      </c>
      <c r="F523" s="1023" cm="1">
        <f t="array" ref="F523">IF(A523=A522,0,SUM(_xlfn._xlws.FILTER(E523:E532,A523:A532=A523)))</f>
        <v>0</v>
      </c>
      <c r="G523" s="1024">
        <f>IF(F523&lt;&gt;0,SUM($F$43:F523),0)</f>
        <v>0</v>
      </c>
      <c r="H523" s="1024" cm="1">
        <f t="array" ref="H523">IFERROR(IF(A523=A522,0,SUM(_xlfn._xlws.FILTER(E523:E532,(A523:A532=A523)*(E523:E532&gt;0)))),0)</f>
        <v>0</v>
      </c>
      <c r="I523" s="1024" cm="1">
        <f t="array" ref="I523">IFERROR(IF(A523=A522,0,SUM(_xlfn._xlws.FILTER(E523:E532,(A523:A532=A523)*(F523&lt;0)))),0)</f>
        <v>0</v>
      </c>
      <c r="J523" s="293" t="str">
        <f ca="1">IFERROR(_xlfn.XLOOKUP(B523,TabCalc[Ticker],TabCalc[Cur]),"")</f>
        <v>USD</v>
      </c>
      <c r="K523" s="1023" cm="1">
        <f t="array" ref="K523">IFERROR(IF($A523=$A522,0,SUM(_xlfn._xlws.FILTER($E523:$E533,($A523:$A533=$A523)*($J523:$J533=K$42)))),0)</f>
        <v>0</v>
      </c>
      <c r="L523" s="1023" cm="1">
        <f t="array" ref="L523">IFERROR(IF($A523=$A522,0,SUM(_xlfn._xlws.FILTER($E523:$E533,($A523:$A533=$A523)*($J523:$J533=L$42)))),0)</f>
        <v>0</v>
      </c>
      <c r="M523" s="1023" cm="1">
        <f t="array" ref="M523">IFERROR(IF($A523=$A522,0,SUM(_xlfn._xlws.FILTER($E523:$E533,($A523:$A533=$A523)*($J523:$J533=M$42)))),0)</f>
        <v>0</v>
      </c>
      <c r="N523" s="1023" cm="1">
        <f t="array" ref="N523">IFERROR(IF($A523=$A522,0,SUM(_xlfn._xlws.FILTER($E523:$E533,($A523:$A533=$A523)*($J523:$J533=N$42)))),0)</f>
        <v>0</v>
      </c>
    </row>
    <row r="524" spans="1:14" hidden="1" x14ac:dyDescent="0.3">
      <c r="A524" s="449">
        <v>45925</v>
      </c>
      <c r="B524" s="462" t="s">
        <v>28</v>
      </c>
      <c r="C524" s="451">
        <v>1000</v>
      </c>
      <c r="D524" s="452">
        <v>74.72</v>
      </c>
      <c r="E524" s="1022">
        <f ca="1">IFERROR(C524*D524*_xlfn.XLOOKUP(B524,TabCalc[Ticker],TabCalc[Scale]),0)</f>
        <v>74720</v>
      </c>
      <c r="F524" s="1023" cm="1">
        <f t="array" ref="F524">IF(A524=A523,0,SUM(_xlfn._xlws.FILTER(E524:E533,A524:A533=A524)))</f>
        <v>0</v>
      </c>
      <c r="G524" s="1024">
        <f>IF(F524&lt;&gt;0,SUM($F$43:F524),0)</f>
        <v>0</v>
      </c>
      <c r="H524" s="1024" cm="1">
        <f t="array" ref="H524">IFERROR(IF(A524=A523,0,SUM(_xlfn._xlws.FILTER(E524:E533,(A524:A533=A524)*(E524:E533&gt;0)))),0)</f>
        <v>0</v>
      </c>
      <c r="I524" s="1024" cm="1">
        <f t="array" ref="I524">IFERROR(IF(A524=A523,0,SUM(_xlfn._xlws.FILTER(E524:E533,(A524:A533=A524)*(F524&lt;0)))),0)</f>
        <v>0</v>
      </c>
      <c r="J524" s="293" t="str">
        <f ca="1">IFERROR(_xlfn.XLOOKUP(B524,TabCalc[Ticker],TabCalc[Cur]),"")</f>
        <v>USD</v>
      </c>
      <c r="K524" s="1023" cm="1">
        <f t="array" ref="K524">IFERROR(IF($A524=$A523,0,SUM(_xlfn._xlws.FILTER($E524:$E534,($A524:$A534=$A524)*($J524:$J534=K$42)))),0)</f>
        <v>0</v>
      </c>
      <c r="L524" s="1023" cm="1">
        <f t="array" ref="L524">IFERROR(IF($A524=$A523,0,SUM(_xlfn._xlws.FILTER($E524:$E534,($A524:$A534=$A524)*($J524:$J534=L$42)))),0)</f>
        <v>0</v>
      </c>
      <c r="M524" s="1023" cm="1">
        <f t="array" ref="M524">IFERROR(IF($A524=$A523,0,SUM(_xlfn._xlws.FILTER($E524:$E534,($A524:$A534=$A524)*($J524:$J534=M$42)))),0)</f>
        <v>0</v>
      </c>
      <c r="N524" s="1023" cm="1">
        <f t="array" ref="N524">IFERROR(IF($A524=$A523,0,SUM(_xlfn._xlws.FILTER($E524:$E534,($A524:$A534=$A524)*($J524:$J534=N$42)))),0)</f>
        <v>0</v>
      </c>
    </row>
    <row r="525" spans="1:14" hidden="1" x14ac:dyDescent="0.3">
      <c r="A525" s="449">
        <v>45925</v>
      </c>
      <c r="B525" s="462" t="s">
        <v>49</v>
      </c>
      <c r="C525" s="451">
        <v>5000</v>
      </c>
      <c r="D525" s="452">
        <v>-9.4600000000000009</v>
      </c>
      <c r="E525" s="1022">
        <f ca="1">IFERROR(C525*D525*_xlfn.XLOOKUP(B525,TabCalc[Ticker],TabCalc[Scale]),0)</f>
        <v>-47300.000000000007</v>
      </c>
      <c r="F525" s="1023" cm="1">
        <f t="array" ref="F525">IF(A525=A524,0,SUM(_xlfn._xlws.FILTER(E525:E534,A525:A534=A525)))</f>
        <v>0</v>
      </c>
      <c r="G525" s="1024">
        <f>IF(F525&lt;&gt;0,SUM($F$43:F525),0)</f>
        <v>0</v>
      </c>
      <c r="H525" s="1024" cm="1">
        <f t="array" ref="H525">IFERROR(IF(A525=A524,0,SUM(_xlfn._xlws.FILTER(E525:E534,(A525:A534=A525)*(E525:E534&gt;0)))),0)</f>
        <v>0</v>
      </c>
      <c r="I525" s="1024" cm="1">
        <f t="array" ref="I525">IFERROR(IF(A525=A524,0,SUM(_xlfn._xlws.FILTER(E525:E534,(A525:A534=A525)*(F525&lt;0)))),0)</f>
        <v>0</v>
      </c>
      <c r="J525" s="293" t="str">
        <f ca="1">IFERROR(_xlfn.XLOOKUP(B525,TabCalc[Ticker],TabCalc[Cur]),"")</f>
        <v>USD</v>
      </c>
      <c r="K525" s="1023" cm="1">
        <f t="array" ref="K525">IFERROR(IF($A525=$A524,0,SUM(_xlfn._xlws.FILTER($E525:$E535,($A525:$A535=$A525)*($J525:$J535=K$42)))),0)</f>
        <v>0</v>
      </c>
      <c r="L525" s="1023" cm="1">
        <f t="array" ref="L525">IFERROR(IF($A525=$A524,0,SUM(_xlfn._xlws.FILTER($E525:$E535,($A525:$A535=$A525)*($J525:$J535=L$42)))),0)</f>
        <v>0</v>
      </c>
      <c r="M525" s="1023" cm="1">
        <f t="array" ref="M525">IFERROR(IF($A525=$A524,0,SUM(_xlfn._xlws.FILTER($E525:$E535,($A525:$A535=$A525)*($J525:$J535=M$42)))),0)</f>
        <v>0</v>
      </c>
      <c r="N525" s="1023" cm="1">
        <f t="array" ref="N525">IFERROR(IF($A525=$A524,0,SUM(_xlfn._xlws.FILTER($E525:$E535,($A525:$A535=$A525)*($J525:$J535=N$42)))),0)</f>
        <v>0</v>
      </c>
    </row>
    <row r="526" spans="1:14" hidden="1" x14ac:dyDescent="0.3">
      <c r="A526" s="463">
        <v>45926</v>
      </c>
      <c r="B526" s="446" t="s">
        <v>9</v>
      </c>
      <c r="C526" s="1080">
        <v>1000</v>
      </c>
      <c r="D526" s="644">
        <v>-67.2</v>
      </c>
      <c r="E526" s="1022">
        <f ca="1">IFERROR(C526*D526*_xlfn.XLOOKUP(B526,TabCalc[Ticker],TabCalc[Scale]),0)</f>
        <v>-67200</v>
      </c>
      <c r="F526" s="1023" cm="1">
        <f t="array" aca="1" ref="F526" ca="1">IF(A526=A525,0,SUM(_xlfn._xlws.FILTER(E526:E535,A526:A535=A526)))</f>
        <v>19473.509999999995</v>
      </c>
      <c r="G526" s="1024">
        <f ca="1">IF(F526&lt;&gt;0,SUM($F$43:F526),0)</f>
        <v>-3073879.1695729997</v>
      </c>
      <c r="H526" s="1024" cm="1">
        <f t="array" aca="1" ref="H526" ca="1">IFERROR(IF(A526=A525,0,SUM(_xlfn._xlws.FILTER(E526:E535,(A526:A535=A526)*(E526:E535&gt;0)))),0)</f>
        <v>179011</v>
      </c>
      <c r="I526" s="1024" cm="1">
        <f t="array" aca="1" ref="I526" ca="1">IFERROR(IF(A526=A525,0,SUM(_xlfn._xlws.FILTER(E526:E535,(A526:A535=A526)*(F526&lt;0)))),0)</f>
        <v>0</v>
      </c>
      <c r="J526" s="293" t="str">
        <f ca="1">IFERROR(_xlfn.XLOOKUP(B526,TabCalc[Ticker],TabCalc[Cur]),"")</f>
        <v>USD</v>
      </c>
      <c r="K526" s="1023" cm="1">
        <f t="array" aca="1" ref="K526" ca="1">IFERROR(IF($A526=$A525,0,SUM(_xlfn._xlws.FILTER($E526:$E536,($A526:$A536=$A526)*($J526:$J536=K$42)))),0)</f>
        <v>0</v>
      </c>
      <c r="L526" s="1023" cm="1">
        <f t="array" aca="1" ref="L526" ca="1">IFERROR(IF($A526=$A525,0,SUM(_xlfn._xlws.FILTER($E526:$E536,($A526:$A536=$A526)*($J526:$J536=L$42)))),0)</f>
        <v>19473.509999999995</v>
      </c>
      <c r="M526" s="1023" cm="1">
        <f t="array" aca="1" ref="M526" ca="1">IFERROR(IF($A526=$A525,0,SUM(_xlfn._xlws.FILTER($E526:$E536,($A526:$A536=$A526)*($J526:$J536=M$42)))),0)</f>
        <v>0</v>
      </c>
      <c r="N526" s="1023" cm="1">
        <f t="array" aca="1" ref="N526" ca="1">IFERROR(IF($A526=$A525,0,SUM(_xlfn._xlws.FILTER($E526:$E536,($A526:$A536=$A526)*($J526:$J536=N$42)))),0)</f>
        <v>0</v>
      </c>
    </row>
    <row r="527" spans="1:14" hidden="1" x14ac:dyDescent="0.3">
      <c r="A527" s="463">
        <v>45926</v>
      </c>
      <c r="B527" s="446" t="s">
        <v>51</v>
      </c>
      <c r="C527" s="1080">
        <v>300</v>
      </c>
      <c r="D527" s="644">
        <v>-117.49</v>
      </c>
      <c r="E527" s="1022">
        <f ca="1">IFERROR(C527*D527*_xlfn.XLOOKUP(B527,TabCalc[Ticker],TabCalc[Scale]),0)</f>
        <v>-35247</v>
      </c>
      <c r="F527" s="1023" cm="1">
        <f t="array" ref="F527">IF(A527=A526,0,SUM(_xlfn._xlws.FILTER(E527:E536,A527:A536=A527)))</f>
        <v>0</v>
      </c>
      <c r="G527" s="1024">
        <f>IF(F527&lt;&gt;0,SUM($F$43:F527),0)</f>
        <v>0</v>
      </c>
      <c r="H527" s="1024" cm="1">
        <f t="array" ref="H527">IFERROR(IF(A527=A526,0,SUM(_xlfn._xlws.FILTER(E527:E536,(A527:A536=A527)*(E527:E536&gt;0)))),0)</f>
        <v>0</v>
      </c>
      <c r="I527" s="1024" cm="1">
        <f t="array" ref="I527">IFERROR(IF(A527=A526,0,SUM(_xlfn._xlws.FILTER(E527:E536,(A527:A536=A527)*(F527&lt;0)))),0)</f>
        <v>0</v>
      </c>
      <c r="J527" s="293" t="str">
        <f ca="1">IFERROR(_xlfn.XLOOKUP(B527,TabCalc[Ticker],TabCalc[Cur]),"")</f>
        <v>USD</v>
      </c>
      <c r="K527" s="1023" cm="1">
        <f t="array" ref="K527">IFERROR(IF($A527=$A526,0,SUM(_xlfn._xlws.FILTER($E527:$E537,($A527:$A537=$A527)*($J527:$J537=K$42)))),0)</f>
        <v>0</v>
      </c>
      <c r="L527" s="1023" cm="1">
        <f t="array" ref="L527">IFERROR(IF($A527=$A526,0,SUM(_xlfn._xlws.FILTER($E527:$E537,($A527:$A537=$A527)*($J527:$J537=L$42)))),0)</f>
        <v>0</v>
      </c>
      <c r="M527" s="1023" cm="1">
        <f t="array" ref="M527">IFERROR(IF($A527=$A526,0,SUM(_xlfn._xlws.FILTER($E527:$E537,($A527:$A537=$A527)*($J527:$J537=M$42)))),0)</f>
        <v>0</v>
      </c>
      <c r="N527" s="1023" cm="1">
        <f t="array" ref="N527">IFERROR(IF($A527=$A526,0,SUM(_xlfn._xlws.FILTER($E527:$E537,($A527:$A537=$A527)*($J527:$J537=N$42)))),0)</f>
        <v>0</v>
      </c>
    </row>
    <row r="528" spans="1:14" hidden="1" x14ac:dyDescent="0.3">
      <c r="A528" s="463">
        <v>45926</v>
      </c>
      <c r="B528" s="446" t="s">
        <v>27</v>
      </c>
      <c r="C528" s="1080">
        <v>200</v>
      </c>
      <c r="D528" s="644">
        <v>511.495</v>
      </c>
      <c r="E528" s="1022">
        <f ca="1">IFERROR(C528*D528*_xlfn.XLOOKUP(B528,TabCalc[Ticker],TabCalc[Scale]),0)</f>
        <v>102299</v>
      </c>
      <c r="F528" s="1023" cm="1">
        <f t="array" ref="F528">IF(A528=A527,0,SUM(_xlfn._xlws.FILTER(E528:E537,A528:A537=A528)))</f>
        <v>0</v>
      </c>
      <c r="G528" s="1024">
        <f>IF(F528&lt;&gt;0,SUM($F$43:F528),0)</f>
        <v>0</v>
      </c>
      <c r="H528" s="1024" cm="1">
        <f t="array" ref="H528">IFERROR(IF(A528=A527,0,SUM(_xlfn._xlws.FILTER(E528:E537,(A528:A537=A528)*(E528:E537&gt;0)))),0)</f>
        <v>0</v>
      </c>
      <c r="I528" s="1024" cm="1">
        <f t="array" ref="I528">IFERROR(IF(A528=A527,0,SUM(_xlfn._xlws.FILTER(E528:E537,(A528:A537=A528)*(F528&lt;0)))),0)</f>
        <v>0</v>
      </c>
      <c r="J528" s="293" t="str">
        <f ca="1">IFERROR(_xlfn.XLOOKUP(B528,TabCalc[Ticker],TabCalc[Cur]),"")</f>
        <v>USD</v>
      </c>
      <c r="K528" s="1023" cm="1">
        <f t="array" ref="K528">IFERROR(IF($A528=$A527,0,SUM(_xlfn._xlws.FILTER($E528:$E538,($A528:$A538=$A528)*($J528:$J538=K$42)))),0)</f>
        <v>0</v>
      </c>
      <c r="L528" s="1023" cm="1">
        <f t="array" ref="L528">IFERROR(IF($A528=$A527,0,SUM(_xlfn._xlws.FILTER($E528:$E538,($A528:$A538=$A528)*($J528:$J538=L$42)))),0)</f>
        <v>0</v>
      </c>
      <c r="M528" s="1023" cm="1">
        <f t="array" ref="M528">IFERROR(IF($A528=$A527,0,SUM(_xlfn._xlws.FILTER($E528:$E538,($A528:$A538=$A528)*($J528:$J538=M$42)))),0)</f>
        <v>0</v>
      </c>
      <c r="N528" s="1023" cm="1">
        <f t="array" ref="N528">IFERROR(IF($A528=$A527,0,SUM(_xlfn._xlws.FILTER($E528:$E538,($A528:$A538=$A528)*($J528:$J538=N$42)))),0)</f>
        <v>0</v>
      </c>
    </row>
    <row r="529" spans="1:14" hidden="1" x14ac:dyDescent="0.3">
      <c r="A529" s="463">
        <v>45926</v>
      </c>
      <c r="B529" s="446" t="s">
        <v>28</v>
      </c>
      <c r="C529" s="1080">
        <v>1000</v>
      </c>
      <c r="D529" s="446">
        <v>76.712000000000003</v>
      </c>
      <c r="E529" s="1022">
        <f ca="1">IFERROR(C529*D529*_xlfn.XLOOKUP(B529,TabCalc[Ticker],TabCalc[Scale]),0)</f>
        <v>76712</v>
      </c>
      <c r="F529" s="1023" cm="1">
        <f t="array" ref="F529">IF(A529=A528,0,SUM(_xlfn._xlws.FILTER(E529:E538,A529:A538=A529)))</f>
        <v>0</v>
      </c>
      <c r="G529" s="1024">
        <f>IF(F529&lt;&gt;0,SUM($F$43:F529),0)</f>
        <v>0</v>
      </c>
      <c r="H529" s="1024" cm="1">
        <f t="array" ref="H529">IFERROR(IF(A529=A528,0,SUM(_xlfn._xlws.FILTER(E529:E538,(A529:A538=A529)*(E529:E538&gt;0)))),0)</f>
        <v>0</v>
      </c>
      <c r="I529" s="1024" cm="1">
        <f t="array" ref="I529">IFERROR(IF(A529=A528,0,SUM(_xlfn._xlws.FILTER(E529:E538,(A529:A538=A529)*(F529&lt;0)))),0)</f>
        <v>0</v>
      </c>
      <c r="J529" s="293" t="str">
        <f ca="1">IFERROR(_xlfn.XLOOKUP(B529,TabCalc[Ticker],TabCalc[Cur]),"")</f>
        <v>USD</v>
      </c>
      <c r="K529" s="1023" cm="1">
        <f t="array" ref="K529">IFERROR(IF($A529=$A528,0,SUM(_xlfn._xlws.FILTER($E529:$E539,($A529:$A539=$A529)*($J529:$J539=K$42)))),0)</f>
        <v>0</v>
      </c>
      <c r="L529" s="1023" cm="1">
        <f t="array" ref="L529">IFERROR(IF($A529=$A528,0,SUM(_xlfn._xlws.FILTER($E529:$E539,($A529:$A539=$A529)*($J529:$J539=L$42)))),0)</f>
        <v>0</v>
      </c>
      <c r="M529" s="1023" cm="1">
        <f t="array" ref="M529">IFERROR(IF($A529=$A528,0,SUM(_xlfn._xlws.FILTER($E529:$E539,($A529:$A539=$A529)*($J529:$J539=M$42)))),0)</f>
        <v>0</v>
      </c>
      <c r="N529" s="1023" cm="1">
        <f t="array" ref="N529">IFERROR(IF($A529=$A528,0,SUM(_xlfn._xlws.FILTER($E529:$E539,($A529:$A539=$A529)*($J529:$J539=N$42)))),0)</f>
        <v>0</v>
      </c>
    </row>
    <row r="530" spans="1:14" hidden="1" x14ac:dyDescent="0.3">
      <c r="A530" s="463">
        <v>45926</v>
      </c>
      <c r="B530" s="446" t="s">
        <v>35</v>
      </c>
      <c r="C530" s="1080">
        <v>2000</v>
      </c>
      <c r="D530" s="446">
        <v>-28.545245000000001</v>
      </c>
      <c r="E530" s="1022">
        <f ca="1">IFERROR(C530*D530*_xlfn.XLOOKUP(B530,TabCalc[Ticker],TabCalc[Scale]),0)</f>
        <v>-57090.490000000005</v>
      </c>
      <c r="F530" s="1023" cm="1">
        <f t="array" ref="F530">IF(A530=A529,0,SUM(_xlfn._xlws.FILTER(E530:E539,A530:A539=A530)))</f>
        <v>0</v>
      </c>
      <c r="G530" s="1024">
        <f>IF(F530&lt;&gt;0,SUM($F$43:F530),0)</f>
        <v>0</v>
      </c>
      <c r="H530" s="1024" cm="1">
        <f t="array" ref="H530">IFERROR(IF(A530=A529,0,SUM(_xlfn._xlws.FILTER(E530:E539,(A530:A539=A530)*(E530:E539&gt;0)))),0)</f>
        <v>0</v>
      </c>
      <c r="I530" s="1024" cm="1">
        <f t="array" ref="I530">IFERROR(IF(A530=A529,0,SUM(_xlfn._xlws.FILTER(E530:E539,(A530:A539=A530)*(F530&lt;0)))),0)</f>
        <v>0</v>
      </c>
      <c r="J530" s="293" t="str">
        <f ca="1">IFERROR(_xlfn.XLOOKUP(B530,TabCalc[Ticker],TabCalc[Cur]),"")</f>
        <v>USD</v>
      </c>
      <c r="K530" s="1023" cm="1">
        <f t="array" ref="K530">IFERROR(IF($A530=$A529,0,SUM(_xlfn._xlws.FILTER($E530:$E540,($A530:$A540=$A530)*($J530:$J540=K$42)))),0)</f>
        <v>0</v>
      </c>
      <c r="L530" s="1023" cm="1">
        <f t="array" ref="L530">IFERROR(IF($A530=$A529,0,SUM(_xlfn._xlws.FILTER($E530:$E540,($A530:$A540=$A530)*($J530:$J540=L$42)))),0)</f>
        <v>0</v>
      </c>
      <c r="M530" s="1023" cm="1">
        <f t="array" ref="M530">IFERROR(IF($A530=$A529,0,SUM(_xlfn._xlws.FILTER($E530:$E540,($A530:$A540=$A530)*($J530:$J540=M$42)))),0)</f>
        <v>0</v>
      </c>
      <c r="N530" s="1023" cm="1">
        <f t="array" ref="N530">IFERROR(IF($A530=$A529,0,SUM(_xlfn._xlws.FILTER($E530:$E540,($A530:$A540=$A530)*($J530:$J540=N$42)))),0)</f>
        <v>0</v>
      </c>
    </row>
    <row r="531" spans="1:14" hidden="1" x14ac:dyDescent="0.3">
      <c r="A531" s="449">
        <v>45929</v>
      </c>
      <c r="B531" s="462" t="s">
        <v>2529</v>
      </c>
      <c r="C531" s="451">
        <v>300</v>
      </c>
      <c r="D531" s="452">
        <v>828.2</v>
      </c>
      <c r="E531" s="1022">
        <f ca="1">IFERROR(C531*D531*_xlfn.XLOOKUP(B531,TabCalc[Ticker],TabCalc[Scale]),0)</f>
        <v>248460</v>
      </c>
      <c r="F531" s="1023" cm="1">
        <f t="array" aca="1" ref="F531" ca="1">IF(A531=A530,0,SUM(_xlfn._xlws.FILTER(E531:E540,A531:A540=A531)))</f>
        <v>415462.25</v>
      </c>
      <c r="G531" s="1024">
        <f ca="1">IF(F531&lt;&gt;0,SUM($F$43:F531),0)</f>
        <v>-2658416.9195729997</v>
      </c>
      <c r="H531" s="1024" cm="1">
        <f t="array" aca="1" ref="H531" ca="1">IFERROR(IF(A531=A530,0,SUM(_xlfn._xlws.FILTER(E531:E540,(A531:A540=A531)*(E531:E540&gt;0)))),0)</f>
        <v>415462.25</v>
      </c>
      <c r="I531" s="1024" cm="1">
        <f t="array" aca="1" ref="I531" ca="1">IFERROR(IF(A531=A530,0,SUM(_xlfn._xlws.FILTER(E531:E540,(A531:A540=A531)*(F531&lt;0)))),0)</f>
        <v>0</v>
      </c>
      <c r="J531" s="293" t="str">
        <f ca="1">IFERROR(_xlfn.XLOOKUP(B531,TabCalc[Ticker],TabCalc[Cur]),"")</f>
        <v>EUR</v>
      </c>
      <c r="K531" s="1023" cm="1">
        <f t="array" aca="1" ref="K531" ca="1">IFERROR(IF($A531=$A530,0,SUM(_xlfn._xlws.FILTER($E531:$E541,($A531:$A541=$A531)*($J531:$J541=K$42)))),0)</f>
        <v>248460</v>
      </c>
      <c r="L531" s="1023" cm="1">
        <f t="array" aca="1" ref="L531" ca="1">IFERROR(IF($A531=$A530,0,SUM(_xlfn._xlws.FILTER($E531:$E541,($A531:$A541=$A531)*($J531:$J541=L$42)))),0)</f>
        <v>167002.25</v>
      </c>
      <c r="M531" s="1023" cm="1">
        <f t="array" aca="1" ref="M531" ca="1">IFERROR(IF($A531=$A530,0,SUM(_xlfn._xlws.FILTER($E531:$E541,($A531:$A541=$A531)*($J531:$J541=M$42)))),0)</f>
        <v>0</v>
      </c>
      <c r="N531" s="1023" cm="1">
        <f t="array" aca="1" ref="N531" ca="1">IFERROR(IF($A531=$A530,0,SUM(_xlfn._xlws.FILTER($E531:$E541,($A531:$A541=$A531)*($J531:$J541=N$42)))),0)</f>
        <v>0</v>
      </c>
    </row>
    <row r="532" spans="1:14" hidden="1" x14ac:dyDescent="0.3">
      <c r="A532" s="449">
        <v>45929</v>
      </c>
      <c r="B532" s="462" t="s">
        <v>3</v>
      </c>
      <c r="C532" s="451">
        <v>200</v>
      </c>
      <c r="D532" s="452">
        <v>221.51499999999999</v>
      </c>
      <c r="E532" s="1022">
        <f ca="1">IFERROR(C532*D532*_xlfn.XLOOKUP(B532,TabCalc[Ticker],TabCalc[Scale]),0)</f>
        <v>44303</v>
      </c>
      <c r="F532" s="1023" cm="1">
        <f t="array" ref="F532">IF(A532=A531,0,SUM(_xlfn._xlws.FILTER(E532:E541,A532:A541=A532)))</f>
        <v>0</v>
      </c>
      <c r="G532" s="1024">
        <f>IF(F532&lt;&gt;0,SUM($F$43:F532),0)</f>
        <v>0</v>
      </c>
      <c r="H532" s="1024" cm="1">
        <f t="array" ref="H532">IFERROR(IF(A532=A531,0,SUM(_xlfn._xlws.FILTER(E532:E541,(A532:A541=A532)*(E532:E541&gt;0)))),0)</f>
        <v>0</v>
      </c>
      <c r="I532" s="1024" cm="1">
        <f t="array" ref="I532">IFERROR(IF(A532=A531,0,SUM(_xlfn._xlws.FILTER(E532:E541,(A532:A541=A532)*(F532&lt;0)))),0)</f>
        <v>0</v>
      </c>
      <c r="J532" s="293" t="str">
        <f ca="1">IFERROR(_xlfn.XLOOKUP(B532,TabCalc[Ticker],TabCalc[Cur]),"")</f>
        <v>USD</v>
      </c>
      <c r="K532" s="1023" cm="1">
        <f t="array" ref="K532">IFERROR(IF($A532=$A531,0,SUM(_xlfn._xlws.FILTER($E532:$E542,($A532:$A542=$A532)*($J532:$J542=K$42)))),0)</f>
        <v>0</v>
      </c>
      <c r="L532" s="1023" cm="1">
        <f t="array" ref="L532">IFERROR(IF($A532=$A531,0,SUM(_xlfn._xlws.FILTER($E532:$E542,($A532:$A542=$A532)*($J532:$J542=L$42)))),0)</f>
        <v>0</v>
      </c>
      <c r="M532" s="1023" cm="1">
        <f t="array" ref="M532">IFERROR(IF($A532=$A531,0,SUM(_xlfn._xlws.FILTER($E532:$E542,($A532:$A542=$A532)*($J532:$J542=M$42)))),0)</f>
        <v>0</v>
      </c>
      <c r="N532" s="1023" cm="1">
        <f t="array" ref="N532">IFERROR(IF($A532=$A531,0,SUM(_xlfn._xlws.FILTER($E532:$E542,($A532:$A542=$A532)*($J532:$J542=N$42)))),0)</f>
        <v>0</v>
      </c>
    </row>
    <row r="533" spans="1:14" hidden="1" x14ac:dyDescent="0.3">
      <c r="A533" s="449">
        <v>45929</v>
      </c>
      <c r="B533" s="462" t="s">
        <v>27</v>
      </c>
      <c r="C533" s="451">
        <v>200</v>
      </c>
      <c r="D533" s="452">
        <v>515.245</v>
      </c>
      <c r="E533" s="1022">
        <f ca="1">IFERROR(C533*D533*_xlfn.XLOOKUP(B533,TabCalc[Ticker],TabCalc[Scale]),0)</f>
        <v>103049</v>
      </c>
      <c r="F533" s="1023" cm="1">
        <f t="array" ref="F533">IF(A533=A532,0,SUM(_xlfn._xlws.FILTER(E533:E542,A533:A542=A533)))</f>
        <v>0</v>
      </c>
      <c r="G533" s="1024">
        <f>IF(F533&lt;&gt;0,SUM($F$43:F533),0)</f>
        <v>0</v>
      </c>
      <c r="H533" s="1024" cm="1">
        <f t="array" ref="H533">IFERROR(IF(A533=A532,0,SUM(_xlfn._xlws.FILTER(E533:E542,(A533:A542=A533)*(E533:E542&gt;0)))),0)</f>
        <v>0</v>
      </c>
      <c r="I533" s="1024" cm="1">
        <f t="array" ref="I533">IFERROR(IF(A533=A532,0,SUM(_xlfn._xlws.FILTER(E533:E542,(A533:A542=A533)*(F533&lt;0)))),0)</f>
        <v>0</v>
      </c>
      <c r="J533" s="293" t="str">
        <f ca="1">IFERROR(_xlfn.XLOOKUP(B533,TabCalc[Ticker],TabCalc[Cur]),"")</f>
        <v>USD</v>
      </c>
      <c r="K533" s="1023" cm="1">
        <f t="array" ref="K533">IFERROR(IF($A533=$A532,0,SUM(_xlfn._xlws.FILTER($E533:$E543,($A533:$A543=$A533)*($J533:$J543=K$42)))),0)</f>
        <v>0</v>
      </c>
      <c r="L533" s="1023" cm="1">
        <f t="array" ref="L533">IFERROR(IF($A533=$A532,0,SUM(_xlfn._xlws.FILTER($E533:$E543,($A533:$A543=$A533)*($J533:$J543=L$42)))),0)</f>
        <v>0</v>
      </c>
      <c r="M533" s="1023" cm="1">
        <f t="array" ref="M533">IFERROR(IF($A533=$A532,0,SUM(_xlfn._xlws.FILTER($E533:$E543,($A533:$A543=$A533)*($J533:$J543=M$42)))),0)</f>
        <v>0</v>
      </c>
      <c r="N533" s="1023" cm="1">
        <f t="array" ref="N533">IFERROR(IF($A533=$A532,0,SUM(_xlfn._xlws.FILTER($E533:$E543,($A533:$A543=$A533)*($J533:$J543=N$42)))),0)</f>
        <v>0</v>
      </c>
    </row>
    <row r="534" spans="1:14" hidden="1" x14ac:dyDescent="0.3">
      <c r="A534" s="449">
        <v>45929</v>
      </c>
      <c r="B534" s="462" t="s">
        <v>31</v>
      </c>
      <c r="C534" s="451">
        <v>500</v>
      </c>
      <c r="D534" s="452">
        <v>39.3005</v>
      </c>
      <c r="E534" s="1022">
        <f ca="1">IFERROR(C534*D534*_xlfn.XLOOKUP(B534,TabCalc[Ticker],TabCalc[Scale]),0)</f>
        <v>19650.25</v>
      </c>
      <c r="F534" s="1023" cm="1">
        <f t="array" ref="F534">IF(A534=A533,0,SUM(_xlfn._xlws.FILTER(E534:E543,A534:A543=A534)))</f>
        <v>0</v>
      </c>
      <c r="G534" s="1024">
        <f>IF(F534&lt;&gt;0,SUM($F$43:F534),0)</f>
        <v>0</v>
      </c>
      <c r="H534" s="1024" cm="1">
        <f t="array" ref="H534">IFERROR(IF(A534=A533,0,SUM(_xlfn._xlws.FILTER(E534:E543,(A534:A543=A534)*(E534:E543&gt;0)))),0)</f>
        <v>0</v>
      </c>
      <c r="I534" s="1024" cm="1">
        <f t="array" ref="I534">IFERROR(IF(A534=A533,0,SUM(_xlfn._xlws.FILTER(E534:E543,(A534:A543=A534)*(F534&lt;0)))),0)</f>
        <v>0</v>
      </c>
      <c r="J534" s="293" t="str">
        <f ca="1">IFERROR(_xlfn.XLOOKUP(B534,TabCalc[Ticker],TabCalc[Cur]),"")</f>
        <v>USD</v>
      </c>
      <c r="K534" s="1023" cm="1">
        <f t="array" ref="K534">IFERROR(IF($A534=$A533,0,SUM(_xlfn._xlws.FILTER($E534:$E544,($A534:$A544=$A534)*($J534:$J544=K$42)))),0)</f>
        <v>0</v>
      </c>
      <c r="L534" s="1023" cm="1">
        <f t="array" ref="L534">IFERROR(IF($A534=$A533,0,SUM(_xlfn._xlws.FILTER($E534:$E544,($A534:$A544=$A534)*($J534:$J544=L$42)))),0)</f>
        <v>0</v>
      </c>
      <c r="M534" s="1023" cm="1">
        <f t="array" ref="M534">IFERROR(IF($A534=$A533,0,SUM(_xlfn._xlws.FILTER($E534:$E544,($A534:$A544=$A534)*($J534:$J544=M$42)))),0)</f>
        <v>0</v>
      </c>
      <c r="N534" s="1023" cm="1">
        <f t="array" ref="N534">IFERROR(IF($A534=$A533,0,SUM(_xlfn._xlws.FILTER($E534:$E544,($A534:$A544=$A534)*($J534:$J544=N$42)))),0)</f>
        <v>0</v>
      </c>
    </row>
    <row r="535" spans="1:14" hidden="1" x14ac:dyDescent="0.3">
      <c r="A535" s="463">
        <v>45931</v>
      </c>
      <c r="B535" s="446" t="s">
        <v>20</v>
      </c>
      <c r="C535" s="446">
        <v>800</v>
      </c>
      <c r="D535" s="446">
        <v>24.82</v>
      </c>
      <c r="E535" s="1022">
        <f ca="1">IFERROR(C535*D535*_xlfn.XLOOKUP(B535,TabCalc[Ticker],TabCalc[Scale]),0)</f>
        <v>19856</v>
      </c>
      <c r="F535" s="1023" cm="1">
        <f t="array" aca="1" ref="F535" ca="1">IF(A535=A534,0,SUM(_xlfn._xlws.FILTER(E535:E544,A535:A544=A535)))</f>
        <v>19856</v>
      </c>
      <c r="G535" s="1024">
        <f ca="1">IF(F535&lt;&gt;0,SUM($F$43:F535),0)</f>
        <v>-2638560.9195729997</v>
      </c>
      <c r="H535" s="1024" cm="1">
        <f t="array" aca="1" ref="H535" ca="1">IFERROR(IF(A535=A534,0,SUM(_xlfn._xlws.FILTER(E535:E544,(A535:A544=A535)*(E535:E544&gt;0)))),0)</f>
        <v>19856</v>
      </c>
      <c r="I535" s="1024" cm="1">
        <f t="array" aca="1" ref="I535" ca="1">IFERROR(IF(A535=A534,0,SUM(_xlfn._xlws.FILTER(E535:E544,(A535:A544=A535)*(F535&lt;0)))),0)</f>
        <v>0</v>
      </c>
      <c r="J535" s="293" t="str">
        <f ca="1">IFERROR(_xlfn.XLOOKUP(B535,TabCalc[Ticker],TabCalc[Cur]),"")</f>
        <v>USD</v>
      </c>
      <c r="K535" s="1023" cm="1">
        <f t="array" aca="1" ref="K535" ca="1">IFERROR(IF($A535=$A534,0,SUM(_xlfn._xlws.FILTER($E535:$E545,($A535:$A545=$A535)*($J535:$J545=K$42)))),0)</f>
        <v>0</v>
      </c>
      <c r="L535" s="1023" cm="1">
        <f t="array" aca="1" ref="L535" ca="1">IFERROR(IF($A535=$A534,0,SUM(_xlfn._xlws.FILTER($E535:$E545,($A535:$A545=$A535)*($J535:$J545=L$42)))),0)</f>
        <v>19856</v>
      </c>
      <c r="M535" s="1023" cm="1">
        <f t="array" aca="1" ref="M535" ca="1">IFERROR(IF($A535=$A534,0,SUM(_xlfn._xlws.FILTER($E535:$E545,($A535:$A545=$A535)*($J535:$J545=M$42)))),0)</f>
        <v>0</v>
      </c>
      <c r="N535" s="1023" cm="1">
        <f t="array" aca="1" ref="N535" ca="1">IFERROR(IF($A535=$A534,0,SUM(_xlfn._xlws.FILTER($E535:$E545,($A535:$A545=$A535)*($J535:$J545=N$42)))),0)</f>
        <v>0</v>
      </c>
    </row>
    <row r="536" spans="1:14" hidden="1" x14ac:dyDescent="0.3">
      <c r="A536" s="449">
        <v>45932</v>
      </c>
      <c r="B536" s="462" t="s">
        <v>32</v>
      </c>
      <c r="C536" s="451">
        <v>200</v>
      </c>
      <c r="D536" s="452">
        <v>880.6</v>
      </c>
      <c r="E536" s="1022">
        <f ca="1">IFERROR(C536*D536*_xlfn.XLOOKUP(B536,TabCalc[Ticker],TabCalc[Scale]),0)</f>
        <v>176120</v>
      </c>
      <c r="F536" s="1023" cm="1">
        <f t="array" aca="1" ref="F536" ca="1">IF(A536=A535,0,SUM(_xlfn._xlws.FILTER(E536:E545,A536:A545=A536)))</f>
        <v>59945</v>
      </c>
      <c r="G536" s="1024">
        <f ca="1">IF(F536&lt;&gt;0,SUM($F$43:F536),0)</f>
        <v>-2578615.9195729997</v>
      </c>
      <c r="H536" s="1024" cm="1">
        <f t="array" aca="1" ref="H536" ca="1">IFERROR(IF(A536=A535,0,SUM(_xlfn._xlws.FILTER(E536:E545,(A536:A545=A536)*(E536:E545&gt;0)))),0)</f>
        <v>176120</v>
      </c>
      <c r="I536" s="1024" cm="1">
        <f t="array" aca="1" ref="I536" ca="1">IFERROR(IF(A536=A535,0,SUM(_xlfn._xlws.FILTER(E536:E545,(A536:A545=A536)*(F536&lt;0)))),0)</f>
        <v>0</v>
      </c>
      <c r="J536" s="293" t="str">
        <f ca="1">IFERROR(_xlfn.XLOOKUP(B536,TabCalc[Ticker],TabCalc[Cur]),"")</f>
        <v>EUR</v>
      </c>
      <c r="K536" s="1023" cm="1">
        <f t="array" aca="1" ref="K536" ca="1">IFERROR(IF($A536=$A535,0,SUM(_xlfn._xlws.FILTER($E536:$E546,($A536:$A546=$A536)*($J536:$J546=K$42)))),0)</f>
        <v>59945</v>
      </c>
      <c r="L536" s="1023" cm="1">
        <f t="array" aca="1" ref="L536" ca="1">IFERROR(IF($A536=$A535,0,SUM(_xlfn._xlws.FILTER($E536:$E546,($A536:$A546=$A536)*($J536:$J546=L$42)))),0)</f>
        <v>0</v>
      </c>
      <c r="M536" s="1023" cm="1">
        <f t="array" aca="1" ref="M536" ca="1">IFERROR(IF($A536=$A535,0,SUM(_xlfn._xlws.FILTER($E536:$E546,($A536:$A546=$A536)*($J536:$J546=M$42)))),0)</f>
        <v>0</v>
      </c>
      <c r="N536" s="1023" cm="1">
        <f t="array" aca="1" ref="N536" ca="1">IFERROR(IF($A536=$A535,0,SUM(_xlfn._xlws.FILTER($E536:$E546,($A536:$A546=$A536)*($J536:$J546=N$42)))),0)</f>
        <v>0</v>
      </c>
    </row>
    <row r="537" spans="1:14" hidden="1" x14ac:dyDescent="0.3">
      <c r="A537" s="449">
        <v>45932</v>
      </c>
      <c r="B537" s="462" t="s">
        <v>38</v>
      </c>
      <c r="C537" s="451">
        <v>500</v>
      </c>
      <c r="D537" s="452">
        <v>-232.35</v>
      </c>
      <c r="E537" s="1022">
        <f ca="1">IFERROR(C537*D537*_xlfn.XLOOKUP(B537,TabCalc[Ticker],TabCalc[Scale]),0)</f>
        <v>-116175</v>
      </c>
      <c r="F537" s="1023" cm="1">
        <f t="array" ref="F537">IF(A537=A536,0,SUM(_xlfn._xlws.FILTER(E537:E546,A537:A546=A537)))</f>
        <v>0</v>
      </c>
      <c r="G537" s="1024">
        <f>IF(F537&lt;&gt;0,SUM($F$43:F537),0)</f>
        <v>0</v>
      </c>
      <c r="H537" s="1024" cm="1">
        <f t="array" ref="H537">IFERROR(IF(A537=A536,0,SUM(_xlfn._xlws.FILTER(E537:E546,(A537:A546=A537)*(E537:E546&gt;0)))),0)</f>
        <v>0</v>
      </c>
      <c r="I537" s="1024" cm="1">
        <f t="array" ref="I537">IFERROR(IF(A537=A536,0,SUM(_xlfn._xlws.FILTER(E537:E546,(A537:A546=A537)*(F537&lt;0)))),0)</f>
        <v>0</v>
      </c>
      <c r="J537" s="293" t="str">
        <f ca="1">IFERROR(_xlfn.XLOOKUP(B537,TabCalc[Ticker],TabCalc[Cur]),"")</f>
        <v>EUR</v>
      </c>
      <c r="K537" s="1023" cm="1">
        <f t="array" ref="K537">IFERROR(IF($A537=$A536,0,SUM(_xlfn._xlws.FILTER($E537:$E547,($A537:$A547=$A537)*($J537:$J547=K$42)))),0)</f>
        <v>0</v>
      </c>
      <c r="L537" s="1023" cm="1">
        <f t="array" ref="L537">IFERROR(IF($A537=$A536,0,SUM(_xlfn._xlws.FILTER($E537:$E547,($A537:$A547=$A537)*($J537:$J547=L$42)))),0)</f>
        <v>0</v>
      </c>
      <c r="M537" s="1023" cm="1">
        <f t="array" ref="M537">IFERROR(IF($A537=$A536,0,SUM(_xlfn._xlws.FILTER($E537:$E547,($A537:$A547=$A537)*($J537:$J547=M$42)))),0)</f>
        <v>0</v>
      </c>
      <c r="N537" s="1023" cm="1">
        <f t="array" ref="N537">IFERROR(IF($A537=$A536,0,SUM(_xlfn._xlws.FILTER($E537:$E547,($A537:$A547=$A537)*($J537:$J547=N$42)))),0)</f>
        <v>0</v>
      </c>
    </row>
    <row r="538" spans="1:14" hidden="1" x14ac:dyDescent="0.3">
      <c r="A538" s="463">
        <v>45933</v>
      </c>
      <c r="B538" s="446" t="s">
        <v>48</v>
      </c>
      <c r="C538" s="446">
        <v>1000</v>
      </c>
      <c r="D538" s="446">
        <v>60.2</v>
      </c>
      <c r="E538" s="1022">
        <f ca="1">IFERROR(C538*D538*_xlfn.XLOOKUP(B538,TabCalc[Ticker],TabCalc[Scale]),0)</f>
        <v>60200</v>
      </c>
      <c r="F538" s="1023" cm="1">
        <f t="array" aca="1" ref="F538" ca="1">IF(A538=A537,0,SUM(_xlfn._xlws.FILTER(E538:E547,A538:A547=A538)))</f>
        <v>98660</v>
      </c>
      <c r="G538" s="1024">
        <f ca="1">IF(F538&lt;&gt;0,SUM($F$43:F538),0)</f>
        <v>-2479955.9195729997</v>
      </c>
      <c r="H538" s="1024" cm="1">
        <f t="array" aca="1" ref="H538" ca="1">IFERROR(IF(A538=A537,0,SUM(_xlfn._xlws.FILTER(E538:E547,(A538:A547=A538)*(E538:E547&gt;0)))),0)</f>
        <v>98660</v>
      </c>
      <c r="I538" s="1024" cm="1">
        <f t="array" aca="1" ref="I538" ca="1">IFERROR(IF(A538=A537,0,SUM(_xlfn._xlws.FILTER(E538:E547,(A538:A547=A538)*(F538&lt;0)))),0)</f>
        <v>0</v>
      </c>
      <c r="J538" s="293" t="str">
        <f ca="1">IFERROR(_xlfn.XLOOKUP(B538,TabCalc[Ticker],TabCalc[Cur]),"")</f>
        <v>CHF</v>
      </c>
      <c r="K538" s="1023" cm="1">
        <f t="array" aca="1" ref="K538" ca="1">IFERROR(IF($A538=$A537,0,SUM(_xlfn._xlws.FILTER($E538:$E548,($A538:$A548=$A538)*($J538:$J548=K$42)))),0)</f>
        <v>0</v>
      </c>
      <c r="L538" s="1023" cm="1">
        <f t="array" aca="1" ref="L538" ca="1">IFERROR(IF($A538=$A537,0,SUM(_xlfn._xlws.FILTER($E538:$E548,($A538:$A548=$A538)*($J538:$J548=L$42)))),0)</f>
        <v>0</v>
      </c>
      <c r="M538" s="1023" cm="1">
        <f t="array" aca="1" ref="M538" ca="1">IFERROR(IF($A538=$A537,0,SUM(_xlfn._xlws.FILTER($E538:$E548,($A538:$A548=$A538)*($J538:$J548=M$42)))),0)</f>
        <v>38460</v>
      </c>
      <c r="N538" s="1023" cm="1">
        <f t="array" aca="1" ref="N538" ca="1">IFERROR(IF($A538=$A537,0,SUM(_xlfn._xlws.FILTER($E538:$E548,($A538:$A548=$A538)*($J538:$J548=N$42)))),0)</f>
        <v>60200</v>
      </c>
    </row>
    <row r="539" spans="1:14" hidden="1" x14ac:dyDescent="0.3">
      <c r="A539" s="463">
        <v>45933</v>
      </c>
      <c r="B539" s="446" t="s">
        <v>22</v>
      </c>
      <c r="C539" s="446">
        <v>10000</v>
      </c>
      <c r="D539" s="446">
        <v>384.6</v>
      </c>
      <c r="E539" s="1022">
        <f ca="1">IFERROR(C539*D539*_xlfn.XLOOKUP(B539,TabCalc[Ticker],TabCalc[Scale]),0)</f>
        <v>38460</v>
      </c>
      <c r="F539" s="1023" cm="1">
        <f t="array" ref="F539">IF(A539=A538,0,SUM(_xlfn._xlws.FILTER(E539:E548,A539:A548=A539)))</f>
        <v>0</v>
      </c>
      <c r="G539" s="1024">
        <f>IF(F539&lt;&gt;0,SUM($F$43:F539),0)</f>
        <v>0</v>
      </c>
      <c r="H539" s="1024" cm="1">
        <f t="array" ref="H539">IFERROR(IF(A539=A538,0,SUM(_xlfn._xlws.FILTER(E539:E548,(A539:A548=A539)*(E539:E548&gt;0)))),0)</f>
        <v>0</v>
      </c>
      <c r="I539" s="1024" cm="1">
        <f t="array" ref="I539">IFERROR(IF(A539=A538,0,SUM(_xlfn._xlws.FILTER(E539:E548,(A539:A548=A539)*(F539&lt;0)))),0)</f>
        <v>0</v>
      </c>
      <c r="J539" s="293" t="str">
        <f ca="1">IFERROR(_xlfn.XLOOKUP(B539,TabCalc[Ticker],TabCalc[Cur]),"")</f>
        <v>GBp</v>
      </c>
      <c r="K539" s="1023" cm="1">
        <f t="array" ref="K539">IFERROR(IF($A539=$A538,0,SUM(_xlfn._xlws.FILTER($E539:$E549,($A539:$A549=$A539)*($J539:$J549=K$42)))),0)</f>
        <v>0</v>
      </c>
      <c r="L539" s="1023" cm="1">
        <f t="array" ref="L539">IFERROR(IF($A539=$A538,0,SUM(_xlfn._xlws.FILTER($E539:$E549,($A539:$A549=$A539)*($J539:$J549=L$42)))),0)</f>
        <v>0</v>
      </c>
      <c r="M539" s="1023" cm="1">
        <f t="array" ref="M539">IFERROR(IF($A539=$A538,0,SUM(_xlfn._xlws.FILTER($E539:$E549,($A539:$A549=$A539)*($J539:$J549=M$42)))),0)</f>
        <v>0</v>
      </c>
      <c r="N539" s="1023" cm="1">
        <f t="array" ref="N539">IFERROR(IF($A539=$A538,0,SUM(_xlfn._xlws.FILTER($E539:$E549,($A539:$A549=$A539)*($J539:$J549=N$42)))),0)</f>
        <v>0</v>
      </c>
    </row>
    <row r="540" spans="1:14" hidden="1" x14ac:dyDescent="0.3">
      <c r="A540" s="449">
        <v>45936</v>
      </c>
      <c r="B540" s="462" t="s">
        <v>16</v>
      </c>
      <c r="C540" s="451">
        <v>3200</v>
      </c>
      <c r="D540" s="452">
        <v>16.12</v>
      </c>
      <c r="E540" s="1022">
        <f ca="1">IFERROR(C540*D540*_xlfn.XLOOKUP(B540,TabCalc[Ticker],TabCalc[Scale]),0)</f>
        <v>51584</v>
      </c>
      <c r="F540" s="1023" cm="1">
        <f t="array" aca="1" ref="F540" ca="1">IF(A540=A539,0,SUM(_xlfn._xlws.FILTER(E540:E549,A540:A549=A540)))</f>
        <v>49406.600000000006</v>
      </c>
      <c r="G540" s="1024">
        <f ca="1">IF(F540&lt;&gt;0,SUM($F$43:F540),0)</f>
        <v>-2430549.3195729996</v>
      </c>
      <c r="H540" s="1024" cm="1">
        <f t="array" aca="1" ref="H540" ca="1">IFERROR(IF(A540=A539,0,SUM(_xlfn._xlws.FILTER(E540:E549,(A540:A549=A540)*(E540:E549&gt;0)))),0)</f>
        <v>341624</v>
      </c>
      <c r="I540" s="1024" cm="1">
        <f t="array" aca="1" ref="I540" ca="1">IFERROR(IF(A540=A539,0,SUM(_xlfn._xlws.FILTER(E540:E549,(A540:A549=A540)*(F540&lt;0)))),0)</f>
        <v>0</v>
      </c>
      <c r="J540" s="293" t="str">
        <f ca="1">IFERROR(_xlfn.XLOOKUP(B540,TabCalc[Ticker],TabCalc[Cur]),"")</f>
        <v>EUR</v>
      </c>
      <c r="K540" s="1023" cm="1">
        <f t="array" aca="1" ref="K540" ca="1">IFERROR(IF($A540=$A539,0,SUM(_xlfn._xlws.FILTER($E540:$E550,($A540:$A550=$A540)*($J540:$J550=K$42)))),0)</f>
        <v>250544</v>
      </c>
      <c r="L540" s="1023" cm="1">
        <f t="array" aca="1" ref="L540" ca="1">IFERROR(IF($A540=$A539,0,SUM(_xlfn._xlws.FILTER($E540:$E550,($A540:$A550=$A540)*($J540:$J550=L$42)))),0)</f>
        <v>-201137.4</v>
      </c>
      <c r="M540" s="1023" cm="1">
        <f t="array" aca="1" ref="M540" ca="1">IFERROR(IF($A540=$A539,0,SUM(_xlfn._xlws.FILTER($E540:$E550,($A540:$A550=$A540)*($J540:$J550=M$42)))),0)</f>
        <v>0</v>
      </c>
      <c r="N540" s="1023" cm="1">
        <f t="array" aca="1" ref="N540" ca="1">IFERROR(IF($A540=$A539,0,SUM(_xlfn._xlws.FILTER($E540:$E550,($A540:$A550=$A540)*($J540:$J550=N$42)))),0)</f>
        <v>0</v>
      </c>
    </row>
    <row r="541" spans="1:14" hidden="1" x14ac:dyDescent="0.3">
      <c r="A541" s="449">
        <v>45936</v>
      </c>
      <c r="B541" s="462" t="s">
        <v>58</v>
      </c>
      <c r="C541" s="451">
        <v>4000</v>
      </c>
      <c r="D541" s="452">
        <v>15.12</v>
      </c>
      <c r="E541" s="1022">
        <f ca="1">IFERROR(C541*D541*_xlfn.XLOOKUP(B541,TabCalc[Ticker],TabCalc[Scale]),0)</f>
        <v>60480</v>
      </c>
      <c r="F541" s="1023" cm="1">
        <f t="array" ref="F541">IF(A541=A540,0,SUM(_xlfn._xlws.FILTER(E541:E550,A541:A550=A541)))</f>
        <v>0</v>
      </c>
      <c r="G541" s="1024">
        <f>IF(F541&lt;&gt;0,SUM($F$43:F541),0)</f>
        <v>0</v>
      </c>
      <c r="H541" s="1024" cm="1">
        <f t="array" ref="H541">IFERROR(IF(A541=A540,0,SUM(_xlfn._xlws.FILTER(E541:E550,(A541:A550=A541)*(E541:E550&gt;0)))),0)</f>
        <v>0</v>
      </c>
      <c r="I541" s="1024" cm="1">
        <f t="array" ref="I541">IFERROR(IF(A541=A540,0,SUM(_xlfn._xlws.FILTER(E541:E550,(A541:A550=A541)*(F541&lt;0)))),0)</f>
        <v>0</v>
      </c>
      <c r="J541" s="293" t="str">
        <f ca="1">IFERROR(_xlfn.XLOOKUP(B541,TabCalc[Ticker],TabCalc[Cur]),"")</f>
        <v>EUR</v>
      </c>
      <c r="K541" s="1023" cm="1">
        <f t="array" ref="K541">IFERROR(IF($A541=$A540,0,SUM(_xlfn._xlws.FILTER($E541:$E551,($A541:$A551=$A541)*($J541:$J551=K$42)))),0)</f>
        <v>0</v>
      </c>
      <c r="L541" s="1023" cm="1">
        <f t="array" ref="L541">IFERROR(IF($A541=$A540,0,SUM(_xlfn._xlws.FILTER($E541:$E551,($A541:$A551=$A541)*($J541:$J551=L$42)))),0)</f>
        <v>0</v>
      </c>
      <c r="M541" s="1023" cm="1">
        <f t="array" ref="M541">IFERROR(IF($A541=$A540,0,SUM(_xlfn._xlws.FILTER($E541:$E551,($A541:$A551=$A541)*($J541:$J551=M$42)))),0)</f>
        <v>0</v>
      </c>
      <c r="N541" s="1023" cm="1">
        <f t="array" ref="N541">IFERROR(IF($A541=$A540,0,SUM(_xlfn._xlws.FILTER($E541:$E551,($A541:$A551=$A541)*($J541:$J551=N$42)))),0)</f>
        <v>0</v>
      </c>
    </row>
    <row r="542" spans="1:14" hidden="1" x14ac:dyDescent="0.3">
      <c r="A542" s="449">
        <v>45936</v>
      </c>
      <c r="B542" s="462" t="s">
        <v>32</v>
      </c>
      <c r="C542" s="451">
        <v>100</v>
      </c>
      <c r="D542" s="452">
        <v>901.2</v>
      </c>
      <c r="E542" s="1022">
        <f ca="1">IFERROR(C542*D542*_xlfn.XLOOKUP(B542,TabCalc[Ticker],TabCalc[Scale]),0)</f>
        <v>90120</v>
      </c>
      <c r="F542" s="1023" cm="1">
        <f t="array" ref="F542">IF(A542=A541,0,SUM(_xlfn._xlws.FILTER(E542:E551,A542:A551=A542)))</f>
        <v>0</v>
      </c>
      <c r="G542" s="1024">
        <f>IF(F542&lt;&gt;0,SUM($F$43:F542),0)</f>
        <v>0</v>
      </c>
      <c r="H542" s="1024" cm="1">
        <f t="array" ref="H542">IFERROR(IF(A542=A541,0,SUM(_xlfn._xlws.FILTER(E542:E551,(A542:A551=A542)*(E542:E551&gt;0)))),0)</f>
        <v>0</v>
      </c>
      <c r="I542" s="1024" cm="1">
        <f t="array" ref="I542">IFERROR(IF(A542=A541,0,SUM(_xlfn._xlws.FILTER(E542:E551,(A542:A551=A542)*(F542&lt;0)))),0)</f>
        <v>0</v>
      </c>
      <c r="J542" s="293" t="str">
        <f ca="1">IFERROR(_xlfn.XLOOKUP(B542,TabCalc[Ticker],TabCalc[Cur]),"")</f>
        <v>EUR</v>
      </c>
      <c r="K542" s="1023" cm="1">
        <f t="array" ref="K542">IFERROR(IF($A542=$A541,0,SUM(_xlfn._xlws.FILTER($E542:$E552,($A542:$A552=$A542)*($J542:$J552=K$42)))),0)</f>
        <v>0</v>
      </c>
      <c r="L542" s="1023" cm="1">
        <f t="array" ref="L542">IFERROR(IF($A542=$A541,0,SUM(_xlfn._xlws.FILTER($E542:$E552,($A542:$A552=$A542)*($J542:$J552=L$42)))),0)</f>
        <v>0</v>
      </c>
      <c r="M542" s="1023" cm="1">
        <f t="array" ref="M542">IFERROR(IF($A542=$A541,0,SUM(_xlfn._xlws.FILTER($E542:$E552,($A542:$A552=$A542)*($J542:$J552=M$42)))),0)</f>
        <v>0</v>
      </c>
      <c r="N542" s="1023" cm="1">
        <f t="array" ref="N542">IFERROR(IF($A542=$A541,0,SUM(_xlfn._xlws.FILTER($E542:$E552,($A542:$A552=$A542)*($J542:$J552=N$42)))),0)</f>
        <v>0</v>
      </c>
    </row>
    <row r="543" spans="1:14" hidden="1" x14ac:dyDescent="0.3">
      <c r="A543" s="449">
        <v>45936</v>
      </c>
      <c r="B543" s="462" t="s">
        <v>18</v>
      </c>
      <c r="C543" s="451">
        <v>3000</v>
      </c>
      <c r="D543" s="452">
        <v>16.12</v>
      </c>
      <c r="E543" s="1022">
        <f ca="1">IFERROR(C543*D543*_xlfn.XLOOKUP(B543,TabCalc[Ticker],TabCalc[Scale]),0)</f>
        <v>48360</v>
      </c>
      <c r="F543" s="1023" cm="1">
        <f t="array" ref="F543">IF(A543=A542,0,SUM(_xlfn._xlws.FILTER(E543:E552,A543:A552=A543)))</f>
        <v>0</v>
      </c>
      <c r="G543" s="1024">
        <f>IF(F543&lt;&gt;0,SUM($F$43:F543),0)</f>
        <v>0</v>
      </c>
      <c r="H543" s="1024" cm="1">
        <f t="array" ref="H543">IFERROR(IF(A543=A542,0,SUM(_xlfn._xlws.FILTER(E543:E552,(A543:A552=A543)*(E543:E552&gt;0)))),0)</f>
        <v>0</v>
      </c>
      <c r="I543" s="1024" cm="1">
        <f t="array" ref="I543">IFERROR(IF(A543=A542,0,SUM(_xlfn._xlws.FILTER(E543:E552,(A543:A552=A543)*(F543&lt;0)))),0)</f>
        <v>0</v>
      </c>
      <c r="J543" s="293" t="str">
        <f ca="1">IFERROR(_xlfn.XLOOKUP(B543,TabCalc[Ticker],TabCalc[Cur]),"")</f>
        <v>EUR</v>
      </c>
      <c r="K543" s="1023" cm="1">
        <f t="array" ref="K543">IFERROR(IF($A543=$A542,0,SUM(_xlfn._xlws.FILTER($E543:$E553,($A543:$A553=$A543)*($J543:$J553=K$42)))),0)</f>
        <v>0</v>
      </c>
      <c r="L543" s="1023" cm="1">
        <f t="array" ref="L543">IFERROR(IF($A543=$A542,0,SUM(_xlfn._xlws.FILTER($E543:$E553,($A543:$A553=$A543)*($J543:$J553=L$42)))),0)</f>
        <v>0</v>
      </c>
      <c r="M543" s="1023" cm="1">
        <f t="array" ref="M543">IFERROR(IF($A543=$A542,0,SUM(_xlfn._xlws.FILTER($E543:$E553,($A543:$A553=$A543)*($J543:$J553=M$42)))),0)</f>
        <v>0</v>
      </c>
      <c r="N543" s="1023" cm="1">
        <f t="array" ref="N543">IFERROR(IF($A543=$A542,0,SUM(_xlfn._xlws.FILTER($E543:$E553,($A543:$A553=$A543)*($J543:$J553=N$42)))),0)</f>
        <v>0</v>
      </c>
    </row>
    <row r="544" spans="1:14" hidden="1" x14ac:dyDescent="0.3">
      <c r="A544" s="449">
        <v>45936</v>
      </c>
      <c r="B544" s="462" t="s">
        <v>28</v>
      </c>
      <c r="C544" s="451">
        <v>500</v>
      </c>
      <c r="D544" s="452">
        <v>81.84</v>
      </c>
      <c r="E544" s="1022">
        <f ca="1">IFERROR(C544*D544*_xlfn.XLOOKUP(B544,TabCalc[Ticker],TabCalc[Scale]),0)</f>
        <v>40920</v>
      </c>
      <c r="F544" s="1023" cm="1">
        <f t="array" ref="F544">IF(A544=A543,0,SUM(_xlfn._xlws.FILTER(E544:E553,A544:A553=A544)))</f>
        <v>0</v>
      </c>
      <c r="G544" s="1024">
        <f>IF(F544&lt;&gt;0,SUM($F$43:F544),0)</f>
        <v>0</v>
      </c>
      <c r="H544" s="1024" cm="1">
        <f t="array" ref="H544">IFERROR(IF(A544=A543,0,SUM(_xlfn._xlws.FILTER(E544:E553,(A544:A553=A544)*(E544:E553&gt;0)))),0)</f>
        <v>0</v>
      </c>
      <c r="I544" s="1024" cm="1">
        <f t="array" ref="I544">IFERROR(IF(A544=A543,0,SUM(_xlfn._xlws.FILTER(E544:E553,(A544:A553=A544)*(F544&lt;0)))),0)</f>
        <v>0</v>
      </c>
      <c r="J544" s="293" t="str">
        <f ca="1">IFERROR(_xlfn.XLOOKUP(B544,TabCalc[Ticker],TabCalc[Cur]),"")</f>
        <v>USD</v>
      </c>
      <c r="K544" s="1023" cm="1">
        <f t="array" ref="K544">IFERROR(IF($A544=$A543,0,SUM(_xlfn._xlws.FILTER($E544:$E554,($A544:$A554=$A544)*($J544:$J554=K$42)))),0)</f>
        <v>0</v>
      </c>
      <c r="L544" s="1023" cm="1">
        <f t="array" ref="L544">IFERROR(IF($A544=$A543,0,SUM(_xlfn._xlws.FILTER($E544:$E554,($A544:$A554=$A544)*($J544:$J554=L$42)))),0)</f>
        <v>0</v>
      </c>
      <c r="M544" s="1023" cm="1">
        <f t="array" ref="M544">IFERROR(IF($A544=$A543,0,SUM(_xlfn._xlws.FILTER($E544:$E554,($A544:$A554=$A544)*($J544:$J554=M$42)))),0)</f>
        <v>0</v>
      </c>
      <c r="N544" s="1023" cm="1">
        <f t="array" ref="N544">IFERROR(IF($A544=$A543,0,SUM(_xlfn._xlws.FILTER($E544:$E554,($A544:$A554=$A544)*($J544:$J554=N$42)))),0)</f>
        <v>0</v>
      </c>
    </row>
    <row r="545" spans="1:14" hidden="1" x14ac:dyDescent="0.3">
      <c r="A545" s="449">
        <v>45936</v>
      </c>
      <c r="B545" s="462" t="s">
        <v>2584</v>
      </c>
      <c r="C545" s="451">
        <v>5000</v>
      </c>
      <c r="D545" s="452">
        <v>3.08</v>
      </c>
      <c r="E545" s="1022">
        <f ca="1">IFERROR(C545*D545*_xlfn.XLOOKUP(B545,TabCalc[Ticker],TabCalc[Scale]),0)</f>
        <v>15400</v>
      </c>
      <c r="F545" s="1023" cm="1">
        <f t="array" ref="F545">IF(A545=A544,0,SUM(_xlfn._xlws.FILTER(E545:E554,A545:A554=A545)))</f>
        <v>0</v>
      </c>
      <c r="G545" s="1024">
        <f>IF(F545&lt;&gt;0,SUM($F$43:F545),0)</f>
        <v>0</v>
      </c>
      <c r="H545" s="1024" cm="1">
        <f t="array" ref="H545">IFERROR(IF(A545=A544,0,SUM(_xlfn._xlws.FILTER(E545:E554,(A545:A554=A545)*(E545:E554&gt;0)))),0)</f>
        <v>0</v>
      </c>
      <c r="I545" s="1024" cm="1">
        <f t="array" ref="I545">IFERROR(IF(A545=A544,0,SUM(_xlfn._xlws.FILTER(E545:E554,(A545:A554=A545)*(F545&lt;0)))),0)</f>
        <v>0</v>
      </c>
      <c r="J545" s="293" t="str">
        <f ca="1">IFERROR(_xlfn.XLOOKUP(B545,TabCalc[Ticker],TabCalc[Cur]),"")</f>
        <v>USD</v>
      </c>
      <c r="K545" s="1023" cm="1">
        <f t="array" ref="K545">IFERROR(IF($A545=$A544,0,SUM(_xlfn._xlws.FILTER($E545:$E555,($A545:$A555=$A545)*($J545:$J555=K$42)))),0)</f>
        <v>0</v>
      </c>
      <c r="L545" s="1023" cm="1">
        <f t="array" ref="L545">IFERROR(IF($A545=$A544,0,SUM(_xlfn._xlws.FILTER($E545:$E555,($A545:$A555=$A545)*($J545:$J555=L$42)))),0)</f>
        <v>0</v>
      </c>
      <c r="M545" s="1023" cm="1">
        <f t="array" ref="M545">IFERROR(IF($A545=$A544,0,SUM(_xlfn._xlws.FILTER($E545:$E555,($A545:$A555=$A545)*($J545:$J555=M$42)))),0)</f>
        <v>0</v>
      </c>
      <c r="N545" s="1023" cm="1">
        <f t="array" ref="N545">IFERROR(IF($A545=$A544,0,SUM(_xlfn._xlws.FILTER($E545:$E555,($A545:$A555=$A545)*($J545:$J555=N$42)))),0)</f>
        <v>0</v>
      </c>
    </row>
    <row r="546" spans="1:14" hidden="1" x14ac:dyDescent="0.3">
      <c r="A546" s="449">
        <v>45936</v>
      </c>
      <c r="B546" s="462" t="s">
        <v>2585</v>
      </c>
      <c r="C546" s="451">
        <v>530</v>
      </c>
      <c r="D546" s="452">
        <v>-112.98</v>
      </c>
      <c r="E546" s="1022">
        <f ca="1">IFERROR(C546*D546*_xlfn.XLOOKUP(B546,TabCalc[Ticker],TabCalc[Scale]),0)</f>
        <v>-59879.4</v>
      </c>
      <c r="F546" s="1023" cm="1">
        <f t="array" ref="F546">IF(A546=A545,0,SUM(_xlfn._xlws.FILTER(E546:E555,A546:A555=A546)))</f>
        <v>0</v>
      </c>
      <c r="G546" s="1024">
        <f>IF(F546&lt;&gt;0,SUM($F$43:F546),0)</f>
        <v>0</v>
      </c>
      <c r="H546" s="1024" cm="1">
        <f t="array" ref="H546">IFERROR(IF(A546=A545,0,SUM(_xlfn._xlws.FILTER(E546:E555,(A546:A555=A546)*(E546:E555&gt;0)))),0)</f>
        <v>0</v>
      </c>
      <c r="I546" s="1024" cm="1">
        <f t="array" ref="I546">IFERROR(IF(A546=A545,0,SUM(_xlfn._xlws.FILTER(E546:E555,(A546:A555=A546)*(F546&lt;0)))),0)</f>
        <v>0</v>
      </c>
      <c r="J546" s="293" t="str">
        <f ca="1">IFERROR(_xlfn.XLOOKUP(B546,TabCalc[Ticker],TabCalc[Cur]),"")</f>
        <v>USD</v>
      </c>
      <c r="K546" s="1023" cm="1">
        <f t="array" ref="K546">IFERROR(IF($A546=$A545,0,SUM(_xlfn._xlws.FILTER($E546:$E556,($A546:$A556=$A546)*($J546:$J556=K$42)))),0)</f>
        <v>0</v>
      </c>
      <c r="L546" s="1023" cm="1">
        <f t="array" ref="L546">IFERROR(IF($A546=$A545,0,SUM(_xlfn._xlws.FILTER($E546:$E556,($A546:$A556=$A546)*($J546:$J556=L$42)))),0)</f>
        <v>0</v>
      </c>
      <c r="M546" s="1023" cm="1">
        <f t="array" ref="M546">IFERROR(IF($A546=$A545,0,SUM(_xlfn._xlws.FILTER($E546:$E556,($A546:$A556=$A546)*($J546:$J556=M$42)))),0)</f>
        <v>0</v>
      </c>
      <c r="N546" s="1023" cm="1">
        <f t="array" ref="N546">IFERROR(IF($A546=$A545,0,SUM(_xlfn._xlws.FILTER($E546:$E556,($A546:$A556=$A546)*($J546:$J556=N$42)))),0)</f>
        <v>0</v>
      </c>
    </row>
    <row r="547" spans="1:14" hidden="1" x14ac:dyDescent="0.3">
      <c r="A547" s="449">
        <v>45936</v>
      </c>
      <c r="B547" s="462" t="s">
        <v>2587</v>
      </c>
      <c r="C547" s="451">
        <v>200</v>
      </c>
      <c r="D547" s="452">
        <v>-1161.69</v>
      </c>
      <c r="E547" s="1022">
        <f ca="1">IFERROR(C547*D547*_xlfn.XLOOKUP(B547,TabCalc[Ticker],TabCalc[Scale]),0)</f>
        <v>-232338</v>
      </c>
      <c r="F547" s="1023" cm="1">
        <f t="array" ref="F547">IF(A547=A546,0,SUM(_xlfn._xlws.FILTER(E547:E556,A547:A556=A547)))</f>
        <v>0</v>
      </c>
      <c r="G547" s="1024">
        <f>IF(F547&lt;&gt;0,SUM($F$43:F547),0)</f>
        <v>0</v>
      </c>
      <c r="H547" s="1024" cm="1">
        <f t="array" ref="H547">IFERROR(IF(A547=A546,0,SUM(_xlfn._xlws.FILTER(E547:E556,(A547:A556=A547)*(E547:E556&gt;0)))),0)</f>
        <v>0</v>
      </c>
      <c r="I547" s="1024" cm="1">
        <f t="array" ref="I547">IFERROR(IF(A547=A546,0,SUM(_xlfn._xlws.FILTER(E547:E556,(A547:A556=A547)*(F547&lt;0)))),0)</f>
        <v>0</v>
      </c>
      <c r="J547" s="293" t="str">
        <f ca="1">IFERROR(_xlfn.XLOOKUP(B547,TabCalc[Ticker],TabCalc[Cur]),"")</f>
        <v>USD</v>
      </c>
      <c r="K547" s="1023" cm="1">
        <f t="array" ref="K547">IFERROR(IF($A547=$A546,0,SUM(_xlfn._xlws.FILTER($E547:$E557,($A547:$A557=$A547)*($J547:$J557=K$42)))),0)</f>
        <v>0</v>
      </c>
      <c r="L547" s="1023" cm="1">
        <f t="array" ref="L547">IFERROR(IF($A547=$A546,0,SUM(_xlfn._xlws.FILTER($E547:$E557,($A547:$A557=$A547)*($J547:$J557=L$42)))),0)</f>
        <v>0</v>
      </c>
      <c r="M547" s="1023" cm="1">
        <f t="array" ref="M547">IFERROR(IF($A547=$A546,0,SUM(_xlfn._xlws.FILTER($E547:$E557,($A547:$A557=$A547)*($J547:$J557=M$42)))),0)</f>
        <v>0</v>
      </c>
      <c r="N547" s="1023" cm="1">
        <f t="array" ref="N547">IFERROR(IF($A547=$A546,0,SUM(_xlfn._xlws.FILTER($E547:$E557,($A547:$A557=$A547)*($J547:$J557=N$42)))),0)</f>
        <v>0</v>
      </c>
    </row>
    <row r="548" spans="1:14" hidden="1" x14ac:dyDescent="0.3">
      <c r="A548" s="449">
        <v>45936</v>
      </c>
      <c r="B548" s="462" t="s">
        <v>2589</v>
      </c>
      <c r="C548" s="451">
        <v>11000</v>
      </c>
      <c r="D548" s="452">
        <v>3.16</v>
      </c>
      <c r="E548" s="1022">
        <f ca="1">IFERROR(C548*D548*_xlfn.XLOOKUP(B548,TabCalc[Ticker],TabCalc[Scale]),0)</f>
        <v>34760</v>
      </c>
      <c r="F548" s="1023" cm="1">
        <f t="array" ref="F548">IF(A548=A547,0,SUM(_xlfn._xlws.FILTER(E548:E557,A548:A557=A548)))</f>
        <v>0</v>
      </c>
      <c r="G548" s="1024">
        <f>IF(F548&lt;&gt;0,SUM($F$43:F548),0)</f>
        <v>0</v>
      </c>
      <c r="H548" s="1024" cm="1">
        <f t="array" ref="H548">IFERROR(IF(A548=A547,0,SUM(_xlfn._xlws.FILTER(E548:E557,(A548:A557=A548)*(E548:E557&gt;0)))),0)</f>
        <v>0</v>
      </c>
      <c r="I548" s="1024" cm="1">
        <f t="array" ref="I548">IFERROR(IF(A548=A547,0,SUM(_xlfn._xlws.FILTER(E548:E557,(A548:A557=A548)*(F548&lt;0)))),0)</f>
        <v>0</v>
      </c>
      <c r="J548" s="293" t="str">
        <f ca="1">IFERROR(_xlfn.XLOOKUP(B548,TabCalc[Ticker],TabCalc[Cur]),"")</f>
        <v>USD</v>
      </c>
      <c r="K548" s="1023" cm="1">
        <f t="array" ref="K548">IFERROR(IF($A548=$A547,0,SUM(_xlfn._xlws.FILTER($E548:$E558,($A548:$A558=$A548)*($J548:$J558=K$42)))),0)</f>
        <v>0</v>
      </c>
      <c r="L548" s="1023" cm="1">
        <f t="array" ref="L548">IFERROR(IF($A548=$A547,0,SUM(_xlfn._xlws.FILTER($E548:$E558,($A548:$A558=$A548)*($J548:$J558=L$42)))),0)</f>
        <v>0</v>
      </c>
      <c r="M548" s="1023" cm="1">
        <f t="array" ref="M548">IFERROR(IF($A548=$A547,0,SUM(_xlfn._xlws.FILTER($E548:$E558,($A548:$A558=$A548)*($J548:$J558=M$42)))),0)</f>
        <v>0</v>
      </c>
      <c r="N548" s="1023" cm="1">
        <f t="array" ref="N548">IFERROR(IF($A548=$A547,0,SUM(_xlfn._xlws.FILTER($E548:$E558,($A548:$A558=$A548)*($J548:$J558=N$42)))),0)</f>
        <v>0</v>
      </c>
    </row>
    <row r="549" spans="1:14" hidden="1" x14ac:dyDescent="0.3">
      <c r="A549" s="463">
        <v>45937</v>
      </c>
      <c r="B549" s="446" t="s">
        <v>1088</v>
      </c>
      <c r="C549" s="446">
        <v>2500</v>
      </c>
      <c r="D549" s="446">
        <v>7.4</v>
      </c>
      <c r="E549" s="1022">
        <f ca="1">IFERROR(C549*D549*_xlfn.XLOOKUP(B549,TabCalc[Ticker],TabCalc[Scale]),0)</f>
        <v>18500</v>
      </c>
      <c r="F549" s="1023" cm="1">
        <f t="array" aca="1" ref="F549" ca="1">IF(A549=A548,0,SUM(_xlfn._xlws.FILTER(E549:E558,A549:A558=A549)))</f>
        <v>372128</v>
      </c>
      <c r="G549" s="1024">
        <f ca="1">IF(F549&lt;&gt;0,SUM($F$43:F549),0)</f>
        <v>-2058421.3195729996</v>
      </c>
      <c r="H549" s="1024" cm="1">
        <f t="array" aca="1" ref="H549" ca="1">IFERROR(IF(A549=A548,0,SUM(_xlfn._xlws.FILTER(E549:E558,(A549:A558=A549)*(E549:E558&gt;0)))),0)</f>
        <v>372128</v>
      </c>
      <c r="I549" s="1024" cm="1">
        <f t="array" aca="1" ref="I549" ca="1">IFERROR(IF(A549=A548,0,SUM(_xlfn._xlws.FILTER(E549:E558,(A549:A558=A549)*(F549&lt;0)))),0)</f>
        <v>0</v>
      </c>
      <c r="J549" s="293" t="str">
        <f ca="1">IFERROR(_xlfn.XLOOKUP(B549,TabCalc[Ticker],TabCalc[Cur]),"")</f>
        <v>USD</v>
      </c>
      <c r="K549" s="1023" cm="1">
        <f t="array" aca="1" ref="K549" ca="1">IFERROR(IF($A549=$A548,0,SUM(_xlfn._xlws.FILTER($E549:$E559,($A549:$A559=$A549)*($J549:$J559=K$42)))),0)</f>
        <v>0</v>
      </c>
      <c r="L549" s="1023" cm="1">
        <f t="array" aca="1" ref="L549" ca="1">IFERROR(IF($A549=$A548,0,SUM(_xlfn._xlws.FILTER($E549:$E559,($A549:$A559=$A549)*($J549:$J559=L$42)))),0)</f>
        <v>372128</v>
      </c>
      <c r="M549" s="1023" cm="1">
        <f t="array" aca="1" ref="M549" ca="1">IFERROR(IF($A549=$A548,0,SUM(_xlfn._xlws.FILTER($E549:$E559,($A549:$A559=$A549)*($J549:$J559=M$42)))),0)</f>
        <v>0</v>
      </c>
      <c r="N549" s="1023" cm="1">
        <f t="array" aca="1" ref="N549" ca="1">IFERROR(IF($A549=$A548,0,SUM(_xlfn._xlws.FILTER($E549:$E559,($A549:$A559=$A549)*($J549:$J559=N$42)))),0)</f>
        <v>0</v>
      </c>
    </row>
    <row r="550" spans="1:14" hidden="1" x14ac:dyDescent="0.3">
      <c r="A550" s="463">
        <v>45937</v>
      </c>
      <c r="B550" s="446" t="s">
        <v>66</v>
      </c>
      <c r="C550" s="446">
        <v>150</v>
      </c>
      <c r="D550" s="446">
        <v>260</v>
      </c>
      <c r="E550" s="1022">
        <f ca="1">IFERROR(C550*D550*_xlfn.XLOOKUP(B550,TabCalc[Ticker],TabCalc[Scale]),0)</f>
        <v>39000</v>
      </c>
      <c r="F550" s="1023" cm="1">
        <f t="array" ref="F550">IF(A550=A549,0,SUM(_xlfn._xlws.FILTER(E550:E559,A550:A559=A550)))</f>
        <v>0</v>
      </c>
      <c r="G550" s="1024">
        <f>IF(F550&lt;&gt;0,SUM($F$43:F550),0)</f>
        <v>0</v>
      </c>
      <c r="H550" s="1024" cm="1">
        <f t="array" ref="H550">IFERROR(IF(A550=A549,0,SUM(_xlfn._xlws.FILTER(E550:E559,(A550:A559=A550)*(E550:E559&gt;0)))),0)</f>
        <v>0</v>
      </c>
      <c r="I550" s="1024" cm="1">
        <f t="array" ref="I550">IFERROR(IF(A550=A549,0,SUM(_xlfn._xlws.FILTER(E550:E559,(A550:A559=A550)*(F550&lt;0)))),0)</f>
        <v>0</v>
      </c>
      <c r="J550" s="293" t="str">
        <f ca="1">IFERROR(_xlfn.XLOOKUP(B550,TabCalc[Ticker],TabCalc[Cur]),"")</f>
        <v>USD</v>
      </c>
      <c r="K550" s="1023" cm="1">
        <f t="array" ref="K550">IFERROR(IF($A550=$A549,0,SUM(_xlfn._xlws.FILTER($E550:$E560,($A550:$A560=$A550)*($J550:$J560=K$42)))),0)</f>
        <v>0</v>
      </c>
      <c r="L550" s="1023" cm="1">
        <f t="array" ref="L550">IFERROR(IF($A550=$A549,0,SUM(_xlfn._xlws.FILTER($E550:$E560,($A550:$A560=$A550)*($J550:$J560=L$42)))),0)</f>
        <v>0</v>
      </c>
      <c r="M550" s="1023" cm="1">
        <f t="array" ref="M550">IFERROR(IF($A550=$A549,0,SUM(_xlfn._xlws.FILTER($E550:$E560,($A550:$A560=$A550)*($J550:$J560=M$42)))),0)</f>
        <v>0</v>
      </c>
      <c r="N550" s="1023" cm="1">
        <f t="array" ref="N550">IFERROR(IF($A550=$A549,0,SUM(_xlfn._xlws.FILTER($E550:$E560,($A550:$A560=$A550)*($J550:$J560=N$42)))),0)</f>
        <v>0</v>
      </c>
    </row>
    <row r="551" spans="1:14" hidden="1" x14ac:dyDescent="0.3">
      <c r="A551" s="463">
        <v>45937</v>
      </c>
      <c r="B551" s="446" t="s">
        <v>27</v>
      </c>
      <c r="C551" s="446">
        <v>150</v>
      </c>
      <c r="D551" s="446">
        <v>523.91999999999996</v>
      </c>
      <c r="E551" s="1022">
        <f ca="1">IFERROR(C551*D551*_xlfn.XLOOKUP(B551,TabCalc[Ticker],TabCalc[Scale]),0)</f>
        <v>78588</v>
      </c>
      <c r="F551" s="1023" cm="1">
        <f t="array" ref="F551">IF(A551=A550,0,SUM(_xlfn._xlws.FILTER(E551:E560,A551:A560=A551)))</f>
        <v>0</v>
      </c>
      <c r="G551" s="1024">
        <f>IF(F551&lt;&gt;0,SUM($F$43:F551),0)</f>
        <v>0</v>
      </c>
      <c r="H551" s="1024" cm="1">
        <f t="array" ref="H551">IFERROR(IF(A551=A550,0,SUM(_xlfn._xlws.FILTER(E551:E560,(A551:A560=A551)*(E551:E560&gt;0)))),0)</f>
        <v>0</v>
      </c>
      <c r="I551" s="1024" cm="1">
        <f t="array" ref="I551">IFERROR(IF(A551=A550,0,SUM(_xlfn._xlws.FILTER(E551:E560,(A551:A560=A551)*(F551&lt;0)))),0)</f>
        <v>0</v>
      </c>
      <c r="J551" s="293" t="str">
        <f ca="1">IFERROR(_xlfn.XLOOKUP(B551,TabCalc[Ticker],TabCalc[Cur]),"")</f>
        <v>USD</v>
      </c>
      <c r="K551" s="1023" cm="1">
        <f t="array" ref="K551">IFERROR(IF($A551=$A550,0,SUM(_xlfn._xlws.FILTER($E551:$E561,($A551:$A561=$A551)*($J551:$J561=K$42)))),0)</f>
        <v>0</v>
      </c>
      <c r="L551" s="1023" cm="1">
        <f t="array" ref="L551">IFERROR(IF($A551=$A550,0,SUM(_xlfn._xlws.FILTER($E551:$E561,($A551:$A561=$A551)*($J551:$J561=L$42)))),0)</f>
        <v>0</v>
      </c>
      <c r="M551" s="1023" cm="1">
        <f t="array" ref="M551">IFERROR(IF($A551=$A550,0,SUM(_xlfn._xlws.FILTER($E551:$E561,($A551:$A561=$A551)*($J551:$J561=M$42)))),0)</f>
        <v>0</v>
      </c>
      <c r="N551" s="1023" cm="1">
        <f t="array" ref="N551">IFERROR(IF($A551=$A550,0,SUM(_xlfn._xlws.FILTER($E551:$E561,($A551:$A561=$A551)*($J551:$J561=N$42)))),0)</f>
        <v>0</v>
      </c>
    </row>
    <row r="552" spans="1:14" hidden="1" x14ac:dyDescent="0.3">
      <c r="A552" s="463">
        <v>45937</v>
      </c>
      <c r="B552" s="446" t="s">
        <v>88</v>
      </c>
      <c r="C552" s="446">
        <v>1000</v>
      </c>
      <c r="D552" s="446">
        <v>204.54</v>
      </c>
      <c r="E552" s="1022">
        <f ca="1">IFERROR(C552*D552*_xlfn.XLOOKUP(B552,TabCalc[Ticker],TabCalc[Scale]),0)</f>
        <v>204540</v>
      </c>
      <c r="F552" s="1023" cm="1">
        <f t="array" ref="F552">IF(A552=A551,0,SUM(_xlfn._xlws.FILTER(E552:E561,A552:A561=A552)))</f>
        <v>0</v>
      </c>
      <c r="G552" s="1024">
        <f>IF(F552&lt;&gt;0,SUM($F$43:F552),0)</f>
        <v>0</v>
      </c>
      <c r="H552" s="1024" cm="1">
        <f t="array" ref="H552">IFERROR(IF(A552=A551,0,SUM(_xlfn._xlws.FILTER(E552:E561,(A552:A561=A552)*(E552:E561&gt;0)))),0)</f>
        <v>0</v>
      </c>
      <c r="I552" s="1024" cm="1">
        <f t="array" ref="I552">IFERROR(IF(A552=A551,0,SUM(_xlfn._xlws.FILTER(E552:E561,(A552:A561=A552)*(F552&lt;0)))),0)</f>
        <v>0</v>
      </c>
      <c r="J552" s="293" t="str">
        <f ca="1">IFERROR(_xlfn.XLOOKUP(B552,TabCalc[Ticker],TabCalc[Cur]),"")</f>
        <v>USD</v>
      </c>
      <c r="K552" s="1023" cm="1">
        <f t="array" ref="K552">IFERROR(IF($A552=$A551,0,SUM(_xlfn._xlws.FILTER($E552:$E562,($A552:$A562=$A552)*($J552:$J562=K$42)))),0)</f>
        <v>0</v>
      </c>
      <c r="L552" s="1023" cm="1">
        <f t="array" ref="L552">IFERROR(IF($A552=$A551,0,SUM(_xlfn._xlws.FILTER($E552:$E562,($A552:$A562=$A552)*($J552:$J562=L$42)))),0)</f>
        <v>0</v>
      </c>
      <c r="M552" s="1023" cm="1">
        <f t="array" ref="M552">IFERROR(IF($A552=$A551,0,SUM(_xlfn._xlws.FILTER($E552:$E562,($A552:$A562=$A552)*($J552:$J562=M$42)))),0)</f>
        <v>0</v>
      </c>
      <c r="N552" s="1023" cm="1">
        <f t="array" ref="N552">IFERROR(IF($A552=$A551,0,SUM(_xlfn._xlws.FILTER($E552:$E562,($A552:$A562=$A552)*($J552:$J562=N$42)))),0)</f>
        <v>0</v>
      </c>
    </row>
    <row r="553" spans="1:14" hidden="1" x14ac:dyDescent="0.3">
      <c r="A553" s="463">
        <v>45937</v>
      </c>
      <c r="B553" s="446" t="s">
        <v>11</v>
      </c>
      <c r="C553" s="446">
        <v>10000</v>
      </c>
      <c r="D553" s="446">
        <v>3.15</v>
      </c>
      <c r="E553" s="1022">
        <f ca="1">IFERROR(C553*D553*_xlfn.XLOOKUP(B553,TabCalc[Ticker],TabCalc[Scale]),0)</f>
        <v>31500</v>
      </c>
      <c r="F553" s="1023" cm="1">
        <f t="array" ref="F553">IF(A553=A552,0,SUM(_xlfn._xlws.FILTER(E553:E562,A553:A562=A553)))</f>
        <v>0</v>
      </c>
      <c r="G553" s="1024">
        <f>IF(F553&lt;&gt;0,SUM($F$43:F553),0)</f>
        <v>0</v>
      </c>
      <c r="H553" s="1024" cm="1">
        <f t="array" ref="H553">IFERROR(IF(A553=A552,0,SUM(_xlfn._xlws.FILTER(E553:E562,(A553:A562=A553)*(E553:E562&gt;0)))),0)</f>
        <v>0</v>
      </c>
      <c r="I553" s="1024" cm="1">
        <f t="array" ref="I553">IFERROR(IF(A553=A552,0,SUM(_xlfn._xlws.FILTER(E553:E562,(A553:A562=A553)*(F553&lt;0)))),0)</f>
        <v>0</v>
      </c>
      <c r="J553" s="293" t="str">
        <f ca="1">IFERROR(_xlfn.XLOOKUP(B553,TabCalc[Ticker],TabCalc[Cur]),"")</f>
        <v>USD</v>
      </c>
      <c r="K553" s="1023" cm="1">
        <f t="array" ref="K553">IFERROR(IF($A553=$A552,0,SUM(_xlfn._xlws.FILTER($E553:$E563,($A553:$A563=$A553)*($J553:$J563=K$42)))),0)</f>
        <v>0</v>
      </c>
      <c r="L553" s="1023" cm="1">
        <f t="array" ref="L553">IFERROR(IF($A553=$A552,0,SUM(_xlfn._xlws.FILTER($E553:$E563,($A553:$A563=$A553)*($J553:$J563=L$42)))),0)</f>
        <v>0</v>
      </c>
      <c r="M553" s="1023" cm="1">
        <f t="array" ref="M553">IFERROR(IF($A553=$A552,0,SUM(_xlfn._xlws.FILTER($E553:$E563,($A553:$A563=$A553)*($J553:$J563=M$42)))),0)</f>
        <v>0</v>
      </c>
      <c r="N553" s="1023" cm="1">
        <f t="array" ref="N553">IFERROR(IF($A553=$A552,0,SUM(_xlfn._xlws.FILTER($E553:$E563,($A553:$A563=$A553)*($J553:$J563=N$42)))),0)</f>
        <v>0</v>
      </c>
    </row>
    <row r="554" spans="1:14" hidden="1" x14ac:dyDescent="0.3">
      <c r="A554" s="449">
        <v>45938</v>
      </c>
      <c r="B554" s="462" t="s">
        <v>22</v>
      </c>
      <c r="C554" s="451">
        <v>10000</v>
      </c>
      <c r="D554" s="452">
        <v>397.01</v>
      </c>
      <c r="E554" s="1022">
        <f ca="1">IFERROR(C554*D554*_xlfn.XLOOKUP(B554,TabCalc[Ticker],TabCalc[Scale]),0)</f>
        <v>39701</v>
      </c>
      <c r="F554" s="1023" cm="1">
        <f t="array" aca="1" ref="F554" ca="1">IF(A554=A553,0,SUM(_xlfn._xlws.FILTER(E554:E563,A554:A563=A554)))</f>
        <v>-16692</v>
      </c>
      <c r="G554" s="1024">
        <f ca="1">IF(F554&lt;&gt;0,SUM($F$43:F554),0)</f>
        <v>-2075113.3195729996</v>
      </c>
      <c r="H554" s="1024" cm="1">
        <f t="array" aca="1" ref="H554" ca="1">IFERROR(IF(A554=A553,0,SUM(_xlfn._xlws.FILTER(E554:E563,(A554:A563=A554)*(E554:E563&gt;0)))),0)</f>
        <v>151940</v>
      </c>
      <c r="I554" s="1024" cm="1">
        <f t="array" aca="1" ref="I554" ca="1">IFERROR(IF(A554=A553,0,SUM(_xlfn._xlws.FILTER(E554:E563,(A554:A563=A554)*(F554&lt;0)))),0)</f>
        <v>-16692</v>
      </c>
      <c r="J554" s="293" t="str">
        <f ca="1">IFERROR(_xlfn.XLOOKUP(B554,TabCalc[Ticker],TabCalc[Cur]),"")</f>
        <v>GBp</v>
      </c>
      <c r="K554" s="1023" cm="1">
        <f t="array" aca="1" ref="K554" ca="1">IFERROR(IF($A554=$A553,0,SUM(_xlfn._xlws.FILTER($E554:$E564,($A554:$A564=$A554)*($J554:$J564=K$42)))),0)</f>
        <v>-49980</v>
      </c>
      <c r="L554" s="1023" cm="1">
        <f t="array" aca="1" ref="L554" ca="1">IFERROR(IF($A554=$A553,0,SUM(_xlfn._xlws.FILTER($E554:$E564,($A554:$A564=$A554)*($J554:$J564=L$42)))),0)</f>
        <v>-6413</v>
      </c>
      <c r="M554" s="1023" cm="1">
        <f t="array" aca="1" ref="M554" ca="1">IFERROR(IF($A554=$A553,0,SUM(_xlfn._xlws.FILTER($E554:$E564,($A554:$A564=$A554)*($J554:$J564=M$42)))),0)</f>
        <v>39701</v>
      </c>
      <c r="N554" s="1023" cm="1">
        <f t="array" aca="1" ref="N554" ca="1">IFERROR(IF($A554=$A553,0,SUM(_xlfn._xlws.FILTER($E554:$E564,($A554:$A564=$A554)*($J554:$J564=N$42)))),0)</f>
        <v>0</v>
      </c>
    </row>
    <row r="555" spans="1:14" hidden="1" x14ac:dyDescent="0.3">
      <c r="A555" s="449">
        <v>45938</v>
      </c>
      <c r="B555" s="462" t="s">
        <v>60</v>
      </c>
      <c r="C555" s="451">
        <v>2000</v>
      </c>
      <c r="D555" s="452">
        <v>-54.13</v>
      </c>
      <c r="E555" s="1022">
        <f ca="1">IFERROR(C555*D555*_xlfn.XLOOKUP(B555,TabCalc[Ticker],TabCalc[Scale]),0)</f>
        <v>-108260</v>
      </c>
      <c r="F555" s="1023" cm="1">
        <f t="array" ref="F555">IF(A555=A554,0,SUM(_xlfn._xlws.FILTER(E555:E564,A555:A564=A555)))</f>
        <v>0</v>
      </c>
      <c r="G555" s="1024">
        <f>IF(F555&lt;&gt;0,SUM($F$43:F555),0)</f>
        <v>0</v>
      </c>
      <c r="H555" s="1024" cm="1">
        <f t="array" ref="H555">IFERROR(IF(A555=A554,0,SUM(_xlfn._xlws.FILTER(E555:E564,(A555:A564=A555)*(E555:E564&gt;0)))),0)</f>
        <v>0</v>
      </c>
      <c r="I555" s="1024" cm="1">
        <f t="array" ref="I555">IFERROR(IF(A555=A554,0,SUM(_xlfn._xlws.FILTER(E555:E564,(A555:A564=A555)*(F555&lt;0)))),0)</f>
        <v>0</v>
      </c>
      <c r="J555" s="293" t="str">
        <f ca="1">IFERROR(_xlfn.XLOOKUP(B555,TabCalc[Ticker],TabCalc[Cur]),"")</f>
        <v>EUR</v>
      </c>
      <c r="K555" s="1023" cm="1">
        <f t="array" ref="K555">IFERROR(IF($A555=$A554,0,SUM(_xlfn._xlws.FILTER($E555:$E565,($A555:$A565=$A555)*($J555:$J565=K$42)))),0)</f>
        <v>0</v>
      </c>
      <c r="L555" s="1023" cm="1">
        <f t="array" ref="L555">IFERROR(IF($A555=$A554,0,SUM(_xlfn._xlws.FILTER($E555:$E565,($A555:$A565=$A555)*($J555:$J565=L$42)))),0)</f>
        <v>0</v>
      </c>
      <c r="M555" s="1023" cm="1">
        <f t="array" ref="M555">IFERROR(IF($A555=$A554,0,SUM(_xlfn._xlws.FILTER($E555:$E565,($A555:$A565=$A555)*($J555:$J565=M$42)))),0)</f>
        <v>0</v>
      </c>
      <c r="N555" s="1023" cm="1">
        <f t="array" ref="N555">IFERROR(IF($A555=$A554,0,SUM(_xlfn._xlws.FILTER($E555:$E565,($A555:$A565=$A555)*($J555:$J565=N$42)))),0)</f>
        <v>0</v>
      </c>
    </row>
    <row r="556" spans="1:14" hidden="1" x14ac:dyDescent="0.3">
      <c r="A556" s="449">
        <v>45938</v>
      </c>
      <c r="B556" s="462" t="s">
        <v>13</v>
      </c>
      <c r="C556" s="451">
        <v>2000</v>
      </c>
      <c r="D556" s="452">
        <v>29.14</v>
      </c>
      <c r="E556" s="1022">
        <f ca="1">IFERROR(C556*D556*_xlfn.XLOOKUP(B556,TabCalc[Ticker],TabCalc[Scale]),0)</f>
        <v>58280</v>
      </c>
      <c r="F556" s="1023" cm="1">
        <f t="array" ref="F556">IF(A556=A555,0,SUM(_xlfn._xlws.FILTER(E556:E565,A556:A565=A556)))</f>
        <v>0</v>
      </c>
      <c r="G556" s="1024">
        <f>IF(F556&lt;&gt;0,SUM($F$43:F556),0)</f>
        <v>0</v>
      </c>
      <c r="H556" s="1024" cm="1">
        <f t="array" ref="H556">IFERROR(IF(A556=A555,0,SUM(_xlfn._xlws.FILTER(E556:E565,(A556:A565=A556)*(E556:E565&gt;0)))),0)</f>
        <v>0</v>
      </c>
      <c r="I556" s="1024" cm="1">
        <f t="array" ref="I556">IFERROR(IF(A556=A555,0,SUM(_xlfn._xlws.FILTER(E556:E565,(A556:A565=A556)*(F556&lt;0)))),0)</f>
        <v>0</v>
      </c>
      <c r="J556" s="293" t="str">
        <f ca="1">IFERROR(_xlfn.XLOOKUP(B556,TabCalc[Ticker],TabCalc[Cur]),"")</f>
        <v>EUR</v>
      </c>
      <c r="K556" s="1023" cm="1">
        <f t="array" ref="K556">IFERROR(IF($A556=$A555,0,SUM(_xlfn._xlws.FILTER($E556:$E566,($A556:$A566=$A556)*($J556:$J566=K$42)))),0)</f>
        <v>0</v>
      </c>
      <c r="L556" s="1023" cm="1">
        <f t="array" ref="L556">IFERROR(IF($A556=$A555,0,SUM(_xlfn._xlws.FILTER($E556:$E566,($A556:$A566=$A556)*($J556:$J566=L$42)))),0)</f>
        <v>0</v>
      </c>
      <c r="M556" s="1023" cm="1">
        <f t="array" ref="M556">IFERROR(IF($A556=$A555,0,SUM(_xlfn._xlws.FILTER($E556:$E566,($A556:$A566=$A556)*($J556:$J566=M$42)))),0)</f>
        <v>0</v>
      </c>
      <c r="N556" s="1023" cm="1">
        <f t="array" ref="N556">IFERROR(IF($A556=$A555,0,SUM(_xlfn._xlws.FILTER($E556:$E566,($A556:$A566=$A556)*($J556:$J566=N$42)))),0)</f>
        <v>0</v>
      </c>
    </row>
    <row r="557" spans="1:14" hidden="1" x14ac:dyDescent="0.3">
      <c r="A557" s="449">
        <v>45938</v>
      </c>
      <c r="B557" s="462" t="s">
        <v>88</v>
      </c>
      <c r="C557" s="451">
        <v>300</v>
      </c>
      <c r="D557" s="452">
        <v>-201.24</v>
      </c>
      <c r="E557" s="1022">
        <f ca="1">IFERROR(C557*D557*_xlfn.XLOOKUP(B557,TabCalc[Ticker],TabCalc[Scale]),0)</f>
        <v>-60372</v>
      </c>
      <c r="F557" s="1023" cm="1">
        <f t="array" ref="F557">IF(A557=A556,0,SUM(_xlfn._xlws.FILTER(E557:E566,A557:A566=A557)))</f>
        <v>0</v>
      </c>
      <c r="G557" s="1024">
        <f>IF(F557&lt;&gt;0,SUM($F$43:F557),0)</f>
        <v>0</v>
      </c>
      <c r="H557" s="1024" cm="1">
        <f t="array" ref="H557">IFERROR(IF(A557=A556,0,SUM(_xlfn._xlws.FILTER(E557:E566,(A557:A566=A557)*(E557:E566&gt;0)))),0)</f>
        <v>0</v>
      </c>
      <c r="I557" s="1024" cm="1">
        <f t="array" ref="I557">IFERROR(IF(A557=A556,0,SUM(_xlfn._xlws.FILTER(E557:E566,(A557:A566=A557)*(F557&lt;0)))),0)</f>
        <v>0</v>
      </c>
      <c r="J557" s="293" t="str">
        <f ca="1">IFERROR(_xlfn.XLOOKUP(B557,TabCalc[Ticker],TabCalc[Cur]),"")</f>
        <v>USD</v>
      </c>
      <c r="K557" s="1023" cm="1">
        <f t="array" ref="K557">IFERROR(IF($A557=$A556,0,SUM(_xlfn._xlws.FILTER($E557:$E567,($A557:$A567=$A557)*($J557:$J567=K$42)))),0)</f>
        <v>0</v>
      </c>
      <c r="L557" s="1023" cm="1">
        <f t="array" ref="L557">IFERROR(IF($A557=$A556,0,SUM(_xlfn._xlws.FILTER($E557:$E567,($A557:$A567=$A557)*($J557:$J567=L$42)))),0)</f>
        <v>0</v>
      </c>
      <c r="M557" s="1023" cm="1">
        <f t="array" ref="M557">IFERROR(IF($A557=$A556,0,SUM(_xlfn._xlws.FILTER($E557:$E567,($A557:$A567=$A557)*($J557:$J567=M$42)))),0)</f>
        <v>0</v>
      </c>
      <c r="N557" s="1023" cm="1">
        <f t="array" ref="N557">IFERROR(IF($A557=$A556,0,SUM(_xlfn._xlws.FILTER($E557:$E567,($A557:$A567=$A557)*($J557:$J567=N$42)))),0)</f>
        <v>0</v>
      </c>
    </row>
    <row r="558" spans="1:14" hidden="1" x14ac:dyDescent="0.3">
      <c r="A558" s="449">
        <v>45938</v>
      </c>
      <c r="B558" s="462" t="s">
        <v>20</v>
      </c>
      <c r="C558" s="451">
        <v>1200</v>
      </c>
      <c r="D558" s="452">
        <v>26.07</v>
      </c>
      <c r="E558" s="1022">
        <f ca="1">IFERROR(C558*D558*_xlfn.XLOOKUP(B558,TabCalc[Ticker],TabCalc[Scale]),0)</f>
        <v>31284</v>
      </c>
      <c r="F558" s="1023" cm="1">
        <f t="array" ref="F558">IF(A558=A557,0,SUM(_xlfn._xlws.FILTER(E558:E567,A558:A567=A558)))</f>
        <v>0</v>
      </c>
      <c r="G558" s="1024">
        <f>IF(F558&lt;&gt;0,SUM($F$43:F558),0)</f>
        <v>0</v>
      </c>
      <c r="H558" s="1024" cm="1">
        <f t="array" ref="H558">IFERROR(IF(A558=A557,0,SUM(_xlfn._xlws.FILTER(E558:E567,(A558:A567=A558)*(E558:E567&gt;0)))),0)</f>
        <v>0</v>
      </c>
      <c r="I558" s="1024" cm="1">
        <f t="array" ref="I558">IFERROR(IF(A558=A557,0,SUM(_xlfn._xlws.FILTER(E558:E567,(A558:A567=A558)*(F558&lt;0)))),0)</f>
        <v>0</v>
      </c>
      <c r="J558" s="293" t="str">
        <f ca="1">IFERROR(_xlfn.XLOOKUP(B558,TabCalc[Ticker],TabCalc[Cur]),"")</f>
        <v>USD</v>
      </c>
      <c r="K558" s="1023" cm="1">
        <f t="array" ref="K558">IFERROR(IF($A558=$A557,0,SUM(_xlfn._xlws.FILTER($E558:$E568,($A558:$A568=$A558)*($J558:$J568=K$42)))),0)</f>
        <v>0</v>
      </c>
      <c r="L558" s="1023" cm="1">
        <f t="array" ref="L558">IFERROR(IF($A558=$A557,0,SUM(_xlfn._xlws.FILTER($E558:$E568,($A558:$A568=$A558)*($J558:$J568=L$42)))),0)</f>
        <v>0</v>
      </c>
      <c r="M558" s="1023" cm="1">
        <f t="array" ref="M558">IFERROR(IF($A558=$A557,0,SUM(_xlfn._xlws.FILTER($E558:$E568,($A558:$A568=$A558)*($J558:$J568=M$42)))),0)</f>
        <v>0</v>
      </c>
      <c r="N558" s="1023"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23" cm="1">
        <f t="array" ref="F559">IF(A559=A558,0,SUM(_xlfn._xlws.FILTER(E559:E568,A559:A568=A559)))</f>
        <v>0</v>
      </c>
      <c r="G559" s="1024">
        <f>IF(F559&lt;&gt;0,SUM($F$43:F559),0)</f>
        <v>0</v>
      </c>
      <c r="H559" s="1024" cm="1">
        <f t="array" ref="H559">IFERROR(IF(A559=A558,0,SUM(_xlfn._xlws.FILTER(E559:E568,(A559:A568=A559)*(E559:E568&gt;0)))),0)</f>
        <v>0</v>
      </c>
      <c r="I559" s="1024" cm="1">
        <f t="array" ref="I559">IFERROR(IF(A559=A558,0,SUM(_xlfn._xlws.FILTER(E559:E568,(A559:A568=A559)*(F559&lt;0)))),0)</f>
        <v>0</v>
      </c>
      <c r="J559" s="293" t="str">
        <f ca="1">IFERROR(_xlfn.XLOOKUP(B559,TabCalc[Ticker],TabCalc[Cur]),"")</f>
        <v>USD</v>
      </c>
      <c r="K559" s="1023" cm="1">
        <f t="array" ref="K559">IFERROR(IF($A559=$A558,0,SUM(_xlfn._xlws.FILTER($E559:$E569,($A559:$A569=$A559)*($J559:$J569=K$42)))),0)</f>
        <v>0</v>
      </c>
      <c r="L559" s="1023" cm="1">
        <f t="array" ref="L559">IFERROR(IF($A559=$A558,0,SUM(_xlfn._xlws.FILTER($E559:$E569,($A559:$A569=$A559)*($J559:$J569=L$42)))),0)</f>
        <v>0</v>
      </c>
      <c r="M559" s="1023" cm="1">
        <f t="array" ref="M559">IFERROR(IF($A559=$A558,0,SUM(_xlfn._xlws.FILTER($E559:$E569,($A559:$A569=$A559)*($J559:$J569=M$42)))),0)</f>
        <v>0</v>
      </c>
      <c r="N559" s="1023" cm="1">
        <f t="array" ref="N559">IFERROR(IF($A559=$A558,0,SUM(_xlfn._xlws.FILTER($E559:$E569,($A559:$A569=$A559)*($J559:$J569=N$42)))),0)</f>
        <v>0</v>
      </c>
    </row>
    <row r="560" spans="1:14" hidden="1" x14ac:dyDescent="0.3">
      <c r="A560" s="463">
        <v>45939</v>
      </c>
      <c r="B560" s="446" t="s">
        <v>60</v>
      </c>
      <c r="C560" s="446">
        <v>2000</v>
      </c>
      <c r="D560" s="464">
        <v>-54.68</v>
      </c>
      <c r="E560" s="1022">
        <f ca="1">IFERROR(C560*D560*_xlfn.XLOOKUP(B560,TabCalc[Ticker],TabCalc[Scale]),0)</f>
        <v>-109360</v>
      </c>
      <c r="F560" s="1023" cm="1">
        <f t="array" aca="1" ref="F560" ca="1">IF(A560=A559,0,SUM(_xlfn._xlws.FILTER(E560:E569,A560:A569=A560)))</f>
        <v>213347.40000000002</v>
      </c>
      <c r="G560" s="1024">
        <f ca="1">IF(F560&lt;&gt;0,SUM($F$43:F560),0)</f>
        <v>-1861765.9195729997</v>
      </c>
      <c r="H560" s="1024" cm="1">
        <f t="array" aca="1" ref="H560" ca="1">IFERROR(IF(A560=A559,0,SUM(_xlfn._xlws.FILTER(E560:E569,(A560:A569=A560)*(E560:E569&gt;0)))),0)</f>
        <v>382743.4</v>
      </c>
      <c r="I560" s="1024" cm="1">
        <f t="array" aca="1" ref="I560" ca="1">IFERROR(IF(A560=A559,0,SUM(_xlfn._xlws.FILTER(E560:E569,(A560:A569=A560)*(F560&lt;0)))),0)</f>
        <v>0</v>
      </c>
      <c r="J560" s="293" t="str">
        <f ca="1">IFERROR(_xlfn.XLOOKUP(B560,TabCalc[Ticker],TabCalc[Cur]),"")</f>
        <v>EUR</v>
      </c>
      <c r="K560" s="1023" cm="1">
        <f t="array" aca="1" ref="K560" ca="1">IFERROR(IF($A560=$A559,0,SUM(_xlfn._xlws.FILTER($E560:$E570,($A560:$A570=$A560)*($J560:$J570=K$42)))),0)</f>
        <v>-109360</v>
      </c>
      <c r="L560" s="1023" cm="1">
        <f t="array" aca="1" ref="L560" ca="1">IFERROR(IF($A560=$A559,0,SUM(_xlfn._xlws.FILTER($E560:$E570,($A560:$A570=$A560)*($J560:$J570=L$42)))),0)</f>
        <v>195337.40000000002</v>
      </c>
      <c r="M560" s="1023" cm="1">
        <f t="array" aca="1" ref="M560" ca="1">IFERROR(IF($A560=$A559,0,SUM(_xlfn._xlws.FILTER($E560:$E570,($A560:$A570=$A560)*($J560:$J570=M$42)))),0)</f>
        <v>32270</v>
      </c>
      <c r="N560" s="1023" cm="1">
        <f t="array" aca="1" ref="N560" ca="1">IFERROR(IF($A560=$A559,0,SUM(_xlfn._xlws.FILTER($E560:$E570,($A560:$A570=$A560)*($J560:$J570=N$42)))),0)</f>
        <v>61800</v>
      </c>
    </row>
    <row r="561" spans="1:14" hidden="1" x14ac:dyDescent="0.3">
      <c r="A561" s="463">
        <v>45939</v>
      </c>
      <c r="B561" s="446" t="s">
        <v>48</v>
      </c>
      <c r="C561" s="446">
        <v>1000</v>
      </c>
      <c r="D561" s="464">
        <v>61.8</v>
      </c>
      <c r="E561" s="1022">
        <f ca="1">IFERROR(C561*D561*_xlfn.XLOOKUP(B561,TabCalc[Ticker],TabCalc[Scale]),0)</f>
        <v>61800</v>
      </c>
      <c r="F561" s="1023" cm="1">
        <f t="array" ref="F561">IF(A561=A560,0,SUM(_xlfn._xlws.FILTER(E561:E570,A561:A570=A561)))</f>
        <v>0</v>
      </c>
      <c r="G561" s="1024">
        <f>IF(F561&lt;&gt;0,SUM($F$43:F561),0)</f>
        <v>0</v>
      </c>
      <c r="H561" s="1024" cm="1">
        <f t="array" ref="H561">IFERROR(IF(A561=A560,0,SUM(_xlfn._xlws.FILTER(E561:E570,(A561:A570=A561)*(E561:E570&gt;0)))),0)</f>
        <v>0</v>
      </c>
      <c r="I561" s="1024" cm="1">
        <f t="array" ref="I561">IFERROR(IF(A561=A560,0,SUM(_xlfn._xlws.FILTER(E561:E570,(A561:A570=A561)*(F561&lt;0)))),0)</f>
        <v>0</v>
      </c>
      <c r="J561" s="293" t="str">
        <f ca="1">IFERROR(_xlfn.XLOOKUP(B561,TabCalc[Ticker],TabCalc[Cur]),"")</f>
        <v>CHF</v>
      </c>
      <c r="K561" s="1023" cm="1">
        <f t="array" ref="K561">IFERROR(IF($A561=$A560,0,SUM(_xlfn._xlws.FILTER($E561:$E571,($A561:$A571=$A561)*($J561:$J571=K$42)))),0)</f>
        <v>0</v>
      </c>
      <c r="L561" s="1023" cm="1">
        <f t="array" ref="L561">IFERROR(IF($A561=$A560,0,SUM(_xlfn._xlws.FILTER($E561:$E571,($A561:$A571=$A561)*($J561:$J571=L$42)))),0)</f>
        <v>0</v>
      </c>
      <c r="M561" s="1023" cm="1">
        <f t="array" ref="M561">IFERROR(IF($A561=$A560,0,SUM(_xlfn._xlws.FILTER($E561:$E571,($A561:$A571=$A561)*($J561:$J571=M$42)))),0)</f>
        <v>0</v>
      </c>
      <c r="N561" s="1023" cm="1">
        <f t="array" ref="N561">IFERROR(IF($A561=$A560,0,SUM(_xlfn._xlws.FILTER($E561:$E571,($A561:$A571=$A561)*($J561:$J571=N$42)))),0)</f>
        <v>0</v>
      </c>
    </row>
    <row r="562" spans="1:14" hidden="1" x14ac:dyDescent="0.3">
      <c r="A562" s="463">
        <v>45939</v>
      </c>
      <c r="B562" s="446" t="s">
        <v>22</v>
      </c>
      <c r="C562" s="446">
        <v>10000</v>
      </c>
      <c r="D562" s="464">
        <v>414.7</v>
      </c>
      <c r="E562" s="1022">
        <f ca="1">IFERROR(C562*D562*_xlfn.XLOOKUP(B562,TabCalc[Ticker],TabCalc[Scale]),0)</f>
        <v>41470</v>
      </c>
      <c r="F562" s="1023" cm="1">
        <f t="array" ref="F562">IF(A562=A561,0,SUM(_xlfn._xlws.FILTER(E562:E571,A562:A571=A562)))</f>
        <v>0</v>
      </c>
      <c r="G562" s="1024">
        <f>IF(F562&lt;&gt;0,SUM($F$43:F562),0)</f>
        <v>0</v>
      </c>
      <c r="H562" s="1024" cm="1">
        <f t="array" ref="H562">IFERROR(IF(A562=A561,0,SUM(_xlfn._xlws.FILTER(E562:E571,(A562:A571=A562)*(E562:E571&gt;0)))),0)</f>
        <v>0</v>
      </c>
      <c r="I562" s="1024" cm="1">
        <f t="array" ref="I562">IFERROR(IF(A562=A561,0,SUM(_xlfn._xlws.FILTER(E562:E571,(A562:A571=A562)*(F562&lt;0)))),0)</f>
        <v>0</v>
      </c>
      <c r="J562" s="293" t="str">
        <f ca="1">IFERROR(_xlfn.XLOOKUP(B562,TabCalc[Ticker],TabCalc[Cur]),"")</f>
        <v>GBp</v>
      </c>
      <c r="K562" s="1023" cm="1">
        <f t="array" ref="K562">IFERROR(IF($A562=$A561,0,SUM(_xlfn._xlws.FILTER($E562:$E572,($A562:$A572=$A562)*($J562:$J572=K$42)))),0)</f>
        <v>0</v>
      </c>
      <c r="L562" s="1023" cm="1">
        <f t="array" ref="L562">IFERROR(IF($A562=$A561,0,SUM(_xlfn._xlws.FILTER($E562:$E572,($A562:$A572=$A562)*($J562:$J572=L$42)))),0)</f>
        <v>0</v>
      </c>
      <c r="M562" s="1023" cm="1">
        <f t="array" ref="M562">IFERROR(IF($A562=$A561,0,SUM(_xlfn._xlws.FILTER($E562:$E572,($A562:$A572=$A562)*($J562:$J572=M$42)))),0)</f>
        <v>0</v>
      </c>
      <c r="N562" s="1023" cm="1">
        <f t="array" ref="N562">IFERROR(IF($A562=$A561,0,SUM(_xlfn._xlws.FILTER($E562:$E572,($A562:$A572=$A562)*($J562:$J572=N$42)))),0)</f>
        <v>0</v>
      </c>
    </row>
    <row r="563" spans="1:14" hidden="1" x14ac:dyDescent="0.3">
      <c r="A563" s="463">
        <v>45939</v>
      </c>
      <c r="B563" s="446" t="s">
        <v>46</v>
      </c>
      <c r="C563" s="446">
        <v>160</v>
      </c>
      <c r="D563" s="464">
        <v>346.09</v>
      </c>
      <c r="E563" s="1022">
        <f ca="1">IFERROR(C563*D563*_xlfn.XLOOKUP(B563,TabCalc[Ticker],TabCalc[Scale]),0)</f>
        <v>55374.399999999994</v>
      </c>
      <c r="F563" s="1023" cm="1">
        <f t="array" ref="F563">IF(A563=A562,0,SUM(_xlfn._xlws.FILTER(E563:E572,A563:A572=A563)))</f>
        <v>0</v>
      </c>
      <c r="G563" s="1024">
        <f>IF(F563&lt;&gt;0,SUM($F$43:F563),0)</f>
        <v>0</v>
      </c>
      <c r="H563" s="1024" cm="1">
        <f t="array" ref="H563">IFERROR(IF(A563=A562,0,SUM(_xlfn._xlws.FILTER(E563:E572,(A563:A572=A563)*(E563:E572&gt;0)))),0)</f>
        <v>0</v>
      </c>
      <c r="I563" s="1024" cm="1">
        <f t="array" ref="I563">IFERROR(IF(A563=A562,0,SUM(_xlfn._xlws.FILTER(E563:E572,(A563:A572=A563)*(F563&lt;0)))),0)</f>
        <v>0</v>
      </c>
      <c r="J563" s="293" t="str">
        <f ca="1">IFERROR(_xlfn.XLOOKUP(B563,TabCalc[Ticker],TabCalc[Cur]),"")</f>
        <v>USD</v>
      </c>
      <c r="K563" s="1023" cm="1">
        <f t="array" ref="K563">IFERROR(IF($A563=$A562,0,SUM(_xlfn._xlws.FILTER($E563:$E573,($A563:$A573=$A563)*($J563:$J573=K$42)))),0)</f>
        <v>0</v>
      </c>
      <c r="L563" s="1023" cm="1">
        <f t="array" ref="L563">IFERROR(IF($A563=$A562,0,SUM(_xlfn._xlws.FILTER($E563:$E573,($A563:$A573=$A563)*($J563:$J573=L$42)))),0)</f>
        <v>0</v>
      </c>
      <c r="M563" s="1023" cm="1">
        <f t="array" ref="M563">IFERROR(IF($A563=$A562,0,SUM(_xlfn._xlws.FILTER($E563:$E573,($A563:$A573=$A563)*($J563:$J573=M$42)))),0)</f>
        <v>0</v>
      </c>
      <c r="N563" s="1023" cm="1">
        <f t="array" ref="N563">IFERROR(IF($A563=$A562,0,SUM(_xlfn._xlws.FILTER($E563:$E573,($A563:$A573=$A563)*($J563:$J573=N$42)))),0)</f>
        <v>0</v>
      </c>
    </row>
    <row r="564" spans="1:14" hidden="1" x14ac:dyDescent="0.3">
      <c r="A564" s="463">
        <v>45939</v>
      </c>
      <c r="B564" s="446" t="s">
        <v>2</v>
      </c>
      <c r="C564" s="446">
        <v>20000</v>
      </c>
      <c r="D564" s="464">
        <v>-46</v>
      </c>
      <c r="E564" s="1022">
        <f ca="1">IFERROR(C564*D564*_xlfn.XLOOKUP(B564,TabCalc[Ticker],TabCalc[Scale]),0)</f>
        <v>-9200</v>
      </c>
      <c r="F564" s="1023" cm="1">
        <f t="array" ref="F564">IF(A564=A563,0,SUM(_xlfn._xlws.FILTER(E564:E573,A564:A573=A564)))</f>
        <v>0</v>
      </c>
      <c r="G564" s="1024">
        <f>IF(F564&lt;&gt;0,SUM($F$43:F564),0)</f>
        <v>0</v>
      </c>
      <c r="H564" s="1024" cm="1">
        <f t="array" ref="H564">IFERROR(IF(A564=A563,0,SUM(_xlfn._xlws.FILTER(E564:E573,(A564:A573=A564)*(E564:E573&gt;0)))),0)</f>
        <v>0</v>
      </c>
      <c r="I564" s="1024" cm="1">
        <f t="array" ref="I564">IFERROR(IF(A564=A563,0,SUM(_xlfn._xlws.FILTER(E564:E573,(A564:A573=A564)*(F564&lt;0)))),0)</f>
        <v>0</v>
      </c>
      <c r="J564" s="293" t="str">
        <f ca="1">IFERROR(_xlfn.XLOOKUP(B564,TabCalc[Ticker],TabCalc[Cur]),"")</f>
        <v>GBp</v>
      </c>
      <c r="K564" s="1023" cm="1">
        <f t="array" ref="K564">IFERROR(IF($A564=$A563,0,SUM(_xlfn._xlws.FILTER($E564:$E574,($A564:$A574=$A564)*($J564:$J574=K$42)))),0)</f>
        <v>0</v>
      </c>
      <c r="L564" s="1023" cm="1">
        <f t="array" ref="L564">IFERROR(IF($A564=$A563,0,SUM(_xlfn._xlws.FILTER($E564:$E574,($A564:$A574=$A564)*($J564:$J574=L$42)))),0)</f>
        <v>0</v>
      </c>
      <c r="M564" s="1023" cm="1">
        <f t="array" ref="M564">IFERROR(IF($A564=$A563,0,SUM(_xlfn._xlws.FILTER($E564:$E574,($A564:$A574=$A564)*($J564:$J574=M$42)))),0)</f>
        <v>0</v>
      </c>
      <c r="N564" s="1023" cm="1">
        <f t="array" ref="N564">IFERROR(IF($A564=$A563,0,SUM(_xlfn._xlws.FILTER($E564:$E574,($A564:$A574=$A564)*($J564:$J574=N$42)))),0)</f>
        <v>0</v>
      </c>
    </row>
    <row r="565" spans="1:14" hidden="1" x14ac:dyDescent="0.3">
      <c r="A565" s="463">
        <v>45939</v>
      </c>
      <c r="B565" s="446" t="s">
        <v>5</v>
      </c>
      <c r="C565" s="446">
        <v>500</v>
      </c>
      <c r="D565" s="446">
        <v>86.22</v>
      </c>
      <c r="E565" s="1022">
        <f ca="1">IFERROR(C565*D565*_xlfn.XLOOKUP(B565,TabCalc[Ticker],TabCalc[Scale]),0)</f>
        <v>43110</v>
      </c>
      <c r="F565" s="1023" cm="1">
        <f t="array" ref="F565">IF(A565=A564,0,SUM(_xlfn._xlws.FILTER(E565:E574,A565:A574=A565)))</f>
        <v>0</v>
      </c>
      <c r="G565" s="1024">
        <f>IF(F565&lt;&gt;0,SUM($F$43:F565),0)</f>
        <v>0</v>
      </c>
      <c r="H565" s="1024" cm="1">
        <f t="array" ref="H565">IFERROR(IF(A565=A564,0,SUM(_xlfn._xlws.FILTER(E565:E574,(A565:A574=A565)*(E565:E574&gt;0)))),0)</f>
        <v>0</v>
      </c>
      <c r="I565" s="1024" cm="1">
        <f t="array" ref="I565">IFERROR(IF(A565=A564,0,SUM(_xlfn._xlws.FILTER(E565:E574,(A565:A574=A565)*(F565&lt;0)))),0)</f>
        <v>0</v>
      </c>
      <c r="J565" s="293" t="str">
        <f ca="1">IFERROR(_xlfn.XLOOKUP(B565,TabCalc[Ticker],TabCalc[Cur]),"")</f>
        <v>USD</v>
      </c>
      <c r="K565" s="1023" cm="1">
        <f t="array" ref="K565">IFERROR(IF($A565=$A564,0,SUM(_xlfn._xlws.FILTER($E565:$E575,($A565:$A575=$A565)*($J565:$J575=K$42)))),0)</f>
        <v>0</v>
      </c>
      <c r="L565" s="1023" cm="1">
        <f t="array" ref="L565">IFERROR(IF($A565=$A564,0,SUM(_xlfn._xlws.FILTER($E565:$E575,($A565:$A575=$A565)*($J565:$J575=L$42)))),0)</f>
        <v>0</v>
      </c>
      <c r="M565" s="1023" cm="1">
        <f t="array" ref="M565">IFERROR(IF($A565=$A564,0,SUM(_xlfn._xlws.FILTER($E565:$E575,($A565:$A575=$A565)*($J565:$J575=M$42)))),0)</f>
        <v>0</v>
      </c>
      <c r="N565" s="1023" cm="1">
        <f t="array" ref="N565">IFERROR(IF($A565=$A564,0,SUM(_xlfn._xlws.FILTER($E565:$E575,($A565:$A575=$A565)*($J565:$J575=N$42)))),0)</f>
        <v>0</v>
      </c>
    </row>
    <row r="566" spans="1:14" hidden="1" x14ac:dyDescent="0.3">
      <c r="A566" s="463">
        <v>45939</v>
      </c>
      <c r="B566" s="446" t="s">
        <v>0</v>
      </c>
      <c r="C566" s="446">
        <v>200</v>
      </c>
      <c r="D566" s="446">
        <v>253.62</v>
      </c>
      <c r="E566" s="1022">
        <f ca="1">IFERROR(C566*D566*_xlfn.XLOOKUP(B566,TabCalc[Ticker],TabCalc[Scale]),0)</f>
        <v>50724</v>
      </c>
      <c r="F566" s="1023" cm="1">
        <f t="array" ref="F566">IF(A566=A565,0,SUM(_xlfn._xlws.FILTER(E566:E575,A566:A575=A566)))</f>
        <v>0</v>
      </c>
      <c r="G566" s="1024">
        <f>IF(F566&lt;&gt;0,SUM($F$43:F566),0)</f>
        <v>0</v>
      </c>
      <c r="H566" s="1024" cm="1">
        <f t="array" ref="H566">IFERROR(IF(A566=A565,0,SUM(_xlfn._xlws.FILTER(E566:E575,(A566:A575=A566)*(E566:E575&gt;0)))),0)</f>
        <v>0</v>
      </c>
      <c r="I566" s="1024" cm="1">
        <f t="array" ref="I566">IFERROR(IF(A566=A565,0,SUM(_xlfn._xlws.FILTER(E566:E575,(A566:A575=A566)*(F566&lt;0)))),0)</f>
        <v>0</v>
      </c>
      <c r="J566" s="293" t="str">
        <f ca="1">IFERROR(_xlfn.XLOOKUP(B566,TabCalc[Ticker],TabCalc[Cur]),"")</f>
        <v>USD</v>
      </c>
      <c r="K566" s="1023" cm="1">
        <f t="array" ref="K566">IFERROR(IF($A566=$A565,0,SUM(_xlfn._xlws.FILTER($E566:$E576,($A566:$A576=$A566)*($J566:$J576=K$42)))),0)</f>
        <v>0</v>
      </c>
      <c r="L566" s="1023" cm="1">
        <f t="array" ref="L566">IFERROR(IF($A566=$A565,0,SUM(_xlfn._xlws.FILTER($E566:$E576,($A566:$A576=$A566)*($J566:$J576=L$42)))),0)</f>
        <v>0</v>
      </c>
      <c r="M566" s="1023" cm="1">
        <f t="array" ref="M566">IFERROR(IF($A566=$A565,0,SUM(_xlfn._xlws.FILTER($E566:$E576,($A566:$A576=$A566)*($J566:$J576=M$42)))),0)</f>
        <v>0</v>
      </c>
      <c r="N566" s="1023" cm="1">
        <f t="array" ref="N566">IFERROR(IF($A566=$A565,0,SUM(_xlfn._xlws.FILTER($E566:$E576,($A566:$A576=$A566)*($J566:$J576=N$42)))),0)</f>
        <v>0</v>
      </c>
    </row>
    <row r="567" spans="1:14" hidden="1" x14ac:dyDescent="0.3">
      <c r="A567" s="463">
        <v>45939</v>
      </c>
      <c r="B567" s="446" t="s">
        <v>30</v>
      </c>
      <c r="C567" s="446">
        <v>100</v>
      </c>
      <c r="D567" s="464">
        <v>1235.33</v>
      </c>
      <c r="E567" s="1022">
        <f ca="1">IFERROR(C567*D567*_xlfn.XLOOKUP(B567,TabCalc[Ticker],TabCalc[Scale]),0)</f>
        <v>123533</v>
      </c>
      <c r="F567" s="1023" cm="1">
        <f t="array" ref="F567">IF(A567=A566,0,SUM(_xlfn._xlws.FILTER(E567:E576,A567:A576=A567)))</f>
        <v>0</v>
      </c>
      <c r="G567" s="1024">
        <f>IF(F567&lt;&gt;0,SUM($F$43:F567),0)</f>
        <v>0</v>
      </c>
      <c r="H567" s="1024" cm="1">
        <f t="array" ref="H567">IFERROR(IF(A567=A566,0,SUM(_xlfn._xlws.FILTER(E567:E576,(A567:A576=A567)*(E567:E576&gt;0)))),0)</f>
        <v>0</v>
      </c>
      <c r="I567" s="1024" cm="1">
        <f t="array" ref="I567">IFERROR(IF(A567=A566,0,SUM(_xlfn._xlws.FILTER(E567:E576,(A567:A576=A567)*(F567&lt;0)))),0)</f>
        <v>0</v>
      </c>
      <c r="J567" s="293" t="str">
        <f ca="1">IFERROR(_xlfn.XLOOKUP(B567,TabCalc[Ticker],TabCalc[Cur]),"")</f>
        <v>USD</v>
      </c>
      <c r="K567" s="1023" cm="1">
        <f t="array" ref="K567">IFERROR(IF($A567=$A566,0,SUM(_xlfn._xlws.FILTER($E567:$E577,($A567:$A577=$A567)*($J567:$J577=K$42)))),0)</f>
        <v>0</v>
      </c>
      <c r="L567" s="1023" cm="1">
        <f t="array" ref="L567">IFERROR(IF($A567=$A566,0,SUM(_xlfn._xlws.FILTER($E567:$E577,($A567:$A577=$A567)*($J567:$J577=L$42)))),0)</f>
        <v>0</v>
      </c>
      <c r="M567" s="1023" cm="1">
        <f t="array" ref="M567">IFERROR(IF($A567=$A566,0,SUM(_xlfn._xlws.FILTER($E567:$E577,($A567:$A577=$A567)*($J567:$J577=M$42)))),0)</f>
        <v>0</v>
      </c>
      <c r="N567" s="1023" cm="1">
        <f t="array" ref="N567">IFERROR(IF($A567=$A566,0,SUM(_xlfn._xlws.FILTER($E567:$E577,($A567:$A577=$A567)*($J567:$J577=N$42)))),0)</f>
        <v>0</v>
      </c>
    </row>
    <row r="568" spans="1:14" hidden="1" x14ac:dyDescent="0.3">
      <c r="A568" s="463">
        <v>45939</v>
      </c>
      <c r="B568" s="446" t="s">
        <v>25</v>
      </c>
      <c r="C568" s="446">
        <v>990</v>
      </c>
      <c r="D568" s="464">
        <v>6.8</v>
      </c>
      <c r="E568" s="1022">
        <f ca="1">IFERROR(C568*D568*_xlfn.XLOOKUP(B568,TabCalc[Ticker],TabCalc[Scale]),0)</f>
        <v>6732</v>
      </c>
      <c r="F568" s="1023" cm="1">
        <f t="array" ref="F568">IF(A568=A567,0,SUM(_xlfn._xlws.FILTER(E568:E577,A568:A577=A568)))</f>
        <v>0</v>
      </c>
      <c r="G568" s="1024">
        <f>IF(F568&lt;&gt;0,SUM($F$43:F568),0)</f>
        <v>0</v>
      </c>
      <c r="H568" s="1024" cm="1">
        <f t="array" ref="H568">IFERROR(IF(A568=A567,0,SUM(_xlfn._xlws.FILTER(E568:E577,(A568:A577=A568)*(E568:E577&gt;0)))),0)</f>
        <v>0</v>
      </c>
      <c r="I568" s="1024" cm="1">
        <f t="array" ref="I568">IFERROR(IF(A568=A567,0,SUM(_xlfn._xlws.FILTER(E568:E577,(A568:A577=A568)*(F568&lt;0)))),0)</f>
        <v>0</v>
      </c>
      <c r="J568" s="293" t="str">
        <f ca="1">IFERROR(_xlfn.XLOOKUP(B568,TabCalc[Ticker],TabCalc[Cur]),"")</f>
        <v>USD</v>
      </c>
      <c r="K568" s="1023" cm="1">
        <f t="array" ref="K568">IFERROR(IF($A568=$A567,0,SUM(_xlfn._xlws.FILTER($E568:$E578,($A568:$A578=$A568)*($J568:$J578=K$42)))),0)</f>
        <v>0</v>
      </c>
      <c r="L568" s="1023" cm="1">
        <f t="array" ref="L568">IFERROR(IF($A568=$A567,0,SUM(_xlfn._xlws.FILTER($E568:$E578,($A568:$A578=$A568)*($J568:$J578=L$42)))),0)</f>
        <v>0</v>
      </c>
      <c r="M568" s="1023" cm="1">
        <f t="array" ref="M568">IFERROR(IF($A568=$A567,0,SUM(_xlfn._xlws.FILTER($E568:$E578,($A568:$A578=$A568)*($J568:$J578=M$42)))),0)</f>
        <v>0</v>
      </c>
      <c r="N568" s="1023" cm="1">
        <f t="array" ref="N568">IFERROR(IF($A568=$A567,0,SUM(_xlfn._xlws.FILTER($E568:$E578,($A568:$A578=$A568)*($J568:$J578=N$42)))),0)</f>
        <v>0</v>
      </c>
    </row>
    <row r="569" spans="1:14" hidden="1" x14ac:dyDescent="0.3">
      <c r="A569" s="463">
        <v>45939</v>
      </c>
      <c r="B569" s="446" t="s">
        <v>14</v>
      </c>
      <c r="C569" s="446">
        <v>400</v>
      </c>
      <c r="D569" s="464">
        <v>-127.09</v>
      </c>
      <c r="E569" s="1022">
        <f ca="1">IFERROR(C569*D569*_xlfn.XLOOKUP(B569,TabCalc[Ticker],TabCalc[Scale]),0)</f>
        <v>-50836</v>
      </c>
      <c r="F569" s="1023" cm="1">
        <f t="array" ref="F569">IF(A569=A568,0,SUM(_xlfn._xlws.FILTER(E569:E578,A569:A578=A569)))</f>
        <v>0</v>
      </c>
      <c r="G569" s="1024">
        <f>IF(F569&lt;&gt;0,SUM($F$43:F569),0)</f>
        <v>0</v>
      </c>
      <c r="H569" s="1024" cm="1">
        <f t="array" ref="H569">IFERROR(IF(A569=A568,0,SUM(_xlfn._xlws.FILTER(E569:E578,(A569:A578=A569)*(E569:E578&gt;0)))),0)</f>
        <v>0</v>
      </c>
      <c r="I569" s="1024" cm="1">
        <f t="array" ref="I569">IFERROR(IF(A569=A568,0,SUM(_xlfn._xlws.FILTER(E569:E578,(A569:A578=A569)*(F569&lt;0)))),0)</f>
        <v>0</v>
      </c>
      <c r="J569" s="293" t="str">
        <f ca="1">IFERROR(_xlfn.XLOOKUP(B569,TabCalc[Ticker],TabCalc[Cur]),"")</f>
        <v>USD</v>
      </c>
      <c r="K569" s="1023" cm="1">
        <f t="array" ref="K569">IFERROR(IF($A569=$A568,0,SUM(_xlfn._xlws.FILTER($E569:$E579,($A569:$A579=$A569)*($J569:$J579=K$42)))),0)</f>
        <v>0</v>
      </c>
      <c r="L569" s="1023" cm="1">
        <f t="array" ref="L569">IFERROR(IF($A569=$A568,0,SUM(_xlfn._xlws.FILTER($E569:$E579,($A569:$A579=$A569)*($J569:$J579=L$42)))),0)</f>
        <v>0</v>
      </c>
      <c r="M569" s="1023" cm="1">
        <f t="array" ref="M569">IFERROR(IF($A569=$A568,0,SUM(_xlfn._xlws.FILTER($E569:$E579,($A569:$A579=$A569)*($J569:$J579=M$42)))),0)</f>
        <v>0</v>
      </c>
      <c r="N569" s="1023" cm="1">
        <f t="array" ref="N569">IFERROR(IF($A569=$A568,0,SUM(_xlfn._xlws.FILTER($E569:$E579,($A569:$A579=$A569)*($J569:$J579=N$42)))),0)</f>
        <v>0</v>
      </c>
    </row>
    <row r="570" spans="1:14" hidden="1" x14ac:dyDescent="0.3">
      <c r="A570" s="463">
        <v>45939</v>
      </c>
      <c r="B570" s="446" t="s">
        <v>52</v>
      </c>
      <c r="C570" s="446">
        <v>5000</v>
      </c>
      <c r="D570" s="464">
        <v>-6.66</v>
      </c>
      <c r="E570" s="1022">
        <f ca="1">IFERROR(C570*D570*_xlfn.XLOOKUP(B570,TabCalc[Ticker],TabCalc[Scale]),0)</f>
        <v>-33300</v>
      </c>
      <c r="F570" s="1023" cm="1">
        <f t="array" ref="F570">IF(A570=A569,0,SUM(_xlfn._xlws.FILTER(E570:E579,A570:A579=A570)))</f>
        <v>0</v>
      </c>
      <c r="G570" s="1024">
        <f>IF(F570&lt;&gt;0,SUM($F$43:F570),0)</f>
        <v>0</v>
      </c>
      <c r="H570" s="1024" cm="1">
        <f t="array" ref="H570">IFERROR(IF(A570=A569,0,SUM(_xlfn._xlws.FILTER(E570:E579,(A570:A579=A570)*(E570:E579&gt;0)))),0)</f>
        <v>0</v>
      </c>
      <c r="I570" s="1024" cm="1">
        <f t="array" ref="I570">IFERROR(IF(A570=A569,0,SUM(_xlfn._xlws.FILTER(E570:E579,(A570:A579=A570)*(F570&lt;0)))),0)</f>
        <v>0</v>
      </c>
      <c r="J570" s="293" t="str">
        <f ca="1">IFERROR(_xlfn.XLOOKUP(B570,TabCalc[Ticker],TabCalc[Cur]),"")</f>
        <v>USD</v>
      </c>
      <c r="K570" s="1023" cm="1">
        <f t="array" ref="K570">IFERROR(IF($A570=$A569,0,SUM(_xlfn._xlws.FILTER($E570:$E580,($A570:$A580=$A570)*($J570:$J580=K$42)))),0)</f>
        <v>0</v>
      </c>
      <c r="L570" s="1023" cm="1">
        <f t="array" ref="L570">IFERROR(IF($A570=$A569,0,SUM(_xlfn._xlws.FILTER($E570:$E580,($A570:$A580=$A570)*($J570:$J580=L$42)))),0)</f>
        <v>0</v>
      </c>
      <c r="M570" s="1023" cm="1">
        <f t="array" ref="M570">IFERROR(IF($A570=$A569,0,SUM(_xlfn._xlws.FILTER($E570:$E580,($A570:$A580=$A570)*($J570:$J580=M$42)))),0)</f>
        <v>0</v>
      </c>
      <c r="N570" s="1023" cm="1">
        <f t="array" ref="N570">IFERROR(IF($A570=$A569,0,SUM(_xlfn._xlws.FILTER($E570:$E580,($A570:$A580=$A570)*($J570:$J580=N$42)))),0)</f>
        <v>0</v>
      </c>
    </row>
    <row r="571" spans="1:14" hidden="1" x14ac:dyDescent="0.3">
      <c r="A571" s="449">
        <v>45940</v>
      </c>
      <c r="B571" s="449" t="s">
        <v>38</v>
      </c>
      <c r="C571" s="462">
        <v>200</v>
      </c>
      <c r="D571" s="452">
        <v>237.8</v>
      </c>
      <c r="E571" s="1022">
        <f ca="1">IFERROR(C571*D571*_xlfn.XLOOKUP(B571,TabCalc[Ticker],TabCalc[Scale]),0)</f>
        <v>47560</v>
      </c>
      <c r="F571" s="1023" cm="1">
        <f t="array" aca="1" ref="F571" ca="1">IF(A571=A570,0,SUM(_xlfn._xlws.FILTER(E571:E580,A571:A580=A571)))</f>
        <v>-272301.7</v>
      </c>
      <c r="G571" s="1024">
        <f ca="1">IF(F571&lt;&gt;0,SUM($F$43:F571),0)</f>
        <v>-2134067.6195729999</v>
      </c>
      <c r="H571" s="1024" cm="1">
        <f t="array" aca="1" ref="H571" ca="1">IFERROR(IF(A571=A570,0,SUM(_xlfn._xlws.FILTER(E571:E580,(A571:A580=A571)*(E571:E580&gt;0)))),0)</f>
        <v>67660.600000000006</v>
      </c>
      <c r="I571" s="1024" cm="1">
        <f t="array" aca="1" ref="I571" ca="1">IFERROR(IF(A571=A570,0,SUM(_xlfn._xlws.FILTER(E571:E580,(A571:A580=A571)*(F571&lt;0)))),0)</f>
        <v>-272301.7</v>
      </c>
      <c r="J571" s="293" t="str">
        <f ca="1">IFERROR(_xlfn.XLOOKUP(B571,TabCalc[Ticker],TabCalc[Cur]),"")</f>
        <v>EUR</v>
      </c>
      <c r="K571" s="1023" cm="1">
        <f t="array" aca="1" ref="K571" ca="1">IFERROR(IF($A571=$A570,0,SUM(_xlfn._xlws.FILTER($E571:$E581,($A571:$A581=$A571)*($J571:$J581=K$42)))),0)</f>
        <v>-115220</v>
      </c>
      <c r="L571" s="1023" cm="1">
        <f t="array" aca="1" ref="L571" ca="1">IFERROR(IF($A571=$A570,0,SUM(_xlfn._xlws.FILTER($E571:$E581,($A571:$A581=$A571)*($J571:$J581=L$42)))),0)</f>
        <v>-152501.69999999998</v>
      </c>
      <c r="M571" s="1023" cm="1">
        <f t="array" aca="1" ref="M571" ca="1">IFERROR(IF($A571=$A570,0,SUM(_xlfn._xlws.FILTER($E571:$E581,($A571:$A581=$A571)*($J571:$J581=M$42)))),0)</f>
        <v>-4580</v>
      </c>
      <c r="N571" s="1023" cm="1">
        <f t="array" aca="1" ref="N571" ca="1">IFERROR(IF($A571=$A570,0,SUM(_xlfn._xlws.FILTER($E571:$E581,($A571:$A581=$A571)*($J571:$J581=N$42)))),0)</f>
        <v>0</v>
      </c>
    </row>
    <row r="572" spans="1:14" hidden="1" x14ac:dyDescent="0.3">
      <c r="A572" s="449">
        <v>45940</v>
      </c>
      <c r="B572" s="449" t="s">
        <v>2</v>
      </c>
      <c r="C572" s="462">
        <v>10000</v>
      </c>
      <c r="D572" s="452">
        <v>-45.8</v>
      </c>
      <c r="E572" s="1022">
        <f ca="1">IFERROR(C572*D572*_xlfn.XLOOKUP(B572,TabCalc[Ticker],TabCalc[Scale]),0)</f>
        <v>-4580</v>
      </c>
      <c r="F572" s="1023" cm="1">
        <f t="array" ref="F572">IF(A572=A571,0,SUM(_xlfn._xlws.FILTER(E572:E581,A572:A581=A572)))</f>
        <v>0</v>
      </c>
      <c r="G572" s="1024">
        <f>IF(F572&lt;&gt;0,SUM($F$43:F572),0)</f>
        <v>0</v>
      </c>
      <c r="H572" s="1024" cm="1">
        <f t="array" ref="H572">IFERROR(IF(A572=A571,0,SUM(_xlfn._xlws.FILTER(E572:E581,(A572:A581=A572)*(E572:E581&gt;0)))),0)</f>
        <v>0</v>
      </c>
      <c r="I572" s="1024" cm="1">
        <f t="array" ref="I572">IFERROR(IF(A572=A571,0,SUM(_xlfn._xlws.FILTER(E572:E581,(A572:A581=A572)*(F572&lt;0)))),0)</f>
        <v>0</v>
      </c>
      <c r="J572" s="293" t="str">
        <f ca="1">IFERROR(_xlfn.XLOOKUP(B572,TabCalc[Ticker],TabCalc[Cur]),"")</f>
        <v>GBp</v>
      </c>
      <c r="K572" s="1023" cm="1">
        <f t="array" ref="K572">IFERROR(IF($A572=$A571,0,SUM(_xlfn._xlws.FILTER($E572:$E582,($A572:$A582=$A572)*($J572:$J582=K$42)))),0)</f>
        <v>0</v>
      </c>
      <c r="L572" s="1023" cm="1">
        <f t="array" ref="L572">IFERROR(IF($A572=$A571,0,SUM(_xlfn._xlws.FILTER($E572:$E582,($A572:$A582=$A572)*($J572:$J582=L$42)))),0)</f>
        <v>0</v>
      </c>
      <c r="M572" s="1023" cm="1">
        <f t="array" ref="M572">IFERROR(IF($A572=$A571,0,SUM(_xlfn._xlws.FILTER($E572:$E582,($A572:$A582=$A572)*($J572:$J582=M$42)))),0)</f>
        <v>0</v>
      </c>
      <c r="N572" s="1023" cm="1">
        <f t="array" ref="N572">IFERROR(IF($A572=$A571,0,SUM(_xlfn._xlws.FILTER($E572:$E582,($A572:$A582=$A572)*($J572:$J582=N$42)))),0)</f>
        <v>0</v>
      </c>
    </row>
    <row r="573" spans="1:14" hidden="1" x14ac:dyDescent="0.3">
      <c r="A573" s="449">
        <v>45941</v>
      </c>
      <c r="B573" s="449" t="s">
        <v>2</v>
      </c>
      <c r="C573" s="462">
        <v>10000</v>
      </c>
      <c r="D573" s="452">
        <v>-45.6</v>
      </c>
      <c r="E573" s="1022">
        <f ca="1">IFERROR(C573*D573*_xlfn.XLOOKUP(B573,TabCalc[Ticker],TabCalc[Scale]),0)</f>
        <v>-4560</v>
      </c>
      <c r="F573" s="1023" cm="1">
        <f t="array" aca="1" ref="F573" ca="1">IF(A573=A572,0,SUM(_xlfn._xlws.FILTER(E573:E582,A573:A582=A573)))</f>
        <v>-4560</v>
      </c>
      <c r="G573" s="1024">
        <f ca="1">IF(F573&lt;&gt;0,SUM($F$43:F573),0)</f>
        <v>-2138627.6195729999</v>
      </c>
      <c r="H573" s="1024" cm="1">
        <f t="array" aca="1" ref="H573" ca="1">IFERROR(IF(A573=A572,0,SUM(_xlfn._xlws.FILTER(E573:E582,(A573:A582=A573)*(E573:E582&gt;0)))),0)</f>
        <v>0</v>
      </c>
      <c r="I573" s="1024" cm="1">
        <f t="array" aca="1" ref="I573" ca="1">IFERROR(IF(A573=A572,0,SUM(_xlfn._xlws.FILTER(E573:E582,(A573:A582=A573)*(F573&lt;0)))),0)</f>
        <v>-4560</v>
      </c>
      <c r="J573" s="293" t="str">
        <f ca="1">IFERROR(_xlfn.XLOOKUP(B573,TabCalc[Ticker],TabCalc[Cur]),"")</f>
        <v>GBp</v>
      </c>
      <c r="K573" s="1023"/>
      <c r="L573" s="1023"/>
      <c r="M573" s="1023"/>
      <c r="N573" s="1023" cm="1">
        <f t="array" aca="1" ref="N573" ca="1">IFERROR(IF($A573=$A572,0,SUM(_xlfn._xlws.FILTER($E573:$E583,($A573:$A583=$A573)*($J573:$J583=N$42)))),0)</f>
        <v>0</v>
      </c>
    </row>
    <row r="574" spans="1:14" hidden="1" x14ac:dyDescent="0.3">
      <c r="A574" s="449">
        <v>45940</v>
      </c>
      <c r="B574" s="449" t="s">
        <v>21</v>
      </c>
      <c r="C574" s="462">
        <v>4000</v>
      </c>
      <c r="D574" s="452">
        <v>-25.74</v>
      </c>
      <c r="E574" s="1022">
        <f ca="1">IFERROR(C574*D574*_xlfn.XLOOKUP(B574,TabCalc[Ticker],TabCalc[Scale]),0)</f>
        <v>-102960</v>
      </c>
      <c r="F574" s="1023" cm="1">
        <f t="array" aca="1" ref="F574" ca="1">IF(A574=A573,0,SUM(_xlfn._xlws.FILTER(E574:E583,A574:A583=A574)))</f>
        <v>-315281.69999999995</v>
      </c>
      <c r="G574" s="1024">
        <f ca="1">IF(F574&lt;&gt;0,SUM($F$43:F574),0)</f>
        <v>-2453909.3195730001</v>
      </c>
      <c r="H574" s="1024" cm="1">
        <f t="array" aca="1" ref="H574" ca="1">IFERROR(IF(A574=A573,0,SUM(_xlfn._xlws.FILTER(E574:E583,(A574:A583=A574)*(E574:E583&gt;0)))),0)</f>
        <v>20100.599999999999</v>
      </c>
      <c r="I574" s="1024" cm="1">
        <f t="array" aca="1" ref="I574" ca="1">IFERROR(IF(A574=A573,0,SUM(_xlfn._xlws.FILTER(E574:E583,(A574:A583=A574)*(F574&lt;0)))),0)</f>
        <v>-315281.69999999995</v>
      </c>
      <c r="J574" s="293" t="str">
        <f ca="1">IFERROR(_xlfn.XLOOKUP(B574,TabCalc[Ticker],TabCalc[Cur]),"")</f>
        <v>USD</v>
      </c>
      <c r="K574" s="1023"/>
      <c r="L574" s="1023"/>
      <c r="M574" s="1023"/>
      <c r="N574" s="1023" cm="1">
        <f t="array" aca="1" ref="N574" ca="1">IFERROR(IF($A574=$A573,0,SUM(_xlfn._xlws.FILTER($E574:$E584,($A574:$A584=$A574)*($J574:$J584=N$42)))),0)</f>
        <v>0</v>
      </c>
    </row>
    <row r="575" spans="1:14" hidden="1" x14ac:dyDescent="0.3">
      <c r="A575" s="449">
        <v>45940</v>
      </c>
      <c r="B575" s="449" t="s">
        <v>46</v>
      </c>
      <c r="C575" s="462">
        <v>210</v>
      </c>
      <c r="D575" s="452">
        <v>-331.63</v>
      </c>
      <c r="E575" s="1022">
        <f ca="1">IFERROR(C575*D575*_xlfn.XLOOKUP(B575,TabCalc[Ticker],TabCalc[Scale]),0)</f>
        <v>-69642.3</v>
      </c>
      <c r="F575" s="1023" cm="1">
        <f t="array" ref="F575">IF(A575=A574,0,SUM(_xlfn._xlws.FILTER(E575:E584,A575:A584=A575)))</f>
        <v>0</v>
      </c>
      <c r="G575" s="1024">
        <f>IF(F575&lt;&gt;0,SUM($F$43:F575),0)</f>
        <v>0</v>
      </c>
      <c r="H575" s="1024" cm="1">
        <f t="array" ref="H575">IFERROR(IF(A575=A574,0,SUM(_xlfn._xlws.FILTER(E575:E584,(A575:A584=A575)*(E575:E584&gt;0)))),0)</f>
        <v>0</v>
      </c>
      <c r="I575" s="1024" cm="1">
        <f t="array" ref="I575">IFERROR(IF(A575=A574,0,SUM(_xlfn._xlws.FILTER(E575:E584,(A575:A584=A575)*(F575&lt;0)))),0)</f>
        <v>0</v>
      </c>
      <c r="J575" s="293" t="str">
        <f ca="1">IFERROR(_xlfn.XLOOKUP(B575,TabCalc[Ticker],TabCalc[Cur]),"")</f>
        <v>USD</v>
      </c>
      <c r="K575" s="1023" cm="1">
        <f t="array" ref="K575">IFERROR(IF($A575=$A574,0,SUM(_xlfn._xlws.FILTER($E575:$E585,($A575:$A585=$A575)*($J575:$J585=K$42)))),0)</f>
        <v>0</v>
      </c>
      <c r="L575" s="1023" cm="1">
        <f t="array" ref="L575">IFERROR(IF($A575=$A574,0,SUM(_xlfn._xlws.FILTER($E575:$E585,($A575:$A585=$A575)*($J575:$J585=L$42)))),0)</f>
        <v>0</v>
      </c>
      <c r="M575" s="1023" cm="1">
        <f t="array" ref="M575">IFERROR(IF($A575=$A574,0,SUM(_xlfn._xlws.FILTER($E575:$E585,($A575:$A585=$A575)*($J575:$J585=M$42)))),0)</f>
        <v>0</v>
      </c>
      <c r="N575" s="1023" cm="1">
        <f t="array" ref="N575">IFERROR(IF($A575=$A574,0,SUM(_xlfn._xlws.FILTER($E575:$E585,($A575:$A585=$A575)*($J575:$J585=N$42)))),0)</f>
        <v>0</v>
      </c>
    </row>
    <row r="576" spans="1:14" hidden="1" x14ac:dyDescent="0.3">
      <c r="A576" s="449">
        <v>45940</v>
      </c>
      <c r="B576" s="449" t="s">
        <v>6</v>
      </c>
      <c r="C576" s="462">
        <v>6000</v>
      </c>
      <c r="D576" s="452">
        <v>3.3500999999999999</v>
      </c>
      <c r="E576" s="1022">
        <f ca="1">IFERROR(C576*D576*_xlfn.XLOOKUP(B576,TabCalc[Ticker],TabCalc[Scale]),0)</f>
        <v>20100.599999999999</v>
      </c>
      <c r="F576" s="1023" cm="1">
        <f t="array" ref="F576">IF(A576=A575,0,SUM(_xlfn._xlws.FILTER(E576:E585,A576:A585=A576)))</f>
        <v>0</v>
      </c>
      <c r="G576" s="1024">
        <f>IF(F576&lt;&gt;0,SUM($F$43:F576),0)</f>
        <v>0</v>
      </c>
      <c r="H576" s="1024" cm="1">
        <f t="array" ref="H576">IFERROR(IF(A576=A575,0,SUM(_xlfn._xlws.FILTER(E576:E585,(A576:A585=A576)*(E576:E585&gt;0)))),0)</f>
        <v>0</v>
      </c>
      <c r="I576" s="1024" cm="1">
        <f t="array" ref="I576">IFERROR(IF(A576=A575,0,SUM(_xlfn._xlws.FILTER(E576:E585,(A576:A585=A576)*(F576&lt;0)))),0)</f>
        <v>0</v>
      </c>
      <c r="J576" s="293" t="str">
        <f ca="1">IFERROR(_xlfn.XLOOKUP(B576,TabCalc[Ticker],TabCalc[Cur]),"")</f>
        <v>USD</v>
      </c>
      <c r="K576" s="1023" cm="1">
        <f t="array" ref="K576">IFERROR(IF($A576=$A575,0,SUM(_xlfn._xlws.FILTER($E576:$E586,($A576:$A586=$A576)*($J576:$J586=K$42)))),0)</f>
        <v>0</v>
      </c>
      <c r="L576" s="1023" cm="1">
        <f t="array" ref="L576">IFERROR(IF($A576=$A575,0,SUM(_xlfn._xlws.FILTER($E576:$E586,($A576:$A586=$A576)*($J576:$J586=L$42)))),0)</f>
        <v>0</v>
      </c>
      <c r="M576" s="1023" cm="1">
        <f t="array" ref="M576">IFERROR(IF($A576=$A575,0,SUM(_xlfn._xlws.FILTER($E576:$E586,($A576:$A586=$A576)*($J576:$J586=M$42)))),0)</f>
        <v>0</v>
      </c>
      <c r="N576" s="1023" cm="1">
        <f t="array" ref="N576">IFERROR(IF($A576=$A575,0,SUM(_xlfn._xlws.FILTER($E576:$E586,($A576:$A586=$A576)*($J576:$J586=N$42)))),0)</f>
        <v>0</v>
      </c>
    </row>
    <row r="577" spans="1:14" hidden="1" x14ac:dyDescent="0.3">
      <c r="A577" s="449">
        <v>45940</v>
      </c>
      <c r="B577" s="449" t="s">
        <v>32</v>
      </c>
      <c r="C577" s="462">
        <v>200</v>
      </c>
      <c r="D577" s="452">
        <v>-813.9</v>
      </c>
      <c r="E577" s="1022">
        <f ca="1">IFERROR(C577*D577*_xlfn.XLOOKUP(B577,TabCalc[Ticker],TabCalc[Scale]),0)</f>
        <v>-162780</v>
      </c>
      <c r="F577" s="1023" cm="1">
        <f t="array" ref="F577">IF(A577=A576,0,SUM(_xlfn._xlws.FILTER(E577:E586,A577:A586=A577)))</f>
        <v>0</v>
      </c>
      <c r="G577" s="1024">
        <f>IF(F577&lt;&gt;0,SUM($F$43:F577),0)</f>
        <v>0</v>
      </c>
      <c r="H577" s="1024" cm="1">
        <f t="array" ref="H577">IFERROR(IF(A577=A576,0,SUM(_xlfn._xlws.FILTER(E577:E586,(A577:A586=A577)*(E577:E586&gt;0)))),0)</f>
        <v>0</v>
      </c>
      <c r="I577" s="1024" cm="1">
        <f t="array" ref="I577">IFERROR(IF(A577=A576,0,SUM(_xlfn._xlws.FILTER(E577:E586,(A577:A586=A577)*(F577&lt;0)))),0)</f>
        <v>0</v>
      </c>
      <c r="J577" s="293" t="str">
        <f ca="1">IFERROR(_xlfn.XLOOKUP(B577,TabCalc[Ticker],TabCalc[Cur]),"")</f>
        <v>EUR</v>
      </c>
      <c r="K577" s="1023" cm="1">
        <f t="array" ref="K577">IFERROR(IF($A577=$A576,0,SUM(_xlfn._xlws.FILTER($E577:$E587,($A577:$A587=$A577)*($J577:$J587=K$42)))),0)</f>
        <v>0</v>
      </c>
      <c r="L577" s="1023" cm="1">
        <f t="array" ref="L577">IFERROR(IF($A577=$A576,0,SUM(_xlfn._xlws.FILTER($E577:$E587,($A577:$A587=$A577)*($J577:$J587=L$42)))),0)</f>
        <v>0</v>
      </c>
      <c r="M577" s="1023" cm="1">
        <f t="array" ref="M577">IFERROR(IF($A577=$A576,0,SUM(_xlfn._xlws.FILTER($E577:$E587,($A577:$A587=$A577)*($J577:$J587=M$42)))),0)</f>
        <v>0</v>
      </c>
      <c r="N577" s="1023" cm="1">
        <f t="array" ref="N577">IFERROR(IF($A577=$A576,0,SUM(_xlfn._xlws.FILTER($E577:$E587,($A577:$A587=$A577)*($J577:$J587=N$42)))),0)</f>
        <v>0</v>
      </c>
    </row>
    <row r="578" spans="1:14" hidden="1" x14ac:dyDescent="0.3">
      <c r="A578" s="463">
        <v>45943</v>
      </c>
      <c r="B578" s="446" t="s">
        <v>0</v>
      </c>
      <c r="C578" s="446">
        <v>200</v>
      </c>
      <c r="D578" s="464">
        <v>-248.52</v>
      </c>
      <c r="E578" s="1022">
        <f ca="1">IFERROR(C578*D578*_xlfn.XLOOKUP(B578,TabCalc[Ticker],TabCalc[Scale]),0)</f>
        <v>-49704</v>
      </c>
      <c r="F578" s="1023" cm="1">
        <f t="array" aca="1" ref="F578" ca="1">IF(A578=A577,0,SUM(_xlfn._xlws.FILTER(E578:E587,A578:A587=A578)))</f>
        <v>-126693.795</v>
      </c>
      <c r="G578" s="1024">
        <f ca="1">IF(F578&lt;&gt;0,SUM($F$43:F578),0)</f>
        <v>-2580603.114573</v>
      </c>
      <c r="H578" s="1024" cm="1">
        <f t="array" aca="1" ref="H578" ca="1">IFERROR(IF(A578=A577,0,SUM(_xlfn._xlws.FILTER(E578:E587,(A578:A587=A578)*(E578:E587&gt;0)))),0)</f>
        <v>84.704999999999998</v>
      </c>
      <c r="I578" s="1024" cm="1">
        <f t="array" aca="1" ref="I578" ca="1">IFERROR(IF(A578=A577,0,SUM(_xlfn._xlws.FILTER(E578:E587,(A578:A587=A578)*(F578&lt;0)))),0)</f>
        <v>-126693.795</v>
      </c>
      <c r="J578" s="293" t="str">
        <f ca="1">IFERROR(_xlfn.XLOOKUP(B578,TabCalc[Ticker],TabCalc[Cur]),"")</f>
        <v>USD</v>
      </c>
      <c r="K578" s="1023" cm="1">
        <f t="array" aca="1" ref="K578" ca="1">IFERROR(IF($A578=$A577,0,SUM(_xlfn._xlws.FILTER($E578:$E588,($A578:$A588=$A578)*($J578:$J588=K$42)))),0)</f>
        <v>0</v>
      </c>
      <c r="L578" s="1023" cm="1">
        <f t="array" aca="1" ref="L578" ca="1">IFERROR(IF($A578=$A577,0,SUM(_xlfn._xlws.FILTER($E578:$E588,($A578:$A588=$A578)*($J578:$J588=L$42)))),0)</f>
        <v>-126693.795</v>
      </c>
      <c r="M578" s="1023" cm="1">
        <f t="array" aca="1" ref="M578" ca="1">IFERROR(IF($A578=$A577,0,SUM(_xlfn._xlws.FILTER($E578:$E588,($A578:$A588=$A578)*($J578:$J588=M$42)))),0)</f>
        <v>0</v>
      </c>
      <c r="N578" s="1023" cm="1">
        <f t="array" aca="1" ref="N578" ca="1">IFERROR(IF($A578=$A577,0,SUM(_xlfn._xlws.FILTER($E578:$E588,($A578:$A588=$A578)*($J578:$J588=N$42)))),0)</f>
        <v>0</v>
      </c>
    </row>
    <row r="579" spans="1:14" hidden="1" x14ac:dyDescent="0.3">
      <c r="A579" s="463">
        <v>45943</v>
      </c>
      <c r="B579" s="446" t="s">
        <v>27</v>
      </c>
      <c r="C579" s="446">
        <v>150</v>
      </c>
      <c r="D579" s="464">
        <v>-513.83000000000004</v>
      </c>
      <c r="E579" s="1022">
        <f ca="1">IFERROR(C579*D579*_xlfn.XLOOKUP(B579,TabCalc[Ticker],TabCalc[Scale]),0)</f>
        <v>-77074.5</v>
      </c>
      <c r="F579" s="1023" cm="1">
        <f t="array" ref="F579">IF(A579=A578,0,SUM(_xlfn._xlws.FILTER(E579:E588,A579:A588=A579)))</f>
        <v>0</v>
      </c>
      <c r="G579" s="1024">
        <f>IF(F579&lt;&gt;0,SUM($F$43:F579),0)</f>
        <v>0</v>
      </c>
      <c r="H579" s="1024" cm="1">
        <f t="array" ref="H579">IFERROR(IF(A579=A578,0,SUM(_xlfn._xlws.FILTER(E579:E588,(A579:A588=A579)*(E579:E588&gt;0)))),0)</f>
        <v>0</v>
      </c>
      <c r="I579" s="1024" cm="1">
        <f t="array" ref="I579">IFERROR(IF(A579=A578,0,SUM(_xlfn._xlws.FILTER(E579:E588,(A579:A588=A579)*(F579&lt;0)))),0)</f>
        <v>0</v>
      </c>
      <c r="J579" s="293" t="str">
        <f ca="1">IFERROR(_xlfn.XLOOKUP(B579,TabCalc[Ticker],TabCalc[Cur]),"")</f>
        <v>USD</v>
      </c>
      <c r="K579" s="1023" cm="1">
        <f t="array" ref="K579">IFERROR(IF($A579=$A578,0,SUM(_xlfn._xlws.FILTER($E579:$E589,($A579:$A589=$A579)*($J579:$J589=K$42)))),0)</f>
        <v>0</v>
      </c>
      <c r="L579" s="1023" cm="1">
        <f t="array" ref="L579">IFERROR(IF($A579=$A578,0,SUM(_xlfn._xlws.FILTER($E579:$E589,($A579:$A589=$A579)*($J579:$J589=L$42)))),0)</f>
        <v>0</v>
      </c>
      <c r="M579" s="1023" cm="1">
        <f t="array" ref="M579">IFERROR(IF($A579=$A578,0,SUM(_xlfn._xlws.FILTER($E579:$E589,($A579:$A589=$A579)*($J579:$J589=M$42)))),0)</f>
        <v>0</v>
      </c>
      <c r="N579" s="1023" cm="1">
        <f t="array" ref="N579">IFERROR(IF($A579=$A578,0,SUM(_xlfn._xlws.FILTER($E579:$E589,($A579:$A589=$A579)*($J579:$J589=N$42)))),0)</f>
        <v>0</v>
      </c>
    </row>
    <row r="580" spans="1:14" hidden="1" x14ac:dyDescent="0.3">
      <c r="A580" s="463">
        <v>45943</v>
      </c>
      <c r="B580" s="446" t="s">
        <v>20</v>
      </c>
      <c r="C580" s="446">
        <v>1200</v>
      </c>
      <c r="D580" s="464">
        <v>-24.92</v>
      </c>
      <c r="E580" s="1022">
        <v>84.704999999999998</v>
      </c>
      <c r="F580" s="1023" cm="1">
        <f t="array" ref="F580">IF(A580=A579,0,SUM(_xlfn._xlws.FILTER(E580:E589,A580:A589=A580)))</f>
        <v>0</v>
      </c>
      <c r="G580" s="1024">
        <f>IF(F580&lt;&gt;0,SUM($F$43:F580),0)</f>
        <v>0</v>
      </c>
      <c r="H580" s="1024" cm="1">
        <f t="array" ref="H580">IFERROR(IF(A580=A579,0,SUM(_xlfn._xlws.FILTER(E580:E589,(A580:A589=A580)*(E580:E589&gt;0)))),0)</f>
        <v>0</v>
      </c>
      <c r="I580" s="1024" cm="1">
        <f t="array" ref="I580">IFERROR(IF(A580=A579,0,SUM(_xlfn._xlws.FILTER(E580:E589,(A580:A589=A580)*(F580&lt;0)))),0)</f>
        <v>0</v>
      </c>
      <c r="J580" s="293" t="str">
        <f ca="1">IFERROR(_xlfn.XLOOKUP(B580,TabCalc[Ticker],TabCalc[Cur]),"")</f>
        <v>USD</v>
      </c>
      <c r="K580" s="1023" cm="1">
        <f t="array" ref="K580">IFERROR(IF($A580=$A579,0,SUM(_xlfn._xlws.FILTER($E580:$E590,($A580:$A590=$A580)*($J580:$J590=K$42)))),0)</f>
        <v>0</v>
      </c>
      <c r="L580" s="1023" cm="1">
        <f t="array" ref="L580">IFERROR(IF($A580=$A579,0,SUM(_xlfn._xlws.FILTER($E580:$E590,($A580:$A590=$A580)*($J580:$J590=L$42)))),0)</f>
        <v>0</v>
      </c>
      <c r="M580" s="1023" cm="1">
        <f t="array" ref="M580">IFERROR(IF($A580=$A579,0,SUM(_xlfn._xlws.FILTER($E580:$E590,($A580:$A590=$A580)*($J580:$J590=M$42)))),0)</f>
        <v>0</v>
      </c>
      <c r="N580" s="1023" cm="1">
        <f t="array" ref="N580">IFERROR(IF($A580=$A579,0,SUM(_xlfn._xlws.FILTER($E580:$E590,($A580:$A590=$A580)*($J580:$J590=N$42)))),0)</f>
        <v>0</v>
      </c>
    </row>
    <row r="581" spans="1:14" hidden="1" x14ac:dyDescent="0.3">
      <c r="A581" s="449">
        <v>45944</v>
      </c>
      <c r="B581" s="449" t="s">
        <v>28</v>
      </c>
      <c r="C581" s="462">
        <v>300</v>
      </c>
      <c r="D581" s="452">
        <v>84.704999999999998</v>
      </c>
      <c r="E581" s="1022">
        <f ca="1">IFERROR(C581*D581*_xlfn.XLOOKUP(B581,TabCalc[Ticker],TabCalc[Scale]),0)</f>
        <v>25411.5</v>
      </c>
      <c r="F581" s="1023" cm="1">
        <f t="array" aca="1" ref="F581" ca="1">IF(A581=A580,0,SUM(_xlfn._xlws.FILTER(E581:E590,A581:A590=A581)))</f>
        <v>29259.360000000001</v>
      </c>
      <c r="G581" s="1024">
        <f ca="1">IF(F581&lt;&gt;0,SUM($F$43:F581),0)</f>
        <v>-2551343.7545730001</v>
      </c>
      <c r="H581" s="1024" cm="1">
        <f t="array" aca="1" ref="H581" ca="1">IFERROR(IF(A581=A580,0,SUM(_xlfn._xlws.FILTER(E581:E590,(A581:A590=A581)*(E581:E590&gt;0)))),0)</f>
        <v>29259.360000000001</v>
      </c>
      <c r="I581" s="1024" cm="1">
        <f t="array" aca="1" ref="I581" ca="1">IFERROR(IF(A581=A580,0,SUM(_xlfn._xlws.FILTER(E581:E590,(A581:A590=A581)*(F581&lt;0)))),0)</f>
        <v>0</v>
      </c>
      <c r="J581" s="293" t="str">
        <f ca="1">IFERROR(_xlfn.XLOOKUP(B581,TabCalc[Ticker],TabCalc[Cur]),"")</f>
        <v>USD</v>
      </c>
      <c r="K581" s="1023" cm="1">
        <f t="array" aca="1" ref="K581" ca="1">IFERROR(IF($A581=$A580,0,SUM(_xlfn._xlws.FILTER($E581:$E591,($A581:$A591=$A581)*($J581:$J591=K$42)))),0)</f>
        <v>0</v>
      </c>
      <c r="L581" s="1023" cm="1">
        <f t="array" aca="1" ref="L581" ca="1">IFERROR(IF($A581=$A580,0,SUM(_xlfn._xlws.FILTER($E581:$E591,($A581:$A591=$A581)*($J581:$J591=L$42)))),0)</f>
        <v>29259.360000000001</v>
      </c>
      <c r="M581" s="1023" cm="1">
        <f t="array" aca="1" ref="M581" ca="1">IFERROR(IF($A581=$A580,0,SUM(_xlfn._xlws.FILTER($E581:$E591,($A581:$A591=$A581)*($J581:$J591=M$42)))),0)</f>
        <v>0</v>
      </c>
      <c r="N581" s="1023" cm="1">
        <f t="array" aca="1" ref="N581" ca="1">IFERROR(IF($A581=$A580,0,SUM(_xlfn._xlws.FILTER($E581:$E591,($A581:$A591=$A581)*($J581:$J591=N$42)))),0)</f>
        <v>0</v>
      </c>
    </row>
    <row r="582" spans="1:14" hidden="1" x14ac:dyDescent="0.3">
      <c r="A582" s="449">
        <v>45944</v>
      </c>
      <c r="B582" s="449" t="s">
        <v>36</v>
      </c>
      <c r="C582" s="462">
        <v>9</v>
      </c>
      <c r="D582" s="452">
        <v>427.54</v>
      </c>
      <c r="E582" s="1022">
        <f ca="1">IFERROR(C582*D582*_xlfn.XLOOKUP(B582,TabCalc[Ticker],TabCalc[Scale]),0)</f>
        <v>3847.86</v>
      </c>
      <c r="F582" s="1023" cm="1">
        <f t="array" ref="F582">IF(A582=A581,0,SUM(_xlfn._xlws.FILTER(E582:E591,A582:A591=A582)))</f>
        <v>0</v>
      </c>
      <c r="G582" s="1024">
        <f>IF(F582&lt;&gt;0,SUM($F$43:F582),0)</f>
        <v>0</v>
      </c>
      <c r="H582" s="1024" cm="1">
        <f t="array" ref="H582">IFERROR(IF(A582=A581,0,SUM(_xlfn._xlws.FILTER(E582:E591,(A582:A591=A582)*(E582:E591&gt;0)))),0)</f>
        <v>0</v>
      </c>
      <c r="I582" s="1024" cm="1">
        <f t="array" ref="I582">IFERROR(IF(A582=A581,0,SUM(_xlfn._xlws.FILTER(E582:E591,(A582:A591=A582)*(F582&lt;0)))),0)</f>
        <v>0</v>
      </c>
      <c r="J582" s="293" t="str">
        <f ca="1">IFERROR(_xlfn.XLOOKUP(B582,TabCalc[Ticker],TabCalc[Cur]),"")</f>
        <v>USD</v>
      </c>
      <c r="K582" s="1023" cm="1">
        <f t="array" ref="K582">IFERROR(IF($A582=$A581,0,SUM(_xlfn._xlws.FILTER($E582:$E592,($A582:$A592=$A582)*($J582:$J592=K$42)))),0)</f>
        <v>0</v>
      </c>
      <c r="L582" s="1023" cm="1">
        <f t="array" ref="L582">IFERROR(IF($A582=$A581,0,SUM(_xlfn._xlws.FILTER($E582:$E592,($A582:$A592=$A582)*($J582:$J592=L$42)))),0)</f>
        <v>0</v>
      </c>
      <c r="M582" s="1023" cm="1">
        <f t="array" ref="M582">IFERROR(IF($A582=$A581,0,SUM(_xlfn._xlws.FILTER($E582:$E592,($A582:$A592=$A582)*($J582:$J592=M$42)))),0)</f>
        <v>0</v>
      </c>
      <c r="N582" s="1023" cm="1">
        <f t="array" ref="N582">IFERROR(IF($A582=$A581,0,SUM(_xlfn._xlws.FILTER($E582:$E592,($A582:$A592=$A582)*($J582:$J592=N$42)))),0)</f>
        <v>0</v>
      </c>
    </row>
    <row r="583" spans="1:14" hidden="1" x14ac:dyDescent="0.3">
      <c r="A583" s="463">
        <v>45945</v>
      </c>
      <c r="B583" s="446" t="s">
        <v>21</v>
      </c>
      <c r="C583" s="446">
        <v>1000</v>
      </c>
      <c r="D583" s="446">
        <v>28.94</v>
      </c>
      <c r="E583" s="1022">
        <f ca="1">IFERROR(C583*D583*_xlfn.XLOOKUP(B583,TabCalc[Ticker],TabCalc[Scale]),0)</f>
        <v>28940</v>
      </c>
      <c r="F583" s="1023" cm="1">
        <f t="array" aca="1" ref="F583" ca="1">IF(A583=A582,0,SUM(_xlfn._xlws.FILTER(E583:E592,A583:A592=A583)))</f>
        <v>150366.46000000002</v>
      </c>
      <c r="G583" s="1024">
        <f ca="1">IF(F583&lt;&gt;0,SUM($F$43:F583),0)</f>
        <v>-2400977.2945730002</v>
      </c>
      <c r="H583" s="1024" cm="1">
        <f t="array" aca="1" ref="H583" ca="1">IFERROR(IF(A583=A582,0,SUM(_xlfn._xlws.FILTER(E583:E592,(A583:A592=A583)*(E583:E592&gt;0)))),0)</f>
        <v>150366.46000000002</v>
      </c>
      <c r="I583" s="1024" cm="1">
        <f t="array" aca="1" ref="I583" ca="1">IFERROR(IF(A583=A582,0,SUM(_xlfn._xlws.FILTER(E583:E592,(A583:A592=A583)*(F583&lt;0)))),0)</f>
        <v>0</v>
      </c>
      <c r="J583" s="293" t="str">
        <f ca="1">IFERROR(_xlfn.XLOOKUP(B583,TabCalc[Ticker],TabCalc[Cur]),"")</f>
        <v>USD</v>
      </c>
      <c r="K583" s="1023" cm="1">
        <f t="array" aca="1" ref="K583" ca="1">IFERROR(IF($A583=$A582,0,SUM(_xlfn._xlws.FILTER($E583:$E593,($A583:$A593=$A583)*($J583:$J593=K$42)))),0)</f>
        <v>0</v>
      </c>
      <c r="L583" s="1023" cm="1">
        <f t="array" aca="1" ref="L583" ca="1">IFERROR(IF($A583=$A582,0,SUM(_xlfn._xlws.FILTER($E583:$E593,($A583:$A593=$A583)*($J583:$J593=L$42)))),0)</f>
        <v>150366.46000000002</v>
      </c>
      <c r="M583" s="1023" cm="1">
        <f t="array" aca="1" ref="M583" ca="1">IFERROR(IF($A583=$A582,0,SUM(_xlfn._xlws.FILTER($E583:$E593,($A583:$A593=$A583)*($J583:$J593=M$42)))),0)</f>
        <v>0</v>
      </c>
      <c r="N583" s="1023" cm="1">
        <f t="array" aca="1" ref="N583" ca="1">IFERROR(IF($A583=$A582,0,SUM(_xlfn._xlws.FILTER($E583:$E593,($A583:$A593=$A583)*($J583:$J593=N$42)))),0)</f>
        <v>0</v>
      </c>
    </row>
    <row r="584" spans="1:14" hidden="1" x14ac:dyDescent="0.3">
      <c r="A584" s="463">
        <v>45945</v>
      </c>
      <c r="B584" s="446" t="s">
        <v>33</v>
      </c>
      <c r="C584" s="446">
        <v>2000</v>
      </c>
      <c r="D584" s="446">
        <v>5.61</v>
      </c>
      <c r="E584" s="1022">
        <f ca="1">IFERROR(C584*D584*_xlfn.XLOOKUP(B584,TabCalc[Ticker],TabCalc[Scale]),0)</f>
        <v>11220</v>
      </c>
      <c r="F584" s="1023" cm="1">
        <f t="array" ref="F584">IF(A584=A583,0,SUM(_xlfn._xlws.FILTER(E584:E593,A584:A593=A584)))</f>
        <v>0</v>
      </c>
      <c r="G584" s="1024">
        <f>IF(F584&lt;&gt;0,SUM($F$43:F584),0)</f>
        <v>0</v>
      </c>
      <c r="H584" s="1024" cm="1">
        <f t="array" ref="H584">IFERROR(IF(A584=A583,0,SUM(_xlfn._xlws.FILTER(E584:E593,(A584:A593=A584)*(E584:E593&gt;0)))),0)</f>
        <v>0</v>
      </c>
      <c r="I584" s="1024" cm="1">
        <f t="array" ref="I584">IFERROR(IF(A584=A583,0,SUM(_xlfn._xlws.FILTER(E584:E593,(A584:A593=A584)*(F584&lt;0)))),0)</f>
        <v>0</v>
      </c>
      <c r="J584" s="293" t="str">
        <f ca="1">IFERROR(_xlfn.XLOOKUP(B584,TabCalc[Ticker],TabCalc[Cur]),"")</f>
        <v>USD</v>
      </c>
      <c r="K584" s="1023" cm="1">
        <f t="array" ref="K584">IFERROR(IF($A584=$A583,0,SUM(_xlfn._xlws.FILTER($E584:$E594,($A584:$A594=$A584)*($J584:$J594=K$42)))),0)</f>
        <v>0</v>
      </c>
      <c r="L584" s="1023" cm="1">
        <f t="array" ref="L584">IFERROR(IF($A584=$A583,0,SUM(_xlfn._xlws.FILTER($E584:$E594,($A584:$A594=$A584)*($J584:$J594=L$42)))),0)</f>
        <v>0</v>
      </c>
      <c r="M584" s="1023" cm="1">
        <f t="array" ref="M584">IFERROR(IF($A584=$A583,0,SUM(_xlfn._xlws.FILTER($E584:$E594,($A584:$A594=$A584)*($J584:$J594=M$42)))),0)</f>
        <v>0</v>
      </c>
      <c r="N584" s="1023" cm="1">
        <f t="array" ref="N584">IFERROR(IF($A584=$A583,0,SUM(_xlfn._xlws.FILTER($E584:$E594,($A584:$A594=$A584)*($J584:$J594=N$42)))),0)</f>
        <v>0</v>
      </c>
    </row>
    <row r="585" spans="1:14" hidden="1" x14ac:dyDescent="0.3">
      <c r="A585" s="463">
        <v>45945</v>
      </c>
      <c r="B585" s="446" t="s">
        <v>9</v>
      </c>
      <c r="C585" s="446">
        <v>1000</v>
      </c>
      <c r="D585" s="446">
        <v>69.34</v>
      </c>
      <c r="E585" s="1022">
        <f ca="1">IFERROR(C585*D585*_xlfn.XLOOKUP(B585,TabCalc[Ticker],TabCalc[Scale]),0)</f>
        <v>69340</v>
      </c>
      <c r="F585" s="1023" cm="1">
        <f t="array" ref="F585">IF(A585=A584,0,SUM(_xlfn._xlws.FILTER(E585:E594,A585:A594=A585)))</f>
        <v>0</v>
      </c>
      <c r="G585" s="1024">
        <f>IF(F585&lt;&gt;0,SUM($F$43:F585),0)</f>
        <v>0</v>
      </c>
      <c r="H585" s="1024" cm="1">
        <f t="array" ref="H585">IFERROR(IF(A585=A584,0,SUM(_xlfn._xlws.FILTER(E585:E594,(A585:A594=A585)*(E585:E594&gt;0)))),0)</f>
        <v>0</v>
      </c>
      <c r="I585" s="1024" cm="1">
        <f t="array" ref="I585">IFERROR(IF(A585=A584,0,SUM(_xlfn._xlws.FILTER(E585:E594,(A585:A594=A585)*(F585&lt;0)))),0)</f>
        <v>0</v>
      </c>
      <c r="J585" s="293" t="str">
        <f ca="1">IFERROR(_xlfn.XLOOKUP(B585,TabCalc[Ticker],TabCalc[Cur]),"")</f>
        <v>USD</v>
      </c>
      <c r="K585" s="1023" cm="1">
        <f t="array" ref="K585">IFERROR(IF($A585=$A584,0,SUM(_xlfn._xlws.FILTER($E585:$E595,($A585:$A595=$A585)*($J585:$J595=K$42)))),0)</f>
        <v>0</v>
      </c>
      <c r="L585" s="1023" cm="1">
        <f t="array" ref="L585">IFERROR(IF($A585=$A584,0,SUM(_xlfn._xlws.FILTER($E585:$E595,($A585:$A595=$A585)*($J585:$J595=L$42)))),0)</f>
        <v>0</v>
      </c>
      <c r="M585" s="1023" cm="1">
        <f t="array" ref="M585">IFERROR(IF($A585=$A584,0,SUM(_xlfn._xlws.FILTER($E585:$E595,($A585:$A595=$A585)*($J585:$J595=M$42)))),0)</f>
        <v>0</v>
      </c>
      <c r="N585" s="1023" cm="1">
        <f t="array" ref="N585">IFERROR(IF($A585=$A584,0,SUM(_xlfn._xlws.FILTER($E585:$E595,($A585:$A595=$A585)*($J585:$J595=N$42)))),0)</f>
        <v>0</v>
      </c>
    </row>
    <row r="586" spans="1:14" hidden="1" x14ac:dyDescent="0.3">
      <c r="A586" s="463">
        <v>45945</v>
      </c>
      <c r="B586" s="446" t="s">
        <v>39</v>
      </c>
      <c r="C586" s="446">
        <v>149</v>
      </c>
      <c r="D586" s="446">
        <v>16.54</v>
      </c>
      <c r="E586" s="1022">
        <f ca="1">IFERROR(C586*D586*_xlfn.XLOOKUP(B586,TabCalc[Ticker],TabCalc[Scale]),0)</f>
        <v>2464.46</v>
      </c>
      <c r="F586" s="1023" cm="1">
        <f t="array" ref="F586">IF(A586=A585,0,SUM(_xlfn._xlws.FILTER(E586:E595,A586:A595=A586)))</f>
        <v>0</v>
      </c>
      <c r="G586" s="1024">
        <f>IF(F586&lt;&gt;0,SUM($F$43:F586),0)</f>
        <v>0</v>
      </c>
      <c r="H586" s="1024" cm="1">
        <f t="array" ref="H586">IFERROR(IF(A586=A585,0,SUM(_xlfn._xlws.FILTER(E586:E595,(A586:A595=A586)*(E586:E595&gt;0)))),0)</f>
        <v>0</v>
      </c>
      <c r="I586" s="1024" cm="1">
        <f t="array" ref="I586">IFERROR(IF(A586=A585,0,SUM(_xlfn._xlws.FILTER(E586:E595,(A586:A595=A586)*(F586&lt;0)))),0)</f>
        <v>0</v>
      </c>
      <c r="J586" s="293" t="str">
        <f ca="1">IFERROR(_xlfn.XLOOKUP(B586,TabCalc[Ticker],TabCalc[Cur]),"")</f>
        <v>USD</v>
      </c>
      <c r="K586" s="1023" cm="1">
        <f t="array" ref="K586">IFERROR(IF($A586=$A585,0,SUM(_xlfn._xlws.FILTER($E586:$E596,($A586:$A596=$A586)*($J586:$J596=K$42)))),0)</f>
        <v>0</v>
      </c>
      <c r="L586" s="1023" cm="1">
        <f t="array" ref="L586">IFERROR(IF($A586=$A585,0,SUM(_xlfn._xlws.FILTER($E586:$E596,($A586:$A596=$A586)*($J586:$J596=L$42)))),0)</f>
        <v>0</v>
      </c>
      <c r="M586" s="1023" cm="1">
        <f t="array" ref="M586">IFERROR(IF($A586=$A585,0,SUM(_xlfn._xlws.FILTER($E586:$E596,($A586:$A596=$A586)*($J586:$J596=M$42)))),0)</f>
        <v>0</v>
      </c>
      <c r="N586" s="1023" cm="1">
        <f t="array" ref="N586">IFERROR(IF($A586=$A585,0,SUM(_xlfn._xlws.FILTER($E586:$E596,($A586:$A596=$A586)*($J586:$J596=N$42)))),0)</f>
        <v>0</v>
      </c>
    </row>
    <row r="587" spans="1:14" hidden="1" x14ac:dyDescent="0.3">
      <c r="A587" s="463">
        <v>45945</v>
      </c>
      <c r="B587" s="446" t="s">
        <v>80</v>
      </c>
      <c r="C587" s="446">
        <v>200</v>
      </c>
      <c r="D587" s="446">
        <v>192.01</v>
      </c>
      <c r="E587" s="1022">
        <f ca="1">IFERROR(C587*D587*_xlfn.XLOOKUP(B587,TabCalc[Ticker],TabCalc[Scale]),0)</f>
        <v>38402</v>
      </c>
      <c r="F587" s="1023" cm="1">
        <f t="array" ref="F587">IF(A587=A586,0,SUM(_xlfn._xlws.FILTER(E587:E596,A587:A596=A587)))</f>
        <v>0</v>
      </c>
      <c r="G587" s="1024">
        <f>IF(F587&lt;&gt;0,SUM($F$43:F587),0)</f>
        <v>0</v>
      </c>
      <c r="H587" s="1024" cm="1">
        <f t="array" ref="H587">IFERROR(IF(A587=A586,0,SUM(_xlfn._xlws.FILTER(E587:E596,(A587:A596=A587)*(E587:E596&gt;0)))),0)</f>
        <v>0</v>
      </c>
      <c r="I587" s="1024" cm="1">
        <f t="array" ref="I587">IFERROR(IF(A587=A586,0,SUM(_xlfn._xlws.FILTER(E587:E596,(A587:A596=A587)*(F587&lt;0)))),0)</f>
        <v>0</v>
      </c>
      <c r="J587" s="293" t="str">
        <f ca="1">IFERROR(_xlfn.XLOOKUP(B587,TabCalc[Ticker],TabCalc[Cur]),"")</f>
        <v>USD</v>
      </c>
      <c r="K587" s="1023" cm="1">
        <f t="array" ref="K587">IFERROR(IF($A587=$A586,0,SUM(_xlfn._xlws.FILTER($E587:$E597,($A587:$A597=$A587)*($J587:$J597=K$42)))),0)</f>
        <v>0</v>
      </c>
      <c r="L587" s="1023" cm="1">
        <f t="array" ref="L587">IFERROR(IF($A587=$A586,0,SUM(_xlfn._xlws.FILTER($E587:$E597,($A587:$A597=$A587)*($J587:$J597=L$42)))),0)</f>
        <v>0</v>
      </c>
      <c r="M587" s="1023" cm="1">
        <f t="array" ref="M587">IFERROR(IF($A587=$A586,0,SUM(_xlfn._xlws.FILTER($E587:$E597,($A587:$A597=$A587)*($J587:$J597=M$42)))),0)</f>
        <v>0</v>
      </c>
      <c r="N587" s="1023" cm="1">
        <f t="array" ref="N587">IFERROR(IF($A587=$A586,0,SUM(_xlfn._xlws.FILTER($E587:$E597,($A587:$A597=$A587)*($J587:$J597=N$42)))),0)</f>
        <v>0</v>
      </c>
    </row>
    <row r="588" spans="1:14" hidden="1" x14ac:dyDescent="0.3">
      <c r="A588" s="449">
        <v>45946</v>
      </c>
      <c r="B588" s="449" t="s">
        <v>32</v>
      </c>
      <c r="C588" s="462">
        <v>100</v>
      </c>
      <c r="D588" s="452">
        <v>893.2</v>
      </c>
      <c r="E588" s="1022">
        <f ca="1">IFERROR(C588*D588*_xlfn.XLOOKUP(B588,TabCalc[Ticker],TabCalc[Scale]),0)</f>
        <v>89320</v>
      </c>
      <c r="F588" s="1023" cm="1">
        <f t="array" aca="1" ref="F588" ca="1">IF(A588=A587,0,SUM(_xlfn._xlws.FILTER(E588:E597,A588:A597=A588)))</f>
        <v>-42706.000000000015</v>
      </c>
      <c r="G588" s="1024">
        <f ca="1">IF(F588&lt;&gt;0,SUM($F$43:F588),0)</f>
        <v>-2443683.2945730002</v>
      </c>
      <c r="H588" s="1024" cm="1">
        <f t="array" aca="1" ref="H588" ca="1">IFERROR(IF(A588=A587,0,SUM(_xlfn._xlws.FILTER(E588:E597,(A588:A597=A588)*(E588:E597&gt;0)))),0)</f>
        <v>162590</v>
      </c>
      <c r="I588" s="1024" cm="1">
        <f t="array" aca="1" ref="I588" ca="1">IFERROR(IF(A588=A587,0,SUM(_xlfn._xlws.FILTER(E588:E597,(A588:A597=A588)*(F588&lt;0)))),0)</f>
        <v>-42706.000000000015</v>
      </c>
      <c r="J588" s="293" t="str">
        <f ca="1">IFERROR(_xlfn.XLOOKUP(B588,TabCalc[Ticker],TabCalc[Cur]),"")</f>
        <v>EUR</v>
      </c>
      <c r="K588" s="1023" cm="1">
        <f t="array" aca="1" ref="K588" ca="1">IFERROR(IF($A588=$A587,0,SUM(_xlfn._xlws.FILTER($E588:$E598,($A588:$A598=$A588)*($J588:$J598=K$42)))),0)</f>
        <v>89320</v>
      </c>
      <c r="L588" s="1023" cm="1">
        <f t="array" aca="1" ref="L588" ca="1">IFERROR(IF($A588=$A587,0,SUM(_xlfn._xlws.FILTER($E588:$E598,($A588:$A598=$A588)*($J588:$J598=L$42)))),0)</f>
        <v>-72226</v>
      </c>
      <c r="M588" s="1023" cm="1">
        <f t="array" aca="1" ref="M588" ca="1">IFERROR(IF($A588=$A587,0,SUM(_xlfn._xlws.FILTER($E588:$E598,($A588:$A598=$A588)*($J588:$J598=M$42)))),0)</f>
        <v>0</v>
      </c>
      <c r="N588" s="1023" cm="1">
        <f t="array" aca="1" ref="N588" ca="1">IFERROR(IF($A588=$A587,0,SUM(_xlfn._xlws.FILTER($E588:$E598,($A588:$A598=$A588)*($J588:$J598=N$42)))),0)</f>
        <v>-59800</v>
      </c>
    </row>
    <row r="589" spans="1:14" hidden="1" x14ac:dyDescent="0.3">
      <c r="A589" s="449">
        <v>45946</v>
      </c>
      <c r="B589" s="449" t="s">
        <v>48</v>
      </c>
      <c r="C589" s="462">
        <v>1000</v>
      </c>
      <c r="D589" s="452">
        <v>-59.8</v>
      </c>
      <c r="E589" s="1022">
        <f ca="1">IFERROR(C589*D589*_xlfn.XLOOKUP(B589,TabCalc[Ticker],TabCalc[Scale]),0)</f>
        <v>-59800</v>
      </c>
      <c r="F589" s="1023" cm="1">
        <f t="array" ref="F589">IF(A589=A588,0,SUM(_xlfn._xlws.FILTER(E589:E598,A589:A598=A589)))</f>
        <v>0</v>
      </c>
      <c r="G589" s="1024">
        <f>IF(F589&lt;&gt;0,SUM($F$43:F589),0)</f>
        <v>0</v>
      </c>
      <c r="H589" s="1024" cm="1">
        <f t="array" ref="H589">IFERROR(IF(A589=A588,0,SUM(_xlfn._xlws.FILTER(E589:E598,(A589:A598=A589)*(E589:E598&gt;0)))),0)</f>
        <v>0</v>
      </c>
      <c r="I589" s="1024" cm="1">
        <f t="array" ref="I589">IFERROR(IF(A589=A588,0,SUM(_xlfn._xlws.FILTER(E589:E598,(A589:A598=A589)*(F589&lt;0)))),0)</f>
        <v>0</v>
      </c>
      <c r="J589" s="293" t="str">
        <f ca="1">IFERROR(_xlfn.XLOOKUP(B589,TabCalc[Ticker],TabCalc[Cur]),"")</f>
        <v>CHF</v>
      </c>
      <c r="K589" s="1023" cm="1">
        <f t="array" ref="K589">IFERROR(IF($A589=$A588,0,SUM(_xlfn._xlws.FILTER($E589:$E599,($A589:$A599=$A589)*($J589:$J599=K$42)))),0)</f>
        <v>0</v>
      </c>
      <c r="L589" s="1023" cm="1">
        <f t="array" ref="L589">IFERROR(IF($A589=$A588,0,SUM(_xlfn._xlws.FILTER($E589:$E599,($A589:$A599=$A589)*($J589:$J599=L$42)))),0)</f>
        <v>0</v>
      </c>
      <c r="M589" s="1023" cm="1">
        <f t="array" ref="M589">IFERROR(IF($A589=$A588,0,SUM(_xlfn._xlws.FILTER($E589:$E599,($A589:$A599=$A589)*($J589:$J599=M$42)))),0)</f>
        <v>0</v>
      </c>
      <c r="N589" s="1023" cm="1">
        <f t="array" ref="N589">IFERROR(IF($A589=$A588,0,SUM(_xlfn._xlws.FILTER($E589:$E599,($A589:$A599=$A589)*($J589:$J599=N$42)))),0)</f>
        <v>0</v>
      </c>
    </row>
    <row r="590" spans="1:14" hidden="1" x14ac:dyDescent="0.3">
      <c r="A590" s="449">
        <v>45946</v>
      </c>
      <c r="B590" s="449" t="s">
        <v>21</v>
      </c>
      <c r="C590" s="462">
        <v>1000</v>
      </c>
      <c r="D590" s="452">
        <v>-27.53</v>
      </c>
      <c r="E590" s="1022">
        <f ca="1">IFERROR(C590*D590*_xlfn.XLOOKUP(B590,TabCalc[Ticker],TabCalc[Scale]),0)</f>
        <v>-27530</v>
      </c>
      <c r="F590" s="1023" cm="1">
        <f t="array" ref="F590">IF(A590=A589,0,SUM(_xlfn._xlws.FILTER(E590:E599,A590:A599=A590)))</f>
        <v>0</v>
      </c>
      <c r="G590" s="1024">
        <f>IF(F590&lt;&gt;0,SUM($F$43:F590),0)</f>
        <v>0</v>
      </c>
      <c r="H590" s="1024" cm="1">
        <f t="array" ref="H590">IFERROR(IF(A590=A589,0,SUM(_xlfn._xlws.FILTER(E590:E599,(A590:A599=A590)*(E590:E599&gt;0)))),0)</f>
        <v>0</v>
      </c>
      <c r="I590" s="1024" cm="1">
        <f t="array" ref="I590">IFERROR(IF(A590=A589,0,SUM(_xlfn._xlws.FILTER(E590:E599,(A590:A599=A590)*(F590&lt;0)))),0)</f>
        <v>0</v>
      </c>
      <c r="J590" s="293" t="str">
        <f ca="1">IFERROR(_xlfn.XLOOKUP(B590,TabCalc[Ticker],TabCalc[Cur]),"")</f>
        <v>USD</v>
      </c>
      <c r="K590" s="1023" cm="1">
        <f t="array" ref="K590">IFERROR(IF($A590=$A589,0,SUM(_xlfn._xlws.FILTER($E590:$E600,($A590:$A600=$A590)*($J590:$J600=K$42)))),0)</f>
        <v>0</v>
      </c>
      <c r="L590" s="1023" cm="1">
        <f t="array" ref="L590">IFERROR(IF($A590=$A589,0,SUM(_xlfn._xlws.FILTER($E590:$E600,($A590:$A600=$A590)*($J590:$J600=L$42)))),0)</f>
        <v>0</v>
      </c>
      <c r="M590" s="1023" cm="1">
        <f t="array" ref="M590">IFERROR(IF($A590=$A589,0,SUM(_xlfn._xlws.FILTER($E590:$E600,($A590:$A600=$A590)*($J590:$J600=M$42)))),0)</f>
        <v>0</v>
      </c>
      <c r="N590" s="1023" cm="1">
        <f t="array" ref="N590">IFERROR(IF($A590=$A589,0,SUM(_xlfn._xlws.FILTER($E590:$E600,($A590:$A600=$A590)*($J590:$J600=N$42)))),0)</f>
        <v>0</v>
      </c>
    </row>
    <row r="591" spans="1:14" hidden="1" x14ac:dyDescent="0.3">
      <c r="A591" s="449">
        <v>45946</v>
      </c>
      <c r="B591" s="449" t="s">
        <v>30</v>
      </c>
      <c r="C591" s="462">
        <v>100</v>
      </c>
      <c r="D591" s="452">
        <v>-1179.6600000000001</v>
      </c>
      <c r="E591" s="1022">
        <f ca="1">IFERROR(C591*D591*_xlfn.XLOOKUP(B591,TabCalc[Ticker],TabCalc[Scale]),0)</f>
        <v>-117966.00000000001</v>
      </c>
      <c r="F591" s="1023" cm="1">
        <f t="array" ref="F591">IF(A591=A590,0,SUM(_xlfn._xlws.FILTER(E591:E600,A591:A600=A591)))</f>
        <v>0</v>
      </c>
      <c r="G591" s="1024">
        <f>IF(F591&lt;&gt;0,SUM($F$43:F591),0)</f>
        <v>0</v>
      </c>
      <c r="H591" s="1024" cm="1">
        <f t="array" ref="H591">IFERROR(IF(A591=A590,0,SUM(_xlfn._xlws.FILTER(E591:E600,(A591:A600=A591)*(E591:E600&gt;0)))),0)</f>
        <v>0</v>
      </c>
      <c r="I591" s="1024" cm="1">
        <f t="array" ref="I591">IFERROR(IF(A591=A590,0,SUM(_xlfn._xlws.FILTER(E591:E600,(A591:A600=A591)*(F591&lt;0)))),0)</f>
        <v>0</v>
      </c>
      <c r="J591" s="293" t="str">
        <f ca="1">IFERROR(_xlfn.XLOOKUP(B591,TabCalc[Ticker],TabCalc[Cur]),"")</f>
        <v>USD</v>
      </c>
      <c r="K591" s="1023" cm="1">
        <f t="array" ref="K591">IFERROR(IF($A591=$A590,0,SUM(_xlfn._xlws.FILTER($E591:$E601,($A591:$A601=$A591)*($J591:$J601=K$42)))),0)</f>
        <v>0</v>
      </c>
      <c r="L591" s="1023" cm="1">
        <f t="array" ref="L591">IFERROR(IF($A591=$A590,0,SUM(_xlfn._xlws.FILTER($E591:$E601,($A591:$A601=$A591)*($J591:$J601=L$42)))),0)</f>
        <v>0</v>
      </c>
      <c r="M591" s="1023" cm="1">
        <f t="array" ref="M591">IFERROR(IF($A591=$A590,0,SUM(_xlfn._xlws.FILTER($E591:$E601,($A591:$A601=$A591)*($J591:$J601=M$42)))),0)</f>
        <v>0</v>
      </c>
      <c r="N591" s="1023" cm="1">
        <f t="array" ref="N591">IFERROR(IF($A591=$A590,0,SUM(_xlfn._xlws.FILTER($E591:$E601,($A591:$A601=$A591)*($J591:$J601=N$42)))),0)</f>
        <v>0</v>
      </c>
    </row>
    <row r="592" spans="1:14" hidden="1" x14ac:dyDescent="0.3">
      <c r="A592" s="449">
        <v>45946</v>
      </c>
      <c r="B592" s="449" t="s">
        <v>78</v>
      </c>
      <c r="C592" s="462">
        <v>12000</v>
      </c>
      <c r="D592" s="452">
        <v>1.91</v>
      </c>
      <c r="E592" s="1022">
        <f ca="1">IFERROR(C592*D592*_xlfn.XLOOKUP(B592,TabCalc[Ticker],TabCalc[Scale]),0)</f>
        <v>22920</v>
      </c>
      <c r="F592" s="1023" cm="1">
        <f t="array" ref="F592">IF(A592=A591,0,SUM(_xlfn._xlws.FILTER(E592:E601,A592:A601=A592)))</f>
        <v>0</v>
      </c>
      <c r="G592" s="1024">
        <f>IF(F592&lt;&gt;0,SUM($F$43:F592),0)</f>
        <v>0</v>
      </c>
      <c r="H592" s="1024" cm="1">
        <f t="array" ref="H592">IFERROR(IF(A592=A591,0,SUM(_xlfn._xlws.FILTER(E592:E601,(A592:A601=A592)*(E592:E601&gt;0)))),0)</f>
        <v>0</v>
      </c>
      <c r="I592" s="1024" cm="1">
        <f t="array" ref="I592">IFERROR(IF(A592=A591,0,SUM(_xlfn._xlws.FILTER(E592:E601,(A592:A601=A592)*(F592&lt;0)))),0)</f>
        <v>0</v>
      </c>
      <c r="J592" s="293" t="str">
        <f ca="1">IFERROR(_xlfn.XLOOKUP(B592,TabCalc[Ticker],TabCalc[Cur]),"")</f>
        <v>USD</v>
      </c>
      <c r="K592" s="1023" cm="1">
        <f t="array" ref="K592">IFERROR(IF($A592=$A591,0,SUM(_xlfn._xlws.FILTER($E592:$E602,($A592:$A602=$A592)*($J592:$J602=K$42)))),0)</f>
        <v>0</v>
      </c>
      <c r="L592" s="1023" cm="1">
        <f t="array" ref="L592">IFERROR(IF($A592=$A591,0,SUM(_xlfn._xlws.FILTER($E592:$E602,($A592:$A602=$A592)*($J592:$J602=L$42)))),0)</f>
        <v>0</v>
      </c>
      <c r="M592" s="1023" cm="1">
        <f t="array" ref="M592">IFERROR(IF($A592=$A591,0,SUM(_xlfn._xlws.FILTER($E592:$E602,($A592:$A602=$A592)*($J592:$J602=M$42)))),0)</f>
        <v>0</v>
      </c>
      <c r="N592" s="1023" cm="1">
        <f t="array" ref="N592">IFERROR(IF($A592=$A591,0,SUM(_xlfn._xlws.FILTER($E592:$E602,($A592:$A602=$A592)*($J592:$J602=N$42)))),0)</f>
        <v>0</v>
      </c>
    </row>
    <row r="593" spans="1:14" hidden="1" x14ac:dyDescent="0.3">
      <c r="A593" s="449">
        <v>45946</v>
      </c>
      <c r="B593" s="449" t="s">
        <v>49</v>
      </c>
      <c r="C593" s="462">
        <v>5000</v>
      </c>
      <c r="D593" s="452">
        <v>10.07</v>
      </c>
      <c r="E593" s="1022">
        <f ca="1">IFERROR(C593*D593*_xlfn.XLOOKUP(B593,TabCalc[Ticker],TabCalc[Scale]),0)</f>
        <v>50350</v>
      </c>
      <c r="F593" s="1023" cm="1">
        <f t="array" ref="F593">IF(A593=A592,0,SUM(_xlfn._xlws.FILTER(E593:E602,A593:A602=A593)))</f>
        <v>0</v>
      </c>
      <c r="G593" s="1024">
        <f>IF(F593&lt;&gt;0,SUM($F$43:F593),0)</f>
        <v>0</v>
      </c>
      <c r="H593" s="1024" cm="1">
        <f t="array" ref="H593">IFERROR(IF(A593=A592,0,SUM(_xlfn._xlws.FILTER(E593:E602,(A593:A602=A593)*(E593:E602&gt;0)))),0)</f>
        <v>0</v>
      </c>
      <c r="I593" s="1024" cm="1">
        <f t="array" ref="I593">IFERROR(IF(A593=A592,0,SUM(_xlfn._xlws.FILTER(E593:E602,(A593:A602=A593)*(F593&lt;0)))),0)</f>
        <v>0</v>
      </c>
      <c r="J593" s="293" t="str">
        <f ca="1">IFERROR(_xlfn.XLOOKUP(B593,TabCalc[Ticker],TabCalc[Cur]),"")</f>
        <v>USD</v>
      </c>
      <c r="K593" s="1023" cm="1">
        <f t="array" ref="K593">IFERROR(IF($A593=$A592,0,SUM(_xlfn._xlws.FILTER($E593:$E603,($A593:$A603=$A593)*($J593:$J603=K$42)))),0)</f>
        <v>0</v>
      </c>
      <c r="L593" s="1023" cm="1">
        <f t="array" ref="L593">IFERROR(IF($A593=$A592,0,SUM(_xlfn._xlws.FILTER($E593:$E603,($A593:$A603=$A593)*($J593:$J603=L$42)))),0)</f>
        <v>0</v>
      </c>
      <c r="M593" s="1023" cm="1">
        <f t="array" ref="M593">IFERROR(IF($A593=$A592,0,SUM(_xlfn._xlws.FILTER($E593:$E603,($A593:$A603=$A593)*($J593:$J603=M$42)))),0)</f>
        <v>0</v>
      </c>
      <c r="N593" s="1023" cm="1">
        <f t="array" ref="N593">IFERROR(IF($A593=$A592,0,SUM(_xlfn._xlws.FILTER($E593:$E603,($A593:$A603=$A593)*($J593:$J603=N$42)))),0)</f>
        <v>0</v>
      </c>
    </row>
    <row r="594" spans="1:14" hidden="1" x14ac:dyDescent="0.3">
      <c r="A594" s="463">
        <v>45947</v>
      </c>
      <c r="B594" s="446" t="s">
        <v>48</v>
      </c>
      <c r="C594" s="446">
        <v>1000</v>
      </c>
      <c r="D594" s="464">
        <v>-58.89</v>
      </c>
      <c r="E594" s="1022">
        <f ca="1">IFERROR(C594*D594*_xlfn.XLOOKUP(B594,TabCalc[Ticker],TabCalc[Scale]),0)</f>
        <v>-58890</v>
      </c>
      <c r="F594" s="1023" cm="1">
        <f t="array" aca="1" ref="F594" ca="1">IF(A594=A593,0,SUM(_xlfn._xlws.FILTER(E594:E603,A594:A603=A594)))</f>
        <v>121550.1</v>
      </c>
      <c r="G594" s="1024">
        <f ca="1">IF(F594&lt;&gt;0,SUM($F$43:F594),0)</f>
        <v>-2322133.1945730001</v>
      </c>
      <c r="H594" s="1024" cm="1">
        <f t="array" aca="1" ref="H594" ca="1">IFERROR(IF(A594=A593,0,SUM(_xlfn._xlws.FILTER(E594:E603,(A594:A603=A594)*(E594:E603&gt;0)))),0)</f>
        <v>234460.1</v>
      </c>
      <c r="I594" s="1024" cm="1">
        <f t="array" aca="1" ref="I594" ca="1">IFERROR(IF(A594=A593,0,SUM(_xlfn._xlws.FILTER(E594:E603,(A594:A603=A594)*(F594&lt;0)))),0)</f>
        <v>0</v>
      </c>
      <c r="J594" s="293" t="str">
        <f ca="1">IFERROR(_xlfn.XLOOKUP(B594,TabCalc[Ticker],TabCalc[Cur]),"")</f>
        <v>CHF</v>
      </c>
      <c r="K594" s="1023" cm="1">
        <f t="array" aca="1" ref="K594" ca="1">IFERROR(IF($A594=$A593,0,SUM(_xlfn._xlws.FILTER($E594:$E604,($A594:$A604=$A594)*($J594:$J604=K$42)))),0)</f>
        <v>32240.100000000006</v>
      </c>
      <c r="L594" s="1023" cm="1">
        <f t="array" aca="1" ref="L594" ca="1">IFERROR(IF($A594=$A593,0,SUM(_xlfn._xlws.FILTER($E594:$E604,($A594:$A604=$A594)*($J594:$J604=L$42)))),0)</f>
        <v>148200</v>
      </c>
      <c r="M594" s="1023" cm="1">
        <f t="array" aca="1" ref="M594" ca="1">IFERROR(IF($A594=$A593,0,SUM(_xlfn._xlws.FILTER($E594:$E604,($A594:$A604=$A594)*($J594:$J604=M$42)))),0)</f>
        <v>0</v>
      </c>
      <c r="N594" s="1023" cm="1">
        <f t="array" aca="1" ref="N594" ca="1">IFERROR(IF($A594=$A593,0,SUM(_xlfn._xlws.FILTER($E594:$E604,($A594:$A604=$A594)*($J594:$J604=N$42)))),0)</f>
        <v>-58890</v>
      </c>
    </row>
    <row r="595" spans="1:14" hidden="1" x14ac:dyDescent="0.3">
      <c r="A595" s="463">
        <v>45947</v>
      </c>
      <c r="B595" s="446" t="s">
        <v>60</v>
      </c>
      <c r="C595" s="446">
        <v>1000</v>
      </c>
      <c r="D595" s="464">
        <v>-54.02</v>
      </c>
      <c r="E595" s="1022">
        <f ca="1">IFERROR(C595*D595*_xlfn.XLOOKUP(B595,TabCalc[Ticker],TabCalc[Scale]),0)</f>
        <v>-54020</v>
      </c>
      <c r="F595" s="1023" cm="1">
        <f t="array" ref="F595">IF(A595=A594,0,SUM(_xlfn._xlws.FILTER(E595:E604,A595:A604=A595)))</f>
        <v>0</v>
      </c>
      <c r="G595" s="1024">
        <f>IF(F595&lt;&gt;0,SUM($F$43:F595),0)</f>
        <v>0</v>
      </c>
      <c r="H595" s="1024" cm="1">
        <f t="array" ref="H595">IFERROR(IF(A595=A594,0,SUM(_xlfn._xlws.FILTER(E595:E604,(A595:A604=A595)*(E595:E604&gt;0)))),0)</f>
        <v>0</v>
      </c>
      <c r="I595" s="1024" cm="1">
        <f t="array" ref="I595">IFERROR(IF(A595=A594,0,SUM(_xlfn._xlws.FILTER(E595:E604,(A595:A604=A595)*(F595&lt;0)))),0)</f>
        <v>0</v>
      </c>
      <c r="J595" s="293" t="str">
        <f ca="1">IFERROR(_xlfn.XLOOKUP(B595,TabCalc[Ticker],TabCalc[Cur]),"")</f>
        <v>EUR</v>
      </c>
      <c r="K595" s="1023" cm="1">
        <f t="array" ref="K595">IFERROR(IF($A595=$A594,0,SUM(_xlfn._xlws.FILTER($E595:$E605,($A595:$A605=$A595)*($J595:$J605=K$42)))),0)</f>
        <v>0</v>
      </c>
      <c r="L595" s="1023" cm="1">
        <f t="array" ref="L595">IFERROR(IF($A595=$A594,0,SUM(_xlfn._xlws.FILTER($E595:$E605,($A595:$A605=$A595)*($J595:$J605=L$42)))),0)</f>
        <v>0</v>
      </c>
      <c r="M595" s="1023" cm="1">
        <f t="array" ref="M595">IFERROR(IF($A595=$A594,0,SUM(_xlfn._xlws.FILTER($E595:$E605,($A595:$A605=$A595)*($J595:$J605=M$42)))),0)</f>
        <v>0</v>
      </c>
      <c r="N595" s="1023" cm="1">
        <f t="array" ref="N595">IFERROR(IF($A595=$A594,0,SUM(_xlfn._xlws.FILTER($E595:$E605,($A595:$A605=$A595)*($J595:$J605=N$42)))),0)</f>
        <v>0</v>
      </c>
    </row>
    <row r="596" spans="1:14" hidden="1" x14ac:dyDescent="0.3">
      <c r="A596" s="463">
        <v>45947</v>
      </c>
      <c r="B596" s="446" t="s">
        <v>32</v>
      </c>
      <c r="C596" s="446">
        <v>100</v>
      </c>
      <c r="D596" s="464">
        <v>862.601</v>
      </c>
      <c r="E596" s="1022">
        <f ca="1">IFERROR(C596*D596*_xlfn.XLOOKUP(B596,TabCalc[Ticker],TabCalc[Scale]),0)</f>
        <v>86260.1</v>
      </c>
      <c r="F596" s="1023" cm="1">
        <f t="array" ref="F596">IF(A596=A595,0,SUM(_xlfn._xlws.FILTER(E596:E605,A596:A605=A596)))</f>
        <v>0</v>
      </c>
      <c r="G596" s="1024">
        <f>IF(F596&lt;&gt;0,SUM($F$43:F596),0)</f>
        <v>0</v>
      </c>
      <c r="H596" s="1024" cm="1">
        <f t="array" ref="H596">IFERROR(IF(A596=A595,0,SUM(_xlfn._xlws.FILTER(E596:E605,(A596:A605=A596)*(E596:E605&gt;0)))),0)</f>
        <v>0</v>
      </c>
      <c r="I596" s="1024" cm="1">
        <f t="array" ref="I596">IFERROR(IF(A596=A595,0,SUM(_xlfn._xlws.FILTER(E596:E605,(A596:A605=A596)*(F596&lt;0)))),0)</f>
        <v>0</v>
      </c>
      <c r="J596" s="293" t="str">
        <f ca="1">IFERROR(_xlfn.XLOOKUP(B596,TabCalc[Ticker],TabCalc[Cur]),"")</f>
        <v>EUR</v>
      </c>
      <c r="K596" s="1023" cm="1">
        <f t="array" ref="K596">IFERROR(IF($A596=$A595,0,SUM(_xlfn._xlws.FILTER($E596:$E606,($A596:$A606=$A596)*($J596:$J606=K$42)))),0)</f>
        <v>0</v>
      </c>
      <c r="L596" s="1023" cm="1">
        <f t="array" ref="L596">IFERROR(IF($A596=$A595,0,SUM(_xlfn._xlws.FILTER($E596:$E606,($A596:$A606=$A596)*($J596:$J606=L$42)))),0)</f>
        <v>0</v>
      </c>
      <c r="M596" s="1023" cm="1">
        <f t="array" ref="M596">IFERROR(IF($A596=$A595,0,SUM(_xlfn._xlws.FILTER($E596:$E606,($A596:$A606=$A596)*($J596:$J606=M$42)))),0)</f>
        <v>0</v>
      </c>
      <c r="N596" s="1023" cm="1">
        <f t="array" ref="N596">IFERROR(IF($A596=$A595,0,SUM(_xlfn._xlws.FILTER($E596:$E606,($A596:$A606=$A596)*($J596:$J606=N$42)))),0)</f>
        <v>0</v>
      </c>
    </row>
    <row r="597" spans="1:14" hidden="1" x14ac:dyDescent="0.3">
      <c r="A597" s="463">
        <v>45947</v>
      </c>
      <c r="B597" s="446" t="s">
        <v>43</v>
      </c>
      <c r="C597" s="446">
        <v>500</v>
      </c>
      <c r="D597" s="464">
        <v>296.39999999999998</v>
      </c>
      <c r="E597" s="1022">
        <f ca="1">IFERROR(C597*D597*_xlfn.XLOOKUP(B597,TabCalc[Ticker],TabCalc[Scale]),0)</f>
        <v>148200</v>
      </c>
      <c r="F597" s="1023" cm="1">
        <f t="array" ref="F597">IF(A597=A596,0,SUM(_xlfn._xlws.FILTER(E597:E606,A597:A606=A597)))</f>
        <v>0</v>
      </c>
      <c r="G597" s="1024">
        <f>IF(F597&lt;&gt;0,SUM($F$43:F597),0)</f>
        <v>0</v>
      </c>
      <c r="H597" s="1024" cm="1">
        <f t="array" ref="H597">IFERROR(IF(A597=A596,0,SUM(_xlfn._xlws.FILTER(E597:E606,(A597:A606=A597)*(E597:E606&gt;0)))),0)</f>
        <v>0</v>
      </c>
      <c r="I597" s="1024" cm="1">
        <f t="array" ref="I597">IFERROR(IF(A597=A596,0,SUM(_xlfn._xlws.FILTER(E597:E606,(A597:A606=A597)*(F597&lt;0)))),0)</f>
        <v>0</v>
      </c>
      <c r="J597" s="293" t="str">
        <f ca="1">IFERROR(_xlfn.XLOOKUP(B597,TabCalc[Ticker],TabCalc[Cur]),"")</f>
        <v>USD</v>
      </c>
      <c r="K597" s="1023" cm="1">
        <f t="array" ref="K597">IFERROR(IF($A597=$A596,0,SUM(_xlfn._xlws.FILTER($E597:$E607,($A597:$A607=$A597)*($J597:$J607=K$42)))),0)</f>
        <v>0</v>
      </c>
      <c r="L597" s="1023" cm="1">
        <f t="array" ref="L597">IFERROR(IF($A597=$A596,0,SUM(_xlfn._xlws.FILTER($E597:$E607,($A597:$A607=$A597)*($J597:$J607=L$42)))),0)</f>
        <v>0</v>
      </c>
      <c r="M597" s="1023" cm="1">
        <f t="array" ref="M597">IFERROR(IF($A597=$A596,0,SUM(_xlfn._xlws.FILTER($E597:$E607,($A597:$A607=$A597)*($J597:$J607=M$42)))),0)</f>
        <v>0</v>
      </c>
      <c r="N597" s="1023" cm="1">
        <f t="array" ref="N597">IFERROR(IF($A597=$A596,0,SUM(_xlfn._xlws.FILTER($E597:$E607,($A597:$A607=$A597)*($J597:$J607=N$42)))),0)</f>
        <v>0</v>
      </c>
    </row>
    <row r="598" spans="1:14" hidden="1" x14ac:dyDescent="0.3">
      <c r="A598" s="449">
        <v>45950</v>
      </c>
      <c r="B598" s="449" t="s">
        <v>30</v>
      </c>
      <c r="C598" s="462">
        <v>100</v>
      </c>
      <c r="D598" s="452">
        <v>1233.56</v>
      </c>
      <c r="E598" s="1022">
        <f ca="1">IFERROR(C598*D598*_xlfn.XLOOKUP(B598,TabCalc[Ticker],TabCalc[Scale]),0)</f>
        <v>123356</v>
      </c>
      <c r="F598" s="1023" cm="1">
        <f t="array" aca="1" ref="F598" ca="1">IF(A598=A597,0,SUM(_xlfn._xlws.FILTER(E598:E607,A598:A607=A598)))</f>
        <v>120468.79999999999</v>
      </c>
      <c r="G598" s="1024">
        <f ca="1">IF(F598&lt;&gt;0,SUM($F$43:F598),0)</f>
        <v>-2201664.3945730003</v>
      </c>
      <c r="H598" s="1024" cm="1">
        <f t="array" aca="1" ref="H598" ca="1">IFERROR(IF(A598=A597,0,SUM(_xlfn._xlws.FILTER(E598:E607,(A598:A607=A598)*(E598:E607&gt;0)))),0)</f>
        <v>253636</v>
      </c>
      <c r="I598" s="1024" cm="1">
        <f t="array" aca="1" ref="I598" ca="1">IFERROR(IF(A598=A597,0,SUM(_xlfn._xlws.FILTER(E598:E607,(A598:A607=A598)*(F598&lt;0)))),0)</f>
        <v>0</v>
      </c>
      <c r="J598" s="293" t="str">
        <f ca="1">IFERROR(_xlfn.XLOOKUP(B598,TabCalc[Ticker],TabCalc[Cur]),"")</f>
        <v>USD</v>
      </c>
      <c r="K598" s="1023" cm="1">
        <f t="array" aca="1" ref="K598" ca="1">IFERROR(IF($A598=$A597,0,SUM(_xlfn._xlws.FILTER($E598:$E608,($A598:$A608=$A598)*($J598:$J608=K$42)))),0)</f>
        <v>0</v>
      </c>
      <c r="L598" s="1023" cm="1">
        <f t="array" aca="1" ref="L598" ca="1">IFERROR(IF($A598=$A597,0,SUM(_xlfn._xlws.FILTER($E598:$E608,($A598:$A608=$A598)*($J598:$J608=L$42)))),0)</f>
        <v>120468.79999999999</v>
      </c>
      <c r="M598" s="1023" cm="1">
        <f t="array" aca="1" ref="M598" ca="1">IFERROR(IF($A598=$A597,0,SUM(_xlfn._xlws.FILTER($E598:$E608,($A598:$A608=$A598)*($J598:$J608=M$42)))),0)</f>
        <v>0</v>
      </c>
      <c r="N598" s="1023" cm="1">
        <f t="array" aca="1" ref="N598" ca="1">IFERROR(IF($A598=$A597,0,SUM(_xlfn._xlws.FILTER($E598:$E608,($A598:$A608=$A598)*($J598:$J608=N$42)))),0)</f>
        <v>0</v>
      </c>
    </row>
    <row r="599" spans="1:14" hidden="1" x14ac:dyDescent="0.3">
      <c r="A599" s="449">
        <v>45950</v>
      </c>
      <c r="B599" s="449" t="s">
        <v>79</v>
      </c>
      <c r="C599" s="462">
        <v>3000</v>
      </c>
      <c r="D599" s="452">
        <v>12.02</v>
      </c>
      <c r="E599" s="1022">
        <f ca="1">IFERROR(C599*D599*_xlfn.XLOOKUP(B599,TabCalc[Ticker],TabCalc[Scale]),0)</f>
        <v>36060</v>
      </c>
      <c r="F599" s="1023" cm="1">
        <f t="array" ref="F599">IF(A599=A598,0,SUM(_xlfn._xlws.FILTER(E599:E608,A599:A608=A599)))</f>
        <v>0</v>
      </c>
      <c r="G599" s="1024">
        <f>IF(F599&lt;&gt;0,SUM($F$43:F599),0)</f>
        <v>0</v>
      </c>
      <c r="H599" s="1024" cm="1">
        <f t="array" ref="H599">IFERROR(IF(A599=A598,0,SUM(_xlfn._xlws.FILTER(E599:E608,(A599:A608=A599)*(E599:E608&gt;0)))),0)</f>
        <v>0</v>
      </c>
      <c r="I599" s="1024" cm="1">
        <f t="array" ref="I599">IFERROR(IF(A599=A598,0,SUM(_xlfn._xlws.FILTER(E599:E608,(A599:A608=A599)*(F599&lt;0)))),0)</f>
        <v>0</v>
      </c>
      <c r="J599" s="293" t="str">
        <f ca="1">IFERROR(_xlfn.XLOOKUP(B599,TabCalc[Ticker],TabCalc[Cur]),"")</f>
        <v>USD</v>
      </c>
      <c r="K599" s="1023" cm="1">
        <f t="array" ref="K599">IFERROR(IF($A599=$A598,0,SUM(_xlfn._xlws.FILTER($E599:$E609,($A599:$A609=$A599)*($J599:$J609=K$42)))),0)</f>
        <v>0</v>
      </c>
      <c r="L599" s="1023" cm="1">
        <f t="array" ref="L599">IFERROR(IF($A599=$A598,0,SUM(_xlfn._xlws.FILTER($E599:$E609,($A599:$A609=$A599)*($J599:$J609=L$42)))),0)</f>
        <v>0</v>
      </c>
      <c r="M599" s="1023" cm="1">
        <f t="array" ref="M599">IFERROR(IF($A599=$A598,0,SUM(_xlfn._xlws.FILTER($E599:$E609,($A599:$A609=$A599)*($J599:$J609=M$42)))),0)</f>
        <v>0</v>
      </c>
      <c r="N599" s="1023" cm="1">
        <f t="array" ref="N599">IFERROR(IF($A599=$A598,0,SUM(_xlfn._xlws.FILTER($E599:$E609,($A599:$A609=$A599)*($J599:$J609=N$42)))),0)</f>
        <v>0</v>
      </c>
    </row>
    <row r="600" spans="1:14" hidden="1" x14ac:dyDescent="0.3">
      <c r="A600" s="449">
        <v>45950</v>
      </c>
      <c r="B600" s="449" t="s">
        <v>20</v>
      </c>
      <c r="C600" s="462">
        <v>1800</v>
      </c>
      <c r="D600" s="452">
        <v>-22.63</v>
      </c>
      <c r="E600" s="1022">
        <f ca="1">IFERROR(C600*D600*_xlfn.XLOOKUP(B600,TabCalc[Ticker],TabCalc[Scale]),0)</f>
        <v>-40734</v>
      </c>
      <c r="F600" s="1023" cm="1">
        <f t="array" ref="F600">IF(A600=A599,0,SUM(_xlfn._xlws.FILTER(E600:E609,A600:A609=A600)))</f>
        <v>0</v>
      </c>
      <c r="G600" s="1024">
        <f>IF(F600&lt;&gt;0,SUM($F$43:F600),0)</f>
        <v>0</v>
      </c>
      <c r="H600" s="1024" cm="1">
        <f t="array" ref="H600">IFERROR(IF(A600=A599,0,SUM(_xlfn._xlws.FILTER(E600:E609,(A600:A609=A600)*(E600:E609&gt;0)))),0)</f>
        <v>0</v>
      </c>
      <c r="I600" s="1024" cm="1">
        <f t="array" ref="I600">IFERROR(IF(A600=A599,0,SUM(_xlfn._xlws.FILTER(E600:E609,(A600:A609=A600)*(F600&lt;0)))),0)</f>
        <v>0</v>
      </c>
      <c r="J600" s="293" t="str">
        <f ca="1">IFERROR(_xlfn.XLOOKUP(B600,TabCalc[Ticker],TabCalc[Cur]),"")</f>
        <v>USD</v>
      </c>
      <c r="K600" s="1023" cm="1">
        <f t="array" ref="K600">IFERROR(IF($A600=$A599,0,SUM(_xlfn._xlws.FILTER($E600:$E610,($A600:$A610=$A600)*($J600:$J610=K$42)))),0)</f>
        <v>0</v>
      </c>
      <c r="L600" s="1023" cm="1">
        <f t="array" ref="L600">IFERROR(IF($A600=$A599,0,SUM(_xlfn._xlws.FILTER($E600:$E610,($A600:$A610=$A600)*($J600:$J610=L$42)))),0)</f>
        <v>0</v>
      </c>
      <c r="M600" s="1023" cm="1">
        <f t="array" ref="M600">IFERROR(IF($A600=$A599,0,SUM(_xlfn._xlws.FILTER($E600:$E610,($A600:$A610=$A600)*($J600:$J610=M$42)))),0)</f>
        <v>0</v>
      </c>
      <c r="N600" s="1023" cm="1">
        <f t="array" ref="N600">IFERROR(IF($A600=$A599,0,SUM(_xlfn._xlws.FILTER($E600:$E610,($A600:$A610=$A600)*($J600:$J610=N$42)))),0)</f>
        <v>0</v>
      </c>
    </row>
    <row r="601" spans="1:14" hidden="1" x14ac:dyDescent="0.3">
      <c r="A601" s="449">
        <v>45950</v>
      </c>
      <c r="B601" s="449" t="s">
        <v>23</v>
      </c>
      <c r="C601" s="462">
        <v>1340</v>
      </c>
      <c r="D601" s="452">
        <v>-68.98</v>
      </c>
      <c r="E601" s="1022">
        <f ca="1">IFERROR(C601*D601*_xlfn.XLOOKUP(B601,TabCalc[Ticker],TabCalc[Scale]),0)</f>
        <v>-92433.200000000012</v>
      </c>
      <c r="F601" s="1023" cm="1">
        <f t="array" ref="F601">IF(A601=A600,0,SUM(_xlfn._xlws.FILTER(E601:E610,A601:A610=A601)))</f>
        <v>0</v>
      </c>
      <c r="G601" s="1024">
        <f>IF(F601&lt;&gt;0,SUM($F$43:F601),0)</f>
        <v>0</v>
      </c>
      <c r="H601" s="1024" cm="1">
        <f t="array" ref="H601">IFERROR(IF(A601=A600,0,SUM(_xlfn._xlws.FILTER(E601:E610,(A601:A610=A601)*(E601:E610&gt;0)))),0)</f>
        <v>0</v>
      </c>
      <c r="I601" s="1024" cm="1">
        <f t="array" ref="I601">IFERROR(IF(A601=A600,0,SUM(_xlfn._xlws.FILTER(E601:E610,(A601:A610=A601)*(F601&lt;0)))),0)</f>
        <v>0</v>
      </c>
      <c r="J601" s="293" t="str">
        <f ca="1">IFERROR(_xlfn.XLOOKUP(B601,TabCalc[Ticker],TabCalc[Cur]),"")</f>
        <v>USD</v>
      </c>
      <c r="K601" s="1023" cm="1">
        <f t="array" ref="K601">IFERROR(IF($A601=$A600,0,SUM(_xlfn._xlws.FILTER($E601:$E611,($A601:$A611=$A601)*($J601:$J611=K$42)))),0)</f>
        <v>0</v>
      </c>
      <c r="L601" s="1023" cm="1">
        <f t="array" ref="L601">IFERROR(IF($A601=$A600,0,SUM(_xlfn._xlws.FILTER($E601:$E611,($A601:$A611=$A601)*($J601:$J611=L$42)))),0)</f>
        <v>0</v>
      </c>
      <c r="M601" s="1023" cm="1">
        <f t="array" ref="M601">IFERROR(IF($A601=$A600,0,SUM(_xlfn._xlws.FILTER($E601:$E611,($A601:$A611=$A601)*($J601:$J611=M$42)))),0)</f>
        <v>0</v>
      </c>
      <c r="N601" s="1023" cm="1">
        <f t="array" ref="N601">IFERROR(IF($A601=$A600,0,SUM(_xlfn._xlws.FILTER($E601:$E611,($A601:$A611=$A601)*($J601:$J611=N$42)))),0)</f>
        <v>0</v>
      </c>
    </row>
    <row r="602" spans="1:14" hidden="1" x14ac:dyDescent="0.3">
      <c r="A602" s="449">
        <v>45950</v>
      </c>
      <c r="B602" s="449" t="s">
        <v>29</v>
      </c>
      <c r="C602" s="462">
        <v>1000</v>
      </c>
      <c r="D602" s="452">
        <v>94.22</v>
      </c>
      <c r="E602" s="1022">
        <f ca="1">IFERROR(C602*D602*_xlfn.XLOOKUP(B602,TabCalc[Ticker],TabCalc[Scale]),0)</f>
        <v>94220</v>
      </c>
      <c r="F602" s="1023" cm="1">
        <f t="array" ref="F602">IF(A602=A601,0,SUM(_xlfn._xlws.FILTER(E602:E611,A602:A611=A602)))</f>
        <v>0</v>
      </c>
      <c r="G602" s="1024">
        <f>IF(F602&lt;&gt;0,SUM($F$43:F602),0)</f>
        <v>0</v>
      </c>
      <c r="H602" s="1024" cm="1">
        <f t="array" ref="H602">IFERROR(IF(A602=A601,0,SUM(_xlfn._xlws.FILTER(E602:E611,(A602:A611=A602)*(E602:E611&gt;0)))),0)</f>
        <v>0</v>
      </c>
      <c r="I602" s="1024" cm="1">
        <f t="array" ref="I602">IFERROR(IF(A602=A601,0,SUM(_xlfn._xlws.FILTER(E602:E611,(A602:A611=A602)*(F602&lt;0)))),0)</f>
        <v>0</v>
      </c>
      <c r="J602" s="293" t="str">
        <f ca="1">IFERROR(_xlfn.XLOOKUP(B602,TabCalc[Ticker],TabCalc[Cur]),"")</f>
        <v>USD</v>
      </c>
      <c r="K602" s="1023" cm="1">
        <f t="array" ref="K602">IFERROR(IF($A602=$A601,0,SUM(_xlfn._xlws.FILTER($E602:$E612,($A602:$A612=$A602)*($J602:$J612=K$42)))),0)</f>
        <v>0</v>
      </c>
      <c r="L602" s="1023" cm="1">
        <f t="array" ref="L602">IFERROR(IF($A602=$A601,0,SUM(_xlfn._xlws.FILTER($E602:$E612,($A602:$A612=$A602)*($J602:$J612=L$42)))),0)</f>
        <v>0</v>
      </c>
      <c r="M602" s="1023" cm="1">
        <f t="array" ref="M602">IFERROR(IF($A602=$A601,0,SUM(_xlfn._xlws.FILTER($E602:$E612,($A602:$A612=$A602)*($J602:$J612=M$42)))),0)</f>
        <v>0</v>
      </c>
      <c r="N602" s="1023" cm="1">
        <f t="array" ref="N602">IFERROR(IF($A602=$A601,0,SUM(_xlfn._xlws.FILTER($E602:$E612,($A602:$A612=$A602)*($J602:$J612=N$42)))),0)</f>
        <v>0</v>
      </c>
    </row>
    <row r="603" spans="1:14" hidden="1" x14ac:dyDescent="0.3">
      <c r="A603" s="463">
        <v>45951</v>
      </c>
      <c r="B603" s="446" t="s">
        <v>0</v>
      </c>
      <c r="C603" s="446">
        <v>500</v>
      </c>
      <c r="D603" s="464">
        <v>263.58</v>
      </c>
      <c r="E603" s="1022">
        <f ca="1">IFERROR(C603*D603*_xlfn.XLOOKUP(B603,TabCalc[Ticker],TabCalc[Scale]),0)</f>
        <v>131790</v>
      </c>
      <c r="F603" s="1023" cm="1">
        <f t="array" aca="1" ref="F603" ca="1">IF(A603=A602,0,SUM(_xlfn._xlws.FILTER(E603:E612,A603:A612=A603)))</f>
        <v>76055</v>
      </c>
      <c r="G603" s="1024">
        <f ca="1">IF(F603&lt;&gt;0,SUM($F$43:F603),0)</f>
        <v>-2125609.3945730003</v>
      </c>
      <c r="H603" s="1024" cm="1">
        <f t="array" aca="1" ref="H603" ca="1">IFERROR(IF(A603=A602,0,SUM(_xlfn._xlws.FILTER(E603:E612,(A603:A612=A603)*(E603:E612&gt;0)))),0)</f>
        <v>302455</v>
      </c>
      <c r="I603" s="1024" cm="1">
        <f t="array" aca="1" ref="I603" ca="1">IFERROR(IF(A603=A602,0,SUM(_xlfn._xlws.FILTER(E603:E612,(A603:A612=A603)*(F603&lt;0)))),0)</f>
        <v>0</v>
      </c>
      <c r="J603" s="293" t="str">
        <f ca="1">IFERROR(_xlfn.XLOOKUP(B603,TabCalc[Ticker],TabCalc[Cur]),"")</f>
        <v>USD</v>
      </c>
      <c r="K603" s="1023" cm="1">
        <f t="array" aca="1" ref="K603" ca="1">IFERROR(IF($A603=$A602,0,SUM(_xlfn._xlws.FILTER($E603:$E613,($A603:$A613=$A603)*($J603:$J613=K$42)))),0)</f>
        <v>0</v>
      </c>
      <c r="L603" s="1023" cm="1">
        <f t="array" aca="1" ref="L603" ca="1">IFERROR(IF($A603=$A602,0,SUM(_xlfn._xlws.FILTER($E603:$E613,($A603:$A613=$A603)*($J603:$J613=L$42)))),0)</f>
        <v>76055</v>
      </c>
      <c r="M603" s="1023" cm="1">
        <f t="array" aca="1" ref="M603" ca="1">IFERROR(IF($A603=$A602,0,SUM(_xlfn._xlws.FILTER($E603:$E613,($A603:$A613=$A603)*($J603:$J613=M$42)))),0)</f>
        <v>0</v>
      </c>
      <c r="N603" s="1023" cm="1">
        <f t="array" aca="1" ref="N603" ca="1">IFERROR(IF($A603=$A602,0,SUM(_xlfn._xlws.FILTER($E603:$E613,($A603:$A613=$A603)*($J603:$J613=N$42)))),0)</f>
        <v>0</v>
      </c>
    </row>
    <row r="604" spans="1:14" hidden="1" x14ac:dyDescent="0.3">
      <c r="A604" s="463">
        <v>45951</v>
      </c>
      <c r="B604" s="446" t="s">
        <v>65</v>
      </c>
      <c r="C604" s="446">
        <v>500</v>
      </c>
      <c r="D604" s="464">
        <v>221.65</v>
      </c>
      <c r="E604" s="1022">
        <f ca="1">IFERROR(C604*D604*_xlfn.XLOOKUP(B604,TabCalc[Ticker],TabCalc[Scale]),0)</f>
        <v>110825</v>
      </c>
      <c r="F604" s="1023" cm="1">
        <f t="array" ref="F604">IF(A604=A603,0,SUM(_xlfn._xlws.FILTER(E604:E613,A604:A613=A604)))</f>
        <v>0</v>
      </c>
      <c r="G604" s="1024">
        <f>IF(F604&lt;&gt;0,SUM($F$43:F604),0)</f>
        <v>0</v>
      </c>
      <c r="H604" s="1024" cm="1">
        <f t="array" ref="H604">IFERROR(IF(A604=A603,0,SUM(_xlfn._xlws.FILTER(E604:E613,(A604:A613=A604)*(E604:E613&gt;0)))),0)</f>
        <v>0</v>
      </c>
      <c r="I604" s="1024" cm="1">
        <f t="array" ref="I604">IFERROR(IF(A604=A603,0,SUM(_xlfn._xlws.FILTER(E604:E613,(A604:A613=A604)*(F604&lt;0)))),0)</f>
        <v>0</v>
      </c>
      <c r="J604" s="293" t="str">
        <f ca="1">IFERROR(_xlfn.XLOOKUP(B604,TabCalc[Ticker],TabCalc[Cur]),"")</f>
        <v>USD</v>
      </c>
      <c r="K604" s="1023" cm="1">
        <f t="array" ref="K604">IFERROR(IF($A604=$A603,0,SUM(_xlfn._xlws.FILTER($E604:$E614,($A604:$A614=$A604)*($J604:$J614=K$42)))),0)</f>
        <v>0</v>
      </c>
      <c r="L604" s="1023" cm="1">
        <f t="array" ref="L604">IFERROR(IF($A604=$A603,0,SUM(_xlfn._xlws.FILTER($E604:$E614,($A604:$A614=$A604)*($J604:$J614=L$42)))),0)</f>
        <v>0</v>
      </c>
      <c r="M604" s="1023" cm="1">
        <f t="array" ref="M604">IFERROR(IF($A604=$A603,0,SUM(_xlfn._xlws.FILTER($E604:$E614,($A604:$A614=$A604)*($J604:$J614=M$42)))),0)</f>
        <v>0</v>
      </c>
      <c r="N604" s="1023" cm="1">
        <f t="array" ref="N604">IFERROR(IF($A604=$A603,0,SUM(_xlfn._xlws.FILTER($E604:$E614,($A604:$A614=$A604)*($J604:$J614=N$42)))),0)</f>
        <v>0</v>
      </c>
    </row>
    <row r="605" spans="1:14" hidden="1" x14ac:dyDescent="0.3">
      <c r="A605" s="463">
        <v>45951</v>
      </c>
      <c r="B605" s="446" t="s">
        <v>29</v>
      </c>
      <c r="C605" s="446">
        <v>2000</v>
      </c>
      <c r="D605" s="464">
        <v>-86.41</v>
      </c>
      <c r="E605" s="1022">
        <f ca="1">IFERROR(C605*D605*_xlfn.XLOOKUP(B605,TabCalc[Ticker],TabCalc[Scale]),0)</f>
        <v>-172820</v>
      </c>
      <c r="F605" s="1023" cm="1">
        <f t="array" ref="F605">IF(A605=A604,0,SUM(_xlfn._xlws.FILTER(E605:E614,A605:A614=A605)))</f>
        <v>0</v>
      </c>
      <c r="G605" s="1024">
        <f>IF(F605&lt;&gt;0,SUM($F$43:F605),0)</f>
        <v>0</v>
      </c>
      <c r="H605" s="1024" cm="1">
        <f t="array" ref="H605">IFERROR(IF(A605=A604,0,SUM(_xlfn._xlws.FILTER(E605:E614,(A605:A614=A605)*(E605:E614&gt;0)))),0)</f>
        <v>0</v>
      </c>
      <c r="I605" s="1024" cm="1">
        <f t="array" ref="I605">IFERROR(IF(A605=A604,0,SUM(_xlfn._xlws.FILTER(E605:E614,(A605:A614=A605)*(F605&lt;0)))),0)</f>
        <v>0</v>
      </c>
      <c r="J605" s="293" t="str">
        <f ca="1">IFERROR(_xlfn.XLOOKUP(B605,TabCalc[Ticker],TabCalc[Cur]),"")</f>
        <v>USD</v>
      </c>
      <c r="K605" s="1023" cm="1">
        <f t="array" ref="K605">IFERROR(IF($A605=$A604,0,SUM(_xlfn._xlws.FILTER($E605:$E615,($A605:$A615=$A605)*($J605:$J615=K$42)))),0)</f>
        <v>0</v>
      </c>
      <c r="L605" s="1023" cm="1">
        <f t="array" ref="L605">IFERROR(IF($A605=$A604,0,SUM(_xlfn._xlws.FILTER($E605:$E615,($A605:$A615=$A605)*($J605:$J615=L$42)))),0)</f>
        <v>0</v>
      </c>
      <c r="M605" s="1023" cm="1">
        <f t="array" ref="M605">IFERROR(IF($A605=$A604,0,SUM(_xlfn._xlws.FILTER($E605:$E615,($A605:$A615=$A605)*($J605:$J615=M$42)))),0)</f>
        <v>0</v>
      </c>
      <c r="N605" s="1023" cm="1">
        <f t="array" ref="N605">IFERROR(IF($A605=$A604,0,SUM(_xlfn._xlws.FILTER($E605:$E615,($A605:$A615=$A605)*($J605:$J615=N$42)))),0)</f>
        <v>0</v>
      </c>
    </row>
    <row r="606" spans="1:14" hidden="1" x14ac:dyDescent="0.3">
      <c r="A606" s="463">
        <v>45951</v>
      </c>
      <c r="B606" s="446" t="s">
        <v>31</v>
      </c>
      <c r="C606" s="446">
        <v>1500</v>
      </c>
      <c r="D606" s="464">
        <v>-35.72</v>
      </c>
      <c r="E606" s="1022">
        <f ca="1">IFERROR(C606*D606*_xlfn.XLOOKUP(B606,TabCalc[Ticker],TabCalc[Scale]),0)</f>
        <v>-53580</v>
      </c>
      <c r="F606" s="1023" cm="1">
        <f t="array" ref="F606">IF(A606=A605,0,SUM(_xlfn._xlws.FILTER(E606:E615,A606:A615=A606)))</f>
        <v>0</v>
      </c>
      <c r="G606" s="1024">
        <f>IF(F606&lt;&gt;0,SUM($F$43:F606),0)</f>
        <v>0</v>
      </c>
      <c r="H606" s="1024" cm="1">
        <f t="array" ref="H606">IFERROR(IF(A606=A605,0,SUM(_xlfn._xlws.FILTER(E606:E615,(A606:A615=A606)*(E606:E615&gt;0)))),0)</f>
        <v>0</v>
      </c>
      <c r="I606" s="1024" cm="1">
        <f t="array" ref="I606">IFERROR(IF(A606=A605,0,SUM(_xlfn._xlws.FILTER(E606:E615,(A606:A615=A606)*(F606&lt;0)))),0)</f>
        <v>0</v>
      </c>
      <c r="J606" s="293" t="str">
        <f ca="1">IFERROR(_xlfn.XLOOKUP(B606,TabCalc[Ticker],TabCalc[Cur]),"")</f>
        <v>USD</v>
      </c>
      <c r="K606" s="1023" cm="1">
        <f t="array" ref="K606">IFERROR(IF($A606=$A605,0,SUM(_xlfn._xlws.FILTER($E606:$E616,($A606:$A616=$A606)*($J606:$J616=K$42)))),0)</f>
        <v>0</v>
      </c>
      <c r="L606" s="1023" cm="1">
        <f t="array" ref="L606">IFERROR(IF($A606=$A605,0,SUM(_xlfn._xlws.FILTER($E606:$E616,($A606:$A616=$A606)*($J606:$J616=L$42)))),0)</f>
        <v>0</v>
      </c>
      <c r="M606" s="1023" cm="1">
        <f t="array" ref="M606">IFERROR(IF($A606=$A605,0,SUM(_xlfn._xlws.FILTER($E606:$E616,($A606:$A616=$A606)*($J606:$J616=M$42)))),0)</f>
        <v>0</v>
      </c>
      <c r="N606" s="1023" cm="1">
        <f t="array" ref="N606">IFERROR(IF($A606=$A605,0,SUM(_xlfn._xlws.FILTER($E606:$E616,($A606:$A616=$A606)*($J606:$J616=N$42)))),0)</f>
        <v>0</v>
      </c>
    </row>
    <row r="607" spans="1:14" hidden="1" x14ac:dyDescent="0.3">
      <c r="A607" s="463">
        <v>45951</v>
      </c>
      <c r="B607" s="446" t="s">
        <v>35</v>
      </c>
      <c r="C607" s="446">
        <v>2000</v>
      </c>
      <c r="D607" s="464">
        <v>29.92</v>
      </c>
      <c r="E607" s="1022">
        <f ca="1">IFERROR(C607*D607*_xlfn.XLOOKUP(B607,TabCalc[Ticker],TabCalc[Scale]),0)</f>
        <v>59840</v>
      </c>
      <c r="F607" s="1023" cm="1">
        <f t="array" ref="F607">IF(A607=A606,0,SUM(_xlfn._xlws.FILTER(E607:E616,A607:A616=A607)))</f>
        <v>0</v>
      </c>
      <c r="G607" s="1024">
        <f>IF(F607&lt;&gt;0,SUM($F$43:F607),0)</f>
        <v>0</v>
      </c>
      <c r="H607" s="1024" cm="1">
        <f t="array" ref="H607">IFERROR(IF(A607=A606,0,SUM(_xlfn._xlws.FILTER(E607:E616,(A607:A616=A607)*(E607:E616&gt;0)))),0)</f>
        <v>0</v>
      </c>
      <c r="I607" s="1024" cm="1">
        <f t="array" ref="I607">IFERROR(IF(A607=A606,0,SUM(_xlfn._xlws.FILTER(E607:E616,(A607:A616=A607)*(F607&lt;0)))),0)</f>
        <v>0</v>
      </c>
      <c r="J607" s="293" t="str">
        <f ca="1">IFERROR(_xlfn.XLOOKUP(B607,TabCalc[Ticker],TabCalc[Cur]),"")</f>
        <v>USD</v>
      </c>
      <c r="K607" s="1023" cm="1">
        <f t="array" ref="K607">IFERROR(IF($A607=$A606,0,SUM(_xlfn._xlws.FILTER($E607:$E617,($A607:$A617=$A607)*($J607:$J617=K$42)))),0)</f>
        <v>0</v>
      </c>
      <c r="L607" s="1023" cm="1">
        <f t="array" ref="L607">IFERROR(IF($A607=$A606,0,SUM(_xlfn._xlws.FILTER($E607:$E617,($A607:$A617=$A607)*($J607:$J617=L$42)))),0)</f>
        <v>0</v>
      </c>
      <c r="M607" s="1023" cm="1">
        <f t="array" ref="M607">IFERROR(IF($A607=$A606,0,SUM(_xlfn._xlws.FILTER($E607:$E617,($A607:$A617=$A607)*($J607:$J617=M$42)))),0)</f>
        <v>0</v>
      </c>
      <c r="N607" s="1023" cm="1">
        <f t="array" ref="N607">IFERROR(IF($A607=$A606,0,SUM(_xlfn._xlws.FILTER($E607:$E617,($A607:$A617=$A607)*($J607:$J617=N$42)))),0)</f>
        <v>0</v>
      </c>
    </row>
    <row r="608" spans="1:14" hidden="1" x14ac:dyDescent="0.3">
      <c r="A608" s="449">
        <v>45952</v>
      </c>
      <c r="B608" s="449" t="s">
        <v>80</v>
      </c>
      <c r="C608" s="462">
        <v>300</v>
      </c>
      <c r="D608" s="452">
        <v>-183.16</v>
      </c>
      <c r="E608" s="1022">
        <f ca="1">IFERROR(C608*D608*_xlfn.XLOOKUP(B608,TabCalc[Ticker],TabCalc[Scale]),0)</f>
        <v>-54948</v>
      </c>
      <c r="F608" s="1023" cm="1">
        <f t="array" aca="1" ref="F608" ca="1">IF(A608=A607,0,SUM(_xlfn._xlws.FILTER(E608:E617,A608:A617=A608)))</f>
        <v>-1646915</v>
      </c>
      <c r="G608" s="1024">
        <f ca="1">IF(F608&lt;&gt;0,SUM($F$43:F608),0)</f>
        <v>-3772524.3945730003</v>
      </c>
      <c r="H608" s="1024" cm="1">
        <f t="array" aca="1" ref="H608" ca="1">IFERROR(IF(A608=A607,0,SUM(_xlfn._xlws.FILTER(E608:E617,(A608:A617=A608)*(E608:E617&gt;0)))),0)</f>
        <v>89840</v>
      </c>
      <c r="I608" s="1024" cm="1">
        <f t="array" aca="1" ref="I608" ca="1">IFERROR(IF(A608=A607,0,SUM(_xlfn._xlws.FILTER(E608:E617,(A608:A617=A608)*(F608&lt;0)))),0)</f>
        <v>-1646915</v>
      </c>
      <c r="J608" s="293" t="str">
        <f ca="1">IFERROR(_xlfn.XLOOKUP(B608,TabCalc[Ticker],TabCalc[Cur]),"")</f>
        <v>USD</v>
      </c>
      <c r="K608" s="1023" cm="1">
        <f t="array" aca="1" ref="K608" ca="1">IFERROR(IF($A608=$A607,0,SUM(_xlfn._xlws.FILTER($E608:$E618,($A608:$A618=$A608)*($J608:$J618=K$42)))),0)</f>
        <v>0</v>
      </c>
      <c r="L608" s="1023" cm="1">
        <f t="array" aca="1" ref="L608" ca="1">IFERROR(IF($A608=$A607,0,SUM(_xlfn._xlws.FILTER($E608:$E618,($A608:$A618=$A608)*($J608:$J618=L$42)))),0)</f>
        <v>-1736755</v>
      </c>
      <c r="M608" s="1023" cm="1">
        <f t="array" aca="1" ref="M608" ca="1">IFERROR(IF($A608=$A607,0,SUM(_xlfn._xlws.FILTER($E608:$E618,($A608:$A618=$A608)*($J608:$J618=M$42)))),0)</f>
        <v>89840</v>
      </c>
      <c r="N608" s="1023" cm="1">
        <f t="array" aca="1" ref="N608" ca="1">IFERROR(IF($A608=$A607,0,SUM(_xlfn._xlws.FILTER($E608:$E618,($A608:$A618=$A608)*($J608:$J618=N$42)))),0)</f>
        <v>0</v>
      </c>
    </row>
    <row r="609" spans="1:14" hidden="1" x14ac:dyDescent="0.3">
      <c r="A609" s="449">
        <v>45952</v>
      </c>
      <c r="B609" s="449" t="s">
        <v>22</v>
      </c>
      <c r="C609" s="462">
        <v>10000</v>
      </c>
      <c r="D609" s="452">
        <v>402.8</v>
      </c>
      <c r="E609" s="1022">
        <f ca="1">IFERROR(C609*D609*_xlfn.XLOOKUP(B609,TabCalc[Ticker],TabCalc[Scale]),0)</f>
        <v>40280</v>
      </c>
      <c r="F609" s="1023" cm="1">
        <f t="array" ref="F609">IF(A609=A608,0,SUM(_xlfn._xlws.FILTER(E609:E618,A609:A618=A609)))</f>
        <v>0</v>
      </c>
      <c r="G609" s="1024">
        <f>IF(F609&lt;&gt;0,SUM($F$43:F609),0)</f>
        <v>0</v>
      </c>
      <c r="H609" s="1024" cm="1">
        <f t="array" ref="H609">IFERROR(IF(A609=A608,0,SUM(_xlfn._xlws.FILTER(E609:E618,(A609:A618=A609)*(E609:E618&gt;0)))),0)</f>
        <v>0</v>
      </c>
      <c r="I609" s="1024" cm="1">
        <f t="array" ref="I609">IFERROR(IF(A609=A608,0,SUM(_xlfn._xlws.FILTER(E609:E618,(A609:A618=A609)*(F609&lt;0)))),0)</f>
        <v>0</v>
      </c>
      <c r="J609" s="293" t="str">
        <f ca="1">IFERROR(_xlfn.XLOOKUP(B609,TabCalc[Ticker],TabCalc[Cur]),"")</f>
        <v>GBp</v>
      </c>
      <c r="K609" s="1023" cm="1">
        <f t="array" ref="K609">IFERROR(IF($A609=$A608,0,SUM(_xlfn._xlws.FILTER($E609:$E619,($A609:$A619=$A609)*($J609:$J619=K$42)))),0)</f>
        <v>0</v>
      </c>
      <c r="L609" s="1023" cm="1">
        <f t="array" ref="L609">IFERROR(IF($A609=$A608,0,SUM(_xlfn._xlws.FILTER($E609:$E619,($A609:$A619=$A609)*($J609:$J619=L$42)))),0)</f>
        <v>0</v>
      </c>
      <c r="M609" s="1023" cm="1">
        <f t="array" ref="M609">IFERROR(IF($A609=$A608,0,SUM(_xlfn._xlws.FILTER($E609:$E619,($A609:$A619=$A609)*($J609:$J619=M$42)))),0)</f>
        <v>0</v>
      </c>
      <c r="N609" s="1023" cm="1">
        <f t="array" ref="N609">IFERROR(IF($A609=$A608,0,SUM(_xlfn._xlws.FILTER($E609:$E619,($A609:$A619=$A609)*($J609:$J619=N$42)))),0)</f>
        <v>0</v>
      </c>
    </row>
    <row r="610" spans="1:14" hidden="1" x14ac:dyDescent="0.3">
      <c r="A610" s="449">
        <v>45952</v>
      </c>
      <c r="B610" s="449" t="s">
        <v>77</v>
      </c>
      <c r="C610" s="462">
        <v>10000</v>
      </c>
      <c r="D610" s="452">
        <v>495.6</v>
      </c>
      <c r="E610" s="1022">
        <f ca="1">IFERROR(C610*D610*_xlfn.XLOOKUP(B610,TabCalc[Ticker],TabCalc[Scale]),0)</f>
        <v>49560</v>
      </c>
      <c r="F610" s="1023" cm="1">
        <f t="array" ref="F610">IF(A610=A609,0,SUM(_xlfn._xlws.FILTER(E610:E619,A610:A619=A610)))</f>
        <v>0</v>
      </c>
      <c r="G610" s="1024">
        <f>IF(F610&lt;&gt;0,SUM($F$43:F610),0)</f>
        <v>0</v>
      </c>
      <c r="H610" s="1024" cm="1">
        <f t="array" ref="H610">IFERROR(IF(A610=A609,0,SUM(_xlfn._xlws.FILTER(E610:E619,(A610:A619=A610)*(E610:E619&gt;0)))),0)</f>
        <v>0</v>
      </c>
      <c r="I610" s="1024" cm="1">
        <f t="array" ref="I610">IFERROR(IF(A610=A609,0,SUM(_xlfn._xlws.FILTER(E610:E619,(A610:A619=A610)*(F610&lt;0)))),0)</f>
        <v>0</v>
      </c>
      <c r="J610" s="293" t="str">
        <f ca="1">IFERROR(_xlfn.XLOOKUP(B610,TabCalc[Ticker],TabCalc[Cur]),"")</f>
        <v>GBp</v>
      </c>
      <c r="K610" s="1023" cm="1">
        <f t="array" ref="K610">IFERROR(IF($A610=$A609,0,SUM(_xlfn._xlws.FILTER($E610:$E620,($A610:$A620=$A610)*($J610:$J620=K$42)))),0)</f>
        <v>0</v>
      </c>
      <c r="L610" s="1023" cm="1">
        <f t="array" ref="L610">IFERROR(IF($A610=$A609,0,SUM(_xlfn._xlws.FILTER($E610:$E620,($A610:$A620=$A610)*($J610:$J620=L$42)))),0)</f>
        <v>0</v>
      </c>
      <c r="M610" s="1023" cm="1">
        <f t="array" ref="M610">IFERROR(IF($A610=$A609,0,SUM(_xlfn._xlws.FILTER($E610:$E620,($A610:$A620=$A610)*($J610:$J620=M$42)))),0)</f>
        <v>0</v>
      </c>
      <c r="N610" s="1023" cm="1">
        <f t="array" ref="N610">IFERROR(IF($A610=$A609,0,SUM(_xlfn._xlws.FILTER($E610:$E620,($A610:$A620=$A610)*($J610:$J620=N$42)))),0)</f>
        <v>0</v>
      </c>
    </row>
    <row r="611" spans="1:14" hidden="1" x14ac:dyDescent="0.3">
      <c r="A611" s="449">
        <v>45952</v>
      </c>
      <c r="B611" s="449" t="s">
        <v>30</v>
      </c>
      <c r="C611" s="462">
        <v>1300</v>
      </c>
      <c r="D611" s="452">
        <v>-1117.45</v>
      </c>
      <c r="E611" s="1022">
        <f ca="1">IFERROR(C611*D611*_xlfn.XLOOKUP(B611,TabCalc[Ticker],TabCalc[Scale]),0)</f>
        <v>-1452685</v>
      </c>
      <c r="F611" s="1023" cm="1">
        <f t="array" ref="F611">IF(A611=A610,0,SUM(_xlfn._xlws.FILTER(E611:E620,A611:A620=A611)))</f>
        <v>0</v>
      </c>
      <c r="G611" s="1024">
        <f>IF(F611&lt;&gt;0,SUM($F$43:F611),0)</f>
        <v>0</v>
      </c>
      <c r="H611" s="1024" cm="1">
        <f t="array" ref="H611">IFERROR(IF(A611=A610,0,SUM(_xlfn._xlws.FILTER(E611:E620,(A611:A620=A611)*(E611:E620&gt;0)))),0)</f>
        <v>0</v>
      </c>
      <c r="I611" s="1024" cm="1">
        <f t="array" ref="I611">IFERROR(IF(A611=A610,0,SUM(_xlfn._xlws.FILTER(E611:E620,(A611:A620=A611)*(F611&lt;0)))),0)</f>
        <v>0</v>
      </c>
      <c r="J611" s="293" t="str">
        <f ca="1">IFERROR(_xlfn.XLOOKUP(B611,TabCalc[Ticker],TabCalc[Cur]),"")</f>
        <v>USD</v>
      </c>
      <c r="K611" s="1023" cm="1">
        <f t="array" ref="K611">IFERROR(IF($A611=$A610,0,SUM(_xlfn._xlws.FILTER($E611:$E621,($A611:$A621=$A611)*($J611:$J621=K$42)))),0)</f>
        <v>0</v>
      </c>
      <c r="L611" s="1023" cm="1">
        <f t="array" ref="L611">IFERROR(IF($A611=$A610,0,SUM(_xlfn._xlws.FILTER($E611:$E621,($A611:$A621=$A611)*($J611:$J621=L$42)))),0)</f>
        <v>0</v>
      </c>
      <c r="M611" s="1023" cm="1">
        <f t="array" ref="M611">IFERROR(IF($A611=$A610,0,SUM(_xlfn._xlws.FILTER($E611:$E621,($A611:$A621=$A611)*($J611:$J621=M$42)))),0)</f>
        <v>0</v>
      </c>
      <c r="N611" s="1023" cm="1">
        <f t="array" ref="N611">IFERROR(IF($A611=$A610,0,SUM(_xlfn._xlws.FILTER($E611:$E621,($A611:$A621=$A611)*($J611:$J621=N$42)))),0)</f>
        <v>0</v>
      </c>
    </row>
    <row r="612" spans="1:14" hidden="1" x14ac:dyDescent="0.3">
      <c r="A612" s="449">
        <v>45952</v>
      </c>
      <c r="B612" s="449" t="s">
        <v>43</v>
      </c>
      <c r="C612" s="462">
        <v>800</v>
      </c>
      <c r="D612" s="452">
        <v>-286.40249999999997</v>
      </c>
      <c r="E612" s="1022">
        <f ca="1">IFERROR(C612*D612*_xlfn.XLOOKUP(B612,TabCalc[Ticker],TabCalc[Scale]),0)</f>
        <v>-229121.99999999997</v>
      </c>
      <c r="F612" s="1023" cm="1">
        <f t="array" ref="F612">IF(A612=A611,0,SUM(_xlfn._xlws.FILTER(E612:E621,A612:A621=A612)))</f>
        <v>0</v>
      </c>
      <c r="G612" s="1024">
        <f>IF(F612&lt;&gt;0,SUM($F$43:F612),0)</f>
        <v>0</v>
      </c>
      <c r="H612" s="1024" cm="1">
        <f t="array" ref="H612">IFERROR(IF(A612=A611,0,SUM(_xlfn._xlws.FILTER(E612:E621,(A612:A621=A612)*(E612:E621&gt;0)))),0)</f>
        <v>0</v>
      </c>
      <c r="I612" s="1024" cm="1">
        <f t="array" ref="I612">IFERROR(IF(A612=A611,0,SUM(_xlfn._xlws.FILTER(E612:E621,(A612:A621=A612)*(F612&lt;0)))),0)</f>
        <v>0</v>
      </c>
      <c r="J612" s="293" t="str">
        <f ca="1">IFERROR(_xlfn.XLOOKUP(B612,TabCalc[Ticker],TabCalc[Cur]),"")</f>
        <v>USD</v>
      </c>
      <c r="K612" s="1023" cm="1">
        <f t="array" ref="K612">IFERROR(IF($A612=$A611,0,SUM(_xlfn._xlws.FILTER($E612:$E622,($A612:$A622=$A612)*($J612:$J622=K$42)))),0)</f>
        <v>0</v>
      </c>
      <c r="L612" s="1023" cm="1">
        <f t="array" ref="L612">IFERROR(IF($A612=$A611,0,SUM(_xlfn._xlws.FILTER($E612:$E622,($A612:$A622=$A612)*($J612:$J622=L$42)))),0)</f>
        <v>0</v>
      </c>
      <c r="M612" s="1023" cm="1">
        <f t="array" ref="M612">IFERROR(IF($A612=$A611,0,SUM(_xlfn._xlws.FILTER($E612:$E622,($A612:$A622=$A612)*($J612:$J622=M$42)))),0)</f>
        <v>0</v>
      </c>
      <c r="N612" s="1023" cm="1">
        <f t="array" ref="N612">IFERROR(IF($A612=$A611,0,SUM(_xlfn._xlws.FILTER($E612:$E622,($A612:$A622=$A612)*($J612:$J622=N$42)))),0)</f>
        <v>0</v>
      </c>
    </row>
    <row r="613" spans="1:14" hidden="1" x14ac:dyDescent="0.3">
      <c r="A613" s="463">
        <v>45953</v>
      </c>
      <c r="B613" s="446" t="s">
        <v>22</v>
      </c>
      <c r="C613" s="446">
        <v>10000</v>
      </c>
      <c r="D613" s="464">
        <v>405.01</v>
      </c>
      <c r="E613" s="1022">
        <f ca="1">IFERROR(C613*D613*_xlfn.XLOOKUP(B613,TabCalc[Ticker],TabCalc[Scale]),0)</f>
        <v>40501</v>
      </c>
      <c r="F613" s="1023" cm="1">
        <f t="array" aca="1" ref="F613" ca="1">IF(A613=A612,0,SUM(_xlfn._xlws.FILTER(E613:E622,A613:A622=A613)))</f>
        <v>-511279</v>
      </c>
      <c r="G613" s="1024">
        <f ca="1">IF(F613&lt;&gt;0,SUM($F$43:F613),0)</f>
        <v>-4283803.3945730003</v>
      </c>
      <c r="H613" s="1024" cm="1">
        <f t="array" aca="1" ref="H613" ca="1">IFERROR(IF(A613=A612,0,SUM(_xlfn._xlws.FILTER(E613:E622,(A613:A622=A613)*(E613:E622&gt;0)))),0)</f>
        <v>40501</v>
      </c>
      <c r="I613" s="1024" cm="1">
        <f t="array" aca="1" ref="I613" ca="1">IFERROR(IF(A613=A612,0,SUM(_xlfn._xlws.FILTER(E613:E622,(A613:A622=A613)*(F613&lt;0)))),0)</f>
        <v>-511279</v>
      </c>
      <c r="J613" s="293" t="str">
        <f ca="1">IFERROR(_xlfn.XLOOKUP(B613,TabCalc[Ticker],TabCalc[Cur]),"")</f>
        <v>GBp</v>
      </c>
      <c r="K613" s="1023" cm="1">
        <f t="array" aca="1" ref="K613" ca="1">IFERROR(IF($A613=$A612,0,SUM(_xlfn._xlws.FILTER($E613:$E623,($A613:$A623=$A613)*($J613:$J623=K$42)))),0)</f>
        <v>0</v>
      </c>
      <c r="L613" s="1023" cm="1">
        <f t="array" aca="1" ref="L613" ca="1">IFERROR(IF($A613=$A612,0,SUM(_xlfn._xlws.FILTER($E613:$E623,($A613:$A623=$A613)*($J613:$J623=L$42)))),0)</f>
        <v>-551780</v>
      </c>
      <c r="M613" s="1023" cm="1">
        <f t="array" aca="1" ref="M613" ca="1">IFERROR(IF($A613=$A612,0,SUM(_xlfn._xlws.FILTER($E613:$E623,($A613:$A623=$A613)*($J613:$J623=M$42)))),0)</f>
        <v>40501</v>
      </c>
      <c r="N613" s="1023" cm="1">
        <f t="array" aca="1" ref="N613" ca="1">IFERROR(IF($A613=$A612,0,SUM(_xlfn._xlws.FILTER($E613:$E623,($A613:$A623=$A613)*($J613:$J623=N$42)))),0)</f>
        <v>0</v>
      </c>
    </row>
    <row r="614" spans="1:14" hidden="1" x14ac:dyDescent="0.3">
      <c r="A614" s="463">
        <v>45953</v>
      </c>
      <c r="B614" s="446" t="s">
        <v>30</v>
      </c>
      <c r="C614" s="446">
        <v>500</v>
      </c>
      <c r="D614" s="464">
        <v>-1103.56</v>
      </c>
      <c r="E614" s="1022">
        <f ca="1">IFERROR(C614*D614*_xlfn.XLOOKUP(B614,TabCalc[Ticker],TabCalc[Scale]),0)</f>
        <v>-551780</v>
      </c>
      <c r="F614" s="1023" cm="1">
        <f t="array" ref="F614">IF(A614=A613,0,SUM(_xlfn._xlws.FILTER(E614:E623,A614:A623=A614)))</f>
        <v>0</v>
      </c>
      <c r="G614" s="1024">
        <f>IF(F614&lt;&gt;0,SUM($F$43:F614),0)</f>
        <v>0</v>
      </c>
      <c r="H614" s="1024" cm="1">
        <f t="array" ref="H614">IFERROR(IF(A614=A613,0,SUM(_xlfn._xlws.FILTER(E614:E623,(A614:A623=A614)*(E614:E623&gt;0)))),0)</f>
        <v>0</v>
      </c>
      <c r="I614" s="1024" cm="1">
        <f t="array" ref="I614">IFERROR(IF(A614=A613,0,SUM(_xlfn._xlws.FILTER(E614:E623,(A614:A623=A614)*(F614&lt;0)))),0)</f>
        <v>0</v>
      </c>
      <c r="J614" s="293" t="str">
        <f ca="1">IFERROR(_xlfn.XLOOKUP(B614,TabCalc[Ticker],TabCalc[Cur]),"")</f>
        <v>USD</v>
      </c>
      <c r="K614" s="1023" cm="1">
        <f t="array" ref="K614">IFERROR(IF($A614=$A613,0,SUM(_xlfn._xlws.FILTER($E614:$E624,($A614:$A624=$A614)*($J614:$J624=K$42)))),0)</f>
        <v>0</v>
      </c>
      <c r="L614" s="1023" cm="1">
        <f t="array" ref="L614">IFERROR(IF($A614=$A613,0,SUM(_xlfn._xlws.FILTER($E614:$E624,($A614:$A624=$A614)*($J614:$J624=L$42)))),0)</f>
        <v>0</v>
      </c>
      <c r="M614" s="1023" cm="1">
        <f t="array" ref="M614">IFERROR(IF($A614=$A613,0,SUM(_xlfn._xlws.FILTER($E614:$E624,($A614:$A624=$A614)*($J614:$J624=M$42)))),0)</f>
        <v>0</v>
      </c>
      <c r="N614" s="1023" cm="1">
        <f t="array" ref="N614">IFERROR(IF($A614=$A613,0,SUM(_xlfn._xlws.FILTER($E614:$E624,($A614:$A624=$A614)*($J614:$J624=N$42)))),0)</f>
        <v>0</v>
      </c>
    </row>
    <row r="615" spans="1:14" hidden="1" x14ac:dyDescent="0.3">
      <c r="A615" s="449">
        <v>45954</v>
      </c>
      <c r="B615" s="449" t="s">
        <v>32</v>
      </c>
      <c r="C615" s="462">
        <v>100</v>
      </c>
      <c r="D615" s="452">
        <v>894.75</v>
      </c>
      <c r="E615" s="1022">
        <f ca="1">IFERROR(C615*D615*_xlfn.XLOOKUP(B615,TabCalc[Ticker],TabCalc[Scale]),0)</f>
        <v>89475</v>
      </c>
      <c r="F615" s="1023" cm="1">
        <f t="array" aca="1" ref="F615" ca="1">IF(A615=A614,0,SUM(_xlfn._xlws.FILTER(E615:E624,A615:A624=A615)))</f>
        <v>-611723.34</v>
      </c>
      <c r="G615" s="1024">
        <f ca="1">IF(F615&lt;&gt;0,SUM($F$43:F615),0)</f>
        <v>-4895526.7345730001</v>
      </c>
      <c r="H615" s="1024" cm="1">
        <f t="array" aca="1" ref="H615" ca="1">IFERROR(IF(A615=A614,0,SUM(_xlfn._xlws.FILTER(E615:E624,(A615:A624=A615)*(E615:E624&gt;0)))),0)</f>
        <v>170715</v>
      </c>
      <c r="I615" s="1024" cm="1">
        <f t="array" aca="1" ref="I615" ca="1">IFERROR(IF(A615=A614,0,SUM(_xlfn._xlws.FILTER(E615:E624,(A615:A624=A615)*(F615&lt;0)))),0)</f>
        <v>-611723.34</v>
      </c>
      <c r="J615" s="293" t="str">
        <f ca="1">IFERROR(_xlfn.XLOOKUP(B615,TabCalc[Ticker],TabCalc[Cur]),"")</f>
        <v>EUR</v>
      </c>
      <c r="K615" s="1023" cm="1">
        <f t="array" aca="1" ref="K615" ca="1">IFERROR(IF($A615=$A614,0,SUM(_xlfn._xlws.FILTER($E615:$E625,($A615:$A625=$A615)*($J615:$J625=K$42)))),0)</f>
        <v>89475</v>
      </c>
      <c r="L615" s="1023" cm="1">
        <f t="array" aca="1" ref="L615" ca="1">IFERROR(IF($A615=$A614,0,SUM(_xlfn._xlws.FILTER($E615:$E625,($A615:$A625=$A615)*($J615:$J625=L$42)))),0)</f>
        <v>-782438.34</v>
      </c>
      <c r="M615" s="1023" cm="1">
        <f t="array" aca="1" ref="M615" ca="1">IFERROR(IF($A615=$A614,0,SUM(_xlfn._xlws.FILTER($E615:$E625,($A615:$A625=$A615)*($J615:$J625=M$42)))),0)</f>
        <v>81240</v>
      </c>
      <c r="N615" s="1023" cm="1">
        <f t="array" aca="1" ref="N615" ca="1">IFERROR(IF($A615=$A614,0,SUM(_xlfn._xlws.FILTER($E615:$E625,($A615:$A625=$A615)*($J615:$J625=N$42)))),0)</f>
        <v>0</v>
      </c>
    </row>
    <row r="616" spans="1:14" hidden="1" x14ac:dyDescent="0.3">
      <c r="A616" s="449">
        <v>45954</v>
      </c>
      <c r="B616" s="449" t="s">
        <v>22</v>
      </c>
      <c r="C616" s="462">
        <v>20000</v>
      </c>
      <c r="D616" s="452">
        <v>406.2</v>
      </c>
      <c r="E616" s="1022">
        <f ca="1">IFERROR(C616*D616*_xlfn.XLOOKUP(B616,TabCalc[Ticker],TabCalc[Scale]),0)</f>
        <v>81240</v>
      </c>
      <c r="F616" s="1023" cm="1">
        <f t="array" ref="F616">IF(A616=A615,0,SUM(_xlfn._xlws.FILTER(E616:E625,A616:A625=A616)))</f>
        <v>0</v>
      </c>
      <c r="G616" s="1024">
        <f>IF(F616&lt;&gt;0,SUM($F$43:F616),0)</f>
        <v>0</v>
      </c>
      <c r="H616" s="1024" cm="1">
        <f t="array" ref="H616">IFERROR(IF(A616=A615,0,SUM(_xlfn._xlws.FILTER(E616:E625,(A616:A625=A616)*(E616:E625&gt;0)))),0)</f>
        <v>0</v>
      </c>
      <c r="I616" s="1024" cm="1">
        <f t="array" ref="I616">IFERROR(IF(A616=A615,0,SUM(_xlfn._xlws.FILTER(E616:E625,(A616:A625=A616)*(F616&lt;0)))),0)</f>
        <v>0</v>
      </c>
      <c r="J616" s="293" t="str">
        <f ca="1">IFERROR(_xlfn.XLOOKUP(B616,TabCalc[Ticker],TabCalc[Cur]),"")</f>
        <v>GBp</v>
      </c>
      <c r="K616" s="1023" cm="1">
        <f t="array" ref="K616">IFERROR(IF($A616=$A615,0,SUM(_xlfn._xlws.FILTER($E616:$E626,($A616:$A626=$A616)*($J616:$J626=K$42)))),0)</f>
        <v>0</v>
      </c>
      <c r="L616" s="1023" cm="1">
        <f t="array" ref="L616">IFERROR(IF($A616=$A615,0,SUM(_xlfn._xlws.FILTER($E616:$E626,($A616:$A626=$A616)*($J616:$J626=L$42)))),0)</f>
        <v>0</v>
      </c>
      <c r="M616" s="1023" cm="1">
        <f t="array" ref="M616">IFERROR(IF($A616=$A615,0,SUM(_xlfn._xlws.FILTER($E616:$E626,($A616:$A626=$A616)*($J616:$J626=M$42)))),0)</f>
        <v>0</v>
      </c>
      <c r="N616" s="1023" cm="1">
        <f t="array" ref="N616">IFERROR(IF($A616=$A615,0,SUM(_xlfn._xlws.FILTER($E616:$E626,($A616:$A626=$A616)*($J616:$J626=N$42)))),0)</f>
        <v>0</v>
      </c>
    </row>
    <row r="617" spans="1:14" hidden="1" x14ac:dyDescent="0.3">
      <c r="A617" s="449">
        <v>45954</v>
      </c>
      <c r="B617" s="449" t="s">
        <v>23</v>
      </c>
      <c r="C617" s="462">
        <v>1000</v>
      </c>
      <c r="D617" s="452">
        <v>-66.995000000000005</v>
      </c>
      <c r="E617" s="1022">
        <f ca="1">IFERROR(C617*D617*_xlfn.XLOOKUP(B617,TabCalc[Ticker],TabCalc[Scale]),0)</f>
        <v>-66995</v>
      </c>
      <c r="F617" s="1023" cm="1">
        <f t="array" ref="F617">IF(A617=A616,0,SUM(_xlfn._xlws.FILTER(E617:E626,A617:A626=A617)))</f>
        <v>0</v>
      </c>
      <c r="G617" s="1024">
        <f>IF(F617&lt;&gt;0,SUM($F$43:F617),0)</f>
        <v>0</v>
      </c>
      <c r="H617" s="1024" cm="1">
        <f t="array" ref="H617">IFERROR(IF(A617=A616,0,SUM(_xlfn._xlws.FILTER(E617:E626,(A617:A626=A617)*(E617:E626&gt;0)))),0)</f>
        <v>0</v>
      </c>
      <c r="I617" s="1024" cm="1">
        <f t="array" ref="I617">IFERROR(IF(A617=A616,0,SUM(_xlfn._xlws.FILTER(E617:E626,(A617:A626=A617)*(F617&lt;0)))),0)</f>
        <v>0</v>
      </c>
      <c r="J617" s="293" t="str">
        <f ca="1">IFERROR(_xlfn.XLOOKUP(B617,TabCalc[Ticker],TabCalc[Cur]),"")</f>
        <v>USD</v>
      </c>
      <c r="K617" s="1023" cm="1">
        <f t="array" ref="K617">IFERROR(IF($A617=$A616,0,SUM(_xlfn._xlws.FILTER($E617:$E627,($A617:$A627=$A617)*($J617:$J627=K$42)))),0)</f>
        <v>0</v>
      </c>
      <c r="L617" s="1023" cm="1">
        <f t="array" ref="L617">IFERROR(IF($A617=$A616,0,SUM(_xlfn._xlws.FILTER($E617:$E627,($A617:$A627=$A617)*($J617:$J627=L$42)))),0)</f>
        <v>0</v>
      </c>
      <c r="M617" s="1023" cm="1">
        <f t="array" ref="M617">IFERROR(IF($A617=$A616,0,SUM(_xlfn._xlws.FILTER($E617:$E627,($A617:$A627=$A617)*($J617:$J627=M$42)))),0)</f>
        <v>0</v>
      </c>
      <c r="N617" s="1023" cm="1">
        <f t="array" ref="N617">IFERROR(IF($A617=$A616,0,SUM(_xlfn._xlws.FILTER($E617:$E627,($A617:$A627=$A617)*($J617:$J627=N$42)))),0)</f>
        <v>0</v>
      </c>
    </row>
    <row r="618" spans="1:14" hidden="1" x14ac:dyDescent="0.3">
      <c r="A618" s="449">
        <v>45954</v>
      </c>
      <c r="B618" s="449" t="s">
        <v>29</v>
      </c>
      <c r="C618" s="462">
        <v>2000</v>
      </c>
      <c r="D618" s="452">
        <v>-83.501670000000004</v>
      </c>
      <c r="E618" s="1022">
        <f ca="1">IFERROR(C618*D618*_xlfn.XLOOKUP(B618,TabCalc[Ticker],TabCalc[Scale]),0)</f>
        <v>-167003.34</v>
      </c>
      <c r="F618" s="1023" cm="1">
        <f t="array" ref="F618">IF(A618=A617,0,SUM(_xlfn._xlws.FILTER(E618:E627,A618:A627=A618)))</f>
        <v>0</v>
      </c>
      <c r="G618" s="1024">
        <f>IF(F618&lt;&gt;0,SUM($F$43:F618),0)</f>
        <v>0</v>
      </c>
      <c r="H618" s="1024" cm="1">
        <f t="array" ref="H618">IFERROR(IF(A618=A617,0,SUM(_xlfn._xlws.FILTER(E618:E627,(A618:A627=A618)*(E618:E627&gt;0)))),0)</f>
        <v>0</v>
      </c>
      <c r="I618" s="1024" cm="1">
        <f t="array" ref="I618">IFERROR(IF(A618=A617,0,SUM(_xlfn._xlws.FILTER(E618:E627,(A618:A627=A618)*(F618&lt;0)))),0)</f>
        <v>0</v>
      </c>
      <c r="J618" s="293" t="str">
        <f ca="1">IFERROR(_xlfn.XLOOKUP(B618,TabCalc[Ticker],TabCalc[Cur]),"")</f>
        <v>USD</v>
      </c>
      <c r="K618" s="1023" cm="1">
        <f t="array" ref="K618">IFERROR(IF($A618=$A617,0,SUM(_xlfn._xlws.FILTER($E618:$E628,($A618:$A628=$A618)*($J618:$J628=K$42)))),0)</f>
        <v>0</v>
      </c>
      <c r="L618" s="1023" cm="1">
        <f t="array" ref="L618">IFERROR(IF($A618=$A617,0,SUM(_xlfn._xlws.FILTER($E618:$E628,($A618:$A628=$A618)*($J618:$J628=L$42)))),0)</f>
        <v>0</v>
      </c>
      <c r="M618" s="1023" cm="1">
        <f t="array" ref="M618">IFERROR(IF($A618=$A617,0,SUM(_xlfn._xlws.FILTER($E618:$E628,($A618:$A628=$A618)*($J618:$J628=M$42)))),0)</f>
        <v>0</v>
      </c>
      <c r="N618" s="1023" cm="1">
        <f t="array" ref="N618">IFERROR(IF($A618=$A617,0,SUM(_xlfn._xlws.FILTER($E618:$E628,($A618:$A628=$A618)*($J618:$J628=N$42)))),0)</f>
        <v>0</v>
      </c>
    </row>
    <row r="619" spans="1:14" hidden="1" x14ac:dyDescent="0.3">
      <c r="A619" s="449">
        <v>45954</v>
      </c>
      <c r="B619" s="449" t="s">
        <v>30</v>
      </c>
      <c r="C619" s="462">
        <v>500</v>
      </c>
      <c r="D619" s="452">
        <v>-1096.8800000000001</v>
      </c>
      <c r="E619" s="1022">
        <f ca="1">IFERROR(C619*D619*_xlfn.XLOOKUP(B619,TabCalc[Ticker],TabCalc[Scale]),0)</f>
        <v>-548440</v>
      </c>
      <c r="F619" s="1023" cm="1">
        <f t="array" ref="F619">IF(A619=A618,0,SUM(_xlfn._xlws.FILTER(E619:E628,A619:A628=A619)))</f>
        <v>0</v>
      </c>
      <c r="G619" s="1024">
        <f>IF(F619&lt;&gt;0,SUM($F$43:F619),0)</f>
        <v>0</v>
      </c>
      <c r="H619" s="1024" cm="1">
        <f t="array" ref="H619">IFERROR(IF(A619=A618,0,SUM(_xlfn._xlws.FILTER(E619:E628,(A619:A628=A619)*(E619:E628&gt;0)))),0)</f>
        <v>0</v>
      </c>
      <c r="I619" s="1024" cm="1">
        <f t="array" ref="I619">IFERROR(IF(A619=A618,0,SUM(_xlfn._xlws.FILTER(E619:E628,(A619:A628=A619)*(F619&lt;0)))),0)</f>
        <v>0</v>
      </c>
      <c r="J619" s="293" t="str">
        <f ca="1">IFERROR(_xlfn.XLOOKUP(B619,TabCalc[Ticker],TabCalc[Cur]),"")</f>
        <v>USD</v>
      </c>
      <c r="K619" s="1023" cm="1">
        <f t="array" ref="K619">IFERROR(IF($A619=$A618,0,SUM(_xlfn._xlws.FILTER($E619:$E629,($A619:$A629=$A619)*($J619:$J629=K$42)))),0)</f>
        <v>0</v>
      </c>
      <c r="L619" s="1023" cm="1">
        <f t="array" ref="L619">IFERROR(IF($A619=$A618,0,SUM(_xlfn._xlws.FILTER($E619:$E629,($A619:$A629=$A619)*($J619:$J629=L$42)))),0)</f>
        <v>0</v>
      </c>
      <c r="M619" s="1023" cm="1">
        <f t="array" ref="M619">IFERROR(IF($A619=$A618,0,SUM(_xlfn._xlws.FILTER($E619:$E629,($A619:$A629=$A619)*($J619:$J629=M$42)))),0)</f>
        <v>0</v>
      </c>
      <c r="N619" s="1023" cm="1">
        <f t="array" ref="N619">IFERROR(IF($A619=$A618,0,SUM(_xlfn._xlws.FILTER($E619:$E629,($A619:$A629=$A619)*($J619:$J629=N$42)))),0)</f>
        <v>0</v>
      </c>
    </row>
    <row r="620" spans="1:14" hidden="1" x14ac:dyDescent="0.3">
      <c r="A620" s="463">
        <v>45957</v>
      </c>
      <c r="B620" s="446" t="s">
        <v>22</v>
      </c>
      <c r="C620" s="446">
        <v>10000</v>
      </c>
      <c r="D620" s="446">
        <v>410.07</v>
      </c>
      <c r="E620" s="1022">
        <f ca="1">IFERROR(C620*D620*_xlfn.XLOOKUP(B620,TabCalc[Ticker],TabCalc[Scale]),0)</f>
        <v>41007</v>
      </c>
      <c r="F620" s="1023" cm="1">
        <f t="array" aca="1" ref="F620" ca="1">IF(A620=A619,0,SUM(_xlfn._xlws.FILTER(E620:E629,A620:A629=A620)))</f>
        <v>133317.20000000001</v>
      </c>
      <c r="G620" s="1024">
        <f ca="1">IF(F620&lt;&gt;0,SUM($F$43:F620),0)</f>
        <v>-4762209.5345729999</v>
      </c>
      <c r="H620" s="1024" cm="1">
        <f t="array" aca="1" ref="H620" ca="1">IFERROR(IF(A620=A619,0,SUM(_xlfn._xlws.FILTER(E620:E629,(A620:A629=A620)*(E620:E629&gt;0)))),0)</f>
        <v>133317.20000000001</v>
      </c>
      <c r="I620" s="1024" cm="1">
        <f t="array" aca="1" ref="I620" ca="1">IFERROR(IF(A620=A619,0,SUM(_xlfn._xlws.FILTER(E620:E629,(A620:A629=A620)*(F620&lt;0)))),0)</f>
        <v>0</v>
      </c>
      <c r="J620" s="293" t="str">
        <f ca="1">IFERROR(_xlfn.XLOOKUP(B620,TabCalc[Ticker],TabCalc[Cur]),"")</f>
        <v>GBp</v>
      </c>
      <c r="K620" s="1023" cm="1">
        <f t="array" aca="1" ref="K620" ca="1">IFERROR(IF($A620=$A619,0,SUM(_xlfn._xlws.FILTER($E620:$E630,($A620:$A630=$A620)*($J620:$J630=K$42)))),0)</f>
        <v>91025</v>
      </c>
      <c r="L620" s="1023" cm="1">
        <f t="array" aca="1" ref="L620" ca="1">IFERROR(IF($A620=$A619,0,SUM(_xlfn._xlws.FILTER($E620:$E630,($A620:$A630=$A620)*($J620:$J630=L$42)))),0)</f>
        <v>0</v>
      </c>
      <c r="M620" s="1023" cm="1">
        <f t="array" aca="1" ref="M620" ca="1">IFERROR(IF($A620=$A619,0,SUM(_xlfn._xlws.FILTER($E620:$E630,($A620:$A630=$A620)*($J620:$J630=M$42)))),0)</f>
        <v>41007</v>
      </c>
      <c r="N620" s="1023" cm="1">
        <f t="array" aca="1" ref="N620" ca="1">IFERROR(IF($A620=$A619,0,SUM(_xlfn._xlws.FILTER($E620:$E630,($A620:$A630=$A620)*($J620:$J630=N$42)))),0)</f>
        <v>1285.2</v>
      </c>
    </row>
    <row r="621" spans="1:14" hidden="1" x14ac:dyDescent="0.3">
      <c r="A621" s="463">
        <v>45957</v>
      </c>
      <c r="B621" s="446" t="s">
        <v>32</v>
      </c>
      <c r="C621" s="446">
        <v>100</v>
      </c>
      <c r="D621" s="446">
        <v>910.25</v>
      </c>
      <c r="E621" s="1022">
        <f ca="1">IFERROR(C621*D621*_xlfn.XLOOKUP(B621,TabCalc[Ticker],TabCalc[Scale]),0)</f>
        <v>91025</v>
      </c>
      <c r="F621" s="1023" cm="1">
        <f t="array" ref="F621">IF(A621=A620,0,SUM(_xlfn._xlws.FILTER(E621:E630,A621:A630=A621)))</f>
        <v>0</v>
      </c>
      <c r="G621" s="1024">
        <f>IF(F621&lt;&gt;0,SUM($F$43:F621),0)</f>
        <v>0</v>
      </c>
      <c r="H621" s="1024" cm="1">
        <f t="array" ref="H621">IFERROR(IF(A621=A620,0,SUM(_xlfn._xlws.FILTER(E621:E630,(A621:A630=A621)*(E621:E630&gt;0)))),0)</f>
        <v>0</v>
      </c>
      <c r="I621" s="1024" cm="1">
        <f t="array" ref="I621">IFERROR(IF(A621=A620,0,SUM(_xlfn._xlws.FILTER(E621:E630,(A621:A630=A621)*(F621&lt;0)))),0)</f>
        <v>0</v>
      </c>
      <c r="J621" s="293" t="str">
        <f ca="1">IFERROR(_xlfn.XLOOKUP(B621,TabCalc[Ticker],TabCalc[Cur]),"")</f>
        <v>EUR</v>
      </c>
      <c r="K621" s="1023" cm="1">
        <f t="array" ref="K621">IFERROR(IF($A621=$A620,0,SUM(_xlfn._xlws.FILTER($E621:$E631,($A621:$A631=$A621)*($J621:$J631=K$42)))),0)</f>
        <v>0</v>
      </c>
      <c r="L621" s="1023" cm="1">
        <f t="array" ref="L621">IFERROR(IF($A621=$A620,0,SUM(_xlfn._xlws.FILTER($E621:$E631,($A621:$A631=$A621)*($J621:$J631=L$42)))),0)</f>
        <v>0</v>
      </c>
      <c r="M621" s="1023" cm="1">
        <f t="array" ref="M621">IFERROR(IF($A621=$A620,0,SUM(_xlfn._xlws.FILTER($E621:$E631,($A621:$A631=$A621)*($J621:$J631=M$42)))),0)</f>
        <v>0</v>
      </c>
      <c r="N621" s="1023" cm="1">
        <f t="array" ref="N621">IFERROR(IF($A621=$A620,0,SUM(_xlfn._xlws.FILTER($E621:$E631,($A621:$A631=$A621)*($J621:$J631=N$42)))),0)</f>
        <v>0</v>
      </c>
    </row>
    <row r="622" spans="1:14" hidden="1" x14ac:dyDescent="0.3">
      <c r="A622" s="449">
        <v>45957</v>
      </c>
      <c r="B622" s="449" t="s">
        <v>48</v>
      </c>
      <c r="C622" s="462">
        <v>21</v>
      </c>
      <c r="D622" s="452">
        <v>61.2</v>
      </c>
      <c r="E622" s="1022">
        <f ca="1">IFERROR(C622*D622*_xlfn.XLOOKUP(B622,TabCalc[Ticker],TabCalc[Scale]),0)</f>
        <v>1285.2</v>
      </c>
      <c r="F622" s="1023" cm="1">
        <f t="array" ref="F622">IF(A622=A621,0,SUM(_xlfn._xlws.FILTER(E622:E631,A622:A631=A622)))</f>
        <v>0</v>
      </c>
      <c r="G622" s="1024">
        <f>IF(F622&lt;&gt;0,SUM($F$43:F622),0)</f>
        <v>0</v>
      </c>
      <c r="H622" s="1024" cm="1">
        <f t="array" ref="H622">IFERROR(IF(A622=A621,0,SUM(_xlfn._xlws.FILTER(E622:E631,(A622:A631=A622)*(E622:E631&gt;0)))),0)</f>
        <v>0</v>
      </c>
      <c r="I622" s="1024" cm="1">
        <f t="array" ref="I622">IFERROR(IF(A622=A621,0,SUM(_xlfn._xlws.FILTER(E622:E631,(A622:A631=A622)*(F622&lt;0)))),0)</f>
        <v>0</v>
      </c>
      <c r="J622" s="293" t="str">
        <f ca="1">IFERROR(_xlfn.XLOOKUP(B622,TabCalc[Ticker],TabCalc[Cur]),"")</f>
        <v>CHF</v>
      </c>
      <c r="K622" s="1023" cm="1">
        <f t="array" ref="K622">IFERROR(IF($A622=$A621,0,SUM(_xlfn._xlws.FILTER($E622:$E632,($A622:$A632=$A622)*($J622:$J632=K$42)))),0)</f>
        <v>0</v>
      </c>
      <c r="L622" s="1023" cm="1">
        <f t="array" ref="L622">IFERROR(IF($A622=$A621,0,SUM(_xlfn._xlws.FILTER($E622:$E632,($A622:$A632=$A622)*($J622:$J632=L$42)))),0)</f>
        <v>0</v>
      </c>
      <c r="M622" s="1023" cm="1">
        <f t="array" ref="M622">IFERROR(IF($A622=$A621,0,SUM(_xlfn._xlws.FILTER($E622:$E632,($A622:$A632=$A622)*($J622:$J632=M$42)))),0)</f>
        <v>0</v>
      </c>
      <c r="N622" s="1023" cm="1">
        <f t="array" ref="N622">IFERROR(IF($A622=$A621,0,SUM(_xlfn._xlws.FILTER($E622:$E632,($A622:$A632=$A622)*($J622:$J632=N$42)))),0)</f>
        <v>0</v>
      </c>
    </row>
    <row r="623" spans="1:14" hidden="1" x14ac:dyDescent="0.3">
      <c r="A623" s="449">
        <v>45958</v>
      </c>
      <c r="B623" s="449" t="s">
        <v>20</v>
      </c>
      <c r="C623" s="462">
        <v>1800</v>
      </c>
      <c r="D623" s="452">
        <v>24.12</v>
      </c>
      <c r="E623" s="1022">
        <f ca="1">IFERROR(C623*D623*_xlfn.XLOOKUP(B623,TabCalc[Ticker],TabCalc[Scale]),0)</f>
        <v>43416</v>
      </c>
      <c r="F623" s="1023" cm="1">
        <f t="array" aca="1" ref="F623" ca="1">IF(A623=A622,0,SUM(_xlfn._xlws.FILTER(E623:E632,A623:A632=A623)))</f>
        <v>-36183</v>
      </c>
      <c r="G623" s="1024">
        <f ca="1">IF(F623&lt;&gt;0,SUM($F$43:F623),0)</f>
        <v>-4798392.5345729999</v>
      </c>
      <c r="H623" s="1024" cm="1">
        <f t="array" aca="1" ref="H623" ca="1">IFERROR(IF(A623=A622,0,SUM(_xlfn._xlws.FILTER(E623:E632,(A623:A632=A623)*(E623:E632&gt;0)))),0)</f>
        <v>43416</v>
      </c>
      <c r="I623" s="1024" cm="1">
        <f t="array" aca="1" ref="I623" ca="1">IFERROR(IF(A623=A622,0,SUM(_xlfn._xlws.FILTER(E623:E632,(A623:A632=A623)*(F623&lt;0)))),0)</f>
        <v>-36183</v>
      </c>
      <c r="J623" s="293" t="str">
        <f ca="1">IFERROR(_xlfn.XLOOKUP(B623,TabCalc[Ticker],TabCalc[Cur]),"")</f>
        <v>USD</v>
      </c>
      <c r="K623" s="1023" cm="1">
        <f t="array" aca="1" ref="K623" ca="1">IFERROR(IF($A623=$A622,0,SUM(_xlfn._xlws.FILTER($E623:$E633,($A623:$A633=$A623)*($J623:$J633=K$42)))),0)</f>
        <v>0</v>
      </c>
      <c r="L623" s="1023" cm="1">
        <f t="array" aca="1" ref="L623" ca="1">IFERROR(IF($A623=$A622,0,SUM(_xlfn._xlws.FILTER($E623:$E633,($A623:$A633=$A623)*($J623:$J633=L$42)))),0)</f>
        <v>-36183</v>
      </c>
      <c r="M623" s="1023" cm="1">
        <f t="array" aca="1" ref="M623" ca="1">IFERROR(IF($A623=$A622,0,SUM(_xlfn._xlws.FILTER($E623:$E633,($A623:$A633=$A623)*($J623:$J633=M$42)))),0)</f>
        <v>0</v>
      </c>
      <c r="N623" s="1023" cm="1">
        <f t="array" aca="1" ref="N623" ca="1">IFERROR(IF($A623=$A622,0,SUM(_xlfn._xlws.FILTER($E623:$E633,($A623:$A633=$A623)*($J623:$J633=N$42)))),0)</f>
        <v>0</v>
      </c>
    </row>
    <row r="624" spans="1:14" hidden="1" x14ac:dyDescent="0.3">
      <c r="A624" s="449">
        <v>45958</v>
      </c>
      <c r="B624" s="449" t="s">
        <v>29</v>
      </c>
      <c r="C624" s="462">
        <v>1000</v>
      </c>
      <c r="D624" s="452">
        <v>-79.599000000000004</v>
      </c>
      <c r="E624" s="1022">
        <f ca="1">IFERROR(C624*D624*_xlfn.XLOOKUP(B624,TabCalc[Ticker],TabCalc[Scale]),0)</f>
        <v>-79599</v>
      </c>
      <c r="F624" s="1023" cm="1">
        <f t="array" ref="F624">IF(A624=A623,0,SUM(_xlfn._xlws.FILTER(E624:E633,A624:A633=A624)))</f>
        <v>0</v>
      </c>
      <c r="G624" s="1024">
        <f>IF(F624&lt;&gt;0,SUM($F$43:F624),0)</f>
        <v>0</v>
      </c>
      <c r="H624" s="1024" cm="1">
        <f t="array" ref="H624">IFERROR(IF(A624=A623,0,SUM(_xlfn._xlws.FILTER(E624:E633,(A624:A633=A624)*(E624:E633&gt;0)))),0)</f>
        <v>0</v>
      </c>
      <c r="I624" s="1024" cm="1">
        <f t="array" ref="I624">IFERROR(IF(A624=A623,0,SUM(_xlfn._xlws.FILTER(E624:E633,(A624:A633=A624)*(F624&lt;0)))),0)</f>
        <v>0</v>
      </c>
      <c r="J624" s="293" t="str">
        <f ca="1">IFERROR(_xlfn.XLOOKUP(B624,TabCalc[Ticker],TabCalc[Cur]),"")</f>
        <v>USD</v>
      </c>
      <c r="K624" s="1023" cm="1">
        <f t="array" ref="K624">IFERROR(IF($A624=$A623,0,SUM(_xlfn._xlws.FILTER($E624:$E634,($A624:$A634=$A624)*($J624:$J634=K$42)))),0)</f>
        <v>0</v>
      </c>
      <c r="L624" s="1023" cm="1">
        <f t="array" ref="L624">IFERROR(IF($A624=$A623,0,SUM(_xlfn._xlws.FILTER($E624:$E634,($A624:$A634=$A624)*($J624:$J634=L$42)))),0)</f>
        <v>0</v>
      </c>
      <c r="M624" s="1023" cm="1">
        <f t="array" ref="M624">IFERROR(IF($A624=$A623,0,SUM(_xlfn._xlws.FILTER($E624:$E634,($A624:$A634=$A624)*($J624:$J634=M$42)))),0)</f>
        <v>0</v>
      </c>
      <c r="N624" s="1023" cm="1">
        <f t="array" ref="N624">IFERROR(IF($A624=$A623,0,SUM(_xlfn._xlws.FILTER($E624:$E634,($A624:$A634=$A624)*($J624:$J634=N$42)))),0)</f>
        <v>0</v>
      </c>
    </row>
    <row r="625" spans="1:14" hidden="1" x14ac:dyDescent="0.3">
      <c r="A625" s="463">
        <v>45959</v>
      </c>
      <c r="B625" s="446" t="s">
        <v>47</v>
      </c>
      <c r="C625" s="446">
        <v>1500</v>
      </c>
      <c r="D625" s="464">
        <v>-28</v>
      </c>
      <c r="E625" s="1022">
        <f ca="1">IFERROR(C625*D625*_xlfn.XLOOKUP(B625,TabCalc[Ticker],TabCalc[Scale]),0)</f>
        <v>-42000</v>
      </c>
      <c r="F625" s="1023" cm="1">
        <f t="array" aca="1" ref="F625" ca="1">IF(A625=A624,0,SUM(_xlfn._xlws.FILTER(E625:E634,A625:A634=A625)))</f>
        <v>-61478.899999999994</v>
      </c>
      <c r="G625" s="1024">
        <f ca="1">IF(F625&lt;&gt;0,SUM($F$43:F625),0)</f>
        <v>-4859871.4345730003</v>
      </c>
      <c r="H625" s="1024" cm="1">
        <f t="array" aca="1" ref="H625" ca="1">IFERROR(IF(A625=A624,0,SUM(_xlfn._xlws.FILTER(E625:E634,(A625:A634=A625)*(E625:E634&gt;0)))),0)</f>
        <v>20527.5</v>
      </c>
      <c r="I625" s="1024" cm="1">
        <f t="array" aca="1" ref="I625" ca="1">IFERROR(IF(A625=A624,0,SUM(_xlfn._xlws.FILTER(E625:E634,(A625:A634=A625)*(F625&lt;0)))),0)</f>
        <v>-61478.899999999994</v>
      </c>
      <c r="J625" s="293" t="str">
        <f ca="1">IFERROR(_xlfn.XLOOKUP(B625,TabCalc[Ticker],TabCalc[Cur]),"")</f>
        <v>USD</v>
      </c>
      <c r="K625" s="1023" cm="1">
        <f t="array" aca="1" ref="K625" ca="1">IFERROR(IF($A625=$A624,0,SUM(_xlfn._xlws.FILTER($E625:$E635,($A625:$A635=$A625)*($J625:$J635=K$42)))),0)</f>
        <v>0</v>
      </c>
      <c r="L625" s="1023" cm="1">
        <f t="array" aca="1" ref="L625" ca="1">IFERROR(IF($A625=$A624,0,SUM(_xlfn._xlws.FILTER($E625:$E635,($A625:$A635=$A625)*($J625:$J635=L$42)))),0)</f>
        <v>-82006.399999999994</v>
      </c>
      <c r="M625" s="1023" cm="1">
        <f t="array" aca="1" ref="M625" ca="1">IFERROR(IF($A625=$A624,0,SUM(_xlfn._xlws.FILTER($E625:$E635,($A625:$A635=$A625)*($J625:$J635=M$42)))),0)</f>
        <v>20527.5</v>
      </c>
      <c r="N625" s="1023" cm="1">
        <f t="array" aca="1" ref="N625" ca="1">IFERROR(IF($A625=$A624,0,SUM(_xlfn._xlws.FILTER($E625:$E635,($A625:$A635=$A625)*($J625:$J635=N$42)))),0)</f>
        <v>0</v>
      </c>
    </row>
    <row r="626" spans="1:14" hidden="1" x14ac:dyDescent="0.3">
      <c r="A626" s="463">
        <v>45959</v>
      </c>
      <c r="B626" s="446" t="s">
        <v>39</v>
      </c>
      <c r="C626" s="446">
        <v>2632</v>
      </c>
      <c r="D626" s="464">
        <v>-15.2</v>
      </c>
      <c r="E626" s="1022">
        <f ca="1">IFERROR(C626*D626*_xlfn.XLOOKUP(B626,TabCalc[Ticker],TabCalc[Scale]),0)</f>
        <v>-40006.400000000001</v>
      </c>
      <c r="F626" s="1023" cm="1">
        <f t="array" ref="F626">IF(A626=A625,0,SUM(_xlfn._xlws.FILTER(E626:E635,A626:A635=A626)))</f>
        <v>0</v>
      </c>
      <c r="G626" s="1024">
        <f>IF(F626&lt;&gt;0,SUM($F$43:F626),0)</f>
        <v>0</v>
      </c>
      <c r="H626" s="1024" cm="1">
        <f t="array" ref="H626">IFERROR(IF(A626=A625,0,SUM(_xlfn._xlws.FILTER(E626:E635,(A626:A635=A626)*(E626:E635&gt;0)))),0)</f>
        <v>0</v>
      </c>
      <c r="I626" s="1024" cm="1">
        <f t="array" ref="I626">IFERROR(IF(A626=A625,0,SUM(_xlfn._xlws.FILTER(E626:E635,(A626:A635=A626)*(F626&lt;0)))),0)</f>
        <v>0</v>
      </c>
      <c r="J626" s="293" t="str">
        <f ca="1">IFERROR(_xlfn.XLOOKUP(B626,TabCalc[Ticker],TabCalc[Cur]),"")</f>
        <v>USD</v>
      </c>
      <c r="K626" s="1023" cm="1">
        <f t="array" ref="K626">IFERROR(IF($A626=$A625,0,SUM(_xlfn._xlws.FILTER($E626:$E636,($A626:$A636=$A626)*($J626:$J636=K$42)))),0)</f>
        <v>0</v>
      </c>
      <c r="L626" s="1023" cm="1">
        <f t="array" ref="L626">IFERROR(IF($A626=$A625,0,SUM(_xlfn._xlws.FILTER($E626:$E636,($A626:$A636=$A626)*($J626:$J636=L$42)))),0)</f>
        <v>0</v>
      </c>
      <c r="M626" s="1023" cm="1">
        <f t="array" ref="M626">IFERROR(IF($A626=$A625,0,SUM(_xlfn._xlws.FILTER($E626:$E636,($A626:$A636=$A626)*($J626:$J636=M$42)))),0)</f>
        <v>0</v>
      </c>
      <c r="N626" s="1023" cm="1">
        <f t="array" ref="N626">IFERROR(IF($A626=$A625,0,SUM(_xlfn._xlws.FILTER($E626:$E636,($A626:$A636=$A626)*($J626:$J636=N$42)))),0)</f>
        <v>0</v>
      </c>
    </row>
    <row r="627" spans="1:14" hidden="1" x14ac:dyDescent="0.3">
      <c r="A627" s="463">
        <v>45959</v>
      </c>
      <c r="B627" s="446" t="s">
        <v>22</v>
      </c>
      <c r="C627" s="446">
        <v>5000</v>
      </c>
      <c r="D627" s="464">
        <v>410.55</v>
      </c>
      <c r="E627" s="1022">
        <f ca="1">IFERROR(C627*D627*_xlfn.XLOOKUP(B627,TabCalc[Ticker],TabCalc[Scale]),0)</f>
        <v>20527.5</v>
      </c>
      <c r="F627" s="1023" cm="1">
        <f t="array" ref="F627">IF(A627=A626,0,SUM(_xlfn._xlws.FILTER(E627:E636,A627:A636=A627)))</f>
        <v>0</v>
      </c>
      <c r="G627" s="1024">
        <f>IF(F627&lt;&gt;0,SUM($F$43:F627),0)</f>
        <v>0</v>
      </c>
      <c r="H627" s="1024" cm="1">
        <f t="array" ref="H627">IFERROR(IF(A627=A626,0,SUM(_xlfn._xlws.FILTER(E627:E636,(A627:A636=A627)*(E627:E636&gt;0)))),0)</f>
        <v>0</v>
      </c>
      <c r="I627" s="1024" cm="1">
        <f t="array" ref="I627">IFERROR(IF(A627=A626,0,SUM(_xlfn._xlws.FILTER(E627:E636,(A627:A636=A627)*(F627&lt;0)))),0)</f>
        <v>0</v>
      </c>
      <c r="J627" s="293" t="str">
        <f ca="1">IFERROR(_xlfn.XLOOKUP(B627,TabCalc[Ticker],TabCalc[Cur]),"")</f>
        <v>GBp</v>
      </c>
      <c r="K627" s="1023" cm="1">
        <f t="array" ref="K627">IFERROR(IF($A627=$A626,0,SUM(_xlfn._xlws.FILTER($E627:$E637,($A627:$A637=$A627)*($J627:$J637=K$42)))),0)</f>
        <v>0</v>
      </c>
      <c r="L627" s="1023" cm="1">
        <f t="array" ref="L627">IFERROR(IF($A627=$A626,0,SUM(_xlfn._xlws.FILTER($E627:$E637,($A627:$A637=$A627)*($J627:$J637=L$42)))),0)</f>
        <v>0</v>
      </c>
      <c r="M627" s="1023" cm="1">
        <f t="array" ref="M627">IFERROR(IF($A627=$A626,0,SUM(_xlfn._xlws.FILTER($E627:$E637,($A627:$A637=$A627)*($J627:$J637=M$42)))),0)</f>
        <v>0</v>
      </c>
      <c r="N627" s="1023" cm="1">
        <f t="array" ref="N627">IFERROR(IF($A627=$A626,0,SUM(_xlfn._xlws.FILTER($E627:$E637,($A627:$A637=$A627)*($J627:$J637=N$42)))),0)</f>
        <v>0</v>
      </c>
    </row>
    <row r="628" spans="1:14" hidden="1" x14ac:dyDescent="0.3">
      <c r="A628" s="449">
        <v>45960</v>
      </c>
      <c r="B628" s="449" t="s">
        <v>29</v>
      </c>
      <c r="C628" s="462">
        <v>1000</v>
      </c>
      <c r="D628" s="452">
        <v>-80.88</v>
      </c>
      <c r="E628" s="1022">
        <f ca="1">IFERROR(C628*D628*_xlfn.XLOOKUP(B628,TabCalc[Ticker],TabCalc[Scale]),0)</f>
        <v>-80880</v>
      </c>
      <c r="F628" s="1023" cm="1">
        <f t="array" aca="1" ref="F628" ca="1">IF(A628=A627,0,SUM(_xlfn._xlws.FILTER(E628:E637,A628:A637=A628)))</f>
        <v>-80880</v>
      </c>
      <c r="G628" s="1024">
        <f ca="1">IF(F628&lt;&gt;0,SUM($F$43:F628),0)</f>
        <v>-4940751.4345730003</v>
      </c>
      <c r="H628" s="1024" cm="1">
        <f t="array" aca="1" ref="H628" ca="1">IFERROR(IF(A628=A627,0,SUM(_xlfn._xlws.FILTER(E628:E637,(A628:A637=A628)*(E628:E637&gt;0)))),0)</f>
        <v>0</v>
      </c>
      <c r="I628" s="1024" cm="1">
        <f t="array" aca="1" ref="I628" ca="1">IFERROR(IF(A628=A627,0,SUM(_xlfn._xlws.FILTER(E628:E637,(A628:A637=A628)*(F628&lt;0)))),0)</f>
        <v>-80880</v>
      </c>
      <c r="J628" s="293" t="str">
        <f ca="1">IFERROR(_xlfn.XLOOKUP(B628,TabCalc[Ticker],TabCalc[Cur]),"")</f>
        <v>USD</v>
      </c>
      <c r="K628" s="1023" cm="1">
        <f t="array" aca="1" ref="K628" ca="1">IFERROR(IF($A628=$A627,0,SUM(_xlfn._xlws.FILTER($E628:$E638,($A628:$A638=$A628)*($J628:$J638=K$42)))),0)</f>
        <v>0</v>
      </c>
      <c r="L628" s="1023" cm="1">
        <f t="array" aca="1" ref="L628" ca="1">IFERROR(IF($A628=$A627,0,SUM(_xlfn._xlws.FILTER($E628:$E638,($A628:$A638=$A628)*($J628:$J638=L$42)))),0)</f>
        <v>-80880</v>
      </c>
      <c r="M628" s="1023" cm="1">
        <f t="array" aca="1" ref="M628" ca="1">IFERROR(IF($A628=$A627,0,SUM(_xlfn._xlws.FILTER($E628:$E638,($A628:$A638=$A628)*($J628:$J638=M$42)))),0)</f>
        <v>0</v>
      </c>
      <c r="N628" s="1023" cm="1">
        <f t="array" aca="1" ref="N628" ca="1">IFERROR(IF($A628=$A627,0,SUM(_xlfn._xlws.FILTER($E628:$E638,($A628:$A638=$A628)*($J628:$J638=N$42)))),0)</f>
        <v>0</v>
      </c>
    </row>
    <row r="629" spans="1:14" hidden="1" x14ac:dyDescent="0.3">
      <c r="A629" s="463">
        <v>45961</v>
      </c>
      <c r="B629" s="446" t="s">
        <v>29</v>
      </c>
      <c r="C629" s="446">
        <v>1000</v>
      </c>
      <c r="D629" s="464">
        <v>-79.88</v>
      </c>
      <c r="E629" s="1022">
        <f ca="1">IFERROR(C629*D629*_xlfn.XLOOKUP(B629,TabCalc[Ticker],TabCalc[Scale]),0)</f>
        <v>-79880</v>
      </c>
      <c r="F629" s="1023" cm="1">
        <f t="array" aca="1" ref="F629" ca="1">IF(A629=A628,0,SUM(_xlfn._xlws.FILTER(E629:E638,A629:A638=A629)))</f>
        <v>22135.800000000003</v>
      </c>
      <c r="G629" s="1024">
        <f ca="1">IF(F629&lt;&gt;0,SUM($F$43:F629),0)</f>
        <v>-4918615.6345730005</v>
      </c>
      <c r="H629" s="1024" cm="1">
        <f t="array" aca="1" ref="H629" ca="1">IFERROR(IF(A629=A628,0,SUM(_xlfn._xlws.FILTER(E629:E638,(A629:A638=A629)*(E629:E638&gt;0)))),0)</f>
        <v>102015.8</v>
      </c>
      <c r="I629" s="1024" cm="1">
        <f t="array" aca="1" ref="I629" ca="1">IFERROR(IF(A629=A628,0,SUM(_xlfn._xlws.FILTER(E629:E638,(A629:A638=A629)*(F629&lt;0)))),0)</f>
        <v>0</v>
      </c>
      <c r="J629" s="293" t="str">
        <f ca="1">IFERROR(_xlfn.XLOOKUP(B629,TabCalc[Ticker],TabCalc[Cur]),"")</f>
        <v>USD</v>
      </c>
      <c r="K629" s="1023" cm="1">
        <f t="array" aca="1" ref="K629" ca="1">IFERROR(IF($A629=$A628,0,SUM(_xlfn._xlws.FILTER($E629:$E639,($A629:$A639=$A629)*($J629:$J639=K$42)))),0)</f>
        <v>0</v>
      </c>
      <c r="L629" s="1023" cm="1">
        <f t="array" aca="1" ref="L629" ca="1">IFERROR(IF($A629=$A628,0,SUM(_xlfn._xlws.FILTER($E629:$E639,($A629:$A639=$A629)*($J629:$J639=L$42)))),0)</f>
        <v>-79880</v>
      </c>
      <c r="M629" s="1023" cm="1">
        <f t="array" aca="1" ref="M629" ca="1">IFERROR(IF($A629=$A628,0,SUM(_xlfn._xlws.FILTER($E629:$E639,($A629:$A639=$A629)*($J629:$J639=M$42)))),0)</f>
        <v>42101</v>
      </c>
      <c r="N629" s="1023" cm="1">
        <f t="array" aca="1" ref="N629" ca="1">IFERROR(IF($A629=$A628,0,SUM(_xlfn._xlws.FILTER($E629:$E639,($A629:$A639=$A629)*($J629:$J639=N$42)))),0)</f>
        <v>59914.8</v>
      </c>
    </row>
    <row r="630" spans="1:14" hidden="1" x14ac:dyDescent="0.3">
      <c r="A630" s="463">
        <v>45961</v>
      </c>
      <c r="B630" s="446" t="s">
        <v>48</v>
      </c>
      <c r="C630" s="446">
        <v>979</v>
      </c>
      <c r="D630" s="464">
        <v>61.2</v>
      </c>
      <c r="E630" s="1022">
        <f ca="1">IFERROR(C630*D630*_xlfn.XLOOKUP(B630,TabCalc[Ticker],TabCalc[Scale]),0)</f>
        <v>59914.8</v>
      </c>
      <c r="F630" s="1023" cm="1">
        <f t="array" ref="F630">IF(A630=A629,0,SUM(_xlfn._xlws.FILTER(E630:E639,A630:A639=A630)))</f>
        <v>0</v>
      </c>
      <c r="G630" s="1024">
        <f>IF(F630&lt;&gt;0,SUM($F$43:F630),0)</f>
        <v>0</v>
      </c>
      <c r="H630" s="1024" cm="1">
        <f t="array" ref="H630">IFERROR(IF(A630=A629,0,SUM(_xlfn._xlws.FILTER(E630:E639,(A630:A639=A630)*(E630:E639&gt;0)))),0)</f>
        <v>0</v>
      </c>
      <c r="I630" s="1024" cm="1">
        <f t="array" ref="I630">IFERROR(IF(A630=A629,0,SUM(_xlfn._xlws.FILTER(E630:E639,(A630:A639=A630)*(F630&lt;0)))),0)</f>
        <v>0</v>
      </c>
      <c r="J630" s="293" t="str">
        <f ca="1">IFERROR(_xlfn.XLOOKUP(B630,TabCalc[Ticker],TabCalc[Cur]),"")</f>
        <v>CHF</v>
      </c>
      <c r="K630" s="1023" cm="1">
        <f t="array" ref="K630">IFERROR(IF($A630=$A629,0,SUM(_xlfn._xlws.FILTER($E630:$E640,($A630:$A640=$A630)*($J630:$J640=K$42)))),0)</f>
        <v>0</v>
      </c>
      <c r="L630" s="1023" cm="1">
        <f t="array" ref="L630">IFERROR(IF($A630=$A629,0,SUM(_xlfn._xlws.FILTER($E630:$E640,($A630:$A640=$A630)*($J630:$J640=L$42)))),0)</f>
        <v>0</v>
      </c>
      <c r="M630" s="1023" cm="1">
        <f t="array" ref="M630">IFERROR(IF($A630=$A629,0,SUM(_xlfn._xlws.FILTER($E630:$E640,($A630:$A640=$A630)*($J630:$J640=M$42)))),0)</f>
        <v>0</v>
      </c>
      <c r="N630" s="1023" cm="1">
        <f t="array" ref="N630">IFERROR(IF($A630=$A629,0,SUM(_xlfn._xlws.FILTER($E630:$E640,($A630:$A640=$A630)*($J630:$J640=N$42)))),0)</f>
        <v>0</v>
      </c>
    </row>
    <row r="631" spans="1:14" hidden="1" x14ac:dyDescent="0.3">
      <c r="A631" s="463">
        <v>45961</v>
      </c>
      <c r="B631" s="446" t="s">
        <v>22</v>
      </c>
      <c r="C631" s="446">
        <v>10000</v>
      </c>
      <c r="D631" s="464">
        <v>421.01</v>
      </c>
      <c r="E631" s="1022">
        <f ca="1">IFERROR(C631*D631*_xlfn.XLOOKUP(B631,TabCalc[Ticker],TabCalc[Scale]),0)</f>
        <v>42101</v>
      </c>
      <c r="F631" s="1023" cm="1">
        <f t="array" ref="F631">IF(A631=A630,0,SUM(_xlfn._xlws.FILTER(E631:E640,A631:A640=A631)))</f>
        <v>0</v>
      </c>
      <c r="G631" s="1024">
        <f>IF(F631&lt;&gt;0,SUM($F$43:F631),0)</f>
        <v>0</v>
      </c>
      <c r="H631" s="1024" cm="1">
        <f t="array" ref="H631">IFERROR(IF(A631=A630,0,SUM(_xlfn._xlws.FILTER(E631:E640,(A631:A640=A631)*(E631:E640&gt;0)))),0)</f>
        <v>0</v>
      </c>
      <c r="I631" s="1024" cm="1">
        <f t="array" ref="I631">IFERROR(IF(A631=A630,0,SUM(_xlfn._xlws.FILTER(E631:E640,(A631:A640=A631)*(F631&lt;0)))),0)</f>
        <v>0</v>
      </c>
      <c r="J631" s="293" t="str">
        <f ca="1">IFERROR(_xlfn.XLOOKUP(B631,TabCalc[Ticker],TabCalc[Cur]),"")</f>
        <v>GBp</v>
      </c>
      <c r="K631" s="1023" cm="1">
        <f t="array" ref="K631">IFERROR(IF($A631=$A630,0,SUM(_xlfn._xlws.FILTER($E631:$E641,($A631:$A641=$A631)*($J631:$J641=K$42)))),0)</f>
        <v>0</v>
      </c>
      <c r="L631" s="1023" cm="1">
        <f t="array" ref="L631">IFERROR(IF($A631=$A630,0,SUM(_xlfn._xlws.FILTER($E631:$E641,($A631:$A641=$A631)*($J631:$J641=L$42)))),0)</f>
        <v>0</v>
      </c>
      <c r="M631" s="1023" cm="1">
        <f t="array" ref="M631">IFERROR(IF($A631=$A630,0,SUM(_xlfn._xlws.FILTER($E631:$E641,($A631:$A641=$A631)*($J631:$J641=M$42)))),0)</f>
        <v>0</v>
      </c>
      <c r="N631" s="1023" cm="1">
        <f t="array" ref="N631">IFERROR(IF($A631=$A630,0,SUM(_xlfn._xlws.FILTER($E631:$E641,($A631:$A641=$A631)*($J631:$J641=N$42)))),0)</f>
        <v>0</v>
      </c>
    </row>
    <row r="632" spans="1:14" hidden="1" x14ac:dyDescent="0.3">
      <c r="A632" s="449">
        <v>45964</v>
      </c>
      <c r="B632" s="449" t="s">
        <v>22</v>
      </c>
      <c r="C632" s="462">
        <v>25000</v>
      </c>
      <c r="D632" s="452">
        <v>427.2</v>
      </c>
      <c r="E632" s="1022">
        <f ca="1">IFERROR(C632*D632*_xlfn.XLOOKUP(B632,TabCalc[Ticker],TabCalc[Scale]),0)</f>
        <v>106800</v>
      </c>
      <c r="F632" s="1023" cm="1">
        <f t="array" aca="1" ref="F632" ca="1">IF(A632=A631,0,SUM(_xlfn._xlws.FILTER(E632:E641,A632:A641=A632)))</f>
        <v>139466.13</v>
      </c>
      <c r="G632" s="1024">
        <f ca="1">IF(F632&lt;&gt;0,SUM($F$43:F632),0)</f>
        <v>-4779149.5045730006</v>
      </c>
      <c r="H632" s="1024" cm="1">
        <f t="array" aca="1" ref="H632" ca="1">IFERROR(IF(A632=A631,0,SUM(_xlfn._xlws.FILTER(E632:E641,(A632:A641=A632)*(E632:E641&gt;0)))),0)</f>
        <v>139466.13</v>
      </c>
      <c r="I632" s="1024" cm="1">
        <f t="array" aca="1" ref="I632" ca="1">IFERROR(IF(A632=A631,0,SUM(_xlfn._xlws.FILTER(E632:E641,(A632:A641=A632)*(F632&lt;0)))),0)</f>
        <v>0</v>
      </c>
      <c r="J632" s="293" t="str">
        <f ca="1">IFERROR(_xlfn.XLOOKUP(B632,TabCalc[Ticker],TabCalc[Cur]),"")</f>
        <v>GBp</v>
      </c>
      <c r="K632" s="1023" cm="1">
        <f t="array" aca="1" ref="K632" ca="1">IFERROR(IF($A632=$A631,0,SUM(_xlfn._xlws.FILTER($E632:$E642,($A632:$A642=$A632)*($J632:$J642=K$42)))),0)</f>
        <v>0</v>
      </c>
      <c r="L632" s="1023" cm="1">
        <f t="array" aca="1" ref="L632" ca="1">IFERROR(IF($A632=$A631,0,SUM(_xlfn._xlws.FILTER($E632:$E642,($A632:$A642=$A632)*($J632:$J642=L$42)))),0)</f>
        <v>32666.13</v>
      </c>
      <c r="M632" s="1023" cm="1">
        <f t="array" aca="1" ref="M632" ca="1">IFERROR(IF($A632=$A631,0,SUM(_xlfn._xlws.FILTER($E632:$E642,($A632:$A642=$A632)*($J632:$J642=M$42)))),0)</f>
        <v>106800</v>
      </c>
      <c r="N632" s="1023" cm="1">
        <f t="array" aca="1" ref="N632" ca="1">IFERROR(IF($A632=$A631,0,SUM(_xlfn._xlws.FILTER($E632:$E642,($A632:$A642=$A632)*($J632:$J642=N$42)))),0)</f>
        <v>0</v>
      </c>
    </row>
    <row r="633" spans="1:14" hidden="1" x14ac:dyDescent="0.3">
      <c r="A633" s="449">
        <v>45964</v>
      </c>
      <c r="B633" s="449" t="s">
        <v>28</v>
      </c>
      <c r="C633" s="462">
        <v>399</v>
      </c>
      <c r="D633" s="452">
        <v>81.87</v>
      </c>
      <c r="E633" s="1022">
        <f ca="1">IFERROR(C633*D633*_xlfn.XLOOKUP(B633,TabCalc[Ticker],TabCalc[Scale]),0)</f>
        <v>32666.13</v>
      </c>
      <c r="F633" s="1023" cm="1">
        <f t="array" ref="F633">IF(A633=A632,0,SUM(_xlfn._xlws.FILTER(E633:E642,A633:A642=A633)))</f>
        <v>0</v>
      </c>
      <c r="G633" s="1024">
        <f>IF(F633&lt;&gt;0,SUM($F$43:F633),0)</f>
        <v>0</v>
      </c>
      <c r="H633" s="1024" cm="1">
        <f t="array" ref="H633">IFERROR(IF(A633=A632,0,SUM(_xlfn._xlws.FILTER(E633:E642,(A633:A642=A633)*(E633:E642&gt;0)))),0)</f>
        <v>0</v>
      </c>
      <c r="I633" s="1024" cm="1">
        <f t="array" ref="I633">IFERROR(IF(A633=A632,0,SUM(_xlfn._xlws.FILTER(E633:E642,(A633:A642=A633)*(F633&lt;0)))),0)</f>
        <v>0</v>
      </c>
      <c r="J633" s="293" t="str">
        <f ca="1">IFERROR(_xlfn.XLOOKUP(B633,TabCalc[Ticker],TabCalc[Cur]),"")</f>
        <v>USD</v>
      </c>
      <c r="K633" s="1023" cm="1">
        <f t="array" ref="K633">IFERROR(IF($A633=$A632,0,SUM(_xlfn._xlws.FILTER($E633:$E643,($A633:$A643=$A633)*($J633:$J643=K$42)))),0)</f>
        <v>0</v>
      </c>
      <c r="L633" s="1023" cm="1">
        <f t="array" ref="L633">IFERROR(IF($A633=$A632,0,SUM(_xlfn._xlws.FILTER($E633:$E643,($A633:$A643=$A633)*($J633:$J643=L$42)))),0)</f>
        <v>0</v>
      </c>
      <c r="M633" s="1023" cm="1">
        <f t="array" ref="M633">IFERROR(IF($A633=$A632,0,SUM(_xlfn._xlws.FILTER($E633:$E643,($A633:$A643=$A633)*($J633:$J643=M$42)))),0)</f>
        <v>0</v>
      </c>
      <c r="N633" s="1023" cm="1">
        <f t="array" ref="N633">IFERROR(IF($A633=$A632,0,SUM(_xlfn._xlws.FILTER($E633:$E643,($A633:$A643=$A633)*($J633:$J643=N$42)))),0)</f>
        <v>0</v>
      </c>
    </row>
    <row r="634" spans="1:14" hidden="1" x14ac:dyDescent="0.3">
      <c r="A634" s="463">
        <v>45965</v>
      </c>
      <c r="B634" s="446" t="s">
        <v>14</v>
      </c>
      <c r="C634" s="446">
        <v>1600</v>
      </c>
      <c r="D634" s="464">
        <v>-118.68</v>
      </c>
      <c r="E634" s="1022">
        <f ca="1">IFERROR(C634*D634*_xlfn.XLOOKUP(B634,TabCalc[Ticker],TabCalc[Scale]),0)</f>
        <v>-189888</v>
      </c>
      <c r="F634" s="1023" cm="1">
        <f t="array" aca="1" ref="F634" ca="1">IF(A634=A633,0,SUM(_xlfn._xlws.FILTER(E634:E643,A634:A643=A634)))</f>
        <v>-299131</v>
      </c>
      <c r="G634" s="1024">
        <f ca="1">IF(F634&lt;&gt;0,SUM($F$43:F634),0)</f>
        <v>-5078280.5045730006</v>
      </c>
      <c r="H634" s="1024" cm="1">
        <f t="array" aca="1" ref="H634" ca="1">IFERROR(IF(A634=A633,0,SUM(_xlfn._xlws.FILTER(E634:E643,(A634:A643=A634)*(E634:E643&gt;0)))),0)</f>
        <v>214320</v>
      </c>
      <c r="I634" s="1024" cm="1">
        <f t="array" aca="1" ref="I634" ca="1">IFERROR(IF(A634=A633,0,SUM(_xlfn._xlws.FILTER(E634:E643,(A634:A643=A634)*(F634&lt;0)))),0)</f>
        <v>-299131</v>
      </c>
      <c r="J634" s="293" t="str">
        <f ca="1">IFERROR(_xlfn.XLOOKUP(B634,TabCalc[Ticker],TabCalc[Cur]),"")</f>
        <v>USD</v>
      </c>
      <c r="K634" s="1023" cm="1">
        <f t="array" aca="1" ref="K634" ca="1">IFERROR(IF($A634=$A633,0,SUM(_xlfn._xlws.FILTER($E634:$E644,($A634:$A644=$A634)*($J634:$J644=K$42)))),0)</f>
        <v>79300</v>
      </c>
      <c r="L634" s="1023" cm="1">
        <f t="array" aca="1" ref="L634" ca="1">IFERROR(IF($A634=$A633,0,SUM(_xlfn._xlws.FILTER($E634:$E644,($A634:$A644=$A634)*($J634:$J644=L$42)))),0)</f>
        <v>-378431</v>
      </c>
      <c r="M634" s="1023" cm="1">
        <f t="array" aca="1" ref="M634" ca="1">IFERROR(IF($A634=$A633,0,SUM(_xlfn._xlws.FILTER($E634:$E644,($A634:$A644=$A634)*($J634:$J644=M$42)))),0)</f>
        <v>0</v>
      </c>
      <c r="N634" s="1023" cm="1">
        <f t="array" aca="1" ref="N634" ca="1">IFERROR(IF($A634=$A633,0,SUM(_xlfn._xlws.FILTER($E634:$E644,($A634:$A644=$A634)*($J634:$J644=N$42)))),0)</f>
        <v>0</v>
      </c>
    </row>
    <row r="635" spans="1:14" hidden="1" x14ac:dyDescent="0.3">
      <c r="A635" s="463">
        <v>45965</v>
      </c>
      <c r="B635" s="446" t="s">
        <v>23</v>
      </c>
      <c r="C635" s="446">
        <v>2000</v>
      </c>
      <c r="D635" s="464">
        <v>-63.69</v>
      </c>
      <c r="E635" s="1022">
        <f ca="1">IFERROR(C635*D635*_xlfn.XLOOKUP(B635,TabCalc[Ticker],TabCalc[Scale]),0)</f>
        <v>-127380</v>
      </c>
      <c r="F635" s="1023" cm="1">
        <f t="array" ref="F635">IF(A635=A634,0,SUM(_xlfn._xlws.FILTER(E635:E644,A635:A644=A635)))</f>
        <v>0</v>
      </c>
      <c r="G635" s="1024">
        <f>IF(F635&lt;&gt;0,SUM($F$43:F635),0)</f>
        <v>0</v>
      </c>
      <c r="H635" s="1024" cm="1">
        <f t="array" ref="H635">IFERROR(IF(A635=A634,0,SUM(_xlfn._xlws.FILTER(E635:E644,(A635:A644=A635)*(E635:E644&gt;0)))),0)</f>
        <v>0</v>
      </c>
      <c r="I635" s="1024" cm="1">
        <f t="array" ref="I635">IFERROR(IF(A635=A634,0,SUM(_xlfn._xlws.FILTER(E635:E644,(A635:A644=A635)*(F635&lt;0)))),0)</f>
        <v>0</v>
      </c>
      <c r="J635" s="293" t="str">
        <f ca="1">IFERROR(_xlfn.XLOOKUP(B635,TabCalc[Ticker],TabCalc[Cur]),"")</f>
        <v>USD</v>
      </c>
      <c r="K635" s="1023" cm="1">
        <f t="array" ref="K635">IFERROR(IF($A635=$A634,0,SUM(_xlfn._xlws.FILTER($E635:$E645,($A635:$A645=$A635)*($J635:$J645=K$42)))),0)</f>
        <v>0</v>
      </c>
      <c r="L635" s="1023" cm="1">
        <f t="array" ref="L635">IFERROR(IF($A635=$A634,0,SUM(_xlfn._xlws.FILTER($E635:$E645,($A635:$A645=$A635)*($J635:$J645=L$42)))),0)</f>
        <v>0</v>
      </c>
      <c r="M635" s="1023" cm="1">
        <f t="array" ref="M635">IFERROR(IF($A635=$A634,0,SUM(_xlfn._xlws.FILTER($E635:$E645,($A635:$A645=$A635)*($J635:$J645=M$42)))),0)</f>
        <v>0</v>
      </c>
      <c r="N635" s="1023" cm="1">
        <f t="array" ref="N635">IFERROR(IF($A635=$A634,0,SUM(_xlfn._xlws.FILTER($E635:$E645,($A635:$A645=$A635)*($J635:$J645=N$42)))),0)</f>
        <v>0</v>
      </c>
    </row>
    <row r="636" spans="1:14" hidden="1" x14ac:dyDescent="0.3">
      <c r="A636" s="463">
        <v>45965</v>
      </c>
      <c r="B636" s="446" t="s">
        <v>29</v>
      </c>
      <c r="C636" s="446">
        <v>2000</v>
      </c>
      <c r="D636" s="464">
        <v>-78.88</v>
      </c>
      <c r="E636" s="1022">
        <f ca="1">IFERROR(C636*D636*_xlfn.XLOOKUP(B636,TabCalc[Ticker],TabCalc[Scale]),0)</f>
        <v>-157760</v>
      </c>
      <c r="F636" s="1023" cm="1">
        <f t="array" ref="F636">IF(A636=A635,0,SUM(_xlfn._xlws.FILTER(E636:E645,A636:A645=A636)))</f>
        <v>0</v>
      </c>
      <c r="G636" s="1024">
        <f>IF(F636&lt;&gt;0,SUM($F$43:F636),0)</f>
        <v>0</v>
      </c>
      <c r="H636" s="1024" cm="1">
        <f t="array" ref="H636">IFERROR(IF(A636=A635,0,SUM(_xlfn._xlws.FILTER(E636:E645,(A636:A645=A636)*(E636:E645&gt;0)))),0)</f>
        <v>0</v>
      </c>
      <c r="I636" s="1024" cm="1">
        <f t="array" ref="I636">IFERROR(IF(A636=A635,0,SUM(_xlfn._xlws.FILTER(E636:E645,(A636:A645=A636)*(F636&lt;0)))),0)</f>
        <v>0</v>
      </c>
      <c r="J636" s="293" t="str">
        <f ca="1">IFERROR(_xlfn.XLOOKUP(B636,TabCalc[Ticker],TabCalc[Cur]),"")</f>
        <v>USD</v>
      </c>
      <c r="K636" s="1023" cm="1">
        <f t="array" ref="K636">IFERROR(IF($A636=$A635,0,SUM(_xlfn._xlws.FILTER($E636:$E646,($A636:$A646=$A636)*($J636:$J646=K$42)))),0)</f>
        <v>0</v>
      </c>
      <c r="L636" s="1023" cm="1">
        <f t="array" ref="L636">IFERROR(IF($A636=$A635,0,SUM(_xlfn._xlws.FILTER($E636:$E646,($A636:$A646=$A636)*($J636:$J646=L$42)))),0)</f>
        <v>0</v>
      </c>
      <c r="M636" s="1023" cm="1">
        <f t="array" ref="M636">IFERROR(IF($A636=$A635,0,SUM(_xlfn._xlws.FILTER($E636:$E646,($A636:$A646=$A636)*($J636:$J646=M$42)))),0)</f>
        <v>0</v>
      </c>
      <c r="N636" s="1023" cm="1">
        <f t="array" ref="N636">IFERROR(IF($A636=$A635,0,SUM(_xlfn._xlws.FILTER($E636:$E646,($A636:$A646=$A636)*($J636:$J646=N$42)))),0)</f>
        <v>0</v>
      </c>
    </row>
    <row r="637" spans="1:14" hidden="1" x14ac:dyDescent="0.3">
      <c r="A637" s="463">
        <v>45965</v>
      </c>
      <c r="B637" s="446" t="s">
        <v>74</v>
      </c>
      <c r="C637" s="446">
        <v>5000</v>
      </c>
      <c r="D637" s="464">
        <v>15.86</v>
      </c>
      <c r="E637" s="1022">
        <f ca="1">IFERROR(C637*D637*_xlfn.XLOOKUP(B637,TabCalc[Ticker],TabCalc[Scale]),0)</f>
        <v>79300</v>
      </c>
      <c r="F637" s="1023" cm="1">
        <f t="array" ref="F637">IF(A637=A636,0,SUM(_xlfn._xlws.FILTER(E637:E646,A637:A646=A637)))</f>
        <v>0</v>
      </c>
      <c r="G637" s="1024">
        <f>IF(F637&lt;&gt;0,SUM($F$43:F637),0)</f>
        <v>0</v>
      </c>
      <c r="H637" s="1024" cm="1">
        <f t="array" ref="H637">IFERROR(IF(A637=A636,0,SUM(_xlfn._xlws.FILTER(E637:E646,(A637:A646=A637)*(E637:E646&gt;0)))),0)</f>
        <v>0</v>
      </c>
      <c r="I637" s="1024" cm="1">
        <f t="array" ref="I637">IFERROR(IF(A637=A636,0,SUM(_xlfn._xlws.FILTER(E637:E646,(A637:A646=A637)*(F637&lt;0)))),0)</f>
        <v>0</v>
      </c>
      <c r="J637" s="293" t="str">
        <f ca="1">IFERROR(_xlfn.XLOOKUP(B637,TabCalc[Ticker],TabCalc[Cur]),"")</f>
        <v>EUR</v>
      </c>
      <c r="K637" s="1023" cm="1">
        <f t="array" ref="K637">IFERROR(IF($A637=$A636,0,SUM(_xlfn._xlws.FILTER($E637:$E647,($A637:$A647=$A637)*($J637:$J647=K$42)))),0)</f>
        <v>0</v>
      </c>
      <c r="L637" s="1023" cm="1">
        <f t="array" ref="L637">IFERROR(IF($A637=$A636,0,SUM(_xlfn._xlws.FILTER($E637:$E647,($A637:$A647=$A637)*($J637:$J647=L$42)))),0)</f>
        <v>0</v>
      </c>
      <c r="M637" s="1023" cm="1">
        <f t="array" ref="M637">IFERROR(IF($A637=$A636,0,SUM(_xlfn._xlws.FILTER($E637:$E647,($A637:$A647=$A637)*($J637:$J647=M$42)))),0)</f>
        <v>0</v>
      </c>
      <c r="N637" s="1023" cm="1">
        <f t="array" ref="N637">IFERROR(IF($A637=$A636,0,SUM(_xlfn._xlws.FILTER($E637:$E647,($A637:$A647=$A637)*($J637:$J647=N$42)))),0)</f>
        <v>0</v>
      </c>
    </row>
    <row r="638" spans="1:14" hidden="1" x14ac:dyDescent="0.3">
      <c r="A638" s="463">
        <v>45965</v>
      </c>
      <c r="B638" s="446" t="s">
        <v>0</v>
      </c>
      <c r="C638" s="446">
        <v>500</v>
      </c>
      <c r="D638" s="464">
        <v>270.04000000000002</v>
      </c>
      <c r="E638" s="1022">
        <f ca="1">IFERROR(C638*D638*_xlfn.XLOOKUP(B638,TabCalc[Ticker],TabCalc[Scale]),0)</f>
        <v>135020</v>
      </c>
      <c r="F638" s="1023" cm="1">
        <f t="array" ref="F638">IF(A638=A637,0,SUM(_xlfn._xlws.FILTER(E638:E647,A638:A647=A638)))</f>
        <v>0</v>
      </c>
      <c r="G638" s="1024">
        <f>IF(F638&lt;&gt;0,SUM($F$43:F638),0)</f>
        <v>0</v>
      </c>
      <c r="H638" s="1024" cm="1">
        <f t="array" ref="H638">IFERROR(IF(A638=A637,0,SUM(_xlfn._xlws.FILTER(E638:E647,(A638:A647=A638)*(E638:E647&gt;0)))),0)</f>
        <v>0</v>
      </c>
      <c r="I638" s="1024" cm="1">
        <f t="array" ref="I638">IFERROR(IF(A638=A637,0,SUM(_xlfn._xlws.FILTER(E638:E647,(A638:A647=A638)*(F638&lt;0)))),0)</f>
        <v>0</v>
      </c>
      <c r="J638" s="293" t="str">
        <f ca="1">IFERROR(_xlfn.XLOOKUP(B638,TabCalc[Ticker],TabCalc[Cur]),"")</f>
        <v>USD</v>
      </c>
      <c r="K638" s="1023" cm="1">
        <f t="array" ref="K638">IFERROR(IF($A638=$A637,0,SUM(_xlfn._xlws.FILTER($E638:$E648,($A638:$A648=$A638)*($J638:$J648=K$42)))),0)</f>
        <v>0</v>
      </c>
      <c r="L638" s="1023" cm="1">
        <f t="array" ref="L638">IFERROR(IF($A638=$A637,0,SUM(_xlfn._xlws.FILTER($E638:$E648,($A638:$A648=$A638)*($J638:$J648=L$42)))),0)</f>
        <v>0</v>
      </c>
      <c r="M638" s="1023" cm="1">
        <f t="array" ref="M638">IFERROR(IF($A638=$A637,0,SUM(_xlfn._xlws.FILTER($E638:$E648,($A638:$A648=$A638)*($J638:$J648=M$42)))),0)</f>
        <v>0</v>
      </c>
      <c r="N638" s="1023" cm="1">
        <f t="array" ref="N638">IFERROR(IF($A638=$A637,0,SUM(_xlfn._xlws.FILTER($E638:$E648,($A638:$A648=$A638)*($J638:$J648=N$42)))),0)</f>
        <v>0</v>
      </c>
    </row>
    <row r="639" spans="1:14" hidden="1" x14ac:dyDescent="0.3">
      <c r="A639" s="463">
        <v>45965</v>
      </c>
      <c r="B639" s="446" t="s">
        <v>35</v>
      </c>
      <c r="C639" s="446">
        <v>1000</v>
      </c>
      <c r="D639" s="464">
        <v>-28.33</v>
      </c>
      <c r="E639" s="1022">
        <f ca="1">IFERROR(C639*D639*_xlfn.XLOOKUP(B639,TabCalc[Ticker],TabCalc[Scale]),0)</f>
        <v>-28330</v>
      </c>
      <c r="F639" s="1023" cm="1">
        <f t="array" ref="F639">IF(A639=A638,0,SUM(_xlfn._xlws.FILTER(E639:E648,A639:A648=A639)))</f>
        <v>0</v>
      </c>
      <c r="G639" s="1024">
        <f>IF(F639&lt;&gt;0,SUM($F$43:F639),0)</f>
        <v>0</v>
      </c>
      <c r="H639" s="1024" cm="1">
        <f t="array" ref="H639">IFERROR(IF(A639=A638,0,SUM(_xlfn._xlws.FILTER(E639:E648,(A639:A648=A639)*(E639:E648&gt;0)))),0)</f>
        <v>0</v>
      </c>
      <c r="I639" s="1024" cm="1">
        <f t="array" ref="I639">IFERROR(IF(A639=A638,0,SUM(_xlfn._xlws.FILTER(E639:E648,(A639:A648=A639)*(F639&lt;0)))),0)</f>
        <v>0</v>
      </c>
      <c r="J639" s="293" t="str">
        <f ca="1">IFERROR(_xlfn.XLOOKUP(B639,TabCalc[Ticker],TabCalc[Cur]),"")</f>
        <v>USD</v>
      </c>
      <c r="K639" s="1023" cm="1">
        <f t="array" ref="K639">IFERROR(IF($A639=$A638,0,SUM(_xlfn._xlws.FILTER($E639:$E649,($A639:$A649=$A639)*($J639:$J649=K$42)))),0)</f>
        <v>0</v>
      </c>
      <c r="L639" s="1023" cm="1">
        <f t="array" ref="L639">IFERROR(IF($A639=$A638,0,SUM(_xlfn._xlws.FILTER($E639:$E649,($A639:$A649=$A639)*($J639:$J649=L$42)))),0)</f>
        <v>0</v>
      </c>
      <c r="M639" s="1023" cm="1">
        <f t="array" ref="M639">IFERROR(IF($A639=$A638,0,SUM(_xlfn._xlws.FILTER($E639:$E649,($A639:$A649=$A639)*($J639:$J649=M$42)))),0)</f>
        <v>0</v>
      </c>
      <c r="N639" s="1023" cm="1">
        <f t="array" ref="N639">IFERROR(IF($A639=$A638,0,SUM(_xlfn._xlws.FILTER($E639:$E649,($A639:$A649=$A639)*($J639:$J649=N$42)))),0)</f>
        <v>0</v>
      </c>
    </row>
    <row r="640" spans="1:14" hidden="1" x14ac:dyDescent="0.3">
      <c r="A640" s="463">
        <v>45965</v>
      </c>
      <c r="B640" s="446" t="s">
        <v>8</v>
      </c>
      <c r="C640" s="446">
        <v>100</v>
      </c>
      <c r="D640" s="464">
        <v>-100.93</v>
      </c>
      <c r="E640" s="1022">
        <f ca="1">IFERROR(C640*D640*_xlfn.XLOOKUP(B640,TabCalc[Ticker],TabCalc[Scale]),0)</f>
        <v>-10093</v>
      </c>
      <c r="F640" s="1023" cm="1">
        <f t="array" ref="F640">IF(A640=A639,0,SUM(_xlfn._xlws.FILTER(E640:E649,A640:A649=A640)))</f>
        <v>0</v>
      </c>
      <c r="G640" s="1024">
        <f>IF(F640&lt;&gt;0,SUM($F$43:F640),0)</f>
        <v>0</v>
      </c>
      <c r="H640" s="1024" cm="1">
        <f t="array" ref="H640">IFERROR(IF(A640=A639,0,SUM(_xlfn._xlws.FILTER(E640:E649,(A640:A649=A640)*(E640:E649&gt;0)))),0)</f>
        <v>0</v>
      </c>
      <c r="I640" s="1024" cm="1">
        <f t="array" ref="I640">IFERROR(IF(A640=A639,0,SUM(_xlfn._xlws.FILTER(E640:E649,(A640:A649=A640)*(F640&lt;0)))),0)</f>
        <v>0</v>
      </c>
      <c r="J640" s="293" t="str">
        <f ca="1">IFERROR(_xlfn.XLOOKUP(B640,TabCalc[Ticker],TabCalc[Cur]),"")</f>
        <v>USD</v>
      </c>
      <c r="K640" s="1023" cm="1">
        <f t="array" ref="K640">IFERROR(IF($A640=$A639,0,SUM(_xlfn._xlws.FILTER($E640:$E650,($A640:$A650=$A640)*($J640:$J650=K$42)))),0)</f>
        <v>0</v>
      </c>
      <c r="L640" s="1023" cm="1">
        <f t="array" ref="L640">IFERROR(IF($A640=$A639,0,SUM(_xlfn._xlws.FILTER($E640:$E650,($A640:$A650=$A640)*($J640:$J650=L$42)))),0)</f>
        <v>0</v>
      </c>
      <c r="M640" s="1023" cm="1">
        <f t="array" ref="M640">IFERROR(IF($A640=$A639,0,SUM(_xlfn._xlws.FILTER($E640:$E650,($A640:$A650=$A640)*($J640:$J650=M$42)))),0)</f>
        <v>0</v>
      </c>
      <c r="N640" s="1023" cm="1">
        <f t="array" ref="N640">IFERROR(IF($A640=$A639,0,SUM(_xlfn._xlws.FILTER($E640:$E650,($A640:$A650=$A640)*($J640:$J650=N$42)))),0)</f>
        <v>0</v>
      </c>
    </row>
    <row r="641" spans="1:14" hidden="1" x14ac:dyDescent="0.3">
      <c r="A641" s="449">
        <v>45966</v>
      </c>
      <c r="B641" s="449" t="s">
        <v>48</v>
      </c>
      <c r="C641" s="462">
        <v>1000</v>
      </c>
      <c r="D641" s="452">
        <v>-59.2</v>
      </c>
      <c r="E641" s="1022">
        <f ca="1">IFERROR(C641*D641*_xlfn.XLOOKUP(B641,TabCalc[Ticker],TabCalc[Scale]),0)</f>
        <v>-59200</v>
      </c>
      <c r="F641" s="1023" cm="1">
        <f t="array" aca="1" ref="F641" ca="1">IF(A641=A640,0,SUM(_xlfn._xlws.FILTER(E641:E650,A641:A650=A641)))</f>
        <v>31402</v>
      </c>
      <c r="G641" s="1024">
        <f ca="1">IF(F641&lt;&gt;0,SUM($F$43:F641),0)</f>
        <v>-5046878.5045730006</v>
      </c>
      <c r="H641" s="1024" cm="1">
        <f t="array" aca="1" ref="H641" ca="1">IFERROR(IF(A641=A640,0,SUM(_xlfn._xlws.FILTER(E641:E650,(A641:A650=A641)*(E641:E650&gt;0)))),0)</f>
        <v>322380</v>
      </c>
      <c r="I641" s="1024" cm="1">
        <f t="array" aca="1" ref="I641" ca="1">IFERROR(IF(A641=A640,0,SUM(_xlfn._xlws.FILTER(E641:E650,(A641:A650=A641)*(F641&lt;0)))),0)</f>
        <v>0</v>
      </c>
      <c r="J641" s="293" t="str">
        <f ca="1">IFERROR(_xlfn.XLOOKUP(B641,TabCalc[Ticker],TabCalc[Cur]),"")</f>
        <v>CHF</v>
      </c>
      <c r="K641" s="1023" cm="1">
        <f t="array" aca="1" ref="K641" ca="1">IFERROR(IF($A641=$A640,0,SUM(_xlfn._xlws.FILTER($E641:$E651,($A641:$A651=$A641)*($J641:$J651=K$42)))),0)</f>
        <v>-231778</v>
      </c>
      <c r="L641" s="1023" cm="1">
        <f t="array" aca="1" ref="L641" ca="1">IFERROR(IF($A641=$A640,0,SUM(_xlfn._xlws.FILTER($E641:$E651,($A641:$A651=$A641)*($J641:$J651=L$42)))),0)</f>
        <v>237360</v>
      </c>
      <c r="M641" s="1023" cm="1">
        <f t="array" aca="1" ref="M641" ca="1">IFERROR(IF($A641=$A640,0,SUM(_xlfn._xlws.FILTER($E641:$E651,($A641:$A651=$A641)*($J641:$J651=M$42)))),0)</f>
        <v>85020</v>
      </c>
      <c r="N641" s="1023" cm="1">
        <f t="array" aca="1" ref="N641" ca="1">IFERROR(IF($A641=$A640,0,SUM(_xlfn._xlws.FILTER($E641:$E651,($A641:$A651=$A641)*($J641:$J651=N$42)))),0)</f>
        <v>-59200</v>
      </c>
    </row>
    <row r="642" spans="1:14" hidden="1" x14ac:dyDescent="0.3">
      <c r="A642" s="449">
        <v>45966</v>
      </c>
      <c r="B642" s="449" t="s">
        <v>22</v>
      </c>
      <c r="C642" s="462">
        <v>20000</v>
      </c>
      <c r="D642" s="452">
        <v>425.1</v>
      </c>
      <c r="E642" s="1022">
        <f ca="1">IFERROR(C642*D642*_xlfn.XLOOKUP(B642,TabCalc[Ticker],TabCalc[Scale]),0)</f>
        <v>85020</v>
      </c>
      <c r="F642" s="1023" cm="1">
        <f t="array" ref="F642">IF(A642=A641,0,SUM(_xlfn._xlws.FILTER(E642:E651,A642:A651=A642)))</f>
        <v>0</v>
      </c>
      <c r="G642" s="1024">
        <f>IF(F642&lt;&gt;0,SUM($F$43:F642),0)</f>
        <v>0</v>
      </c>
      <c r="H642" s="1024" cm="1">
        <f t="array" ref="H642">IFERROR(IF(A642=A641,0,SUM(_xlfn._xlws.FILTER(E642:E651,(A642:A651=A642)*(E642:E651&gt;0)))),0)</f>
        <v>0</v>
      </c>
      <c r="I642" s="1024" cm="1">
        <f t="array" ref="I642">IFERROR(IF(A642=A641,0,SUM(_xlfn._xlws.FILTER(E642:E651,(A642:A651=A642)*(F642&lt;0)))),0)</f>
        <v>0</v>
      </c>
      <c r="J642" s="293" t="str">
        <f ca="1">IFERROR(_xlfn.XLOOKUP(B642,TabCalc[Ticker],TabCalc[Cur]),"")</f>
        <v>GBp</v>
      </c>
      <c r="K642" s="1023" cm="1">
        <f t="array" ref="K642">IFERROR(IF($A642=$A641,0,SUM(_xlfn._xlws.FILTER($E642:$E652,($A642:$A652=$A642)*($J642:$J652=K$42)))),0)</f>
        <v>0</v>
      </c>
      <c r="L642" s="1023" cm="1">
        <f t="array" ref="L642">IFERROR(IF($A642=$A641,0,SUM(_xlfn._xlws.FILTER($E642:$E652,($A642:$A652=$A642)*($J642:$J652=L$42)))),0)</f>
        <v>0</v>
      </c>
      <c r="M642" s="1023" cm="1">
        <f t="array" ref="M642">IFERROR(IF($A642=$A641,0,SUM(_xlfn._xlws.FILTER($E642:$E652,($A642:$A652=$A642)*($J642:$J652=M$42)))),0)</f>
        <v>0</v>
      </c>
      <c r="N642" s="1023" cm="1">
        <f t="array" ref="N642">IFERROR(IF($A642=$A641,0,SUM(_xlfn._xlws.FILTER($E642:$E652,($A642:$A652=$A642)*($J642:$J652=N$42)))),0)</f>
        <v>0</v>
      </c>
    </row>
    <row r="643" spans="1:14" hidden="1" x14ac:dyDescent="0.3">
      <c r="A643" s="449">
        <v>45966</v>
      </c>
      <c r="B643" s="449" t="s">
        <v>16</v>
      </c>
      <c r="C643" s="462">
        <v>14450</v>
      </c>
      <c r="D643" s="452">
        <v>-16.04</v>
      </c>
      <c r="E643" s="1022">
        <f ca="1">IFERROR(C643*D643*_xlfn.XLOOKUP(B643,TabCalc[Ticker],TabCalc[Scale]),0)</f>
        <v>-231778</v>
      </c>
      <c r="F643" s="1023" cm="1">
        <f t="array" ref="F643">IF(A643=A642,0,SUM(_xlfn._xlws.FILTER(E643:E652,A643:A652=A643)))</f>
        <v>0</v>
      </c>
      <c r="G643" s="1024">
        <f>IF(F643&lt;&gt;0,SUM($F$43:F643),0)</f>
        <v>0</v>
      </c>
      <c r="H643" s="1024" cm="1">
        <f t="array" ref="H643">IFERROR(IF(A643=A642,0,SUM(_xlfn._xlws.FILTER(E643:E652,(A643:A652=A643)*(E643:E652&gt;0)))),0)</f>
        <v>0</v>
      </c>
      <c r="I643" s="1024" cm="1">
        <f t="array" ref="I643">IFERROR(IF(A643=A642,0,SUM(_xlfn._xlws.FILTER(E643:E652,(A643:A652=A643)*(F643&lt;0)))),0)</f>
        <v>0</v>
      </c>
      <c r="J643" s="293" t="str">
        <f ca="1">IFERROR(_xlfn.XLOOKUP(B643,TabCalc[Ticker],TabCalc[Cur]),"")</f>
        <v>EUR</v>
      </c>
      <c r="K643" s="1023" cm="1">
        <f t="array" ref="K643">IFERROR(IF($A643=$A642,0,SUM(_xlfn._xlws.FILTER($E643:$E653,($A643:$A653=$A643)*($J643:$J653=K$42)))),0)</f>
        <v>0</v>
      </c>
      <c r="L643" s="1023" cm="1">
        <f t="array" ref="L643">IFERROR(IF($A643=$A642,0,SUM(_xlfn._xlws.FILTER($E643:$E653,($A643:$A653=$A643)*($J643:$J653=L$42)))),0)</f>
        <v>0</v>
      </c>
      <c r="M643" s="1023" cm="1">
        <f t="array" ref="M643">IFERROR(IF($A643=$A642,0,SUM(_xlfn._xlws.FILTER($E643:$E653,($A643:$A653=$A643)*($J643:$J653=M$42)))),0)</f>
        <v>0</v>
      </c>
      <c r="N643" s="1023" cm="1">
        <f t="array" ref="N643">IFERROR(IF($A643=$A642,0,SUM(_xlfn._xlws.FILTER($E643:$E653,($A643:$A653=$A643)*($J643:$J653=N$42)))),0)</f>
        <v>0</v>
      </c>
    </row>
    <row r="644" spans="1:14" hidden="1" x14ac:dyDescent="0.3">
      <c r="A644" s="449">
        <v>45966</v>
      </c>
      <c r="B644" s="449" t="s">
        <v>35</v>
      </c>
      <c r="C644" s="462">
        <v>2000</v>
      </c>
      <c r="D644" s="452">
        <v>37.21</v>
      </c>
      <c r="E644" s="1022">
        <f ca="1">IFERROR(C644*D644*_xlfn.XLOOKUP(B644,TabCalc[Ticker],TabCalc[Scale]),0)</f>
        <v>74420</v>
      </c>
      <c r="F644" s="1023" cm="1">
        <f t="array" ref="F644">IF(A644=A643,0,SUM(_xlfn._xlws.FILTER(E644:E653,A644:A653=A644)))</f>
        <v>0</v>
      </c>
      <c r="G644" s="1024">
        <f>IF(F644&lt;&gt;0,SUM($F$43:F644),0)</f>
        <v>0</v>
      </c>
      <c r="H644" s="1024" cm="1">
        <f t="array" ref="H644">IFERROR(IF(A644=A643,0,SUM(_xlfn._xlws.FILTER(E644:E653,(A644:A653=A644)*(E644:E653&gt;0)))),0)</f>
        <v>0</v>
      </c>
      <c r="I644" s="1024" cm="1">
        <f t="array" ref="I644">IFERROR(IF(A644=A643,0,SUM(_xlfn._xlws.FILTER(E644:E653,(A644:A653=A644)*(F644&lt;0)))),0)</f>
        <v>0</v>
      </c>
      <c r="J644" s="293" t="str">
        <f ca="1">IFERROR(_xlfn.XLOOKUP(B644,TabCalc[Ticker],TabCalc[Cur]),"")</f>
        <v>USD</v>
      </c>
      <c r="K644" s="1023" cm="1">
        <f t="array" ref="K644">IFERROR(IF($A644=$A643,0,SUM(_xlfn._xlws.FILTER($E644:$E654,($A644:$A654=$A644)*($J644:$J654=K$42)))),0)</f>
        <v>0</v>
      </c>
      <c r="L644" s="1023" cm="1">
        <f t="array" ref="L644">IFERROR(IF($A644=$A643,0,SUM(_xlfn._xlws.FILTER($E644:$E654,($A644:$A654=$A644)*($J644:$J654=L$42)))),0)</f>
        <v>0</v>
      </c>
      <c r="M644" s="1023" cm="1">
        <f t="array" ref="M644">IFERROR(IF($A644=$A643,0,SUM(_xlfn._xlws.FILTER($E644:$E654,($A644:$A654=$A644)*($J644:$J654=M$42)))),0)</f>
        <v>0</v>
      </c>
      <c r="N644" s="1023" cm="1">
        <f t="array" ref="N644">IFERROR(IF($A644=$A643,0,SUM(_xlfn._xlws.FILTER($E644:$E654,($A644:$A654=$A644)*($J644:$J654=N$42)))),0)</f>
        <v>0</v>
      </c>
    </row>
    <row r="645" spans="1:14" hidden="1" x14ac:dyDescent="0.3">
      <c r="A645" s="449">
        <v>45966</v>
      </c>
      <c r="B645" s="449" t="s">
        <v>29</v>
      </c>
      <c r="C645" s="462">
        <v>2000</v>
      </c>
      <c r="D645" s="452">
        <v>81.47</v>
      </c>
      <c r="E645" s="1022">
        <f ca="1">IFERROR(C645*D645*_xlfn.XLOOKUP(B645,TabCalc[Ticker],TabCalc[Scale]),0)</f>
        <v>162940</v>
      </c>
      <c r="F645" s="1023" cm="1">
        <f t="array" ref="F645">IF(A645=A644,0,SUM(_xlfn._xlws.FILTER(E645:E654,A645:A654=A645)))</f>
        <v>0</v>
      </c>
      <c r="G645" s="1024">
        <f>IF(F645&lt;&gt;0,SUM($F$43:F645),0)</f>
        <v>0</v>
      </c>
      <c r="H645" s="1024" cm="1">
        <f t="array" ref="H645">IFERROR(IF(A645=A644,0,SUM(_xlfn._xlws.FILTER(E645:E654,(A645:A654=A645)*(E645:E654&gt;0)))),0)</f>
        <v>0</v>
      </c>
      <c r="I645" s="1024" cm="1">
        <f t="array" ref="I645">IFERROR(IF(A645=A644,0,SUM(_xlfn._xlws.FILTER(E645:E654,(A645:A654=A645)*(F645&lt;0)))),0)</f>
        <v>0</v>
      </c>
      <c r="J645" s="293" t="str">
        <f ca="1">IFERROR(_xlfn.XLOOKUP(B645,TabCalc[Ticker],TabCalc[Cur]),"")</f>
        <v>USD</v>
      </c>
      <c r="K645" s="1023" cm="1">
        <f t="array" ref="K645">IFERROR(IF($A645=$A644,0,SUM(_xlfn._xlws.FILTER($E645:$E655,($A645:$A655=$A645)*($J645:$J655=K$42)))),0)</f>
        <v>0</v>
      </c>
      <c r="L645" s="1023" cm="1">
        <f t="array" ref="L645">IFERROR(IF($A645=$A644,0,SUM(_xlfn._xlws.FILTER($E645:$E655,($A645:$A655=$A645)*($J645:$J655=L$42)))),0)</f>
        <v>0</v>
      </c>
      <c r="M645" s="1023" cm="1">
        <f t="array" ref="M645">IFERROR(IF($A645=$A644,0,SUM(_xlfn._xlws.FILTER($E645:$E655,($A645:$A655=$A645)*($J645:$J655=M$42)))),0)</f>
        <v>0</v>
      </c>
      <c r="N645" s="1023" cm="1">
        <f t="array" ref="N645">IFERROR(IF($A645=$A644,0,SUM(_xlfn._xlws.FILTER($E645:$E655,($A645:$A655=$A645)*($J645:$J655=N$42)))),0)</f>
        <v>0</v>
      </c>
    </row>
    <row r="646" spans="1:14" x14ac:dyDescent="0.3">
      <c r="A646" s="463">
        <v>45967</v>
      </c>
      <c r="B646" s="446" t="s">
        <v>43</v>
      </c>
      <c r="C646" s="446">
        <v>300</v>
      </c>
      <c r="D646" s="464">
        <v>288.85000000000002</v>
      </c>
      <c r="E646" s="1022">
        <f ca="1">IFERROR(C646*D646*_xlfn.XLOOKUP(B646,TabCalc[Ticker],TabCalc[Scale]),0)</f>
        <v>86655</v>
      </c>
      <c r="F646" s="1023" cm="1">
        <f t="array" aca="1" ref="F646" ca="1">IF(A646=A645,0,SUM(_xlfn._xlws.FILTER(E646:E655,A646:A655=A646)))</f>
        <v>-30945</v>
      </c>
      <c r="G646" s="1024">
        <f ca="1">IF(F646&lt;&gt;0,SUM($F$43:F646),0)</f>
        <v>-5077823.5045730006</v>
      </c>
      <c r="H646" s="1024" cm="1">
        <f t="array" aca="1" ref="H646" ca="1">IFERROR(IF(A646=A645,0,SUM(_xlfn._xlws.FILTER(E646:E655,(A646:A655=A646)*(E646:E655&gt;0)))),0)</f>
        <v>86655</v>
      </c>
      <c r="I646" s="1024" cm="1">
        <f t="array" aca="1" ref="I646" ca="1">IFERROR(IF(A646=A645,0,SUM(_xlfn._xlws.FILTER(E646:E655,(A646:A655=A646)*(F646&lt;0)))),0)</f>
        <v>-30945</v>
      </c>
      <c r="J646" s="293" t="str">
        <f ca="1">IFERROR(_xlfn.XLOOKUP(B646,TabCalc[Ticker],TabCalc[Cur]),"")</f>
        <v>USD</v>
      </c>
      <c r="K646" s="1023" cm="1">
        <f t="array" aca="1" ref="K646" ca="1">IFERROR(IF($A646=$A645,0,SUM(_xlfn._xlws.FILTER($E646:$E656,($A646:$A656=$A646)*($J646:$J656=K$42)))),0)</f>
        <v>0</v>
      </c>
      <c r="L646" s="1023" cm="1">
        <f t="array" aca="1" ref="L646" ca="1">IFERROR(IF($A646=$A645,0,SUM(_xlfn._xlws.FILTER($E646:$E656,($A646:$A656=$A646)*($J646:$J656=L$42)))),0)</f>
        <v>86655</v>
      </c>
      <c r="M646" s="1023" cm="1">
        <f t="array" aca="1" ref="M646" ca="1">IFERROR(IF($A646=$A645,0,SUM(_xlfn._xlws.FILTER($E646:$E656,($A646:$A656=$A646)*($J646:$J656=M$42)))),0)</f>
        <v>0</v>
      </c>
      <c r="N646" s="1023" cm="1">
        <f t="array" aca="1" ref="N646" ca="1">IFERROR(IF($A646=$A645,0,SUM(_xlfn._xlws.FILTER($E646:$E656,($A646:$A656=$A646)*($J646:$J656=N$42)))),0)</f>
        <v>-117600</v>
      </c>
    </row>
    <row r="647" spans="1:14" x14ac:dyDescent="0.3">
      <c r="A647" s="463">
        <v>45967</v>
      </c>
      <c r="B647" s="446" t="s">
        <v>48</v>
      </c>
      <c r="C647" s="446">
        <v>2000</v>
      </c>
      <c r="D647" s="464">
        <v>-58.8</v>
      </c>
      <c r="E647" s="1022">
        <f ca="1">IFERROR(C647*D647*_xlfn.XLOOKUP(B647,TabCalc[Ticker],TabCalc[Scale]),0)</f>
        <v>-117600</v>
      </c>
      <c r="F647" s="1023" cm="1">
        <f t="array" ref="F647">IF(A647=A646,0,SUM(_xlfn._xlws.FILTER(E647:E656,A647:A656=A647)))</f>
        <v>0</v>
      </c>
      <c r="G647" s="1024">
        <f>IF(F647&lt;&gt;0,SUM($F$43:F647),0)</f>
        <v>0</v>
      </c>
      <c r="H647" s="1024" cm="1">
        <f t="array" ref="H647">IFERROR(IF(A647=A646,0,SUM(_xlfn._xlws.FILTER(E647:E656,(A647:A656=A647)*(E647:E656&gt;0)))),0)</f>
        <v>0</v>
      </c>
      <c r="I647" s="1024" cm="1">
        <f t="array" ref="I647">IFERROR(IF(A647=A646,0,SUM(_xlfn._xlws.FILTER(E647:E656,(A647:A656=A647)*(F647&lt;0)))),0)</f>
        <v>0</v>
      </c>
      <c r="J647" s="293" t="str">
        <f ca="1">IFERROR(_xlfn.XLOOKUP(B647,TabCalc[Ticker],TabCalc[Cur]),"")</f>
        <v>CHF</v>
      </c>
      <c r="K647" s="1023" cm="1">
        <f t="array" ref="K647">IFERROR(IF($A647=$A646,0,SUM(_xlfn._xlws.FILTER($E647:$E657,($A647:$A657=$A647)*($J647:$J657=K$42)))),0)</f>
        <v>0</v>
      </c>
      <c r="L647" s="1023" cm="1">
        <f t="array" ref="L647">IFERROR(IF($A647=$A646,0,SUM(_xlfn._xlws.FILTER($E647:$E657,($A647:$A657=$A647)*($J647:$J657=L$42)))),0)</f>
        <v>0</v>
      </c>
      <c r="M647" s="1023" cm="1">
        <f t="array" ref="M647">IFERROR(IF($A647=$A646,0,SUM(_xlfn._xlws.FILTER($E647:$E657,($A647:$A657=$A647)*($J647:$J657=M$42)))),0)</f>
        <v>0</v>
      </c>
      <c r="N647" s="1023" cm="1">
        <f t="array" ref="N647">IFERROR(IF($A647=$A646,0,SUM(_xlfn._xlws.FILTER($E647:$E657,($A647:$A657=$A647)*($J647:$J657=N$42)))),0)</f>
        <v>0</v>
      </c>
    </row>
    <row r="648" spans="1:14" x14ac:dyDescent="0.3">
      <c r="A648" s="449">
        <v>45968</v>
      </c>
      <c r="B648" s="449" t="s">
        <v>48</v>
      </c>
      <c r="C648" s="462">
        <v>2000</v>
      </c>
      <c r="D648" s="452">
        <v>-58.45</v>
      </c>
      <c r="E648" s="1022">
        <f ca="1">IFERROR(C648*D648*_xlfn.XLOOKUP(B648,TabCalc[Ticker],TabCalc[Scale]),0)</f>
        <v>-116900</v>
      </c>
      <c r="F648" s="1023" cm="1">
        <f t="array" aca="1" ref="F648" ca="1">IF(A648=A647,0,SUM(_xlfn._xlws.FILTER(E648:E657,A648:A657=A648)))</f>
        <v>241281</v>
      </c>
      <c r="G648" s="1024">
        <f ca="1">IF(F648&lt;&gt;0,SUM($F$43:F648),0)</f>
        <v>-4836542.5045730006</v>
      </c>
      <c r="H648" s="1024" cm="1">
        <f t="array" aca="1" ref="H648" ca="1">IFERROR(IF(A648=A647,0,SUM(_xlfn._xlws.FILTER(E648:E657,(A648:A657=A648)*(E648:E657&gt;0)))),0)</f>
        <v>358181</v>
      </c>
      <c r="I648" s="1024" cm="1">
        <f t="array" aca="1" ref="I648" ca="1">IFERROR(IF(A648=A647,0,SUM(_xlfn._xlws.FILTER(E648:E657,(A648:A657=A648)*(F648&lt;0)))),0)</f>
        <v>0</v>
      </c>
      <c r="J648" s="293" t="str">
        <f ca="1">IFERROR(_xlfn.XLOOKUP(B648,TabCalc[Ticker],TabCalc[Cur]),"")</f>
        <v>CHF</v>
      </c>
      <c r="K648" s="1023" cm="1">
        <f t="array" aca="1" ref="K648" ca="1">IFERROR(IF($A648=$A647,0,SUM(_xlfn._xlws.FILTER($E648:$E658,($A648:$A658=$A648)*($J648:$J658=K$42)))),0)</f>
        <v>0</v>
      </c>
      <c r="L648" s="1023" cm="1">
        <f t="array" aca="1" ref="L648" ca="1">IFERROR(IF($A648=$A647,0,SUM(_xlfn._xlws.FILTER($E648:$E658,($A648:$A658=$A648)*($J648:$J658=L$42)))),0)</f>
        <v>282179</v>
      </c>
      <c r="M648" s="1023" cm="1">
        <f t="array" aca="1" ref="M648" ca="1">IFERROR(IF($A648=$A647,0,SUM(_xlfn._xlws.FILTER($E648:$E658,($A648:$A658=$A648)*($J648:$J658=M$42)))),0)</f>
        <v>76002</v>
      </c>
      <c r="N648" s="1023" cm="1">
        <f t="array" aca="1" ref="N648" ca="1">IFERROR(IF($A648=$A647,0,SUM(_xlfn._xlws.FILTER($E648:$E658,($A648:$A658=$A648)*($J648:$J658=N$42)))),0)</f>
        <v>-116900</v>
      </c>
    </row>
    <row r="649" spans="1:14" x14ac:dyDescent="0.3">
      <c r="A649" s="449">
        <v>45968</v>
      </c>
      <c r="B649" s="449" t="s">
        <v>22</v>
      </c>
      <c r="C649" s="462">
        <v>20000</v>
      </c>
      <c r="D649" s="452">
        <v>380.01</v>
      </c>
      <c r="E649" s="1022">
        <f ca="1">IFERROR(C649*D649*_xlfn.XLOOKUP(B649,TabCalc[Ticker],TabCalc[Scale]),0)</f>
        <v>76002</v>
      </c>
      <c r="F649" s="1023" cm="1">
        <f t="array" ref="F649">IF(A649=A648,0,SUM(_xlfn._xlws.FILTER(E649:E658,A649:A658=A649)))</f>
        <v>0</v>
      </c>
      <c r="G649" s="1024">
        <f>IF(F649&lt;&gt;0,SUM($F$43:F649),0)</f>
        <v>0</v>
      </c>
      <c r="H649" s="1024" cm="1">
        <f t="array" ref="H649">IFERROR(IF(A649=A648,0,SUM(_xlfn._xlws.FILTER(E649:E658,(A649:A658=A649)*(E649:E658&gt;0)))),0)</f>
        <v>0</v>
      </c>
      <c r="I649" s="1024" cm="1">
        <f t="array" ref="I649">IFERROR(IF(A649=A648,0,SUM(_xlfn._xlws.FILTER(E649:E658,(A649:A658=A649)*(F649&lt;0)))),0)</f>
        <v>0</v>
      </c>
      <c r="J649" s="293" t="str">
        <f ca="1">IFERROR(_xlfn.XLOOKUP(B649,TabCalc[Ticker],TabCalc[Cur]),"")</f>
        <v>GBp</v>
      </c>
      <c r="K649" s="1023" cm="1">
        <f t="array" ref="K649">IFERROR(IF($A649=$A648,0,SUM(_xlfn._xlws.FILTER($E649:$E659,($A649:$A659=$A649)*($J649:$J659=K$42)))),0)</f>
        <v>0</v>
      </c>
      <c r="L649" s="1023" cm="1">
        <f t="array" ref="L649">IFERROR(IF($A649=$A648,0,SUM(_xlfn._xlws.FILTER($E649:$E659,($A649:$A659=$A649)*($J649:$J659=L$42)))),0)</f>
        <v>0</v>
      </c>
      <c r="M649" s="1023" cm="1">
        <f t="array" ref="M649">IFERROR(IF($A649=$A648,0,SUM(_xlfn._xlws.FILTER($E649:$E659,($A649:$A659=$A649)*($J649:$J659=M$42)))),0)</f>
        <v>0</v>
      </c>
      <c r="N649" s="1023" cm="1">
        <f t="array" ref="N649">IFERROR(IF($A649=$A648,0,SUM(_xlfn._xlws.FILTER($E649:$E659,($A649:$A659=$A649)*($J649:$J659=N$42)))),0)</f>
        <v>0</v>
      </c>
    </row>
    <row r="650" spans="1:14" x14ac:dyDescent="0.3">
      <c r="A650" s="449">
        <v>45968</v>
      </c>
      <c r="B650" s="449" t="s">
        <v>71</v>
      </c>
      <c r="C650" s="462">
        <v>5000</v>
      </c>
      <c r="D650" s="452">
        <v>3.9550000000000001</v>
      </c>
      <c r="E650" s="1022">
        <f ca="1">IFERROR(C650*D650*_xlfn.XLOOKUP(B650,TabCalc[Ticker],TabCalc[Scale]),0)</f>
        <v>19775</v>
      </c>
      <c r="F650" s="1023" cm="1">
        <f t="array" ref="F650">IF(A650=A649,0,SUM(_xlfn._xlws.FILTER(E650:E659,A650:A659=A650)))</f>
        <v>0</v>
      </c>
      <c r="G650" s="1024">
        <f>IF(F650&lt;&gt;0,SUM($F$43:F650),0)</f>
        <v>0</v>
      </c>
      <c r="H650" s="1024" cm="1">
        <f t="array" ref="H650">IFERROR(IF(A650=A649,0,SUM(_xlfn._xlws.FILTER(E650:E659,(A650:A659=A650)*(E650:E659&gt;0)))),0)</f>
        <v>0</v>
      </c>
      <c r="I650" s="1024" cm="1">
        <f t="array" ref="I650">IFERROR(IF(A650=A649,0,SUM(_xlfn._xlws.FILTER(E650:E659,(A650:A659=A650)*(F650&lt;0)))),0)</f>
        <v>0</v>
      </c>
      <c r="J650" s="293" t="str">
        <f ca="1">IFERROR(_xlfn.XLOOKUP(B650,TabCalc[Ticker],TabCalc[Cur]),"")</f>
        <v>USD</v>
      </c>
      <c r="K650" s="1023" cm="1">
        <f t="array" ref="K650">IFERROR(IF($A650=$A649,0,SUM(_xlfn._xlws.FILTER($E650:$E660,($A650:$A660=$A650)*($J650:$J660=K$42)))),0)</f>
        <v>0</v>
      </c>
      <c r="L650" s="1023" cm="1">
        <f t="array" ref="L650">IFERROR(IF($A650=$A649,0,SUM(_xlfn._xlws.FILTER($E650:$E660,($A650:$A660=$A650)*($J650:$J660=L$42)))),0)</f>
        <v>0</v>
      </c>
      <c r="M650" s="1023" cm="1">
        <f t="array" ref="M650">IFERROR(IF($A650=$A649,0,SUM(_xlfn._xlws.FILTER($E650:$E660,($A650:$A660=$A650)*($J650:$J660=M$42)))),0)</f>
        <v>0</v>
      </c>
      <c r="N650" s="1023" cm="1">
        <f t="array" ref="N650">IFERROR(IF($A650=$A649,0,SUM(_xlfn._xlws.FILTER($E650:$E660,($A650:$A660=$A650)*($J650:$J660=N$42)))),0)</f>
        <v>0</v>
      </c>
    </row>
    <row r="651" spans="1:14" x14ac:dyDescent="0.3">
      <c r="A651" s="449">
        <v>45968</v>
      </c>
      <c r="B651" s="449" t="s">
        <v>14</v>
      </c>
      <c r="C651" s="462">
        <v>1600</v>
      </c>
      <c r="D651" s="452">
        <v>123.44</v>
      </c>
      <c r="E651" s="1022">
        <f ca="1">IFERROR(C651*D651*_xlfn.XLOOKUP(B651,TabCalc[Ticker],TabCalc[Scale]),0)</f>
        <v>197504</v>
      </c>
      <c r="F651" s="1023" cm="1">
        <f t="array" ref="F651">IF(A651=A650,0,SUM(_xlfn._xlws.FILTER(E651:E660,A651:A660=A651)))</f>
        <v>0</v>
      </c>
      <c r="G651" s="1024">
        <f>IF(F651&lt;&gt;0,SUM($F$43:F651),0)</f>
        <v>0</v>
      </c>
      <c r="H651" s="1024" cm="1">
        <f t="array" ref="H651">IFERROR(IF(A651=A650,0,SUM(_xlfn._xlws.FILTER(E651:E660,(A651:A660=A651)*(E651:E660&gt;0)))),0)</f>
        <v>0</v>
      </c>
      <c r="I651" s="1024" cm="1">
        <f t="array" ref="I651">IFERROR(IF(A651=A650,0,SUM(_xlfn._xlws.FILTER(E651:E660,(A651:A660=A651)*(F651&lt;0)))),0)</f>
        <v>0</v>
      </c>
      <c r="J651" s="293" t="str">
        <f ca="1">IFERROR(_xlfn.XLOOKUP(B651,TabCalc[Ticker],TabCalc[Cur]),"")</f>
        <v>USD</v>
      </c>
      <c r="K651" s="1023" cm="1">
        <f t="array" ref="K651">IFERROR(IF($A651=$A650,0,SUM(_xlfn._xlws.FILTER($E651:$E661,($A651:$A661=$A651)*($J651:$J661=K$42)))),0)</f>
        <v>0</v>
      </c>
      <c r="L651" s="1023" cm="1">
        <f t="array" ref="L651">IFERROR(IF($A651=$A650,0,SUM(_xlfn._xlws.FILTER($E651:$E661,($A651:$A661=$A651)*($J651:$J661=L$42)))),0)</f>
        <v>0</v>
      </c>
      <c r="M651" s="1023" cm="1">
        <f t="array" ref="M651">IFERROR(IF($A651=$A650,0,SUM(_xlfn._xlws.FILTER($E651:$E661,($A651:$A661=$A651)*($J651:$J661=M$42)))),0)</f>
        <v>0</v>
      </c>
      <c r="N651" s="1023" cm="1">
        <f t="array" ref="N651">IFERROR(IF($A651=$A650,0,SUM(_xlfn._xlws.FILTER($E651:$E661,($A651:$A661=$A651)*($J651:$J661=N$42)))),0)</f>
        <v>0</v>
      </c>
    </row>
    <row r="652" spans="1:14" x14ac:dyDescent="0.3">
      <c r="A652" s="449">
        <v>45968</v>
      </c>
      <c r="B652" s="449" t="s">
        <v>23</v>
      </c>
      <c r="C652" s="462">
        <v>1000</v>
      </c>
      <c r="D652" s="452">
        <v>64.900000000000006</v>
      </c>
      <c r="E652" s="1022">
        <f ca="1">IFERROR(C652*D652*_xlfn.XLOOKUP(B652,TabCalc[Ticker],TabCalc[Scale]),0)</f>
        <v>64900.000000000007</v>
      </c>
      <c r="F652" s="1023" cm="1">
        <f t="array" ref="F652">IF(A652=A651,0,SUM(_xlfn._xlws.FILTER(E652:E661,A652:A661=A652)))</f>
        <v>0</v>
      </c>
      <c r="G652" s="1024">
        <f>IF(F652&lt;&gt;0,SUM($F$43:F652),0)</f>
        <v>0</v>
      </c>
      <c r="H652" s="1024" cm="1">
        <f t="array" ref="H652">IFERROR(IF(A652=A651,0,SUM(_xlfn._xlws.FILTER(E652:E661,(A652:A661=A652)*(E652:E661&gt;0)))),0)</f>
        <v>0</v>
      </c>
      <c r="I652" s="1024" cm="1">
        <f t="array" ref="I652">IFERROR(IF(A652=A651,0,SUM(_xlfn._xlws.FILTER(E652:E661,(A652:A661=A652)*(F652&lt;0)))),0)</f>
        <v>0</v>
      </c>
      <c r="J652" s="293" t="str">
        <f ca="1">IFERROR(_xlfn.XLOOKUP(B652,TabCalc[Ticker],TabCalc[Cur]),"")</f>
        <v>USD</v>
      </c>
      <c r="K652" s="1023" cm="1">
        <f t="array" ref="K652">IFERROR(IF($A652=$A651,0,SUM(_xlfn._xlws.FILTER($E652:$E662,($A652:$A662=$A652)*($J652:$J662=K$42)))),0)</f>
        <v>0</v>
      </c>
      <c r="L652" s="1023" cm="1">
        <f t="array" ref="L652">IFERROR(IF($A652=$A651,0,SUM(_xlfn._xlws.FILTER($E652:$E662,($A652:$A662=$A652)*($J652:$J662=L$42)))),0)</f>
        <v>0</v>
      </c>
      <c r="M652" s="1023" cm="1">
        <f t="array" ref="M652">IFERROR(IF($A652=$A651,0,SUM(_xlfn._xlws.FILTER($E652:$E662,($A652:$A662=$A652)*($J652:$J662=M$42)))),0)</f>
        <v>0</v>
      </c>
      <c r="N652" s="1023" cm="1">
        <f t="array" ref="N652">IFERROR(IF($A652=$A651,0,SUM(_xlfn._xlws.FILTER($E652:$E662,($A652:$A662=$A652)*($J652:$J662=N$42)))),0)</f>
        <v>0</v>
      </c>
    </row>
    <row r="653" spans="1:14" x14ac:dyDescent="0.3">
      <c r="A653" s="463">
        <v>45971</v>
      </c>
      <c r="B653" s="446" t="s">
        <v>14</v>
      </c>
      <c r="C653" s="446">
        <v>1600</v>
      </c>
      <c r="D653" s="464">
        <v>-120.14</v>
      </c>
      <c r="E653" s="1022">
        <f ca="1">IFERROR(C653*D653*_xlfn.XLOOKUP(B653,TabCalc[Ticker],TabCalc[Scale]),0)</f>
        <v>-192224</v>
      </c>
      <c r="F653" s="1023" cm="1">
        <f t="array" aca="1" ref="F653" ca="1">IF(A653=A652,0,SUM(_xlfn._xlws.FILTER(E653:E662,A653:A662=A653)))</f>
        <v>-192224</v>
      </c>
      <c r="G653" s="1024">
        <f ca="1">IF(F653&lt;&gt;0,SUM($F$43:F653),0)</f>
        <v>-5028766.5045730006</v>
      </c>
      <c r="H653" s="1024" cm="1">
        <f t="array" aca="1" ref="H653" ca="1">IFERROR(IF(A653=A652,0,SUM(_xlfn._xlws.FILTER(E653:E662,(A653:A662=A653)*(E653:E662&gt;0)))),0)</f>
        <v>0</v>
      </c>
      <c r="I653" s="1024" cm="1">
        <f t="array" aca="1" ref="I653" ca="1">IFERROR(IF(A653=A652,0,SUM(_xlfn._xlws.FILTER(E653:E662,(A653:A662=A653)*(F653&lt;0)))),0)</f>
        <v>-192224</v>
      </c>
      <c r="J653" s="293" t="str">
        <f ca="1">IFERROR(_xlfn.XLOOKUP(B653,TabCalc[Ticker],TabCalc[Cur]),"")</f>
        <v>USD</v>
      </c>
      <c r="K653" s="1023" cm="1">
        <f t="array" aca="1" ref="K653" ca="1">IFERROR(IF($A653=$A652,0,SUM(_xlfn._xlws.FILTER($E653:$E663,($A653:$A663=$A653)*($J653:$J663=K$42)))),0)</f>
        <v>0</v>
      </c>
      <c r="L653" s="1023" cm="1">
        <f t="array" aca="1" ref="L653" ca="1">IFERROR(IF($A653=$A652,0,SUM(_xlfn._xlws.FILTER($E653:$E663,($A653:$A663=$A653)*($J653:$J663=L$42)))),0)</f>
        <v>-192224</v>
      </c>
      <c r="M653" s="1023" cm="1">
        <f t="array" aca="1" ref="M653" ca="1">IFERROR(IF($A653=$A652,0,SUM(_xlfn._xlws.FILTER($E653:$E663,($A653:$A663=$A653)*($J653:$J663=M$42)))),0)</f>
        <v>0</v>
      </c>
      <c r="N653" s="1023" cm="1">
        <f t="array" aca="1" ref="N653" ca="1">IFERROR(IF($A653=$A652,0,SUM(_xlfn._xlws.FILTER($E653:$E663,($A653:$A663=$A653)*($J653:$J663=N$42)))),0)</f>
        <v>0</v>
      </c>
    </row>
    <row r="654" spans="1:14" x14ac:dyDescent="0.3">
      <c r="A654" s="449">
        <v>45972</v>
      </c>
      <c r="B654" s="449" t="s">
        <v>53</v>
      </c>
      <c r="C654" s="462">
        <v>3333</v>
      </c>
      <c r="D654" s="452">
        <v>-2.7645</v>
      </c>
      <c r="E654" s="1022">
        <f ca="1">IFERROR(C654*D654*_xlfn.XLOOKUP(B654,TabCalc[Ticker],TabCalc[Scale]),0)</f>
        <v>-9214.0784999999996</v>
      </c>
      <c r="F654" s="1023" cm="1">
        <f t="array" aca="1" ref="F654" ca="1">IF(A654=A653,0,SUM(_xlfn._xlws.FILTER(E654:E663,A654:A663=A654)))</f>
        <v>-9214.0784999999996</v>
      </c>
      <c r="G654" s="1024">
        <f ca="1">IF(F654&lt;&gt;0,SUM($F$43:F654),0)</f>
        <v>-5037980.5830730004</v>
      </c>
      <c r="H654" s="1024" cm="1">
        <f t="array" aca="1" ref="H654" ca="1">IFERROR(IF(A654=A653,0,SUM(_xlfn._xlws.FILTER(E654:E663,(A654:A663=A654)*(E654:E663&gt;0)))),0)</f>
        <v>0</v>
      </c>
      <c r="I654" s="1024" cm="1">
        <f t="array" aca="1" ref="I654" ca="1">IFERROR(IF(A654=A653,0,SUM(_xlfn._xlws.FILTER(E654:E663,(A654:A663=A654)*(F654&lt;0)))),0)</f>
        <v>-9214.0784999999996</v>
      </c>
      <c r="J654" s="293" t="str">
        <f ca="1">IFERROR(_xlfn.XLOOKUP(B654,TabCalc[Ticker],TabCalc[Cur]),"")</f>
        <v>USD</v>
      </c>
      <c r="K654" s="1023" cm="1">
        <f t="array" aca="1" ref="K654" ca="1">IFERROR(IF($A654=$A653,0,SUM(_xlfn._xlws.FILTER($E654:$E664,($A654:$A664=$A654)*($J654:$J664=K$42)))),0)</f>
        <v>0</v>
      </c>
      <c r="L654" s="1023" cm="1">
        <f t="array" aca="1" ref="L654" ca="1">IFERROR(IF($A654=$A653,0,SUM(_xlfn._xlws.FILTER($E654:$E664,($A654:$A664=$A654)*($J654:$J664=L$42)))),0)</f>
        <v>-9214.0784999999996</v>
      </c>
      <c r="M654" s="1023" cm="1">
        <f t="array" aca="1" ref="M654" ca="1">IFERROR(IF($A654=$A653,0,SUM(_xlfn._xlws.FILTER($E654:$E664,($A654:$A664=$A654)*($J654:$J664=M$42)))),0)</f>
        <v>0</v>
      </c>
      <c r="N654" s="1023" cm="1">
        <f t="array" aca="1" ref="N654" ca="1">IFERROR(IF($A654=$A653,0,SUM(_xlfn._xlws.FILTER($E654:$E664,($A654:$A664=$A654)*($J654:$J664=N$42)))),0)</f>
        <v>0</v>
      </c>
    </row>
    <row r="655" spans="1:14" x14ac:dyDescent="0.3">
      <c r="A655" s="463">
        <v>45973</v>
      </c>
      <c r="B655" s="446" t="s">
        <v>32</v>
      </c>
      <c r="C655" s="446">
        <v>100</v>
      </c>
      <c r="D655" s="446">
        <v>886.7</v>
      </c>
      <c r="E655" s="1022">
        <f ca="1">IFERROR(C655*D655*_xlfn.XLOOKUP(B655,TabCalc[Ticker],TabCalc[Scale]),0)</f>
        <v>88670</v>
      </c>
      <c r="F655" s="1023" cm="1">
        <f t="array" aca="1" ref="F655" ca="1">IF(A655=A654,0,SUM(_xlfn._xlws.FILTER(E655:E664,A655:A664=A655)))</f>
        <v>401176.75</v>
      </c>
      <c r="G655" s="1024">
        <f ca="1">IF(F655&lt;&gt;0,SUM($F$43:F655),0)</f>
        <v>-4636803.8330730004</v>
      </c>
      <c r="H655" s="1024" cm="1">
        <f t="array" aca="1" ref="H655" ca="1">IFERROR(IF(A655=A654,0,SUM(_xlfn._xlws.FILTER(E655:E664,(A655:A664=A655)*(E655:E664&gt;0)))),0)</f>
        <v>413624</v>
      </c>
      <c r="I655" s="1024" cm="1">
        <f t="array" aca="1" ref="I655" ca="1">IFERROR(IF(A655=A654,0,SUM(_xlfn._xlws.FILTER(E655:E664,(A655:A664=A655)*(F655&lt;0)))),0)</f>
        <v>0</v>
      </c>
      <c r="J655" s="293" t="str">
        <f ca="1">IFERROR(_xlfn.XLOOKUP(B655,TabCalc[Ticker],TabCalc[Cur]),"")</f>
        <v>EUR</v>
      </c>
      <c r="K655" s="1023" cm="1">
        <f t="array" aca="1" ref="K655" ca="1">IFERROR(IF($A655=$A654,0,SUM(_xlfn._xlws.FILTER($E655:$E665,($A655:$A665=$A655)*($J655:$J665=K$42)))),0)</f>
        <v>88670</v>
      </c>
      <c r="L655" s="1023" cm="1">
        <f t="array" aca="1" ref="L655" ca="1">IFERROR(IF($A655=$A654,0,SUM(_xlfn._xlws.FILTER($E655:$E665,($A655:$A665=$A655)*($J655:$J665=L$42)))),0)</f>
        <v>264186.75</v>
      </c>
      <c r="M655" s="1023" cm="1">
        <f t="array" aca="1" ref="M655" ca="1">IFERROR(IF($A655=$A654,0,SUM(_xlfn._xlws.FILTER($E655:$E665,($A655:$A665=$A655)*($J655:$J665=M$42)))),0)</f>
        <v>0</v>
      </c>
      <c r="N655" s="1023" cm="1">
        <f t="array" aca="1" ref="N655" ca="1">IFERROR(IF($A655=$A654,0,SUM(_xlfn._xlws.FILTER($E655:$E665,($A655:$A665=$A655)*($J655:$J665=N$42)))),0)</f>
        <v>48320</v>
      </c>
    </row>
    <row r="656" spans="1:14" x14ac:dyDescent="0.3">
      <c r="A656" s="463">
        <v>45973</v>
      </c>
      <c r="B656" s="446" t="s">
        <v>14</v>
      </c>
      <c r="C656" s="446">
        <v>1600</v>
      </c>
      <c r="D656" s="446">
        <v>124.33</v>
      </c>
      <c r="E656" s="1022">
        <f ca="1">IFERROR(C656*D656*_xlfn.XLOOKUP(B656,TabCalc[Ticker],TabCalc[Scale]),0)</f>
        <v>198928</v>
      </c>
      <c r="F656" s="1023" cm="1">
        <f t="array" ref="F656">IF(A656=A655,0,SUM(_xlfn._xlws.FILTER(E656:E665,A656:A665=A656)))</f>
        <v>0</v>
      </c>
      <c r="G656" s="1024">
        <f>IF(F656&lt;&gt;0,SUM($F$43:F656),0)</f>
        <v>0</v>
      </c>
      <c r="H656" s="1024" cm="1">
        <f t="array" ref="H656">IFERROR(IF(A656=A655,0,SUM(_xlfn._xlws.FILTER(E656:E665,(A656:A665=A656)*(E656:E665&gt;0)))),0)</f>
        <v>0</v>
      </c>
      <c r="I656" s="1024" cm="1">
        <f t="array" ref="I656">IFERROR(IF(A656=A655,0,SUM(_xlfn._xlws.FILTER(E656:E665,(A656:A665=A656)*(F656&lt;0)))),0)</f>
        <v>0</v>
      </c>
      <c r="J656" s="293" t="str">
        <f ca="1">IFERROR(_xlfn.XLOOKUP(B656,TabCalc[Ticker],TabCalc[Cur]),"")</f>
        <v>USD</v>
      </c>
      <c r="K656" s="1023" cm="1">
        <f t="array" ref="K656">IFERROR(IF($A656=$A655,0,SUM(_xlfn._xlws.FILTER($E656:$E666,($A656:$A666=$A656)*($J656:$J666=K$42)))),0)</f>
        <v>0</v>
      </c>
      <c r="L656" s="1023" cm="1">
        <f t="array" ref="L656">IFERROR(IF($A656=$A655,0,SUM(_xlfn._xlws.FILTER($E656:$E666,($A656:$A666=$A656)*($J656:$J666=L$42)))),0)</f>
        <v>0</v>
      </c>
      <c r="M656" s="1023" cm="1">
        <f t="array" ref="M656">IFERROR(IF($A656=$A655,0,SUM(_xlfn._xlws.FILTER($E656:$E666,($A656:$A666=$A656)*($J656:$J666=M$42)))),0)</f>
        <v>0</v>
      </c>
      <c r="N656" s="1023" cm="1">
        <f t="array" ref="N656">IFERROR(IF($A656=$A655,0,SUM(_xlfn._xlws.FILTER($E656:$E666,($A656:$A666=$A656)*($J656:$J666=N$42)))),0)</f>
        <v>0</v>
      </c>
    </row>
    <row r="657" spans="1:14" x14ac:dyDescent="0.3">
      <c r="A657" s="463">
        <v>45973</v>
      </c>
      <c r="B657" s="446" t="s">
        <v>31</v>
      </c>
      <c r="C657" s="446">
        <v>2000</v>
      </c>
      <c r="D657" s="446">
        <v>38.853000000000002</v>
      </c>
      <c r="E657" s="1022">
        <f ca="1">IFERROR(C657*D657*_xlfn.XLOOKUP(B657,TabCalc[Ticker],TabCalc[Scale]),0)</f>
        <v>77706</v>
      </c>
      <c r="F657" s="1023" cm="1">
        <f t="array" ref="F657">IF(A657=A656,0,SUM(_xlfn._xlws.FILTER(E657:E666,A657:A666=A657)))</f>
        <v>0</v>
      </c>
      <c r="G657" s="1024">
        <f>IF(F657&lt;&gt;0,SUM($F$43:F657),0)</f>
        <v>0</v>
      </c>
      <c r="H657" s="1024" cm="1">
        <f t="array" ref="H657">IFERROR(IF(A657=A656,0,SUM(_xlfn._xlws.FILTER(E657:E666,(A657:A666=A657)*(E657:E666&gt;0)))),0)</f>
        <v>0</v>
      </c>
      <c r="I657" s="1024" cm="1">
        <f t="array" ref="I657">IFERROR(IF(A657=A656,0,SUM(_xlfn._xlws.FILTER(E657:E666,(A657:A666=A657)*(F657&lt;0)))),0)</f>
        <v>0</v>
      </c>
      <c r="J657" s="293" t="str">
        <f ca="1">IFERROR(_xlfn.XLOOKUP(B657,TabCalc[Ticker],TabCalc[Cur]),"")</f>
        <v>USD</v>
      </c>
      <c r="K657" s="1023" cm="1">
        <f t="array" ref="K657">IFERROR(IF($A657=$A656,0,SUM(_xlfn._xlws.FILTER($E657:$E667,($A657:$A667=$A657)*($J657:$J667=K$42)))),0)</f>
        <v>0</v>
      </c>
      <c r="L657" s="1023" cm="1">
        <f t="array" ref="L657">IFERROR(IF($A657=$A656,0,SUM(_xlfn._xlws.FILTER($E657:$E667,($A657:$A667=$A657)*($J657:$J667=L$42)))),0)</f>
        <v>0</v>
      </c>
      <c r="M657" s="1023" cm="1">
        <f t="array" ref="M657">IFERROR(IF($A657=$A656,0,SUM(_xlfn._xlws.FILTER($E657:$E667,($A657:$A667=$A657)*($J657:$J667=M$42)))),0)</f>
        <v>0</v>
      </c>
      <c r="N657" s="1023" cm="1">
        <f t="array" ref="N657">IFERROR(IF($A657=$A656,0,SUM(_xlfn._xlws.FILTER($E657:$E667,($A657:$A667=$A657)*($J657:$J667=N$42)))),0)</f>
        <v>0</v>
      </c>
    </row>
    <row r="658" spans="1:14" x14ac:dyDescent="0.3">
      <c r="A658" s="463">
        <v>45973</v>
      </c>
      <c r="B658" s="446" t="s">
        <v>1088</v>
      </c>
      <c r="C658" s="446">
        <v>2500</v>
      </c>
      <c r="D658" s="446">
        <v>-4.9789000000000003</v>
      </c>
      <c r="E658" s="1022">
        <f ca="1">IFERROR(C658*D658*_xlfn.XLOOKUP(B658,TabCalc[Ticker],TabCalc[Scale]),0)</f>
        <v>-12447.25</v>
      </c>
      <c r="F658" s="1023" cm="1">
        <f t="array" ref="F658">IF(A658=A657,0,SUM(_xlfn._xlws.FILTER(E658:E667,A658:A667=A658)))</f>
        <v>0</v>
      </c>
      <c r="G658" s="1024">
        <f>IF(F658&lt;&gt;0,SUM($F$43:F658),0)</f>
        <v>0</v>
      </c>
      <c r="H658" s="1024" cm="1">
        <f t="array" ref="H658">IFERROR(IF(A658=A657,0,SUM(_xlfn._xlws.FILTER(E658:E667,(A658:A667=A658)*(E658:E667&gt;0)))),0)</f>
        <v>0</v>
      </c>
      <c r="I658" s="1024" cm="1">
        <f t="array" ref="I658">IFERROR(IF(A658=A657,0,SUM(_xlfn._xlws.FILTER(E658:E667,(A658:A667=A658)*(F658&lt;0)))),0)</f>
        <v>0</v>
      </c>
      <c r="J658" s="293" t="str">
        <f ca="1">IFERROR(_xlfn.XLOOKUP(B658,TabCalc[Ticker],TabCalc[Cur]),"")</f>
        <v>USD</v>
      </c>
      <c r="K658" s="1023" cm="1">
        <f t="array" ref="K658">IFERROR(IF($A658=$A657,0,SUM(_xlfn._xlws.FILTER($E658:$E668,($A658:$A668=$A658)*($J658:$J668=K$42)))),0)</f>
        <v>0</v>
      </c>
      <c r="L658" s="1023" cm="1">
        <f t="array" ref="L658">IFERROR(IF($A658=$A657,0,SUM(_xlfn._xlws.FILTER($E658:$E668,($A658:$A668=$A658)*($J658:$J668=L$42)))),0)</f>
        <v>0</v>
      </c>
      <c r="M658" s="1023" cm="1">
        <f t="array" ref="M658">IFERROR(IF($A658=$A657,0,SUM(_xlfn._xlws.FILTER($E658:$E668,($A658:$A668=$A658)*($J658:$J668=M$42)))),0)</f>
        <v>0</v>
      </c>
      <c r="N658" s="1023" cm="1">
        <f t="array" ref="N658">IFERROR(IF($A658=$A657,0,SUM(_xlfn._xlws.FILTER($E658:$E668,($A658:$A668=$A658)*($J658:$J668=N$42)))),0)</f>
        <v>0</v>
      </c>
    </row>
    <row r="659" spans="1:14" x14ac:dyDescent="0.3">
      <c r="A659" s="463">
        <v>45973</v>
      </c>
      <c r="B659" s="446" t="s">
        <v>48</v>
      </c>
      <c r="C659" s="446">
        <v>800</v>
      </c>
      <c r="D659" s="446">
        <v>60.4</v>
      </c>
      <c r="E659" s="1022">
        <f ca="1">IFERROR(C659*D659*_xlfn.XLOOKUP(B659,TabCalc[Ticker],TabCalc[Scale]),0)</f>
        <v>48320</v>
      </c>
      <c r="F659" s="1023" cm="1">
        <f t="array" ref="F659">IF(A659=A658,0,SUM(_xlfn._xlws.FILTER(E659:E668,A659:A668=A659)))</f>
        <v>0</v>
      </c>
      <c r="G659" s="1024">
        <f>IF(F659&lt;&gt;0,SUM($F$43:F659),0)</f>
        <v>0</v>
      </c>
      <c r="H659" s="1024" cm="1">
        <f t="array" ref="H659">IFERROR(IF(A659=A658,0,SUM(_xlfn._xlws.FILTER(E659:E668,(A659:A668=A659)*(E659:E668&gt;0)))),0)</f>
        <v>0</v>
      </c>
      <c r="I659" s="1024" cm="1">
        <f t="array" ref="I659">IFERROR(IF(A659=A658,0,SUM(_xlfn._xlws.FILTER(E659:E668,(A659:A668=A659)*(F659&lt;0)))),0)</f>
        <v>0</v>
      </c>
      <c r="J659" s="293" t="str">
        <f ca="1">IFERROR(_xlfn.XLOOKUP(B659,TabCalc[Ticker],TabCalc[Cur]),"")</f>
        <v>CHF</v>
      </c>
      <c r="K659" s="1023" cm="1">
        <f t="array" ref="K659">IFERROR(IF($A659=$A658,0,SUM(_xlfn._xlws.FILTER($E659:$E669,($A659:$A669=$A659)*($J659:$J669=K$42)))),0)</f>
        <v>0</v>
      </c>
      <c r="L659" s="1023" cm="1">
        <f t="array" ref="L659">IFERROR(IF($A659=$A658,0,SUM(_xlfn._xlws.FILTER($E659:$E669,($A659:$A669=$A659)*($J659:$J669=L$42)))),0)</f>
        <v>0</v>
      </c>
      <c r="M659" s="1023" cm="1">
        <f t="array" ref="M659">IFERROR(IF($A659=$A658,0,SUM(_xlfn._xlws.FILTER($E659:$E669,($A659:$A669=$A659)*($J659:$J669=M$42)))),0)</f>
        <v>0</v>
      </c>
      <c r="N659" s="1023" cm="1">
        <f t="array" ref="N659">IFERROR(IF($A659=$A658,0,SUM(_xlfn._xlws.FILTER($E659:$E669,($A659:$A669=$A659)*($J659:$J669=N$42)))),0)</f>
        <v>0</v>
      </c>
    </row>
    <row r="660" spans="1:14" x14ac:dyDescent="0.3">
      <c r="A660" s="449">
        <v>45974</v>
      </c>
      <c r="B660" s="449" t="s">
        <v>22</v>
      </c>
      <c r="C660" s="462">
        <v>10000</v>
      </c>
      <c r="D660" s="452">
        <v>399.2</v>
      </c>
      <c r="E660" s="1022">
        <f ca="1">IFERROR(C660*D660*_xlfn.XLOOKUP(B660,TabCalc[Ticker],TabCalc[Scale]),0)</f>
        <v>39920</v>
      </c>
      <c r="F660" s="1023" cm="1">
        <f t="array" aca="1" ref="F660" ca="1">IF(A660=A659,0,SUM(_xlfn._xlws.FILTER(E660:E669,A660:A669=A660)))</f>
        <v>-5530</v>
      </c>
      <c r="G660" s="1024">
        <f ca="1">IF(F660&lt;&gt;0,SUM($F$43:F660),0)</f>
        <v>-4642333.8330730004</v>
      </c>
      <c r="H660" s="1024" cm="1">
        <f t="array" aca="1" ref="H660" ca="1">IFERROR(IF(A660=A659,0,SUM(_xlfn._xlws.FILTER(E660:E669,(A660:A669=A660)*(E660:E669&gt;0)))),0)</f>
        <v>39920</v>
      </c>
      <c r="I660" s="1024" cm="1">
        <f t="array" aca="1" ref="I660" ca="1">IFERROR(IF(A660=A659,0,SUM(_xlfn._xlws.FILTER(E660:E669,(A660:A669=A660)*(F660&lt;0)))),0)</f>
        <v>-5530</v>
      </c>
      <c r="J660" s="293" t="str">
        <f ca="1">IFERROR(_xlfn.XLOOKUP(B660,TabCalc[Ticker],TabCalc[Cur]),"")</f>
        <v>GBp</v>
      </c>
      <c r="K660" s="1023" cm="1">
        <f t="array" aca="1" ref="K660" ca="1">IFERROR(IF($A660=$A659,0,SUM(_xlfn._xlws.FILTER($E660:$E670,($A660:$A670=$A660)*($J660:$J670=K$42)))),0)</f>
        <v>-45450</v>
      </c>
      <c r="L660" s="1023" cm="1">
        <f t="array" aca="1" ref="L660" ca="1">IFERROR(IF($A660=$A659,0,SUM(_xlfn._xlws.FILTER($E660:$E670,($A660:$A670=$A660)*($J660:$J670=L$42)))),0)</f>
        <v>0</v>
      </c>
      <c r="M660" s="1023" cm="1">
        <f t="array" aca="1" ref="M660" ca="1">IFERROR(IF($A660=$A659,0,SUM(_xlfn._xlws.FILTER($E660:$E670,($A660:$A670=$A660)*($J660:$J670=M$42)))),0)</f>
        <v>39920</v>
      </c>
      <c r="N660" s="1023" cm="1">
        <f t="array" aca="1" ref="N660" ca="1">IFERROR(IF($A660=$A659,0,SUM(_xlfn._xlws.FILTER($E660:$E670,($A660:$A670=$A660)*($J660:$J670=N$42)))),0)</f>
        <v>0</v>
      </c>
    </row>
    <row r="661" spans="1:14" x14ac:dyDescent="0.3">
      <c r="A661" s="449">
        <v>45974</v>
      </c>
      <c r="B661" s="449" t="s">
        <v>18</v>
      </c>
      <c r="C661" s="462">
        <v>3000</v>
      </c>
      <c r="D661" s="452">
        <v>-15.15</v>
      </c>
      <c r="E661" s="1022">
        <f ca="1">IFERROR(C661*D661*_xlfn.XLOOKUP(B661,TabCalc[Ticker],TabCalc[Scale]),0)</f>
        <v>-45450</v>
      </c>
      <c r="F661" s="1023" cm="1">
        <f t="array" ref="F661">IF(A661=A660,0,SUM(_xlfn._xlws.FILTER(E661:E670,A661:A670=A661)))</f>
        <v>0</v>
      </c>
      <c r="G661" s="1024">
        <f>IF(F661&lt;&gt;0,SUM($F$43:F661),0)</f>
        <v>0</v>
      </c>
      <c r="H661" s="1024" cm="1">
        <f t="array" ref="H661">IFERROR(IF(A661=A660,0,SUM(_xlfn._xlws.FILTER(E661:E670,(A661:A670=A661)*(E661:E670&gt;0)))),0)</f>
        <v>0</v>
      </c>
      <c r="I661" s="1024" cm="1">
        <f t="array" ref="I661">IFERROR(IF(A661=A660,0,SUM(_xlfn._xlws.FILTER(E661:E670,(A661:A670=A661)*(F661&lt;0)))),0)</f>
        <v>0</v>
      </c>
      <c r="J661" s="293" t="str">
        <f ca="1">IFERROR(_xlfn.XLOOKUP(B661,TabCalc[Ticker],TabCalc[Cur]),"")</f>
        <v>EUR</v>
      </c>
      <c r="K661" s="1023" cm="1">
        <f t="array" ref="K661">IFERROR(IF($A661=$A660,0,SUM(_xlfn._xlws.FILTER($E661:$E671,($A661:$A671=$A661)*($J661:$J671=K$42)))),0)</f>
        <v>0</v>
      </c>
      <c r="L661" s="1023" cm="1">
        <f t="array" ref="L661">IFERROR(IF($A661=$A660,0,SUM(_xlfn._xlws.FILTER($E661:$E671,($A661:$A671=$A661)*($J661:$J671=L$42)))),0)</f>
        <v>0</v>
      </c>
      <c r="M661" s="1023" cm="1">
        <f t="array" ref="M661">IFERROR(IF($A661=$A660,0,SUM(_xlfn._xlws.FILTER($E661:$E671,($A661:$A671=$A661)*($J661:$J671=M$42)))),0)</f>
        <v>0</v>
      </c>
      <c r="N661" s="1023" cm="1">
        <f t="array" ref="N661">IFERROR(IF($A661=$A660,0,SUM(_xlfn._xlws.FILTER($E661:$E671,($A661:$A671=$A661)*($J661:$J671=N$42)))),0)</f>
        <v>0</v>
      </c>
    </row>
    <row r="662" spans="1:14" x14ac:dyDescent="0.3">
      <c r="A662" s="463">
        <v>45975</v>
      </c>
      <c r="B662" s="446" t="s">
        <v>32</v>
      </c>
      <c r="C662" s="446">
        <v>100</v>
      </c>
      <c r="D662" s="446">
        <v>-886.7</v>
      </c>
      <c r="E662" s="1022">
        <f ca="1">IFERROR(C662*D662*_xlfn.XLOOKUP(B662,TabCalc[Ticker],TabCalc[Scale]),0)</f>
        <v>-88670</v>
      </c>
      <c r="F662" s="1023" cm="1">
        <f t="array" aca="1" ref="F662" ca="1">IF(A662=A661,0,SUM(_xlfn._xlws.FILTER(E662:E671,A662:A671=A662)))</f>
        <v>-88670</v>
      </c>
      <c r="G662" s="1024">
        <f ca="1">IF(F662&lt;&gt;0,SUM($F$43:F662),0)</f>
        <v>-4731003.8330730004</v>
      </c>
      <c r="H662" s="1024" cm="1">
        <f t="array" aca="1" ref="H662" ca="1">IFERROR(IF(A662=A661,0,SUM(_xlfn._xlws.FILTER(E662:E671,(A662:A671=A662)*(E662:E671&gt;0)))),0)</f>
        <v>0</v>
      </c>
      <c r="I662" s="1024" cm="1">
        <f t="array" aca="1" ref="I662" ca="1">IFERROR(IF(A662=A661,0,SUM(_xlfn._xlws.FILTER(E662:E671,(A662:A671=A662)*(F662&lt;0)))),0)</f>
        <v>-88670</v>
      </c>
      <c r="J662" s="293" t="str">
        <f ca="1">IFERROR(_xlfn.XLOOKUP(B662,TabCalc[Ticker],TabCalc[Cur]),"")</f>
        <v>EUR</v>
      </c>
      <c r="K662" s="1023" cm="1">
        <f t="array" aca="1" ref="K662" ca="1">IFERROR(IF($A662=$A661,0,SUM(_xlfn._xlws.FILTER($E662:$E672,($A662:$A672=$A662)*($J662:$J672=K$42)))),0)</f>
        <v>-88670</v>
      </c>
      <c r="L662" s="1023" cm="1">
        <f t="array" aca="1" ref="L662" ca="1">IFERROR(IF($A662=$A661,0,SUM(_xlfn._xlws.FILTER($E662:$E672,($A662:$A672=$A662)*($J662:$J672=L$42)))),0)</f>
        <v>0</v>
      </c>
      <c r="M662" s="1023" cm="1">
        <f t="array" aca="1" ref="M662" ca="1">IFERROR(IF($A662=$A661,0,SUM(_xlfn._xlws.FILTER($E662:$E672,($A662:$A672=$A662)*($J662:$J672=M$42)))),0)</f>
        <v>0</v>
      </c>
      <c r="N662" s="1023" cm="1">
        <f t="array" aca="1" ref="N662" ca="1">IFERROR(IF($A662=$A661,0,SUM(_xlfn._xlws.FILTER($E662:$E672,($A662:$A672=$A662)*($J662:$J672=N$42)))),0)</f>
        <v>0</v>
      </c>
    </row>
    <row r="663" spans="1:14" x14ac:dyDescent="0.3">
      <c r="A663" s="463">
        <v>45978</v>
      </c>
      <c r="B663" s="446" t="s">
        <v>46</v>
      </c>
      <c r="C663" s="446">
        <v>200</v>
      </c>
      <c r="D663" s="446">
        <v>342.32</v>
      </c>
      <c r="E663" s="1022">
        <f ca="1">IFERROR(C663*D663*_xlfn.XLOOKUP(B663,TabCalc[Ticker],TabCalc[Scale]),0)</f>
        <v>68464</v>
      </c>
      <c r="F663" s="1023" cm="1">
        <f t="array" aca="1" ref="F663" ca="1">IF(A663=A662,0,SUM(_xlfn._xlws.FILTER(E663:E672,A663:A672=A663)))</f>
        <v>136928</v>
      </c>
      <c r="G663" s="1024">
        <f ca="1">IF(F663&lt;&gt;0,SUM($F$43:F663),0)</f>
        <v>-4594075.8330730004</v>
      </c>
      <c r="H663" s="1024" cm="1">
        <f t="array" aca="1" ref="H663" ca="1">IFERROR(IF(A663=A662,0,SUM(_xlfn._xlws.FILTER(E663:E672,(A663:A672=A663)*(E663:E672&gt;0)))),0)</f>
        <v>136928</v>
      </c>
      <c r="I663" s="1024" cm="1">
        <f t="array" aca="1" ref="I663" ca="1">IFERROR(IF(A663=A662,0,SUM(_xlfn._xlws.FILTER(E663:E672,(A663:A672=A663)*(F663&lt;0)))),0)</f>
        <v>0</v>
      </c>
      <c r="J663" s="293" t="str">
        <f ca="1">IFERROR(_xlfn.XLOOKUP(B663,TabCalc[Ticker],TabCalc[Cur]),"")</f>
        <v>USD</v>
      </c>
      <c r="K663" s="1023" cm="1">
        <f t="array" aca="1" ref="K663" ca="1">IFERROR(IF($A663=$A662,0,SUM(_xlfn._xlws.FILTER($E663:$E673,($A663:$A673=$A663)*($J663:$J673=K$42)))),0)</f>
        <v>0</v>
      </c>
      <c r="L663" s="1023" cm="1">
        <f t="array" aca="1" ref="L663" ca="1">IFERROR(IF($A663=$A662,0,SUM(_xlfn._xlws.FILTER($E663:$E673,($A663:$A673=$A663)*($J663:$J673=L$42)))),0)</f>
        <v>136928</v>
      </c>
      <c r="M663" s="1023" cm="1">
        <f t="array" aca="1" ref="M663" ca="1">IFERROR(IF($A663=$A662,0,SUM(_xlfn._xlws.FILTER($E663:$E673,($A663:$A673=$A663)*($J663:$J673=M$42)))),0)</f>
        <v>0</v>
      </c>
      <c r="N663" s="1023" cm="1">
        <f t="array" aca="1" ref="N663" ca="1">IFERROR(IF($A663=$A662,0,SUM(_xlfn._xlws.FILTER($E663:$E673,($A663:$A673=$A663)*($J663:$J673=N$42)))),0)</f>
        <v>0</v>
      </c>
    </row>
    <row r="664" spans="1:14" x14ac:dyDescent="0.3">
      <c r="A664" s="449">
        <v>45978</v>
      </c>
      <c r="B664" s="449" t="s">
        <v>46</v>
      </c>
      <c r="C664" s="462">
        <v>200</v>
      </c>
      <c r="D664" s="452">
        <v>342.32</v>
      </c>
      <c r="E664" s="1022">
        <f ca="1">IFERROR(C664*D664*_xlfn.XLOOKUP(B664,TabCalc[Ticker],TabCalc[Scale]),0)</f>
        <v>68464</v>
      </c>
      <c r="F664" s="1023" cm="1">
        <f t="array" ref="F664">IF(A664=A663,0,SUM(_xlfn._xlws.FILTER(E664:E673,A664:A673=A664)))</f>
        <v>0</v>
      </c>
      <c r="G664" s="1024">
        <f>IF(F664&lt;&gt;0,SUM($F$43:F664),0)</f>
        <v>0</v>
      </c>
      <c r="H664" s="1024" cm="1">
        <f t="array" ref="H664">IFERROR(IF(A664=A663,0,SUM(_xlfn._xlws.FILTER(E664:E673,(A664:A673=A664)*(E664:E673&gt;0)))),0)</f>
        <v>0</v>
      </c>
      <c r="I664" s="1024" cm="1">
        <f t="array" ref="I664">IFERROR(IF(A664=A663,0,SUM(_xlfn._xlws.FILTER(E664:E673,(A664:A673=A664)*(F664&lt;0)))),0)</f>
        <v>0</v>
      </c>
      <c r="J664" s="293" t="str">
        <f ca="1">IFERROR(_xlfn.XLOOKUP(B664,TabCalc[Ticker],TabCalc[Cur]),"")</f>
        <v>USD</v>
      </c>
      <c r="K664" s="1023" cm="1">
        <f t="array" ref="K664">IFERROR(IF($A664=$A663,0,SUM(_xlfn._xlws.FILTER($E664:$E674,($A664:$A674=$A664)*($J664:$J674=K$42)))),0)</f>
        <v>0</v>
      </c>
      <c r="L664" s="1023" cm="1">
        <f t="array" ref="L664">IFERROR(IF($A664=$A663,0,SUM(_xlfn._xlws.FILTER($E664:$E674,($A664:$A674=$A664)*($J664:$J674=L$42)))),0)</f>
        <v>0</v>
      </c>
      <c r="M664" s="1023" cm="1">
        <f t="array" ref="M664">IFERROR(IF($A664=$A663,0,SUM(_xlfn._xlws.FILTER($E664:$E674,($A664:$A674=$A664)*($J664:$J674=M$42)))),0)</f>
        <v>0</v>
      </c>
      <c r="N664" s="1023" cm="1">
        <f t="array" ref="N664">IFERROR(IF($A664=$A663,0,SUM(_xlfn._xlws.FILTER($E664:$E674,($A664:$A674=$A664)*($J664:$J674=N$42)))),0)</f>
        <v>0</v>
      </c>
    </row>
    <row r="665" spans="1:14" x14ac:dyDescent="0.3">
      <c r="A665" s="463"/>
      <c r="E665" s="1022">
        <f ca="1">IFERROR(C665*D665*_xlfn.XLOOKUP(B665,TabCalc[Ticker],TabCalc[Scale]),0)</f>
        <v>0</v>
      </c>
      <c r="F665" s="1023" cm="1">
        <f t="array" aca="1" ref="F665" ca="1">IF(A665=A664,0,SUM(_xlfn._xlws.FILTER(E665:E674,A665:A674=A665)))</f>
        <v>0</v>
      </c>
      <c r="G665" s="1024">
        <f ca="1">IF(F665&lt;&gt;0,SUM($F$43:F665),0)</f>
        <v>0</v>
      </c>
      <c r="H665" s="1024" cm="1">
        <f t="array" aca="1" ref="H665" ca="1">IFERROR(IF(A665=A664,0,SUM(_xlfn._xlws.FILTER(E665:E674,(A665:A674=A665)*(E665:E674&gt;0)))),0)</f>
        <v>0</v>
      </c>
      <c r="I665" s="1024" cm="1">
        <f t="array" aca="1" ref="I665" ca="1">IFERROR(IF(A665=A664,0,SUM(_xlfn._xlws.FILTER(E665:E674,(A665:A674=A665)*(F665&lt;0)))),0)</f>
        <v>0</v>
      </c>
      <c r="J665" s="293" t="str">
        <f ca="1">IFERROR(_xlfn.XLOOKUP(B665,TabCalc[Ticker],TabCalc[Cur]),"")</f>
        <v/>
      </c>
      <c r="K665" s="1023" cm="1">
        <f t="array" aca="1" ref="K665" ca="1">IFERROR(IF($A665=$A664,0,SUM(_xlfn._xlws.FILTER($E665:$E675,($A665:$A675=$A665)*($J665:$J675=K$42)))),0)</f>
        <v>0</v>
      </c>
      <c r="L665" s="1023" cm="1">
        <f t="array" aca="1" ref="L665" ca="1">IFERROR(IF($A665=$A664,0,SUM(_xlfn._xlws.FILTER($E665:$E675,($A665:$A675=$A665)*($J665:$J675=L$42)))),0)</f>
        <v>0</v>
      </c>
      <c r="M665" s="1023" cm="1">
        <f t="array" aca="1" ref="M665" ca="1">IFERROR(IF($A665=$A664,0,SUM(_xlfn._xlws.FILTER($E665:$E675,($A665:$A675=$A665)*($J665:$J675=M$42)))),0)</f>
        <v>0</v>
      </c>
      <c r="N665" s="1023" cm="1">
        <f t="array" aca="1" ref="N665" ca="1">IFERROR(IF($A665=$A664,0,SUM(_xlfn._xlws.FILTER($E665:$E675,($A665:$A675=$A665)*($J665:$J675=N$42)))),0)</f>
        <v>0</v>
      </c>
    </row>
    <row r="666" spans="1:14" x14ac:dyDescent="0.3">
      <c r="A666" s="463"/>
      <c r="E666" s="1022">
        <f ca="1">IFERROR(C666*D666*_xlfn.XLOOKUP(B666,TabCalc[Ticker],TabCalc[Scale]),0)</f>
        <v>0</v>
      </c>
      <c r="F666" s="1023" cm="1">
        <f t="array" ref="F666">IF(A666=A665,0,SUM(_xlfn._xlws.FILTER(E666:E675,A666:A675=A666)))</f>
        <v>0</v>
      </c>
      <c r="G666" s="1024">
        <f>IF(F666&lt;&gt;0,SUM($F$43:F666),0)</f>
        <v>0</v>
      </c>
      <c r="H666" s="1024" cm="1">
        <f t="array" ref="H666">IFERROR(IF(A666=A665,0,SUM(_xlfn._xlws.FILTER(E666:E675,(A666:A675=A666)*(E666:E675&gt;0)))),0)</f>
        <v>0</v>
      </c>
      <c r="I666" s="1024" cm="1">
        <f t="array" ref="I666">IFERROR(IF(A666=A665,0,SUM(_xlfn._xlws.FILTER(E666:E675,(A666:A675=A666)*(F666&lt;0)))),0)</f>
        <v>0</v>
      </c>
      <c r="J666" s="293" t="str">
        <f ca="1">IFERROR(_xlfn.XLOOKUP(B666,TabCalc[Ticker],TabCalc[Cur]),"")</f>
        <v/>
      </c>
      <c r="K666" s="1023" cm="1">
        <f t="array" ref="K666">IFERROR(IF($A666=$A665,0,SUM(_xlfn._xlws.FILTER($E666:$E676,($A666:$A676=$A666)*($J666:$J676=K$42)))),0)</f>
        <v>0</v>
      </c>
      <c r="L666" s="1023" cm="1">
        <f t="array" ref="L666">IFERROR(IF($A666=$A665,0,SUM(_xlfn._xlws.FILTER($E666:$E676,($A666:$A676=$A666)*($J666:$J676=L$42)))),0)</f>
        <v>0</v>
      </c>
      <c r="M666" s="1023" cm="1">
        <f t="array" ref="M666">IFERROR(IF($A666=$A665,0,SUM(_xlfn._xlws.FILTER($E666:$E676,($A666:$A676=$A666)*($J666:$J676=M$42)))),0)</f>
        <v>0</v>
      </c>
      <c r="N666" s="1023" cm="1">
        <f t="array" ref="N666">IFERROR(IF($A666=$A665,0,SUM(_xlfn._xlws.FILTER($E666:$E676,($A666:$A676=$A666)*($J666:$J676=N$42)))),0)</f>
        <v>0</v>
      </c>
    </row>
    <row r="667" spans="1:14" x14ac:dyDescent="0.3">
      <c r="E667" s="1022">
        <f ca="1">IFERROR(C667*D667*_xlfn.XLOOKUP(B667,TabCalc[Ticker],TabCalc[Scale]),0)</f>
        <v>0</v>
      </c>
      <c r="F667" s="1023" cm="1">
        <f t="array" ref="F667">IF(A667=A666,0,SUM(_xlfn._xlws.FILTER(E667:E676,A667:A676=A667)))</f>
        <v>0</v>
      </c>
      <c r="G667" s="1024">
        <f>IF(F667&lt;&gt;0,SUM($F$43:F667),0)</f>
        <v>0</v>
      </c>
      <c r="H667" s="1024" cm="1">
        <f t="array" ref="H667">IFERROR(IF(A667=A666,0,SUM(_xlfn._xlws.FILTER(E667:E676,(A667:A676=A667)*(E667:E676&gt;0)))),0)</f>
        <v>0</v>
      </c>
      <c r="I667" s="1024" cm="1">
        <f t="array" ref="I667">IFERROR(IF(A667=A666,0,SUM(_xlfn._xlws.FILTER(E667:E676,(A667:A676=A667)*(F667&lt;0)))),0)</f>
        <v>0</v>
      </c>
      <c r="J667" s="293" t="str">
        <f ca="1">IFERROR(_xlfn.XLOOKUP(B667,TabCalc[Ticker],TabCalc[Cur]),"")</f>
        <v/>
      </c>
      <c r="K667" s="1023" cm="1">
        <f t="array" ref="K667">IFERROR(IF($A667=$A666,0,SUM(_xlfn._xlws.FILTER($E667:$E677,($A667:$A677=$A667)*($J667:$J677=K$42)))),0)</f>
        <v>0</v>
      </c>
      <c r="L667" s="1023" cm="1">
        <f t="array" ref="L667">IFERROR(IF($A667=$A666,0,SUM(_xlfn._xlws.FILTER($E667:$E677,($A667:$A677=$A667)*($J667:$J677=L$42)))),0)</f>
        <v>0</v>
      </c>
      <c r="M667" s="1023" cm="1">
        <f t="array" ref="M667">IFERROR(IF($A667=$A666,0,SUM(_xlfn._xlws.FILTER($E667:$E677,($A667:$A677=$A667)*($J667:$J677=M$42)))),0)</f>
        <v>0</v>
      </c>
      <c r="N667" s="1023" cm="1">
        <f t="array" ref="N667">IFERROR(IF($A667=$A666,0,SUM(_xlfn._xlws.FILTER($E667:$E677,($A667:$A677=$A667)*($J667:$J677=N$42)))),0)</f>
        <v>0</v>
      </c>
    </row>
    <row r="668" spans="1:14" x14ac:dyDescent="0.3">
      <c r="E668" s="1022">
        <f ca="1">IFERROR(C668*D668*_xlfn.XLOOKUP(B668,TabCalc[Ticker],TabCalc[Scale]),0)</f>
        <v>0</v>
      </c>
      <c r="F668" s="1023" cm="1">
        <f t="array" ref="F668">IF(A668=A667,0,SUM(_xlfn._xlws.FILTER(E668:E677,A668:A677=A668)))</f>
        <v>0</v>
      </c>
      <c r="G668" s="1024">
        <f>IF(F668&lt;&gt;0,SUM($F$43:F668),0)</f>
        <v>0</v>
      </c>
      <c r="H668" s="1024" cm="1">
        <f t="array" ref="H668">IFERROR(IF(A668=A667,0,SUM(_xlfn._xlws.FILTER(E668:E677,(A668:A677=A668)*(E668:E677&gt;0)))),0)</f>
        <v>0</v>
      </c>
      <c r="I668" s="1024" cm="1">
        <f t="array" ref="I668">IFERROR(IF(A668=A667,0,SUM(_xlfn._xlws.FILTER(E668:E677,(A668:A677=A668)*(F668&lt;0)))),0)</f>
        <v>0</v>
      </c>
      <c r="J668" s="293" t="str">
        <f ca="1">IFERROR(_xlfn.XLOOKUP(B668,TabCalc[Ticker],TabCalc[Cur]),"")</f>
        <v/>
      </c>
      <c r="K668" s="1023" cm="1">
        <f t="array" ref="K668">IFERROR(IF($A668=$A667,0,SUM(_xlfn._xlws.FILTER($E668:$E678,($A668:$A678=$A668)*($J668:$J678=K$42)))),0)</f>
        <v>0</v>
      </c>
      <c r="L668" s="1023" cm="1">
        <f t="array" ref="L668">IFERROR(IF($A668=$A667,0,SUM(_xlfn._xlws.FILTER($E668:$E678,($A668:$A678=$A668)*($J668:$J678=L$42)))),0)</f>
        <v>0</v>
      </c>
      <c r="M668" s="1023" cm="1">
        <f t="array" ref="M668">IFERROR(IF($A668=$A667,0,SUM(_xlfn._xlws.FILTER($E668:$E678,($A668:$A678=$A668)*($J668:$J678=M$42)))),0)</f>
        <v>0</v>
      </c>
      <c r="N668" s="1023" cm="1">
        <f t="array" ref="N668">IFERROR(IF($A668=$A667,0,SUM(_xlfn._xlws.FILTER($E668:$E678,($A668:$A678=$A668)*($J668:$J678=N$42)))),0)</f>
        <v>0</v>
      </c>
    </row>
    <row r="669" spans="1:14" x14ac:dyDescent="0.3">
      <c r="E669" s="1022">
        <f ca="1">IFERROR(C669*D669*_xlfn.XLOOKUP(B669,TabCalc[Ticker],TabCalc[Scale]),0)</f>
        <v>0</v>
      </c>
      <c r="F669" s="1023" cm="1">
        <f t="array" ref="F669">IF(A669=A668,0,SUM(_xlfn._xlws.FILTER(E669:E678,A669:A678=A669)))</f>
        <v>0</v>
      </c>
      <c r="G669" s="1024">
        <f>IF(F669&lt;&gt;0,SUM($F$43:F669),0)</f>
        <v>0</v>
      </c>
      <c r="H669" s="1024" cm="1">
        <f t="array" ref="H669">IFERROR(IF(A669=A668,0,SUM(_xlfn._xlws.FILTER(E669:E678,(A669:A678=A669)*(E669:E678&gt;0)))),0)</f>
        <v>0</v>
      </c>
      <c r="I669" s="1024" cm="1">
        <f t="array" ref="I669">IFERROR(IF(A669=A668,0,SUM(_xlfn._xlws.FILTER(E669:E678,(A669:A678=A669)*(F669&lt;0)))),0)</f>
        <v>0</v>
      </c>
      <c r="J669" s="293" t="str">
        <f ca="1">IFERROR(_xlfn.XLOOKUP(B669,TabCalc[Ticker],TabCalc[Cur]),"")</f>
        <v/>
      </c>
      <c r="K669" s="1023" cm="1">
        <f t="array" ref="K669">IFERROR(IF($A669=$A668,0,SUM(_xlfn._xlws.FILTER($E669:$E679,($A669:$A679=$A669)*($J669:$J679=K$42)))),0)</f>
        <v>0</v>
      </c>
      <c r="L669" s="1023" cm="1">
        <f t="array" ref="L669">IFERROR(IF($A669=$A668,0,SUM(_xlfn._xlws.FILTER($E669:$E679,($A669:$A679=$A669)*($J669:$J679=L$42)))),0)</f>
        <v>0</v>
      </c>
      <c r="M669" s="1023" cm="1">
        <f t="array" ref="M669">IFERROR(IF($A669=$A668,0,SUM(_xlfn._xlws.FILTER($E669:$E679,($A669:$A679=$A669)*($J669:$J679=M$42)))),0)</f>
        <v>0</v>
      </c>
      <c r="N669" s="1023" cm="1">
        <f t="array" ref="N669">IFERROR(IF($A669=$A668,0,SUM(_xlfn._xlws.FILTER($E669:$E679,($A669:$A679=$A669)*($J669:$J679=N$42)))),0)</f>
        <v>0</v>
      </c>
    </row>
    <row r="670" spans="1:14" x14ac:dyDescent="0.3">
      <c r="E670" s="1022">
        <f ca="1">IFERROR(C670*D670*_xlfn.XLOOKUP(B670,TabCalc[Ticker],TabCalc[Scale]),0)</f>
        <v>0</v>
      </c>
      <c r="F670" s="1023" cm="1">
        <f t="array" ref="F670">IF(A670=A669,0,SUM(_xlfn._xlws.FILTER(E670:E679,A670:A679=A670)))</f>
        <v>0</v>
      </c>
      <c r="G670" s="1024">
        <f>IF(F670&lt;&gt;0,SUM($F$43:F670),0)</f>
        <v>0</v>
      </c>
      <c r="H670" s="1024" cm="1">
        <f t="array" ref="H670">IFERROR(IF(A670=A669,0,SUM(_xlfn._xlws.FILTER(E670:E679,(A670:A679=A670)*(E670:E679&gt;0)))),0)</f>
        <v>0</v>
      </c>
      <c r="I670" s="1024" cm="1">
        <f t="array" ref="I670">IFERROR(IF(A670=A669,0,SUM(_xlfn._xlws.FILTER(E670:E679,(A670:A679=A670)*(F670&lt;0)))),0)</f>
        <v>0</v>
      </c>
      <c r="J670" s="293" t="str">
        <f ca="1">IFERROR(_xlfn.XLOOKUP(B670,TabCalc[Ticker],TabCalc[Cur]),"")</f>
        <v/>
      </c>
      <c r="K670" s="1023" cm="1">
        <f t="array" ref="K670">IFERROR(IF($A670=$A669,0,SUM(_xlfn._xlws.FILTER($E670:$E680,($A670:$A680=$A670)*($J670:$J680=K$42)))),0)</f>
        <v>0</v>
      </c>
      <c r="L670" s="1023" cm="1">
        <f t="array" ref="L670">IFERROR(IF($A670=$A669,0,SUM(_xlfn._xlws.FILTER($E670:$E680,($A670:$A680=$A670)*($J670:$J680=L$42)))),0)</f>
        <v>0</v>
      </c>
      <c r="M670" s="1023" cm="1">
        <f t="array" ref="M670">IFERROR(IF($A670=$A669,0,SUM(_xlfn._xlws.FILTER($E670:$E680,($A670:$A680=$A670)*($J670:$J680=M$42)))),0)</f>
        <v>0</v>
      </c>
      <c r="N670" s="1023" cm="1">
        <f t="array" ref="N670">IFERROR(IF($A670=$A669,0,SUM(_xlfn._xlws.FILTER($E670:$E680,($A670:$A680=$A670)*($J670:$J680=N$42)))),0)</f>
        <v>0</v>
      </c>
    </row>
    <row r="671" spans="1:14" x14ac:dyDescent="0.3">
      <c r="E671" s="1022">
        <f ca="1">IFERROR(C671*D671*_xlfn.XLOOKUP(B671,TabCalc[Ticker],TabCalc[Scale]),0)</f>
        <v>0</v>
      </c>
      <c r="F671" s="1023" cm="1">
        <f t="array" ref="F671">IF(A671=A670,0,SUM(_xlfn._xlws.FILTER(E671:E680,A671:A680=A671)))</f>
        <v>0</v>
      </c>
      <c r="G671" s="1024">
        <f>IF(F671&lt;&gt;0,SUM($F$43:F671),0)</f>
        <v>0</v>
      </c>
      <c r="H671" s="1024" cm="1">
        <f t="array" ref="H671">IFERROR(IF(A671=A670,0,SUM(_xlfn._xlws.FILTER(E671:E680,(A671:A680=A671)*(E671:E680&gt;0)))),0)</f>
        <v>0</v>
      </c>
      <c r="I671" s="1024" cm="1">
        <f t="array" ref="I671">IFERROR(IF(A671=A670,0,SUM(_xlfn._xlws.FILTER(E671:E680,(A671:A680=A671)*(F671&lt;0)))),0)</f>
        <v>0</v>
      </c>
      <c r="J671" s="293" t="str">
        <f ca="1">IFERROR(_xlfn.XLOOKUP(B671,TabCalc[Ticker],TabCalc[Cur]),"")</f>
        <v/>
      </c>
      <c r="K671" s="1023" cm="1">
        <f t="array" ref="K671">IFERROR(IF($A671=$A670,0,SUM(_xlfn._xlws.FILTER($E671:$E681,($A671:$A681=$A671)*($J671:$J681=K$42)))),0)</f>
        <v>0</v>
      </c>
      <c r="L671" s="1023" cm="1">
        <f t="array" ref="L671">IFERROR(IF($A671=$A670,0,SUM(_xlfn._xlws.FILTER($E671:$E681,($A671:$A681=$A671)*($J671:$J681=L$42)))),0)</f>
        <v>0</v>
      </c>
      <c r="M671" s="1023" cm="1">
        <f t="array" ref="M671">IFERROR(IF($A671=$A670,0,SUM(_xlfn._xlws.FILTER($E671:$E681,($A671:$A681=$A671)*($J671:$J681=M$42)))),0)</f>
        <v>0</v>
      </c>
      <c r="N671" s="1023" cm="1">
        <f t="array" ref="N671">IFERROR(IF($A671=$A670,0,SUM(_xlfn._xlws.FILTER($E671:$E681,($A671:$A681=$A671)*($J671:$J681=N$42)))),0)</f>
        <v>0</v>
      </c>
    </row>
    <row r="672" spans="1:14" x14ac:dyDescent="0.3">
      <c r="E672" s="1022">
        <f ca="1">IFERROR(C672*D672*_xlfn.XLOOKUP(B672,TabCalc[Ticker],TabCalc[Scale]),0)</f>
        <v>0</v>
      </c>
      <c r="F672" s="1023" cm="1">
        <f t="array" ref="F672">IF(A672=A671,0,SUM(_xlfn._xlws.FILTER(E672:E681,A672:A681=A672)))</f>
        <v>0</v>
      </c>
      <c r="G672" s="1024">
        <f>IF(F672&lt;&gt;0,SUM($F$43:F672),0)</f>
        <v>0</v>
      </c>
      <c r="H672" s="1024" cm="1">
        <f t="array" ref="H672">IFERROR(IF(A672=A671,0,SUM(_xlfn._xlws.FILTER(E672:E681,(A672:A681=A672)*(E672:E681&gt;0)))),0)</f>
        <v>0</v>
      </c>
      <c r="I672" s="1024" cm="1">
        <f t="array" ref="I672">IFERROR(IF(A672=A671,0,SUM(_xlfn._xlws.FILTER(E672:E681,(A672:A681=A672)*(F672&lt;0)))),0)</f>
        <v>0</v>
      </c>
      <c r="J672" s="293" t="str">
        <f ca="1">IFERROR(_xlfn.XLOOKUP(B672,TabCalc[Ticker],TabCalc[Cur]),"")</f>
        <v/>
      </c>
      <c r="K672" s="1023" cm="1">
        <f t="array" ref="K672">IFERROR(IF($A672=$A671,0,SUM(_xlfn._xlws.FILTER($E672:$E682,($A672:$A682=$A672)*($J672:$J682=K$42)))),0)</f>
        <v>0</v>
      </c>
      <c r="L672" s="1023" cm="1">
        <f t="array" ref="L672">IFERROR(IF($A672=$A671,0,SUM(_xlfn._xlws.FILTER($E672:$E682,($A672:$A682=$A672)*($J672:$J682=L$42)))),0)</f>
        <v>0</v>
      </c>
      <c r="M672" s="1023" cm="1">
        <f t="array" ref="M672">IFERROR(IF($A672=$A671,0,SUM(_xlfn._xlws.FILTER($E672:$E682,($A672:$A682=$A672)*($J672:$J682=M$42)))),0)</f>
        <v>0</v>
      </c>
      <c r="N672" s="1023" cm="1">
        <f t="array" ref="N672">IFERROR(IF($A672=$A671,0,SUM(_xlfn._xlws.FILTER($E672:$E682,($A672:$A682=$A672)*($J672:$J682=N$42)))),0)</f>
        <v>0</v>
      </c>
    </row>
    <row r="673" spans="5:14" x14ac:dyDescent="0.3">
      <c r="E673" s="1022">
        <f ca="1">IFERROR(C673*D673*_xlfn.XLOOKUP(B673,TabCalc[Ticker],TabCalc[Scale]),0)</f>
        <v>0</v>
      </c>
      <c r="F673" s="1023" cm="1">
        <f t="array" ref="F673">IF(A673=A672,0,SUM(_xlfn._xlws.FILTER(E673:E682,A673:A682=A673)))</f>
        <v>0</v>
      </c>
      <c r="G673" s="1024">
        <f>IF(F673&lt;&gt;0,SUM($F$43:F673),0)</f>
        <v>0</v>
      </c>
      <c r="H673" s="1024" cm="1">
        <f t="array" ref="H673">IFERROR(IF(A673=A672,0,SUM(_xlfn._xlws.FILTER(E673:E682,(A673:A682=A673)*(E673:E682&gt;0)))),0)</f>
        <v>0</v>
      </c>
      <c r="I673" s="1024" cm="1">
        <f t="array" ref="I673">IFERROR(IF(A673=A672,0,SUM(_xlfn._xlws.FILTER(E673:E682,(A673:A682=A673)*(F673&lt;0)))),0)</f>
        <v>0</v>
      </c>
      <c r="J673" s="293" t="str">
        <f ca="1">IFERROR(_xlfn.XLOOKUP(B673,TabCalc[Ticker],TabCalc[Cur]),"")</f>
        <v/>
      </c>
      <c r="K673" s="1023" cm="1">
        <f t="array" ref="K673">IFERROR(IF($A673=$A672,0,SUM(_xlfn._xlws.FILTER($E673:$E683,($A673:$A683=$A673)*($J673:$J683=K$42)))),0)</f>
        <v>0</v>
      </c>
      <c r="L673" s="1023" cm="1">
        <f t="array" ref="L673">IFERROR(IF($A673=$A672,0,SUM(_xlfn._xlws.FILTER($E673:$E683,($A673:$A683=$A673)*($J673:$J683=L$42)))),0)</f>
        <v>0</v>
      </c>
      <c r="M673" s="1023" cm="1">
        <f t="array" ref="M673">IFERROR(IF($A673=$A672,0,SUM(_xlfn._xlws.FILTER($E673:$E683,($A673:$A683=$A673)*($J673:$J683=M$42)))),0)</f>
        <v>0</v>
      </c>
      <c r="N673" s="1023" cm="1">
        <f t="array" ref="N673">IFERROR(IF($A673=$A672,0,SUM(_xlfn._xlws.FILTER($E673:$E683,($A673:$A683=$A673)*($J673:$J683=N$42)))),0)</f>
        <v>0</v>
      </c>
    </row>
    <row r="674" spans="5:14" x14ac:dyDescent="0.3">
      <c r="E674" s="1022">
        <f ca="1">IFERROR(C674*D674*_xlfn.XLOOKUP(B674,TabCalc[Ticker],TabCalc[Scale]),0)</f>
        <v>0</v>
      </c>
      <c r="F674" s="1023" cm="1">
        <f t="array" ref="F674">IF(A674=A673,0,SUM(_xlfn._xlws.FILTER(E674:E683,A674:A683=A674)))</f>
        <v>0</v>
      </c>
      <c r="G674" s="1024">
        <f>IF(F674&lt;&gt;0,SUM($F$43:F674),0)</f>
        <v>0</v>
      </c>
      <c r="H674" s="1024" cm="1">
        <f t="array" ref="H674">IFERROR(IF(A674=A673,0,SUM(_xlfn._xlws.FILTER(E674:E683,(A674:A683=A674)*(E674:E683&gt;0)))),0)</f>
        <v>0</v>
      </c>
      <c r="I674" s="1024" cm="1">
        <f t="array" ref="I674">IFERROR(IF(A674=A673,0,SUM(_xlfn._xlws.FILTER(E674:E683,(A674:A683=A674)*(F674&lt;0)))),0)</f>
        <v>0</v>
      </c>
      <c r="J674" s="293" t="str">
        <f ca="1">IFERROR(_xlfn.XLOOKUP(B674,TabCalc[Ticker],TabCalc[Cur]),"")</f>
        <v/>
      </c>
      <c r="K674" s="1023" cm="1">
        <f t="array" ref="K674">IFERROR(IF($A674=$A673,0,SUM(_xlfn._xlws.FILTER($E674:$E684,($A674:$A684=$A674)*($J674:$J684=K$42)))),0)</f>
        <v>0</v>
      </c>
      <c r="L674" s="1023" cm="1">
        <f t="array" ref="L674">IFERROR(IF($A674=$A673,0,SUM(_xlfn._xlws.FILTER($E674:$E684,($A674:$A684=$A674)*($J674:$J684=L$42)))),0)</f>
        <v>0</v>
      </c>
      <c r="M674" s="1023" cm="1">
        <f t="array" ref="M674">IFERROR(IF($A674=$A673,0,SUM(_xlfn._xlws.FILTER($E674:$E684,($A674:$A684=$A674)*($J674:$J684=M$42)))),0)</f>
        <v>0</v>
      </c>
      <c r="N674" s="1023" cm="1">
        <f t="array" ref="N674">IFERROR(IF($A674=$A673,0,SUM(_xlfn._xlws.FILTER($E674:$E684,($A674:$A684=$A674)*($J674:$J684=N$42)))),0)</f>
        <v>0</v>
      </c>
    </row>
    <row r="675" spans="5:14" x14ac:dyDescent="0.3">
      <c r="E675" s="1022">
        <f ca="1">IFERROR(C675*D675*_xlfn.XLOOKUP(B675,TabCalc[Ticker],TabCalc[Scale]),0)</f>
        <v>0</v>
      </c>
      <c r="F675" s="1023" cm="1">
        <f t="array" ref="F675">IF(A675=A674,0,SUM(_xlfn._xlws.FILTER(E675:E684,A675:A684=A675)))</f>
        <v>0</v>
      </c>
      <c r="G675" s="1024">
        <f>IF(F675&lt;&gt;0,SUM($F$43:F675),0)</f>
        <v>0</v>
      </c>
      <c r="H675" s="1024" cm="1">
        <f t="array" ref="H675">IFERROR(IF(A675=A674,0,SUM(_xlfn._xlws.FILTER(E675:E684,(A675:A684=A675)*(E675:E684&gt;0)))),0)</f>
        <v>0</v>
      </c>
      <c r="I675" s="1024" cm="1">
        <f t="array" ref="I675">IFERROR(IF(A675=A674,0,SUM(_xlfn._xlws.FILTER(E675:E684,(A675:A684=A675)*(F675&lt;0)))),0)</f>
        <v>0</v>
      </c>
      <c r="J675" s="293" t="str">
        <f ca="1">IFERROR(_xlfn.XLOOKUP(B675,TabCalc[Ticker],TabCalc[Cur]),"")</f>
        <v/>
      </c>
      <c r="K675" s="1023" cm="1">
        <f t="array" ref="K675">IFERROR(IF($A675=$A674,0,SUM(_xlfn._xlws.FILTER($E675:$E685,($A675:$A685=$A675)*($J675:$J685=K$42)))),0)</f>
        <v>0</v>
      </c>
      <c r="L675" s="1023" cm="1">
        <f t="array" ref="L675">IFERROR(IF($A675=$A674,0,SUM(_xlfn._xlws.FILTER($E675:$E685,($A675:$A685=$A675)*($J675:$J685=L$42)))),0)</f>
        <v>0</v>
      </c>
      <c r="M675" s="1023" cm="1">
        <f t="array" ref="M675">IFERROR(IF($A675=$A674,0,SUM(_xlfn._xlws.FILTER($E675:$E685,($A675:$A685=$A675)*($J675:$J685=M$42)))),0)</f>
        <v>0</v>
      </c>
      <c r="N675" s="1023" cm="1">
        <f t="array" ref="N675">IFERROR(IF($A675=$A674,0,SUM(_xlfn._xlws.FILTER($E675:$E685,($A675:$A685=$A675)*($J675:$J685=N$42)))),0)</f>
        <v>0</v>
      </c>
    </row>
    <row r="676" spans="5:14" x14ac:dyDescent="0.3">
      <c r="E676" s="1022">
        <f ca="1">IFERROR(C676*D676*_xlfn.XLOOKUP(B676,TabCalc[Ticker],TabCalc[Scale]),0)</f>
        <v>0</v>
      </c>
      <c r="F676" s="1023" cm="1">
        <f t="array" ref="F676">IF(A676=A675,0,SUM(_xlfn._xlws.FILTER(E676:E685,A676:A685=A676)))</f>
        <v>0</v>
      </c>
      <c r="G676" s="1024">
        <f>IF(F676&lt;&gt;0,SUM($F$43:F676),0)</f>
        <v>0</v>
      </c>
      <c r="H676" s="1024" cm="1">
        <f t="array" ref="H676">IFERROR(IF(A676=A675,0,SUM(_xlfn._xlws.FILTER(E676:E685,(A676:A685=A676)*(E676:E685&gt;0)))),0)</f>
        <v>0</v>
      </c>
      <c r="I676" s="1024" cm="1">
        <f t="array" ref="I676">IFERROR(IF(A676=A675,0,SUM(_xlfn._xlws.FILTER(E676:E685,(A676:A685=A676)*(F676&lt;0)))),0)</f>
        <v>0</v>
      </c>
      <c r="J676" s="293" t="str">
        <f ca="1">IFERROR(_xlfn.XLOOKUP(B676,TabCalc[Ticker],TabCalc[Cur]),"")</f>
        <v/>
      </c>
      <c r="K676" s="1023" cm="1">
        <f t="array" ref="K676">IFERROR(IF($A676=$A675,0,SUM(_xlfn._xlws.FILTER($E676:$E686,($A676:$A686=$A676)*($J676:$J686=K$42)))),0)</f>
        <v>0</v>
      </c>
      <c r="L676" s="1023" cm="1">
        <f t="array" ref="L676">IFERROR(IF($A676=$A675,0,SUM(_xlfn._xlws.FILTER($E676:$E686,($A676:$A686=$A676)*($J676:$J686=L$42)))),0)</f>
        <v>0</v>
      </c>
      <c r="M676" s="1023" cm="1">
        <f t="array" ref="M676">IFERROR(IF($A676=$A675,0,SUM(_xlfn._xlws.FILTER($E676:$E686,($A676:$A686=$A676)*($J676:$J686=M$42)))),0)</f>
        <v>0</v>
      </c>
      <c r="N676" s="1023" cm="1">
        <f t="array" ref="N676">IFERROR(IF($A676=$A675,0,SUM(_xlfn._xlws.FILTER($E676:$E686,($A676:$A686=$A676)*($J676:$J686=N$42)))),0)</f>
        <v>0</v>
      </c>
    </row>
    <row r="677" spans="5:14" x14ac:dyDescent="0.3">
      <c r="E677" s="1022">
        <f ca="1">IFERROR(C677*D677*_xlfn.XLOOKUP(B677,TabCalc[Ticker],TabCalc[Scale]),0)</f>
        <v>0</v>
      </c>
      <c r="F677" s="1023" cm="1">
        <f t="array" ref="F677">IF(A677=A676,0,SUM(_xlfn._xlws.FILTER(E677:E686,A677:A686=A677)))</f>
        <v>0</v>
      </c>
      <c r="G677" s="1024">
        <f>IF(F677&lt;&gt;0,SUM($F$43:F677),0)</f>
        <v>0</v>
      </c>
      <c r="H677" s="1024" cm="1">
        <f t="array" ref="H677">IFERROR(IF(A677=A676,0,SUM(_xlfn._xlws.FILTER(E677:E686,(A677:A686=A677)*(E677:E686&gt;0)))),0)</f>
        <v>0</v>
      </c>
      <c r="I677" s="1024" cm="1">
        <f t="array" ref="I677">IFERROR(IF(A677=A676,0,SUM(_xlfn._xlws.FILTER(E677:E686,(A677:A686=A677)*(F677&lt;0)))),0)</f>
        <v>0</v>
      </c>
      <c r="J677" s="293" t="str">
        <f ca="1">IFERROR(_xlfn.XLOOKUP(B677,TabCalc[Ticker],TabCalc[Cur]),"")</f>
        <v/>
      </c>
      <c r="K677" s="1023" cm="1">
        <f t="array" ref="K677">IFERROR(IF($A677=$A676,0,SUM(_xlfn._xlws.FILTER($E677:$E687,($A677:$A687=$A677)*($J677:$J687=K$42)))),0)</f>
        <v>0</v>
      </c>
      <c r="L677" s="1023" cm="1">
        <f t="array" ref="L677">IFERROR(IF($A677=$A676,0,SUM(_xlfn._xlws.FILTER($E677:$E687,($A677:$A687=$A677)*($J677:$J687=L$42)))),0)</f>
        <v>0</v>
      </c>
      <c r="M677" s="1023" cm="1">
        <f t="array" ref="M677">IFERROR(IF($A677=$A676,0,SUM(_xlfn._xlws.FILTER($E677:$E687,($A677:$A687=$A677)*($J677:$J687=M$42)))),0)</f>
        <v>0</v>
      </c>
      <c r="N677" s="1023" cm="1">
        <f t="array" ref="N677">IFERROR(IF($A677=$A676,0,SUM(_xlfn._xlws.FILTER($E677:$E687,($A677:$A687=$A677)*($J677:$J687=N$42)))),0)</f>
        <v>0</v>
      </c>
    </row>
    <row r="678" spans="5:14" x14ac:dyDescent="0.3">
      <c r="E678" s="1022">
        <f ca="1">IFERROR(C678*D678*_xlfn.XLOOKUP(B678,TabCalc[Ticker],TabCalc[Scale]),0)</f>
        <v>0</v>
      </c>
      <c r="F678" s="1023" cm="1">
        <f t="array" ref="F678">IF(A678=A677,0,SUM(_xlfn._xlws.FILTER(E678:E687,A678:A687=A678)))</f>
        <v>0</v>
      </c>
      <c r="G678" s="1024">
        <f>IF(F678&lt;&gt;0,SUM($F$43:F678),0)</f>
        <v>0</v>
      </c>
      <c r="H678" s="1024" cm="1">
        <f t="array" ref="H678">IFERROR(IF(A678=A677,0,SUM(_xlfn._xlws.FILTER(E678:E687,(A678:A687=A678)*(E678:E687&gt;0)))),0)</f>
        <v>0</v>
      </c>
      <c r="I678" s="1024" cm="1">
        <f t="array" ref="I678">IFERROR(IF(A678=A677,0,SUM(_xlfn._xlws.FILTER(E678:E687,(A678:A687=A678)*(F678&lt;0)))),0)</f>
        <v>0</v>
      </c>
      <c r="J678" s="293" t="str">
        <f ca="1">IFERROR(_xlfn.XLOOKUP(B678,TabCalc[Ticker],TabCalc[Cur]),"")</f>
        <v/>
      </c>
      <c r="K678" s="1023" cm="1">
        <f t="array" ref="K678">IFERROR(IF($A678=$A677,0,SUM(_xlfn._xlws.FILTER($E678:$E688,($A678:$A688=$A678)*($J678:$J688=K$42)))),0)</f>
        <v>0</v>
      </c>
      <c r="L678" s="1023" cm="1">
        <f t="array" ref="L678">IFERROR(IF($A678=$A677,0,SUM(_xlfn._xlws.FILTER($E678:$E688,($A678:$A688=$A678)*($J678:$J688=L$42)))),0)</f>
        <v>0</v>
      </c>
      <c r="M678" s="1023" cm="1">
        <f t="array" ref="M678">IFERROR(IF($A678=$A677,0,SUM(_xlfn._xlws.FILTER($E678:$E688,($A678:$A688=$A678)*($J678:$J688=M$42)))),0)</f>
        <v>0</v>
      </c>
      <c r="N678" s="1023" cm="1">
        <f t="array" ref="N678">IFERROR(IF($A678=$A677,0,SUM(_xlfn._xlws.FILTER($E678:$E688,($A678:$A688=$A678)*($J678:$J688=N$42)))),0)</f>
        <v>0</v>
      </c>
    </row>
    <row r="679" spans="5:14" x14ac:dyDescent="0.3">
      <c r="E679" s="1022">
        <f ca="1">IFERROR(C679*D679*_xlfn.XLOOKUP(B679,TabCalc[Ticker],TabCalc[Scale]),0)</f>
        <v>0</v>
      </c>
      <c r="F679" s="1023" cm="1">
        <f t="array" ref="F679">IF(A679=A678,0,SUM(_xlfn._xlws.FILTER(E679:E688,A679:A688=A679)))</f>
        <v>0</v>
      </c>
      <c r="G679" s="1024">
        <f>IF(F679&lt;&gt;0,SUM($F$43:F679),0)</f>
        <v>0</v>
      </c>
      <c r="H679" s="1024" cm="1">
        <f t="array" ref="H679">IFERROR(IF(A679=A678,0,SUM(_xlfn._xlws.FILTER(E679:E688,(A679:A688=A679)*(E679:E688&gt;0)))),0)</f>
        <v>0</v>
      </c>
      <c r="I679" s="1024" cm="1">
        <f t="array" ref="I679">IFERROR(IF(A679=A678,0,SUM(_xlfn._xlws.FILTER(E679:E688,(A679:A688=A679)*(F679&lt;0)))),0)</f>
        <v>0</v>
      </c>
      <c r="J679" s="293" t="str">
        <f ca="1">IFERROR(_xlfn.XLOOKUP(B679,TabCalc[Ticker],TabCalc[Cur]),"")</f>
        <v/>
      </c>
      <c r="K679" s="1023" cm="1">
        <f t="array" ref="K679">IFERROR(IF($A679=$A678,0,SUM(_xlfn._xlws.FILTER($E679:$E689,($A679:$A689=$A679)*($J679:$J689=K$42)))),0)</f>
        <v>0</v>
      </c>
      <c r="L679" s="1023" cm="1">
        <f t="array" ref="L679">IFERROR(IF($A679=$A678,0,SUM(_xlfn._xlws.FILTER($E679:$E689,($A679:$A689=$A679)*($J679:$J689=L$42)))),0)</f>
        <v>0</v>
      </c>
      <c r="M679" s="1023" cm="1">
        <f t="array" ref="M679">IFERROR(IF($A679=$A678,0,SUM(_xlfn._xlws.FILTER($E679:$E689,($A679:$A689=$A679)*($J679:$J689=M$42)))),0)</f>
        <v>0</v>
      </c>
      <c r="N679" s="1023" cm="1">
        <f t="array" ref="N679">IFERROR(IF($A679=$A678,0,SUM(_xlfn._xlws.FILTER($E679:$E689,($A679:$A689=$A679)*($J679:$J689=N$42)))),0)</f>
        <v>0</v>
      </c>
    </row>
    <row r="680" spans="5:14" x14ac:dyDescent="0.3">
      <c r="E680" s="1022">
        <f ca="1">IFERROR(C680*D680*_xlfn.XLOOKUP(B680,TabCalc[Ticker],TabCalc[Scale]),0)</f>
        <v>0</v>
      </c>
      <c r="F680" s="1023" cm="1">
        <f t="array" ref="F680">IF(A680=A679,0,SUM(_xlfn._xlws.FILTER(E680:E689,A680:A689=A680)))</f>
        <v>0</v>
      </c>
      <c r="G680" s="1024">
        <f>IF(F680&lt;&gt;0,SUM($F$43:F680),0)</f>
        <v>0</v>
      </c>
      <c r="H680" s="1024" cm="1">
        <f t="array" ref="H680">IFERROR(IF(A680=A679,0,SUM(_xlfn._xlws.FILTER(E680:E689,(A680:A689=A680)*(E680:E689&gt;0)))),0)</f>
        <v>0</v>
      </c>
      <c r="I680" s="1024" cm="1">
        <f t="array" ref="I680">IFERROR(IF(A680=A679,0,SUM(_xlfn._xlws.FILTER(E680:E689,(A680:A689=A680)*(F680&lt;0)))),0)</f>
        <v>0</v>
      </c>
      <c r="J680" s="293" t="str">
        <f ca="1">IFERROR(_xlfn.XLOOKUP(B680,TabCalc[Ticker],TabCalc[Cur]),"")</f>
        <v/>
      </c>
      <c r="K680" s="1023" cm="1">
        <f t="array" ref="K680">IFERROR(IF($A680=$A679,0,SUM(_xlfn._xlws.FILTER($E680:$E690,($A680:$A690=$A680)*($J680:$J690=K$42)))),0)</f>
        <v>0</v>
      </c>
      <c r="L680" s="1023" cm="1">
        <f t="array" ref="L680">IFERROR(IF($A680=$A679,0,SUM(_xlfn._xlws.FILTER($E680:$E690,($A680:$A690=$A680)*($J680:$J690=L$42)))),0)</f>
        <v>0</v>
      </c>
      <c r="M680" s="1023" cm="1">
        <f t="array" ref="M680">IFERROR(IF($A680=$A679,0,SUM(_xlfn._xlws.FILTER($E680:$E690,($A680:$A690=$A680)*($J680:$J690=M$42)))),0)</f>
        <v>0</v>
      </c>
      <c r="N680" s="1023" cm="1">
        <f t="array" ref="N680">IFERROR(IF($A680=$A679,0,SUM(_xlfn._xlws.FILTER($E680:$E690,($A680:$A690=$A680)*($J680:$J690=N$42)))),0)</f>
        <v>0</v>
      </c>
    </row>
    <row r="681" spans="5:14" x14ac:dyDescent="0.3">
      <c r="E681" s="1022">
        <f ca="1">IFERROR(C681*D681*_xlfn.XLOOKUP(B681,TabCalc[Ticker],TabCalc[Scale]),0)</f>
        <v>0</v>
      </c>
      <c r="F681" s="1023" cm="1">
        <f t="array" ref="F681">IF(A681=A680,0,SUM(_xlfn._xlws.FILTER(E681:E690,A681:A690=A681)))</f>
        <v>0</v>
      </c>
      <c r="G681" s="1024">
        <f>IF(F681&lt;&gt;0,SUM($F$43:F681),0)</f>
        <v>0</v>
      </c>
      <c r="H681" s="1024" cm="1">
        <f t="array" ref="H681">IFERROR(IF(A681=A680,0,SUM(_xlfn._xlws.FILTER(E681:E690,(A681:A690=A681)*(E681:E690&gt;0)))),0)</f>
        <v>0</v>
      </c>
      <c r="I681" s="1024" cm="1">
        <f t="array" ref="I681">IFERROR(IF(A681=A680,0,SUM(_xlfn._xlws.FILTER(E681:E690,(A681:A690=A681)*(F681&lt;0)))),0)</f>
        <v>0</v>
      </c>
      <c r="J681" s="293" t="str">
        <f ca="1">IFERROR(_xlfn.XLOOKUP(B681,TabCalc[Ticker],TabCalc[Cur]),"")</f>
        <v/>
      </c>
      <c r="K681" s="1023" cm="1">
        <f t="array" ref="K681">IFERROR(IF($A681=$A680,0,SUM(_xlfn._xlws.FILTER($E681:$E691,($A681:$A691=$A681)*($J681:$J691=K$42)))),0)</f>
        <v>0</v>
      </c>
      <c r="L681" s="1023" cm="1">
        <f t="array" ref="L681">IFERROR(IF($A681=$A680,0,SUM(_xlfn._xlws.FILTER($E681:$E691,($A681:$A691=$A681)*($J681:$J691=L$42)))),0)</f>
        <v>0</v>
      </c>
      <c r="M681" s="1023" cm="1">
        <f t="array" ref="M681">IFERROR(IF($A681=$A680,0,SUM(_xlfn._xlws.FILTER($E681:$E691,($A681:$A691=$A681)*($J681:$J691=M$42)))),0)</f>
        <v>0</v>
      </c>
      <c r="N681" s="1023" cm="1">
        <f t="array" ref="N681">IFERROR(IF($A681=$A680,0,SUM(_xlfn._xlws.FILTER($E681:$E691,($A681:$A691=$A681)*($J681:$J691=N$42)))),0)</f>
        <v>0</v>
      </c>
    </row>
    <row r="682" spans="5:14" x14ac:dyDescent="0.3">
      <c r="E682" s="1022">
        <f ca="1">IFERROR(C682*D682*_xlfn.XLOOKUP(B682,TabCalc[Ticker],TabCalc[Scale]),0)</f>
        <v>0</v>
      </c>
      <c r="F682" s="1023" cm="1">
        <f t="array" ref="F682">IF(A682=A681,0,SUM(_xlfn._xlws.FILTER(E682:E691,A682:A691=A682)))</f>
        <v>0</v>
      </c>
      <c r="G682" s="1024">
        <f>IF(F682&lt;&gt;0,SUM($F$43:F682),0)</f>
        <v>0</v>
      </c>
      <c r="H682" s="1024" cm="1">
        <f t="array" ref="H682">IFERROR(IF(A682=A681,0,SUM(_xlfn._xlws.FILTER(E682:E691,(A682:A691=A682)*(E682:E691&gt;0)))),0)</f>
        <v>0</v>
      </c>
      <c r="I682" s="1024" cm="1">
        <f t="array" ref="I682">IFERROR(IF(A682=A681,0,SUM(_xlfn._xlws.FILTER(E682:E691,(A682:A691=A682)*(F682&lt;0)))),0)</f>
        <v>0</v>
      </c>
      <c r="J682" s="293" t="str">
        <f ca="1">IFERROR(_xlfn.XLOOKUP(B682,TabCalc[Ticker],TabCalc[Cur]),"")</f>
        <v/>
      </c>
      <c r="K682" s="1023" cm="1">
        <f t="array" ref="K682">IFERROR(IF($A682=$A681,0,SUM(_xlfn._xlws.FILTER($E682:$E692,($A682:$A692=$A682)*($J682:$J692=K$42)))),0)</f>
        <v>0</v>
      </c>
      <c r="L682" s="1023" cm="1">
        <f t="array" ref="L682">IFERROR(IF($A682=$A681,0,SUM(_xlfn._xlws.FILTER($E682:$E692,($A682:$A692=$A682)*($J682:$J692=L$42)))),0)</f>
        <v>0</v>
      </c>
      <c r="M682" s="1023" cm="1">
        <f t="array" ref="M682">IFERROR(IF($A682=$A681,0,SUM(_xlfn._xlws.FILTER($E682:$E692,($A682:$A692=$A682)*($J682:$J692=M$42)))),0)</f>
        <v>0</v>
      </c>
      <c r="N682" s="1023" cm="1">
        <f t="array" ref="N682">IFERROR(IF($A682=$A681,0,SUM(_xlfn._xlws.FILTER($E682:$E692,($A682:$A692=$A682)*($J682:$J692=N$42)))),0)</f>
        <v>0</v>
      </c>
    </row>
    <row r="683" spans="5:14" x14ac:dyDescent="0.3">
      <c r="E683" s="1022">
        <f ca="1">IFERROR(C683*D683*_xlfn.XLOOKUP(B683,TabCalc[Ticker],TabCalc[Scale]),0)</f>
        <v>0</v>
      </c>
      <c r="F683" s="1023" cm="1">
        <f t="array" ref="F683">IF(A683=A682,0,SUM(_xlfn._xlws.FILTER(E683:E692,A683:A692=A683)))</f>
        <v>0</v>
      </c>
      <c r="G683" s="1024">
        <f>IF(F683&lt;&gt;0,SUM($F$43:F683),0)</f>
        <v>0</v>
      </c>
      <c r="H683" s="1024" cm="1">
        <f t="array" ref="H683">IFERROR(IF(A683=A682,0,SUM(_xlfn._xlws.FILTER(E683:E692,(A683:A692=A683)*(E683:E692&gt;0)))),0)</f>
        <v>0</v>
      </c>
      <c r="I683" s="1024" cm="1">
        <f t="array" ref="I683">IFERROR(IF(A683=A682,0,SUM(_xlfn._xlws.FILTER(E683:E692,(A683:A692=A683)*(F683&lt;0)))),0)</f>
        <v>0</v>
      </c>
      <c r="J683" s="293" t="str">
        <f ca="1">IFERROR(_xlfn.XLOOKUP(B683,TabCalc[Ticker],TabCalc[Cur]),"")</f>
        <v/>
      </c>
      <c r="K683" s="1023" cm="1">
        <f t="array" ref="K683">IFERROR(IF($A683=$A682,0,SUM(_xlfn._xlws.FILTER($E683:$E693,($A683:$A693=$A683)*($J683:$J693=K$42)))),0)</f>
        <v>0</v>
      </c>
      <c r="L683" s="1023" cm="1">
        <f t="array" ref="L683">IFERROR(IF($A683=$A682,0,SUM(_xlfn._xlws.FILTER($E683:$E693,($A683:$A693=$A683)*($J683:$J693=L$42)))),0)</f>
        <v>0</v>
      </c>
      <c r="M683" s="1023" cm="1">
        <f t="array" ref="M683">IFERROR(IF($A683=$A682,0,SUM(_xlfn._xlws.FILTER($E683:$E693,($A683:$A693=$A683)*($J683:$J693=M$42)))),0)</f>
        <v>0</v>
      </c>
      <c r="N683" s="1023" cm="1">
        <f t="array" ref="N683">IFERROR(IF($A683=$A682,0,SUM(_xlfn._xlws.FILTER($E683:$E693,($A683:$A693=$A683)*($J683:$J693=N$42)))),0)</f>
        <v>0</v>
      </c>
    </row>
    <row r="684" spans="5:14" x14ac:dyDescent="0.3">
      <c r="E684" s="1022">
        <f ca="1">IFERROR(C684*D684*_xlfn.XLOOKUP(B684,TabCalc[Ticker],TabCalc[Scale]),0)</f>
        <v>0</v>
      </c>
      <c r="F684" s="1023" cm="1">
        <f t="array" ref="F684">IF(A684=A683,0,SUM(_xlfn._xlws.FILTER(E684:E693,A684:A693=A684)))</f>
        <v>0</v>
      </c>
      <c r="G684" s="1024">
        <f>IF(F684&lt;&gt;0,SUM($F$43:F684),0)</f>
        <v>0</v>
      </c>
      <c r="H684" s="1024" cm="1">
        <f t="array" ref="H684">IFERROR(IF(A684=A683,0,SUM(_xlfn._xlws.FILTER(E684:E693,(A684:A693=A684)*(E684:E693&gt;0)))),0)</f>
        <v>0</v>
      </c>
      <c r="I684" s="1024" cm="1">
        <f t="array" ref="I684">IFERROR(IF(A684=A683,0,SUM(_xlfn._xlws.FILTER(E684:E693,(A684:A693=A684)*(F684&lt;0)))),0)</f>
        <v>0</v>
      </c>
      <c r="J684" s="293" t="str">
        <f ca="1">IFERROR(_xlfn.XLOOKUP(B684,TabCalc[Ticker],TabCalc[Cur]),"")</f>
        <v/>
      </c>
      <c r="K684" s="1023" cm="1">
        <f t="array" ref="K684">IFERROR(IF($A684=$A683,0,SUM(_xlfn._xlws.FILTER($E684:$E694,($A684:$A694=$A684)*($J684:$J694=K$42)))),0)</f>
        <v>0</v>
      </c>
      <c r="L684" s="1023" cm="1">
        <f t="array" ref="L684">IFERROR(IF($A684=$A683,0,SUM(_xlfn._xlws.FILTER($E684:$E694,($A684:$A694=$A684)*($J684:$J694=L$42)))),0)</f>
        <v>0</v>
      </c>
      <c r="M684" s="1023" cm="1">
        <f t="array" ref="M684">IFERROR(IF($A684=$A683,0,SUM(_xlfn._xlws.FILTER($E684:$E694,($A684:$A694=$A684)*($J684:$J694=M$42)))),0)</f>
        <v>0</v>
      </c>
      <c r="N684" s="1023" cm="1">
        <f t="array" ref="N684">IFERROR(IF($A684=$A683,0,SUM(_xlfn._xlws.FILTER($E684:$E694,($A684:$A694=$A684)*($J684:$J694=N$42)))),0)</f>
        <v>0</v>
      </c>
    </row>
    <row r="685" spans="5:14" x14ac:dyDescent="0.3">
      <c r="E685" s="1022">
        <f ca="1">IFERROR(C685*D685*_xlfn.XLOOKUP(B685,TabCalc[Ticker],TabCalc[Scale]),0)</f>
        <v>0</v>
      </c>
      <c r="F685" s="1023" cm="1">
        <f t="array" ref="F685">IF(A685=A684,0,SUM(_xlfn._xlws.FILTER(E685:E694,A685:A694=A685)))</f>
        <v>0</v>
      </c>
      <c r="G685" s="1024">
        <f>IF(F685&lt;&gt;0,SUM($F$43:F685),0)</f>
        <v>0</v>
      </c>
      <c r="H685" s="1024" cm="1">
        <f t="array" ref="H685">IFERROR(IF(A685=A684,0,SUM(_xlfn._xlws.FILTER(E685:E694,(A685:A694=A685)*(E685:E694&gt;0)))),0)</f>
        <v>0</v>
      </c>
      <c r="I685" s="1024" cm="1">
        <f t="array" ref="I685">IFERROR(IF(A685=A684,0,SUM(_xlfn._xlws.FILTER(E685:E694,(A685:A694=A685)*(F685&lt;0)))),0)</f>
        <v>0</v>
      </c>
      <c r="J685" s="293" t="str">
        <f ca="1">IFERROR(_xlfn.XLOOKUP(B685,TabCalc[Ticker],TabCalc[Cur]),"")</f>
        <v/>
      </c>
      <c r="K685" s="1023" cm="1">
        <f t="array" ref="K685">IFERROR(IF($A685=$A684,0,SUM(_xlfn._xlws.FILTER($E685:$E695,($A685:$A695=$A685)*($J685:$J695=K$42)))),0)</f>
        <v>0</v>
      </c>
      <c r="L685" s="1023" cm="1">
        <f t="array" ref="L685">IFERROR(IF($A685=$A684,0,SUM(_xlfn._xlws.FILTER($E685:$E695,($A685:$A695=$A685)*($J685:$J695=L$42)))),0)</f>
        <v>0</v>
      </c>
      <c r="M685" s="1023" cm="1">
        <f t="array" ref="M685">IFERROR(IF($A685=$A684,0,SUM(_xlfn._xlws.FILTER($E685:$E695,($A685:$A695=$A685)*($J685:$J695=M$42)))),0)</f>
        <v>0</v>
      </c>
      <c r="N685" s="1023" cm="1">
        <f t="array" ref="N685">IFERROR(IF($A685=$A684,0,SUM(_xlfn._xlws.FILTER($E685:$E695,($A685:$A695=$A685)*($J685:$J695=N$42)))),0)</f>
        <v>0</v>
      </c>
    </row>
    <row r="686" spans="5:14" x14ac:dyDescent="0.3">
      <c r="E686" s="1022">
        <f ca="1">IFERROR(C686*D686*_xlfn.XLOOKUP(B686,TabCalc[Ticker],TabCalc[Scale]),0)</f>
        <v>0</v>
      </c>
      <c r="F686" s="1023" cm="1">
        <f t="array" ref="F686">IF(A686=A685,0,SUM(_xlfn._xlws.FILTER(E686:E695,A686:A695=A686)))</f>
        <v>0</v>
      </c>
      <c r="G686" s="1024">
        <f>IF(F686&lt;&gt;0,SUM($F$43:F686),0)</f>
        <v>0</v>
      </c>
      <c r="H686" s="1024" cm="1">
        <f t="array" ref="H686">IFERROR(IF(A686=A685,0,SUM(_xlfn._xlws.FILTER(E686:E695,(A686:A695=A686)*(E686:E695&gt;0)))),0)</f>
        <v>0</v>
      </c>
      <c r="I686" s="1024" cm="1">
        <f t="array" ref="I686">IFERROR(IF(A686=A685,0,SUM(_xlfn._xlws.FILTER(E686:E695,(A686:A695=A686)*(F686&lt;0)))),0)</f>
        <v>0</v>
      </c>
      <c r="J686" s="293" t="str">
        <f ca="1">IFERROR(_xlfn.XLOOKUP(B686,TabCalc[Ticker],TabCalc[Cur]),"")</f>
        <v/>
      </c>
      <c r="K686" s="1023" cm="1">
        <f t="array" ref="K686">IFERROR(IF($A686=$A685,0,SUM(_xlfn._xlws.FILTER($E686:$E696,($A686:$A696=$A686)*($J686:$J696=K$42)))),0)</f>
        <v>0</v>
      </c>
      <c r="L686" s="1023" cm="1">
        <f t="array" ref="L686">IFERROR(IF($A686=$A685,0,SUM(_xlfn._xlws.FILTER($E686:$E696,($A686:$A696=$A686)*($J686:$J696=L$42)))),0)</f>
        <v>0</v>
      </c>
      <c r="M686" s="1023" cm="1">
        <f t="array" ref="M686">IFERROR(IF($A686=$A685,0,SUM(_xlfn._xlws.FILTER($E686:$E696,($A686:$A696=$A686)*($J686:$J696=M$42)))),0)</f>
        <v>0</v>
      </c>
      <c r="N686" s="1023" cm="1">
        <f t="array" ref="N686">IFERROR(IF($A686=$A685,0,SUM(_xlfn._xlws.FILTER($E686:$E696,($A686:$A696=$A686)*($J686:$J696=N$42)))),0)</f>
        <v>0</v>
      </c>
    </row>
    <row r="687" spans="5:14" x14ac:dyDescent="0.3">
      <c r="E687" s="1022">
        <f ca="1">IFERROR(C687*D687*_xlfn.XLOOKUP(B687,TabCalc[Ticker],TabCalc[Scale]),0)</f>
        <v>0</v>
      </c>
      <c r="F687" s="1023" cm="1">
        <f t="array" ref="F687">IF(A687=A686,0,SUM(_xlfn._xlws.FILTER(E687:E696,A687:A696=A687)))</f>
        <v>0</v>
      </c>
      <c r="G687" s="1024">
        <f>IF(F687&lt;&gt;0,SUM($F$43:F687),0)</f>
        <v>0</v>
      </c>
      <c r="H687" s="1024" cm="1">
        <f t="array" ref="H687">IFERROR(IF(A687=A686,0,SUM(_xlfn._xlws.FILTER(E687:E696,(A687:A696=A687)*(E687:E696&gt;0)))),0)</f>
        <v>0</v>
      </c>
      <c r="I687" s="1024" cm="1">
        <f t="array" ref="I687">IFERROR(IF(A687=A686,0,SUM(_xlfn._xlws.FILTER(E687:E696,(A687:A696=A687)*(F687&lt;0)))),0)</f>
        <v>0</v>
      </c>
      <c r="J687" s="293" t="str">
        <f ca="1">IFERROR(_xlfn.XLOOKUP(B687,TabCalc[Ticker],TabCalc[Cur]),"")</f>
        <v/>
      </c>
      <c r="K687" s="1023" cm="1">
        <f t="array" ref="K687">IFERROR(IF($A687=$A686,0,SUM(_xlfn._xlws.FILTER($E687:$E697,($A687:$A697=$A687)*($J687:$J697=K$42)))),0)</f>
        <v>0</v>
      </c>
      <c r="L687" s="1023" cm="1">
        <f t="array" ref="L687">IFERROR(IF($A687=$A686,0,SUM(_xlfn._xlws.FILTER($E687:$E697,($A687:$A697=$A687)*($J687:$J697=L$42)))),0)</f>
        <v>0</v>
      </c>
      <c r="M687" s="1023" cm="1">
        <f t="array" ref="M687">IFERROR(IF($A687=$A686,0,SUM(_xlfn._xlws.FILTER($E687:$E697,($A687:$A697=$A687)*($J687:$J697=M$42)))),0)</f>
        <v>0</v>
      </c>
      <c r="N687" s="1023" cm="1">
        <f t="array" ref="N687">IFERROR(IF($A687=$A686,0,SUM(_xlfn._xlws.FILTER($E687:$E697,($A687:$A697=$A687)*($J687:$J697=N$42)))),0)</f>
        <v>0</v>
      </c>
    </row>
    <row r="688" spans="5:14" x14ac:dyDescent="0.3">
      <c r="E688" s="1022">
        <f ca="1">IFERROR(C688*D688*_xlfn.XLOOKUP(B688,TabCalc[Ticker],TabCalc[Scale]),0)</f>
        <v>0</v>
      </c>
      <c r="F688" s="1023" cm="1">
        <f t="array" ref="F688">IF(A688=A687,0,SUM(_xlfn._xlws.FILTER(E688:E697,A688:A697=A688)))</f>
        <v>0</v>
      </c>
      <c r="G688" s="1024">
        <f>IF(F688&lt;&gt;0,SUM($F$43:F688),0)</f>
        <v>0</v>
      </c>
      <c r="H688" s="1024" cm="1">
        <f t="array" ref="H688">IFERROR(IF(A688=A687,0,SUM(_xlfn._xlws.FILTER(E688:E697,(A688:A697=A688)*(E688:E697&gt;0)))),0)</f>
        <v>0</v>
      </c>
      <c r="I688" s="1024" cm="1">
        <f t="array" ref="I688">IFERROR(IF(A688=A687,0,SUM(_xlfn._xlws.FILTER(E688:E697,(A688:A697=A688)*(F688&lt;0)))),0)</f>
        <v>0</v>
      </c>
      <c r="J688" s="293" t="str">
        <f ca="1">IFERROR(_xlfn.XLOOKUP(B688,TabCalc[Ticker],TabCalc[Cur]),"")</f>
        <v/>
      </c>
      <c r="K688" s="1023" cm="1">
        <f t="array" ref="K688">IFERROR(IF($A688=$A687,0,SUM(_xlfn._xlws.FILTER($E688:$E698,($A688:$A698=$A688)*($J688:$J698=K$42)))),0)</f>
        <v>0</v>
      </c>
      <c r="L688" s="1023" cm="1">
        <f t="array" ref="L688">IFERROR(IF($A688=$A687,0,SUM(_xlfn._xlws.FILTER($E688:$E698,($A688:$A698=$A688)*($J688:$J698=L$42)))),0)</f>
        <v>0</v>
      </c>
      <c r="M688" s="1023" cm="1">
        <f t="array" ref="M688">IFERROR(IF($A688=$A687,0,SUM(_xlfn._xlws.FILTER($E688:$E698,($A688:$A698=$A688)*($J688:$J698=M$42)))),0)</f>
        <v>0</v>
      </c>
      <c r="N688" s="1023" cm="1">
        <f t="array" ref="N688">IFERROR(IF($A688=$A687,0,SUM(_xlfn._xlws.FILTER($E688:$E698,($A688:$A698=$A688)*($J688:$J698=N$42)))),0)</f>
        <v>0</v>
      </c>
    </row>
    <row r="689" spans="5:14" x14ac:dyDescent="0.3">
      <c r="E689" s="1022">
        <f ca="1">IFERROR(C689*D689*_xlfn.XLOOKUP(B689,TabCalc[Ticker],TabCalc[Scale]),0)</f>
        <v>0</v>
      </c>
      <c r="F689" s="1023" cm="1">
        <f t="array" ref="F689">IF(A689=A688,0,SUM(_xlfn._xlws.FILTER(E689:E698,A689:A698=A689)))</f>
        <v>0</v>
      </c>
      <c r="G689" s="1024">
        <f>IF(F689&lt;&gt;0,SUM($F$43:F689),0)</f>
        <v>0</v>
      </c>
      <c r="H689" s="1024" cm="1">
        <f t="array" ref="H689">IFERROR(IF(A689=A688,0,SUM(_xlfn._xlws.FILTER(E689:E698,(A689:A698=A689)*(E689:E698&gt;0)))),0)</f>
        <v>0</v>
      </c>
      <c r="I689" s="1024" cm="1">
        <f t="array" ref="I689">IFERROR(IF(A689=A688,0,SUM(_xlfn._xlws.FILTER(E689:E698,(A689:A698=A689)*(F689&lt;0)))),0)</f>
        <v>0</v>
      </c>
      <c r="J689" s="293" t="str">
        <f ca="1">IFERROR(_xlfn.XLOOKUP(B689,TabCalc[Ticker],TabCalc[Cur]),"")</f>
        <v/>
      </c>
      <c r="K689" s="1023" cm="1">
        <f t="array" ref="K689">IFERROR(IF($A689=$A688,0,SUM(_xlfn._xlws.FILTER($E689:$E699,($A689:$A699=$A689)*($J689:$J699=K$42)))),0)</f>
        <v>0</v>
      </c>
      <c r="L689" s="1023" cm="1">
        <f t="array" ref="L689">IFERROR(IF($A689=$A688,0,SUM(_xlfn._xlws.FILTER($E689:$E699,($A689:$A699=$A689)*($J689:$J699=L$42)))),0)</f>
        <v>0</v>
      </c>
      <c r="M689" s="1023" cm="1">
        <f t="array" ref="M689">IFERROR(IF($A689=$A688,0,SUM(_xlfn._xlws.FILTER($E689:$E699,($A689:$A699=$A689)*($J689:$J699=M$42)))),0)</f>
        <v>0</v>
      </c>
      <c r="N689" s="1023" cm="1">
        <f t="array" ref="N689">IFERROR(IF($A689=$A688,0,SUM(_xlfn._xlws.FILTER($E689:$E699,($A689:$A699=$A689)*($J689:$J699=N$42)))),0)</f>
        <v>0</v>
      </c>
    </row>
    <row r="690" spans="5:14" x14ac:dyDescent="0.3">
      <c r="E690" s="1022">
        <f ca="1">IFERROR(C690*D690*_xlfn.XLOOKUP(B690,TabCalc[Ticker],TabCalc[Scale]),0)</f>
        <v>0</v>
      </c>
      <c r="F690" s="1023" cm="1">
        <f t="array" ref="F690">IF(A690=A689,0,SUM(_xlfn._xlws.FILTER(E690:E699,A690:A699=A690)))</f>
        <v>0</v>
      </c>
      <c r="G690" s="1024">
        <f>IF(F690&lt;&gt;0,SUM($F$43:F690),0)</f>
        <v>0</v>
      </c>
      <c r="H690" s="1024" cm="1">
        <f t="array" ref="H690">IFERROR(IF(A690=A689,0,SUM(_xlfn._xlws.FILTER(E690:E699,(A690:A699=A690)*(E690:E699&gt;0)))),0)</f>
        <v>0</v>
      </c>
      <c r="I690" s="1024" cm="1">
        <f t="array" ref="I690">IFERROR(IF(A690=A689,0,SUM(_xlfn._xlws.FILTER(E690:E699,(A690:A699=A690)*(F690&lt;0)))),0)</f>
        <v>0</v>
      </c>
      <c r="J690" s="293" t="str">
        <f ca="1">IFERROR(_xlfn.XLOOKUP(B690,TabCalc[Ticker],TabCalc[Cur]),"")</f>
        <v/>
      </c>
      <c r="K690" s="1023" cm="1">
        <f t="array" ref="K690">IFERROR(IF($A690=$A689,0,SUM(_xlfn._xlws.FILTER($E690:$E700,($A690:$A700=$A690)*($J690:$J700=K$42)))),0)</f>
        <v>0</v>
      </c>
      <c r="L690" s="1023" cm="1">
        <f t="array" ref="L690">IFERROR(IF($A690=$A689,0,SUM(_xlfn._xlws.FILTER($E690:$E700,($A690:$A700=$A690)*($J690:$J700=L$42)))),0)</f>
        <v>0</v>
      </c>
      <c r="M690" s="1023" cm="1">
        <f t="array" ref="M690">IFERROR(IF($A690=$A689,0,SUM(_xlfn._xlws.FILTER($E690:$E700,($A690:$A700=$A690)*($J690:$J700=M$42)))),0)</f>
        <v>0</v>
      </c>
      <c r="N690" s="1023" cm="1">
        <f t="array" ref="N690">IFERROR(IF($A690=$A689,0,SUM(_xlfn._xlws.FILTER($E690:$E700,($A690:$A700=$A690)*($J690:$J700=N$42)))),0)</f>
        <v>0</v>
      </c>
    </row>
    <row r="691" spans="5:14" x14ac:dyDescent="0.3">
      <c r="E691" s="1022">
        <f ca="1">IFERROR(C691*D691*_xlfn.XLOOKUP(B691,TabCalc[Ticker],TabCalc[Scale]),0)</f>
        <v>0</v>
      </c>
      <c r="F691" s="1023" cm="1">
        <f t="array" ref="F691">IF(A691=A690,0,SUM(_xlfn._xlws.FILTER(E691:E700,A691:A700=A691)))</f>
        <v>0</v>
      </c>
      <c r="G691" s="1024">
        <f>IF(F691&lt;&gt;0,SUM($F$43:F691),0)</f>
        <v>0</v>
      </c>
      <c r="H691" s="1024" cm="1">
        <f t="array" ref="H691">IFERROR(IF(A691=A690,0,SUM(_xlfn._xlws.FILTER(E691:E700,(A691:A700=A691)*(E691:E700&gt;0)))),0)</f>
        <v>0</v>
      </c>
      <c r="I691" s="1024" cm="1">
        <f t="array" ref="I691">IFERROR(IF(A691=A690,0,SUM(_xlfn._xlws.FILTER(E691:E700,(A691:A700=A691)*(F691&lt;0)))),0)</f>
        <v>0</v>
      </c>
      <c r="J691" s="293" t="str">
        <f ca="1">IFERROR(_xlfn.XLOOKUP(B691,TabCalc[Ticker],TabCalc[Cur]),"")</f>
        <v/>
      </c>
      <c r="K691" s="1023" cm="1">
        <f t="array" ref="K691">IFERROR(IF($A691=$A690,0,SUM(_xlfn._xlws.FILTER($E691:$E701,($A691:$A701=$A691)*($J691:$J701=K$42)))),0)</f>
        <v>0</v>
      </c>
      <c r="L691" s="1023" cm="1">
        <f t="array" ref="L691">IFERROR(IF($A691=$A690,0,SUM(_xlfn._xlws.FILTER($E691:$E701,($A691:$A701=$A691)*($J691:$J701=L$42)))),0)</f>
        <v>0</v>
      </c>
      <c r="M691" s="1023" cm="1">
        <f t="array" ref="M691">IFERROR(IF($A691=$A690,0,SUM(_xlfn._xlws.FILTER($E691:$E701,($A691:$A701=$A691)*($J691:$J701=M$42)))),0)</f>
        <v>0</v>
      </c>
      <c r="N691" s="1023" cm="1">
        <f t="array" ref="N691">IFERROR(IF($A691=$A690,0,SUM(_xlfn._xlws.FILTER($E691:$E701,($A691:$A701=$A691)*($J691:$J701=N$42)))),0)</f>
        <v>0</v>
      </c>
    </row>
    <row r="692" spans="5:14" x14ac:dyDescent="0.3">
      <c r="E692" s="1022">
        <f ca="1">IFERROR(C692*D692*_xlfn.XLOOKUP(B692,TabCalc[Ticker],TabCalc[Scale]),0)</f>
        <v>0</v>
      </c>
      <c r="F692" s="1023" cm="1">
        <f t="array" ref="F692">IF(A692=A691,0,SUM(_xlfn._xlws.FILTER(E692:E701,A692:A701=A692)))</f>
        <v>0</v>
      </c>
      <c r="G692" s="1024">
        <f>IF(F692&lt;&gt;0,SUM($F$43:F692),0)</f>
        <v>0</v>
      </c>
      <c r="H692" s="1024" cm="1">
        <f t="array" ref="H692">IFERROR(IF(A692=A691,0,SUM(_xlfn._xlws.FILTER(E692:E701,(A692:A701=A692)*(E692:E701&gt;0)))),0)</f>
        <v>0</v>
      </c>
      <c r="I692" s="1024" cm="1">
        <f t="array" ref="I692">IFERROR(IF(A692=A691,0,SUM(_xlfn._xlws.FILTER(E692:E701,(A692:A701=A692)*(F692&lt;0)))),0)</f>
        <v>0</v>
      </c>
      <c r="J692" s="293" t="str">
        <f ca="1">IFERROR(_xlfn.XLOOKUP(B692,TabCalc[Ticker],TabCalc[Cur]),"")</f>
        <v/>
      </c>
      <c r="K692" s="1023" cm="1">
        <f t="array" ref="K692">IFERROR(IF($A692=$A691,0,SUM(_xlfn._xlws.FILTER($E692:$E702,($A692:$A702=$A692)*($J692:$J702=K$42)))),0)</f>
        <v>0</v>
      </c>
      <c r="L692" s="1023" cm="1">
        <f t="array" ref="L692">IFERROR(IF($A692=$A691,0,SUM(_xlfn._xlws.FILTER($E692:$E702,($A692:$A702=$A692)*($J692:$J702=L$42)))),0)</f>
        <v>0</v>
      </c>
      <c r="M692" s="1023" cm="1">
        <f t="array" ref="M692">IFERROR(IF($A692=$A691,0,SUM(_xlfn._xlws.FILTER($E692:$E702,($A692:$A702=$A692)*($J692:$J702=M$42)))),0)</f>
        <v>0</v>
      </c>
      <c r="N692" s="1023" cm="1">
        <f t="array" ref="N692">IFERROR(IF($A692=$A691,0,SUM(_xlfn._xlws.FILTER($E692:$E702,($A692:$A702=$A692)*($J692:$J702=N$42)))),0)</f>
        <v>0</v>
      </c>
    </row>
    <row r="693" spans="5:14" x14ac:dyDescent="0.3">
      <c r="E693" s="1022">
        <f ca="1">IFERROR(C693*D693*_xlfn.XLOOKUP(B693,TabCalc[Ticker],TabCalc[Scale]),0)</f>
        <v>0</v>
      </c>
      <c r="F693" s="1023" cm="1">
        <f t="array" ref="F693">IF(A693=A692,0,SUM(_xlfn._xlws.FILTER(E693:E702,A693:A702=A693)))</f>
        <v>0</v>
      </c>
      <c r="G693" s="1024">
        <f>IF(F693&lt;&gt;0,SUM($F$43:F693),0)</f>
        <v>0</v>
      </c>
      <c r="H693" s="1024" cm="1">
        <f t="array" ref="H693">IFERROR(IF(A693=A692,0,SUM(_xlfn._xlws.FILTER(E693:E702,(A693:A702=A693)*(E693:E702&gt;0)))),0)</f>
        <v>0</v>
      </c>
      <c r="I693" s="1024" cm="1">
        <f t="array" ref="I693">IFERROR(IF(A693=A692,0,SUM(_xlfn._xlws.FILTER(E693:E702,(A693:A702=A693)*(F693&lt;0)))),0)</f>
        <v>0</v>
      </c>
      <c r="J693" s="293" t="str">
        <f ca="1">IFERROR(_xlfn.XLOOKUP(B693,TabCalc[Ticker],TabCalc[Cur]),"")</f>
        <v/>
      </c>
      <c r="K693" s="1023" cm="1">
        <f t="array" ref="K693">IFERROR(IF($A693=$A692,0,SUM(_xlfn._xlws.FILTER($E693:$E703,($A693:$A703=$A693)*($J693:$J703=K$42)))),0)</f>
        <v>0</v>
      </c>
      <c r="L693" s="1023" cm="1">
        <f t="array" ref="L693">IFERROR(IF($A693=$A692,0,SUM(_xlfn._xlws.FILTER($E693:$E703,($A693:$A703=$A693)*($J693:$J703=L$42)))),0)</f>
        <v>0</v>
      </c>
      <c r="M693" s="1023" cm="1">
        <f t="array" ref="M693">IFERROR(IF($A693=$A692,0,SUM(_xlfn._xlws.FILTER($E693:$E703,($A693:$A703=$A693)*($J693:$J703=M$42)))),0)</f>
        <v>0</v>
      </c>
      <c r="N693" s="1023" cm="1">
        <f t="array" ref="N693">IFERROR(IF($A693=$A692,0,SUM(_xlfn._xlws.FILTER($E693:$E703,($A693:$A703=$A693)*($J693:$J703=N$42)))),0)</f>
        <v>0</v>
      </c>
    </row>
    <row r="694" spans="5:14" x14ac:dyDescent="0.3">
      <c r="E694" s="1022">
        <f ca="1">IFERROR(C694*D694*_xlfn.XLOOKUP(B694,TabCalc[Ticker],TabCalc[Scale]),0)</f>
        <v>0</v>
      </c>
      <c r="F694" s="1023" cm="1">
        <f t="array" ref="F694">IF(A694=A693,0,SUM(_xlfn._xlws.FILTER(E694:E703,A694:A703=A694)))</f>
        <v>0</v>
      </c>
      <c r="G694" s="1024">
        <f>IF(F694&lt;&gt;0,SUM($F$43:F694),0)</f>
        <v>0</v>
      </c>
      <c r="H694" s="1024" cm="1">
        <f t="array" ref="H694">IFERROR(IF(A694=A693,0,SUM(_xlfn._xlws.FILTER(E694:E703,(A694:A703=A694)*(E694:E703&gt;0)))),0)</f>
        <v>0</v>
      </c>
      <c r="I694" s="1024" cm="1">
        <f t="array" ref="I694">IFERROR(IF(A694=A693,0,SUM(_xlfn._xlws.FILTER(E694:E703,(A694:A703=A694)*(F694&lt;0)))),0)</f>
        <v>0</v>
      </c>
      <c r="J694" s="293" t="str">
        <f ca="1">IFERROR(_xlfn.XLOOKUP(B694,TabCalc[Ticker],TabCalc[Cur]),"")</f>
        <v/>
      </c>
      <c r="K694" s="1023" cm="1">
        <f t="array" ref="K694">IFERROR(IF($A694=$A693,0,SUM(_xlfn._xlws.FILTER($E694:$E704,($A694:$A704=$A694)*($J694:$J704=K$42)))),0)</f>
        <v>0</v>
      </c>
      <c r="L694" s="1023" cm="1">
        <f t="array" ref="L694">IFERROR(IF($A694=$A693,0,SUM(_xlfn._xlws.FILTER($E694:$E704,($A694:$A704=$A694)*($J694:$J704=L$42)))),0)</f>
        <v>0</v>
      </c>
      <c r="M694" s="1023" cm="1">
        <f t="array" ref="M694">IFERROR(IF($A694=$A693,0,SUM(_xlfn._xlws.FILTER($E694:$E704,($A694:$A704=$A694)*($J694:$J704=M$42)))),0)</f>
        <v>0</v>
      </c>
      <c r="N694" s="1023" cm="1">
        <f t="array" ref="N694">IFERROR(IF($A694=$A693,0,SUM(_xlfn._xlws.FILTER($E694:$E704,($A694:$A704=$A694)*($J694:$J704=N$42)))),0)</f>
        <v>0</v>
      </c>
    </row>
    <row r="695" spans="5:14" x14ac:dyDescent="0.3">
      <c r="E695" s="1022">
        <f ca="1">IFERROR(C695*D695*_xlfn.XLOOKUP(B695,TabCalc[Ticker],TabCalc[Scale]),0)</f>
        <v>0</v>
      </c>
      <c r="F695" s="1023" cm="1">
        <f t="array" ref="F695">IF(A695=A694,0,SUM(_xlfn._xlws.FILTER(E695:E704,A695:A704=A695)))</f>
        <v>0</v>
      </c>
      <c r="G695" s="1024">
        <f>IF(F695&lt;&gt;0,SUM($F$43:F695),0)</f>
        <v>0</v>
      </c>
      <c r="H695" s="1024" cm="1">
        <f t="array" ref="H695">IFERROR(IF(A695=A694,0,SUM(_xlfn._xlws.FILTER(E695:E704,(A695:A704=A695)*(E695:E704&gt;0)))),0)</f>
        <v>0</v>
      </c>
      <c r="I695" s="1024" cm="1">
        <f t="array" ref="I695">IFERROR(IF(A695=A694,0,SUM(_xlfn._xlws.FILTER(E695:E704,(A695:A704=A695)*(F695&lt;0)))),0)</f>
        <v>0</v>
      </c>
      <c r="J695" s="293" t="str">
        <f ca="1">IFERROR(_xlfn.XLOOKUP(B695,TabCalc[Ticker],TabCalc[Cur]),"")</f>
        <v/>
      </c>
      <c r="K695" s="1023" cm="1">
        <f t="array" ref="K695">IFERROR(IF($A695=$A694,0,SUM(_xlfn._xlws.FILTER($E695:$E705,($A695:$A705=$A695)*($J695:$J705=K$42)))),0)</f>
        <v>0</v>
      </c>
      <c r="L695" s="1023" cm="1">
        <f t="array" ref="L695">IFERROR(IF($A695=$A694,0,SUM(_xlfn._xlws.FILTER($E695:$E705,($A695:$A705=$A695)*($J695:$J705=L$42)))),0)</f>
        <v>0</v>
      </c>
      <c r="M695" s="1023" cm="1">
        <f t="array" ref="M695">IFERROR(IF($A695=$A694,0,SUM(_xlfn._xlws.FILTER($E695:$E705,($A695:$A705=$A695)*($J695:$J705=M$42)))),0)</f>
        <v>0</v>
      </c>
      <c r="N695" s="1023" cm="1">
        <f t="array" ref="N695">IFERROR(IF($A695=$A694,0,SUM(_xlfn._xlws.FILTER($E695:$E705,($A695:$A705=$A695)*($J695:$J705=N$42)))),0)</f>
        <v>0</v>
      </c>
    </row>
    <row r="696" spans="5:14" x14ac:dyDescent="0.3">
      <c r="E696" s="1022">
        <f ca="1">IFERROR(C696*D696*_xlfn.XLOOKUP(B696,TabCalc[Ticker],TabCalc[Scale]),0)</f>
        <v>0</v>
      </c>
      <c r="F696" s="1023" cm="1">
        <f t="array" ref="F696">IF(A696=A695,0,SUM(_xlfn._xlws.FILTER(E696:E705,A696:A705=A696)))</f>
        <v>0</v>
      </c>
      <c r="G696" s="1024">
        <f>IF(F696&lt;&gt;0,SUM($F$43:F696),0)</f>
        <v>0</v>
      </c>
      <c r="H696" s="1024" cm="1">
        <f t="array" ref="H696">IFERROR(IF(A696=A695,0,SUM(_xlfn._xlws.FILTER(E696:E705,(A696:A705=A696)*(E696:E705&gt;0)))),0)</f>
        <v>0</v>
      </c>
      <c r="I696" s="1024" cm="1">
        <f t="array" ref="I696">IFERROR(IF(A696=A695,0,SUM(_xlfn._xlws.FILTER(E696:E705,(A696:A705=A696)*(F696&lt;0)))),0)</f>
        <v>0</v>
      </c>
      <c r="J696" s="293" t="str">
        <f ca="1">IFERROR(_xlfn.XLOOKUP(B696,TabCalc[Ticker],TabCalc[Cur]),"")</f>
        <v/>
      </c>
      <c r="K696" s="1023" cm="1">
        <f t="array" ref="K696">IFERROR(IF($A696=$A695,0,SUM(_xlfn._xlws.FILTER($E696:$E706,($A696:$A706=$A696)*($J696:$J706=K$42)))),0)</f>
        <v>0</v>
      </c>
      <c r="L696" s="1023" cm="1">
        <f t="array" ref="L696">IFERROR(IF($A696=$A695,0,SUM(_xlfn._xlws.FILTER($E696:$E706,($A696:$A706=$A696)*($J696:$J706=L$42)))),0)</f>
        <v>0</v>
      </c>
      <c r="M696" s="1023" cm="1">
        <f t="array" ref="M696">IFERROR(IF($A696=$A695,0,SUM(_xlfn._xlws.FILTER($E696:$E706,($A696:$A706=$A696)*($J696:$J706=M$42)))),0)</f>
        <v>0</v>
      </c>
      <c r="N696" s="1023" cm="1">
        <f t="array" ref="N696">IFERROR(IF($A696=$A695,0,SUM(_xlfn._xlws.FILTER($E696:$E706,($A696:$A706=$A696)*($J696:$J706=N$42)))),0)</f>
        <v>0</v>
      </c>
    </row>
    <row r="697" spans="5:14" x14ac:dyDescent="0.3">
      <c r="E697" s="1022">
        <f ca="1">IFERROR(C697*D697*_xlfn.XLOOKUP(B697,TabCalc[Ticker],TabCalc[Scale]),0)</f>
        <v>0</v>
      </c>
      <c r="F697" s="1023" cm="1">
        <f t="array" ref="F697">IF(A697=A696,0,SUM(_xlfn._xlws.FILTER(E697:E706,A697:A706=A697)))</f>
        <v>0</v>
      </c>
      <c r="G697" s="1024">
        <f>IF(F697&lt;&gt;0,SUM($F$43:F697),0)</f>
        <v>0</v>
      </c>
      <c r="H697" s="1024" cm="1">
        <f t="array" ref="H697">IFERROR(IF(A697=A696,0,SUM(_xlfn._xlws.FILTER(E697:E706,(A697:A706=A697)*(E697:E706&gt;0)))),0)</f>
        <v>0</v>
      </c>
      <c r="I697" s="1024" cm="1">
        <f t="array" ref="I697">IFERROR(IF(A697=A696,0,SUM(_xlfn._xlws.FILTER(E697:E706,(A697:A706=A697)*(F697&lt;0)))),0)</f>
        <v>0</v>
      </c>
      <c r="J697" s="293" t="str">
        <f ca="1">IFERROR(_xlfn.XLOOKUP(B697,TabCalc[Ticker],TabCalc[Cur]),"")</f>
        <v/>
      </c>
      <c r="K697" s="1023" cm="1">
        <f t="array" ref="K697">IFERROR(IF($A697=$A696,0,SUM(_xlfn._xlws.FILTER($E697:$E707,($A697:$A707=$A697)*($J697:$J707=K$42)))),0)</f>
        <v>0</v>
      </c>
      <c r="L697" s="1023" cm="1">
        <f t="array" ref="L697">IFERROR(IF($A697=$A696,0,SUM(_xlfn._xlws.FILTER($E697:$E707,($A697:$A707=$A697)*($J697:$J707=L$42)))),0)</f>
        <v>0</v>
      </c>
      <c r="M697" s="1023" cm="1">
        <f t="array" ref="M697">IFERROR(IF($A697=$A696,0,SUM(_xlfn._xlws.FILTER($E697:$E707,($A697:$A707=$A697)*($J697:$J707=M$42)))),0)</f>
        <v>0</v>
      </c>
      <c r="N697" s="1023" cm="1">
        <f t="array" ref="N697">IFERROR(IF($A697=$A696,0,SUM(_xlfn._xlws.FILTER($E697:$E707,($A697:$A707=$A697)*($J697:$J707=N$42)))),0)</f>
        <v>0</v>
      </c>
    </row>
    <row r="698" spans="5:14" x14ac:dyDescent="0.3">
      <c r="E698" s="1022">
        <f ca="1">IFERROR(C698*D698*_xlfn.XLOOKUP(B698,TabCalc[Ticker],TabCalc[Scale]),0)</f>
        <v>0</v>
      </c>
      <c r="F698" s="1023" cm="1">
        <f t="array" ref="F698">IF(A698=A697,0,SUM(_xlfn._xlws.FILTER(E698:E707,A698:A707=A698)))</f>
        <v>0</v>
      </c>
      <c r="G698" s="1024">
        <f>IF(F698&lt;&gt;0,SUM($F$43:F698),0)</f>
        <v>0</v>
      </c>
      <c r="H698" s="1024" cm="1">
        <f t="array" ref="H698">IFERROR(IF(A698=A697,0,SUM(_xlfn._xlws.FILTER(E698:E707,(A698:A707=A698)*(E698:E707&gt;0)))),0)</f>
        <v>0</v>
      </c>
      <c r="I698" s="1024" cm="1">
        <f t="array" ref="I698">IFERROR(IF(A698=A697,0,SUM(_xlfn._xlws.FILTER(E698:E707,(A698:A707=A698)*(F698&lt;0)))),0)</f>
        <v>0</v>
      </c>
      <c r="J698" s="293" t="str">
        <f ca="1">IFERROR(_xlfn.XLOOKUP(B698,TabCalc[Ticker],TabCalc[Cur]),"")</f>
        <v/>
      </c>
      <c r="K698" s="1023" cm="1">
        <f t="array" ref="K698">IFERROR(IF($A698=$A697,0,SUM(_xlfn._xlws.FILTER($E698:$E708,($A698:$A708=$A698)*($J698:$J708=K$42)))),0)</f>
        <v>0</v>
      </c>
      <c r="L698" s="1023" cm="1">
        <f t="array" ref="L698">IFERROR(IF($A698=$A697,0,SUM(_xlfn._xlws.FILTER($E698:$E708,($A698:$A708=$A698)*($J698:$J708=L$42)))),0)</f>
        <v>0</v>
      </c>
      <c r="M698" s="1023" cm="1">
        <f t="array" ref="M698">IFERROR(IF($A698=$A697,0,SUM(_xlfn._xlws.FILTER($E698:$E708,($A698:$A708=$A698)*($J698:$J708=M$42)))),0)</f>
        <v>0</v>
      </c>
      <c r="N698" s="1023" cm="1">
        <f t="array" ref="N698">IFERROR(IF($A698=$A697,0,SUM(_xlfn._xlws.FILTER($E698:$E708,($A698:$A708=$A698)*($J698:$J708=N$42)))),0)</f>
        <v>0</v>
      </c>
    </row>
    <row r="699" spans="5:14" x14ac:dyDescent="0.3">
      <c r="E699" s="1022">
        <f ca="1">IFERROR(C699*D699*_xlfn.XLOOKUP(B699,TabCalc[Ticker],TabCalc[Scale]),0)</f>
        <v>0</v>
      </c>
      <c r="F699" s="1023" cm="1">
        <f t="array" ref="F699">IF(A699=A698,0,SUM(_xlfn._xlws.FILTER(E699:E708,A699:A708=A699)))</f>
        <v>0</v>
      </c>
      <c r="G699" s="1024">
        <f>IF(F699&lt;&gt;0,SUM($F$43:F699),0)</f>
        <v>0</v>
      </c>
      <c r="H699" s="1024" cm="1">
        <f t="array" ref="H699">IFERROR(IF(A699=A698,0,SUM(_xlfn._xlws.FILTER(E699:E708,(A699:A708=A699)*(E699:E708&gt;0)))),0)</f>
        <v>0</v>
      </c>
      <c r="I699" s="1024" cm="1">
        <f t="array" ref="I699">IFERROR(IF(A699=A698,0,SUM(_xlfn._xlws.FILTER(E699:E708,(A699:A708=A699)*(F699&lt;0)))),0)</f>
        <v>0</v>
      </c>
      <c r="J699" s="293" t="str">
        <f ca="1">IFERROR(_xlfn.XLOOKUP(B699,TabCalc[Ticker],TabCalc[Cur]),"")</f>
        <v/>
      </c>
      <c r="K699" s="1023" cm="1">
        <f t="array" ref="K699">IFERROR(IF($A699=$A698,0,SUM(_xlfn._xlws.FILTER($E699:$E709,($A699:$A709=$A699)*($J699:$J709=K$42)))),0)</f>
        <v>0</v>
      </c>
      <c r="L699" s="1023" cm="1">
        <f t="array" ref="L699">IFERROR(IF($A699=$A698,0,SUM(_xlfn._xlws.FILTER($E699:$E709,($A699:$A709=$A699)*($J699:$J709=L$42)))),0)</f>
        <v>0</v>
      </c>
      <c r="M699" s="1023" cm="1">
        <f t="array" ref="M699">IFERROR(IF($A699=$A698,0,SUM(_xlfn._xlws.FILTER($E699:$E709,($A699:$A709=$A699)*($J699:$J709=M$42)))),0)</f>
        <v>0</v>
      </c>
      <c r="N699" s="1023" cm="1">
        <f t="array" ref="N699">IFERROR(IF($A699=$A698,0,SUM(_xlfn._xlws.FILTER($E699:$E709,($A699:$A709=$A699)*($J699:$J709=N$42)))),0)</f>
        <v>0</v>
      </c>
    </row>
    <row r="700" spans="5:14" x14ac:dyDescent="0.3">
      <c r="E700" s="1022">
        <f ca="1">IFERROR(C700*D700*_xlfn.XLOOKUP(B700,TabCalc[Ticker],TabCalc[Scale]),0)</f>
        <v>0</v>
      </c>
      <c r="F700" s="1023" cm="1">
        <f t="array" ref="F700">IF(A700=A699,0,SUM(_xlfn._xlws.FILTER(E700:E709,A700:A709=A700)))</f>
        <v>0</v>
      </c>
      <c r="G700" s="1024">
        <f>IF(F700&lt;&gt;0,SUM($F$43:F700),0)</f>
        <v>0</v>
      </c>
      <c r="H700" s="1024" cm="1">
        <f t="array" ref="H700">IFERROR(IF(A700=A699,0,SUM(_xlfn._xlws.FILTER(E700:E709,(A700:A709=A700)*(E700:E709&gt;0)))),0)</f>
        <v>0</v>
      </c>
      <c r="I700" s="1024" cm="1">
        <f t="array" ref="I700">IFERROR(IF(A700=A699,0,SUM(_xlfn._xlws.FILTER(E700:E709,(A700:A709=A700)*(F700&lt;0)))),0)</f>
        <v>0</v>
      </c>
      <c r="J700" s="293" t="str">
        <f ca="1">IFERROR(_xlfn.XLOOKUP(B700,TabCalc[Ticker],TabCalc[Cur]),"")</f>
        <v/>
      </c>
      <c r="K700" s="1023" cm="1">
        <f t="array" ref="K700">IFERROR(IF($A700=$A699,0,SUM(_xlfn._xlws.FILTER($E700:$E710,($A700:$A710=$A700)*($J700:$J710=K$42)))),0)</f>
        <v>0</v>
      </c>
      <c r="L700" s="1023" cm="1">
        <f t="array" ref="L700">IFERROR(IF($A700=$A699,0,SUM(_xlfn._xlws.FILTER($E700:$E710,($A700:$A710=$A700)*($J700:$J710=L$42)))),0)</f>
        <v>0</v>
      </c>
      <c r="M700" s="1023" cm="1">
        <f t="array" ref="M700">IFERROR(IF($A700=$A699,0,SUM(_xlfn._xlws.FILTER($E700:$E710,($A700:$A710=$A700)*($J700:$J710=M$42)))),0)</f>
        <v>0</v>
      </c>
      <c r="N700" s="1023" cm="1">
        <f t="array" ref="N700">IFERROR(IF($A700=$A699,0,SUM(_xlfn._xlws.FILTER($E700:$E710,($A700:$A710=$A700)*($J700:$J710=N$42)))),0)</f>
        <v>0</v>
      </c>
    </row>
    <row r="701" spans="5:14" x14ac:dyDescent="0.3">
      <c r="E701" s="1022">
        <f ca="1">IFERROR(C701*D701*_xlfn.XLOOKUP(B701,TabCalc[Ticker],TabCalc[Scale]),0)</f>
        <v>0</v>
      </c>
      <c r="F701" s="1023" cm="1">
        <f t="array" ref="F701">IF(A701=A700,0,SUM(_xlfn._xlws.FILTER(E701:E710,A701:A710=A701)))</f>
        <v>0</v>
      </c>
      <c r="G701" s="1024">
        <f>IF(F701&lt;&gt;0,SUM($F$43:F701),0)</f>
        <v>0</v>
      </c>
      <c r="H701" s="1024" cm="1">
        <f t="array" ref="H701">IFERROR(IF(A701=A700,0,SUM(_xlfn._xlws.FILTER(E701:E710,(A701:A710=A701)*(E701:E710&gt;0)))),0)</f>
        <v>0</v>
      </c>
      <c r="I701" s="1024" cm="1">
        <f t="array" ref="I701">IFERROR(IF(A701=A700,0,SUM(_xlfn._xlws.FILTER(E701:E710,(A701:A710=A701)*(F701&lt;0)))),0)</f>
        <v>0</v>
      </c>
      <c r="J701" s="293" t="str">
        <f ca="1">IFERROR(_xlfn.XLOOKUP(B701,TabCalc[Ticker],TabCalc[Cur]),"")</f>
        <v/>
      </c>
      <c r="K701" s="1023" cm="1">
        <f t="array" ref="K701">IFERROR(IF($A701=$A700,0,SUM(_xlfn._xlws.FILTER($E701:$E711,($A701:$A711=$A701)*($J701:$J711=K$42)))),0)</f>
        <v>0</v>
      </c>
      <c r="L701" s="1023" cm="1">
        <f t="array" ref="L701">IFERROR(IF($A701=$A700,0,SUM(_xlfn._xlws.FILTER($E701:$E711,($A701:$A711=$A701)*($J701:$J711=L$42)))),0)</f>
        <v>0</v>
      </c>
      <c r="M701" s="1023" cm="1">
        <f t="array" ref="M701">IFERROR(IF($A701=$A700,0,SUM(_xlfn._xlws.FILTER($E701:$E711,($A701:$A711=$A701)*($J701:$J711=M$42)))),0)</f>
        <v>0</v>
      </c>
      <c r="N701" s="1023" cm="1">
        <f t="array" ref="N701">IFERROR(IF($A701=$A700,0,SUM(_xlfn._xlws.FILTER($E701:$E711,($A701:$A711=$A701)*($J701:$J711=N$42)))),0)</f>
        <v>0</v>
      </c>
    </row>
    <row r="702" spans="5:14" x14ac:dyDescent="0.3">
      <c r="E702" s="1022">
        <f ca="1">IFERROR(C702*D702*_xlfn.XLOOKUP(B702,TabCalc[Ticker],TabCalc[Scale]),0)</f>
        <v>0</v>
      </c>
      <c r="F702" s="1023" cm="1">
        <f t="array" ref="F702">IF(A702=A701,0,SUM(_xlfn._xlws.FILTER(E702:E711,A702:A711=A702)))</f>
        <v>0</v>
      </c>
      <c r="G702" s="1024">
        <f>IF(F702&lt;&gt;0,SUM($F$43:F702),0)</f>
        <v>0</v>
      </c>
      <c r="H702" s="1024" cm="1">
        <f t="array" ref="H702">IFERROR(IF(A702=A701,0,SUM(_xlfn._xlws.FILTER(E702:E711,(A702:A711=A702)*(E702:E711&gt;0)))),0)</f>
        <v>0</v>
      </c>
      <c r="I702" s="1024" cm="1">
        <f t="array" ref="I702">IFERROR(IF(A702=A701,0,SUM(_xlfn._xlws.FILTER(E702:E711,(A702:A711=A702)*(F702&lt;0)))),0)</f>
        <v>0</v>
      </c>
      <c r="J702" s="293" t="str">
        <f ca="1">IFERROR(_xlfn.XLOOKUP(B702,TabCalc[Ticker],TabCalc[Cur]),"")</f>
        <v/>
      </c>
      <c r="K702" s="1023" cm="1">
        <f t="array" ref="K702">IFERROR(IF($A702=$A701,0,SUM(_xlfn._xlws.FILTER($E702:$E712,($A702:$A712=$A702)*($J702:$J712=K$42)))),0)</f>
        <v>0</v>
      </c>
      <c r="L702" s="1023" cm="1">
        <f t="array" ref="L702">IFERROR(IF($A702=$A701,0,SUM(_xlfn._xlws.FILTER($E702:$E712,($A702:$A712=$A702)*($J702:$J712=L$42)))),0)</f>
        <v>0</v>
      </c>
      <c r="M702" s="1023" cm="1">
        <f t="array" ref="M702">IFERROR(IF($A702=$A701,0,SUM(_xlfn._xlws.FILTER($E702:$E712,($A702:$A712=$A702)*($J702:$J712=M$42)))),0)</f>
        <v>0</v>
      </c>
      <c r="N702" s="1023" cm="1">
        <f t="array" ref="N702">IFERROR(IF($A702=$A701,0,SUM(_xlfn._xlws.FILTER($E702:$E712,($A702:$A712=$A702)*($J702:$J712=N$42)))),0)</f>
        <v>0</v>
      </c>
    </row>
    <row r="703" spans="5:14" x14ac:dyDescent="0.3">
      <c r="E703" s="1022">
        <f ca="1">IFERROR(C703*D703*_xlfn.XLOOKUP(B703,TabCalc[Ticker],TabCalc[Scale]),0)</f>
        <v>0</v>
      </c>
      <c r="F703" s="1023" cm="1">
        <f t="array" ref="F703">IF(A703=A702,0,SUM(_xlfn._xlws.FILTER(E703:E712,A703:A712=A703)))</f>
        <v>0</v>
      </c>
      <c r="G703" s="1024">
        <f>IF(F703&lt;&gt;0,SUM($F$43:F703),0)</f>
        <v>0</v>
      </c>
      <c r="H703" s="1024" cm="1">
        <f t="array" ref="H703">IFERROR(IF(A703=A702,0,SUM(_xlfn._xlws.FILTER(E703:E712,(A703:A712=A703)*(E703:E712&gt;0)))),0)</f>
        <v>0</v>
      </c>
      <c r="I703" s="1024" cm="1">
        <f t="array" ref="I703">IFERROR(IF(A703=A702,0,SUM(_xlfn._xlws.FILTER(E703:E712,(A703:A712=A703)*(F703&lt;0)))),0)</f>
        <v>0</v>
      </c>
      <c r="J703" s="293" t="str">
        <f ca="1">IFERROR(_xlfn.XLOOKUP(B703,TabCalc[Ticker],TabCalc[Cur]),"")</f>
        <v/>
      </c>
      <c r="K703" s="1023" cm="1">
        <f t="array" ref="K703">IFERROR(IF($A703=$A702,0,SUM(_xlfn._xlws.FILTER($E703:$E713,($A703:$A713=$A703)*($J703:$J713=K$42)))),0)</f>
        <v>0</v>
      </c>
      <c r="L703" s="1023" cm="1">
        <f t="array" ref="L703">IFERROR(IF($A703=$A702,0,SUM(_xlfn._xlws.FILTER($E703:$E713,($A703:$A713=$A703)*($J703:$J713=L$42)))),0)</f>
        <v>0</v>
      </c>
      <c r="M703" s="1023" cm="1">
        <f t="array" ref="M703">IFERROR(IF($A703=$A702,0,SUM(_xlfn._xlws.FILTER($E703:$E713,($A703:$A713=$A703)*($J703:$J713=M$42)))),0)</f>
        <v>0</v>
      </c>
      <c r="N703" s="1023" cm="1">
        <f t="array" ref="N703">IFERROR(IF($A703=$A702,0,SUM(_xlfn._xlws.FILTER($E703:$E713,($A703:$A713=$A703)*($J703:$J713=N$42)))),0)</f>
        <v>0</v>
      </c>
    </row>
    <row r="704" spans="5:14" x14ac:dyDescent="0.3">
      <c r="E704" s="1022">
        <f ca="1">IFERROR(C704*D704*_xlfn.XLOOKUP(B704,TabCalc[Ticker],TabCalc[Scale]),0)</f>
        <v>0</v>
      </c>
      <c r="F704" s="1023" cm="1">
        <f t="array" ref="F704">IF(A704=A703,0,SUM(_xlfn._xlws.FILTER(E704:E713,A704:A713=A704)))</f>
        <v>0</v>
      </c>
      <c r="G704" s="1024">
        <f>IF(F704&lt;&gt;0,SUM($F$43:F704),0)</f>
        <v>0</v>
      </c>
      <c r="H704" s="1024" cm="1">
        <f t="array" ref="H704">IFERROR(IF(A704=A703,0,SUM(_xlfn._xlws.FILTER(E704:E713,(A704:A713=A704)*(E704:E713&gt;0)))),0)</f>
        <v>0</v>
      </c>
      <c r="I704" s="1024" cm="1">
        <f t="array" ref="I704">IFERROR(IF(A704=A703,0,SUM(_xlfn._xlws.FILTER(E704:E713,(A704:A713=A704)*(F704&lt;0)))),0)</f>
        <v>0</v>
      </c>
      <c r="J704" s="293" t="str">
        <f ca="1">IFERROR(_xlfn.XLOOKUP(B704,TabCalc[Ticker],TabCalc[Cur]),"")</f>
        <v/>
      </c>
      <c r="K704" s="1023" cm="1">
        <f t="array" ref="K704">IFERROR(IF($A704=$A703,0,SUM(_xlfn._xlws.FILTER($E704:$E714,($A704:$A714=$A704)*($J704:$J714=K$42)))),0)</f>
        <v>0</v>
      </c>
      <c r="L704" s="1023" cm="1">
        <f t="array" ref="L704">IFERROR(IF($A704=$A703,0,SUM(_xlfn._xlws.FILTER($E704:$E714,($A704:$A714=$A704)*($J704:$J714=L$42)))),0)</f>
        <v>0</v>
      </c>
      <c r="M704" s="1023" cm="1">
        <f t="array" ref="M704">IFERROR(IF($A704=$A703,0,SUM(_xlfn._xlws.FILTER($E704:$E714,($A704:$A714=$A704)*($J704:$J714=M$42)))),0)</f>
        <v>0</v>
      </c>
      <c r="N704" s="1023" cm="1">
        <f t="array" ref="N704">IFERROR(IF($A704=$A703,0,SUM(_xlfn._xlws.FILTER($E704:$E714,($A704:$A714=$A704)*($J704:$J714=N$42)))),0)</f>
        <v>0</v>
      </c>
    </row>
    <row r="705" spans="5:14" x14ac:dyDescent="0.3">
      <c r="E705" s="1022">
        <f ca="1">IFERROR(C705*D705*_xlfn.XLOOKUP(B705,TabCalc[Ticker],TabCalc[Scale]),0)</f>
        <v>0</v>
      </c>
      <c r="F705" s="1023" cm="1">
        <f t="array" ref="F705">IF(A705=A704,0,SUM(_xlfn._xlws.FILTER(E705:E714,A705:A714=A705)))</f>
        <v>0</v>
      </c>
      <c r="G705" s="1024">
        <f>IF(F705&lt;&gt;0,SUM($F$43:F705),0)</f>
        <v>0</v>
      </c>
      <c r="H705" s="1024" cm="1">
        <f t="array" ref="H705">IFERROR(IF(A705=A704,0,SUM(_xlfn._xlws.FILTER(E705:E714,(A705:A714=A705)*(E705:E714&gt;0)))),0)</f>
        <v>0</v>
      </c>
      <c r="I705" s="1024" cm="1">
        <f t="array" ref="I705">IFERROR(IF(A705=A704,0,SUM(_xlfn._xlws.FILTER(E705:E714,(A705:A714=A705)*(F705&lt;0)))),0)</f>
        <v>0</v>
      </c>
      <c r="J705" s="293" t="str">
        <f ca="1">IFERROR(_xlfn.XLOOKUP(B705,TabCalc[Ticker],TabCalc[Cur]),"")</f>
        <v/>
      </c>
      <c r="K705" s="1023" cm="1">
        <f t="array" ref="K705">IFERROR(IF($A705=$A704,0,SUM(_xlfn._xlws.FILTER($E705:$E715,($A705:$A715=$A705)*($J705:$J715=K$42)))),0)</f>
        <v>0</v>
      </c>
      <c r="L705" s="1023" cm="1">
        <f t="array" ref="L705">IFERROR(IF($A705=$A704,0,SUM(_xlfn._xlws.FILTER($E705:$E715,($A705:$A715=$A705)*($J705:$J715=L$42)))),0)</f>
        <v>0</v>
      </c>
      <c r="M705" s="1023" cm="1">
        <f t="array" ref="M705">IFERROR(IF($A705=$A704,0,SUM(_xlfn._xlws.FILTER($E705:$E715,($A705:$A715=$A705)*($J705:$J715=M$42)))),0)</f>
        <v>0</v>
      </c>
      <c r="N705" s="1023" cm="1">
        <f t="array" ref="N705">IFERROR(IF($A705=$A704,0,SUM(_xlfn._xlws.FILTER($E705:$E715,($A705:$A715=$A705)*($J705:$J715=N$42)))),0)</f>
        <v>0</v>
      </c>
    </row>
    <row r="706" spans="5:14" x14ac:dyDescent="0.3">
      <c r="E706" s="1022">
        <f ca="1">IFERROR(C706*D706*_xlfn.XLOOKUP(B706,TabCalc[Ticker],TabCalc[Scale]),0)</f>
        <v>0</v>
      </c>
      <c r="F706" s="1023" cm="1">
        <f t="array" ref="F706">IF(A706=A705,0,SUM(_xlfn._xlws.FILTER(E706:E715,A706:A715=A706)))</f>
        <v>0</v>
      </c>
      <c r="G706" s="1024">
        <f>IF(F706&lt;&gt;0,SUM($F$43:F706),0)</f>
        <v>0</v>
      </c>
      <c r="H706" s="1024" cm="1">
        <f t="array" ref="H706">IFERROR(IF(A706=A705,0,SUM(_xlfn._xlws.FILTER(E706:E715,(A706:A715=A706)*(E706:E715&gt;0)))),0)</f>
        <v>0</v>
      </c>
      <c r="I706" s="1024" cm="1">
        <f t="array" ref="I706">IFERROR(IF(A706=A705,0,SUM(_xlfn._xlws.FILTER(E706:E715,(A706:A715=A706)*(F706&lt;0)))),0)</f>
        <v>0</v>
      </c>
      <c r="J706" s="293" t="str">
        <f ca="1">IFERROR(_xlfn.XLOOKUP(B706,TabCalc[Ticker],TabCalc[Cur]),"")</f>
        <v/>
      </c>
      <c r="K706" s="1023" cm="1">
        <f t="array" ref="K706">IFERROR(IF($A706=$A705,0,SUM(_xlfn._xlws.FILTER($E706:$E716,($A706:$A716=$A706)*($J706:$J716=K$42)))),0)</f>
        <v>0</v>
      </c>
      <c r="L706" s="1023" cm="1">
        <f t="array" ref="L706">IFERROR(IF($A706=$A705,0,SUM(_xlfn._xlws.FILTER($E706:$E716,($A706:$A716=$A706)*($J706:$J716=L$42)))),0)</f>
        <v>0</v>
      </c>
      <c r="M706" s="1023" cm="1">
        <f t="array" ref="M706">IFERROR(IF($A706=$A705,0,SUM(_xlfn._xlws.FILTER($E706:$E716,($A706:$A716=$A706)*($J706:$J716=M$42)))),0)</f>
        <v>0</v>
      </c>
      <c r="N706" s="1023" cm="1">
        <f t="array" ref="N706">IFERROR(IF($A706=$A705,0,SUM(_xlfn._xlws.FILTER($E706:$E716,($A706:$A716=$A706)*($J706:$J716=N$42)))),0)</f>
        <v>0</v>
      </c>
    </row>
    <row r="707" spans="5:14" x14ac:dyDescent="0.3">
      <c r="E707" s="1022">
        <f ca="1">IFERROR(C707*D707*_xlfn.XLOOKUP(B707,TabCalc[Ticker],TabCalc[Scale]),0)</f>
        <v>0</v>
      </c>
      <c r="F707" s="1023" cm="1">
        <f t="array" ref="F707">IF(A707=A706,0,SUM(_xlfn._xlws.FILTER(E707:E716,A707:A716=A707)))</f>
        <v>0</v>
      </c>
      <c r="G707" s="1024">
        <f>IF(F707&lt;&gt;0,SUM($F$43:F707),0)</f>
        <v>0</v>
      </c>
      <c r="H707" s="1024" cm="1">
        <f t="array" ref="H707">IFERROR(IF(A707=A706,0,SUM(_xlfn._xlws.FILTER(E707:E716,(A707:A716=A707)*(E707:E716&gt;0)))),0)</f>
        <v>0</v>
      </c>
      <c r="I707" s="1024" cm="1">
        <f t="array" ref="I707">IFERROR(IF(A707=A706,0,SUM(_xlfn._xlws.FILTER(E707:E716,(A707:A716=A707)*(F707&lt;0)))),0)</f>
        <v>0</v>
      </c>
      <c r="J707" s="293" t="str">
        <f ca="1">IFERROR(_xlfn.XLOOKUP(B707,TabCalc[Ticker],TabCalc[Cur]),"")</f>
        <v/>
      </c>
      <c r="K707" s="1023" cm="1">
        <f t="array" ref="K707">IFERROR(IF($A707=$A706,0,SUM(_xlfn._xlws.FILTER($E707:$E717,($A707:$A717=$A707)*($J707:$J717=K$42)))),0)</f>
        <v>0</v>
      </c>
      <c r="L707" s="1023" cm="1">
        <f t="array" ref="L707">IFERROR(IF($A707=$A706,0,SUM(_xlfn._xlws.FILTER($E707:$E717,($A707:$A717=$A707)*($J707:$J717=L$42)))),0)</f>
        <v>0</v>
      </c>
      <c r="M707" s="1023" cm="1">
        <f t="array" ref="M707">IFERROR(IF($A707=$A706,0,SUM(_xlfn._xlws.FILTER($E707:$E717,($A707:$A717=$A707)*($J707:$J717=M$42)))),0)</f>
        <v>0</v>
      </c>
      <c r="N707" s="1023" cm="1">
        <f t="array" ref="N707">IFERROR(IF($A707=$A706,0,SUM(_xlfn._xlws.FILTER($E707:$E717,($A707:$A717=$A707)*($J707:$J717=N$42)))),0)</f>
        <v>0</v>
      </c>
    </row>
    <row r="708" spans="5:14" x14ac:dyDescent="0.3">
      <c r="E708" s="1022">
        <f ca="1">IFERROR(C708*D708*_xlfn.XLOOKUP(B708,TabCalc[Ticker],TabCalc[Scale]),0)</f>
        <v>0</v>
      </c>
      <c r="F708" s="1023" cm="1">
        <f t="array" ref="F708">IF(A708=A707,0,SUM(_xlfn._xlws.FILTER(E708:E717,A708:A717=A708)))</f>
        <v>0</v>
      </c>
      <c r="G708" s="1024">
        <f>IF(F708&lt;&gt;0,SUM($F$43:F708),0)</f>
        <v>0</v>
      </c>
      <c r="H708" s="1024" cm="1">
        <f t="array" ref="H708">IFERROR(IF(A708=A707,0,SUM(_xlfn._xlws.FILTER(E708:E717,(A708:A717=A708)*(E708:E717&gt;0)))),0)</f>
        <v>0</v>
      </c>
      <c r="I708" s="1024" cm="1">
        <f t="array" ref="I708">IFERROR(IF(A708=A707,0,SUM(_xlfn._xlws.FILTER(E708:E717,(A708:A717=A708)*(F708&lt;0)))),0)</f>
        <v>0</v>
      </c>
      <c r="J708" s="293" t="str">
        <f ca="1">IFERROR(_xlfn.XLOOKUP(B708,TabCalc[Ticker],TabCalc[Cur]),"")</f>
        <v/>
      </c>
      <c r="K708" s="1023" cm="1">
        <f t="array" ref="K708">IFERROR(IF($A708=$A707,0,SUM(_xlfn._xlws.FILTER($E708:$E718,($A708:$A718=$A708)*($J708:$J718=K$42)))),0)</f>
        <v>0</v>
      </c>
      <c r="L708" s="1023" cm="1">
        <f t="array" ref="L708">IFERROR(IF($A708=$A707,0,SUM(_xlfn._xlws.FILTER($E708:$E718,($A708:$A718=$A708)*($J708:$J718=L$42)))),0)</f>
        <v>0</v>
      </c>
      <c r="M708" s="1023" cm="1">
        <f t="array" ref="M708">IFERROR(IF($A708=$A707,0,SUM(_xlfn._xlws.FILTER($E708:$E718,($A708:$A718=$A708)*($J708:$J718=M$42)))),0)</f>
        <v>0</v>
      </c>
      <c r="N708" s="1023" cm="1">
        <f t="array" ref="N708">IFERROR(IF($A708=$A707,0,SUM(_xlfn._xlws.FILTER($E708:$E718,($A708:$A718=$A708)*($J708:$J718=N$42)))),0)</f>
        <v>0</v>
      </c>
    </row>
    <row r="709" spans="5:14" x14ac:dyDescent="0.3">
      <c r="E709" s="1022">
        <f ca="1">IFERROR(C709*D709*_xlfn.XLOOKUP(B709,TabCalc[Ticker],TabCalc[Scale]),0)</f>
        <v>0</v>
      </c>
      <c r="F709" s="1023" cm="1">
        <f t="array" ref="F709">IF(A709=A708,0,SUM(_xlfn._xlws.FILTER(E709:E718,A709:A718=A709)))</f>
        <v>0</v>
      </c>
      <c r="G709" s="1024">
        <f>IF(F709&lt;&gt;0,SUM($F$43:F709),0)</f>
        <v>0</v>
      </c>
      <c r="H709" s="1024" cm="1">
        <f t="array" ref="H709">IFERROR(IF(A709=A708,0,SUM(_xlfn._xlws.FILTER(E709:E718,(A709:A718=A709)*(E709:E718&gt;0)))),0)</f>
        <v>0</v>
      </c>
      <c r="I709" s="1024" cm="1">
        <f t="array" ref="I709">IFERROR(IF(A709=A708,0,SUM(_xlfn._xlws.FILTER(E709:E718,(A709:A718=A709)*(F709&lt;0)))),0)</f>
        <v>0</v>
      </c>
      <c r="J709" s="293" t="str">
        <f ca="1">IFERROR(_xlfn.XLOOKUP(B709,TabCalc[Ticker],TabCalc[Cur]),"")</f>
        <v/>
      </c>
      <c r="K709" s="1023" cm="1">
        <f t="array" ref="K709">IFERROR(IF($A709=$A708,0,SUM(_xlfn._xlws.FILTER($E709:$E719,($A709:$A719=$A709)*($J709:$J719=K$42)))),0)</f>
        <v>0</v>
      </c>
      <c r="L709" s="1023" cm="1">
        <f t="array" ref="L709">IFERROR(IF($A709=$A708,0,SUM(_xlfn._xlws.FILTER($E709:$E719,($A709:$A719=$A709)*($J709:$J719=L$42)))),0)</f>
        <v>0</v>
      </c>
      <c r="M709" s="1023" cm="1">
        <f t="array" ref="M709">IFERROR(IF($A709=$A708,0,SUM(_xlfn._xlws.FILTER($E709:$E719,($A709:$A719=$A709)*($J709:$J719=M$42)))),0)</f>
        <v>0</v>
      </c>
      <c r="N709" s="1023" cm="1">
        <f t="array" ref="N709">IFERROR(IF($A709=$A708,0,SUM(_xlfn._xlws.FILTER($E709:$E719,($A709:$A719=$A709)*($J709:$J719=N$42)))),0)</f>
        <v>0</v>
      </c>
    </row>
    <row r="710" spans="5:14" x14ac:dyDescent="0.3">
      <c r="E710" s="1022">
        <f ca="1">IFERROR(C710*D710*_xlfn.XLOOKUP(B710,TabCalc[Ticker],TabCalc[Scale]),0)</f>
        <v>0</v>
      </c>
      <c r="F710" s="1023" cm="1">
        <f t="array" ref="F710">IF(A710=A709,0,SUM(_xlfn._xlws.FILTER(E710:E719,A710:A719=A710)))</f>
        <v>0</v>
      </c>
      <c r="G710" s="1024">
        <f>IF(F710&lt;&gt;0,SUM($F$43:F710),0)</f>
        <v>0</v>
      </c>
      <c r="H710" s="1024" cm="1">
        <f t="array" ref="H710">IFERROR(IF(A710=A709,0,SUM(_xlfn._xlws.FILTER(E710:E719,(A710:A719=A710)*(E710:E719&gt;0)))),0)</f>
        <v>0</v>
      </c>
      <c r="I710" s="1024" cm="1">
        <f t="array" ref="I710">IFERROR(IF(A710=A709,0,SUM(_xlfn._xlws.FILTER(E710:E719,(A710:A719=A710)*(F710&lt;0)))),0)</f>
        <v>0</v>
      </c>
      <c r="J710" s="293" t="str">
        <f ca="1">IFERROR(_xlfn.XLOOKUP(B710,TabCalc[Ticker],TabCalc[Cur]),"")</f>
        <v/>
      </c>
      <c r="K710" s="1023" cm="1">
        <f t="array" ref="K710">IFERROR(IF($A710=$A709,0,SUM(_xlfn._xlws.FILTER($E710:$E720,($A710:$A720=$A710)*($J710:$J720=K$42)))),0)</f>
        <v>0</v>
      </c>
      <c r="L710" s="1023" cm="1">
        <f t="array" ref="L710">IFERROR(IF($A710=$A709,0,SUM(_xlfn._xlws.FILTER($E710:$E720,($A710:$A720=$A710)*($J710:$J720=L$42)))),0)</f>
        <v>0</v>
      </c>
      <c r="M710" s="1023" cm="1">
        <f t="array" ref="M710">IFERROR(IF($A710=$A709,0,SUM(_xlfn._xlws.FILTER($E710:$E720,($A710:$A720=$A710)*($J710:$J720=M$42)))),0)</f>
        <v>0</v>
      </c>
      <c r="N710" s="1023" cm="1">
        <f t="array" ref="N710">IFERROR(IF($A710=$A709,0,SUM(_xlfn._xlws.FILTER($E710:$E720,($A710:$A720=$A710)*($J710:$J720=N$42)))),0)</f>
        <v>0</v>
      </c>
    </row>
    <row r="711" spans="5:14" x14ac:dyDescent="0.3">
      <c r="E711" s="1022">
        <f ca="1">IFERROR(C711*D711*_xlfn.XLOOKUP(B711,TabCalc[Ticker],TabCalc[Scale]),0)</f>
        <v>0</v>
      </c>
      <c r="F711" s="1023" cm="1">
        <f t="array" ref="F711">IF(A711=A710,0,SUM(_xlfn._xlws.FILTER(E711:E720,A711:A720=A711)))</f>
        <v>0</v>
      </c>
      <c r="G711" s="1024">
        <f>IF(F711&lt;&gt;0,SUM($F$43:F711),0)</f>
        <v>0</v>
      </c>
      <c r="H711" s="1024" cm="1">
        <f t="array" ref="H711">IFERROR(IF(A711=A710,0,SUM(_xlfn._xlws.FILTER(E711:E720,(A711:A720=A711)*(E711:E720&gt;0)))),0)</f>
        <v>0</v>
      </c>
      <c r="I711" s="1024" cm="1">
        <f t="array" ref="I711">IFERROR(IF(A711=A710,0,SUM(_xlfn._xlws.FILTER(E711:E720,(A711:A720=A711)*(F711&lt;0)))),0)</f>
        <v>0</v>
      </c>
      <c r="J711" s="293" t="str">
        <f ca="1">IFERROR(_xlfn.XLOOKUP(B711,TabCalc[Ticker],TabCalc[Cur]),"")</f>
        <v/>
      </c>
      <c r="K711" s="1023" cm="1">
        <f t="array" ref="K711">IFERROR(IF($A711=$A710,0,SUM(_xlfn._xlws.FILTER($E711:$E721,($A711:$A721=$A711)*($J711:$J721=K$42)))),0)</f>
        <v>0</v>
      </c>
      <c r="L711" s="1023" cm="1">
        <f t="array" ref="L711">IFERROR(IF($A711=$A710,0,SUM(_xlfn._xlws.FILTER($E711:$E721,($A711:$A721=$A711)*($J711:$J721=L$42)))),0)</f>
        <v>0</v>
      </c>
      <c r="M711" s="1023" cm="1">
        <f t="array" ref="M711">IFERROR(IF($A711=$A710,0,SUM(_xlfn._xlws.FILTER($E711:$E721,($A711:$A721=$A711)*($J711:$J721=M$42)))),0)</f>
        <v>0</v>
      </c>
      <c r="N711" s="1023" cm="1">
        <f t="array" ref="N711">IFERROR(IF($A711=$A710,0,SUM(_xlfn._xlws.FILTER($E711:$E721,($A711:$A721=$A711)*($J711:$J721=N$42)))),0)</f>
        <v>0</v>
      </c>
    </row>
    <row r="712" spans="5:14" x14ac:dyDescent="0.3">
      <c r="E712" s="1022">
        <f ca="1">IFERROR(C712*D712*_xlfn.XLOOKUP(B712,TabCalc[Ticker],TabCalc[Scale]),0)</f>
        <v>0</v>
      </c>
      <c r="F712" s="1023" cm="1">
        <f t="array" ref="F712">IF(A712=A711,0,SUM(_xlfn._xlws.FILTER(E712:E721,A712:A721=A712)))</f>
        <v>0</v>
      </c>
      <c r="G712" s="1024">
        <f>IF(F712&lt;&gt;0,SUM($F$43:F712),0)</f>
        <v>0</v>
      </c>
      <c r="H712" s="1024" cm="1">
        <f t="array" ref="H712">IFERROR(IF(A712=A711,0,SUM(_xlfn._xlws.FILTER(E712:E721,(A712:A721=A712)*(E712:E721&gt;0)))),0)</f>
        <v>0</v>
      </c>
      <c r="I712" s="1024" cm="1">
        <f t="array" ref="I712">IFERROR(IF(A712=A711,0,SUM(_xlfn._xlws.FILTER(E712:E721,(A712:A721=A712)*(F712&lt;0)))),0)</f>
        <v>0</v>
      </c>
      <c r="J712" s="293" t="str">
        <f ca="1">IFERROR(_xlfn.XLOOKUP(B712,TabCalc[Ticker],TabCalc[Cur]),"")</f>
        <v/>
      </c>
      <c r="K712" s="1023" cm="1">
        <f t="array" ref="K712">IFERROR(IF($A712=$A711,0,SUM(_xlfn._xlws.FILTER($E712:$E722,($A712:$A722=$A712)*($J712:$J722=K$42)))),0)</f>
        <v>0</v>
      </c>
      <c r="L712" s="1023" cm="1">
        <f t="array" ref="L712">IFERROR(IF($A712=$A711,0,SUM(_xlfn._xlws.FILTER($E712:$E722,($A712:$A722=$A712)*($J712:$J722=L$42)))),0)</f>
        <v>0</v>
      </c>
      <c r="M712" s="1023" cm="1">
        <f t="array" ref="M712">IFERROR(IF($A712=$A711,0,SUM(_xlfn._xlws.FILTER($E712:$E722,($A712:$A722=$A712)*($J712:$J722=M$42)))),0)</f>
        <v>0</v>
      </c>
      <c r="N712" s="1023" cm="1">
        <f t="array" ref="N712">IFERROR(IF($A712=$A711,0,SUM(_xlfn._xlws.FILTER($E712:$E722,($A712:$A722=$A712)*($J712:$J722=N$42)))),0)</f>
        <v>0</v>
      </c>
    </row>
    <row r="713" spans="5:14" x14ac:dyDescent="0.3">
      <c r="E713" s="1022">
        <f ca="1">IFERROR(C713*D713*_xlfn.XLOOKUP(B713,TabCalc[Ticker],TabCalc[Scale]),0)</f>
        <v>0</v>
      </c>
      <c r="F713" s="1023" cm="1">
        <f t="array" ref="F713">IF(A713=A712,0,SUM(_xlfn._xlws.FILTER(E713:E722,A713:A722=A713)))</f>
        <v>0</v>
      </c>
      <c r="G713" s="1024">
        <f>IF(F713&lt;&gt;0,SUM($F$43:F713),0)</f>
        <v>0</v>
      </c>
      <c r="H713" s="1024" cm="1">
        <f t="array" ref="H713">IFERROR(IF(A713=A712,0,SUM(_xlfn._xlws.FILTER(E713:E722,(A713:A722=A713)*(E713:E722&gt;0)))),0)</f>
        <v>0</v>
      </c>
      <c r="I713" s="1024" cm="1">
        <f t="array" ref="I713">IFERROR(IF(A713=A712,0,SUM(_xlfn._xlws.FILTER(E713:E722,(A713:A722=A713)*(F713&lt;0)))),0)</f>
        <v>0</v>
      </c>
      <c r="J713" s="293" t="str">
        <f ca="1">IFERROR(_xlfn.XLOOKUP(B713,TabCalc[Ticker],TabCalc[Cur]),"")</f>
        <v/>
      </c>
      <c r="K713" s="1023" cm="1">
        <f t="array" ref="K713">IFERROR(IF($A713=$A712,0,SUM(_xlfn._xlws.FILTER($E713:$E723,($A713:$A723=$A713)*($J713:$J723=K$42)))),0)</f>
        <v>0</v>
      </c>
      <c r="L713" s="1023" cm="1">
        <f t="array" ref="L713">IFERROR(IF($A713=$A712,0,SUM(_xlfn._xlws.FILTER($E713:$E723,($A713:$A723=$A713)*($J713:$J723=L$42)))),0)</f>
        <v>0</v>
      </c>
      <c r="M713" s="1023" cm="1">
        <f t="array" ref="M713">IFERROR(IF($A713=$A712,0,SUM(_xlfn._xlws.FILTER($E713:$E723,($A713:$A723=$A713)*($J713:$J723=M$42)))),0)</f>
        <v>0</v>
      </c>
      <c r="N713" s="1023" cm="1">
        <f t="array" ref="N713">IFERROR(IF($A713=$A712,0,SUM(_xlfn._xlws.FILTER($E713:$E723,($A713:$A723=$A713)*($J713:$J723=N$42)))),0)</f>
        <v>0</v>
      </c>
    </row>
    <row r="714" spans="5:14" x14ac:dyDescent="0.3">
      <c r="E714" s="1022">
        <f ca="1">IFERROR(C714*D714*_xlfn.XLOOKUP(B714,TabCalc[Ticker],TabCalc[Scale]),0)</f>
        <v>0</v>
      </c>
      <c r="F714" s="1023" cm="1">
        <f t="array" ref="F714">IF(A714=A713,0,SUM(_xlfn._xlws.FILTER(E714:E723,A714:A723=A714)))</f>
        <v>0</v>
      </c>
      <c r="G714" s="1024">
        <f>IF(F714&lt;&gt;0,SUM($F$43:F714),0)</f>
        <v>0</v>
      </c>
      <c r="H714" s="1024" cm="1">
        <f t="array" ref="H714">IFERROR(IF(A714=A713,0,SUM(_xlfn._xlws.FILTER(E714:E723,(A714:A723=A714)*(E714:E723&gt;0)))),0)</f>
        <v>0</v>
      </c>
      <c r="I714" s="1024" cm="1">
        <f t="array" ref="I714">IFERROR(IF(A714=A713,0,SUM(_xlfn._xlws.FILTER(E714:E723,(A714:A723=A714)*(F714&lt;0)))),0)</f>
        <v>0</v>
      </c>
      <c r="J714" s="293" t="str">
        <f ca="1">IFERROR(_xlfn.XLOOKUP(B714,TabCalc[Ticker],TabCalc[Cur]),"")</f>
        <v/>
      </c>
      <c r="K714" s="1023" cm="1">
        <f t="array" ref="K714">IFERROR(IF($A714=$A713,0,SUM(_xlfn._xlws.FILTER($E714:$E724,($A714:$A724=$A714)*($J714:$J724=K$42)))),0)</f>
        <v>0</v>
      </c>
      <c r="L714" s="1023" cm="1">
        <f t="array" ref="L714">IFERROR(IF($A714=$A713,0,SUM(_xlfn._xlws.FILTER($E714:$E724,($A714:$A724=$A714)*($J714:$J724=L$42)))),0)</f>
        <v>0</v>
      </c>
      <c r="M714" s="1023" cm="1">
        <f t="array" ref="M714">IFERROR(IF($A714=$A713,0,SUM(_xlfn._xlws.FILTER($E714:$E724,($A714:$A724=$A714)*($J714:$J724=M$42)))),0)</f>
        <v>0</v>
      </c>
      <c r="N714" s="1023" cm="1">
        <f t="array" ref="N714">IFERROR(IF($A714=$A713,0,SUM(_xlfn._xlws.FILTER($E714:$E724,($A714:$A724=$A714)*($J714:$J724=N$42)))),0)</f>
        <v>0</v>
      </c>
    </row>
    <row r="715" spans="5:14" x14ac:dyDescent="0.3">
      <c r="E715" s="1022">
        <f ca="1">IFERROR(C715*D715*_xlfn.XLOOKUP(B715,TabCalc[Ticker],TabCalc[Scale]),0)</f>
        <v>0</v>
      </c>
      <c r="F715" s="1023" cm="1">
        <f t="array" ref="F715">IF(A715=A714,0,SUM(_xlfn._xlws.FILTER(E715:E724,A715:A724=A715)))</f>
        <v>0</v>
      </c>
      <c r="G715" s="1024">
        <f>IF(F715&lt;&gt;0,SUM($F$43:F715),0)</f>
        <v>0</v>
      </c>
      <c r="H715" s="1024" cm="1">
        <f t="array" ref="H715">IFERROR(IF(A715=A714,0,SUM(_xlfn._xlws.FILTER(E715:E724,(A715:A724=A715)*(E715:E724&gt;0)))),0)</f>
        <v>0</v>
      </c>
      <c r="I715" s="1024" cm="1">
        <f t="array" ref="I715">IFERROR(IF(A715=A714,0,SUM(_xlfn._xlws.FILTER(E715:E724,(A715:A724=A715)*(F715&lt;0)))),0)</f>
        <v>0</v>
      </c>
      <c r="J715" s="293" t="str">
        <f ca="1">IFERROR(_xlfn.XLOOKUP(B715,TabCalc[Ticker],TabCalc[Cur]),"")</f>
        <v/>
      </c>
      <c r="K715" s="1023" cm="1">
        <f t="array" ref="K715">IFERROR(IF($A715=$A714,0,SUM(_xlfn._xlws.FILTER($E715:$E725,($A715:$A725=$A715)*($J715:$J725=K$42)))),0)</f>
        <v>0</v>
      </c>
      <c r="L715" s="1023" cm="1">
        <f t="array" ref="L715">IFERROR(IF($A715=$A714,0,SUM(_xlfn._xlws.FILTER($E715:$E725,($A715:$A725=$A715)*($J715:$J725=L$42)))),0)</f>
        <v>0</v>
      </c>
      <c r="M715" s="1023" cm="1">
        <f t="array" ref="M715">IFERROR(IF($A715=$A714,0,SUM(_xlfn._xlws.FILTER($E715:$E725,($A715:$A725=$A715)*($J715:$J725=M$42)))),0)</f>
        <v>0</v>
      </c>
      <c r="N715" s="1023" cm="1">
        <f t="array" ref="N715">IFERROR(IF($A715=$A714,0,SUM(_xlfn._xlws.FILTER($E715:$E725,($A715:$A725=$A715)*($J715:$J725=N$42)))),0)</f>
        <v>0</v>
      </c>
    </row>
    <row r="716" spans="5:14" x14ac:dyDescent="0.3">
      <c r="E716" s="1022">
        <f ca="1">IFERROR(C716*D716*_xlfn.XLOOKUP(B716,TabCalc[Ticker],TabCalc[Scale]),0)</f>
        <v>0</v>
      </c>
      <c r="F716" s="1023" cm="1">
        <f t="array" ref="F716">IF(A716=A715,0,SUM(_xlfn._xlws.FILTER(E716:E725,A716:A725=A716)))</f>
        <v>0</v>
      </c>
      <c r="G716" s="1024">
        <f>IF(F716&lt;&gt;0,SUM($F$43:F716),0)</f>
        <v>0</v>
      </c>
      <c r="H716" s="1024" cm="1">
        <f t="array" ref="H716">IFERROR(IF(A716=A715,0,SUM(_xlfn._xlws.FILTER(E716:E725,(A716:A725=A716)*(E716:E725&gt;0)))),0)</f>
        <v>0</v>
      </c>
      <c r="I716" s="1024" cm="1">
        <f t="array" ref="I716">IFERROR(IF(A716=A715,0,SUM(_xlfn._xlws.FILTER(E716:E725,(A716:A725=A716)*(F716&lt;0)))),0)</f>
        <v>0</v>
      </c>
      <c r="J716" s="293" t="str">
        <f ca="1">IFERROR(_xlfn.XLOOKUP(B716,TabCalc[Ticker],TabCalc[Cur]),"")</f>
        <v/>
      </c>
      <c r="K716" s="1023" cm="1">
        <f t="array" ref="K716">IFERROR(IF($A716=$A715,0,SUM(_xlfn._xlws.FILTER($E716:$E726,($A716:$A726=$A716)*($J716:$J726=K$42)))),0)</f>
        <v>0</v>
      </c>
      <c r="L716" s="1023" cm="1">
        <f t="array" ref="L716">IFERROR(IF($A716=$A715,0,SUM(_xlfn._xlws.FILTER($E716:$E726,($A716:$A726=$A716)*($J716:$J726=L$42)))),0)</f>
        <v>0</v>
      </c>
      <c r="M716" s="1023" cm="1">
        <f t="array" ref="M716">IFERROR(IF($A716=$A715,0,SUM(_xlfn._xlws.FILTER($E716:$E726,($A716:$A726=$A716)*($J716:$J726=M$42)))),0)</f>
        <v>0</v>
      </c>
      <c r="N716" s="1023" cm="1">
        <f t="array" ref="N716">IFERROR(IF($A716=$A715,0,SUM(_xlfn._xlws.FILTER($E716:$E726,($A716:$A726=$A716)*($J716:$J726=N$42)))),0)</f>
        <v>0</v>
      </c>
    </row>
    <row r="717" spans="5:14" x14ac:dyDescent="0.3">
      <c r="E717" s="1022">
        <f ca="1">IFERROR(C717*D717*_xlfn.XLOOKUP(B717,TabCalc[Ticker],TabCalc[Scale]),0)</f>
        <v>0</v>
      </c>
      <c r="F717" s="1023" cm="1">
        <f t="array" ref="F717">IF(A717=A716,0,SUM(_xlfn._xlws.FILTER(E717:E726,A717:A726=A717)))</f>
        <v>0</v>
      </c>
      <c r="G717" s="1024">
        <f>IF(F717&lt;&gt;0,SUM($F$43:F717),0)</f>
        <v>0</v>
      </c>
      <c r="H717" s="1024" cm="1">
        <f t="array" ref="H717">IFERROR(IF(A717=A716,0,SUM(_xlfn._xlws.FILTER(E717:E726,(A717:A726=A717)*(E717:E726&gt;0)))),0)</f>
        <v>0</v>
      </c>
      <c r="I717" s="1024" cm="1">
        <f t="array" ref="I717">IFERROR(IF(A717=A716,0,SUM(_xlfn._xlws.FILTER(E717:E726,(A717:A726=A717)*(F717&lt;0)))),0)</f>
        <v>0</v>
      </c>
      <c r="J717" s="293" t="str">
        <f ca="1">IFERROR(_xlfn.XLOOKUP(B717,TabCalc[Ticker],TabCalc[Cur]),"")</f>
        <v/>
      </c>
      <c r="K717" s="1023" cm="1">
        <f t="array" ref="K717">IFERROR(IF($A717=$A716,0,SUM(_xlfn._xlws.FILTER($E717:$E727,($A717:$A727=$A717)*($J717:$J727=K$42)))),0)</f>
        <v>0</v>
      </c>
      <c r="L717" s="1023" cm="1">
        <f t="array" ref="L717">IFERROR(IF($A717=$A716,0,SUM(_xlfn._xlws.FILTER($E717:$E727,($A717:$A727=$A717)*($J717:$J727=L$42)))),0)</f>
        <v>0</v>
      </c>
      <c r="M717" s="1023" cm="1">
        <f t="array" ref="M717">IFERROR(IF($A717=$A716,0,SUM(_xlfn._xlws.FILTER($E717:$E727,($A717:$A727=$A717)*($J717:$J727=M$42)))),0)</f>
        <v>0</v>
      </c>
      <c r="N717" s="1023" cm="1">
        <f t="array" ref="N717">IFERROR(IF($A717=$A716,0,SUM(_xlfn._xlws.FILTER($E717:$E727,($A717:$A727=$A717)*($J717:$J727=N$42)))),0)</f>
        <v>0</v>
      </c>
    </row>
    <row r="718" spans="5:14" x14ac:dyDescent="0.3">
      <c r="E718" s="1022">
        <f ca="1">IFERROR(C718*D718*_xlfn.XLOOKUP(B718,TabCalc[Ticker],TabCalc[Scale]),0)</f>
        <v>0</v>
      </c>
      <c r="F718" s="1023" cm="1">
        <f t="array" ref="F718">IF(A718=A717,0,SUM(_xlfn._xlws.FILTER(E718:E727,A718:A727=A718)))</f>
        <v>0</v>
      </c>
      <c r="G718" s="1024">
        <f>IF(F718&lt;&gt;0,SUM($F$43:F718),0)</f>
        <v>0</v>
      </c>
      <c r="H718" s="1024" cm="1">
        <f t="array" ref="H718">IFERROR(IF(A718=A717,0,SUM(_xlfn._xlws.FILTER(E718:E727,(A718:A727=A718)*(E718:E727&gt;0)))),0)</f>
        <v>0</v>
      </c>
      <c r="I718" s="1024" cm="1">
        <f t="array" ref="I718">IFERROR(IF(A718=A717,0,SUM(_xlfn._xlws.FILTER(E718:E727,(A718:A727=A718)*(F718&lt;0)))),0)</f>
        <v>0</v>
      </c>
      <c r="J718" s="293" t="str">
        <f ca="1">IFERROR(_xlfn.XLOOKUP(B718,TabCalc[Ticker],TabCalc[Cur]),"")</f>
        <v/>
      </c>
      <c r="K718" s="1023" cm="1">
        <f t="array" ref="K718">IFERROR(IF($A718=$A717,0,SUM(_xlfn._xlws.FILTER($E718:$E728,($A718:$A728=$A718)*($J718:$J728=K$42)))),0)</f>
        <v>0</v>
      </c>
      <c r="L718" s="1023" cm="1">
        <f t="array" ref="L718">IFERROR(IF($A718=$A717,0,SUM(_xlfn._xlws.FILTER($E718:$E728,($A718:$A728=$A718)*($J718:$J728=L$42)))),0)</f>
        <v>0</v>
      </c>
      <c r="M718" s="1023" cm="1">
        <f t="array" ref="M718">IFERROR(IF($A718=$A717,0,SUM(_xlfn._xlws.FILTER($E718:$E728,($A718:$A728=$A718)*($J718:$J728=M$42)))),0)</f>
        <v>0</v>
      </c>
      <c r="N718" s="1023" cm="1">
        <f t="array" ref="N718">IFERROR(IF($A718=$A717,0,SUM(_xlfn._xlws.FILTER($E718:$E728,($A718:$A728=$A718)*($J718:$J728=N$42)))),0)</f>
        <v>0</v>
      </c>
    </row>
    <row r="719" spans="5:14" x14ac:dyDescent="0.3">
      <c r="E719" s="1022">
        <f ca="1">IFERROR(C719*D719*_xlfn.XLOOKUP(B719,TabCalc[Ticker],TabCalc[Scale]),0)</f>
        <v>0</v>
      </c>
      <c r="F719" s="1023" cm="1">
        <f t="array" ref="F719">IF(A719=A718,0,SUM(_xlfn._xlws.FILTER(E719:E728,A719:A728=A719)))</f>
        <v>0</v>
      </c>
      <c r="G719" s="1024">
        <f>IF(F719&lt;&gt;0,SUM($F$43:F719),0)</f>
        <v>0</v>
      </c>
      <c r="H719" s="1024" cm="1">
        <f t="array" ref="H719">IFERROR(IF(A719=A718,0,SUM(_xlfn._xlws.FILTER(E719:E728,(A719:A728=A719)*(E719:E728&gt;0)))),0)</f>
        <v>0</v>
      </c>
      <c r="I719" s="1024" cm="1">
        <f t="array" ref="I719">IFERROR(IF(A719=A718,0,SUM(_xlfn._xlws.FILTER(E719:E728,(A719:A728=A719)*(F719&lt;0)))),0)</f>
        <v>0</v>
      </c>
      <c r="J719" s="293" t="str">
        <f ca="1">IFERROR(_xlfn.XLOOKUP(B719,TabCalc[Ticker],TabCalc[Cur]),"")</f>
        <v/>
      </c>
      <c r="K719" s="1023" cm="1">
        <f t="array" ref="K719">IFERROR(IF($A719=$A718,0,SUM(_xlfn._xlws.FILTER($E719:$E729,($A719:$A729=$A719)*($J719:$J729=K$42)))),0)</f>
        <v>0</v>
      </c>
      <c r="L719" s="1023" cm="1">
        <f t="array" ref="L719">IFERROR(IF($A719=$A718,0,SUM(_xlfn._xlws.FILTER($E719:$E729,($A719:$A729=$A719)*($J719:$J729=L$42)))),0)</f>
        <v>0</v>
      </c>
      <c r="M719" s="1023" cm="1">
        <f t="array" ref="M719">IFERROR(IF($A719=$A718,0,SUM(_xlfn._xlws.FILTER($E719:$E729,($A719:$A729=$A719)*($J719:$J729=M$42)))),0)</f>
        <v>0</v>
      </c>
      <c r="N719" s="1023" cm="1">
        <f t="array" ref="N719">IFERROR(IF($A719=$A718,0,SUM(_xlfn._xlws.FILTER($E719:$E729,($A719:$A729=$A719)*($J719:$J729=N$42)))),0)</f>
        <v>0</v>
      </c>
    </row>
    <row r="720" spans="5:14" x14ac:dyDescent="0.3">
      <c r="E720" s="1022">
        <f ca="1">IFERROR(C720*D720*_xlfn.XLOOKUP(B720,TabCalc[Ticker],TabCalc[Scale]),0)</f>
        <v>0</v>
      </c>
      <c r="F720" s="1023" cm="1">
        <f t="array" ref="F720">IF(A720=A719,0,SUM(_xlfn._xlws.FILTER(E720:E729,A720:A729=A720)))</f>
        <v>0</v>
      </c>
      <c r="G720" s="1024">
        <f>IF(F720&lt;&gt;0,SUM($F$43:F720),0)</f>
        <v>0</v>
      </c>
      <c r="H720" s="1024" cm="1">
        <f t="array" ref="H720">IFERROR(IF(A720=A719,0,SUM(_xlfn._xlws.FILTER(E720:E729,(A720:A729=A720)*(E720:E729&gt;0)))),0)</f>
        <v>0</v>
      </c>
      <c r="I720" s="1024" cm="1">
        <f t="array" ref="I720">IFERROR(IF(A720=A719,0,SUM(_xlfn._xlws.FILTER(E720:E729,(A720:A729=A720)*(F720&lt;0)))),0)</f>
        <v>0</v>
      </c>
      <c r="J720" s="293" t="str">
        <f ca="1">IFERROR(_xlfn.XLOOKUP(B720,TabCalc[Ticker],TabCalc[Cur]),"")</f>
        <v/>
      </c>
      <c r="K720" s="1023" cm="1">
        <f t="array" ref="K720">IFERROR(IF($A720=$A719,0,SUM(_xlfn._xlws.FILTER($E720:$E730,($A720:$A730=$A720)*($J720:$J730=K$42)))),0)</f>
        <v>0</v>
      </c>
      <c r="L720" s="1023" cm="1">
        <f t="array" ref="L720">IFERROR(IF($A720=$A719,0,SUM(_xlfn._xlws.FILTER($E720:$E730,($A720:$A730=$A720)*($J720:$J730=L$42)))),0)</f>
        <v>0</v>
      </c>
      <c r="M720" s="1023" cm="1">
        <f t="array" ref="M720">IFERROR(IF($A720=$A719,0,SUM(_xlfn._xlws.FILTER($E720:$E730,($A720:$A730=$A720)*($J720:$J730=M$42)))),0)</f>
        <v>0</v>
      </c>
      <c r="N720" s="1023" cm="1">
        <f t="array" ref="N720">IFERROR(IF($A720=$A719,0,SUM(_xlfn._xlws.FILTER($E720:$E730,($A720:$A730=$A720)*($J720:$J730=N$42)))),0)</f>
        <v>0</v>
      </c>
    </row>
    <row r="721" spans="5:14" x14ac:dyDescent="0.3">
      <c r="E721" s="1022">
        <f ca="1">IFERROR(C721*D721*_xlfn.XLOOKUP(B721,TabCalc[Ticker],TabCalc[Scale]),0)</f>
        <v>0</v>
      </c>
      <c r="F721" s="1023" cm="1">
        <f t="array" ref="F721">IF(A721=A720,0,SUM(_xlfn._xlws.FILTER(E721:E730,A721:A730=A721)))</f>
        <v>0</v>
      </c>
      <c r="G721" s="1024">
        <f>IF(F721&lt;&gt;0,SUM($F$43:F721),0)</f>
        <v>0</v>
      </c>
      <c r="H721" s="1024" cm="1">
        <f t="array" ref="H721">IFERROR(IF(A721=A720,0,SUM(_xlfn._xlws.FILTER(E721:E730,(A721:A730=A721)*(E721:E730&gt;0)))),0)</f>
        <v>0</v>
      </c>
      <c r="I721" s="1024" cm="1">
        <f t="array" ref="I721">IFERROR(IF(A721=A720,0,SUM(_xlfn._xlws.FILTER(E721:E730,(A721:A730=A721)*(F721&lt;0)))),0)</f>
        <v>0</v>
      </c>
      <c r="J721" s="293" t="str">
        <f ca="1">IFERROR(_xlfn.XLOOKUP(B721,TabCalc[Ticker],TabCalc[Cur]),"")</f>
        <v/>
      </c>
      <c r="K721" s="1023" cm="1">
        <f t="array" ref="K721">IFERROR(IF($A721=$A720,0,SUM(_xlfn._xlws.FILTER($E721:$E731,($A721:$A731=$A721)*($J721:$J731=K$42)))),0)</f>
        <v>0</v>
      </c>
      <c r="L721" s="1023" cm="1">
        <f t="array" ref="L721">IFERROR(IF($A721=$A720,0,SUM(_xlfn._xlws.FILTER($E721:$E731,($A721:$A731=$A721)*($J721:$J731=L$42)))),0)</f>
        <v>0</v>
      </c>
      <c r="M721" s="1023" cm="1">
        <f t="array" ref="M721">IFERROR(IF($A721=$A720,0,SUM(_xlfn._xlws.FILTER($E721:$E731,($A721:$A731=$A721)*($J721:$J731=M$42)))),0)</f>
        <v>0</v>
      </c>
      <c r="N721" s="1023" cm="1">
        <f t="array" ref="N721">IFERROR(IF($A721=$A720,0,SUM(_xlfn._xlws.FILTER($E721:$E731,($A721:$A731=$A721)*($J721:$J731=N$42)))),0)</f>
        <v>0</v>
      </c>
    </row>
    <row r="722" spans="5:14" x14ac:dyDescent="0.3">
      <c r="E722" s="1022">
        <f ca="1">IFERROR(C722*D722*_xlfn.XLOOKUP(B722,TabCalc[Ticker],TabCalc[Scale]),0)</f>
        <v>0</v>
      </c>
      <c r="F722" s="1023" cm="1">
        <f t="array" ref="F722">IF(A722=A721,0,SUM(_xlfn._xlws.FILTER(E722:E731,A722:A731=A722)))</f>
        <v>0</v>
      </c>
      <c r="G722" s="1024">
        <f>IF(F722&lt;&gt;0,SUM($F$43:F722),0)</f>
        <v>0</v>
      </c>
      <c r="H722" s="1024" cm="1">
        <f t="array" ref="H722">IFERROR(IF(A722=A721,0,SUM(_xlfn._xlws.FILTER(E722:E731,(A722:A731=A722)*(E722:E731&gt;0)))),0)</f>
        <v>0</v>
      </c>
      <c r="I722" s="1024" cm="1">
        <f t="array" ref="I722">IFERROR(IF(A722=A721,0,SUM(_xlfn._xlws.FILTER(E722:E731,(A722:A731=A722)*(F722&lt;0)))),0)</f>
        <v>0</v>
      </c>
      <c r="J722" s="293" t="str">
        <f ca="1">IFERROR(_xlfn.XLOOKUP(B722,TabCalc[Ticker],TabCalc[Cur]),"")</f>
        <v/>
      </c>
      <c r="K722" s="1023" cm="1">
        <f t="array" ref="K722">IFERROR(IF($A722=$A721,0,SUM(_xlfn._xlws.FILTER($E722:$E732,($A722:$A732=$A722)*($J722:$J732=K$42)))),0)</f>
        <v>0</v>
      </c>
      <c r="L722" s="1023" cm="1">
        <f t="array" ref="L722">IFERROR(IF($A722=$A721,0,SUM(_xlfn._xlws.FILTER($E722:$E732,($A722:$A732=$A722)*($J722:$J732=L$42)))),0)</f>
        <v>0</v>
      </c>
      <c r="M722" s="1023" cm="1">
        <f t="array" ref="M722">IFERROR(IF($A722=$A721,0,SUM(_xlfn._xlws.FILTER($E722:$E732,($A722:$A732=$A722)*($J722:$J732=M$42)))),0)</f>
        <v>0</v>
      </c>
      <c r="N722" s="1023" cm="1">
        <f t="array" ref="N722">IFERROR(IF($A722=$A721,0,SUM(_xlfn._xlws.FILTER($E722:$E732,($A722:$A732=$A722)*($J722:$J732=N$42)))),0)</f>
        <v>0</v>
      </c>
    </row>
    <row r="723" spans="5:14" x14ac:dyDescent="0.3">
      <c r="E723" s="1022">
        <f ca="1">IFERROR(C723*D723*_xlfn.XLOOKUP(B723,TabCalc[Ticker],TabCalc[Scale]),0)</f>
        <v>0</v>
      </c>
      <c r="F723" s="1023" cm="1">
        <f t="array" ref="F723">IF(A723=A722,0,SUM(_xlfn._xlws.FILTER(E723:E732,A723:A732=A723)))</f>
        <v>0</v>
      </c>
      <c r="G723" s="1024">
        <f>IF(F723&lt;&gt;0,SUM($F$43:F723),0)</f>
        <v>0</v>
      </c>
      <c r="H723" s="1024" cm="1">
        <f t="array" ref="H723">IFERROR(IF(A723=A722,0,SUM(_xlfn._xlws.FILTER(E723:E732,(A723:A732=A723)*(E723:E732&gt;0)))),0)</f>
        <v>0</v>
      </c>
      <c r="I723" s="1024" cm="1">
        <f t="array" ref="I723">IFERROR(IF(A723=A722,0,SUM(_xlfn._xlws.FILTER(E723:E732,(A723:A732=A723)*(F723&lt;0)))),0)</f>
        <v>0</v>
      </c>
      <c r="J723" s="293" t="str">
        <f ca="1">IFERROR(_xlfn.XLOOKUP(B723,TabCalc[Ticker],TabCalc[Cur]),"")</f>
        <v/>
      </c>
      <c r="K723" s="1023" cm="1">
        <f t="array" ref="K723">IFERROR(IF($A723=$A722,0,SUM(_xlfn._xlws.FILTER($E723:$E733,($A723:$A733=$A723)*($J723:$J733=K$42)))),0)</f>
        <v>0</v>
      </c>
      <c r="L723" s="1023" cm="1">
        <f t="array" ref="L723">IFERROR(IF($A723=$A722,0,SUM(_xlfn._xlws.FILTER($E723:$E733,($A723:$A733=$A723)*($J723:$J733=L$42)))),0)</f>
        <v>0</v>
      </c>
      <c r="M723" s="1023" cm="1">
        <f t="array" ref="M723">IFERROR(IF($A723=$A722,0,SUM(_xlfn._xlws.FILTER($E723:$E733,($A723:$A733=$A723)*($J723:$J733=M$42)))),0)</f>
        <v>0</v>
      </c>
      <c r="N723" s="1023" cm="1">
        <f t="array" ref="N723">IFERROR(IF($A723=$A722,0,SUM(_xlfn._xlws.FILTER($E723:$E733,($A723:$A733=$A723)*($J723:$J733=N$42)))),0)</f>
        <v>0</v>
      </c>
    </row>
    <row r="724" spans="5:14" x14ac:dyDescent="0.3">
      <c r="E724" s="1022">
        <f ca="1">IFERROR(C724*D724*_xlfn.XLOOKUP(B724,TabCalc[Ticker],TabCalc[Scale]),0)</f>
        <v>0</v>
      </c>
      <c r="F724" s="1023" cm="1">
        <f t="array" ref="F724">IF(A724=A723,0,SUM(_xlfn._xlws.FILTER(E724:E733,A724:A733=A724)))</f>
        <v>0</v>
      </c>
      <c r="G724" s="1024">
        <f>IF(F724&lt;&gt;0,SUM($F$43:F724),0)</f>
        <v>0</v>
      </c>
      <c r="H724" s="1024" cm="1">
        <f t="array" ref="H724">IFERROR(IF(A724=A723,0,SUM(_xlfn._xlws.FILTER(E724:E733,(A724:A733=A724)*(E724:E733&gt;0)))),0)</f>
        <v>0</v>
      </c>
      <c r="I724" s="1024" cm="1">
        <f t="array" ref="I724">IFERROR(IF(A724=A723,0,SUM(_xlfn._xlws.FILTER(E724:E733,(A724:A733=A724)*(F724&lt;0)))),0)</f>
        <v>0</v>
      </c>
      <c r="J724" s="293" t="str">
        <f ca="1">IFERROR(_xlfn.XLOOKUP(B724,TabCalc[Ticker],TabCalc[Cur]),"")</f>
        <v/>
      </c>
      <c r="K724" s="1023" cm="1">
        <f t="array" ref="K724">IFERROR(IF($A724=$A723,0,SUM(_xlfn._xlws.FILTER($E724:$E734,($A724:$A734=$A724)*($J724:$J734=K$42)))),0)</f>
        <v>0</v>
      </c>
      <c r="L724" s="1023" cm="1">
        <f t="array" ref="L724">IFERROR(IF($A724=$A723,0,SUM(_xlfn._xlws.FILTER($E724:$E734,($A724:$A734=$A724)*($J724:$J734=L$42)))),0)</f>
        <v>0</v>
      </c>
      <c r="M724" s="1023" cm="1">
        <f t="array" ref="M724">IFERROR(IF($A724=$A723,0,SUM(_xlfn._xlws.FILTER($E724:$E734,($A724:$A734=$A724)*($J724:$J734=M$42)))),0)</f>
        <v>0</v>
      </c>
      <c r="N724" s="1023" cm="1">
        <f t="array" ref="N724">IFERROR(IF($A724=$A723,0,SUM(_xlfn._xlws.FILTER($E724:$E734,($A724:$A734=$A724)*($J724:$J734=N$42)))),0)</f>
        <v>0</v>
      </c>
    </row>
    <row r="725" spans="5:14" x14ac:dyDescent="0.3">
      <c r="E725" s="1022">
        <f ca="1">IFERROR(C725*D725*_xlfn.XLOOKUP(B725,TabCalc[Ticker],TabCalc[Scale]),0)</f>
        <v>0</v>
      </c>
      <c r="F725" s="1023" cm="1">
        <f t="array" ref="F725">IF(A725=A724,0,SUM(_xlfn._xlws.FILTER(E725:E734,A725:A734=A725)))</f>
        <v>0</v>
      </c>
      <c r="G725" s="1024">
        <f>IF(F725&lt;&gt;0,SUM($F$43:F725),0)</f>
        <v>0</v>
      </c>
      <c r="H725" s="1024" cm="1">
        <f t="array" ref="H725">IFERROR(IF(A725=A724,0,SUM(_xlfn._xlws.FILTER(E725:E734,(A725:A734=A725)*(E725:E734&gt;0)))),0)</f>
        <v>0</v>
      </c>
      <c r="I725" s="1024" cm="1">
        <f t="array" ref="I725">IFERROR(IF(A725=A724,0,SUM(_xlfn._xlws.FILTER(E725:E734,(A725:A734=A725)*(F725&lt;0)))),0)</f>
        <v>0</v>
      </c>
      <c r="J725" s="293" t="str">
        <f ca="1">IFERROR(_xlfn.XLOOKUP(B725,TabCalc[Ticker],TabCalc[Cur]),"")</f>
        <v/>
      </c>
      <c r="K725" s="1023" cm="1">
        <f t="array" ref="K725">IFERROR(IF($A725=$A724,0,SUM(_xlfn._xlws.FILTER($E725:$E735,($A725:$A735=$A725)*($J725:$J735=K$42)))),0)</f>
        <v>0</v>
      </c>
      <c r="L725" s="1023" cm="1">
        <f t="array" ref="L725">IFERROR(IF($A725=$A724,0,SUM(_xlfn._xlws.FILTER($E725:$E735,($A725:$A735=$A725)*($J725:$J735=L$42)))),0)</f>
        <v>0</v>
      </c>
      <c r="M725" s="1023" cm="1">
        <f t="array" ref="M725">IFERROR(IF($A725=$A724,0,SUM(_xlfn._xlws.FILTER($E725:$E735,($A725:$A735=$A725)*($J725:$J735=M$42)))),0)</f>
        <v>0</v>
      </c>
      <c r="N725" s="1023" cm="1">
        <f t="array" ref="N725">IFERROR(IF($A725=$A724,0,SUM(_xlfn._xlws.FILTER($E725:$E735,($A725:$A735=$A725)*($J725:$J735=N$42)))),0)</f>
        <v>0</v>
      </c>
    </row>
    <row r="726" spans="5:14" x14ac:dyDescent="0.3">
      <c r="E726" s="1022">
        <f ca="1">IFERROR(C726*D726*_xlfn.XLOOKUP(B726,TabCalc[Ticker],TabCalc[Scale]),0)</f>
        <v>0</v>
      </c>
      <c r="F726" s="1023" cm="1">
        <f t="array" ref="F726">IF(A726=A725,0,SUM(_xlfn._xlws.FILTER(E726:E735,A726:A735=A726)))</f>
        <v>0</v>
      </c>
      <c r="G726" s="1024">
        <f>IF(F726&lt;&gt;0,SUM($F$43:F726),0)</f>
        <v>0</v>
      </c>
      <c r="H726" s="1024" cm="1">
        <f t="array" ref="H726">IFERROR(IF(A726=A725,0,SUM(_xlfn._xlws.FILTER(E726:E735,(A726:A735=A726)*(E726:E735&gt;0)))),0)</f>
        <v>0</v>
      </c>
      <c r="I726" s="1024" cm="1">
        <f t="array" ref="I726">IFERROR(IF(A726=A725,0,SUM(_xlfn._xlws.FILTER(E726:E735,(A726:A735=A726)*(F726&lt;0)))),0)</f>
        <v>0</v>
      </c>
      <c r="J726" s="293" t="str">
        <f ca="1">IFERROR(_xlfn.XLOOKUP(B726,TabCalc[Ticker],TabCalc[Cur]),"")</f>
        <v/>
      </c>
      <c r="K726" s="1023" cm="1">
        <f t="array" ref="K726">IFERROR(IF($A726=$A725,0,SUM(_xlfn._xlws.FILTER($E726:$E736,($A726:$A736=$A726)*($J726:$J736=K$42)))),0)</f>
        <v>0</v>
      </c>
      <c r="L726" s="1023" cm="1">
        <f t="array" ref="L726">IFERROR(IF($A726=$A725,0,SUM(_xlfn._xlws.FILTER($E726:$E736,($A726:$A736=$A726)*($J726:$J736=L$42)))),0)</f>
        <v>0</v>
      </c>
      <c r="M726" s="1023" cm="1">
        <f t="array" ref="M726">IFERROR(IF($A726=$A725,0,SUM(_xlfn._xlws.FILTER($E726:$E736,($A726:$A736=$A726)*($J726:$J736=M$42)))),0)</f>
        <v>0</v>
      </c>
      <c r="N726" s="1023" cm="1">
        <f t="array" ref="N726">IFERROR(IF($A726=$A725,0,SUM(_xlfn._xlws.FILTER($E726:$E736,($A726:$A736=$A726)*($J726:$J736=N$42)))),0)</f>
        <v>0</v>
      </c>
    </row>
    <row r="727" spans="5:14" x14ac:dyDescent="0.3">
      <c r="E727" s="1022">
        <f ca="1">IFERROR(C727*D727*_xlfn.XLOOKUP(B727,TabCalc[Ticker],TabCalc[Scale]),0)</f>
        <v>0</v>
      </c>
      <c r="F727" s="1023" cm="1">
        <f t="array" ref="F727">IF(A727=A726,0,SUM(_xlfn._xlws.FILTER(E727:E736,A727:A736=A727)))</f>
        <v>0</v>
      </c>
      <c r="G727" s="1024">
        <f>IF(F727&lt;&gt;0,SUM($F$43:F727),0)</f>
        <v>0</v>
      </c>
      <c r="H727" s="1024" cm="1">
        <f t="array" ref="H727">IFERROR(IF(A727=A726,0,SUM(_xlfn._xlws.FILTER(E727:E736,(A727:A736=A727)*(E727:E736&gt;0)))),0)</f>
        <v>0</v>
      </c>
      <c r="I727" s="1024" cm="1">
        <f t="array" ref="I727">IFERROR(IF(A727=A726,0,SUM(_xlfn._xlws.FILTER(E727:E736,(A727:A736=A727)*(F727&lt;0)))),0)</f>
        <v>0</v>
      </c>
      <c r="J727" s="293" t="str">
        <f ca="1">IFERROR(_xlfn.XLOOKUP(B727,TabCalc[Ticker],TabCalc[Cur]),"")</f>
        <v/>
      </c>
      <c r="K727" s="1023" cm="1">
        <f t="array" ref="K727">IFERROR(IF($A727=$A726,0,SUM(_xlfn._xlws.FILTER($E727:$E737,($A727:$A737=$A727)*($J727:$J737=K$42)))),0)</f>
        <v>0</v>
      </c>
      <c r="L727" s="1023" cm="1">
        <f t="array" ref="L727">IFERROR(IF($A727=$A726,0,SUM(_xlfn._xlws.FILTER($E727:$E737,($A727:$A737=$A727)*($J727:$J737=L$42)))),0)</f>
        <v>0</v>
      </c>
      <c r="M727" s="1023" cm="1">
        <f t="array" ref="M727">IFERROR(IF($A727=$A726,0,SUM(_xlfn._xlws.FILTER($E727:$E737,($A727:$A737=$A727)*($J727:$J737=M$42)))),0)</f>
        <v>0</v>
      </c>
      <c r="N727" s="1023" cm="1">
        <f t="array" ref="N727">IFERROR(IF($A727=$A726,0,SUM(_xlfn._xlws.FILTER($E727:$E737,($A727:$A737=$A727)*($J727:$J737=N$42)))),0)</f>
        <v>0</v>
      </c>
    </row>
    <row r="728" spans="5:14" x14ac:dyDescent="0.3">
      <c r="E728" s="1022">
        <f ca="1">IFERROR(C728*D728*_xlfn.XLOOKUP(B728,TabCalc[Ticker],TabCalc[Scale]),0)</f>
        <v>0</v>
      </c>
      <c r="F728" s="1023" cm="1">
        <f t="array" ref="F728">IF(A728=A727,0,SUM(_xlfn._xlws.FILTER(E728:E737,A728:A737=A728)))</f>
        <v>0</v>
      </c>
      <c r="G728" s="1024">
        <f>IF(F728&lt;&gt;0,SUM($F$43:F728),0)</f>
        <v>0</v>
      </c>
      <c r="H728" s="1024" cm="1">
        <f t="array" ref="H728">IFERROR(IF(A728=A727,0,SUM(_xlfn._xlws.FILTER(E728:E737,(A728:A737=A728)*(E728:E737&gt;0)))),0)</f>
        <v>0</v>
      </c>
      <c r="I728" s="1024" cm="1">
        <f t="array" ref="I728">IFERROR(IF(A728=A727,0,SUM(_xlfn._xlws.FILTER(E728:E737,(A728:A737=A728)*(F728&lt;0)))),0)</f>
        <v>0</v>
      </c>
      <c r="J728" s="293" t="str">
        <f ca="1">IFERROR(_xlfn.XLOOKUP(B728,TabCalc[Ticker],TabCalc[Cur]),"")</f>
        <v/>
      </c>
      <c r="K728" s="1023" cm="1">
        <f t="array" ref="K728">IFERROR(IF($A728=$A727,0,SUM(_xlfn._xlws.FILTER($E728:$E738,($A728:$A738=$A728)*($J728:$J738=K$42)))),0)</f>
        <v>0</v>
      </c>
      <c r="L728" s="1023" cm="1">
        <f t="array" ref="L728">IFERROR(IF($A728=$A727,0,SUM(_xlfn._xlws.FILTER($E728:$E738,($A728:$A738=$A728)*($J728:$J738=L$42)))),0)</f>
        <v>0</v>
      </c>
      <c r="M728" s="1023" cm="1">
        <f t="array" ref="M728">IFERROR(IF($A728=$A727,0,SUM(_xlfn._xlws.FILTER($E728:$E738,($A728:$A738=$A728)*($J728:$J738=M$42)))),0)</f>
        <v>0</v>
      </c>
      <c r="N728" s="1023" cm="1">
        <f t="array" ref="N728">IFERROR(IF($A728=$A727,0,SUM(_xlfn._xlws.FILTER($E728:$E738,($A728:$A738=$A728)*($J728:$J738=N$42)))),0)</f>
        <v>0</v>
      </c>
    </row>
    <row r="729" spans="5:14" x14ac:dyDescent="0.3">
      <c r="E729" s="1022">
        <f ca="1">IFERROR(C729*D729*_xlfn.XLOOKUP(B729,TabCalc[Ticker],TabCalc[Scale]),0)</f>
        <v>0</v>
      </c>
      <c r="F729" s="1023" cm="1">
        <f t="array" ref="F729">IF(A729=A728,0,SUM(_xlfn._xlws.FILTER(E729:E738,A729:A738=A729)))</f>
        <v>0</v>
      </c>
      <c r="G729" s="1024">
        <f>IF(F729&lt;&gt;0,SUM($F$43:F729),0)</f>
        <v>0</v>
      </c>
      <c r="H729" s="1024" cm="1">
        <f t="array" ref="H729">IFERROR(IF(A729=A728,0,SUM(_xlfn._xlws.FILTER(E729:E738,(A729:A738=A729)*(E729:E738&gt;0)))),0)</f>
        <v>0</v>
      </c>
      <c r="I729" s="1024" cm="1">
        <f t="array" ref="I729">IFERROR(IF(A729=A728,0,SUM(_xlfn._xlws.FILTER(E729:E738,(A729:A738=A729)*(F729&lt;0)))),0)</f>
        <v>0</v>
      </c>
      <c r="J729" s="293" t="str">
        <f ca="1">IFERROR(_xlfn.XLOOKUP(B729,TabCalc[Ticker],TabCalc[Cur]),"")</f>
        <v/>
      </c>
      <c r="K729" s="1023" cm="1">
        <f t="array" ref="K729">IFERROR(IF($A729=$A728,0,SUM(_xlfn._xlws.FILTER($E729:$E739,($A729:$A739=$A729)*($J729:$J739=K$42)))),0)</f>
        <v>0</v>
      </c>
      <c r="L729" s="1023" cm="1">
        <f t="array" ref="L729">IFERROR(IF($A729=$A728,0,SUM(_xlfn._xlws.FILTER($E729:$E739,($A729:$A739=$A729)*($J729:$J739=L$42)))),0)</f>
        <v>0</v>
      </c>
      <c r="M729" s="1023" cm="1">
        <f t="array" ref="M729">IFERROR(IF($A729=$A728,0,SUM(_xlfn._xlws.FILTER($E729:$E739,($A729:$A739=$A729)*($J729:$J739=M$42)))),0)</f>
        <v>0</v>
      </c>
      <c r="N729" s="1023" cm="1">
        <f t="array" ref="N729">IFERROR(IF($A729=$A728,0,SUM(_xlfn._xlws.FILTER($E729:$E739,($A729:$A739=$A729)*($J729:$J739=N$42)))),0)</f>
        <v>0</v>
      </c>
    </row>
    <row r="730" spans="5:14" x14ac:dyDescent="0.3">
      <c r="E730" s="1022">
        <f ca="1">IFERROR(C730*D730*_xlfn.XLOOKUP(B730,TabCalc[Ticker],TabCalc[Scale]),0)</f>
        <v>0</v>
      </c>
      <c r="F730" s="1023" cm="1">
        <f t="array" ref="F730">IF(A730=A729,0,SUM(_xlfn._xlws.FILTER(E730:E739,A730:A739=A730)))</f>
        <v>0</v>
      </c>
      <c r="G730" s="1024">
        <f>IF(F730&lt;&gt;0,SUM($F$43:F730),0)</f>
        <v>0</v>
      </c>
      <c r="H730" s="1024" cm="1">
        <f t="array" ref="H730">IFERROR(IF(A730=A729,0,SUM(_xlfn._xlws.FILTER(E730:E739,(A730:A739=A730)*(E730:E739&gt;0)))),0)</f>
        <v>0</v>
      </c>
      <c r="I730" s="1024" cm="1">
        <f t="array" ref="I730">IFERROR(IF(A730=A729,0,SUM(_xlfn._xlws.FILTER(E730:E739,(A730:A739=A730)*(F730&lt;0)))),0)</f>
        <v>0</v>
      </c>
      <c r="J730" s="293" t="str">
        <f ca="1">IFERROR(_xlfn.XLOOKUP(B730,TabCalc[Ticker],TabCalc[Cur]),"")</f>
        <v/>
      </c>
      <c r="K730" s="1023" cm="1">
        <f t="array" ref="K730">IFERROR(IF($A730=$A729,0,SUM(_xlfn._xlws.FILTER($E730:$E740,($A730:$A740=$A730)*($J730:$J740=K$42)))),0)</f>
        <v>0</v>
      </c>
      <c r="L730" s="1023" cm="1">
        <f t="array" ref="L730">IFERROR(IF($A730=$A729,0,SUM(_xlfn._xlws.FILTER($E730:$E740,($A730:$A740=$A730)*($J730:$J740=L$42)))),0)</f>
        <v>0</v>
      </c>
      <c r="M730" s="1023" cm="1">
        <f t="array" ref="M730">IFERROR(IF($A730=$A729,0,SUM(_xlfn._xlws.FILTER($E730:$E740,($A730:$A740=$A730)*($J730:$J740=M$42)))),0)</f>
        <v>0</v>
      </c>
      <c r="N730" s="1023" cm="1">
        <f t="array" ref="N730">IFERROR(IF($A730=$A729,0,SUM(_xlfn._xlws.FILTER($E730:$E740,($A730:$A740=$A730)*($J730:$J740=N$42)))),0)</f>
        <v>0</v>
      </c>
    </row>
    <row r="731" spans="5:14" x14ac:dyDescent="0.3">
      <c r="E731" s="1022">
        <f ca="1">IFERROR(C731*D731*_xlfn.XLOOKUP(B731,TabCalc[Ticker],TabCalc[Scale]),0)</f>
        <v>0</v>
      </c>
      <c r="F731" s="1023" cm="1">
        <f t="array" ref="F731">IF(A731=A730,0,SUM(_xlfn._xlws.FILTER(E731:E740,A731:A740=A731)))</f>
        <v>0</v>
      </c>
      <c r="G731" s="1024">
        <f>IF(F731&lt;&gt;0,SUM($F$43:F731),0)</f>
        <v>0</v>
      </c>
      <c r="H731" s="1024" cm="1">
        <f t="array" ref="H731">IFERROR(IF(A731=A730,0,SUM(_xlfn._xlws.FILTER(E731:E740,(A731:A740=A731)*(E731:E740&gt;0)))),0)</f>
        <v>0</v>
      </c>
      <c r="I731" s="1024" cm="1">
        <f t="array" ref="I731">IFERROR(IF(A731=A730,0,SUM(_xlfn._xlws.FILTER(E731:E740,(A731:A740=A731)*(F731&lt;0)))),0)</f>
        <v>0</v>
      </c>
      <c r="J731" s="293" t="str">
        <f ca="1">IFERROR(_xlfn.XLOOKUP(B731,TabCalc[Ticker],TabCalc[Cur]),"")</f>
        <v/>
      </c>
      <c r="K731" s="1023" cm="1">
        <f t="array" ref="K731">IFERROR(IF($A731=$A730,0,SUM(_xlfn._xlws.FILTER($E731:$E741,($A731:$A741=$A731)*($J731:$J741=K$42)))),0)</f>
        <v>0</v>
      </c>
      <c r="L731" s="1023" cm="1">
        <f t="array" ref="L731">IFERROR(IF($A731=$A730,0,SUM(_xlfn._xlws.FILTER($E731:$E741,($A731:$A741=$A731)*($J731:$J741=L$42)))),0)</f>
        <v>0</v>
      </c>
      <c r="M731" s="1023" cm="1">
        <f t="array" ref="M731">IFERROR(IF($A731=$A730,0,SUM(_xlfn._xlws.FILTER($E731:$E741,($A731:$A741=$A731)*($J731:$J741=M$42)))),0)</f>
        <v>0</v>
      </c>
      <c r="N731" s="1023" cm="1">
        <f t="array" ref="N731">IFERROR(IF($A731=$A730,0,SUM(_xlfn._xlws.FILTER($E731:$E741,($A731:$A741=$A731)*($J731:$J741=N$42)))),0)</f>
        <v>0</v>
      </c>
    </row>
    <row r="732" spans="5:14" x14ac:dyDescent="0.3">
      <c r="E732" s="1022">
        <f ca="1">IFERROR(C732*D732*_xlfn.XLOOKUP(B732,TabCalc[Ticker],TabCalc[Scale]),0)</f>
        <v>0</v>
      </c>
      <c r="F732" s="1023" cm="1">
        <f t="array" ref="F732">IF(A732=A731,0,SUM(_xlfn._xlws.FILTER(E732:E741,A732:A741=A732)))</f>
        <v>0</v>
      </c>
      <c r="G732" s="1024">
        <f>IF(F732&lt;&gt;0,SUM($F$43:F732),0)</f>
        <v>0</v>
      </c>
      <c r="H732" s="1024" cm="1">
        <f t="array" ref="H732">IFERROR(IF(A732=A731,0,SUM(_xlfn._xlws.FILTER(E732:E741,(A732:A741=A732)*(E732:E741&gt;0)))),0)</f>
        <v>0</v>
      </c>
      <c r="I732" s="1024" cm="1">
        <f t="array" ref="I732">IFERROR(IF(A732=A731,0,SUM(_xlfn._xlws.FILTER(E732:E741,(A732:A741=A732)*(F732&lt;0)))),0)</f>
        <v>0</v>
      </c>
      <c r="J732" s="293" t="str">
        <f ca="1">IFERROR(_xlfn.XLOOKUP(B732,TabCalc[Ticker],TabCalc[Cur]),"")</f>
        <v/>
      </c>
      <c r="K732" s="1023" cm="1">
        <f t="array" ref="K732">IFERROR(IF($A732=$A731,0,SUM(_xlfn._xlws.FILTER($E732:$E742,($A732:$A742=$A732)*($J732:$J742=K$42)))),0)</f>
        <v>0</v>
      </c>
      <c r="L732" s="1023" cm="1">
        <f t="array" ref="L732">IFERROR(IF($A732=$A731,0,SUM(_xlfn._xlws.FILTER($E732:$E742,($A732:$A742=$A732)*($J732:$J742=L$42)))),0)</f>
        <v>0</v>
      </c>
      <c r="M732" s="1023" cm="1">
        <f t="array" ref="M732">IFERROR(IF($A732=$A731,0,SUM(_xlfn._xlws.FILTER($E732:$E742,($A732:$A742=$A732)*($J732:$J742=M$42)))),0)</f>
        <v>0</v>
      </c>
      <c r="N732" s="1023" cm="1">
        <f t="array" ref="N732">IFERROR(IF($A732=$A731,0,SUM(_xlfn._xlws.FILTER($E732:$E742,($A732:$A742=$A732)*($J732:$J742=N$42)))),0)</f>
        <v>0</v>
      </c>
    </row>
    <row r="733" spans="5:14" x14ac:dyDescent="0.3">
      <c r="E733" s="1022">
        <f ca="1">IFERROR(C733*D733*_xlfn.XLOOKUP(B733,TabCalc[Ticker],TabCalc[Scale]),0)</f>
        <v>0</v>
      </c>
      <c r="F733" s="1023" cm="1">
        <f t="array" ref="F733">IF(A733=A732,0,SUM(_xlfn._xlws.FILTER(E733:E742,A733:A742=A733)))</f>
        <v>0</v>
      </c>
      <c r="G733" s="1024">
        <f>IF(F733&lt;&gt;0,SUM($F$43:F733),0)</f>
        <v>0</v>
      </c>
      <c r="H733" s="1024" cm="1">
        <f t="array" ref="H733">IFERROR(IF(A733=A732,0,SUM(_xlfn._xlws.FILTER(E733:E742,(A733:A742=A733)*(E733:E742&gt;0)))),0)</f>
        <v>0</v>
      </c>
      <c r="I733" s="1024" cm="1">
        <f t="array" ref="I733">IFERROR(IF(A733=A732,0,SUM(_xlfn._xlws.FILTER(E733:E742,(A733:A742=A733)*(F733&lt;0)))),0)</f>
        <v>0</v>
      </c>
      <c r="J733" s="293" t="str">
        <f ca="1">IFERROR(_xlfn.XLOOKUP(B733,TabCalc[Ticker],TabCalc[Cur]),"")</f>
        <v/>
      </c>
      <c r="K733" s="1023" cm="1">
        <f t="array" ref="K733">IFERROR(IF($A733=$A732,0,SUM(_xlfn._xlws.FILTER($E733:$E743,($A733:$A743=$A733)*($J733:$J743=K$42)))),0)</f>
        <v>0</v>
      </c>
      <c r="L733" s="1023" cm="1">
        <f t="array" ref="L733">IFERROR(IF($A733=$A732,0,SUM(_xlfn._xlws.FILTER($E733:$E743,($A733:$A743=$A733)*($J733:$J743=L$42)))),0)</f>
        <v>0</v>
      </c>
      <c r="M733" s="1023" cm="1">
        <f t="array" ref="M733">IFERROR(IF($A733=$A732,0,SUM(_xlfn._xlws.FILTER($E733:$E743,($A733:$A743=$A733)*($J733:$J743=M$42)))),0)</f>
        <v>0</v>
      </c>
      <c r="N733" s="1023" cm="1">
        <f t="array" ref="N733">IFERROR(IF($A733=$A732,0,SUM(_xlfn._xlws.FILTER($E733:$E743,($A733:$A743=$A733)*($J733:$J743=N$42)))),0)</f>
        <v>0</v>
      </c>
    </row>
    <row r="734" spans="5:14" x14ac:dyDescent="0.3">
      <c r="E734" s="1022">
        <f ca="1">IFERROR(C734*D734*_xlfn.XLOOKUP(B734,TabCalc[Ticker],TabCalc[Scale]),0)</f>
        <v>0</v>
      </c>
      <c r="F734" s="1023" cm="1">
        <f t="array" ref="F734">IF(A734=A733,0,SUM(_xlfn._xlws.FILTER(E734:E743,A734:A743=A734)))</f>
        <v>0</v>
      </c>
      <c r="G734" s="1024">
        <f>IF(F734&lt;&gt;0,SUM($F$43:F734),0)</f>
        <v>0</v>
      </c>
      <c r="H734" s="1024" cm="1">
        <f t="array" ref="H734">IFERROR(IF(A734=A733,0,SUM(_xlfn._xlws.FILTER(E734:E743,(A734:A743=A734)*(E734:E743&gt;0)))),0)</f>
        <v>0</v>
      </c>
      <c r="I734" s="1024" cm="1">
        <f t="array" ref="I734">IFERROR(IF(A734=A733,0,SUM(_xlfn._xlws.FILTER(E734:E743,(A734:A743=A734)*(F734&lt;0)))),0)</f>
        <v>0</v>
      </c>
      <c r="J734" s="293" t="str">
        <f ca="1">IFERROR(_xlfn.XLOOKUP(B734,TabCalc[Ticker],TabCalc[Cur]),"")</f>
        <v/>
      </c>
      <c r="K734" s="1023" cm="1">
        <f t="array" ref="K734">IFERROR(IF($A734=$A733,0,SUM(_xlfn._xlws.FILTER($E734:$E744,($A734:$A744=$A734)*($J734:$J744=K$42)))),0)</f>
        <v>0</v>
      </c>
      <c r="L734" s="1023" cm="1">
        <f t="array" ref="L734">IFERROR(IF($A734=$A733,0,SUM(_xlfn._xlws.FILTER($E734:$E744,($A734:$A744=$A734)*($J734:$J744=L$42)))),0)</f>
        <v>0</v>
      </c>
      <c r="M734" s="1023" cm="1">
        <f t="array" ref="M734">IFERROR(IF($A734=$A733,0,SUM(_xlfn._xlws.FILTER($E734:$E744,($A734:$A744=$A734)*($J734:$J744=M$42)))),0)</f>
        <v>0</v>
      </c>
      <c r="N734" s="1023" cm="1">
        <f t="array" ref="N734">IFERROR(IF($A734=$A733,0,SUM(_xlfn._xlws.FILTER($E734:$E744,($A734:$A744=$A734)*($J734:$J744=N$42)))),0)</f>
        <v>0</v>
      </c>
    </row>
    <row r="735" spans="5:14" x14ac:dyDescent="0.3">
      <c r="E735" s="1022">
        <f ca="1">IFERROR(C735*D735*_xlfn.XLOOKUP(B735,TabCalc[Ticker],TabCalc[Scale]),0)</f>
        <v>0</v>
      </c>
      <c r="F735" s="1023" cm="1">
        <f t="array" ref="F735">IF(A735=A734,0,SUM(_xlfn._xlws.FILTER(E735:E744,A735:A744=A735)))</f>
        <v>0</v>
      </c>
      <c r="G735" s="1024">
        <f>IF(F735&lt;&gt;0,SUM($F$43:F735),0)</f>
        <v>0</v>
      </c>
      <c r="H735" s="1024" cm="1">
        <f t="array" ref="H735">IFERROR(IF(A735=A734,0,SUM(_xlfn._xlws.FILTER(E735:E744,(A735:A744=A735)*(E735:E744&gt;0)))),0)</f>
        <v>0</v>
      </c>
      <c r="I735" s="1024" cm="1">
        <f t="array" ref="I735">IFERROR(IF(A735=A734,0,SUM(_xlfn._xlws.FILTER(E735:E744,(A735:A744=A735)*(F735&lt;0)))),0)</f>
        <v>0</v>
      </c>
      <c r="J735" s="293" t="str">
        <f ca="1">IFERROR(_xlfn.XLOOKUP(B735,TabCalc[Ticker],TabCalc[Cur]),"")</f>
        <v/>
      </c>
      <c r="K735" s="1023" cm="1">
        <f t="array" ref="K735">IFERROR(IF($A735=$A734,0,SUM(_xlfn._xlws.FILTER($E735:$E745,($A735:$A745=$A735)*($J735:$J745=K$42)))),0)</f>
        <v>0</v>
      </c>
      <c r="L735" s="1023" cm="1">
        <f t="array" ref="L735">IFERROR(IF($A735=$A734,0,SUM(_xlfn._xlws.FILTER($E735:$E745,($A735:$A745=$A735)*($J735:$J745=L$42)))),0)</f>
        <v>0</v>
      </c>
      <c r="M735" s="1023" cm="1">
        <f t="array" ref="M735">IFERROR(IF($A735=$A734,0,SUM(_xlfn._xlws.FILTER($E735:$E745,($A735:$A745=$A735)*($J735:$J745=M$42)))),0)</f>
        <v>0</v>
      </c>
      <c r="N735" s="1023" cm="1">
        <f t="array" ref="N735">IFERROR(IF($A735=$A734,0,SUM(_xlfn._xlws.FILTER($E735:$E745,($A735:$A745=$A735)*($J735:$J745=N$42)))),0)</f>
        <v>0</v>
      </c>
    </row>
    <row r="736" spans="5:14" x14ac:dyDescent="0.3">
      <c r="E736" s="1022">
        <f ca="1">IFERROR(C736*D736*_xlfn.XLOOKUP(B736,TabCalc[Ticker],TabCalc[Scale]),0)</f>
        <v>0</v>
      </c>
      <c r="F736" s="1023" cm="1">
        <f t="array" ref="F736">IF(A736=A735,0,SUM(_xlfn._xlws.FILTER(E736:E745,A736:A745=A736)))</f>
        <v>0</v>
      </c>
      <c r="G736" s="1024">
        <f>IF(F736&lt;&gt;0,SUM($F$43:F736),0)</f>
        <v>0</v>
      </c>
      <c r="H736" s="1024" cm="1">
        <f t="array" ref="H736">IFERROR(IF(A736=A735,0,SUM(_xlfn._xlws.FILTER(E736:E745,(A736:A745=A736)*(E736:E745&gt;0)))),0)</f>
        <v>0</v>
      </c>
      <c r="I736" s="1024" cm="1">
        <f t="array" ref="I736">IFERROR(IF(A736=A735,0,SUM(_xlfn._xlws.FILTER(E736:E745,(A736:A745=A736)*(F736&lt;0)))),0)</f>
        <v>0</v>
      </c>
      <c r="J736" s="293" t="str">
        <f ca="1">IFERROR(_xlfn.XLOOKUP(B736,TabCalc[Ticker],TabCalc[Cur]),"")</f>
        <v/>
      </c>
      <c r="K736" s="1023" cm="1">
        <f t="array" ref="K736">IFERROR(IF($A736=$A735,0,SUM(_xlfn._xlws.FILTER($E736:$E746,($A736:$A746=$A736)*($J736:$J746=K$42)))),0)</f>
        <v>0</v>
      </c>
      <c r="L736" s="1023" cm="1">
        <f t="array" ref="L736">IFERROR(IF($A736=$A735,0,SUM(_xlfn._xlws.FILTER($E736:$E746,($A736:$A746=$A736)*($J736:$J746=L$42)))),0)</f>
        <v>0</v>
      </c>
      <c r="M736" s="1023" cm="1">
        <f t="array" ref="M736">IFERROR(IF($A736=$A735,0,SUM(_xlfn._xlws.FILTER($E736:$E746,($A736:$A746=$A736)*($J736:$J746=M$42)))),0)</f>
        <v>0</v>
      </c>
      <c r="N736" s="1023" cm="1">
        <f t="array" ref="N736">IFERROR(IF($A736=$A735,0,SUM(_xlfn._xlws.FILTER($E736:$E746,($A736:$A746=$A736)*($J736:$J746=N$42)))),0)</f>
        <v>0</v>
      </c>
    </row>
    <row r="737" spans="5:14" x14ac:dyDescent="0.3">
      <c r="E737" s="1022">
        <f ca="1">IFERROR(C737*D737*_xlfn.XLOOKUP(B737,TabCalc[Ticker],TabCalc[Scale]),0)</f>
        <v>0</v>
      </c>
      <c r="F737" s="1023" cm="1">
        <f t="array" ref="F737">IF(A737=A736,0,SUM(_xlfn._xlws.FILTER(E737:E746,A737:A746=A737)))</f>
        <v>0</v>
      </c>
      <c r="G737" s="1024">
        <f>IF(F737&lt;&gt;0,SUM($F$43:F737),0)</f>
        <v>0</v>
      </c>
      <c r="H737" s="1024" cm="1">
        <f t="array" ref="H737">IFERROR(IF(A737=A736,0,SUM(_xlfn._xlws.FILTER(E737:E746,(A737:A746=A737)*(E737:E746&gt;0)))),0)</f>
        <v>0</v>
      </c>
      <c r="I737" s="1024" cm="1">
        <f t="array" ref="I737">IFERROR(IF(A737=A736,0,SUM(_xlfn._xlws.FILTER(E737:E746,(A737:A746=A737)*(F737&lt;0)))),0)</f>
        <v>0</v>
      </c>
      <c r="J737" s="293" t="str">
        <f ca="1">IFERROR(_xlfn.XLOOKUP(B737,TabCalc[Ticker],TabCalc[Cur]),"")</f>
        <v/>
      </c>
      <c r="K737" s="1023" cm="1">
        <f t="array" ref="K737">IFERROR(IF($A737=$A736,0,SUM(_xlfn._xlws.FILTER($E737:$E747,($A737:$A747=$A737)*($J737:$J747=K$42)))),0)</f>
        <v>0</v>
      </c>
      <c r="L737" s="1023" cm="1">
        <f t="array" ref="L737">IFERROR(IF($A737=$A736,0,SUM(_xlfn._xlws.FILTER($E737:$E747,($A737:$A747=$A737)*($J737:$J747=L$42)))),0)</f>
        <v>0</v>
      </c>
      <c r="M737" s="1023" cm="1">
        <f t="array" ref="M737">IFERROR(IF($A737=$A736,0,SUM(_xlfn._xlws.FILTER($E737:$E747,($A737:$A747=$A737)*($J737:$J747=M$42)))),0)</f>
        <v>0</v>
      </c>
      <c r="N737" s="1023" cm="1">
        <f t="array" ref="N737">IFERROR(IF($A737=$A736,0,SUM(_xlfn._xlws.FILTER($E737:$E747,($A737:$A747=$A737)*($J737:$J747=N$42)))),0)</f>
        <v>0</v>
      </c>
    </row>
    <row r="738" spans="5:14" x14ac:dyDescent="0.3">
      <c r="E738" s="1022">
        <f ca="1">IFERROR(C738*D738*_xlfn.XLOOKUP(B738,TabCalc[Ticker],TabCalc[Scale]),0)</f>
        <v>0</v>
      </c>
      <c r="F738" s="1023" cm="1">
        <f t="array" ref="F738">IF(A738=A737,0,SUM(_xlfn._xlws.FILTER(E738:E747,A738:A747=A738)))</f>
        <v>0</v>
      </c>
      <c r="G738" s="1024">
        <f>IF(F738&lt;&gt;0,SUM($F$43:F738),0)</f>
        <v>0</v>
      </c>
      <c r="H738" s="1024" cm="1">
        <f t="array" ref="H738">IFERROR(IF(A738=A737,0,SUM(_xlfn._xlws.FILTER(E738:E747,(A738:A747=A738)*(E738:E747&gt;0)))),0)</f>
        <v>0</v>
      </c>
      <c r="I738" s="1024" cm="1">
        <f t="array" ref="I738">IFERROR(IF(A738=A737,0,SUM(_xlfn._xlws.FILTER(E738:E747,(A738:A747=A738)*(F738&lt;0)))),0)</f>
        <v>0</v>
      </c>
      <c r="J738" s="293" t="str">
        <f ca="1">IFERROR(_xlfn.XLOOKUP(B738,TabCalc[Ticker],TabCalc[Cur]),"")</f>
        <v/>
      </c>
      <c r="K738" s="1023" cm="1">
        <f t="array" ref="K738">IFERROR(IF($A738=$A737,0,SUM(_xlfn._xlws.FILTER($E738:$E748,($A738:$A748=$A738)*($J738:$J748=K$42)))),0)</f>
        <v>0</v>
      </c>
      <c r="L738" s="1023" cm="1">
        <f t="array" ref="L738">IFERROR(IF($A738=$A737,0,SUM(_xlfn._xlws.FILTER($E738:$E748,($A738:$A748=$A738)*($J738:$J748=L$42)))),0)</f>
        <v>0</v>
      </c>
      <c r="M738" s="1023" cm="1">
        <f t="array" ref="M738">IFERROR(IF($A738=$A737,0,SUM(_xlfn._xlws.FILTER($E738:$E748,($A738:$A748=$A738)*($J738:$J748=M$42)))),0)</f>
        <v>0</v>
      </c>
      <c r="N738" s="1023" cm="1">
        <f t="array" ref="N738">IFERROR(IF($A738=$A737,0,SUM(_xlfn._xlws.FILTER($E738:$E748,($A738:$A748=$A738)*($J738:$J748=N$42)))),0)</f>
        <v>0</v>
      </c>
    </row>
    <row r="739" spans="5:14" x14ac:dyDescent="0.3">
      <c r="E739" s="1022">
        <f ca="1">IFERROR(C739*D739*_xlfn.XLOOKUP(B739,TabCalc[Ticker],TabCalc[Scale]),0)</f>
        <v>0</v>
      </c>
      <c r="F739" s="1023" cm="1">
        <f t="array" ref="F739">IF(A739=A738,0,SUM(_xlfn._xlws.FILTER(E739:E748,A739:A748=A739)))</f>
        <v>0</v>
      </c>
      <c r="G739" s="1024">
        <f>IF(F739&lt;&gt;0,SUM($F$43:F739),0)</f>
        <v>0</v>
      </c>
      <c r="H739" s="1024" cm="1">
        <f t="array" ref="H739">IFERROR(IF(A739=A738,0,SUM(_xlfn._xlws.FILTER(E739:E748,(A739:A748=A739)*(E739:E748&gt;0)))),0)</f>
        <v>0</v>
      </c>
      <c r="I739" s="1024" cm="1">
        <f t="array" ref="I739">IFERROR(IF(A739=A738,0,SUM(_xlfn._xlws.FILTER(E739:E748,(A739:A748=A739)*(F739&lt;0)))),0)</f>
        <v>0</v>
      </c>
      <c r="J739" s="293" t="str">
        <f ca="1">IFERROR(_xlfn.XLOOKUP(B739,TabCalc[Ticker],TabCalc[Cur]),"")</f>
        <v/>
      </c>
      <c r="K739" s="1023" cm="1">
        <f t="array" ref="K739">IFERROR(IF($A739=$A738,0,SUM(_xlfn._xlws.FILTER($E739:$E749,($A739:$A749=$A739)*($J739:$J749=K$42)))),0)</f>
        <v>0</v>
      </c>
      <c r="L739" s="1023" cm="1">
        <f t="array" ref="L739">IFERROR(IF($A739=$A738,0,SUM(_xlfn._xlws.FILTER($E739:$E749,($A739:$A749=$A739)*($J739:$J749=L$42)))),0)</f>
        <v>0</v>
      </c>
      <c r="M739" s="1023" cm="1">
        <f t="array" ref="M739">IFERROR(IF($A739=$A738,0,SUM(_xlfn._xlws.FILTER($E739:$E749,($A739:$A749=$A739)*($J739:$J749=M$42)))),0)</f>
        <v>0</v>
      </c>
      <c r="N739" s="1023" cm="1">
        <f t="array" ref="N739">IFERROR(IF($A739=$A738,0,SUM(_xlfn._xlws.FILTER($E739:$E749,($A739:$A749=$A739)*($J739:$J749=N$42)))),0)</f>
        <v>0</v>
      </c>
    </row>
    <row r="740" spans="5:14" x14ac:dyDescent="0.3">
      <c r="E740" s="1022">
        <f ca="1">IFERROR(C740*D740*_xlfn.XLOOKUP(B740,TabCalc[Ticker],TabCalc[Scale]),0)</f>
        <v>0</v>
      </c>
      <c r="F740" s="1023" cm="1">
        <f t="array" ref="F740">IF(A740=A739,0,SUM(_xlfn._xlws.FILTER(E740:E749,A740:A749=A740)))</f>
        <v>0</v>
      </c>
      <c r="G740" s="1024">
        <f>IF(F740&lt;&gt;0,SUM($F$43:F740),0)</f>
        <v>0</v>
      </c>
      <c r="H740" s="1024" cm="1">
        <f t="array" ref="H740">IFERROR(IF(A740=A739,0,SUM(_xlfn._xlws.FILTER(E740:E749,(A740:A749=A740)*(E740:E749&gt;0)))),0)</f>
        <v>0</v>
      </c>
      <c r="I740" s="1024" cm="1">
        <f t="array" ref="I740">IFERROR(IF(A740=A739,0,SUM(_xlfn._xlws.FILTER(E740:E749,(A740:A749=A740)*(F740&lt;0)))),0)</f>
        <v>0</v>
      </c>
      <c r="J740" s="293" t="str">
        <f ca="1">IFERROR(_xlfn.XLOOKUP(B740,TabCalc[Ticker],TabCalc[Cur]),"")</f>
        <v/>
      </c>
      <c r="K740" s="1023" cm="1">
        <f t="array" ref="K740">IFERROR(IF($A740=$A739,0,SUM(_xlfn._xlws.FILTER($E740:$E750,($A740:$A750=$A740)*($J740:$J750=K$42)))),0)</f>
        <v>0</v>
      </c>
      <c r="L740" s="1023" cm="1">
        <f t="array" ref="L740">IFERROR(IF($A740=$A739,0,SUM(_xlfn._xlws.FILTER($E740:$E750,($A740:$A750=$A740)*($J740:$J750=L$42)))),0)</f>
        <v>0</v>
      </c>
      <c r="M740" s="1023" cm="1">
        <f t="array" ref="M740">IFERROR(IF($A740=$A739,0,SUM(_xlfn._xlws.FILTER($E740:$E750,($A740:$A750=$A740)*($J740:$J750=M$42)))),0)</f>
        <v>0</v>
      </c>
      <c r="N740" s="1023" cm="1">
        <f t="array" ref="N740">IFERROR(IF($A740=$A739,0,SUM(_xlfn._xlws.FILTER($E740:$E750,($A740:$A750=$A740)*($J740:$J750=N$42)))),0)</f>
        <v>0</v>
      </c>
    </row>
    <row r="741" spans="5:14" x14ac:dyDescent="0.3">
      <c r="E741" s="1022">
        <f ca="1">IFERROR(C741*D741*_xlfn.XLOOKUP(B741,TabCalc[Ticker],TabCalc[Scale]),0)</f>
        <v>0</v>
      </c>
      <c r="F741" s="1023" cm="1">
        <f t="array" ref="F741">IF(A741=A740,0,SUM(_xlfn._xlws.FILTER(E741:E750,A741:A750=A741)))</f>
        <v>0</v>
      </c>
      <c r="G741" s="1024">
        <f>IF(F741&lt;&gt;0,SUM($F$43:F741),0)</f>
        <v>0</v>
      </c>
      <c r="H741" s="1024" cm="1">
        <f t="array" ref="H741">IFERROR(IF(A741=A740,0,SUM(_xlfn._xlws.FILTER(E741:E750,(A741:A750=A741)*(E741:E750&gt;0)))),0)</f>
        <v>0</v>
      </c>
      <c r="I741" s="1024" cm="1">
        <f t="array" ref="I741">IFERROR(IF(A741=A740,0,SUM(_xlfn._xlws.FILTER(E741:E750,(A741:A750=A741)*(F741&lt;0)))),0)</f>
        <v>0</v>
      </c>
      <c r="J741" s="293" t="str">
        <f ca="1">IFERROR(_xlfn.XLOOKUP(B741,TabCalc[Ticker],TabCalc[Cur]),"")</f>
        <v/>
      </c>
      <c r="K741" s="1023" cm="1">
        <f t="array" ref="K741">IFERROR(IF($A741=$A740,0,SUM(_xlfn._xlws.FILTER($E741:$E751,($A741:$A751=$A741)*($J741:$J751=K$42)))),0)</f>
        <v>0</v>
      </c>
      <c r="L741" s="1023" cm="1">
        <f t="array" ref="L741">IFERROR(IF($A741=$A740,0,SUM(_xlfn._xlws.FILTER($E741:$E751,($A741:$A751=$A741)*($J741:$J751=L$42)))),0)</f>
        <v>0</v>
      </c>
      <c r="M741" s="1023" cm="1">
        <f t="array" ref="M741">IFERROR(IF($A741=$A740,0,SUM(_xlfn._xlws.FILTER($E741:$E751,($A741:$A751=$A741)*($J741:$J751=M$42)))),0)</f>
        <v>0</v>
      </c>
      <c r="N741" s="1023" cm="1">
        <f t="array" ref="N741">IFERROR(IF($A741=$A740,0,SUM(_xlfn._xlws.FILTER($E741:$E751,($A741:$A751=$A741)*($J741:$J751=N$42)))),0)</f>
        <v>0</v>
      </c>
    </row>
    <row r="742" spans="5:14" x14ac:dyDescent="0.3">
      <c r="E742" s="1022">
        <f ca="1">IFERROR(C742*D742*_xlfn.XLOOKUP(B742,TabCalc[Ticker],TabCalc[Scale]),0)</f>
        <v>0</v>
      </c>
      <c r="F742" s="1023" cm="1">
        <f t="array" ref="F742">IF(A742=A741,0,SUM(_xlfn._xlws.FILTER(E742:E751,A742:A751=A742)))</f>
        <v>0</v>
      </c>
      <c r="G742" s="1024">
        <f>IF(F742&lt;&gt;0,SUM($F$43:F742),0)</f>
        <v>0</v>
      </c>
      <c r="H742" s="1024" cm="1">
        <f t="array" ref="H742">IFERROR(IF(A742=A741,0,SUM(_xlfn._xlws.FILTER(E742:E751,(A742:A751=A742)*(E742:E751&gt;0)))),0)</f>
        <v>0</v>
      </c>
      <c r="I742" s="1024" cm="1">
        <f t="array" ref="I742">IFERROR(IF(A742=A741,0,SUM(_xlfn._xlws.FILTER(E742:E751,(A742:A751=A742)*(F742&lt;0)))),0)</f>
        <v>0</v>
      </c>
      <c r="J742" s="293" t="str">
        <f ca="1">IFERROR(_xlfn.XLOOKUP(B742,TabCalc[Ticker],TabCalc[Cur]),"")</f>
        <v/>
      </c>
      <c r="K742" s="1023" cm="1">
        <f t="array" ref="K742">IFERROR(IF($A742=$A741,0,SUM(_xlfn._xlws.FILTER($E742:$E752,($A742:$A752=$A742)*($J742:$J752=K$42)))),0)</f>
        <v>0</v>
      </c>
      <c r="L742" s="1023" cm="1">
        <f t="array" ref="L742">IFERROR(IF($A742=$A741,0,SUM(_xlfn._xlws.FILTER($E742:$E752,($A742:$A752=$A742)*($J742:$J752=L$42)))),0)</f>
        <v>0</v>
      </c>
      <c r="M742" s="1023" cm="1">
        <f t="array" ref="M742">IFERROR(IF($A742=$A741,0,SUM(_xlfn._xlws.FILTER($E742:$E752,($A742:$A752=$A742)*($J742:$J752=M$42)))),0)</f>
        <v>0</v>
      </c>
      <c r="N742" s="1023" cm="1">
        <f t="array" ref="N742">IFERROR(IF($A742=$A741,0,SUM(_xlfn._xlws.FILTER($E742:$E752,($A742:$A752=$A742)*($J742:$J752=N$42)))),0)</f>
        <v>0</v>
      </c>
    </row>
    <row r="743" spans="5:14" x14ac:dyDescent="0.3">
      <c r="E743" s="1022">
        <f ca="1">IFERROR(C743*D743*_xlfn.XLOOKUP(B743,TabCalc[Ticker],TabCalc[Scale]),0)</f>
        <v>0</v>
      </c>
      <c r="F743" s="1023" cm="1">
        <f t="array" ref="F743">IF(A743=A742,0,SUM(_xlfn._xlws.FILTER(E743:E752,A743:A752=A743)))</f>
        <v>0</v>
      </c>
      <c r="G743" s="1024">
        <f>IF(F743&lt;&gt;0,SUM($F$43:F743),0)</f>
        <v>0</v>
      </c>
      <c r="H743" s="1024" cm="1">
        <f t="array" ref="H743">IFERROR(IF(A743=A742,0,SUM(_xlfn._xlws.FILTER(E743:E752,(A743:A752=A743)*(E743:E752&gt;0)))),0)</f>
        <v>0</v>
      </c>
      <c r="I743" s="1024" cm="1">
        <f t="array" ref="I743">IFERROR(IF(A743=A742,0,SUM(_xlfn._xlws.FILTER(E743:E752,(A743:A752=A743)*(F743&lt;0)))),0)</f>
        <v>0</v>
      </c>
      <c r="J743" s="293" t="str">
        <f ca="1">IFERROR(_xlfn.XLOOKUP(B743,TabCalc[Ticker],TabCalc[Cur]),"")</f>
        <v/>
      </c>
      <c r="K743" s="1023" cm="1">
        <f t="array" ref="K743">IFERROR(IF($A743=$A742,0,SUM(_xlfn._xlws.FILTER($E743:$E753,($A743:$A753=$A743)*($J743:$J753=K$42)))),0)</f>
        <v>0</v>
      </c>
      <c r="L743" s="1023" cm="1">
        <f t="array" ref="L743">IFERROR(IF($A743=$A742,0,SUM(_xlfn._xlws.FILTER($E743:$E753,($A743:$A753=$A743)*($J743:$J753=L$42)))),0)</f>
        <v>0</v>
      </c>
      <c r="M743" s="1023" cm="1">
        <f t="array" ref="M743">IFERROR(IF($A743=$A742,0,SUM(_xlfn._xlws.FILTER($E743:$E753,($A743:$A753=$A743)*($J743:$J753=M$42)))),0)</f>
        <v>0</v>
      </c>
      <c r="N743" s="1023" cm="1">
        <f t="array" ref="N743">IFERROR(IF($A743=$A742,0,SUM(_xlfn._xlws.FILTER($E743:$E753,($A743:$A753=$A743)*($J743:$J753=N$42)))),0)</f>
        <v>0</v>
      </c>
    </row>
    <row r="744" spans="5:14" x14ac:dyDescent="0.3">
      <c r="E744" s="1022">
        <f ca="1">IFERROR(C744*D744*_xlfn.XLOOKUP(B744,TabCalc[Ticker],TabCalc[Scale]),0)</f>
        <v>0</v>
      </c>
      <c r="F744" s="1023" cm="1">
        <f t="array" ref="F744">IF(A744=A743,0,SUM(_xlfn._xlws.FILTER(E744:E753,A744:A753=A744)))</f>
        <v>0</v>
      </c>
      <c r="G744" s="1024">
        <f>IF(F744&lt;&gt;0,SUM($F$43:F744),0)</f>
        <v>0</v>
      </c>
      <c r="H744" s="1024" cm="1">
        <f t="array" ref="H744">IFERROR(IF(A744=A743,0,SUM(_xlfn._xlws.FILTER(E744:E753,(A744:A753=A744)*(E744:E753&gt;0)))),0)</f>
        <v>0</v>
      </c>
      <c r="I744" s="1024" cm="1">
        <f t="array" ref="I744">IFERROR(IF(A744=A743,0,SUM(_xlfn._xlws.FILTER(E744:E753,(A744:A753=A744)*(F744&lt;0)))),0)</f>
        <v>0</v>
      </c>
      <c r="J744" s="293" t="str">
        <f ca="1">IFERROR(_xlfn.XLOOKUP(B744,TabCalc[Ticker],TabCalc[Cur]),"")</f>
        <v/>
      </c>
      <c r="K744" s="1023" cm="1">
        <f t="array" ref="K744">IFERROR(IF($A744=$A743,0,SUM(_xlfn._xlws.FILTER($E744:$E754,($A744:$A754=$A744)*($J744:$J754=K$42)))),0)</f>
        <v>0</v>
      </c>
      <c r="L744" s="1023" cm="1">
        <f t="array" ref="L744">IFERROR(IF($A744=$A743,0,SUM(_xlfn._xlws.FILTER($E744:$E754,($A744:$A754=$A744)*($J744:$J754=L$42)))),0)</f>
        <v>0</v>
      </c>
      <c r="M744" s="1023" cm="1">
        <f t="array" ref="M744">IFERROR(IF($A744=$A743,0,SUM(_xlfn._xlws.FILTER($E744:$E754,($A744:$A754=$A744)*($J744:$J754=M$42)))),0)</f>
        <v>0</v>
      </c>
      <c r="N744" s="1023" cm="1">
        <f t="array" ref="N744">IFERROR(IF($A744=$A743,0,SUM(_xlfn._xlws.FILTER($E744:$E754,($A744:$A754=$A744)*($J744:$J754=N$42)))),0)</f>
        <v>0</v>
      </c>
    </row>
    <row r="745" spans="5:14" x14ac:dyDescent="0.3">
      <c r="E745" s="1022">
        <f ca="1">IFERROR(C745*D745*_xlfn.XLOOKUP(B745,TabCalc[Ticker],TabCalc[Scale]),0)</f>
        <v>0</v>
      </c>
      <c r="F745" s="1023" cm="1">
        <f t="array" ref="F745">IF(A745=A744,0,SUM(_xlfn._xlws.FILTER(E745:E754,A745:A754=A745)))</f>
        <v>0</v>
      </c>
      <c r="G745" s="1024">
        <f>IF(F745&lt;&gt;0,SUM($F$43:F745),0)</f>
        <v>0</v>
      </c>
      <c r="H745" s="1024" cm="1">
        <f t="array" ref="H745">IFERROR(IF(A745=A744,0,SUM(_xlfn._xlws.FILTER(E745:E754,(A745:A754=A745)*(E745:E754&gt;0)))),0)</f>
        <v>0</v>
      </c>
      <c r="I745" s="1024" cm="1">
        <f t="array" ref="I745">IFERROR(IF(A745=A744,0,SUM(_xlfn._xlws.FILTER(E745:E754,(A745:A754=A745)*(F745&lt;0)))),0)</f>
        <v>0</v>
      </c>
      <c r="J745" s="293" t="str">
        <f ca="1">IFERROR(_xlfn.XLOOKUP(B745,TabCalc[Ticker],TabCalc[Cur]),"")</f>
        <v/>
      </c>
      <c r="K745" s="1023" cm="1">
        <f t="array" ref="K745">IFERROR(IF($A745=$A744,0,SUM(_xlfn._xlws.FILTER($E745:$E755,($A745:$A755=$A745)*($J745:$J755=K$42)))),0)</f>
        <v>0</v>
      </c>
      <c r="L745" s="1023" cm="1">
        <f t="array" ref="L745">IFERROR(IF($A745=$A744,0,SUM(_xlfn._xlws.FILTER($E745:$E755,($A745:$A755=$A745)*($J745:$J755=L$42)))),0)</f>
        <v>0</v>
      </c>
      <c r="M745" s="1023" cm="1">
        <f t="array" ref="M745">IFERROR(IF($A745=$A744,0,SUM(_xlfn._xlws.FILTER($E745:$E755,($A745:$A755=$A745)*($J745:$J755=M$42)))),0)</f>
        <v>0</v>
      </c>
      <c r="N745" s="1023" cm="1">
        <f t="array" ref="N745">IFERROR(IF($A745=$A744,0,SUM(_xlfn._xlws.FILTER($E745:$E755,($A745:$A755=$A745)*($J745:$J755=N$42)))),0)</f>
        <v>0</v>
      </c>
    </row>
    <row r="746" spans="5:14" x14ac:dyDescent="0.3">
      <c r="E746" s="1022">
        <f ca="1">IFERROR(C746*D746*_xlfn.XLOOKUP(B746,TabCalc[Ticker],TabCalc[Scale]),0)</f>
        <v>0</v>
      </c>
      <c r="F746" s="1023" cm="1">
        <f t="array" ref="F746">IF(A746=A745,0,SUM(_xlfn._xlws.FILTER(E746:E755,A746:A755=A746)))</f>
        <v>0</v>
      </c>
      <c r="G746" s="1024">
        <f>IF(F746&lt;&gt;0,SUM($F$43:F746),0)</f>
        <v>0</v>
      </c>
      <c r="H746" s="1024" cm="1">
        <f t="array" ref="H746">IFERROR(IF(A746=A745,0,SUM(_xlfn._xlws.FILTER(E746:E755,(A746:A755=A746)*(E746:E755&gt;0)))),0)</f>
        <v>0</v>
      </c>
      <c r="I746" s="1024" cm="1">
        <f t="array" ref="I746">IFERROR(IF(A746=A745,0,SUM(_xlfn._xlws.FILTER(E746:E755,(A746:A755=A746)*(F746&lt;0)))),0)</f>
        <v>0</v>
      </c>
      <c r="J746" s="293" t="str">
        <f ca="1">IFERROR(_xlfn.XLOOKUP(B746,TabCalc[Ticker],TabCalc[Cur]),"")</f>
        <v/>
      </c>
      <c r="K746" s="1023" cm="1">
        <f t="array" ref="K746">IFERROR(IF($A746=$A745,0,SUM(_xlfn._xlws.FILTER($E746:$E756,($A746:$A756=$A746)*($J746:$J756=K$42)))),0)</f>
        <v>0</v>
      </c>
      <c r="L746" s="1023" cm="1">
        <f t="array" ref="L746">IFERROR(IF($A746=$A745,0,SUM(_xlfn._xlws.FILTER($E746:$E756,($A746:$A756=$A746)*($J746:$J756=L$42)))),0)</f>
        <v>0</v>
      </c>
      <c r="M746" s="1023" cm="1">
        <f t="array" ref="M746">IFERROR(IF($A746=$A745,0,SUM(_xlfn._xlws.FILTER($E746:$E756,($A746:$A756=$A746)*($J746:$J756=M$42)))),0)</f>
        <v>0</v>
      </c>
      <c r="N746" s="1023" cm="1">
        <f t="array" ref="N746">IFERROR(IF($A746=$A745,0,SUM(_xlfn._xlws.FILTER($E746:$E756,($A746:$A756=$A746)*($J746:$J756=N$42)))),0)</f>
        <v>0</v>
      </c>
    </row>
    <row r="747" spans="5:14" x14ac:dyDescent="0.3">
      <c r="E747" s="1022">
        <f ca="1">IFERROR(C747*D747*_xlfn.XLOOKUP(B747,TabCalc[Ticker],TabCalc[Scale]),0)</f>
        <v>0</v>
      </c>
      <c r="F747" s="1023" cm="1">
        <f t="array" ref="F747">IF(A747=A746,0,SUM(_xlfn._xlws.FILTER(E747:E756,A747:A756=A747)))</f>
        <v>0</v>
      </c>
      <c r="G747" s="1024">
        <f>IF(F747&lt;&gt;0,SUM($F$43:F747),0)</f>
        <v>0</v>
      </c>
      <c r="H747" s="1024" cm="1">
        <f t="array" ref="H747">IFERROR(IF(A747=A746,0,SUM(_xlfn._xlws.FILTER(E747:E756,(A747:A756=A747)*(E747:E756&gt;0)))),0)</f>
        <v>0</v>
      </c>
      <c r="I747" s="1024" cm="1">
        <f t="array" ref="I747">IFERROR(IF(A747=A746,0,SUM(_xlfn._xlws.FILTER(E747:E756,(A747:A756=A747)*(F747&lt;0)))),0)</f>
        <v>0</v>
      </c>
      <c r="J747" s="293" t="str">
        <f ca="1">IFERROR(_xlfn.XLOOKUP(B747,TabCalc[Ticker],TabCalc[Cur]),"")</f>
        <v/>
      </c>
      <c r="K747" s="1023" cm="1">
        <f t="array" ref="K747">IFERROR(IF($A747=$A746,0,SUM(_xlfn._xlws.FILTER($E747:$E757,($A747:$A757=$A747)*($J747:$J757=K$42)))),0)</f>
        <v>0</v>
      </c>
      <c r="L747" s="1023" cm="1">
        <f t="array" ref="L747">IFERROR(IF($A747=$A746,0,SUM(_xlfn._xlws.FILTER($E747:$E757,($A747:$A757=$A747)*($J747:$J757=L$42)))),0)</f>
        <v>0</v>
      </c>
      <c r="M747" s="1023" cm="1">
        <f t="array" ref="M747">IFERROR(IF($A747=$A746,0,SUM(_xlfn._xlws.FILTER($E747:$E757,($A747:$A757=$A747)*($J747:$J757=M$42)))),0)</f>
        <v>0</v>
      </c>
      <c r="N747" s="1023" cm="1">
        <f t="array" ref="N747">IFERROR(IF($A747=$A746,0,SUM(_xlfn._xlws.FILTER($E747:$E757,($A747:$A757=$A747)*($J747:$J757=N$42)))),0)</f>
        <v>0</v>
      </c>
    </row>
    <row r="748" spans="5:14" x14ac:dyDescent="0.3">
      <c r="E748" s="1022">
        <f ca="1">IFERROR(C748*D748*_xlfn.XLOOKUP(B748,TabCalc[Ticker],TabCalc[Scale]),0)</f>
        <v>0</v>
      </c>
      <c r="F748" s="1023" cm="1">
        <f t="array" ref="F748">IF(A748=A747,0,SUM(_xlfn._xlws.FILTER(E748:E757,A748:A757=A748)))</f>
        <v>0</v>
      </c>
      <c r="G748" s="1024">
        <f>IF(F748&lt;&gt;0,SUM($F$43:F748),0)</f>
        <v>0</v>
      </c>
      <c r="H748" s="1024" cm="1">
        <f t="array" ref="H748">IFERROR(IF(A748=A747,0,SUM(_xlfn._xlws.FILTER(E748:E757,(A748:A757=A748)*(E748:E757&gt;0)))),0)</f>
        <v>0</v>
      </c>
      <c r="I748" s="1024" cm="1">
        <f t="array" ref="I748">IFERROR(IF(A748=A747,0,SUM(_xlfn._xlws.FILTER(E748:E757,(A748:A757=A748)*(F748&lt;0)))),0)</f>
        <v>0</v>
      </c>
      <c r="J748" s="293" t="str">
        <f ca="1">IFERROR(_xlfn.XLOOKUP(B748,TabCalc[Ticker],TabCalc[Cur]),"")</f>
        <v/>
      </c>
      <c r="K748" s="1023" cm="1">
        <f t="array" ref="K748">IFERROR(IF($A748=$A747,0,SUM(_xlfn._xlws.FILTER($E748:$E758,($A748:$A758=$A748)*($J748:$J758=K$42)))),0)</f>
        <v>0</v>
      </c>
      <c r="L748" s="1023" cm="1">
        <f t="array" ref="L748">IFERROR(IF($A748=$A747,0,SUM(_xlfn._xlws.FILTER($E748:$E758,($A748:$A758=$A748)*($J748:$J758=L$42)))),0)</f>
        <v>0</v>
      </c>
      <c r="M748" s="1023" cm="1">
        <f t="array" ref="M748">IFERROR(IF($A748=$A747,0,SUM(_xlfn._xlws.FILTER($E748:$E758,($A748:$A758=$A748)*($J748:$J758=M$42)))),0)</f>
        <v>0</v>
      </c>
      <c r="N748" s="1023" cm="1">
        <f t="array" ref="N748">IFERROR(IF($A748=$A747,0,SUM(_xlfn._xlws.FILTER($E748:$E758,($A748:$A758=$A748)*($J748:$J758=N$42)))),0)</f>
        <v>0</v>
      </c>
    </row>
    <row r="749" spans="5:14" x14ac:dyDescent="0.3">
      <c r="E749" s="1022">
        <f ca="1">IFERROR(C749*D749*_xlfn.XLOOKUP(B749,TabCalc[Ticker],TabCalc[Scale]),0)</f>
        <v>0</v>
      </c>
      <c r="F749" s="1023" cm="1">
        <f t="array" ref="F749">IF(A749=A748,0,SUM(_xlfn._xlws.FILTER(E749:E758,A749:A758=A749)))</f>
        <v>0</v>
      </c>
      <c r="G749" s="1024">
        <f>IF(F749&lt;&gt;0,SUM($F$43:F749),0)</f>
        <v>0</v>
      </c>
      <c r="H749" s="1024" cm="1">
        <f t="array" ref="H749">IFERROR(IF(A749=A748,0,SUM(_xlfn._xlws.FILTER(E749:E758,(A749:A758=A749)*(E749:E758&gt;0)))),0)</f>
        <v>0</v>
      </c>
      <c r="I749" s="1024" cm="1">
        <f t="array" ref="I749">IFERROR(IF(A749=A748,0,SUM(_xlfn._xlws.FILTER(E749:E758,(A749:A758=A749)*(F749&lt;0)))),0)</f>
        <v>0</v>
      </c>
      <c r="J749" s="293" t="str">
        <f ca="1">IFERROR(_xlfn.XLOOKUP(B749,TabCalc[Ticker],TabCalc[Cur]),"")</f>
        <v/>
      </c>
      <c r="K749" s="1023" cm="1">
        <f t="array" ref="K749">IFERROR(IF($A749=$A748,0,SUM(_xlfn._xlws.FILTER($E749:$E759,($A749:$A759=$A749)*($J749:$J759=K$42)))),0)</f>
        <v>0</v>
      </c>
      <c r="L749" s="1023" cm="1">
        <f t="array" ref="L749">IFERROR(IF($A749=$A748,0,SUM(_xlfn._xlws.FILTER($E749:$E759,($A749:$A759=$A749)*($J749:$J759=L$42)))),0)</f>
        <v>0</v>
      </c>
      <c r="M749" s="1023" cm="1">
        <f t="array" ref="M749">IFERROR(IF($A749=$A748,0,SUM(_xlfn._xlws.FILTER($E749:$E759,($A749:$A759=$A749)*($J749:$J759=M$42)))),0)</f>
        <v>0</v>
      </c>
      <c r="N749" s="1023" cm="1">
        <f t="array" ref="N749">IFERROR(IF($A749=$A748,0,SUM(_xlfn._xlws.FILTER($E749:$E759,($A749:$A759=$A749)*($J749:$J759=N$42)))),0)</f>
        <v>0</v>
      </c>
    </row>
    <row r="750" spans="5:14" x14ac:dyDescent="0.3">
      <c r="E750" s="1022">
        <f ca="1">IFERROR(C750*D750*_xlfn.XLOOKUP(B750,TabCalc[Ticker],TabCalc[Scale]),0)</f>
        <v>0</v>
      </c>
      <c r="F750" s="1023" cm="1">
        <f t="array" ref="F750">IF(A750=A749,0,SUM(_xlfn._xlws.FILTER(E750:E759,A750:A759=A750)))</f>
        <v>0</v>
      </c>
      <c r="G750" s="1024">
        <f>IF(F750&lt;&gt;0,SUM($F$43:F750),0)</f>
        <v>0</v>
      </c>
      <c r="H750" s="1024" cm="1">
        <f t="array" ref="H750">IFERROR(IF(A750=A749,0,SUM(_xlfn._xlws.FILTER(E750:E759,(A750:A759=A750)*(E750:E759&gt;0)))),0)</f>
        <v>0</v>
      </c>
      <c r="I750" s="1024" cm="1">
        <f t="array" ref="I750">IFERROR(IF(A750=A749,0,SUM(_xlfn._xlws.FILTER(E750:E759,(A750:A759=A750)*(F750&lt;0)))),0)</f>
        <v>0</v>
      </c>
      <c r="J750" s="293" t="str">
        <f ca="1">IFERROR(_xlfn.XLOOKUP(B750,TabCalc[Ticker],TabCalc[Cur]),"")</f>
        <v/>
      </c>
      <c r="K750" s="1023" cm="1">
        <f t="array" ref="K750">IFERROR(IF($A750=$A749,0,SUM(_xlfn._xlws.FILTER($E750:$E760,($A750:$A760=$A750)*($J750:$J760=K$42)))),0)</f>
        <v>0</v>
      </c>
      <c r="L750" s="1023" cm="1">
        <f t="array" ref="L750">IFERROR(IF($A750=$A749,0,SUM(_xlfn._xlws.FILTER($E750:$E760,($A750:$A760=$A750)*($J750:$J760=L$42)))),0)</f>
        <v>0</v>
      </c>
      <c r="M750" s="1023" cm="1">
        <f t="array" ref="M750">IFERROR(IF($A750=$A749,0,SUM(_xlfn._xlws.FILTER($E750:$E760,($A750:$A760=$A750)*($J750:$J760=M$42)))),0)</f>
        <v>0</v>
      </c>
      <c r="N750" s="1023" cm="1">
        <f t="array" ref="N750">IFERROR(IF($A750=$A749,0,SUM(_xlfn._xlws.FILTER($E750:$E760,($A750:$A760=$A750)*($J750:$J760=N$42)))),0)</f>
        <v>0</v>
      </c>
    </row>
    <row r="751" spans="5:14" x14ac:dyDescent="0.3">
      <c r="E751" s="1022">
        <f ca="1">IFERROR(C751*D751*_xlfn.XLOOKUP(B751,TabCalc[Ticker],TabCalc[Scale]),0)</f>
        <v>0</v>
      </c>
      <c r="F751" s="1023" cm="1">
        <f t="array" ref="F751">IF(A751=A750,0,SUM(_xlfn._xlws.FILTER(E751:E760,A751:A760=A751)))</f>
        <v>0</v>
      </c>
      <c r="G751" s="1024">
        <f>IF(F751&lt;&gt;0,SUM($F$43:F751),0)</f>
        <v>0</v>
      </c>
      <c r="H751" s="1024" cm="1">
        <f t="array" ref="H751">IFERROR(IF(A751=A750,0,SUM(_xlfn._xlws.FILTER(E751:E760,(A751:A760=A751)*(E751:E760&gt;0)))),0)</f>
        <v>0</v>
      </c>
      <c r="I751" s="1024" cm="1">
        <f t="array" ref="I751">IFERROR(IF(A751=A750,0,SUM(_xlfn._xlws.FILTER(E751:E760,(A751:A760=A751)*(F751&lt;0)))),0)</f>
        <v>0</v>
      </c>
      <c r="J751" s="293" t="str">
        <f ca="1">IFERROR(_xlfn.XLOOKUP(B751,TabCalc[Ticker],TabCalc[Cur]),"")</f>
        <v/>
      </c>
      <c r="K751" s="1023" cm="1">
        <f t="array" ref="K751">IFERROR(IF($A751=$A750,0,SUM(_xlfn._xlws.FILTER($E751:$E761,($A751:$A761=$A751)*($J751:$J761=K$42)))),0)</f>
        <v>0</v>
      </c>
      <c r="L751" s="1023" cm="1">
        <f t="array" ref="L751">IFERROR(IF($A751=$A750,0,SUM(_xlfn._xlws.FILTER($E751:$E761,($A751:$A761=$A751)*($J751:$J761=L$42)))),0)</f>
        <v>0</v>
      </c>
      <c r="M751" s="1023" cm="1">
        <f t="array" ref="M751">IFERROR(IF($A751=$A750,0,SUM(_xlfn._xlws.FILTER($E751:$E761,($A751:$A761=$A751)*($J751:$J761=M$42)))),0)</f>
        <v>0</v>
      </c>
      <c r="N751" s="1023" cm="1">
        <f t="array" ref="N751">IFERROR(IF($A751=$A750,0,SUM(_xlfn._xlws.FILTER($E751:$E761,($A751:$A761=$A751)*($J751:$J761=N$42)))),0)</f>
        <v>0</v>
      </c>
    </row>
    <row r="752" spans="5:14" x14ac:dyDescent="0.3">
      <c r="E752" s="1022">
        <f ca="1">IFERROR(C752*D752*_xlfn.XLOOKUP(B752,TabCalc[Ticker],TabCalc[Scale]),0)</f>
        <v>0</v>
      </c>
      <c r="F752" s="1023" cm="1">
        <f t="array" ref="F752">IF(A752=A751,0,SUM(_xlfn._xlws.FILTER(E752:E761,A752:A761=A752)))</f>
        <v>0</v>
      </c>
      <c r="G752" s="1024">
        <f>IF(F752&lt;&gt;0,SUM($F$43:F752),0)</f>
        <v>0</v>
      </c>
      <c r="H752" s="1024" cm="1">
        <f t="array" ref="H752">IFERROR(IF(A752=A751,0,SUM(_xlfn._xlws.FILTER(E752:E761,(A752:A761=A752)*(E752:E761&gt;0)))),0)</f>
        <v>0</v>
      </c>
      <c r="I752" s="1024" cm="1">
        <f t="array" ref="I752">IFERROR(IF(A752=A751,0,SUM(_xlfn._xlws.FILTER(E752:E761,(A752:A761=A752)*(F752&lt;0)))),0)</f>
        <v>0</v>
      </c>
      <c r="J752" s="293" t="str">
        <f ca="1">IFERROR(_xlfn.XLOOKUP(B752,TabCalc[Ticker],TabCalc[Cur]),"")</f>
        <v/>
      </c>
      <c r="K752" s="1023" cm="1">
        <f t="array" ref="K752">IFERROR(IF($A752=$A751,0,SUM(_xlfn._xlws.FILTER($E752:$E762,($A752:$A762=$A752)*($J752:$J762=K$42)))),0)</f>
        <v>0</v>
      </c>
      <c r="L752" s="1023" cm="1">
        <f t="array" ref="L752">IFERROR(IF($A752=$A751,0,SUM(_xlfn._xlws.FILTER($E752:$E762,($A752:$A762=$A752)*($J752:$J762=L$42)))),0)</f>
        <v>0</v>
      </c>
      <c r="M752" s="1023" cm="1">
        <f t="array" ref="M752">IFERROR(IF($A752=$A751,0,SUM(_xlfn._xlws.FILTER($E752:$E762,($A752:$A762=$A752)*($J752:$J762=M$42)))),0)</f>
        <v>0</v>
      </c>
      <c r="N752" s="1023" cm="1">
        <f t="array" ref="N752">IFERROR(IF($A752=$A751,0,SUM(_xlfn._xlws.FILTER($E752:$E762,($A752:$A762=$A752)*($J752:$J762=N$42)))),0)</f>
        <v>0</v>
      </c>
    </row>
    <row r="753" spans="5:14" x14ac:dyDescent="0.3">
      <c r="E753" s="1022">
        <f ca="1">IFERROR(C753*D753*_xlfn.XLOOKUP(B753,TabCalc[Ticker],TabCalc[Scale]),0)</f>
        <v>0</v>
      </c>
      <c r="F753" s="1023" cm="1">
        <f t="array" ref="F753">IF(A753=A752,0,SUM(_xlfn._xlws.FILTER(E753:E762,A753:A762=A753)))</f>
        <v>0</v>
      </c>
      <c r="G753" s="1024">
        <f>IF(F753&lt;&gt;0,SUM($F$43:F753),0)</f>
        <v>0</v>
      </c>
      <c r="H753" s="1024" cm="1">
        <f t="array" ref="H753">IFERROR(IF(A753=A752,0,SUM(_xlfn._xlws.FILTER(E753:E762,(A753:A762=A753)*(E753:E762&gt;0)))),0)</f>
        <v>0</v>
      </c>
      <c r="I753" s="1024" cm="1">
        <f t="array" ref="I753">IFERROR(IF(A753=A752,0,SUM(_xlfn._xlws.FILTER(E753:E762,(A753:A762=A753)*(F753&lt;0)))),0)</f>
        <v>0</v>
      </c>
      <c r="J753" s="293" t="str">
        <f ca="1">IFERROR(_xlfn.XLOOKUP(B753,TabCalc[Ticker],TabCalc[Cur]),"")</f>
        <v/>
      </c>
      <c r="K753" s="1023" cm="1">
        <f t="array" ref="K753">IFERROR(IF($A753=$A752,0,SUM(_xlfn._xlws.FILTER($E753:$E763,($A753:$A763=$A753)*($J753:$J763=K$42)))),0)</f>
        <v>0</v>
      </c>
      <c r="L753" s="1023" cm="1">
        <f t="array" ref="L753">IFERROR(IF($A753=$A752,0,SUM(_xlfn._xlws.FILTER($E753:$E763,($A753:$A763=$A753)*($J753:$J763=L$42)))),0)</f>
        <v>0</v>
      </c>
      <c r="M753" s="1023" cm="1">
        <f t="array" ref="M753">IFERROR(IF($A753=$A752,0,SUM(_xlfn._xlws.FILTER($E753:$E763,($A753:$A763=$A753)*($J753:$J763=M$42)))),0)</f>
        <v>0</v>
      </c>
      <c r="N753" s="1023" cm="1">
        <f t="array" ref="N753">IFERROR(IF($A753=$A752,0,SUM(_xlfn._xlws.FILTER($E753:$E763,($A753:$A763=$A753)*($J753:$J763=N$42)))),0)</f>
        <v>0</v>
      </c>
    </row>
    <row r="754" spans="5:14" x14ac:dyDescent="0.3">
      <c r="E754" s="1022">
        <f ca="1">IFERROR(C754*D754*_xlfn.XLOOKUP(B754,TabCalc[Ticker],TabCalc[Scale]),0)</f>
        <v>0</v>
      </c>
      <c r="F754" s="1023" cm="1">
        <f t="array" ref="F754">IF(A754=A753,0,SUM(_xlfn._xlws.FILTER(E754:E763,A754:A763=A754)))</f>
        <v>0</v>
      </c>
      <c r="G754" s="1024">
        <f>IF(F754&lt;&gt;0,SUM($F$43:F754),0)</f>
        <v>0</v>
      </c>
      <c r="H754" s="1024" cm="1">
        <f t="array" ref="H754">IFERROR(IF(A754=A753,0,SUM(_xlfn._xlws.FILTER(E754:E763,(A754:A763=A754)*(E754:E763&gt;0)))),0)</f>
        <v>0</v>
      </c>
      <c r="I754" s="1024" cm="1">
        <f t="array" ref="I754">IFERROR(IF(A754=A753,0,SUM(_xlfn._xlws.FILTER(E754:E763,(A754:A763=A754)*(F754&lt;0)))),0)</f>
        <v>0</v>
      </c>
      <c r="J754" s="293" t="str">
        <f ca="1">IFERROR(_xlfn.XLOOKUP(B754,TabCalc[Ticker],TabCalc[Cur]),"")</f>
        <v/>
      </c>
      <c r="K754" s="1023" cm="1">
        <f t="array" ref="K754">IFERROR(IF($A754=$A753,0,SUM(_xlfn._xlws.FILTER($E754:$E764,($A754:$A764=$A754)*($J754:$J764=K$42)))),0)</f>
        <v>0</v>
      </c>
      <c r="L754" s="1023" cm="1">
        <f t="array" ref="L754">IFERROR(IF($A754=$A753,0,SUM(_xlfn._xlws.FILTER($E754:$E764,($A754:$A764=$A754)*($J754:$J764=L$42)))),0)</f>
        <v>0</v>
      </c>
      <c r="M754" s="1023" cm="1">
        <f t="array" ref="M754">IFERROR(IF($A754=$A753,0,SUM(_xlfn._xlws.FILTER($E754:$E764,($A754:$A764=$A754)*($J754:$J764=M$42)))),0)</f>
        <v>0</v>
      </c>
      <c r="N754" s="1023" cm="1">
        <f t="array" ref="N754">IFERROR(IF($A754=$A753,0,SUM(_xlfn._xlws.FILTER($E754:$E764,($A754:$A764=$A754)*($J754:$J764=N$42)))),0)</f>
        <v>0</v>
      </c>
    </row>
    <row r="755" spans="5:14" x14ac:dyDescent="0.3">
      <c r="E755" s="1022">
        <f ca="1">IFERROR(C755*D755*_xlfn.XLOOKUP(B755,TabCalc[Ticker],TabCalc[Scale]),0)</f>
        <v>0</v>
      </c>
      <c r="F755" s="1023" cm="1">
        <f t="array" ref="F755">IF(A755=A754,0,SUM(_xlfn._xlws.FILTER(E755:E764,A755:A764=A755)))</f>
        <v>0</v>
      </c>
      <c r="G755" s="1024">
        <f>IF(F755&lt;&gt;0,SUM($F$43:F755),0)</f>
        <v>0</v>
      </c>
      <c r="H755" s="1024" cm="1">
        <f t="array" ref="H755">IFERROR(IF(A755=A754,0,SUM(_xlfn._xlws.FILTER(E755:E764,(A755:A764=A755)*(E755:E764&gt;0)))),0)</f>
        <v>0</v>
      </c>
      <c r="I755" s="1024" cm="1">
        <f t="array" ref="I755">IFERROR(IF(A755=A754,0,SUM(_xlfn._xlws.FILTER(E755:E764,(A755:A764=A755)*(F755&lt;0)))),0)</f>
        <v>0</v>
      </c>
      <c r="J755" s="293" t="str">
        <f ca="1">IFERROR(_xlfn.XLOOKUP(B755,TabCalc[Ticker],TabCalc[Cur]),"")</f>
        <v/>
      </c>
      <c r="K755" s="1023" cm="1">
        <f t="array" ref="K755">IFERROR(IF($A755=$A754,0,SUM(_xlfn._xlws.FILTER($E755:$E765,($A755:$A765=$A755)*($J755:$J765=K$42)))),0)</f>
        <v>0</v>
      </c>
      <c r="L755" s="1023" cm="1">
        <f t="array" ref="L755">IFERROR(IF($A755=$A754,0,SUM(_xlfn._xlws.FILTER($E755:$E765,($A755:$A765=$A755)*($J755:$J765=L$42)))),0)</f>
        <v>0</v>
      </c>
      <c r="M755" s="1023" cm="1">
        <f t="array" ref="M755">IFERROR(IF($A755=$A754,0,SUM(_xlfn._xlws.FILTER($E755:$E765,($A755:$A765=$A755)*($J755:$J765=M$42)))),0)</f>
        <v>0</v>
      </c>
      <c r="N755" s="1023" cm="1">
        <f t="array" ref="N755">IFERROR(IF($A755=$A754,0,SUM(_xlfn._xlws.FILTER($E755:$E765,($A755:$A765=$A755)*($J755:$J765=N$42)))),0)</f>
        <v>0</v>
      </c>
    </row>
    <row r="756" spans="5:14" x14ac:dyDescent="0.3">
      <c r="E756" s="1022">
        <f ca="1">IFERROR(C756*D756*_xlfn.XLOOKUP(B756,TabCalc[Ticker],TabCalc[Scale]),0)</f>
        <v>0</v>
      </c>
      <c r="F756" s="1023" cm="1">
        <f t="array" ref="F756">IF(A756=A755,0,SUM(_xlfn._xlws.FILTER(E756:E765,A756:A765=A756)))</f>
        <v>0</v>
      </c>
      <c r="G756" s="1024">
        <f>IF(F756&lt;&gt;0,SUM($F$43:F756),0)</f>
        <v>0</v>
      </c>
      <c r="H756" s="1024" cm="1">
        <f t="array" ref="H756">IFERROR(IF(A756=A755,0,SUM(_xlfn._xlws.FILTER(E756:E765,(A756:A765=A756)*(E756:E765&gt;0)))),0)</f>
        <v>0</v>
      </c>
      <c r="I756" s="1024" cm="1">
        <f t="array" ref="I756">IFERROR(IF(A756=A755,0,SUM(_xlfn._xlws.FILTER(E756:E765,(A756:A765=A756)*(F756&lt;0)))),0)</f>
        <v>0</v>
      </c>
      <c r="J756" s="293" t="str">
        <f ca="1">IFERROR(_xlfn.XLOOKUP(B756,TabCalc[Ticker],TabCalc[Cur]),"")</f>
        <v/>
      </c>
      <c r="K756" s="1023" cm="1">
        <f t="array" ref="K756">IFERROR(IF($A756=$A755,0,SUM(_xlfn._xlws.FILTER($E756:$E766,($A756:$A766=$A756)*($J756:$J766=K$42)))),0)</f>
        <v>0</v>
      </c>
      <c r="L756" s="1023" cm="1">
        <f t="array" ref="L756">IFERROR(IF($A756=$A755,0,SUM(_xlfn._xlws.FILTER($E756:$E766,($A756:$A766=$A756)*($J756:$J766=L$42)))),0)</f>
        <v>0</v>
      </c>
      <c r="M756" s="1023" cm="1">
        <f t="array" ref="M756">IFERROR(IF($A756=$A755,0,SUM(_xlfn._xlws.FILTER($E756:$E766,($A756:$A766=$A756)*($J756:$J766=M$42)))),0)</f>
        <v>0</v>
      </c>
      <c r="N756" s="1023" cm="1">
        <f t="array" ref="N756">IFERROR(IF($A756=$A755,0,SUM(_xlfn._xlws.FILTER($E756:$E766,($A756:$A766=$A756)*($J756:$J766=N$42)))),0)</f>
        <v>0</v>
      </c>
    </row>
    <row r="757" spans="5:14" x14ac:dyDescent="0.3">
      <c r="E757" s="1022">
        <f ca="1">IFERROR(C757*D757*_xlfn.XLOOKUP(B757,TabCalc[Ticker],TabCalc[Scale]),0)</f>
        <v>0</v>
      </c>
      <c r="F757" s="1023" cm="1">
        <f t="array" ref="F757">IF(A757=A756,0,SUM(_xlfn._xlws.FILTER(E757:E766,A757:A766=A757)))</f>
        <v>0</v>
      </c>
      <c r="G757" s="1024">
        <f>IF(F757&lt;&gt;0,SUM($F$43:F757),0)</f>
        <v>0</v>
      </c>
      <c r="H757" s="1024" cm="1">
        <f t="array" ref="H757">IFERROR(IF(A757=A756,0,SUM(_xlfn._xlws.FILTER(E757:E766,(A757:A766=A757)*(E757:E766&gt;0)))),0)</f>
        <v>0</v>
      </c>
      <c r="I757" s="1024" cm="1">
        <f t="array" ref="I757">IFERROR(IF(A757=A756,0,SUM(_xlfn._xlws.FILTER(E757:E766,(A757:A766=A757)*(F757&lt;0)))),0)</f>
        <v>0</v>
      </c>
      <c r="J757" s="293" t="str">
        <f ca="1">IFERROR(_xlfn.XLOOKUP(B757,TabCalc[Ticker],TabCalc[Cur]),"")</f>
        <v/>
      </c>
      <c r="K757" s="1023" cm="1">
        <f t="array" ref="K757">IFERROR(IF($A757=$A756,0,SUM(_xlfn._xlws.FILTER($E757:$E767,($A757:$A767=$A757)*($J757:$J767=K$42)))),0)</f>
        <v>0</v>
      </c>
      <c r="L757" s="1023" cm="1">
        <f t="array" ref="L757">IFERROR(IF($A757=$A756,0,SUM(_xlfn._xlws.FILTER($E757:$E767,($A757:$A767=$A757)*($J757:$J767=L$42)))),0)</f>
        <v>0</v>
      </c>
      <c r="M757" s="1023" cm="1">
        <f t="array" ref="M757">IFERROR(IF($A757=$A756,0,SUM(_xlfn._xlws.FILTER($E757:$E767,($A757:$A767=$A757)*($J757:$J767=M$42)))),0)</f>
        <v>0</v>
      </c>
      <c r="N757" s="1023" cm="1">
        <f t="array" ref="N757">IFERROR(IF($A757=$A756,0,SUM(_xlfn._xlws.FILTER($E757:$E767,($A757:$A767=$A757)*($J757:$J767=N$42)))),0)</f>
        <v>0</v>
      </c>
    </row>
    <row r="758" spans="5:14" x14ac:dyDescent="0.3">
      <c r="E758" s="1022">
        <f ca="1">IFERROR(C758*D758*_xlfn.XLOOKUP(B758,TabCalc[Ticker],TabCalc[Scale]),0)</f>
        <v>0</v>
      </c>
      <c r="F758" s="1023" cm="1">
        <f t="array" ref="F758">IF(A758=A757,0,SUM(_xlfn._xlws.FILTER(E758:E767,A758:A767=A758)))</f>
        <v>0</v>
      </c>
      <c r="G758" s="1024">
        <f>IF(F758&lt;&gt;0,SUM($F$43:F758),0)</f>
        <v>0</v>
      </c>
      <c r="H758" s="1024" cm="1">
        <f t="array" ref="H758">IFERROR(IF(A758=A757,0,SUM(_xlfn._xlws.FILTER(E758:E767,(A758:A767=A758)*(E758:E767&gt;0)))),0)</f>
        <v>0</v>
      </c>
      <c r="I758" s="1024" cm="1">
        <f t="array" ref="I758">IFERROR(IF(A758=A757,0,SUM(_xlfn._xlws.FILTER(E758:E767,(A758:A767=A758)*(F758&lt;0)))),0)</f>
        <v>0</v>
      </c>
      <c r="J758" s="293" t="str">
        <f ca="1">IFERROR(_xlfn.XLOOKUP(B758,TabCalc[Ticker],TabCalc[Cur]),"")</f>
        <v/>
      </c>
      <c r="K758" s="1023" cm="1">
        <f t="array" ref="K758">IFERROR(IF($A758=$A757,0,SUM(_xlfn._xlws.FILTER($E758:$E768,($A758:$A768=$A758)*($J758:$J768=K$42)))),0)</f>
        <v>0</v>
      </c>
      <c r="L758" s="1023" cm="1">
        <f t="array" ref="L758">IFERROR(IF($A758=$A757,0,SUM(_xlfn._xlws.FILTER($E758:$E768,($A758:$A768=$A758)*($J758:$J768=L$42)))),0)</f>
        <v>0</v>
      </c>
      <c r="M758" s="1023" cm="1">
        <f t="array" ref="M758">IFERROR(IF($A758=$A757,0,SUM(_xlfn._xlws.FILTER($E758:$E768,($A758:$A768=$A758)*($J758:$J768=M$42)))),0)</f>
        <v>0</v>
      </c>
      <c r="N758" s="1023" cm="1">
        <f t="array" ref="N758">IFERROR(IF($A758=$A757,0,SUM(_xlfn._xlws.FILTER($E758:$E768,($A758:$A768=$A758)*($J758:$J768=N$42)))),0)</f>
        <v>0</v>
      </c>
    </row>
    <row r="759" spans="5:14" x14ac:dyDescent="0.3">
      <c r="E759" s="1022">
        <f ca="1">IFERROR(C759*D759*_xlfn.XLOOKUP(B759,TabCalc[Ticker],TabCalc[Scale]),0)</f>
        <v>0</v>
      </c>
      <c r="F759" s="1023" cm="1">
        <f t="array" ref="F759">IF(A759=A758,0,SUM(_xlfn._xlws.FILTER(E759:E768,A759:A768=A759)))</f>
        <v>0</v>
      </c>
      <c r="G759" s="1024">
        <f>IF(F759&lt;&gt;0,SUM($F$43:F759),0)</f>
        <v>0</v>
      </c>
      <c r="H759" s="1024" cm="1">
        <f t="array" ref="H759">IFERROR(IF(A759=A758,0,SUM(_xlfn._xlws.FILTER(E759:E768,(A759:A768=A759)*(E759:E768&gt;0)))),0)</f>
        <v>0</v>
      </c>
      <c r="I759" s="1024" cm="1">
        <f t="array" ref="I759">IFERROR(IF(A759=A758,0,SUM(_xlfn._xlws.FILTER(E759:E768,(A759:A768=A759)*(F759&lt;0)))),0)</f>
        <v>0</v>
      </c>
      <c r="J759" s="293" t="str">
        <f ca="1">IFERROR(_xlfn.XLOOKUP(B759,TabCalc[Ticker],TabCalc[Cur]),"")</f>
        <v/>
      </c>
      <c r="K759" s="1023" cm="1">
        <f t="array" ref="K759">IFERROR(IF($A759=$A758,0,SUM(_xlfn._xlws.FILTER($E759:$E769,($A759:$A769=$A759)*($J759:$J769=K$42)))),0)</f>
        <v>0</v>
      </c>
      <c r="L759" s="1023" cm="1">
        <f t="array" ref="L759">IFERROR(IF($A759=$A758,0,SUM(_xlfn._xlws.FILTER($E759:$E769,($A759:$A769=$A759)*($J759:$J769=L$42)))),0)</f>
        <v>0</v>
      </c>
      <c r="M759" s="1023" cm="1">
        <f t="array" ref="M759">IFERROR(IF($A759=$A758,0,SUM(_xlfn._xlws.FILTER($E759:$E769,($A759:$A769=$A759)*($J759:$J769=M$42)))),0)</f>
        <v>0</v>
      </c>
      <c r="N759" s="1023" cm="1">
        <f t="array" ref="N759">IFERROR(IF($A759=$A758,0,SUM(_xlfn._xlws.FILTER($E759:$E769,($A759:$A769=$A759)*($J759:$J769=N$42)))),0)</f>
        <v>0</v>
      </c>
    </row>
    <row r="760" spans="5:14" x14ac:dyDescent="0.3">
      <c r="E760" s="1022">
        <f ca="1">IFERROR(C760*D760*_xlfn.XLOOKUP(B760,TabCalc[Ticker],TabCalc[Scale]),0)</f>
        <v>0</v>
      </c>
      <c r="F760" s="1023" cm="1">
        <f t="array" ref="F760">IF(A760=A759,0,SUM(_xlfn._xlws.FILTER(E760:E769,A760:A769=A760)))</f>
        <v>0</v>
      </c>
      <c r="G760" s="1024">
        <f>IF(F760&lt;&gt;0,SUM($F$43:F760),0)</f>
        <v>0</v>
      </c>
      <c r="H760" s="1024" cm="1">
        <f t="array" ref="H760">IFERROR(IF(A760=A759,0,SUM(_xlfn._xlws.FILTER(E760:E769,(A760:A769=A760)*(E760:E769&gt;0)))),0)</f>
        <v>0</v>
      </c>
      <c r="I760" s="1024" cm="1">
        <f t="array" ref="I760">IFERROR(IF(A760=A759,0,SUM(_xlfn._xlws.FILTER(E760:E769,(A760:A769=A760)*(F760&lt;0)))),0)</f>
        <v>0</v>
      </c>
      <c r="J760" s="293" t="str">
        <f ca="1">IFERROR(_xlfn.XLOOKUP(B760,TabCalc[Ticker],TabCalc[Cur]),"")</f>
        <v/>
      </c>
      <c r="K760" s="1023" cm="1">
        <f t="array" ref="K760">IFERROR(IF($A760=$A759,0,SUM(_xlfn._xlws.FILTER($E760:$E770,($A760:$A770=$A760)*($J760:$J770=K$42)))),0)</f>
        <v>0</v>
      </c>
      <c r="L760" s="1023" cm="1">
        <f t="array" ref="L760">IFERROR(IF($A760=$A759,0,SUM(_xlfn._xlws.FILTER($E760:$E770,($A760:$A770=$A760)*($J760:$J770=L$42)))),0)</f>
        <v>0</v>
      </c>
      <c r="M760" s="1023" cm="1">
        <f t="array" ref="M760">IFERROR(IF($A760=$A759,0,SUM(_xlfn._xlws.FILTER($E760:$E770,($A760:$A770=$A760)*($J760:$J770=M$42)))),0)</f>
        <v>0</v>
      </c>
      <c r="N760" s="1023" cm="1">
        <f t="array" ref="N760">IFERROR(IF($A760=$A759,0,SUM(_xlfn._xlws.FILTER($E760:$E770,($A760:$A770=$A760)*($J760:$J770=N$42)))),0)</f>
        <v>0</v>
      </c>
    </row>
    <row r="761" spans="5:14" x14ac:dyDescent="0.3">
      <c r="E761" s="1022">
        <f ca="1">IFERROR(C761*D761*_xlfn.XLOOKUP(B761,TabCalc[Ticker],TabCalc[Scale]),0)</f>
        <v>0</v>
      </c>
      <c r="F761" s="1023" cm="1">
        <f t="array" ref="F761">IF(A761=A760,0,SUM(_xlfn._xlws.FILTER(E761:E770,A761:A770=A761)))</f>
        <v>0</v>
      </c>
      <c r="G761" s="1024">
        <f>IF(F761&lt;&gt;0,SUM($F$43:F761),0)</f>
        <v>0</v>
      </c>
      <c r="H761" s="1024" cm="1">
        <f t="array" ref="H761">IFERROR(IF(A761=A760,0,SUM(_xlfn._xlws.FILTER(E761:E770,(A761:A770=A761)*(E761:E770&gt;0)))),0)</f>
        <v>0</v>
      </c>
      <c r="I761" s="1024" cm="1">
        <f t="array" ref="I761">IFERROR(IF(A761=A760,0,SUM(_xlfn._xlws.FILTER(E761:E770,(A761:A770=A761)*(F761&lt;0)))),0)</f>
        <v>0</v>
      </c>
      <c r="J761" s="293" t="str">
        <f ca="1">IFERROR(_xlfn.XLOOKUP(B761,TabCalc[Ticker],TabCalc[Cur]),"")</f>
        <v/>
      </c>
      <c r="K761" s="1023" cm="1">
        <f t="array" ref="K761">IFERROR(IF($A761=$A760,0,SUM(_xlfn._xlws.FILTER($E761:$E771,($A761:$A771=$A761)*($J761:$J771=K$42)))),0)</f>
        <v>0</v>
      </c>
      <c r="L761" s="1023" cm="1">
        <f t="array" ref="L761">IFERROR(IF($A761=$A760,0,SUM(_xlfn._xlws.FILTER($E761:$E771,($A761:$A771=$A761)*($J761:$J771=L$42)))),0)</f>
        <v>0</v>
      </c>
      <c r="M761" s="1023" cm="1">
        <f t="array" ref="M761">IFERROR(IF($A761=$A760,0,SUM(_xlfn._xlws.FILTER($E761:$E771,($A761:$A771=$A761)*($J761:$J771=M$42)))),0)</f>
        <v>0</v>
      </c>
      <c r="N761" s="1023" cm="1">
        <f t="array" ref="N761">IFERROR(IF($A761=$A760,0,SUM(_xlfn._xlws.FILTER($E761:$E771,($A761:$A771=$A761)*($J761:$J771=N$42)))),0)</f>
        <v>0</v>
      </c>
    </row>
    <row r="762" spans="5:14" x14ac:dyDescent="0.3">
      <c r="E762" s="1022">
        <f ca="1">IFERROR(C762*D762*_xlfn.XLOOKUP(B762,TabCalc[Ticker],TabCalc[Scale]),0)</f>
        <v>0</v>
      </c>
      <c r="F762" s="1023" cm="1">
        <f t="array" ref="F762">IF(A762=A761,0,SUM(_xlfn._xlws.FILTER(E762:E771,A762:A771=A762)))</f>
        <v>0</v>
      </c>
      <c r="G762" s="1024">
        <f>IF(F762&lt;&gt;0,SUM($F$43:F762),0)</f>
        <v>0</v>
      </c>
      <c r="H762" s="1024" cm="1">
        <f t="array" ref="H762">IFERROR(IF(A762=A761,0,SUM(_xlfn._xlws.FILTER(E762:E771,(A762:A771=A762)*(E762:E771&gt;0)))),0)</f>
        <v>0</v>
      </c>
      <c r="I762" s="1024" cm="1">
        <f t="array" ref="I762">IFERROR(IF(A762=A761,0,SUM(_xlfn._xlws.FILTER(E762:E771,(A762:A771=A762)*(F762&lt;0)))),0)</f>
        <v>0</v>
      </c>
      <c r="J762" s="293" t="str">
        <f ca="1">IFERROR(_xlfn.XLOOKUP(B762,TabCalc[Ticker],TabCalc[Cur]),"")</f>
        <v/>
      </c>
      <c r="K762" s="1023" cm="1">
        <f t="array" ref="K762">IFERROR(IF($A762=$A761,0,SUM(_xlfn._xlws.FILTER($E762:$E772,($A762:$A772=$A762)*($J762:$J772=K$42)))),0)</f>
        <v>0</v>
      </c>
      <c r="L762" s="1023" cm="1">
        <f t="array" ref="L762">IFERROR(IF($A762=$A761,0,SUM(_xlfn._xlws.FILTER($E762:$E772,($A762:$A772=$A762)*($J762:$J772=L$42)))),0)</f>
        <v>0</v>
      </c>
      <c r="M762" s="1023" cm="1">
        <f t="array" ref="M762">IFERROR(IF($A762=$A761,0,SUM(_xlfn._xlws.FILTER($E762:$E772,($A762:$A772=$A762)*($J762:$J772=M$42)))),0)</f>
        <v>0</v>
      </c>
      <c r="N762" s="1023" cm="1">
        <f t="array" ref="N762">IFERROR(IF($A762=$A761,0,SUM(_xlfn._xlws.FILTER($E762:$E772,($A762:$A772=$A762)*($J762:$J772=N$42)))),0)</f>
        <v>0</v>
      </c>
    </row>
    <row r="763" spans="5:14" x14ac:dyDescent="0.3">
      <c r="E763" s="1022">
        <f ca="1">IFERROR(C763*D763*_xlfn.XLOOKUP(B763,TabCalc[Ticker],TabCalc[Scale]),0)</f>
        <v>0</v>
      </c>
      <c r="F763" s="1023" cm="1">
        <f t="array" ref="F763">IF(A763=A762,0,SUM(_xlfn._xlws.FILTER(E763:E772,A763:A772=A763)))</f>
        <v>0</v>
      </c>
      <c r="G763" s="1024">
        <f>IF(F763&lt;&gt;0,SUM($F$43:F763),0)</f>
        <v>0</v>
      </c>
      <c r="H763" s="1024" cm="1">
        <f t="array" ref="H763">IFERROR(IF(A763=A762,0,SUM(_xlfn._xlws.FILTER(E763:E772,(A763:A772=A763)*(E763:E772&gt;0)))),0)</f>
        <v>0</v>
      </c>
      <c r="I763" s="1024" cm="1">
        <f t="array" ref="I763">IFERROR(IF(A763=A762,0,SUM(_xlfn._xlws.FILTER(E763:E772,(A763:A772=A763)*(F763&lt;0)))),0)</f>
        <v>0</v>
      </c>
      <c r="J763" s="293" t="str">
        <f ca="1">IFERROR(_xlfn.XLOOKUP(B763,TabCalc[Ticker],TabCalc[Cur]),"")</f>
        <v/>
      </c>
      <c r="K763" s="1023" cm="1">
        <f t="array" ref="K763">IFERROR(IF($A763=$A762,0,SUM(_xlfn._xlws.FILTER($E763:$E773,($A763:$A773=$A763)*($J763:$J773=K$42)))),0)</f>
        <v>0</v>
      </c>
      <c r="L763" s="1023" cm="1">
        <f t="array" ref="L763">IFERROR(IF($A763=$A762,0,SUM(_xlfn._xlws.FILTER($E763:$E773,($A763:$A773=$A763)*($J763:$J773=L$42)))),0)</f>
        <v>0</v>
      </c>
      <c r="M763" s="1023" cm="1">
        <f t="array" ref="M763">IFERROR(IF($A763=$A762,0,SUM(_xlfn._xlws.FILTER($E763:$E773,($A763:$A773=$A763)*($J763:$J773=M$42)))),0)</f>
        <v>0</v>
      </c>
      <c r="N763" s="1023" cm="1">
        <f t="array" ref="N763">IFERROR(IF($A763=$A762,0,SUM(_xlfn._xlws.FILTER($E763:$E773,($A763:$A773=$A763)*($J763:$J773=N$42)))),0)</f>
        <v>0</v>
      </c>
    </row>
    <row r="764" spans="5:14" x14ac:dyDescent="0.3">
      <c r="E764" s="1022">
        <f ca="1">IFERROR(C764*D764*_xlfn.XLOOKUP(B764,TabCalc[Ticker],TabCalc[Scale]),0)</f>
        <v>0</v>
      </c>
      <c r="F764" s="1023" cm="1">
        <f t="array" ref="F764">IF(A764=A763,0,SUM(_xlfn._xlws.FILTER(E764:E773,A764:A773=A764)))</f>
        <v>0</v>
      </c>
      <c r="G764" s="1024">
        <f>IF(F764&lt;&gt;0,SUM($F$43:F764),0)</f>
        <v>0</v>
      </c>
      <c r="H764" s="1024" cm="1">
        <f t="array" ref="H764">IFERROR(IF(A764=A763,0,SUM(_xlfn._xlws.FILTER(E764:E773,(A764:A773=A764)*(E764:E773&gt;0)))),0)</f>
        <v>0</v>
      </c>
      <c r="I764" s="1024" cm="1">
        <f t="array" ref="I764">IFERROR(IF(A764=A763,0,SUM(_xlfn._xlws.FILTER(E764:E773,(A764:A773=A764)*(F764&lt;0)))),0)</f>
        <v>0</v>
      </c>
      <c r="J764" s="293" t="str">
        <f ca="1">IFERROR(_xlfn.XLOOKUP(B764,TabCalc[Ticker],TabCalc[Cur]),"")</f>
        <v/>
      </c>
      <c r="K764" s="1023" cm="1">
        <f t="array" ref="K764">IFERROR(IF($A764=$A763,0,SUM(_xlfn._xlws.FILTER($E764:$E774,($A764:$A774=$A764)*($J764:$J774=K$42)))),0)</f>
        <v>0</v>
      </c>
      <c r="L764" s="1023" cm="1">
        <f t="array" ref="L764">IFERROR(IF($A764=$A763,0,SUM(_xlfn._xlws.FILTER($E764:$E774,($A764:$A774=$A764)*($J764:$J774=L$42)))),0)</f>
        <v>0</v>
      </c>
      <c r="M764" s="1023" cm="1">
        <f t="array" ref="M764">IFERROR(IF($A764=$A763,0,SUM(_xlfn._xlws.FILTER($E764:$E774,($A764:$A774=$A764)*($J764:$J774=M$42)))),0)</f>
        <v>0</v>
      </c>
      <c r="N764" s="1023" cm="1">
        <f t="array" ref="N764">IFERROR(IF($A764=$A763,0,SUM(_xlfn._xlws.FILTER($E764:$E774,($A764:$A774=$A764)*($J764:$J774=N$42)))),0)</f>
        <v>0</v>
      </c>
    </row>
    <row r="765" spans="5:14" x14ac:dyDescent="0.3">
      <c r="E765" s="1022">
        <f ca="1">IFERROR(C765*D765*_xlfn.XLOOKUP(B765,TabCalc[Ticker],TabCalc[Scale]),0)</f>
        <v>0</v>
      </c>
      <c r="F765" s="1023" cm="1">
        <f t="array" ref="F765">IF(A765=A764,0,SUM(_xlfn._xlws.FILTER(E765:E774,A765:A774=A765)))</f>
        <v>0</v>
      </c>
      <c r="G765" s="1024">
        <f>IF(F765&lt;&gt;0,SUM($F$43:F765),0)</f>
        <v>0</v>
      </c>
      <c r="H765" s="1024" cm="1">
        <f t="array" ref="H765">IFERROR(IF(A765=A764,0,SUM(_xlfn._xlws.FILTER(E765:E774,(A765:A774=A765)*(E765:E774&gt;0)))),0)</f>
        <v>0</v>
      </c>
      <c r="I765" s="1024" cm="1">
        <f t="array" ref="I765">IFERROR(IF(A765=A764,0,SUM(_xlfn._xlws.FILTER(E765:E774,(A765:A774=A765)*(F765&lt;0)))),0)</f>
        <v>0</v>
      </c>
      <c r="J765" s="293" t="str">
        <f ca="1">IFERROR(_xlfn.XLOOKUP(B765,TabCalc[Ticker],TabCalc[Cur]),"")</f>
        <v/>
      </c>
      <c r="K765" s="1023" cm="1">
        <f t="array" ref="K765">IFERROR(IF($A765=$A764,0,SUM(_xlfn._xlws.FILTER($E765:$E775,($A765:$A775=$A765)*($J765:$J775=K$42)))),0)</f>
        <v>0</v>
      </c>
      <c r="L765" s="1023" cm="1">
        <f t="array" ref="L765">IFERROR(IF($A765=$A764,0,SUM(_xlfn._xlws.FILTER($E765:$E775,($A765:$A775=$A765)*($J765:$J775=L$42)))),0)</f>
        <v>0</v>
      </c>
      <c r="M765" s="1023" cm="1">
        <f t="array" ref="M765">IFERROR(IF($A765=$A764,0,SUM(_xlfn._xlws.FILTER($E765:$E775,($A765:$A775=$A765)*($J765:$J775=M$42)))),0)</f>
        <v>0</v>
      </c>
      <c r="N765" s="1023" cm="1">
        <f t="array" ref="N765">IFERROR(IF($A765=$A764,0,SUM(_xlfn._xlws.FILTER($E765:$E775,($A765:$A775=$A765)*($J765:$J775=N$42)))),0)</f>
        <v>0</v>
      </c>
    </row>
    <row r="766" spans="5:14" x14ac:dyDescent="0.3">
      <c r="E766" s="1022">
        <f ca="1">IFERROR(C766*D766*_xlfn.XLOOKUP(B766,TabCalc[Ticker],TabCalc[Scale]),0)</f>
        <v>0</v>
      </c>
      <c r="F766" s="1023" cm="1">
        <f t="array" ref="F766">IF(A766=A765,0,SUM(_xlfn._xlws.FILTER(E766:E775,A766:A775=A766)))</f>
        <v>0</v>
      </c>
      <c r="G766" s="1024">
        <f>IF(F766&lt;&gt;0,SUM($F$43:F766),0)</f>
        <v>0</v>
      </c>
      <c r="H766" s="1024" cm="1">
        <f t="array" ref="H766">IFERROR(IF(A766=A765,0,SUM(_xlfn._xlws.FILTER(E766:E775,(A766:A775=A766)*(E766:E775&gt;0)))),0)</f>
        <v>0</v>
      </c>
      <c r="I766" s="1024" cm="1">
        <f t="array" ref="I766">IFERROR(IF(A766=A765,0,SUM(_xlfn._xlws.FILTER(E766:E775,(A766:A775=A766)*(F766&lt;0)))),0)</f>
        <v>0</v>
      </c>
      <c r="J766" s="293" t="str">
        <f ca="1">IFERROR(_xlfn.XLOOKUP(B766,TabCalc[Ticker],TabCalc[Cur]),"")</f>
        <v/>
      </c>
      <c r="K766" s="1023" cm="1">
        <f t="array" ref="K766">IFERROR(IF($A766=$A765,0,SUM(_xlfn._xlws.FILTER($E766:$E776,($A766:$A776=$A766)*($J766:$J776=K$42)))),0)</f>
        <v>0</v>
      </c>
      <c r="L766" s="1023" cm="1">
        <f t="array" ref="L766">IFERROR(IF($A766=$A765,0,SUM(_xlfn._xlws.FILTER($E766:$E776,($A766:$A776=$A766)*($J766:$J776=L$42)))),0)</f>
        <v>0</v>
      </c>
      <c r="M766" s="1023" cm="1">
        <f t="array" ref="M766">IFERROR(IF($A766=$A765,0,SUM(_xlfn._xlws.FILTER($E766:$E776,($A766:$A776=$A766)*($J766:$J776=M$42)))),0)</f>
        <v>0</v>
      </c>
      <c r="N766" s="1023" cm="1">
        <f t="array" ref="N766">IFERROR(IF($A766=$A765,0,SUM(_xlfn._xlws.FILTER($E766:$E776,($A766:$A776=$A766)*($J766:$J776=N$42)))),0)</f>
        <v>0</v>
      </c>
    </row>
    <row r="767" spans="5:14" x14ac:dyDescent="0.3">
      <c r="E767" s="1022">
        <f ca="1">IFERROR(C767*D767*_xlfn.XLOOKUP(B767,TabCalc[Ticker],TabCalc[Scale]),0)</f>
        <v>0</v>
      </c>
      <c r="F767" s="1023" cm="1">
        <f t="array" ref="F767">IF(A767=A766,0,SUM(_xlfn._xlws.FILTER(E767:E776,A767:A776=A767)))</f>
        <v>0</v>
      </c>
      <c r="G767" s="1024">
        <f>IF(F767&lt;&gt;0,SUM($F$43:F767),0)</f>
        <v>0</v>
      </c>
      <c r="H767" s="1024" cm="1">
        <f t="array" ref="H767">IFERROR(IF(A767=A766,0,SUM(_xlfn._xlws.FILTER(E767:E776,(A767:A776=A767)*(E767:E776&gt;0)))),0)</f>
        <v>0</v>
      </c>
      <c r="I767" s="1024" cm="1">
        <f t="array" ref="I767">IFERROR(IF(A767=A766,0,SUM(_xlfn._xlws.FILTER(E767:E776,(A767:A776=A767)*(F767&lt;0)))),0)</f>
        <v>0</v>
      </c>
      <c r="J767" s="293" t="str">
        <f ca="1">IFERROR(_xlfn.XLOOKUP(B767,TabCalc[Ticker],TabCalc[Cur]),"")</f>
        <v/>
      </c>
      <c r="K767" s="1023" cm="1">
        <f t="array" ref="K767">IFERROR(IF($A767=$A766,0,SUM(_xlfn._xlws.FILTER($E767:$E777,($A767:$A777=$A767)*($J767:$J777=K$42)))),0)</f>
        <v>0</v>
      </c>
      <c r="L767" s="1023" cm="1">
        <f t="array" ref="L767">IFERROR(IF($A767=$A766,0,SUM(_xlfn._xlws.FILTER($E767:$E777,($A767:$A777=$A767)*($J767:$J777=L$42)))),0)</f>
        <v>0</v>
      </c>
      <c r="M767" s="1023" cm="1">
        <f t="array" ref="M767">IFERROR(IF($A767=$A766,0,SUM(_xlfn._xlws.FILTER($E767:$E777,($A767:$A777=$A767)*($J767:$J777=M$42)))),0)</f>
        <v>0</v>
      </c>
      <c r="N767" s="1023" cm="1">
        <f t="array" ref="N767">IFERROR(IF($A767=$A766,0,SUM(_xlfn._xlws.FILTER($E767:$E777,($A767:$A777=$A767)*($J767:$J777=N$42)))),0)</f>
        <v>0</v>
      </c>
    </row>
    <row r="768" spans="5:14" x14ac:dyDescent="0.3">
      <c r="E768" s="1022">
        <f ca="1">IFERROR(C768*D768*_xlfn.XLOOKUP(B768,TabCalc[Ticker],TabCalc[Scale]),0)</f>
        <v>0</v>
      </c>
      <c r="F768" s="1023" cm="1">
        <f t="array" ref="F768">IF(A768=A767,0,SUM(_xlfn._xlws.FILTER(E768:E777,A768:A777=A768)))</f>
        <v>0</v>
      </c>
      <c r="G768" s="1024">
        <f>IF(F768&lt;&gt;0,SUM($F$43:F768),0)</f>
        <v>0</v>
      </c>
      <c r="H768" s="1024" cm="1">
        <f t="array" ref="H768">IFERROR(IF(A768=A767,0,SUM(_xlfn._xlws.FILTER(E768:E777,(A768:A777=A768)*(E768:E777&gt;0)))),0)</f>
        <v>0</v>
      </c>
      <c r="I768" s="1024" cm="1">
        <f t="array" ref="I768">IFERROR(IF(A768=A767,0,SUM(_xlfn._xlws.FILTER(E768:E777,(A768:A777=A768)*(F768&lt;0)))),0)</f>
        <v>0</v>
      </c>
      <c r="J768" s="293" t="str">
        <f ca="1">IFERROR(_xlfn.XLOOKUP(B768,TabCalc[Ticker],TabCalc[Cur]),"")</f>
        <v/>
      </c>
      <c r="K768" s="1023" cm="1">
        <f t="array" ref="K768">IFERROR(IF($A768=$A767,0,SUM(_xlfn._xlws.FILTER($E768:$E778,($A768:$A778=$A768)*($J768:$J778=K$42)))),0)</f>
        <v>0</v>
      </c>
      <c r="L768" s="1023" cm="1">
        <f t="array" ref="L768">IFERROR(IF($A768=$A767,0,SUM(_xlfn._xlws.FILTER($E768:$E778,($A768:$A778=$A768)*($J768:$J778=L$42)))),0)</f>
        <v>0</v>
      </c>
      <c r="M768" s="1023" cm="1">
        <f t="array" ref="M768">IFERROR(IF($A768=$A767,0,SUM(_xlfn._xlws.FILTER($E768:$E778,($A768:$A778=$A768)*($J768:$J778=M$42)))),0)</f>
        <v>0</v>
      </c>
      <c r="N768" s="1023" cm="1">
        <f t="array" ref="N768">IFERROR(IF($A768=$A767,0,SUM(_xlfn._xlws.FILTER($E768:$E778,($A768:$A778=$A768)*($J768:$J778=N$42)))),0)</f>
        <v>0</v>
      </c>
    </row>
    <row r="769" spans="5:14" x14ac:dyDescent="0.3">
      <c r="E769" s="1022">
        <f ca="1">IFERROR(C769*D769*_xlfn.XLOOKUP(B769,TabCalc[Ticker],TabCalc[Scale]),0)</f>
        <v>0</v>
      </c>
      <c r="F769" s="1023" cm="1">
        <f t="array" ref="F769">IF(A769=A768,0,SUM(_xlfn._xlws.FILTER(E769:E778,A769:A778=A769)))</f>
        <v>0</v>
      </c>
      <c r="G769" s="1024">
        <f>IF(F769&lt;&gt;0,SUM($F$43:F769),0)</f>
        <v>0</v>
      </c>
      <c r="H769" s="1024" cm="1">
        <f t="array" ref="H769">IFERROR(IF(A769=A768,0,SUM(_xlfn._xlws.FILTER(E769:E778,(A769:A778=A769)*(E769:E778&gt;0)))),0)</f>
        <v>0</v>
      </c>
      <c r="I769" s="1024" cm="1">
        <f t="array" ref="I769">IFERROR(IF(A769=A768,0,SUM(_xlfn._xlws.FILTER(E769:E778,(A769:A778=A769)*(F769&lt;0)))),0)</f>
        <v>0</v>
      </c>
      <c r="J769" s="293" t="str">
        <f ca="1">IFERROR(_xlfn.XLOOKUP(B769,TabCalc[Ticker],TabCalc[Cur]),"")</f>
        <v/>
      </c>
      <c r="K769" s="1023" cm="1">
        <f t="array" ref="K769">IFERROR(IF($A769=$A768,0,SUM(_xlfn._xlws.FILTER($E769:$E779,($A769:$A779=$A769)*($J769:$J779=K$42)))),0)</f>
        <v>0</v>
      </c>
      <c r="L769" s="1023" cm="1">
        <f t="array" ref="L769">IFERROR(IF($A769=$A768,0,SUM(_xlfn._xlws.FILTER($E769:$E779,($A769:$A779=$A769)*($J769:$J779=L$42)))),0)</f>
        <v>0</v>
      </c>
      <c r="M769" s="1023" cm="1">
        <f t="array" ref="M769">IFERROR(IF($A769=$A768,0,SUM(_xlfn._xlws.FILTER($E769:$E779,($A769:$A779=$A769)*($J769:$J779=M$42)))),0)</f>
        <v>0</v>
      </c>
      <c r="N769" s="1023" cm="1">
        <f t="array" ref="N769">IFERROR(IF($A769=$A768,0,SUM(_xlfn._xlws.FILTER($E769:$E779,($A769:$A779=$A769)*($J769:$J779=N$42)))),0)</f>
        <v>0</v>
      </c>
    </row>
    <row r="770" spans="5:14" x14ac:dyDescent="0.3">
      <c r="E770" s="1022">
        <f ca="1">IFERROR(C770*D770*_xlfn.XLOOKUP(B770,TabCalc[Ticker],TabCalc[Scale]),0)</f>
        <v>0</v>
      </c>
      <c r="F770" s="1023" cm="1">
        <f t="array" ref="F770">IF(A770=A769,0,SUM(_xlfn._xlws.FILTER(E770:E779,A770:A779=A770)))</f>
        <v>0</v>
      </c>
      <c r="G770" s="1024">
        <f>IF(F770&lt;&gt;0,SUM($F$43:F770),0)</f>
        <v>0</v>
      </c>
      <c r="H770" s="1024" cm="1">
        <f t="array" ref="H770">IFERROR(IF(A770=A769,0,SUM(_xlfn._xlws.FILTER(E770:E779,(A770:A779=A770)*(E770:E779&gt;0)))),0)</f>
        <v>0</v>
      </c>
      <c r="I770" s="1024" cm="1">
        <f t="array" ref="I770">IFERROR(IF(A770=A769,0,SUM(_xlfn._xlws.FILTER(E770:E779,(A770:A779=A770)*(F770&lt;0)))),0)</f>
        <v>0</v>
      </c>
      <c r="J770" s="293" t="str">
        <f ca="1">IFERROR(_xlfn.XLOOKUP(B770,TabCalc[Ticker],TabCalc[Cur]),"")</f>
        <v/>
      </c>
      <c r="K770" s="1023" cm="1">
        <f t="array" ref="K770">IFERROR(IF($A770=$A769,0,SUM(_xlfn._xlws.FILTER($E770:$E780,($A770:$A780=$A770)*($J770:$J780=K$42)))),0)</f>
        <v>0</v>
      </c>
      <c r="L770" s="1023" cm="1">
        <f t="array" ref="L770">IFERROR(IF($A770=$A769,0,SUM(_xlfn._xlws.FILTER($E770:$E780,($A770:$A780=$A770)*($J770:$J780=L$42)))),0)</f>
        <v>0</v>
      </c>
      <c r="M770" s="1023" cm="1">
        <f t="array" ref="M770">IFERROR(IF($A770=$A769,0,SUM(_xlfn._xlws.FILTER($E770:$E780,($A770:$A780=$A770)*($J770:$J780=M$42)))),0)</f>
        <v>0</v>
      </c>
      <c r="N770" s="1023" cm="1">
        <f t="array" ref="N770">IFERROR(IF($A770=$A769,0,SUM(_xlfn._xlws.FILTER($E770:$E780,($A770:$A780=$A770)*($J770:$J780=N$42)))),0)</f>
        <v>0</v>
      </c>
    </row>
    <row r="771" spans="5:14" x14ac:dyDescent="0.3">
      <c r="E771" s="1022">
        <f ca="1">IFERROR(C771*D771*_xlfn.XLOOKUP(B771,TabCalc[Ticker],TabCalc[Scale]),0)</f>
        <v>0</v>
      </c>
      <c r="F771" s="1023" cm="1">
        <f t="array" ref="F771">IF(A771=A770,0,SUM(_xlfn._xlws.FILTER(E771:E780,A771:A780=A771)))</f>
        <v>0</v>
      </c>
      <c r="G771" s="1024">
        <f>IF(F771&lt;&gt;0,SUM($F$43:F771),0)</f>
        <v>0</v>
      </c>
      <c r="H771" s="1024" cm="1">
        <f t="array" ref="H771">IFERROR(IF(A771=A770,0,SUM(_xlfn._xlws.FILTER(E771:E780,(A771:A780=A771)*(E771:E780&gt;0)))),0)</f>
        <v>0</v>
      </c>
      <c r="I771" s="1024" cm="1">
        <f t="array" ref="I771">IFERROR(IF(A771=A770,0,SUM(_xlfn._xlws.FILTER(E771:E780,(A771:A780=A771)*(F771&lt;0)))),0)</f>
        <v>0</v>
      </c>
      <c r="J771" s="293" t="str">
        <f ca="1">IFERROR(_xlfn.XLOOKUP(B771,TabCalc[Ticker],TabCalc[Cur]),"")</f>
        <v/>
      </c>
      <c r="K771" s="1023" cm="1">
        <f t="array" ref="K771">IFERROR(IF($A771=$A770,0,SUM(_xlfn._xlws.FILTER($E771:$E781,($A771:$A781=$A771)*($J771:$J781=K$42)))),0)</f>
        <v>0</v>
      </c>
      <c r="L771" s="1023" cm="1">
        <f t="array" ref="L771">IFERROR(IF($A771=$A770,0,SUM(_xlfn._xlws.FILTER($E771:$E781,($A771:$A781=$A771)*($J771:$J781=L$42)))),0)</f>
        <v>0</v>
      </c>
      <c r="M771" s="1023" cm="1">
        <f t="array" ref="M771">IFERROR(IF($A771=$A770,0,SUM(_xlfn._xlws.FILTER($E771:$E781,($A771:$A781=$A771)*($J771:$J781=M$42)))),0)</f>
        <v>0</v>
      </c>
      <c r="N771" s="1023" cm="1">
        <f t="array" ref="N771">IFERROR(IF($A771=$A770,0,SUM(_xlfn._xlws.FILTER($E771:$E781,($A771:$A781=$A771)*($J771:$J781=N$42)))),0)</f>
        <v>0</v>
      </c>
    </row>
    <row r="772" spans="5:14" x14ac:dyDescent="0.3">
      <c r="E772" s="1022">
        <f ca="1">IFERROR(C772*D772*_xlfn.XLOOKUP(B772,TabCalc[Ticker],TabCalc[Scale]),0)</f>
        <v>0</v>
      </c>
      <c r="F772" s="1023" cm="1">
        <f t="array" ref="F772">IF(A772=A771,0,SUM(_xlfn._xlws.FILTER(E772:E781,A772:A781=A772)))</f>
        <v>0</v>
      </c>
      <c r="G772" s="1024">
        <f>IF(F772&lt;&gt;0,SUM($F$43:F772),0)</f>
        <v>0</v>
      </c>
      <c r="H772" s="1024" cm="1">
        <f t="array" ref="H772">IFERROR(IF(A772=A771,0,SUM(_xlfn._xlws.FILTER(E772:E781,(A772:A781=A772)*(E772:E781&gt;0)))),0)</f>
        <v>0</v>
      </c>
      <c r="I772" s="1024" cm="1">
        <f t="array" ref="I772">IFERROR(IF(A772=A771,0,SUM(_xlfn._xlws.FILTER(E772:E781,(A772:A781=A772)*(F772&lt;0)))),0)</f>
        <v>0</v>
      </c>
      <c r="J772" s="293" t="str">
        <f ca="1">IFERROR(_xlfn.XLOOKUP(B772,TabCalc[Ticker],TabCalc[Cur]),"")</f>
        <v/>
      </c>
      <c r="K772" s="1023" cm="1">
        <f t="array" ref="K772">IFERROR(IF($A772=$A771,0,SUM(_xlfn._xlws.FILTER($E772:$E782,($A772:$A782=$A772)*($J772:$J782=K$42)))),0)</f>
        <v>0</v>
      </c>
      <c r="L772" s="1023" cm="1">
        <f t="array" ref="L772">IFERROR(IF($A772=$A771,0,SUM(_xlfn._xlws.FILTER($E772:$E782,($A772:$A782=$A772)*($J772:$J782=L$42)))),0)</f>
        <v>0</v>
      </c>
      <c r="M772" s="1023" cm="1">
        <f t="array" ref="M772">IFERROR(IF($A772=$A771,0,SUM(_xlfn._xlws.FILTER($E772:$E782,($A772:$A782=$A772)*($J772:$J782=M$42)))),0)</f>
        <v>0</v>
      </c>
      <c r="N772" s="1023" cm="1">
        <f t="array" ref="N772">IFERROR(IF($A772=$A771,0,SUM(_xlfn._xlws.FILTER($E772:$E782,($A772:$A782=$A772)*($J772:$J782=N$42)))),0)</f>
        <v>0</v>
      </c>
    </row>
    <row r="773" spans="5:14" x14ac:dyDescent="0.3">
      <c r="E773" s="1022">
        <f ca="1">IFERROR(C773*D773*_xlfn.XLOOKUP(B773,TabCalc[Ticker],TabCalc[Scale]),0)</f>
        <v>0</v>
      </c>
      <c r="F773" s="1023" cm="1">
        <f t="array" ref="F773">IF(A773=A772,0,SUM(_xlfn._xlws.FILTER(E773:E782,A773:A782=A773)))</f>
        <v>0</v>
      </c>
      <c r="G773" s="1024">
        <f>IF(F773&lt;&gt;0,SUM($F$43:F773),0)</f>
        <v>0</v>
      </c>
      <c r="H773" s="1024" cm="1">
        <f t="array" ref="H773">IFERROR(IF(A773=A772,0,SUM(_xlfn._xlws.FILTER(E773:E782,(A773:A782=A773)*(E773:E782&gt;0)))),0)</f>
        <v>0</v>
      </c>
      <c r="I773" s="1024" cm="1">
        <f t="array" ref="I773">IFERROR(IF(A773=A772,0,SUM(_xlfn._xlws.FILTER(E773:E782,(A773:A782=A773)*(F773&lt;0)))),0)</f>
        <v>0</v>
      </c>
      <c r="J773" s="293" t="str">
        <f ca="1">IFERROR(_xlfn.XLOOKUP(B773,TabCalc[Ticker],TabCalc[Cur]),"")</f>
        <v/>
      </c>
      <c r="K773" s="1023" cm="1">
        <f t="array" ref="K773">IFERROR(IF($A773=$A772,0,SUM(_xlfn._xlws.FILTER($E773:$E783,($A773:$A783=$A773)*($J773:$J783=K$42)))),0)</f>
        <v>0</v>
      </c>
      <c r="L773" s="1023" cm="1">
        <f t="array" ref="L773">IFERROR(IF($A773=$A772,0,SUM(_xlfn._xlws.FILTER($E773:$E783,($A773:$A783=$A773)*($J773:$J783=L$42)))),0)</f>
        <v>0</v>
      </c>
      <c r="M773" s="1023" cm="1">
        <f t="array" ref="M773">IFERROR(IF($A773=$A772,0,SUM(_xlfn._xlws.FILTER($E773:$E783,($A773:$A783=$A773)*($J773:$J783=M$42)))),0)</f>
        <v>0</v>
      </c>
      <c r="N773" s="1023" cm="1">
        <f t="array" ref="N773">IFERROR(IF($A773=$A772,0,SUM(_xlfn._xlws.FILTER($E773:$E783,($A773:$A783=$A773)*($J773:$J783=N$42)))),0)</f>
        <v>0</v>
      </c>
    </row>
    <row r="774" spans="5:14" x14ac:dyDescent="0.3">
      <c r="E774" s="1022">
        <f ca="1">IFERROR(C774*D774*_xlfn.XLOOKUP(B774,TabCalc[Ticker],TabCalc[Scale]),0)</f>
        <v>0</v>
      </c>
      <c r="F774" s="1023" cm="1">
        <f t="array" ref="F774">IF(A774=A773,0,SUM(_xlfn._xlws.FILTER(E774:E783,A774:A783=A774)))</f>
        <v>0</v>
      </c>
      <c r="G774" s="1024">
        <f>IF(F774&lt;&gt;0,SUM($F$43:F774),0)</f>
        <v>0</v>
      </c>
      <c r="H774" s="1024" cm="1">
        <f t="array" ref="H774">IFERROR(IF(A774=A773,0,SUM(_xlfn._xlws.FILTER(E774:E783,(A774:A783=A774)*(E774:E783&gt;0)))),0)</f>
        <v>0</v>
      </c>
      <c r="I774" s="1024" cm="1">
        <f t="array" ref="I774">IFERROR(IF(A774=A773,0,SUM(_xlfn._xlws.FILTER(E774:E783,(A774:A783=A774)*(F774&lt;0)))),0)</f>
        <v>0</v>
      </c>
      <c r="J774" s="293" t="str">
        <f ca="1">IFERROR(_xlfn.XLOOKUP(B774,TabCalc[Ticker],TabCalc[Cur]),"")</f>
        <v/>
      </c>
      <c r="K774" s="1023" cm="1">
        <f t="array" ref="K774">IFERROR(IF($A774=$A773,0,SUM(_xlfn._xlws.FILTER($E774:$E784,($A774:$A784=$A774)*($J774:$J784=K$42)))),0)</f>
        <v>0</v>
      </c>
      <c r="L774" s="1023" cm="1">
        <f t="array" ref="L774">IFERROR(IF($A774=$A773,0,SUM(_xlfn._xlws.FILTER($E774:$E784,($A774:$A784=$A774)*($J774:$J784=L$42)))),0)</f>
        <v>0</v>
      </c>
      <c r="M774" s="1023" cm="1">
        <f t="array" ref="M774">IFERROR(IF($A774=$A773,0,SUM(_xlfn._xlws.FILTER($E774:$E784,($A774:$A784=$A774)*($J774:$J784=M$42)))),0)</f>
        <v>0</v>
      </c>
      <c r="N774" s="1023" cm="1">
        <f t="array" ref="N774">IFERROR(IF($A774=$A773,0,SUM(_xlfn._xlws.FILTER($E774:$E784,($A774:$A784=$A774)*($J774:$J784=N$42)))),0)</f>
        <v>0</v>
      </c>
    </row>
    <row r="775" spans="5:14" x14ac:dyDescent="0.3">
      <c r="E775" s="1022">
        <f ca="1">IFERROR(C775*D775*_xlfn.XLOOKUP(B775,TabCalc[Ticker],TabCalc[Scale]),0)</f>
        <v>0</v>
      </c>
      <c r="F775" s="1023" cm="1">
        <f t="array" ref="F775">IF(A775=A774,0,SUM(_xlfn._xlws.FILTER(E775:E784,A775:A784=A775)))</f>
        <v>0</v>
      </c>
      <c r="G775" s="1024">
        <f>IF(F775&lt;&gt;0,SUM($F$43:F775),0)</f>
        <v>0</v>
      </c>
      <c r="H775" s="1024" cm="1">
        <f t="array" ref="H775">IFERROR(IF(A775=A774,0,SUM(_xlfn._xlws.FILTER(E775:E784,(A775:A784=A775)*(E775:E784&gt;0)))),0)</f>
        <v>0</v>
      </c>
      <c r="I775" s="1024" cm="1">
        <f t="array" ref="I775">IFERROR(IF(A775=A774,0,SUM(_xlfn._xlws.FILTER(E775:E784,(A775:A784=A775)*(F775&lt;0)))),0)</f>
        <v>0</v>
      </c>
      <c r="J775" s="293" t="str">
        <f ca="1">IFERROR(_xlfn.XLOOKUP(B775,TabCalc[Ticker],TabCalc[Cur]),"")</f>
        <v/>
      </c>
      <c r="K775" s="1023" cm="1">
        <f t="array" ref="K775">IFERROR(IF($A775=$A774,0,SUM(_xlfn._xlws.FILTER($E775:$E785,($A775:$A785=$A775)*($J775:$J785=K$42)))),0)</f>
        <v>0</v>
      </c>
      <c r="L775" s="1023" cm="1">
        <f t="array" ref="L775">IFERROR(IF($A775=$A774,0,SUM(_xlfn._xlws.FILTER($E775:$E785,($A775:$A785=$A775)*($J775:$J785=L$42)))),0)</f>
        <v>0</v>
      </c>
      <c r="M775" s="1023" cm="1">
        <f t="array" ref="M775">IFERROR(IF($A775=$A774,0,SUM(_xlfn._xlws.FILTER($E775:$E785,($A775:$A785=$A775)*($J775:$J785=M$42)))),0)</f>
        <v>0</v>
      </c>
      <c r="N775" s="1023" cm="1">
        <f t="array" ref="N775">IFERROR(IF($A775=$A774,0,SUM(_xlfn._xlws.FILTER($E775:$E785,($A775:$A785=$A775)*($J775:$J785=N$42)))),0)</f>
        <v>0</v>
      </c>
    </row>
    <row r="776" spans="5:14" x14ac:dyDescent="0.3">
      <c r="E776" s="1022">
        <f ca="1">IFERROR(C776*D776*_xlfn.XLOOKUP(B776,TabCalc[Ticker],TabCalc[Scale]),0)</f>
        <v>0</v>
      </c>
      <c r="F776" s="1023" cm="1">
        <f t="array" ref="F776">IF(A776=A775,0,SUM(_xlfn._xlws.FILTER(E776:E785,A776:A785=A776)))</f>
        <v>0</v>
      </c>
      <c r="G776" s="1024">
        <f>IF(F776&lt;&gt;0,SUM($F$43:F776),0)</f>
        <v>0</v>
      </c>
      <c r="H776" s="1024" cm="1">
        <f t="array" ref="H776">IFERROR(IF(A776=A775,0,SUM(_xlfn._xlws.FILTER(E776:E785,(A776:A785=A776)*(E776:E785&gt;0)))),0)</f>
        <v>0</v>
      </c>
      <c r="I776" s="1024" cm="1">
        <f t="array" ref="I776">IFERROR(IF(A776=A775,0,SUM(_xlfn._xlws.FILTER(E776:E785,(A776:A785=A776)*(F776&lt;0)))),0)</f>
        <v>0</v>
      </c>
      <c r="J776" s="293" t="str">
        <f ca="1">IFERROR(_xlfn.XLOOKUP(B776,TabCalc[Ticker],TabCalc[Cur]),"")</f>
        <v/>
      </c>
      <c r="K776" s="1023" cm="1">
        <f t="array" ref="K776">IFERROR(IF($A776=$A775,0,SUM(_xlfn._xlws.FILTER($E776:$E786,($A776:$A786=$A776)*($J776:$J786=K$42)))),0)</f>
        <v>0</v>
      </c>
      <c r="L776" s="1023" cm="1">
        <f t="array" ref="L776">IFERROR(IF($A776=$A775,0,SUM(_xlfn._xlws.FILTER($E776:$E786,($A776:$A786=$A776)*($J776:$J786=L$42)))),0)</f>
        <v>0</v>
      </c>
      <c r="M776" s="1023" cm="1">
        <f t="array" ref="M776">IFERROR(IF($A776=$A775,0,SUM(_xlfn._xlws.FILTER($E776:$E786,($A776:$A786=$A776)*($J776:$J786=M$42)))),0)</f>
        <v>0</v>
      </c>
      <c r="N776" s="1023" cm="1">
        <f t="array" ref="N776">IFERROR(IF($A776=$A775,0,SUM(_xlfn._xlws.FILTER($E776:$E786,($A776:$A786=$A776)*($J776:$J786=N$42)))),0)</f>
        <v>0</v>
      </c>
    </row>
    <row r="777" spans="5:14" x14ac:dyDescent="0.3">
      <c r="E777" s="1022">
        <f ca="1">IFERROR(C777*D777*_xlfn.XLOOKUP(B777,TabCalc[Ticker],TabCalc[Scale]),0)</f>
        <v>0</v>
      </c>
      <c r="F777" s="1023" cm="1">
        <f t="array" ref="F777">IF(A777=A776,0,SUM(_xlfn._xlws.FILTER(E777:E786,A777:A786=A777)))</f>
        <v>0</v>
      </c>
      <c r="G777" s="1024">
        <f>IF(F777&lt;&gt;0,SUM($F$43:F777),0)</f>
        <v>0</v>
      </c>
      <c r="H777" s="1024" cm="1">
        <f t="array" ref="H777">IFERROR(IF(A777=A776,0,SUM(_xlfn._xlws.FILTER(E777:E786,(A777:A786=A777)*(E777:E786&gt;0)))),0)</f>
        <v>0</v>
      </c>
      <c r="I777" s="1024" cm="1">
        <f t="array" ref="I777">IFERROR(IF(A777=A776,0,SUM(_xlfn._xlws.FILTER(E777:E786,(A777:A786=A777)*(F777&lt;0)))),0)</f>
        <v>0</v>
      </c>
      <c r="J777" s="293" t="str">
        <f ca="1">IFERROR(_xlfn.XLOOKUP(B777,TabCalc[Ticker],TabCalc[Cur]),"")</f>
        <v/>
      </c>
      <c r="K777" s="1023" cm="1">
        <f t="array" ref="K777">IFERROR(IF($A777=$A776,0,SUM(_xlfn._xlws.FILTER($E777:$E787,($A777:$A787=$A777)*($J777:$J787=K$42)))),0)</f>
        <v>0</v>
      </c>
      <c r="L777" s="1023" cm="1">
        <f t="array" ref="L777">IFERROR(IF($A777=$A776,0,SUM(_xlfn._xlws.FILTER($E777:$E787,($A777:$A787=$A777)*($J777:$J787=L$42)))),0)</f>
        <v>0</v>
      </c>
      <c r="M777" s="1023" cm="1">
        <f t="array" ref="M777">IFERROR(IF($A777=$A776,0,SUM(_xlfn._xlws.FILTER($E777:$E787,($A777:$A787=$A777)*($J777:$J787=M$42)))),0)</f>
        <v>0</v>
      </c>
      <c r="N777" s="1023" cm="1">
        <f t="array" ref="N777">IFERROR(IF($A777=$A776,0,SUM(_xlfn._xlws.FILTER($E777:$E787,($A777:$A787=$A777)*($J777:$J787=N$42)))),0)</f>
        <v>0</v>
      </c>
    </row>
    <row r="778" spans="5:14" x14ac:dyDescent="0.3">
      <c r="E778" s="1022">
        <f ca="1">IFERROR(C778*D778*_xlfn.XLOOKUP(B778,TabCalc[Ticker],TabCalc[Scale]),0)</f>
        <v>0</v>
      </c>
      <c r="F778" s="1023" cm="1">
        <f t="array" ref="F778">IF(A778=A777,0,SUM(_xlfn._xlws.FILTER(E778:E787,A778:A787=A778)))</f>
        <v>0</v>
      </c>
      <c r="G778" s="1024">
        <f>IF(F778&lt;&gt;0,SUM($F$43:F778),0)</f>
        <v>0</v>
      </c>
      <c r="H778" s="1024" cm="1">
        <f t="array" ref="H778">IFERROR(IF(A778=A777,0,SUM(_xlfn._xlws.FILTER(E778:E787,(A778:A787=A778)*(E778:E787&gt;0)))),0)</f>
        <v>0</v>
      </c>
      <c r="I778" s="1024" cm="1">
        <f t="array" ref="I778">IFERROR(IF(A778=A777,0,SUM(_xlfn._xlws.FILTER(E778:E787,(A778:A787=A778)*(F778&lt;0)))),0)</f>
        <v>0</v>
      </c>
      <c r="J778" s="293" t="str">
        <f ca="1">IFERROR(_xlfn.XLOOKUP(B778,TabCalc[Ticker],TabCalc[Cur]),"")</f>
        <v/>
      </c>
      <c r="K778" s="1023" cm="1">
        <f t="array" ref="K778">IFERROR(IF($A778=$A777,0,SUM(_xlfn._xlws.FILTER($E778:$E788,($A778:$A788=$A778)*($J778:$J788=K$42)))),0)</f>
        <v>0</v>
      </c>
      <c r="L778" s="1023" cm="1">
        <f t="array" ref="L778">IFERROR(IF($A778=$A777,0,SUM(_xlfn._xlws.FILTER($E778:$E788,($A778:$A788=$A778)*($J778:$J788=L$42)))),0)</f>
        <v>0</v>
      </c>
      <c r="M778" s="1023" cm="1">
        <f t="array" ref="M778">IFERROR(IF($A778=$A777,0,SUM(_xlfn._xlws.FILTER($E778:$E788,($A778:$A788=$A778)*($J778:$J788=M$42)))),0)</f>
        <v>0</v>
      </c>
      <c r="N778" s="1023" cm="1">
        <f t="array" ref="N778">IFERROR(IF($A778=$A777,0,SUM(_xlfn._xlws.FILTER($E778:$E788,($A778:$A788=$A778)*($J778:$J788=N$42)))),0)</f>
        <v>0</v>
      </c>
    </row>
    <row r="779" spans="5:14" x14ac:dyDescent="0.3">
      <c r="E779" s="1022">
        <f ca="1">IFERROR(C779*D779*_xlfn.XLOOKUP(B779,TabCalc[Ticker],TabCalc[Scale]),0)</f>
        <v>0</v>
      </c>
      <c r="F779" s="1023" cm="1">
        <f t="array" ref="F779">IF(A779=A778,0,SUM(_xlfn._xlws.FILTER(E779:E788,A779:A788=A779)))</f>
        <v>0</v>
      </c>
      <c r="G779" s="1024">
        <f>IF(F779&lt;&gt;0,SUM($F$43:F779),0)</f>
        <v>0</v>
      </c>
      <c r="H779" s="1024" cm="1">
        <f t="array" ref="H779">IFERROR(IF(A779=A778,0,SUM(_xlfn._xlws.FILTER(E779:E788,(A779:A788=A779)*(E779:E788&gt;0)))),0)</f>
        <v>0</v>
      </c>
      <c r="I779" s="1024" cm="1">
        <f t="array" ref="I779">IFERROR(IF(A779=A778,0,SUM(_xlfn._xlws.FILTER(E779:E788,(A779:A788=A779)*(F779&lt;0)))),0)</f>
        <v>0</v>
      </c>
      <c r="J779" s="293" t="str">
        <f ca="1">IFERROR(_xlfn.XLOOKUP(B779,TabCalc[Ticker],TabCalc[Cur]),"")</f>
        <v/>
      </c>
      <c r="K779" s="1023" cm="1">
        <f t="array" ref="K779">IFERROR(IF($A779=$A778,0,SUM(_xlfn._xlws.FILTER($E779:$E789,($A779:$A789=$A779)*($J779:$J789=K$42)))),0)</f>
        <v>0</v>
      </c>
      <c r="L779" s="1023" cm="1">
        <f t="array" ref="L779">IFERROR(IF($A779=$A778,0,SUM(_xlfn._xlws.FILTER($E779:$E789,($A779:$A789=$A779)*($J779:$J789=L$42)))),0)</f>
        <v>0</v>
      </c>
      <c r="M779" s="1023" cm="1">
        <f t="array" ref="M779">IFERROR(IF($A779=$A778,0,SUM(_xlfn._xlws.FILTER($E779:$E789,($A779:$A789=$A779)*($J779:$J789=M$42)))),0)</f>
        <v>0</v>
      </c>
      <c r="N779" s="1023" cm="1">
        <f t="array" ref="N779">IFERROR(IF($A779=$A778,0,SUM(_xlfn._xlws.FILTER($E779:$E789,($A779:$A789=$A779)*($J779:$J789=N$42)))),0)</f>
        <v>0</v>
      </c>
    </row>
    <row r="780" spans="5:14" x14ac:dyDescent="0.3">
      <c r="E780" s="1022">
        <f ca="1">IFERROR(C780*D780*_xlfn.XLOOKUP(B780,TabCalc[Ticker],TabCalc[Scale]),0)</f>
        <v>0</v>
      </c>
      <c r="F780" s="1023" cm="1">
        <f t="array" ref="F780">IF(A780=A779,0,SUM(_xlfn._xlws.FILTER(E780:E789,A780:A789=A780)))</f>
        <v>0</v>
      </c>
      <c r="G780" s="1024">
        <f>IF(F780&lt;&gt;0,SUM($F$43:F780),0)</f>
        <v>0</v>
      </c>
      <c r="H780" s="1024" cm="1">
        <f t="array" ref="H780">IFERROR(IF(A780=A779,0,SUM(_xlfn._xlws.FILTER(E780:E789,(A780:A789=A780)*(E780:E789&gt;0)))),0)</f>
        <v>0</v>
      </c>
      <c r="I780" s="1024" cm="1">
        <f t="array" ref="I780">IFERROR(IF(A780=A779,0,SUM(_xlfn._xlws.FILTER(E780:E789,(A780:A789=A780)*(F780&lt;0)))),0)</f>
        <v>0</v>
      </c>
      <c r="J780" s="293" t="str">
        <f ca="1">IFERROR(_xlfn.XLOOKUP(B780,TabCalc[Ticker],TabCalc[Cur]),"")</f>
        <v/>
      </c>
      <c r="K780" s="1023" cm="1">
        <f t="array" ref="K780">IFERROR(IF($A780=$A779,0,SUM(_xlfn._xlws.FILTER($E780:$E790,($A780:$A790=$A780)*($J780:$J790=K$42)))),0)</f>
        <v>0</v>
      </c>
      <c r="L780" s="1023" cm="1">
        <f t="array" ref="L780">IFERROR(IF($A780=$A779,0,SUM(_xlfn._xlws.FILTER($E780:$E790,($A780:$A790=$A780)*($J780:$J790=L$42)))),0)</f>
        <v>0</v>
      </c>
      <c r="M780" s="1023" cm="1">
        <f t="array" ref="M780">IFERROR(IF($A780=$A779,0,SUM(_xlfn._xlws.FILTER($E780:$E790,($A780:$A790=$A780)*($J780:$J790=M$42)))),0)</f>
        <v>0</v>
      </c>
      <c r="N780" s="1023" cm="1">
        <f t="array" ref="N780">IFERROR(IF($A780=$A779,0,SUM(_xlfn._xlws.FILTER($E780:$E790,($A780:$A790=$A780)*($J780:$J790=N$42)))),0)</f>
        <v>0</v>
      </c>
    </row>
    <row r="781" spans="5:14" x14ac:dyDescent="0.3">
      <c r="E781" s="1022">
        <f ca="1">IFERROR(C781*D781*_xlfn.XLOOKUP(B781,TabCalc[Ticker],TabCalc[Scale]),0)</f>
        <v>0</v>
      </c>
      <c r="F781" s="1023" cm="1">
        <f t="array" ref="F781">IF(A781=A780,0,SUM(_xlfn._xlws.FILTER(E781:E790,A781:A790=A781)))</f>
        <v>0</v>
      </c>
      <c r="G781" s="1024">
        <f>IF(F781&lt;&gt;0,SUM($F$43:F781),0)</f>
        <v>0</v>
      </c>
      <c r="H781" s="1024" cm="1">
        <f t="array" ref="H781">IFERROR(IF(A781=A780,0,SUM(_xlfn._xlws.FILTER(E781:E790,(A781:A790=A781)*(E781:E790&gt;0)))),0)</f>
        <v>0</v>
      </c>
      <c r="I781" s="1024" cm="1">
        <f t="array" ref="I781">IFERROR(IF(A781=A780,0,SUM(_xlfn._xlws.FILTER(E781:E790,(A781:A790=A781)*(F781&lt;0)))),0)</f>
        <v>0</v>
      </c>
      <c r="J781" s="293" t="str">
        <f ca="1">IFERROR(_xlfn.XLOOKUP(B781,TabCalc[Ticker],TabCalc[Cur]),"")</f>
        <v/>
      </c>
      <c r="K781" s="1023" cm="1">
        <f t="array" ref="K781">IFERROR(IF($A781=$A780,0,SUM(_xlfn._xlws.FILTER($E781:$E791,($A781:$A791=$A781)*($J781:$J791=K$42)))),0)</f>
        <v>0</v>
      </c>
      <c r="L781" s="1023" cm="1">
        <f t="array" ref="L781">IFERROR(IF($A781=$A780,0,SUM(_xlfn._xlws.FILTER($E781:$E791,($A781:$A791=$A781)*($J781:$J791=L$42)))),0)</f>
        <v>0</v>
      </c>
      <c r="M781" s="1023" cm="1">
        <f t="array" ref="M781">IFERROR(IF($A781=$A780,0,SUM(_xlfn._xlws.FILTER($E781:$E791,($A781:$A791=$A781)*($J781:$J791=M$42)))),0)</f>
        <v>0</v>
      </c>
      <c r="N781" s="1023" cm="1">
        <f t="array" ref="N781">IFERROR(IF($A781=$A780,0,SUM(_xlfn._xlws.FILTER($E781:$E791,($A781:$A791=$A781)*($J781:$J791=N$42)))),0)</f>
        <v>0</v>
      </c>
    </row>
    <row r="782" spans="5:14" x14ac:dyDescent="0.3">
      <c r="E782" s="1022">
        <f ca="1">IFERROR(C782*D782*_xlfn.XLOOKUP(B782,TabCalc[Ticker],TabCalc[Scale]),0)</f>
        <v>0</v>
      </c>
      <c r="F782" s="1023" cm="1">
        <f t="array" ref="F782">IF(A782=A781,0,SUM(_xlfn._xlws.FILTER(E782:E791,A782:A791=A782)))</f>
        <v>0</v>
      </c>
      <c r="G782" s="1024">
        <f>IF(F782&lt;&gt;0,SUM($F$43:F782),0)</f>
        <v>0</v>
      </c>
      <c r="H782" s="1024" cm="1">
        <f t="array" ref="H782">IFERROR(IF(A782=A781,0,SUM(_xlfn._xlws.FILTER(E782:E791,(A782:A791=A782)*(E782:E791&gt;0)))),0)</f>
        <v>0</v>
      </c>
      <c r="I782" s="1024" cm="1">
        <f t="array" ref="I782">IFERROR(IF(A782=A781,0,SUM(_xlfn._xlws.FILTER(E782:E791,(A782:A791=A782)*(F782&lt;0)))),0)</f>
        <v>0</v>
      </c>
      <c r="J782" s="293" t="str">
        <f ca="1">IFERROR(_xlfn.XLOOKUP(B782,TabCalc[Ticker],TabCalc[Cur]),"")</f>
        <v/>
      </c>
      <c r="K782" s="1023" cm="1">
        <f t="array" ref="K782">IFERROR(IF($A782=$A781,0,SUM(_xlfn._xlws.FILTER($E782:$E792,($A782:$A792=$A782)*($J782:$J792=K$42)))),0)</f>
        <v>0</v>
      </c>
      <c r="L782" s="1023" cm="1">
        <f t="array" ref="L782">IFERROR(IF($A782=$A781,0,SUM(_xlfn._xlws.FILTER($E782:$E792,($A782:$A792=$A782)*($J782:$J792=L$42)))),0)</f>
        <v>0</v>
      </c>
      <c r="M782" s="1023" cm="1">
        <f t="array" ref="M782">IFERROR(IF($A782=$A781,0,SUM(_xlfn._xlws.FILTER($E782:$E792,($A782:$A792=$A782)*($J782:$J792=M$42)))),0)</f>
        <v>0</v>
      </c>
      <c r="N782" s="1023" cm="1">
        <f t="array" ref="N782">IFERROR(IF($A782=$A781,0,SUM(_xlfn._xlws.FILTER($E782:$E792,($A782:$A792=$A782)*($J782:$J792=N$42)))),0)</f>
        <v>0</v>
      </c>
    </row>
    <row r="783" spans="5:14" x14ac:dyDescent="0.3">
      <c r="E783" s="1022">
        <f ca="1">IFERROR(C783*D783*_xlfn.XLOOKUP(B783,TabCalc[Ticker],TabCalc[Scale]),0)</f>
        <v>0</v>
      </c>
      <c r="F783" s="1023" cm="1">
        <f t="array" ref="F783">IF(A783=A782,0,SUM(_xlfn._xlws.FILTER(E783:E792,A783:A792=A783)))</f>
        <v>0</v>
      </c>
      <c r="G783" s="1024">
        <f>IF(F783&lt;&gt;0,SUM($F$43:F783),0)</f>
        <v>0</v>
      </c>
      <c r="H783" s="1024" cm="1">
        <f t="array" ref="H783">IFERROR(IF(A783=A782,0,SUM(_xlfn._xlws.FILTER(E783:E792,(A783:A792=A783)*(E783:E792&gt;0)))),0)</f>
        <v>0</v>
      </c>
      <c r="I783" s="1024" cm="1">
        <f t="array" ref="I783">IFERROR(IF(A783=A782,0,SUM(_xlfn._xlws.FILTER(E783:E792,(A783:A792=A783)*(F783&lt;0)))),0)</f>
        <v>0</v>
      </c>
      <c r="J783" s="293" t="str">
        <f ca="1">IFERROR(_xlfn.XLOOKUP(B783,TabCalc[Ticker],TabCalc[Cur]),"")</f>
        <v/>
      </c>
      <c r="K783" s="1023" cm="1">
        <f t="array" ref="K783">IFERROR(IF($A783=$A782,0,SUM(_xlfn._xlws.FILTER($E783:$E793,($A783:$A793=$A783)*($J783:$J793=K$42)))),0)</f>
        <v>0</v>
      </c>
      <c r="L783" s="1023" cm="1">
        <f t="array" ref="L783">IFERROR(IF($A783=$A782,0,SUM(_xlfn._xlws.FILTER($E783:$E793,($A783:$A793=$A783)*($J783:$J793=L$42)))),0)</f>
        <v>0</v>
      </c>
      <c r="M783" s="1023" cm="1">
        <f t="array" ref="M783">IFERROR(IF($A783=$A782,0,SUM(_xlfn._xlws.FILTER($E783:$E793,($A783:$A793=$A783)*($J783:$J793=M$42)))),0)</f>
        <v>0</v>
      </c>
      <c r="N783" s="1023" cm="1">
        <f t="array" ref="N783">IFERROR(IF($A783=$A782,0,SUM(_xlfn._xlws.FILTER($E783:$E793,($A783:$A793=$A783)*($J783:$J793=N$42)))),0)</f>
        <v>0</v>
      </c>
    </row>
    <row r="784" spans="5:14" x14ac:dyDescent="0.3">
      <c r="E784" s="1022">
        <f ca="1">IFERROR(C784*D784*_xlfn.XLOOKUP(B784,TabCalc[Ticker],TabCalc[Scale]),0)</f>
        <v>0</v>
      </c>
      <c r="F784" s="1023" cm="1">
        <f t="array" ref="F784">IF(A784=A783,0,SUM(_xlfn._xlws.FILTER(E784:E793,A784:A793=A784)))</f>
        <v>0</v>
      </c>
      <c r="G784" s="1024">
        <f>IF(F784&lt;&gt;0,SUM($F$43:F784),0)</f>
        <v>0</v>
      </c>
      <c r="H784" s="1024" cm="1">
        <f t="array" ref="H784">IFERROR(IF(A784=A783,0,SUM(_xlfn._xlws.FILTER(E784:E793,(A784:A793=A784)*(E784:E793&gt;0)))),0)</f>
        <v>0</v>
      </c>
      <c r="I784" s="1024" cm="1">
        <f t="array" ref="I784">IFERROR(IF(A784=A783,0,SUM(_xlfn._xlws.FILTER(E784:E793,(A784:A793=A784)*(F784&lt;0)))),0)</f>
        <v>0</v>
      </c>
      <c r="J784" s="293" t="str">
        <f ca="1">IFERROR(_xlfn.XLOOKUP(B784,TabCalc[Ticker],TabCalc[Cur]),"")</f>
        <v/>
      </c>
      <c r="K784" s="1023" cm="1">
        <f t="array" ref="K784">IFERROR(IF($A784=$A783,0,SUM(_xlfn._xlws.FILTER($E784:$E794,($A784:$A794=$A784)*($J784:$J794=K$42)))),0)</f>
        <v>0</v>
      </c>
      <c r="L784" s="1023" cm="1">
        <f t="array" ref="L784">IFERROR(IF($A784=$A783,0,SUM(_xlfn._xlws.FILTER($E784:$E794,($A784:$A794=$A784)*($J784:$J794=L$42)))),0)</f>
        <v>0</v>
      </c>
      <c r="M784" s="1023" cm="1">
        <f t="array" ref="M784">IFERROR(IF($A784=$A783,0,SUM(_xlfn._xlws.FILTER($E784:$E794,($A784:$A794=$A784)*($J784:$J794=M$42)))),0)</f>
        <v>0</v>
      </c>
      <c r="N784" s="1023" cm="1">
        <f t="array" ref="N784">IFERROR(IF($A784=$A783,0,SUM(_xlfn._xlws.FILTER($E784:$E794,($A784:$A794=$A784)*($J784:$J794=N$42)))),0)</f>
        <v>0</v>
      </c>
    </row>
    <row r="785" spans="5:14" x14ac:dyDescent="0.3">
      <c r="E785" s="1022">
        <f ca="1">IFERROR(C785*D785*_xlfn.XLOOKUP(B785,TabCalc[Ticker],TabCalc[Scale]),0)</f>
        <v>0</v>
      </c>
      <c r="F785" s="1023" cm="1">
        <f t="array" ref="F785">IF(A785=A784,0,SUM(_xlfn._xlws.FILTER(E785:E794,A785:A794=A785)))</f>
        <v>0</v>
      </c>
      <c r="G785" s="1024">
        <f>IF(F785&lt;&gt;0,SUM($F$43:F785),0)</f>
        <v>0</v>
      </c>
      <c r="H785" s="1024" cm="1">
        <f t="array" ref="H785">IFERROR(IF(A785=A784,0,SUM(_xlfn._xlws.FILTER(E785:E794,(A785:A794=A785)*(E785:E794&gt;0)))),0)</f>
        <v>0</v>
      </c>
      <c r="I785" s="1024" cm="1">
        <f t="array" ref="I785">IFERROR(IF(A785=A784,0,SUM(_xlfn._xlws.FILTER(E785:E794,(A785:A794=A785)*(F785&lt;0)))),0)</f>
        <v>0</v>
      </c>
      <c r="J785" s="293" t="str">
        <f ca="1">IFERROR(_xlfn.XLOOKUP(B785,TabCalc[Ticker],TabCalc[Cur]),"")</f>
        <v/>
      </c>
      <c r="K785" s="1023" cm="1">
        <f t="array" ref="K785">IFERROR(IF($A785=$A784,0,SUM(_xlfn._xlws.FILTER($E785:$E795,($A785:$A795=$A785)*($J785:$J795=K$42)))),0)</f>
        <v>0</v>
      </c>
      <c r="L785" s="1023" cm="1">
        <f t="array" ref="L785">IFERROR(IF($A785=$A784,0,SUM(_xlfn._xlws.FILTER($E785:$E795,($A785:$A795=$A785)*($J785:$J795=L$42)))),0)</f>
        <v>0</v>
      </c>
      <c r="M785" s="1023" cm="1">
        <f t="array" ref="M785">IFERROR(IF($A785=$A784,0,SUM(_xlfn._xlws.FILTER($E785:$E795,($A785:$A795=$A785)*($J785:$J795=M$42)))),0)</f>
        <v>0</v>
      </c>
      <c r="N785" s="1023" cm="1">
        <f t="array" ref="N785">IFERROR(IF($A785=$A784,0,SUM(_xlfn._xlws.FILTER($E785:$E795,($A785:$A795=$A785)*($J785:$J795=N$42)))),0)</f>
        <v>0</v>
      </c>
    </row>
    <row r="786" spans="5:14" x14ac:dyDescent="0.3">
      <c r="E786" s="1022">
        <f ca="1">IFERROR(C786*D786*_xlfn.XLOOKUP(B786,TabCalc[Ticker],TabCalc[Scale]),0)</f>
        <v>0</v>
      </c>
      <c r="F786" s="1023" cm="1">
        <f t="array" ref="F786">IF(A786=A785,0,SUM(_xlfn._xlws.FILTER(E786:E795,A786:A795=A786)))</f>
        <v>0</v>
      </c>
      <c r="G786" s="1024">
        <f>IF(F786&lt;&gt;0,SUM($F$43:F786),0)</f>
        <v>0</v>
      </c>
      <c r="H786" s="1024" cm="1">
        <f t="array" ref="H786">IFERROR(IF(A786=A785,0,SUM(_xlfn._xlws.FILTER(E786:E795,(A786:A795=A786)*(E786:E795&gt;0)))),0)</f>
        <v>0</v>
      </c>
      <c r="I786" s="1024" cm="1">
        <f t="array" ref="I786">IFERROR(IF(A786=A785,0,SUM(_xlfn._xlws.FILTER(E786:E795,(A786:A795=A786)*(F786&lt;0)))),0)</f>
        <v>0</v>
      </c>
      <c r="J786" s="293" t="str">
        <f ca="1">IFERROR(_xlfn.XLOOKUP(B786,TabCalc[Ticker],TabCalc[Cur]),"")</f>
        <v/>
      </c>
      <c r="K786" s="1023" cm="1">
        <f t="array" ref="K786">IFERROR(IF($A786=$A785,0,SUM(_xlfn._xlws.FILTER($E786:$E796,($A786:$A796=$A786)*($J786:$J796=K$42)))),0)</f>
        <v>0</v>
      </c>
      <c r="L786" s="1023" cm="1">
        <f t="array" ref="L786">IFERROR(IF($A786=$A785,0,SUM(_xlfn._xlws.FILTER($E786:$E796,($A786:$A796=$A786)*($J786:$J796=L$42)))),0)</f>
        <v>0</v>
      </c>
      <c r="M786" s="1023" cm="1">
        <f t="array" ref="M786">IFERROR(IF($A786=$A785,0,SUM(_xlfn._xlws.FILTER($E786:$E796,($A786:$A796=$A786)*($J786:$J796=M$42)))),0)</f>
        <v>0</v>
      </c>
      <c r="N786" s="1023" cm="1">
        <f t="array" ref="N786">IFERROR(IF($A786=$A785,0,SUM(_xlfn._xlws.FILTER($E786:$E796,($A786:$A796=$A786)*($J786:$J796=N$42)))),0)</f>
        <v>0</v>
      </c>
    </row>
    <row r="787" spans="5:14" x14ac:dyDescent="0.3">
      <c r="E787" s="1022">
        <f ca="1">IFERROR(C787*D787*_xlfn.XLOOKUP(B787,TabCalc[Ticker],TabCalc[Scale]),0)</f>
        <v>0</v>
      </c>
      <c r="F787" s="1023" cm="1">
        <f t="array" ref="F787">IF(A787=A786,0,SUM(_xlfn._xlws.FILTER(E787:E796,A787:A796=A787)))</f>
        <v>0</v>
      </c>
      <c r="G787" s="1024">
        <f>IF(F787&lt;&gt;0,SUM($F$43:F787),0)</f>
        <v>0</v>
      </c>
      <c r="H787" s="1024" cm="1">
        <f t="array" ref="H787">IFERROR(IF(A787=A786,0,SUM(_xlfn._xlws.FILTER(E787:E796,(A787:A796=A787)*(E787:E796&gt;0)))),0)</f>
        <v>0</v>
      </c>
      <c r="I787" s="1024" cm="1">
        <f t="array" ref="I787">IFERROR(IF(A787=A786,0,SUM(_xlfn._xlws.FILTER(E787:E796,(A787:A796=A787)*(F787&lt;0)))),0)</f>
        <v>0</v>
      </c>
      <c r="J787" s="293" t="str">
        <f ca="1">IFERROR(_xlfn.XLOOKUP(B787,TabCalc[Ticker],TabCalc[Cur]),"")</f>
        <v/>
      </c>
      <c r="K787" s="1023" cm="1">
        <f t="array" ref="K787">IFERROR(IF($A787=$A786,0,SUM(_xlfn._xlws.FILTER($E787:$E797,($A787:$A797=$A787)*($J787:$J797=K$42)))),0)</f>
        <v>0</v>
      </c>
      <c r="L787" s="1023" cm="1">
        <f t="array" ref="L787">IFERROR(IF($A787=$A786,0,SUM(_xlfn._xlws.FILTER($E787:$E797,($A787:$A797=$A787)*($J787:$J797=L$42)))),0)</f>
        <v>0</v>
      </c>
      <c r="M787" s="1023" cm="1">
        <f t="array" ref="M787">IFERROR(IF($A787=$A786,0,SUM(_xlfn._xlws.FILTER($E787:$E797,($A787:$A797=$A787)*($J787:$J797=M$42)))),0)</f>
        <v>0</v>
      </c>
      <c r="N787" s="1023" cm="1">
        <f t="array" ref="N787">IFERROR(IF($A787=$A786,0,SUM(_xlfn._xlws.FILTER($E787:$E797,($A787:$A797=$A787)*($J787:$J797=N$42)))),0)</f>
        <v>0</v>
      </c>
    </row>
    <row r="788" spans="5:14" x14ac:dyDescent="0.3">
      <c r="E788" s="1022">
        <f ca="1">IFERROR(C788*D788*_xlfn.XLOOKUP(B788,TabCalc[Ticker],TabCalc[Scale]),0)</f>
        <v>0</v>
      </c>
      <c r="F788" s="1023" cm="1">
        <f t="array" ref="F788">IF(A788=A787,0,SUM(_xlfn._xlws.FILTER(E788:E797,A788:A797=A788)))</f>
        <v>0</v>
      </c>
      <c r="G788" s="1024">
        <f>IF(F788&lt;&gt;0,SUM($F$43:F788),0)</f>
        <v>0</v>
      </c>
      <c r="H788" s="1024" cm="1">
        <f t="array" ref="H788">IFERROR(IF(A788=A787,0,SUM(_xlfn._xlws.FILTER(E788:E797,(A788:A797=A788)*(E788:E797&gt;0)))),0)</f>
        <v>0</v>
      </c>
      <c r="I788" s="1024" cm="1">
        <f t="array" ref="I788">IFERROR(IF(A788=A787,0,SUM(_xlfn._xlws.FILTER(E788:E797,(A788:A797=A788)*(F788&lt;0)))),0)</f>
        <v>0</v>
      </c>
      <c r="J788" s="293" t="str">
        <f ca="1">IFERROR(_xlfn.XLOOKUP(B788,TabCalc[Ticker],TabCalc[Cur]),"")</f>
        <v/>
      </c>
      <c r="K788" s="1023" cm="1">
        <f t="array" ref="K788">IFERROR(IF($A788=$A787,0,SUM(_xlfn._xlws.FILTER($E788:$E798,($A788:$A798=$A788)*($J788:$J798=K$42)))),0)</f>
        <v>0</v>
      </c>
      <c r="L788" s="1023" cm="1">
        <f t="array" ref="L788">IFERROR(IF($A788=$A787,0,SUM(_xlfn._xlws.FILTER($E788:$E798,($A788:$A798=$A788)*($J788:$J798=L$42)))),0)</f>
        <v>0</v>
      </c>
      <c r="M788" s="1023" cm="1">
        <f t="array" ref="M788">IFERROR(IF($A788=$A787,0,SUM(_xlfn._xlws.FILTER($E788:$E798,($A788:$A798=$A788)*($J788:$J798=M$42)))),0)</f>
        <v>0</v>
      </c>
      <c r="N788" s="1023" cm="1">
        <f t="array" ref="N788">IFERROR(IF($A788=$A787,0,SUM(_xlfn._xlws.FILTER($E788:$E798,($A788:$A798=$A788)*($J788:$J798=N$42)))),0)</f>
        <v>0</v>
      </c>
    </row>
    <row r="789" spans="5:14" x14ac:dyDescent="0.3">
      <c r="E789" s="1022">
        <f ca="1">IFERROR(C789*D789*_xlfn.XLOOKUP(B789,TabCalc[Ticker],TabCalc[Scale]),0)</f>
        <v>0</v>
      </c>
      <c r="F789" s="1023" cm="1">
        <f t="array" ref="F789">IF(A789=A788,0,SUM(_xlfn._xlws.FILTER(E789:E798,A789:A798=A789)))</f>
        <v>0</v>
      </c>
      <c r="G789" s="1024">
        <f>IF(F789&lt;&gt;0,SUM($F$43:F789),0)</f>
        <v>0</v>
      </c>
      <c r="H789" s="1024" cm="1">
        <f t="array" ref="H789">IFERROR(IF(A789=A788,0,SUM(_xlfn._xlws.FILTER(E789:E798,(A789:A798=A789)*(E789:E798&gt;0)))),0)</f>
        <v>0</v>
      </c>
      <c r="I789" s="1024" cm="1">
        <f t="array" ref="I789">IFERROR(IF(A789=A788,0,SUM(_xlfn._xlws.FILTER(E789:E798,(A789:A798=A789)*(F789&lt;0)))),0)</f>
        <v>0</v>
      </c>
      <c r="J789" s="293" t="str">
        <f ca="1">IFERROR(_xlfn.XLOOKUP(B789,TabCalc[Ticker],TabCalc[Cur]),"")</f>
        <v/>
      </c>
      <c r="K789" s="1023" cm="1">
        <f t="array" ref="K789">IFERROR(IF($A789=$A788,0,SUM(_xlfn._xlws.FILTER($E789:$E799,($A789:$A799=$A789)*($J789:$J799=K$42)))),0)</f>
        <v>0</v>
      </c>
      <c r="L789" s="1023" cm="1">
        <f t="array" ref="L789">IFERROR(IF($A789=$A788,0,SUM(_xlfn._xlws.FILTER($E789:$E799,($A789:$A799=$A789)*($J789:$J799=L$42)))),0)</f>
        <v>0</v>
      </c>
      <c r="M789" s="1023" cm="1">
        <f t="array" ref="M789">IFERROR(IF($A789=$A788,0,SUM(_xlfn._xlws.FILTER($E789:$E799,($A789:$A799=$A789)*($J789:$J799=M$42)))),0)</f>
        <v>0</v>
      </c>
      <c r="N789" s="1023" cm="1">
        <f t="array" ref="N789">IFERROR(IF($A789=$A788,0,SUM(_xlfn._xlws.FILTER($E789:$E799,($A789:$A799=$A789)*($J789:$J799=N$42)))),0)</f>
        <v>0</v>
      </c>
    </row>
    <row r="790" spans="5:14" x14ac:dyDescent="0.3">
      <c r="E790" s="1022">
        <f ca="1">IFERROR(C790*D790*_xlfn.XLOOKUP(B790,TabCalc[Ticker],TabCalc[Scale]),0)</f>
        <v>0</v>
      </c>
      <c r="F790" s="1023" cm="1">
        <f t="array" ref="F790">IF(A790=A789,0,SUM(_xlfn._xlws.FILTER(E790:E799,A790:A799=A790)))</f>
        <v>0</v>
      </c>
      <c r="G790" s="1024">
        <f>IF(F790&lt;&gt;0,SUM($F$43:F790),0)</f>
        <v>0</v>
      </c>
      <c r="H790" s="1024" cm="1">
        <f t="array" ref="H790">IFERROR(IF(A790=A789,0,SUM(_xlfn._xlws.FILTER(E790:E799,(A790:A799=A790)*(E790:E799&gt;0)))),0)</f>
        <v>0</v>
      </c>
      <c r="I790" s="1024" cm="1">
        <f t="array" ref="I790">IFERROR(IF(A790=A789,0,SUM(_xlfn._xlws.FILTER(E790:E799,(A790:A799=A790)*(F790&lt;0)))),0)</f>
        <v>0</v>
      </c>
      <c r="J790" s="293" t="str">
        <f ca="1">IFERROR(_xlfn.XLOOKUP(B790,TabCalc[Ticker],TabCalc[Cur]),"")</f>
        <v/>
      </c>
      <c r="K790" s="1023" cm="1">
        <f t="array" ref="K790">IFERROR(IF($A790=$A789,0,SUM(_xlfn._xlws.FILTER($E790:$E800,($A790:$A800=$A790)*($J790:$J800=K$42)))),0)</f>
        <v>0</v>
      </c>
      <c r="L790" s="1023" cm="1">
        <f t="array" ref="L790">IFERROR(IF($A790=$A789,0,SUM(_xlfn._xlws.FILTER($E790:$E800,($A790:$A800=$A790)*($J790:$J800=L$42)))),0)</f>
        <v>0</v>
      </c>
      <c r="M790" s="1023" cm="1">
        <f t="array" ref="M790">IFERROR(IF($A790=$A789,0,SUM(_xlfn._xlws.FILTER($E790:$E800,($A790:$A800=$A790)*($J790:$J800=M$42)))),0)</f>
        <v>0</v>
      </c>
      <c r="N790" s="1023" cm="1">
        <f t="array" ref="N790">IFERROR(IF($A790=$A789,0,SUM(_xlfn._xlws.FILTER($E790:$E800,($A790:$A800=$A790)*($J790:$J800=N$42)))),0)</f>
        <v>0</v>
      </c>
    </row>
    <row r="791" spans="5:14" x14ac:dyDescent="0.3">
      <c r="E791" s="1022">
        <f ca="1">IFERROR(C791*D791*_xlfn.XLOOKUP(B791,TabCalc[Ticker],TabCalc[Scale]),0)</f>
        <v>0</v>
      </c>
      <c r="F791" s="1023" cm="1">
        <f t="array" ref="F791">IF(A791=A790,0,SUM(_xlfn._xlws.FILTER(E791:E800,A791:A800=A791)))</f>
        <v>0</v>
      </c>
      <c r="G791" s="1024">
        <f>IF(F791&lt;&gt;0,SUM($F$43:F791),0)</f>
        <v>0</v>
      </c>
      <c r="H791" s="1024" cm="1">
        <f t="array" ref="H791">IFERROR(IF(A791=A790,0,SUM(_xlfn._xlws.FILTER(E791:E800,(A791:A800=A791)*(E791:E800&gt;0)))),0)</f>
        <v>0</v>
      </c>
      <c r="I791" s="1024" cm="1">
        <f t="array" ref="I791">IFERROR(IF(A791=A790,0,SUM(_xlfn._xlws.FILTER(E791:E800,(A791:A800=A791)*(F791&lt;0)))),0)</f>
        <v>0</v>
      </c>
      <c r="J791" s="293" t="str">
        <f ca="1">IFERROR(_xlfn.XLOOKUP(B791,TabCalc[Ticker],TabCalc[Cur]),"")</f>
        <v/>
      </c>
      <c r="K791" s="1023" cm="1">
        <f t="array" ref="K791">IFERROR(IF($A791=$A790,0,SUM(_xlfn._xlws.FILTER($E791:$E801,($A791:$A801=$A791)*($J791:$J801=K$42)))),0)</f>
        <v>0</v>
      </c>
      <c r="L791" s="1023" cm="1">
        <f t="array" ref="L791">IFERROR(IF($A791=$A790,0,SUM(_xlfn._xlws.FILTER($E791:$E801,($A791:$A801=$A791)*($J791:$J801=L$42)))),0)</f>
        <v>0</v>
      </c>
      <c r="M791" s="1023" cm="1">
        <f t="array" ref="M791">IFERROR(IF($A791=$A790,0,SUM(_xlfn._xlws.FILTER($E791:$E801,($A791:$A801=$A791)*($J791:$J801=M$42)))),0)</f>
        <v>0</v>
      </c>
      <c r="N791" s="1023" cm="1">
        <f t="array" ref="N791">IFERROR(IF($A791=$A790,0,SUM(_xlfn._xlws.FILTER($E791:$E801,($A791:$A801=$A791)*($J791:$J801=N$42)))),0)</f>
        <v>0</v>
      </c>
    </row>
    <row r="792" spans="5:14" x14ac:dyDescent="0.3">
      <c r="E792" s="1022">
        <f ca="1">IFERROR(C792*D792*_xlfn.XLOOKUP(B792,TabCalc[Ticker],TabCalc[Scale]),0)</f>
        <v>0</v>
      </c>
      <c r="F792" s="1023" cm="1">
        <f t="array" ref="F792">IF(A792=A791,0,SUM(_xlfn._xlws.FILTER(E792:E801,A792:A801=A792)))</f>
        <v>0</v>
      </c>
      <c r="G792" s="1024">
        <f>IF(F792&lt;&gt;0,SUM($F$43:F792),0)</f>
        <v>0</v>
      </c>
      <c r="H792" s="1024" cm="1">
        <f t="array" ref="H792">IFERROR(IF(A792=A791,0,SUM(_xlfn._xlws.FILTER(E792:E801,(A792:A801=A792)*(E792:E801&gt;0)))),0)</f>
        <v>0</v>
      </c>
      <c r="I792" s="1024" cm="1">
        <f t="array" ref="I792">IFERROR(IF(A792=A791,0,SUM(_xlfn._xlws.FILTER(E792:E801,(A792:A801=A792)*(F792&lt;0)))),0)</f>
        <v>0</v>
      </c>
      <c r="J792" s="293" t="str">
        <f ca="1">IFERROR(_xlfn.XLOOKUP(B792,TabCalc[Ticker],TabCalc[Cur]),"")</f>
        <v/>
      </c>
      <c r="K792" s="1023" cm="1">
        <f t="array" ref="K792">IFERROR(IF($A792=$A791,0,SUM(_xlfn._xlws.FILTER($E792:$E802,($A792:$A802=$A792)*($J792:$J802=K$42)))),0)</f>
        <v>0</v>
      </c>
      <c r="L792" s="1023" cm="1">
        <f t="array" ref="L792">IFERROR(IF($A792=$A791,0,SUM(_xlfn._xlws.FILTER($E792:$E802,($A792:$A802=$A792)*($J792:$J802=L$42)))),0)</f>
        <v>0</v>
      </c>
      <c r="M792" s="1023" cm="1">
        <f t="array" ref="M792">IFERROR(IF($A792=$A791,0,SUM(_xlfn._xlws.FILTER($E792:$E802,($A792:$A802=$A792)*($J792:$J802=M$42)))),0)</f>
        <v>0</v>
      </c>
      <c r="N792" s="1023" cm="1">
        <f t="array" ref="N792">IFERROR(IF($A792=$A791,0,SUM(_xlfn._xlws.FILTER($E792:$E802,($A792:$A802=$A792)*($J792:$J802=N$42)))),0)</f>
        <v>0</v>
      </c>
    </row>
    <row r="793" spans="5:14" x14ac:dyDescent="0.3">
      <c r="E793" s="1022">
        <f ca="1">IFERROR(C793*D793*_xlfn.XLOOKUP(B793,TabCalc[Ticker],TabCalc[Scale]),0)</f>
        <v>0</v>
      </c>
      <c r="F793" s="1023" cm="1">
        <f t="array" ref="F793">IF(A793=A792,0,SUM(_xlfn._xlws.FILTER(E793:E802,A793:A802=A793)))</f>
        <v>0</v>
      </c>
      <c r="G793" s="1024">
        <f>IF(F793&lt;&gt;0,SUM($F$43:F793),0)</f>
        <v>0</v>
      </c>
      <c r="H793" s="1024" cm="1">
        <f t="array" ref="H793">IFERROR(IF(A793=A792,0,SUM(_xlfn._xlws.FILTER(E793:E802,(A793:A802=A793)*(E793:E802&gt;0)))),0)</f>
        <v>0</v>
      </c>
      <c r="I793" s="1024" cm="1">
        <f t="array" ref="I793">IFERROR(IF(A793=A792,0,SUM(_xlfn._xlws.FILTER(E793:E802,(A793:A802=A793)*(F793&lt;0)))),0)</f>
        <v>0</v>
      </c>
      <c r="J793" s="293" t="str">
        <f ca="1">IFERROR(_xlfn.XLOOKUP(B793,TabCalc[Ticker],TabCalc[Cur]),"")</f>
        <v/>
      </c>
      <c r="K793" s="1023" cm="1">
        <f t="array" ref="K793">IFERROR(IF($A793=$A792,0,SUM(_xlfn._xlws.FILTER($E793:$E803,($A793:$A803=$A793)*($J793:$J803=K$42)))),0)</f>
        <v>0</v>
      </c>
      <c r="L793" s="1023" cm="1">
        <f t="array" ref="L793">IFERROR(IF($A793=$A792,0,SUM(_xlfn._xlws.FILTER($E793:$E803,($A793:$A803=$A793)*($J793:$J803=L$42)))),0)</f>
        <v>0</v>
      </c>
      <c r="M793" s="1023" cm="1">
        <f t="array" ref="M793">IFERROR(IF($A793=$A792,0,SUM(_xlfn._xlws.FILTER($E793:$E803,($A793:$A803=$A793)*($J793:$J803=M$42)))),0)</f>
        <v>0</v>
      </c>
      <c r="N793" s="1023" cm="1">
        <f t="array" ref="N793">IFERROR(IF($A793=$A792,0,SUM(_xlfn._xlws.FILTER($E793:$E803,($A793:$A803=$A793)*($J793:$J803=N$42)))),0)</f>
        <v>0</v>
      </c>
    </row>
    <row r="794" spans="5:14" x14ac:dyDescent="0.3">
      <c r="E794" s="1022">
        <f ca="1">IFERROR(C794*D794*_xlfn.XLOOKUP(B794,TabCalc[Ticker],TabCalc[Scale]),0)</f>
        <v>0</v>
      </c>
      <c r="F794" s="1023" cm="1">
        <f t="array" ref="F794">IF(A794=A793,0,SUM(_xlfn._xlws.FILTER(E794:E803,A794:A803=A794)))</f>
        <v>0</v>
      </c>
      <c r="G794" s="1024">
        <f>IF(F794&lt;&gt;0,SUM($F$43:F794),0)</f>
        <v>0</v>
      </c>
      <c r="H794" s="1024" cm="1">
        <f t="array" ref="H794">IFERROR(IF(A794=A793,0,SUM(_xlfn._xlws.FILTER(E794:E803,(A794:A803=A794)*(E794:E803&gt;0)))),0)</f>
        <v>0</v>
      </c>
      <c r="I794" s="1024" cm="1">
        <f t="array" ref="I794">IFERROR(IF(A794=A793,0,SUM(_xlfn._xlws.FILTER(E794:E803,(A794:A803=A794)*(F794&lt;0)))),0)</f>
        <v>0</v>
      </c>
      <c r="J794" s="293" t="str">
        <f ca="1">IFERROR(_xlfn.XLOOKUP(B794,TabCalc[Ticker],TabCalc[Cur]),"")</f>
        <v/>
      </c>
      <c r="K794" s="1023" cm="1">
        <f t="array" ref="K794">IFERROR(IF($A794=$A793,0,SUM(_xlfn._xlws.FILTER($E794:$E804,($A794:$A804=$A794)*($J794:$J804=K$42)))),0)</f>
        <v>0</v>
      </c>
      <c r="L794" s="1023" cm="1">
        <f t="array" ref="L794">IFERROR(IF($A794=$A793,0,SUM(_xlfn._xlws.FILTER($E794:$E804,($A794:$A804=$A794)*($J794:$J804=L$42)))),0)</f>
        <v>0</v>
      </c>
      <c r="M794" s="1023" cm="1">
        <f t="array" ref="M794">IFERROR(IF($A794=$A793,0,SUM(_xlfn._xlws.FILTER($E794:$E804,($A794:$A804=$A794)*($J794:$J804=M$42)))),0)</f>
        <v>0</v>
      </c>
      <c r="N794" s="1023" cm="1">
        <f t="array" ref="N794">IFERROR(IF($A794=$A793,0,SUM(_xlfn._xlws.FILTER($E794:$E804,($A794:$A804=$A794)*($J794:$J804=N$42)))),0)</f>
        <v>0</v>
      </c>
    </row>
    <row r="795" spans="5:14" x14ac:dyDescent="0.3">
      <c r="E795" s="1022">
        <f ca="1">IFERROR(C795*D795*_xlfn.XLOOKUP(B795,TabCalc[Ticker],TabCalc[Scale]),0)</f>
        <v>0</v>
      </c>
      <c r="F795" s="1023" cm="1">
        <f t="array" ref="F795">IF(A795=A794,0,SUM(_xlfn._xlws.FILTER(E795:E804,A795:A804=A795)))</f>
        <v>0</v>
      </c>
      <c r="G795" s="1024">
        <f>IF(F795&lt;&gt;0,SUM($F$43:F795),0)</f>
        <v>0</v>
      </c>
      <c r="H795" s="1024" cm="1">
        <f t="array" ref="H795">IFERROR(IF(A795=A794,0,SUM(_xlfn._xlws.FILTER(E795:E804,(A795:A804=A795)*(E795:E804&gt;0)))),0)</f>
        <v>0</v>
      </c>
      <c r="I795" s="1024" cm="1">
        <f t="array" ref="I795">IFERROR(IF(A795=A794,0,SUM(_xlfn._xlws.FILTER(E795:E804,(A795:A804=A795)*(F795&lt;0)))),0)</f>
        <v>0</v>
      </c>
      <c r="J795" s="293" t="str">
        <f ca="1">IFERROR(_xlfn.XLOOKUP(B795,TabCalc[Ticker],TabCalc[Cur]),"")</f>
        <v/>
      </c>
      <c r="K795" s="1023" cm="1">
        <f t="array" ref="K795">IFERROR(IF($A795=$A794,0,SUM(_xlfn._xlws.FILTER($E795:$E805,($A795:$A805=$A795)*($J795:$J805=K$42)))),0)</f>
        <v>0</v>
      </c>
      <c r="L795" s="1023" cm="1">
        <f t="array" ref="L795">IFERROR(IF($A795=$A794,0,SUM(_xlfn._xlws.FILTER($E795:$E805,($A795:$A805=$A795)*($J795:$J805=L$42)))),0)</f>
        <v>0</v>
      </c>
      <c r="M795" s="1023" cm="1">
        <f t="array" ref="M795">IFERROR(IF($A795=$A794,0,SUM(_xlfn._xlws.FILTER($E795:$E805,($A795:$A805=$A795)*($J795:$J805=M$42)))),0)</f>
        <v>0</v>
      </c>
      <c r="N795" s="1023" cm="1">
        <f t="array" ref="N795">IFERROR(IF($A795=$A794,0,SUM(_xlfn._xlws.FILTER($E795:$E805,($A795:$A805=$A795)*($J795:$J805=N$42)))),0)</f>
        <v>0</v>
      </c>
    </row>
    <row r="796" spans="5:14" x14ac:dyDescent="0.3">
      <c r="E796" s="1022">
        <f ca="1">IFERROR(C796*D796*_xlfn.XLOOKUP(B796,TabCalc[Ticker],TabCalc[Scale]),0)</f>
        <v>0</v>
      </c>
      <c r="F796" s="1023" cm="1">
        <f t="array" ref="F796">IF(A796=A795,0,SUM(_xlfn._xlws.FILTER(E796:E805,A796:A805=A796)))</f>
        <v>0</v>
      </c>
      <c r="G796" s="1024">
        <f>IF(F796&lt;&gt;0,SUM($F$43:F796),0)</f>
        <v>0</v>
      </c>
      <c r="H796" s="1024" cm="1">
        <f t="array" ref="H796">IFERROR(IF(A796=A795,0,SUM(_xlfn._xlws.FILTER(E796:E805,(A796:A805=A796)*(E796:E805&gt;0)))),0)</f>
        <v>0</v>
      </c>
      <c r="I796" s="1024" cm="1">
        <f t="array" ref="I796">IFERROR(IF(A796=A795,0,SUM(_xlfn._xlws.FILTER(E796:E805,(A796:A805=A796)*(F796&lt;0)))),0)</f>
        <v>0</v>
      </c>
      <c r="J796" s="293" t="str">
        <f ca="1">IFERROR(_xlfn.XLOOKUP(B796,TabCalc[Ticker],TabCalc[Cur]),"")</f>
        <v/>
      </c>
      <c r="K796" s="1023" cm="1">
        <f t="array" ref="K796">IFERROR(IF($A796=$A795,0,SUM(_xlfn._xlws.FILTER($E796:$E806,($A796:$A806=$A796)*($J796:$J806=K$42)))),0)</f>
        <v>0</v>
      </c>
      <c r="L796" s="1023" cm="1">
        <f t="array" ref="L796">IFERROR(IF($A796=$A795,0,SUM(_xlfn._xlws.FILTER($E796:$E806,($A796:$A806=$A796)*($J796:$J806=L$42)))),0)</f>
        <v>0</v>
      </c>
      <c r="M796" s="1023" cm="1">
        <f t="array" ref="M796">IFERROR(IF($A796=$A795,0,SUM(_xlfn._xlws.FILTER($E796:$E806,($A796:$A806=$A796)*($J796:$J806=M$42)))),0)</f>
        <v>0</v>
      </c>
      <c r="N796" s="1023" cm="1">
        <f t="array" ref="N796">IFERROR(IF($A796=$A795,0,SUM(_xlfn._xlws.FILTER($E796:$E806,($A796:$A806=$A796)*($J796:$J806=N$42)))),0)</f>
        <v>0</v>
      </c>
    </row>
    <row r="797" spans="5:14" x14ac:dyDescent="0.3">
      <c r="E797" s="1022">
        <f ca="1">IFERROR(C797*D797*_xlfn.XLOOKUP(B797,TabCalc[Ticker],TabCalc[Scale]),0)</f>
        <v>0</v>
      </c>
      <c r="F797" s="1023" cm="1">
        <f t="array" ref="F797">IF(A797=A796,0,SUM(_xlfn._xlws.FILTER(E797:E806,A797:A806=A797)))</f>
        <v>0</v>
      </c>
      <c r="G797" s="1024">
        <f>IF(F797&lt;&gt;0,SUM($F$43:F797),0)</f>
        <v>0</v>
      </c>
      <c r="H797" s="1024" cm="1">
        <f t="array" ref="H797">IFERROR(IF(A797=A796,0,SUM(_xlfn._xlws.FILTER(E797:E806,(A797:A806=A797)*(E797:E806&gt;0)))),0)</f>
        <v>0</v>
      </c>
      <c r="I797" s="1024" cm="1">
        <f t="array" ref="I797">IFERROR(IF(A797=A796,0,SUM(_xlfn._xlws.FILTER(E797:E806,(A797:A806=A797)*(F797&lt;0)))),0)</f>
        <v>0</v>
      </c>
      <c r="J797" s="293" t="str">
        <f ca="1">IFERROR(_xlfn.XLOOKUP(B797,TabCalc[Ticker],TabCalc[Cur]),"")</f>
        <v/>
      </c>
      <c r="K797" s="1023" cm="1">
        <f t="array" ref="K797">IFERROR(IF($A797=$A796,0,SUM(_xlfn._xlws.FILTER($E797:$E807,($A797:$A807=$A797)*($J797:$J807=K$42)))),0)</f>
        <v>0</v>
      </c>
      <c r="L797" s="1023" cm="1">
        <f t="array" ref="L797">IFERROR(IF($A797=$A796,0,SUM(_xlfn._xlws.FILTER($E797:$E807,($A797:$A807=$A797)*($J797:$J807=L$42)))),0)</f>
        <v>0</v>
      </c>
      <c r="M797" s="1023" cm="1">
        <f t="array" ref="M797">IFERROR(IF($A797=$A796,0,SUM(_xlfn._xlws.FILTER($E797:$E807,($A797:$A807=$A797)*($J797:$J807=M$42)))),0)</f>
        <v>0</v>
      </c>
      <c r="N797" s="1023" cm="1">
        <f t="array" ref="N797">IFERROR(IF($A797=$A796,0,SUM(_xlfn._xlws.FILTER($E797:$E807,($A797:$A807=$A797)*($J797:$J807=N$42)))),0)</f>
        <v>0</v>
      </c>
    </row>
    <row r="798" spans="5:14" x14ac:dyDescent="0.3">
      <c r="E798" s="1022">
        <f ca="1">IFERROR(C798*D798*_xlfn.XLOOKUP(B798,TabCalc[Ticker],TabCalc[Scale]),0)</f>
        <v>0</v>
      </c>
      <c r="F798" s="1023" cm="1">
        <f t="array" ref="F798">IF(A798=A797,0,SUM(_xlfn._xlws.FILTER(E798:E807,A798:A807=A798)))</f>
        <v>0</v>
      </c>
      <c r="G798" s="1024">
        <f>IF(F798&lt;&gt;0,SUM($F$43:F798),0)</f>
        <v>0</v>
      </c>
      <c r="H798" s="1024" cm="1">
        <f t="array" ref="H798">IFERROR(IF(A798=A797,0,SUM(_xlfn._xlws.FILTER(E798:E807,(A798:A807=A798)*(E798:E807&gt;0)))),0)</f>
        <v>0</v>
      </c>
      <c r="I798" s="1024" cm="1">
        <f t="array" ref="I798">IFERROR(IF(A798=A797,0,SUM(_xlfn._xlws.FILTER(E798:E807,(A798:A807=A798)*(F798&lt;0)))),0)</f>
        <v>0</v>
      </c>
      <c r="J798" s="293" t="str">
        <f ca="1">IFERROR(_xlfn.XLOOKUP(B798,TabCalc[Ticker],TabCalc[Cur]),"")</f>
        <v/>
      </c>
      <c r="K798" s="1023" cm="1">
        <f t="array" ref="K798">IFERROR(IF($A798=$A797,0,SUM(_xlfn._xlws.FILTER($E798:$E808,($A798:$A808=$A798)*($J798:$J808=K$42)))),0)</f>
        <v>0</v>
      </c>
      <c r="L798" s="1023" cm="1">
        <f t="array" ref="L798">IFERROR(IF($A798=$A797,0,SUM(_xlfn._xlws.FILTER($E798:$E808,($A798:$A808=$A798)*($J798:$J808=L$42)))),0)</f>
        <v>0</v>
      </c>
      <c r="M798" s="1023" cm="1">
        <f t="array" ref="M798">IFERROR(IF($A798=$A797,0,SUM(_xlfn._xlws.FILTER($E798:$E808,($A798:$A808=$A798)*($J798:$J808=M$42)))),0)</f>
        <v>0</v>
      </c>
      <c r="N798" s="1023" cm="1">
        <f t="array" ref="N798">IFERROR(IF($A798=$A797,0,SUM(_xlfn._xlws.FILTER($E798:$E808,($A798:$A808=$A798)*($J798:$J808=N$42)))),0)</f>
        <v>0</v>
      </c>
    </row>
    <row r="799" spans="5:14" x14ac:dyDescent="0.3">
      <c r="E799" s="1022">
        <f ca="1">IFERROR(C799*D799*_xlfn.XLOOKUP(B799,TabCalc[Ticker],TabCalc[Scale]),0)</f>
        <v>0</v>
      </c>
      <c r="F799" s="1023" cm="1">
        <f t="array" ref="F799">IF(A799=A798,0,SUM(_xlfn._xlws.FILTER(E799:E808,A799:A808=A799)))</f>
        <v>0</v>
      </c>
      <c r="G799" s="1024">
        <f>IF(F799&lt;&gt;0,SUM($F$43:F799),0)</f>
        <v>0</v>
      </c>
      <c r="H799" s="1024" cm="1">
        <f t="array" ref="H799">IFERROR(IF(A799=A798,0,SUM(_xlfn._xlws.FILTER(E799:E808,(A799:A808=A799)*(E799:E808&gt;0)))),0)</f>
        <v>0</v>
      </c>
      <c r="I799" s="1024" cm="1">
        <f t="array" ref="I799">IFERROR(IF(A799=A798,0,SUM(_xlfn._xlws.FILTER(E799:E808,(A799:A808=A799)*(F799&lt;0)))),0)</f>
        <v>0</v>
      </c>
      <c r="J799" s="293" t="str">
        <f ca="1">IFERROR(_xlfn.XLOOKUP(B799,TabCalc[Ticker],TabCalc[Cur]),"")</f>
        <v/>
      </c>
      <c r="K799" s="1023" cm="1">
        <f t="array" ref="K799">IFERROR(IF($A799=$A798,0,SUM(_xlfn._xlws.FILTER($E799:$E809,($A799:$A809=$A799)*($J799:$J809=K$42)))),0)</f>
        <v>0</v>
      </c>
      <c r="L799" s="1023" cm="1">
        <f t="array" ref="L799">IFERROR(IF($A799=$A798,0,SUM(_xlfn._xlws.FILTER($E799:$E809,($A799:$A809=$A799)*($J799:$J809=L$42)))),0)</f>
        <v>0</v>
      </c>
      <c r="M799" s="1023" cm="1">
        <f t="array" ref="M799">IFERROR(IF($A799=$A798,0,SUM(_xlfn._xlws.FILTER($E799:$E809,($A799:$A809=$A799)*($J799:$J809=M$42)))),0)</f>
        <v>0</v>
      </c>
      <c r="N799" s="1023" cm="1">
        <f t="array" ref="N799">IFERROR(IF($A799=$A798,0,SUM(_xlfn._xlws.FILTER($E799:$E809,($A799:$A809=$A799)*($J799:$J809=N$42)))),0)</f>
        <v>0</v>
      </c>
    </row>
    <row r="800" spans="5:14" x14ac:dyDescent="0.3">
      <c r="E800" s="1022">
        <f ca="1">IFERROR(C800*D800*_xlfn.XLOOKUP(B800,TabCalc[Ticker],TabCalc[Scale]),0)</f>
        <v>0</v>
      </c>
      <c r="F800" s="1023" cm="1">
        <f t="array" ref="F800">IF(A800=A799,0,SUM(_xlfn._xlws.FILTER(E800:E809,A800:A809=A800)))</f>
        <v>0</v>
      </c>
      <c r="G800" s="1024">
        <f>IF(F800&lt;&gt;0,SUM($F$43:F800),0)</f>
        <v>0</v>
      </c>
      <c r="H800" s="1024" cm="1">
        <f t="array" ref="H800">IFERROR(IF(A800=A799,0,SUM(_xlfn._xlws.FILTER(E800:E809,(A800:A809=A800)*(E800:E809&gt;0)))),0)</f>
        <v>0</v>
      </c>
      <c r="I800" s="1024" cm="1">
        <f t="array" ref="I800">IFERROR(IF(A800=A799,0,SUM(_xlfn._xlws.FILTER(E800:E809,(A800:A809=A800)*(F800&lt;0)))),0)</f>
        <v>0</v>
      </c>
      <c r="J800" s="293" t="str">
        <f ca="1">IFERROR(_xlfn.XLOOKUP(B800,TabCalc[Ticker],TabCalc[Cur]),"")</f>
        <v/>
      </c>
      <c r="K800" s="1023" cm="1">
        <f t="array" ref="K800">IFERROR(IF($A800=$A799,0,SUM(_xlfn._xlws.FILTER($E800:$E810,($A800:$A810=$A800)*($J800:$J810=K$42)))),0)</f>
        <v>0</v>
      </c>
      <c r="L800" s="1023" cm="1">
        <f t="array" ref="L800">IFERROR(IF($A800=$A799,0,SUM(_xlfn._xlws.FILTER($E800:$E810,($A800:$A810=$A800)*($J800:$J810=L$42)))),0)</f>
        <v>0</v>
      </c>
      <c r="M800" s="1023" cm="1">
        <f t="array" ref="M800">IFERROR(IF($A800=$A799,0,SUM(_xlfn._xlws.FILTER($E800:$E810,($A800:$A810=$A800)*($J800:$J810=M$42)))),0)</f>
        <v>0</v>
      </c>
      <c r="N800" s="1023" cm="1">
        <f t="array" ref="N800">IFERROR(IF($A800=$A799,0,SUM(_xlfn._xlws.FILTER($E800:$E810,($A800:$A810=$A800)*($J800:$J810=N$42)))),0)</f>
        <v>0</v>
      </c>
    </row>
    <row r="801" spans="5:14" x14ac:dyDescent="0.3">
      <c r="E801" s="1022">
        <f ca="1">IFERROR(C801*D801*_xlfn.XLOOKUP(B801,TabCalc[Ticker],TabCalc[Scale]),0)</f>
        <v>0</v>
      </c>
      <c r="F801" s="1023" cm="1">
        <f t="array" ref="F801">IF(A801=A800,0,SUM(_xlfn._xlws.FILTER(E801:E810,A801:A810=A801)))</f>
        <v>0</v>
      </c>
      <c r="G801" s="1024">
        <f>IF(F801&lt;&gt;0,SUM($F$43:F801),0)</f>
        <v>0</v>
      </c>
      <c r="H801" s="1024" cm="1">
        <f t="array" ref="H801">IFERROR(IF(A801=A800,0,SUM(_xlfn._xlws.FILTER(E801:E810,(A801:A810=A801)*(E801:E810&gt;0)))),0)</f>
        <v>0</v>
      </c>
      <c r="I801" s="1024" cm="1">
        <f t="array" ref="I801">IFERROR(IF(A801=A800,0,SUM(_xlfn._xlws.FILTER(E801:E810,(A801:A810=A801)*(F801&lt;0)))),0)</f>
        <v>0</v>
      </c>
      <c r="J801" s="293" t="str">
        <f ca="1">IFERROR(_xlfn.XLOOKUP(B801,TabCalc[Ticker],TabCalc[Cur]),"")</f>
        <v/>
      </c>
      <c r="K801" s="1023" cm="1">
        <f t="array" ref="K801">IFERROR(IF($A801=$A800,0,SUM(_xlfn._xlws.FILTER($E801:$E811,($A801:$A811=$A801)*($J801:$J811=K$42)))),0)</f>
        <v>0</v>
      </c>
      <c r="L801" s="1023" cm="1">
        <f t="array" ref="L801">IFERROR(IF($A801=$A800,0,SUM(_xlfn._xlws.FILTER($E801:$E811,($A801:$A811=$A801)*($J801:$J811=L$42)))),0)</f>
        <v>0</v>
      </c>
      <c r="M801" s="1023" cm="1">
        <f t="array" ref="M801">IFERROR(IF($A801=$A800,0,SUM(_xlfn._xlws.FILTER($E801:$E811,($A801:$A811=$A801)*($J801:$J811=M$42)))),0)</f>
        <v>0</v>
      </c>
      <c r="N801" s="1023" cm="1">
        <f t="array" ref="N801">IFERROR(IF($A801=$A800,0,SUM(_xlfn._xlws.FILTER($E801:$E811,($A801:$A811=$A801)*($J801:$J811=N$42)))),0)</f>
        <v>0</v>
      </c>
    </row>
    <row r="802" spans="5:14" x14ac:dyDescent="0.3">
      <c r="E802" s="1022">
        <f ca="1">IFERROR(C802*D802*_xlfn.XLOOKUP(B802,TabCalc[Ticker],TabCalc[Scale]),0)</f>
        <v>0</v>
      </c>
      <c r="F802" s="1023" cm="1">
        <f t="array" ref="F802">IF(A802=A801,0,SUM(_xlfn._xlws.FILTER(E802:E811,A802:A811=A802)))</f>
        <v>0</v>
      </c>
      <c r="G802" s="1024">
        <f>IF(F802&lt;&gt;0,SUM($F$43:F802),0)</f>
        <v>0</v>
      </c>
      <c r="H802" s="1024" cm="1">
        <f t="array" ref="H802">IFERROR(IF(A802=A801,0,SUM(_xlfn._xlws.FILTER(E802:E811,(A802:A811=A802)*(E802:E811&gt;0)))),0)</f>
        <v>0</v>
      </c>
      <c r="I802" s="1024" cm="1">
        <f t="array" ref="I802">IFERROR(IF(A802=A801,0,SUM(_xlfn._xlws.FILTER(E802:E811,(A802:A811=A802)*(F802&lt;0)))),0)</f>
        <v>0</v>
      </c>
      <c r="J802" s="293" t="str">
        <f ca="1">IFERROR(_xlfn.XLOOKUP(B802,TabCalc[Ticker],TabCalc[Cur]),"")</f>
        <v/>
      </c>
      <c r="K802" s="1023" cm="1">
        <f t="array" ref="K802">IFERROR(IF($A802=$A801,0,SUM(_xlfn._xlws.FILTER($E802:$E812,($A802:$A812=$A802)*($J802:$J812=K$42)))),0)</f>
        <v>0</v>
      </c>
      <c r="L802" s="1023" cm="1">
        <f t="array" ref="L802">IFERROR(IF($A802=$A801,0,SUM(_xlfn._xlws.FILTER($E802:$E812,($A802:$A812=$A802)*($J802:$J812=L$42)))),0)</f>
        <v>0</v>
      </c>
      <c r="M802" s="1023" cm="1">
        <f t="array" ref="M802">IFERROR(IF($A802=$A801,0,SUM(_xlfn._xlws.FILTER($E802:$E812,($A802:$A812=$A802)*($J802:$J812=M$42)))),0)</f>
        <v>0</v>
      </c>
      <c r="N802" s="1023" cm="1">
        <f t="array" ref="N802">IFERROR(IF($A802=$A801,0,SUM(_xlfn._xlws.FILTER($E802:$E812,($A802:$A812=$A802)*($J802:$J812=N$42)))),0)</f>
        <v>0</v>
      </c>
    </row>
    <row r="803" spans="5:14" x14ac:dyDescent="0.3">
      <c r="E803" s="1022">
        <f ca="1">IFERROR(C803*D803*_xlfn.XLOOKUP(B803,TabCalc[Ticker],TabCalc[Scale]),0)</f>
        <v>0</v>
      </c>
      <c r="F803" s="1023" cm="1">
        <f t="array" ref="F803">IF(A803=A802,0,SUM(_xlfn._xlws.FILTER(E803:E812,A803:A812=A803)))</f>
        <v>0</v>
      </c>
      <c r="G803" s="1024">
        <f>IF(F803&lt;&gt;0,SUM($F$43:F803),0)</f>
        <v>0</v>
      </c>
      <c r="H803" s="1024" cm="1">
        <f t="array" ref="H803">IFERROR(IF(A803=A802,0,SUM(_xlfn._xlws.FILTER(E803:E812,(A803:A812=A803)*(E803:E812&gt;0)))),0)</f>
        <v>0</v>
      </c>
      <c r="I803" s="1024" cm="1">
        <f t="array" ref="I803">IFERROR(IF(A803=A802,0,SUM(_xlfn._xlws.FILTER(E803:E812,(A803:A812=A803)*(F803&lt;0)))),0)</f>
        <v>0</v>
      </c>
      <c r="J803" s="293" t="str">
        <f ca="1">IFERROR(_xlfn.XLOOKUP(B803,TabCalc[Ticker],TabCalc[Cur]),"")</f>
        <v/>
      </c>
      <c r="K803" s="1023" cm="1">
        <f t="array" ref="K803">IFERROR(IF($A803=$A802,0,SUM(_xlfn._xlws.FILTER($E803:$E813,($A803:$A813=$A803)*($J803:$J813=K$42)))),0)</f>
        <v>0</v>
      </c>
      <c r="L803" s="1023" cm="1">
        <f t="array" ref="L803">IFERROR(IF($A803=$A802,0,SUM(_xlfn._xlws.FILTER($E803:$E813,($A803:$A813=$A803)*($J803:$J813=L$42)))),0)</f>
        <v>0</v>
      </c>
      <c r="M803" s="1023" cm="1">
        <f t="array" ref="M803">IFERROR(IF($A803=$A802,0,SUM(_xlfn._xlws.FILTER($E803:$E813,($A803:$A813=$A803)*($J803:$J813=M$42)))),0)</f>
        <v>0</v>
      </c>
      <c r="N803" s="1023" cm="1">
        <f t="array" ref="N803">IFERROR(IF($A803=$A802,0,SUM(_xlfn._xlws.FILTER($E803:$E813,($A803:$A813=$A803)*($J803:$J813=N$42)))),0)</f>
        <v>0</v>
      </c>
    </row>
    <row r="804" spans="5:14" x14ac:dyDescent="0.3">
      <c r="E804" s="1022">
        <f ca="1">IFERROR(C804*D804*_xlfn.XLOOKUP(B804,TabCalc[Ticker],TabCalc[Scale]),0)</f>
        <v>0</v>
      </c>
      <c r="F804" s="1023" cm="1">
        <f t="array" ref="F804">IF(A804=A803,0,SUM(_xlfn._xlws.FILTER(E804:E813,A804:A813=A804)))</f>
        <v>0</v>
      </c>
      <c r="G804" s="1024">
        <f>IF(F804&lt;&gt;0,SUM($F$43:F804),0)</f>
        <v>0</v>
      </c>
      <c r="H804" s="1024" cm="1">
        <f t="array" ref="H804">IFERROR(IF(A804=A803,0,SUM(_xlfn._xlws.FILTER(E804:E813,(A804:A813=A804)*(E804:E813&gt;0)))),0)</f>
        <v>0</v>
      </c>
      <c r="I804" s="1024" cm="1">
        <f t="array" ref="I804">IFERROR(IF(A804=A803,0,SUM(_xlfn._xlws.FILTER(E804:E813,(A804:A813=A804)*(F804&lt;0)))),0)</f>
        <v>0</v>
      </c>
      <c r="J804" s="293" t="str">
        <f ca="1">IFERROR(_xlfn.XLOOKUP(B804,TabCalc[Ticker],TabCalc[Cur]),"")</f>
        <v/>
      </c>
      <c r="K804" s="1023" cm="1">
        <f t="array" ref="K804">IFERROR(IF($A804=$A803,0,SUM(_xlfn._xlws.FILTER($E804:$E814,($A804:$A814=$A804)*($J804:$J814=K$42)))),0)</f>
        <v>0</v>
      </c>
      <c r="L804" s="1023" cm="1">
        <f t="array" ref="L804">IFERROR(IF($A804=$A803,0,SUM(_xlfn._xlws.FILTER($E804:$E814,($A804:$A814=$A804)*($J804:$J814=L$42)))),0)</f>
        <v>0</v>
      </c>
      <c r="M804" s="1023" cm="1">
        <f t="array" ref="M804">IFERROR(IF($A804=$A803,0,SUM(_xlfn._xlws.FILTER($E804:$E814,($A804:$A814=$A804)*($J804:$J814=M$42)))),0)</f>
        <v>0</v>
      </c>
      <c r="N804" s="1023" cm="1">
        <f t="array" ref="N804">IFERROR(IF($A804=$A803,0,SUM(_xlfn._xlws.FILTER($E804:$E814,($A804:$A814=$A804)*($J804:$J814=N$42)))),0)</f>
        <v>0</v>
      </c>
    </row>
    <row r="805" spans="5:14" x14ac:dyDescent="0.3">
      <c r="E805" s="1022">
        <f ca="1">IFERROR(C805*D805*_xlfn.XLOOKUP(B805,TabCalc[Ticker],TabCalc[Scale]),0)</f>
        <v>0</v>
      </c>
      <c r="F805" s="1023" cm="1">
        <f t="array" ref="F805">IF(A805=A804,0,SUM(_xlfn._xlws.FILTER(E805:E814,A805:A814=A805)))</f>
        <v>0</v>
      </c>
      <c r="G805" s="1024">
        <f>IF(F805&lt;&gt;0,SUM($F$43:F805),0)</f>
        <v>0</v>
      </c>
      <c r="H805" s="1024" cm="1">
        <f t="array" ref="H805">IFERROR(IF(A805=A804,0,SUM(_xlfn._xlws.FILTER(E805:E814,(A805:A814=A805)*(E805:E814&gt;0)))),0)</f>
        <v>0</v>
      </c>
      <c r="I805" s="1024" cm="1">
        <f t="array" ref="I805">IFERROR(IF(A805=A804,0,SUM(_xlfn._xlws.FILTER(E805:E814,(A805:A814=A805)*(F805&lt;0)))),0)</f>
        <v>0</v>
      </c>
      <c r="J805" s="293" t="str">
        <f ca="1">IFERROR(_xlfn.XLOOKUP(B805,TabCalc[Ticker],TabCalc[Cur]),"")</f>
        <v/>
      </c>
      <c r="K805" s="1023" cm="1">
        <f t="array" ref="K805">IFERROR(IF($A805=$A804,0,SUM(_xlfn._xlws.FILTER($E805:$E815,($A805:$A815=$A805)*($J805:$J815=K$42)))),0)</f>
        <v>0</v>
      </c>
      <c r="L805" s="1023" cm="1">
        <f t="array" ref="L805">IFERROR(IF($A805=$A804,0,SUM(_xlfn._xlws.FILTER($E805:$E815,($A805:$A815=$A805)*($J805:$J815=L$42)))),0)</f>
        <v>0</v>
      </c>
      <c r="M805" s="1023" cm="1">
        <f t="array" ref="M805">IFERROR(IF($A805=$A804,0,SUM(_xlfn._xlws.FILTER($E805:$E815,($A805:$A815=$A805)*($J805:$J815=M$42)))),0)</f>
        <v>0</v>
      </c>
      <c r="N805" s="1023" cm="1">
        <f t="array" ref="N805">IFERROR(IF($A805=$A804,0,SUM(_xlfn._xlws.FILTER($E805:$E815,($A805:$A815=$A805)*($J805:$J815=N$42)))),0)</f>
        <v>0</v>
      </c>
    </row>
    <row r="806" spans="5:14" x14ac:dyDescent="0.3">
      <c r="E806" s="1022">
        <f ca="1">IFERROR(C806*D806*_xlfn.XLOOKUP(B806,TabCalc[Ticker],TabCalc[Scale]),0)</f>
        <v>0</v>
      </c>
      <c r="F806" s="1023" cm="1">
        <f t="array" ref="F806">IF(A806=A805,0,SUM(_xlfn._xlws.FILTER(E806:E815,A806:A815=A806)))</f>
        <v>0</v>
      </c>
      <c r="G806" s="1024">
        <f>IF(F806&lt;&gt;0,SUM($F$43:F806),0)</f>
        <v>0</v>
      </c>
      <c r="H806" s="1024" cm="1">
        <f t="array" ref="H806">IFERROR(IF(A806=A805,0,SUM(_xlfn._xlws.FILTER(E806:E815,(A806:A815=A806)*(E806:E815&gt;0)))),0)</f>
        <v>0</v>
      </c>
      <c r="I806" s="1024" cm="1">
        <f t="array" ref="I806">IFERROR(IF(A806=A805,0,SUM(_xlfn._xlws.FILTER(E806:E815,(A806:A815=A806)*(F806&lt;0)))),0)</f>
        <v>0</v>
      </c>
      <c r="J806" s="293" t="str">
        <f ca="1">IFERROR(_xlfn.XLOOKUP(B806,TabCalc[Ticker],TabCalc[Cur]),"")</f>
        <v/>
      </c>
      <c r="K806" s="1023" cm="1">
        <f t="array" ref="K806">IFERROR(IF($A806=$A805,0,SUM(_xlfn._xlws.FILTER($E806:$E816,($A806:$A816=$A806)*($J806:$J816=K$42)))),0)</f>
        <v>0</v>
      </c>
      <c r="L806" s="1023" cm="1">
        <f t="array" ref="L806">IFERROR(IF($A806=$A805,0,SUM(_xlfn._xlws.FILTER($E806:$E816,($A806:$A816=$A806)*($J806:$J816=L$42)))),0)</f>
        <v>0</v>
      </c>
      <c r="M806" s="1023" cm="1">
        <f t="array" ref="M806">IFERROR(IF($A806=$A805,0,SUM(_xlfn._xlws.FILTER($E806:$E816,($A806:$A816=$A806)*($J806:$J816=M$42)))),0)</f>
        <v>0</v>
      </c>
      <c r="N806" s="1023" cm="1">
        <f t="array" ref="N806">IFERROR(IF($A806=$A805,0,SUM(_xlfn._xlws.FILTER($E806:$E816,($A806:$A816=$A806)*($J806:$J816=N$42)))),0)</f>
        <v>0</v>
      </c>
    </row>
    <row r="807" spans="5:14" x14ac:dyDescent="0.3">
      <c r="E807" s="1022">
        <f ca="1">IFERROR(C807*D807*_xlfn.XLOOKUP(B807,TabCalc[Ticker],TabCalc[Scale]),0)</f>
        <v>0</v>
      </c>
      <c r="F807" s="1023" cm="1">
        <f t="array" ref="F807">IF(A807=A806,0,SUM(_xlfn._xlws.FILTER(E807:E816,A807:A816=A807)))</f>
        <v>0</v>
      </c>
      <c r="G807" s="1024">
        <f>IF(F807&lt;&gt;0,SUM($F$43:F807),0)</f>
        <v>0</v>
      </c>
      <c r="H807" s="1024" cm="1">
        <f t="array" ref="H807">IFERROR(IF(A807=A806,0,SUM(_xlfn._xlws.FILTER(E807:E816,(A807:A816=A807)*(E807:E816&gt;0)))),0)</f>
        <v>0</v>
      </c>
      <c r="I807" s="1024" cm="1">
        <f t="array" ref="I807">IFERROR(IF(A807=A806,0,SUM(_xlfn._xlws.FILTER(E807:E816,(A807:A816=A807)*(F807&lt;0)))),0)</f>
        <v>0</v>
      </c>
      <c r="J807" s="293" t="str">
        <f ca="1">IFERROR(_xlfn.XLOOKUP(B807,TabCalc[Ticker],TabCalc[Cur]),"")</f>
        <v/>
      </c>
      <c r="K807" s="1023" cm="1">
        <f t="array" ref="K807">IFERROR(IF($A807=$A806,0,SUM(_xlfn._xlws.FILTER($E807:$E817,($A807:$A817=$A807)*($J807:$J817=K$42)))),0)</f>
        <v>0</v>
      </c>
      <c r="L807" s="1023" cm="1">
        <f t="array" ref="L807">IFERROR(IF($A807=$A806,0,SUM(_xlfn._xlws.FILTER($E807:$E817,($A807:$A817=$A807)*($J807:$J817=L$42)))),0)</f>
        <v>0</v>
      </c>
      <c r="M807" s="1023" cm="1">
        <f t="array" ref="M807">IFERROR(IF($A807=$A806,0,SUM(_xlfn._xlws.FILTER($E807:$E817,($A807:$A817=$A807)*($J807:$J817=M$42)))),0)</f>
        <v>0</v>
      </c>
      <c r="N807" s="1023" cm="1">
        <f t="array" ref="N807">IFERROR(IF($A807=$A806,0,SUM(_xlfn._xlws.FILTER($E807:$E817,($A807:$A817=$A807)*($J807:$J817=N$42)))),0)</f>
        <v>0</v>
      </c>
    </row>
    <row r="808" spans="5:14" x14ac:dyDescent="0.3">
      <c r="E808" s="1022">
        <f ca="1">IFERROR(C808*D808*_xlfn.XLOOKUP(B808,TabCalc[Ticker],TabCalc[Scale]),0)</f>
        <v>0</v>
      </c>
      <c r="F808" s="1023" cm="1">
        <f t="array" ref="F808">IF(A808=A807,0,SUM(_xlfn._xlws.FILTER(E808:E817,A808:A817=A808)))</f>
        <v>0</v>
      </c>
      <c r="G808" s="1024">
        <f>IF(F808&lt;&gt;0,SUM($F$43:F808),0)</f>
        <v>0</v>
      </c>
      <c r="H808" s="1024" cm="1">
        <f t="array" ref="H808">IFERROR(IF(A808=A807,0,SUM(_xlfn._xlws.FILTER(E808:E817,(A808:A817=A808)*(E808:E817&gt;0)))),0)</f>
        <v>0</v>
      </c>
      <c r="I808" s="1024" cm="1">
        <f t="array" ref="I808">IFERROR(IF(A808=A807,0,SUM(_xlfn._xlws.FILTER(E808:E817,(A808:A817=A808)*(F808&lt;0)))),0)</f>
        <v>0</v>
      </c>
      <c r="J808" s="293" t="str">
        <f ca="1">IFERROR(_xlfn.XLOOKUP(B808,TabCalc[Ticker],TabCalc[Cur]),"")</f>
        <v/>
      </c>
      <c r="K808" s="1023" cm="1">
        <f t="array" ref="K808">IFERROR(IF($A808=$A807,0,SUM(_xlfn._xlws.FILTER($E808:$E818,($A808:$A818=$A808)*($J808:$J818=K$42)))),0)</f>
        <v>0</v>
      </c>
      <c r="L808" s="1023" cm="1">
        <f t="array" ref="L808">IFERROR(IF($A808=$A807,0,SUM(_xlfn._xlws.FILTER($E808:$E818,($A808:$A818=$A808)*($J808:$J818=L$42)))),0)</f>
        <v>0</v>
      </c>
      <c r="M808" s="1023" cm="1">
        <f t="array" ref="M808">IFERROR(IF($A808=$A807,0,SUM(_xlfn._xlws.FILTER($E808:$E818,($A808:$A818=$A808)*($J808:$J818=M$42)))),0)</f>
        <v>0</v>
      </c>
      <c r="N808" s="1023" cm="1">
        <f t="array" ref="N808">IFERROR(IF($A808=$A807,0,SUM(_xlfn._xlws.FILTER($E808:$E818,($A808:$A818=$A808)*($J808:$J818=N$42)))),0)</f>
        <v>0</v>
      </c>
    </row>
    <row r="809" spans="5:14" x14ac:dyDescent="0.3">
      <c r="E809" s="1022">
        <f ca="1">IFERROR(C809*D809*_xlfn.XLOOKUP(B809,TabCalc[Ticker],TabCalc[Scale]),0)</f>
        <v>0</v>
      </c>
      <c r="F809" s="1023" cm="1">
        <f t="array" ref="F809">IF(A809=A808,0,SUM(_xlfn._xlws.FILTER(E809:E818,A809:A818=A809)))</f>
        <v>0</v>
      </c>
      <c r="G809" s="1024">
        <f>IF(F809&lt;&gt;0,SUM($F$43:F809),0)</f>
        <v>0</v>
      </c>
      <c r="H809" s="1024" cm="1">
        <f t="array" ref="H809">IFERROR(IF(A809=A808,0,SUM(_xlfn._xlws.FILTER(E809:E818,(A809:A818=A809)*(E809:E818&gt;0)))),0)</f>
        <v>0</v>
      </c>
      <c r="I809" s="1024" cm="1">
        <f t="array" ref="I809">IFERROR(IF(A809=A808,0,SUM(_xlfn._xlws.FILTER(E809:E818,(A809:A818=A809)*(F809&lt;0)))),0)</f>
        <v>0</v>
      </c>
      <c r="J809" s="293" t="str">
        <f ca="1">IFERROR(_xlfn.XLOOKUP(B809,TabCalc[Ticker],TabCalc[Cur]),"")</f>
        <v/>
      </c>
      <c r="K809" s="1023" cm="1">
        <f t="array" ref="K809">IFERROR(IF($A809=$A808,0,SUM(_xlfn._xlws.FILTER($E809:$E819,($A809:$A819=$A809)*($J809:$J819=K$42)))),0)</f>
        <v>0</v>
      </c>
      <c r="L809" s="1023" cm="1">
        <f t="array" ref="L809">IFERROR(IF($A809=$A808,0,SUM(_xlfn._xlws.FILTER($E809:$E819,($A809:$A819=$A809)*($J809:$J819=L$42)))),0)</f>
        <v>0</v>
      </c>
      <c r="M809" s="1023" cm="1">
        <f t="array" ref="M809">IFERROR(IF($A809=$A808,0,SUM(_xlfn._xlws.FILTER($E809:$E819,($A809:$A819=$A809)*($J809:$J819=M$42)))),0)</f>
        <v>0</v>
      </c>
      <c r="N809" s="1023" cm="1">
        <f t="array" ref="N809">IFERROR(IF($A809=$A808,0,SUM(_xlfn._xlws.FILTER($E809:$E819,($A809:$A819=$A809)*($J809:$J819=N$42)))),0)</f>
        <v>0</v>
      </c>
    </row>
    <row r="810" spans="5:14" x14ac:dyDescent="0.3">
      <c r="E810" s="1022">
        <f ca="1">IFERROR(C810*D810*_xlfn.XLOOKUP(B810,TabCalc[Ticker],TabCalc[Scale]),0)</f>
        <v>0</v>
      </c>
      <c r="F810" s="1023" cm="1">
        <f t="array" ref="F810">IF(A810=A809,0,SUM(_xlfn._xlws.FILTER(E810:E819,A810:A819=A810)))</f>
        <v>0</v>
      </c>
      <c r="G810" s="1024">
        <f>IF(F810&lt;&gt;0,SUM($F$43:F810),0)</f>
        <v>0</v>
      </c>
      <c r="H810" s="1024" cm="1">
        <f t="array" ref="H810">IFERROR(IF(A810=A809,0,SUM(_xlfn._xlws.FILTER(E810:E819,(A810:A819=A810)*(E810:E819&gt;0)))),0)</f>
        <v>0</v>
      </c>
      <c r="I810" s="1024" cm="1">
        <f t="array" ref="I810">IFERROR(IF(A810=A809,0,SUM(_xlfn._xlws.FILTER(E810:E819,(A810:A819=A810)*(F810&lt;0)))),0)</f>
        <v>0</v>
      </c>
      <c r="J810" s="293" t="str">
        <f ca="1">IFERROR(_xlfn.XLOOKUP(B810,TabCalc[Ticker],TabCalc[Cur]),"")</f>
        <v/>
      </c>
      <c r="K810" s="1023" cm="1">
        <f t="array" ref="K810">IFERROR(IF($A810=$A809,0,SUM(_xlfn._xlws.FILTER($E810:$E820,($A810:$A820=$A810)*($J810:$J820=K$42)))),0)</f>
        <v>0</v>
      </c>
      <c r="L810" s="1023" cm="1">
        <f t="array" ref="L810">IFERROR(IF($A810=$A809,0,SUM(_xlfn._xlws.FILTER($E810:$E820,($A810:$A820=$A810)*($J810:$J820=L$42)))),0)</f>
        <v>0</v>
      </c>
      <c r="M810" s="1023" cm="1">
        <f t="array" ref="M810">IFERROR(IF($A810=$A809,0,SUM(_xlfn._xlws.FILTER($E810:$E820,($A810:$A820=$A810)*($J810:$J820=M$42)))),0)</f>
        <v>0</v>
      </c>
      <c r="N810" s="1023" cm="1">
        <f t="array" ref="N810">IFERROR(IF($A810=$A809,0,SUM(_xlfn._xlws.FILTER($E810:$E820,($A810:$A820=$A810)*($J810:$J820=N$42)))),0)</f>
        <v>0</v>
      </c>
    </row>
    <row r="811" spans="5:14" x14ac:dyDescent="0.3">
      <c r="E811" s="1022">
        <f ca="1">IFERROR(C811*D811*_xlfn.XLOOKUP(B811,TabCalc[Ticker],TabCalc[Scale]),0)</f>
        <v>0</v>
      </c>
      <c r="F811" s="1023" cm="1">
        <f t="array" ref="F811">IF(A811=A810,0,SUM(_xlfn._xlws.FILTER(E811:E820,A811:A820=A811)))</f>
        <v>0</v>
      </c>
      <c r="G811" s="1024">
        <f>IF(F811&lt;&gt;0,SUM($F$43:F811),0)</f>
        <v>0</v>
      </c>
      <c r="H811" s="1024" cm="1">
        <f t="array" ref="H811">IFERROR(IF(A811=A810,0,SUM(_xlfn._xlws.FILTER(E811:E820,(A811:A820=A811)*(E811:E820&gt;0)))),0)</f>
        <v>0</v>
      </c>
      <c r="I811" s="1024" cm="1">
        <f t="array" ref="I811">IFERROR(IF(A811=A810,0,SUM(_xlfn._xlws.FILTER(E811:E820,(A811:A820=A811)*(F811&lt;0)))),0)</f>
        <v>0</v>
      </c>
      <c r="J811" s="293" t="str">
        <f ca="1">IFERROR(_xlfn.XLOOKUP(B811,TabCalc[Ticker],TabCalc[Cur]),"")</f>
        <v/>
      </c>
      <c r="K811" s="1023" cm="1">
        <f t="array" ref="K811">IFERROR(IF($A811=$A810,0,SUM(_xlfn._xlws.FILTER($E811:$E821,($A811:$A821=$A811)*($J811:$J821=K$42)))),0)</f>
        <v>0</v>
      </c>
      <c r="L811" s="1023" cm="1">
        <f t="array" ref="L811">IFERROR(IF($A811=$A810,0,SUM(_xlfn._xlws.FILTER($E811:$E821,($A811:$A821=$A811)*($J811:$J821=L$42)))),0)</f>
        <v>0</v>
      </c>
      <c r="M811" s="1023" cm="1">
        <f t="array" ref="M811">IFERROR(IF($A811=$A810,0,SUM(_xlfn._xlws.FILTER($E811:$E821,($A811:$A821=$A811)*($J811:$J821=M$42)))),0)</f>
        <v>0</v>
      </c>
      <c r="N811" s="1023" cm="1">
        <f t="array" ref="N811">IFERROR(IF($A811=$A810,0,SUM(_xlfn._xlws.FILTER($E811:$E821,($A811:$A821=$A811)*($J811:$J821=N$42)))),0)</f>
        <v>0</v>
      </c>
    </row>
    <row r="812" spans="5:14" x14ac:dyDescent="0.3">
      <c r="E812" s="1022">
        <f ca="1">IFERROR(C812*D812*_xlfn.XLOOKUP(B812,TabCalc[Ticker],TabCalc[Scale]),0)</f>
        <v>0</v>
      </c>
      <c r="F812" s="1023" cm="1">
        <f t="array" ref="F812">IF(A812=A811,0,SUM(_xlfn._xlws.FILTER(E812:E821,A812:A821=A812)))</f>
        <v>0</v>
      </c>
      <c r="G812" s="1024">
        <f>IF(F812&lt;&gt;0,SUM($F$43:F812),0)</f>
        <v>0</v>
      </c>
      <c r="H812" s="1024" cm="1">
        <f t="array" ref="H812">IFERROR(IF(A812=A811,0,SUM(_xlfn._xlws.FILTER(E812:E821,(A812:A821=A812)*(E812:E821&gt;0)))),0)</f>
        <v>0</v>
      </c>
      <c r="I812" s="1024" cm="1">
        <f t="array" ref="I812">IFERROR(IF(A812=A811,0,SUM(_xlfn._xlws.FILTER(E812:E821,(A812:A821=A812)*(F812&lt;0)))),0)</f>
        <v>0</v>
      </c>
      <c r="J812" s="293" t="str">
        <f ca="1">IFERROR(_xlfn.XLOOKUP(B812,TabCalc[Ticker],TabCalc[Cur]),"")</f>
        <v/>
      </c>
      <c r="K812" s="1023" cm="1">
        <f t="array" ref="K812">IFERROR(IF($A812=$A811,0,SUM(_xlfn._xlws.FILTER($E812:$E822,($A812:$A822=$A812)*($J812:$J822=K$42)))),0)</f>
        <v>0</v>
      </c>
      <c r="L812" s="1023" cm="1">
        <f t="array" ref="L812">IFERROR(IF($A812=$A811,0,SUM(_xlfn._xlws.FILTER($E812:$E822,($A812:$A822=$A812)*($J812:$J822=L$42)))),0)</f>
        <v>0</v>
      </c>
      <c r="M812" s="1023" cm="1">
        <f t="array" ref="M812">IFERROR(IF($A812=$A811,0,SUM(_xlfn._xlws.FILTER($E812:$E822,($A812:$A822=$A812)*($J812:$J822=M$42)))),0)</f>
        <v>0</v>
      </c>
      <c r="N812" s="1023" cm="1">
        <f t="array" ref="N812">IFERROR(IF($A812=$A811,0,SUM(_xlfn._xlws.FILTER($E812:$E822,($A812:$A822=$A812)*($J812:$J822=N$42)))),0)</f>
        <v>0</v>
      </c>
    </row>
    <row r="813" spans="5:14" x14ac:dyDescent="0.3">
      <c r="E813" s="1022">
        <f ca="1">IFERROR(C813*D813*_xlfn.XLOOKUP(B813,TabCalc[Ticker],TabCalc[Scale]),0)</f>
        <v>0</v>
      </c>
      <c r="F813" s="1023" cm="1">
        <f t="array" ref="F813">IF(A813=A812,0,SUM(_xlfn._xlws.FILTER(E813:E822,A813:A822=A813)))</f>
        <v>0</v>
      </c>
      <c r="G813" s="1024">
        <f>IF(F813&lt;&gt;0,SUM($F$43:F813),0)</f>
        <v>0</v>
      </c>
      <c r="H813" s="1024" cm="1">
        <f t="array" ref="H813">IFERROR(IF(A813=A812,0,SUM(_xlfn._xlws.FILTER(E813:E822,(A813:A822=A813)*(E813:E822&gt;0)))),0)</f>
        <v>0</v>
      </c>
      <c r="I813" s="1024" cm="1">
        <f t="array" ref="I813">IFERROR(IF(A813=A812,0,SUM(_xlfn._xlws.FILTER(E813:E822,(A813:A822=A813)*(F813&lt;0)))),0)</f>
        <v>0</v>
      </c>
      <c r="J813" s="293" t="str">
        <f ca="1">IFERROR(_xlfn.XLOOKUP(B813,TabCalc[Ticker],TabCalc[Cur]),"")</f>
        <v/>
      </c>
      <c r="K813" s="1023" cm="1">
        <f t="array" ref="K813">IFERROR(IF($A813=$A812,0,SUM(_xlfn._xlws.FILTER($E813:$E823,($A813:$A823=$A813)*($J813:$J823=K$42)))),0)</f>
        <v>0</v>
      </c>
      <c r="L813" s="1023" cm="1">
        <f t="array" ref="L813">IFERROR(IF($A813=$A812,0,SUM(_xlfn._xlws.FILTER($E813:$E823,($A813:$A823=$A813)*($J813:$J823=L$42)))),0)</f>
        <v>0</v>
      </c>
      <c r="M813" s="1023" cm="1">
        <f t="array" ref="M813">IFERROR(IF($A813=$A812,0,SUM(_xlfn._xlws.FILTER($E813:$E823,($A813:$A823=$A813)*($J813:$J823=M$42)))),0)</f>
        <v>0</v>
      </c>
      <c r="N813" s="1023" cm="1">
        <f t="array" ref="N813">IFERROR(IF($A813=$A812,0,SUM(_xlfn._xlws.FILTER($E813:$E823,($A813:$A823=$A813)*($J813:$J823=N$42)))),0)</f>
        <v>0</v>
      </c>
    </row>
    <row r="814" spans="5:14" x14ac:dyDescent="0.3">
      <c r="E814" s="1022">
        <f ca="1">IFERROR(C814*D814*_xlfn.XLOOKUP(B814,TabCalc[Ticker],TabCalc[Scale]),0)</f>
        <v>0</v>
      </c>
      <c r="F814" s="1023" cm="1">
        <f t="array" ref="F814">IF(A814=A813,0,SUM(_xlfn._xlws.FILTER(E814:E823,A814:A823=A814)))</f>
        <v>0</v>
      </c>
      <c r="G814" s="1024">
        <f>IF(F814&lt;&gt;0,SUM($F$43:F814),0)</f>
        <v>0</v>
      </c>
      <c r="H814" s="1024" cm="1">
        <f t="array" ref="H814">IFERROR(IF(A814=A813,0,SUM(_xlfn._xlws.FILTER(E814:E823,(A814:A823=A814)*(E814:E823&gt;0)))),0)</f>
        <v>0</v>
      </c>
      <c r="I814" s="1024" cm="1">
        <f t="array" ref="I814">IFERROR(IF(A814=A813,0,SUM(_xlfn._xlws.FILTER(E814:E823,(A814:A823=A814)*(F814&lt;0)))),0)</f>
        <v>0</v>
      </c>
      <c r="J814" s="293" t="str">
        <f ca="1">IFERROR(_xlfn.XLOOKUP(B814,TabCalc[Ticker],TabCalc[Cur]),"")</f>
        <v/>
      </c>
      <c r="K814" s="1023" cm="1">
        <f t="array" ref="K814">IFERROR(IF($A814=$A813,0,SUM(_xlfn._xlws.FILTER($E814:$E824,($A814:$A824=$A814)*($J814:$J824=K$42)))),0)</f>
        <v>0</v>
      </c>
      <c r="L814" s="1023" cm="1">
        <f t="array" ref="L814">IFERROR(IF($A814=$A813,0,SUM(_xlfn._xlws.FILTER($E814:$E824,($A814:$A824=$A814)*($J814:$J824=L$42)))),0)</f>
        <v>0</v>
      </c>
      <c r="M814" s="1023" cm="1">
        <f t="array" ref="M814">IFERROR(IF($A814=$A813,0,SUM(_xlfn._xlws.FILTER($E814:$E824,($A814:$A824=$A814)*($J814:$J824=M$42)))),0)</f>
        <v>0</v>
      </c>
      <c r="N814" s="1023" cm="1">
        <f t="array" ref="N814">IFERROR(IF($A814=$A813,0,SUM(_xlfn._xlws.FILTER($E814:$E824,($A814:$A824=$A814)*($J814:$J824=N$42)))),0)</f>
        <v>0</v>
      </c>
    </row>
    <row r="815" spans="5:14" x14ac:dyDescent="0.3">
      <c r="E815" s="1022">
        <f ca="1">IFERROR(C815*D815*_xlfn.XLOOKUP(B815,TabCalc[Ticker],TabCalc[Scale]),0)</f>
        <v>0</v>
      </c>
      <c r="F815" s="1023" cm="1">
        <f t="array" ref="F815">IF(A815=A814,0,SUM(_xlfn._xlws.FILTER(E815:E824,A815:A824=A815)))</f>
        <v>0</v>
      </c>
      <c r="G815" s="1024">
        <f>IF(F815&lt;&gt;0,SUM($F$43:F815),0)</f>
        <v>0</v>
      </c>
      <c r="H815" s="1024" cm="1">
        <f t="array" ref="H815">IFERROR(IF(A815=A814,0,SUM(_xlfn._xlws.FILTER(E815:E824,(A815:A824=A815)*(E815:E824&gt;0)))),0)</f>
        <v>0</v>
      </c>
      <c r="I815" s="1024" cm="1">
        <f t="array" ref="I815">IFERROR(IF(A815=A814,0,SUM(_xlfn._xlws.FILTER(E815:E824,(A815:A824=A815)*(F815&lt;0)))),0)</f>
        <v>0</v>
      </c>
      <c r="J815" s="293" t="str">
        <f ca="1">IFERROR(_xlfn.XLOOKUP(B815,TabCalc[Ticker],TabCalc[Cur]),"")</f>
        <v/>
      </c>
      <c r="K815" s="1023" cm="1">
        <f t="array" ref="K815">IFERROR(IF($A815=$A814,0,SUM(_xlfn._xlws.FILTER($E815:$E825,($A815:$A825=$A815)*($J815:$J825=K$42)))),0)</f>
        <v>0</v>
      </c>
      <c r="L815" s="1023" cm="1">
        <f t="array" ref="L815">IFERROR(IF($A815=$A814,0,SUM(_xlfn._xlws.FILTER($E815:$E825,($A815:$A825=$A815)*($J815:$J825=L$42)))),0)</f>
        <v>0</v>
      </c>
      <c r="M815" s="1023" cm="1">
        <f t="array" ref="M815">IFERROR(IF($A815=$A814,0,SUM(_xlfn._xlws.FILTER($E815:$E825,($A815:$A825=$A815)*($J815:$J825=M$42)))),0)</f>
        <v>0</v>
      </c>
      <c r="N815" s="1023" cm="1">
        <f t="array" ref="N815">IFERROR(IF($A815=$A814,0,SUM(_xlfn._xlws.FILTER($E815:$E825,($A815:$A825=$A815)*($J815:$J825=N$42)))),0)</f>
        <v>0</v>
      </c>
    </row>
    <row r="816" spans="5:14" x14ac:dyDescent="0.3">
      <c r="E816" s="1022">
        <f ca="1">IFERROR(C816*D816*_xlfn.XLOOKUP(B816,TabCalc[Ticker],TabCalc[Scale]),0)</f>
        <v>0</v>
      </c>
      <c r="F816" s="1023" cm="1">
        <f t="array" ref="F816">IF(A816=A815,0,SUM(_xlfn._xlws.FILTER(E816:E825,A816:A825=A816)))</f>
        <v>0</v>
      </c>
      <c r="G816" s="1024">
        <f>IF(F816&lt;&gt;0,SUM($F$43:F816),0)</f>
        <v>0</v>
      </c>
      <c r="H816" s="1024" cm="1">
        <f t="array" ref="H816">IFERROR(IF(A816=A815,0,SUM(_xlfn._xlws.FILTER(E816:E825,(A816:A825=A816)*(E816:E825&gt;0)))),0)</f>
        <v>0</v>
      </c>
      <c r="I816" s="1024" cm="1">
        <f t="array" ref="I816">IFERROR(IF(A816=A815,0,SUM(_xlfn._xlws.FILTER(E816:E825,(A816:A825=A816)*(F816&lt;0)))),0)</f>
        <v>0</v>
      </c>
      <c r="J816" s="293" t="str">
        <f ca="1">IFERROR(_xlfn.XLOOKUP(B816,TabCalc[Ticker],TabCalc[Cur]),"")</f>
        <v/>
      </c>
      <c r="K816" s="1023" cm="1">
        <f t="array" ref="K816">IFERROR(IF($A816=$A815,0,SUM(_xlfn._xlws.FILTER($E816:$E826,($A816:$A826=$A816)*($J816:$J826=K$42)))),0)</f>
        <v>0</v>
      </c>
      <c r="L816" s="1023" cm="1">
        <f t="array" ref="L816">IFERROR(IF($A816=$A815,0,SUM(_xlfn._xlws.FILTER($E816:$E826,($A816:$A826=$A816)*($J816:$J826=L$42)))),0)</f>
        <v>0</v>
      </c>
      <c r="M816" s="1023" cm="1">
        <f t="array" ref="M816">IFERROR(IF($A816=$A815,0,SUM(_xlfn._xlws.FILTER($E816:$E826,($A816:$A826=$A816)*($J816:$J826=M$42)))),0)</f>
        <v>0</v>
      </c>
      <c r="N816" s="1023" cm="1">
        <f t="array" ref="N816">IFERROR(IF($A816=$A815,0,SUM(_xlfn._xlws.FILTER($E816:$E826,($A816:$A826=$A816)*($J816:$J826=N$42)))),0)</f>
        <v>0</v>
      </c>
    </row>
    <row r="817" spans="5:14" x14ac:dyDescent="0.3">
      <c r="E817" s="1022">
        <f ca="1">IFERROR(C817*D817*_xlfn.XLOOKUP(B817,TabCalc[Ticker],TabCalc[Scale]),0)</f>
        <v>0</v>
      </c>
      <c r="F817" s="1023" cm="1">
        <f t="array" ref="F817">IF(A817=A816,0,SUM(_xlfn._xlws.FILTER(E817:E826,A817:A826=A817)))</f>
        <v>0</v>
      </c>
      <c r="G817" s="1024">
        <f>IF(F817&lt;&gt;0,SUM($F$43:F817),0)</f>
        <v>0</v>
      </c>
      <c r="H817" s="1024" cm="1">
        <f t="array" ref="H817">IFERROR(IF(A817=A816,0,SUM(_xlfn._xlws.FILTER(E817:E826,(A817:A826=A817)*(E817:E826&gt;0)))),0)</f>
        <v>0</v>
      </c>
      <c r="I817" s="1024" cm="1">
        <f t="array" ref="I817">IFERROR(IF(A817=A816,0,SUM(_xlfn._xlws.FILTER(E817:E826,(A817:A826=A817)*(F817&lt;0)))),0)</f>
        <v>0</v>
      </c>
      <c r="J817" s="293" t="str">
        <f ca="1">IFERROR(_xlfn.XLOOKUP(B817,TabCalc[Ticker],TabCalc[Cur]),"")</f>
        <v/>
      </c>
      <c r="K817" s="1023" cm="1">
        <f t="array" ref="K817">IFERROR(IF($A817=$A816,0,SUM(_xlfn._xlws.FILTER($E817:$E827,($A817:$A827=$A817)*($J817:$J827=K$42)))),0)</f>
        <v>0</v>
      </c>
      <c r="L817" s="1023" cm="1">
        <f t="array" ref="L817">IFERROR(IF($A817=$A816,0,SUM(_xlfn._xlws.FILTER($E817:$E827,($A817:$A827=$A817)*($J817:$J827=L$42)))),0)</f>
        <v>0</v>
      </c>
      <c r="M817" s="1023" cm="1">
        <f t="array" ref="M817">IFERROR(IF($A817=$A816,0,SUM(_xlfn._xlws.FILTER($E817:$E827,($A817:$A827=$A817)*($J817:$J827=M$42)))),0)</f>
        <v>0</v>
      </c>
      <c r="N817" s="1023" cm="1">
        <f t="array" ref="N817">IFERROR(IF($A817=$A816,0,SUM(_xlfn._xlws.FILTER($E817:$E827,($A817:$A827=$A817)*($J817:$J827=N$42)))),0)</f>
        <v>0</v>
      </c>
    </row>
    <row r="818" spans="5:14" x14ac:dyDescent="0.3">
      <c r="E818" s="1022">
        <f ca="1">IFERROR(C818*D818*_xlfn.XLOOKUP(B818,TabCalc[Ticker],TabCalc[Scale]),0)</f>
        <v>0</v>
      </c>
      <c r="F818" s="1023" cm="1">
        <f t="array" ref="F818">IF(A818=A817,0,SUM(_xlfn._xlws.FILTER(E818:E827,A818:A827=A818)))</f>
        <v>0</v>
      </c>
      <c r="G818" s="1024">
        <f>IF(F818&lt;&gt;0,SUM($F$43:F818),0)</f>
        <v>0</v>
      </c>
      <c r="H818" s="1024" cm="1">
        <f t="array" ref="H818">IFERROR(IF(A818=A817,0,SUM(_xlfn._xlws.FILTER(E818:E827,(A818:A827=A818)*(E818:E827&gt;0)))),0)</f>
        <v>0</v>
      </c>
      <c r="I818" s="1024" cm="1">
        <f t="array" ref="I818">IFERROR(IF(A818=A817,0,SUM(_xlfn._xlws.FILTER(E818:E827,(A818:A827=A818)*(F818&lt;0)))),0)</f>
        <v>0</v>
      </c>
      <c r="J818" s="293" t="str">
        <f ca="1">IFERROR(_xlfn.XLOOKUP(B818,TabCalc[Ticker],TabCalc[Cur]),"")</f>
        <v/>
      </c>
      <c r="K818" s="1023" cm="1">
        <f t="array" ref="K818">IFERROR(IF($A818=$A817,0,SUM(_xlfn._xlws.FILTER($E818:$E828,($A818:$A828=$A818)*($J818:$J828=K$42)))),0)</f>
        <v>0</v>
      </c>
      <c r="L818" s="1023" cm="1">
        <f t="array" ref="L818">IFERROR(IF($A818=$A817,0,SUM(_xlfn._xlws.FILTER($E818:$E828,($A818:$A828=$A818)*($J818:$J828=L$42)))),0)</f>
        <v>0</v>
      </c>
      <c r="M818" s="1023" cm="1">
        <f t="array" ref="M818">IFERROR(IF($A818=$A817,0,SUM(_xlfn._xlws.FILTER($E818:$E828,($A818:$A828=$A818)*($J818:$J828=M$42)))),0)</f>
        <v>0</v>
      </c>
      <c r="N818" s="1023" cm="1">
        <f t="array" ref="N818">IFERROR(IF($A818=$A817,0,SUM(_xlfn._xlws.FILTER($E818:$E828,($A818:$A828=$A818)*($J818:$J828=N$42)))),0)</f>
        <v>0</v>
      </c>
    </row>
    <row r="819" spans="5:14" x14ac:dyDescent="0.3">
      <c r="E819" s="1022">
        <f ca="1">IFERROR(C819*D819*_xlfn.XLOOKUP(B819,TabCalc[Ticker],TabCalc[Scale]),0)</f>
        <v>0</v>
      </c>
      <c r="F819" s="1023" cm="1">
        <f t="array" ref="F819">IF(A819=A818,0,SUM(_xlfn._xlws.FILTER(E819:E828,A819:A828=A819)))</f>
        <v>0</v>
      </c>
      <c r="G819" s="1024">
        <f>IF(F819&lt;&gt;0,SUM($F$43:F819),0)</f>
        <v>0</v>
      </c>
      <c r="H819" s="1024" cm="1">
        <f t="array" ref="H819">IFERROR(IF(A819=A818,0,SUM(_xlfn._xlws.FILTER(E819:E828,(A819:A828=A819)*(E819:E828&gt;0)))),0)</f>
        <v>0</v>
      </c>
      <c r="I819" s="1024" cm="1">
        <f t="array" ref="I819">IFERROR(IF(A819=A818,0,SUM(_xlfn._xlws.FILTER(E819:E828,(A819:A828=A819)*(F819&lt;0)))),0)</f>
        <v>0</v>
      </c>
      <c r="J819" s="293" t="str">
        <f ca="1">IFERROR(_xlfn.XLOOKUP(B819,TabCalc[Ticker],TabCalc[Cur]),"")</f>
        <v/>
      </c>
      <c r="K819" s="1023" cm="1">
        <f t="array" ref="K819">IFERROR(IF($A819=$A818,0,SUM(_xlfn._xlws.FILTER($E819:$E829,($A819:$A829=$A819)*($J819:$J829=K$42)))),0)</f>
        <v>0</v>
      </c>
      <c r="L819" s="1023" cm="1">
        <f t="array" ref="L819">IFERROR(IF($A819=$A818,0,SUM(_xlfn._xlws.FILTER($E819:$E829,($A819:$A829=$A819)*($J819:$J829=L$42)))),0)</f>
        <v>0</v>
      </c>
      <c r="M819" s="1023" cm="1">
        <f t="array" ref="M819">IFERROR(IF($A819=$A818,0,SUM(_xlfn._xlws.FILTER($E819:$E829,($A819:$A829=$A819)*($J819:$J829=M$42)))),0)</f>
        <v>0</v>
      </c>
      <c r="N819" s="1023" cm="1">
        <f t="array" ref="N819">IFERROR(IF($A819=$A818,0,SUM(_xlfn._xlws.FILTER($E819:$E829,($A819:$A829=$A819)*($J819:$J829=N$42)))),0)</f>
        <v>0</v>
      </c>
    </row>
    <row r="820" spans="5:14" x14ac:dyDescent="0.3">
      <c r="E820" s="1022">
        <f ca="1">IFERROR(C820*D820*_xlfn.XLOOKUP(B820,TabCalc[Ticker],TabCalc[Scale]),0)</f>
        <v>0</v>
      </c>
      <c r="F820" s="1023" cm="1">
        <f t="array" ref="F820">IF(A820=A819,0,SUM(_xlfn._xlws.FILTER(E820:E829,A820:A829=A820)))</f>
        <v>0</v>
      </c>
      <c r="G820" s="1024">
        <f>IF(F820&lt;&gt;0,SUM($F$43:F820),0)</f>
        <v>0</v>
      </c>
      <c r="H820" s="1024" cm="1">
        <f t="array" ref="H820">IFERROR(IF(A820=A819,0,SUM(_xlfn._xlws.FILTER(E820:E829,(A820:A829=A820)*(E820:E829&gt;0)))),0)</f>
        <v>0</v>
      </c>
      <c r="I820" s="1024" cm="1">
        <f t="array" ref="I820">IFERROR(IF(A820=A819,0,SUM(_xlfn._xlws.FILTER(E820:E829,(A820:A829=A820)*(F820&lt;0)))),0)</f>
        <v>0</v>
      </c>
      <c r="J820" s="293" t="str">
        <f ca="1">IFERROR(_xlfn.XLOOKUP(B820,TabCalc[Ticker],TabCalc[Cur]),"")</f>
        <v/>
      </c>
      <c r="K820" s="1023" cm="1">
        <f t="array" ref="K820">IFERROR(IF($A820=$A819,0,SUM(_xlfn._xlws.FILTER($E820:$E830,($A820:$A830=$A820)*($J820:$J830=K$42)))),0)</f>
        <v>0</v>
      </c>
      <c r="L820" s="1023" cm="1">
        <f t="array" ref="L820">IFERROR(IF($A820=$A819,0,SUM(_xlfn._xlws.FILTER($E820:$E830,($A820:$A830=$A820)*($J820:$J830=L$42)))),0)</f>
        <v>0</v>
      </c>
      <c r="M820" s="1023" cm="1">
        <f t="array" ref="M820">IFERROR(IF($A820=$A819,0,SUM(_xlfn._xlws.FILTER($E820:$E830,($A820:$A830=$A820)*($J820:$J830=M$42)))),0)</f>
        <v>0</v>
      </c>
      <c r="N820" s="1023" cm="1">
        <f t="array" ref="N820">IFERROR(IF($A820=$A819,0,SUM(_xlfn._xlws.FILTER($E820:$E830,($A820:$A830=$A820)*($J820:$J830=N$42)))),0)</f>
        <v>0</v>
      </c>
    </row>
    <row r="821" spans="5:14" x14ac:dyDescent="0.3">
      <c r="E821" s="1022">
        <f ca="1">IFERROR(C821*D821*_xlfn.XLOOKUP(B821,TabCalc[Ticker],TabCalc[Scale]),0)</f>
        <v>0</v>
      </c>
      <c r="F821" s="1023" cm="1">
        <f t="array" ref="F821">IF(A821=A820,0,SUM(_xlfn._xlws.FILTER(E821:E830,A821:A830=A821)))</f>
        <v>0</v>
      </c>
      <c r="G821" s="1024">
        <f>IF(F821&lt;&gt;0,SUM($F$43:F821),0)</f>
        <v>0</v>
      </c>
      <c r="H821" s="1024" cm="1">
        <f t="array" ref="H821">IFERROR(IF(A821=A820,0,SUM(_xlfn._xlws.FILTER(E821:E830,(A821:A830=A821)*(E821:E830&gt;0)))),0)</f>
        <v>0</v>
      </c>
      <c r="I821" s="1024" cm="1">
        <f t="array" ref="I821">IFERROR(IF(A821=A820,0,SUM(_xlfn._xlws.FILTER(E821:E830,(A821:A830=A821)*(F821&lt;0)))),0)</f>
        <v>0</v>
      </c>
      <c r="J821" s="293" t="str">
        <f ca="1">IFERROR(_xlfn.XLOOKUP(B821,TabCalc[Ticker],TabCalc[Cur]),"")</f>
        <v/>
      </c>
      <c r="K821" s="1023" cm="1">
        <f t="array" ref="K821">IFERROR(IF($A821=$A820,0,SUM(_xlfn._xlws.FILTER($E821:$E831,($A821:$A831=$A821)*($J821:$J831=K$42)))),0)</f>
        <v>0</v>
      </c>
      <c r="L821" s="1023" cm="1">
        <f t="array" ref="L821">IFERROR(IF($A821=$A820,0,SUM(_xlfn._xlws.FILTER($E821:$E831,($A821:$A831=$A821)*($J821:$J831=L$42)))),0)</f>
        <v>0</v>
      </c>
      <c r="M821" s="1023" cm="1">
        <f t="array" ref="M821">IFERROR(IF($A821=$A820,0,SUM(_xlfn._xlws.FILTER($E821:$E831,($A821:$A831=$A821)*($J821:$J831=M$42)))),0)</f>
        <v>0</v>
      </c>
      <c r="N821" s="1023" cm="1">
        <f t="array" ref="N821">IFERROR(IF($A821=$A820,0,SUM(_xlfn._xlws.FILTER($E821:$E831,($A821:$A831=$A821)*($J821:$J831=N$42)))),0)</f>
        <v>0</v>
      </c>
    </row>
    <row r="822" spans="5:14" x14ac:dyDescent="0.3">
      <c r="E822" s="1022">
        <f ca="1">IFERROR(C822*D822*_xlfn.XLOOKUP(B822,TabCalc[Ticker],TabCalc[Scale]),0)</f>
        <v>0</v>
      </c>
      <c r="F822" s="1023" cm="1">
        <f t="array" ref="F822">IF(A822=A821,0,SUM(_xlfn._xlws.FILTER(E822:E831,A822:A831=A822)))</f>
        <v>0</v>
      </c>
      <c r="G822" s="1024">
        <f>IF(F822&lt;&gt;0,SUM($F$43:F822),0)</f>
        <v>0</v>
      </c>
      <c r="H822" s="1024" cm="1">
        <f t="array" ref="H822">IFERROR(IF(A822=A821,0,SUM(_xlfn._xlws.FILTER(E822:E831,(A822:A831=A822)*(E822:E831&gt;0)))),0)</f>
        <v>0</v>
      </c>
      <c r="I822" s="1024" cm="1">
        <f t="array" ref="I822">IFERROR(IF(A822=A821,0,SUM(_xlfn._xlws.FILTER(E822:E831,(A822:A831=A822)*(F822&lt;0)))),0)</f>
        <v>0</v>
      </c>
      <c r="J822" s="293" t="str">
        <f ca="1">IFERROR(_xlfn.XLOOKUP(B822,TabCalc[Ticker],TabCalc[Cur]),"")</f>
        <v/>
      </c>
      <c r="K822" s="1023" cm="1">
        <f t="array" ref="K822">IFERROR(IF($A822=$A821,0,SUM(_xlfn._xlws.FILTER($E822:$E832,($A822:$A832=$A822)*($J822:$J832=K$42)))),0)</f>
        <v>0</v>
      </c>
      <c r="L822" s="1023" cm="1">
        <f t="array" ref="L822">IFERROR(IF($A822=$A821,0,SUM(_xlfn._xlws.FILTER($E822:$E832,($A822:$A832=$A822)*($J822:$J832=L$42)))),0)</f>
        <v>0</v>
      </c>
      <c r="M822" s="1023" cm="1">
        <f t="array" ref="M822">IFERROR(IF($A822=$A821,0,SUM(_xlfn._xlws.FILTER($E822:$E832,($A822:$A832=$A822)*($J822:$J832=M$42)))),0)</f>
        <v>0</v>
      </c>
      <c r="N822" s="1023" cm="1">
        <f t="array" ref="N822">IFERROR(IF($A822=$A821,0,SUM(_xlfn._xlws.FILTER($E822:$E832,($A822:$A832=$A822)*($J822:$J832=N$42)))),0)</f>
        <v>0</v>
      </c>
    </row>
    <row r="823" spans="5:14" x14ac:dyDescent="0.3">
      <c r="E823" s="1022">
        <f ca="1">IFERROR(C823*D823*_xlfn.XLOOKUP(B823,TabCalc[Ticker],TabCalc[Scale]),0)</f>
        <v>0</v>
      </c>
      <c r="F823" s="1023" cm="1">
        <f t="array" ref="F823">IF(A823=A822,0,SUM(_xlfn._xlws.FILTER(E823:E832,A823:A832=A823)))</f>
        <v>0</v>
      </c>
      <c r="G823" s="1024">
        <f>IF(F823&lt;&gt;0,SUM($F$43:F823),0)</f>
        <v>0</v>
      </c>
      <c r="H823" s="1024" cm="1">
        <f t="array" ref="H823">IFERROR(IF(A823=A822,0,SUM(_xlfn._xlws.FILTER(E823:E832,(A823:A832=A823)*(E823:E832&gt;0)))),0)</f>
        <v>0</v>
      </c>
      <c r="I823" s="1024" cm="1">
        <f t="array" ref="I823">IFERROR(IF(A823=A822,0,SUM(_xlfn._xlws.FILTER(E823:E832,(A823:A832=A823)*(F823&lt;0)))),0)</f>
        <v>0</v>
      </c>
      <c r="J823" s="293" t="str">
        <f ca="1">IFERROR(_xlfn.XLOOKUP(B823,TabCalc[Ticker],TabCalc[Cur]),"")</f>
        <v/>
      </c>
      <c r="K823" s="1023" cm="1">
        <f t="array" ref="K823">IFERROR(IF($A823=$A822,0,SUM(_xlfn._xlws.FILTER($E823:$E833,($A823:$A833=$A823)*($J823:$J833=K$42)))),0)</f>
        <v>0</v>
      </c>
      <c r="L823" s="1023" cm="1">
        <f t="array" ref="L823">IFERROR(IF($A823=$A822,0,SUM(_xlfn._xlws.FILTER($E823:$E833,($A823:$A833=$A823)*($J823:$J833=L$42)))),0)</f>
        <v>0</v>
      </c>
      <c r="M823" s="1023" cm="1">
        <f t="array" ref="M823">IFERROR(IF($A823=$A822,0,SUM(_xlfn._xlws.FILTER($E823:$E833,($A823:$A833=$A823)*($J823:$J833=M$42)))),0)</f>
        <v>0</v>
      </c>
      <c r="N823" s="1023" cm="1">
        <f t="array" ref="N823">IFERROR(IF($A823=$A822,0,SUM(_xlfn._xlws.FILTER($E823:$E833,($A823:$A833=$A823)*($J823:$J833=N$42)))),0)</f>
        <v>0</v>
      </c>
    </row>
    <row r="824" spans="5:14" x14ac:dyDescent="0.3">
      <c r="E824" s="1022">
        <f ca="1">IFERROR(C824*D824*_xlfn.XLOOKUP(B824,TabCalc[Ticker],TabCalc[Scale]),0)</f>
        <v>0</v>
      </c>
      <c r="F824" s="1023" cm="1">
        <f t="array" ref="F824">IF(A824=A823,0,SUM(_xlfn._xlws.FILTER(E824:E833,A824:A833=A824)))</f>
        <v>0</v>
      </c>
      <c r="G824" s="1024">
        <f>IF(F824&lt;&gt;0,SUM($F$43:F824),0)</f>
        <v>0</v>
      </c>
      <c r="H824" s="1024" cm="1">
        <f t="array" ref="H824">IFERROR(IF(A824=A823,0,SUM(_xlfn._xlws.FILTER(E824:E833,(A824:A833=A824)*(E824:E833&gt;0)))),0)</f>
        <v>0</v>
      </c>
      <c r="I824" s="1024" cm="1">
        <f t="array" ref="I824">IFERROR(IF(A824=A823,0,SUM(_xlfn._xlws.FILTER(E824:E833,(A824:A833=A824)*(F824&lt;0)))),0)</f>
        <v>0</v>
      </c>
      <c r="J824" s="293" t="str">
        <f ca="1">IFERROR(_xlfn.XLOOKUP(B824,TabCalc[Ticker],TabCalc[Cur]),"")</f>
        <v/>
      </c>
      <c r="K824" s="1023" cm="1">
        <f t="array" ref="K824">IFERROR(IF($A824=$A823,0,SUM(_xlfn._xlws.FILTER($E824:$E834,($A824:$A834=$A824)*($J824:$J834=K$42)))),0)</f>
        <v>0</v>
      </c>
      <c r="L824" s="1023" cm="1">
        <f t="array" ref="L824">IFERROR(IF($A824=$A823,0,SUM(_xlfn._xlws.FILTER($E824:$E834,($A824:$A834=$A824)*($J824:$J834=L$42)))),0)</f>
        <v>0</v>
      </c>
      <c r="M824" s="1023" cm="1">
        <f t="array" ref="M824">IFERROR(IF($A824=$A823,0,SUM(_xlfn._xlws.FILTER($E824:$E834,($A824:$A834=$A824)*($J824:$J834=M$42)))),0)</f>
        <v>0</v>
      </c>
      <c r="N824" s="1023" cm="1">
        <f t="array" ref="N824">IFERROR(IF($A824=$A823,0,SUM(_xlfn._xlws.FILTER($E824:$E834,($A824:$A834=$A824)*($J824:$J834=N$42)))),0)</f>
        <v>0</v>
      </c>
    </row>
    <row r="825" spans="5:14" x14ac:dyDescent="0.3">
      <c r="E825" s="1022">
        <f ca="1">IFERROR(C825*D825*_xlfn.XLOOKUP(B825,TabCalc[Ticker],TabCalc[Scale]),0)</f>
        <v>0</v>
      </c>
      <c r="F825" s="1023" cm="1">
        <f t="array" ref="F825">IF(A825=A824,0,SUM(_xlfn._xlws.FILTER(E825:E834,A825:A834=A825)))</f>
        <v>0</v>
      </c>
      <c r="G825" s="1024">
        <f>IF(F825&lt;&gt;0,SUM($F$43:F825),0)</f>
        <v>0</v>
      </c>
      <c r="H825" s="1024" cm="1">
        <f t="array" ref="H825">IFERROR(IF(A825=A824,0,SUM(_xlfn._xlws.FILTER(E825:E834,(A825:A834=A825)*(E825:E834&gt;0)))),0)</f>
        <v>0</v>
      </c>
      <c r="I825" s="1024" cm="1">
        <f t="array" ref="I825">IFERROR(IF(A825=A824,0,SUM(_xlfn._xlws.FILTER(E825:E834,(A825:A834=A825)*(F825&lt;0)))),0)</f>
        <v>0</v>
      </c>
      <c r="J825" s="293" t="str">
        <f ca="1">IFERROR(_xlfn.XLOOKUP(B825,TabCalc[Ticker],TabCalc[Cur]),"")</f>
        <v/>
      </c>
      <c r="K825" s="1023" cm="1">
        <f t="array" ref="K825">IFERROR(IF($A825=$A824,0,SUM(_xlfn._xlws.FILTER($E825:$E835,($A825:$A835=$A825)*($J825:$J835=K$42)))),0)</f>
        <v>0</v>
      </c>
      <c r="L825" s="1023" cm="1">
        <f t="array" ref="L825">IFERROR(IF($A825=$A824,0,SUM(_xlfn._xlws.FILTER($E825:$E835,($A825:$A835=$A825)*($J825:$J835=L$42)))),0)</f>
        <v>0</v>
      </c>
      <c r="M825" s="1023" cm="1">
        <f t="array" ref="M825">IFERROR(IF($A825=$A824,0,SUM(_xlfn._xlws.FILTER($E825:$E835,($A825:$A835=$A825)*($J825:$J835=M$42)))),0)</f>
        <v>0</v>
      </c>
      <c r="N825" s="1023" cm="1">
        <f t="array" ref="N825">IFERROR(IF($A825=$A824,0,SUM(_xlfn._xlws.FILTER($E825:$E835,($A825:$A835=$A825)*($J825:$J835=N$42)))),0)</f>
        <v>0</v>
      </c>
    </row>
    <row r="826" spans="5:14" x14ac:dyDescent="0.3">
      <c r="E826" s="1022">
        <f ca="1">IFERROR(C826*D826*_xlfn.XLOOKUP(B826,TabCalc[Ticker],TabCalc[Scale]),0)</f>
        <v>0</v>
      </c>
      <c r="F826" s="1023" cm="1">
        <f t="array" ref="F826">IF(A826=A825,0,SUM(_xlfn._xlws.FILTER(E826:E835,A826:A835=A826)))</f>
        <v>0</v>
      </c>
      <c r="G826" s="1024">
        <f>IF(F826&lt;&gt;0,SUM($F$43:F826),0)</f>
        <v>0</v>
      </c>
      <c r="H826" s="1024" cm="1">
        <f t="array" ref="H826">IFERROR(IF(A826=A825,0,SUM(_xlfn._xlws.FILTER(E826:E835,(A826:A835=A826)*(E826:E835&gt;0)))),0)</f>
        <v>0</v>
      </c>
      <c r="I826" s="1024" cm="1">
        <f t="array" ref="I826">IFERROR(IF(A826=A825,0,SUM(_xlfn._xlws.FILTER(E826:E835,(A826:A835=A826)*(F826&lt;0)))),0)</f>
        <v>0</v>
      </c>
      <c r="J826" s="293" t="str">
        <f ca="1">IFERROR(_xlfn.XLOOKUP(B826,TabCalc[Ticker],TabCalc[Cur]),"")</f>
        <v/>
      </c>
      <c r="K826" s="1023" cm="1">
        <f t="array" ref="K826">IFERROR(IF($A826=$A825,0,SUM(_xlfn._xlws.FILTER($E826:$E836,($A826:$A836=$A826)*($J826:$J836=K$42)))),0)</f>
        <v>0</v>
      </c>
      <c r="L826" s="1023" cm="1">
        <f t="array" ref="L826">IFERROR(IF($A826=$A825,0,SUM(_xlfn._xlws.FILTER($E826:$E836,($A826:$A836=$A826)*($J826:$J836=L$42)))),0)</f>
        <v>0</v>
      </c>
      <c r="M826" s="1023" cm="1">
        <f t="array" ref="M826">IFERROR(IF($A826=$A825,0,SUM(_xlfn._xlws.FILTER($E826:$E836,($A826:$A836=$A826)*($J826:$J836=M$42)))),0)</f>
        <v>0</v>
      </c>
      <c r="N826" s="1023" cm="1">
        <f t="array" ref="N826">IFERROR(IF($A826=$A825,0,SUM(_xlfn._xlws.FILTER($E826:$E836,($A826:$A836=$A826)*($J826:$J836=N$42)))),0)</f>
        <v>0</v>
      </c>
    </row>
    <row r="827" spans="5:14" x14ac:dyDescent="0.3">
      <c r="E827" s="1022">
        <f ca="1">IFERROR(C827*D827*_xlfn.XLOOKUP(B827,TabCalc[Ticker],TabCalc[Scale]),0)</f>
        <v>0</v>
      </c>
      <c r="F827" s="1023" cm="1">
        <f t="array" ref="F827">IF(A827=A826,0,SUM(_xlfn._xlws.FILTER(E827:E836,A827:A836=A827)))</f>
        <v>0</v>
      </c>
      <c r="G827" s="1024">
        <f>IF(F827&lt;&gt;0,SUM($F$43:F827),0)</f>
        <v>0</v>
      </c>
      <c r="H827" s="1024" cm="1">
        <f t="array" ref="H827">IFERROR(IF(A827=A826,0,SUM(_xlfn._xlws.FILTER(E827:E836,(A827:A836=A827)*(E827:E836&gt;0)))),0)</f>
        <v>0</v>
      </c>
      <c r="I827" s="1024" cm="1">
        <f t="array" ref="I827">IFERROR(IF(A827=A826,0,SUM(_xlfn._xlws.FILTER(E827:E836,(A827:A836=A827)*(F827&lt;0)))),0)</f>
        <v>0</v>
      </c>
      <c r="J827" s="293" t="str">
        <f ca="1">IFERROR(_xlfn.XLOOKUP(B827,TabCalc[Ticker],TabCalc[Cur]),"")</f>
        <v/>
      </c>
      <c r="K827" s="1023" cm="1">
        <f t="array" ref="K827">IFERROR(IF($A827=$A826,0,SUM(_xlfn._xlws.FILTER($E827:$E837,($A827:$A837=$A827)*($J827:$J837=K$42)))),0)</f>
        <v>0</v>
      </c>
      <c r="L827" s="1023" cm="1">
        <f t="array" ref="L827">IFERROR(IF($A827=$A826,0,SUM(_xlfn._xlws.FILTER($E827:$E837,($A827:$A837=$A827)*($J827:$J837=L$42)))),0)</f>
        <v>0</v>
      </c>
      <c r="M827" s="1023" cm="1">
        <f t="array" ref="M827">IFERROR(IF($A827=$A826,0,SUM(_xlfn._xlws.FILTER($E827:$E837,($A827:$A837=$A827)*($J827:$J837=M$42)))),0)</f>
        <v>0</v>
      </c>
      <c r="N827" s="1023" cm="1">
        <f t="array" ref="N827">IFERROR(IF($A827=$A826,0,SUM(_xlfn._xlws.FILTER($E827:$E837,($A827:$A837=$A827)*($J827:$J837=N$42)))),0)</f>
        <v>0</v>
      </c>
    </row>
    <row r="828" spans="5:14" x14ac:dyDescent="0.3">
      <c r="E828" s="1022">
        <f ca="1">IFERROR(C828*D828*_xlfn.XLOOKUP(B828,TabCalc[Ticker],TabCalc[Scale]),0)</f>
        <v>0</v>
      </c>
      <c r="F828" s="1023" cm="1">
        <f t="array" ref="F828">IF(A828=A827,0,SUM(_xlfn._xlws.FILTER(E828:E837,A828:A837=A828)))</f>
        <v>0</v>
      </c>
      <c r="G828" s="1024">
        <f>IF(F828&lt;&gt;0,SUM($F$43:F828),0)</f>
        <v>0</v>
      </c>
      <c r="H828" s="1024" cm="1">
        <f t="array" ref="H828">IFERROR(IF(A828=A827,0,SUM(_xlfn._xlws.FILTER(E828:E837,(A828:A837=A828)*(E828:E837&gt;0)))),0)</f>
        <v>0</v>
      </c>
      <c r="I828" s="1024" cm="1">
        <f t="array" ref="I828">IFERROR(IF(A828=A827,0,SUM(_xlfn._xlws.FILTER(E828:E837,(A828:A837=A828)*(F828&lt;0)))),0)</f>
        <v>0</v>
      </c>
      <c r="J828" s="293" t="str">
        <f ca="1">IFERROR(_xlfn.XLOOKUP(B828,TabCalc[Ticker],TabCalc[Cur]),"")</f>
        <v/>
      </c>
      <c r="K828" s="1023" cm="1">
        <f t="array" ref="K828">IFERROR(IF($A828=$A827,0,SUM(_xlfn._xlws.FILTER($E828:$E838,($A828:$A838=$A828)*($J828:$J838=K$42)))),0)</f>
        <v>0</v>
      </c>
      <c r="L828" s="1023" cm="1">
        <f t="array" ref="L828">IFERROR(IF($A828=$A827,0,SUM(_xlfn._xlws.FILTER($E828:$E838,($A828:$A838=$A828)*($J828:$J838=L$42)))),0)</f>
        <v>0</v>
      </c>
      <c r="M828" s="1023" cm="1">
        <f t="array" ref="M828">IFERROR(IF($A828=$A827,0,SUM(_xlfn._xlws.FILTER($E828:$E838,($A828:$A838=$A828)*($J828:$J838=M$42)))),0)</f>
        <v>0</v>
      </c>
      <c r="N828" s="1023" cm="1">
        <f t="array" ref="N828">IFERROR(IF($A828=$A827,0,SUM(_xlfn._xlws.FILTER($E828:$E838,($A828:$A838=$A828)*($J828:$J838=N$42)))),0)</f>
        <v>0</v>
      </c>
    </row>
    <row r="829" spans="5:14" x14ac:dyDescent="0.3">
      <c r="E829" s="1022">
        <f ca="1">IFERROR(C829*D829*_xlfn.XLOOKUP(B829,TabCalc[Ticker],TabCalc[Scale]),0)</f>
        <v>0</v>
      </c>
      <c r="F829" s="1023" cm="1">
        <f t="array" ref="F829">IF(A829=A828,0,SUM(_xlfn._xlws.FILTER(E829:E838,A829:A838=A829)))</f>
        <v>0</v>
      </c>
      <c r="G829" s="1024">
        <f>IF(F829&lt;&gt;0,SUM($F$43:F829),0)</f>
        <v>0</v>
      </c>
      <c r="H829" s="1024" cm="1">
        <f t="array" ref="H829">IFERROR(IF(A829=A828,0,SUM(_xlfn._xlws.FILTER(E829:E838,(A829:A838=A829)*(E829:E838&gt;0)))),0)</f>
        <v>0</v>
      </c>
      <c r="I829" s="1024" cm="1">
        <f t="array" ref="I829">IFERROR(IF(A829=A828,0,SUM(_xlfn._xlws.FILTER(E829:E838,(A829:A838=A829)*(F829&lt;0)))),0)</f>
        <v>0</v>
      </c>
      <c r="J829" s="293" t="str">
        <f ca="1">IFERROR(_xlfn.XLOOKUP(B829,TabCalc[Ticker],TabCalc[Cur]),"")</f>
        <v/>
      </c>
      <c r="K829" s="1023" cm="1">
        <f t="array" ref="K829">IFERROR(IF($A829=$A828,0,SUM(_xlfn._xlws.FILTER($E829:$E839,($A829:$A839=$A829)*($J829:$J839=K$42)))),0)</f>
        <v>0</v>
      </c>
      <c r="L829" s="1023" cm="1">
        <f t="array" ref="L829">IFERROR(IF($A829=$A828,0,SUM(_xlfn._xlws.FILTER($E829:$E839,($A829:$A839=$A829)*($J829:$J839=L$42)))),0)</f>
        <v>0</v>
      </c>
      <c r="M829" s="1023" cm="1">
        <f t="array" ref="M829">IFERROR(IF($A829=$A828,0,SUM(_xlfn._xlws.FILTER($E829:$E839,($A829:$A839=$A829)*($J829:$J839=M$42)))),0)</f>
        <v>0</v>
      </c>
      <c r="N829" s="1023" cm="1">
        <f t="array" ref="N829">IFERROR(IF($A829=$A828,0,SUM(_xlfn._xlws.FILTER($E829:$E839,($A829:$A839=$A829)*($J829:$J839=N$42)))),0)</f>
        <v>0</v>
      </c>
    </row>
    <row r="830" spans="5:14" x14ac:dyDescent="0.3">
      <c r="E830" s="1022">
        <f ca="1">IFERROR(C830*D830*_xlfn.XLOOKUP(B830,TabCalc[Ticker],TabCalc[Scale]),0)</f>
        <v>0</v>
      </c>
      <c r="F830" s="1023" cm="1">
        <f t="array" ref="F830">IF(A830=A829,0,SUM(_xlfn._xlws.FILTER(E830:E839,A830:A839=A830)))</f>
        <v>0</v>
      </c>
      <c r="G830" s="1024">
        <f>IF(F830&lt;&gt;0,SUM($F$43:F830),0)</f>
        <v>0</v>
      </c>
      <c r="H830" s="1024" cm="1">
        <f t="array" ref="H830">IFERROR(IF(A830=A829,0,SUM(_xlfn._xlws.FILTER(E830:E839,(A830:A839=A830)*(E830:E839&gt;0)))),0)</f>
        <v>0</v>
      </c>
      <c r="I830" s="1024" cm="1">
        <f t="array" ref="I830">IFERROR(IF(A830=A829,0,SUM(_xlfn._xlws.FILTER(E830:E839,(A830:A839=A830)*(F830&lt;0)))),0)</f>
        <v>0</v>
      </c>
      <c r="J830" s="293" t="str">
        <f ca="1">IFERROR(_xlfn.XLOOKUP(B830,TabCalc[Ticker],TabCalc[Cur]),"")</f>
        <v/>
      </c>
      <c r="K830" s="1023" cm="1">
        <f t="array" ref="K830">IFERROR(IF($A830=$A829,0,SUM(_xlfn._xlws.FILTER($E830:$E840,($A830:$A840=$A830)*($J830:$J840=K$42)))),0)</f>
        <v>0</v>
      </c>
      <c r="L830" s="1023" cm="1">
        <f t="array" ref="L830">IFERROR(IF($A830=$A829,0,SUM(_xlfn._xlws.FILTER($E830:$E840,($A830:$A840=$A830)*($J830:$J840=L$42)))),0)</f>
        <v>0</v>
      </c>
      <c r="M830" s="1023" cm="1">
        <f t="array" ref="M830">IFERROR(IF($A830=$A829,0,SUM(_xlfn._xlws.FILTER($E830:$E840,($A830:$A840=$A830)*($J830:$J840=M$42)))),0)</f>
        <v>0</v>
      </c>
      <c r="N830" s="1023" cm="1">
        <f t="array" ref="N830">IFERROR(IF($A830=$A829,0,SUM(_xlfn._xlws.FILTER($E830:$E840,($A830:$A840=$A830)*($J830:$J840=N$42)))),0)</f>
        <v>0</v>
      </c>
    </row>
    <row r="831" spans="5:14" x14ac:dyDescent="0.3">
      <c r="E831" s="1022">
        <f ca="1">IFERROR(C831*D831*_xlfn.XLOOKUP(B831,TabCalc[Ticker],TabCalc[Scale]),0)</f>
        <v>0</v>
      </c>
      <c r="F831" s="1023" cm="1">
        <f t="array" ref="F831">IF(A831=A830,0,SUM(_xlfn._xlws.FILTER(E831:E840,A831:A840=A831)))</f>
        <v>0</v>
      </c>
      <c r="G831" s="1024">
        <f>IF(F831&lt;&gt;0,SUM($F$43:F831),0)</f>
        <v>0</v>
      </c>
      <c r="H831" s="1024" cm="1">
        <f t="array" ref="H831">IFERROR(IF(A831=A830,0,SUM(_xlfn._xlws.FILTER(E831:E840,(A831:A840=A831)*(E831:E840&gt;0)))),0)</f>
        <v>0</v>
      </c>
      <c r="I831" s="1024" cm="1">
        <f t="array" ref="I831">IFERROR(IF(A831=A830,0,SUM(_xlfn._xlws.FILTER(E831:E840,(A831:A840=A831)*(F831&lt;0)))),0)</f>
        <v>0</v>
      </c>
      <c r="J831" s="293" t="str">
        <f ca="1">IFERROR(_xlfn.XLOOKUP(B831,TabCalc[Ticker],TabCalc[Cur]),"")</f>
        <v/>
      </c>
      <c r="K831" s="1023" cm="1">
        <f t="array" ref="K831">IFERROR(IF($A831=$A830,0,SUM(_xlfn._xlws.FILTER($E831:$E841,($A831:$A841=$A831)*($J831:$J841=K$42)))),0)</f>
        <v>0</v>
      </c>
      <c r="L831" s="1023" cm="1">
        <f t="array" ref="L831">IFERROR(IF($A831=$A830,0,SUM(_xlfn._xlws.FILTER($E831:$E841,($A831:$A841=$A831)*($J831:$J841=L$42)))),0)</f>
        <v>0</v>
      </c>
      <c r="M831" s="1023" cm="1">
        <f t="array" ref="M831">IFERROR(IF($A831=$A830,0,SUM(_xlfn._xlws.FILTER($E831:$E841,($A831:$A841=$A831)*($J831:$J841=M$42)))),0)</f>
        <v>0</v>
      </c>
      <c r="N831" s="1023" cm="1">
        <f t="array" ref="N831">IFERROR(IF($A831=$A830,0,SUM(_xlfn._xlws.FILTER($E831:$E841,($A831:$A841=$A831)*($J831:$J841=N$42)))),0)</f>
        <v>0</v>
      </c>
    </row>
    <row r="832" spans="5:14" x14ac:dyDescent="0.3">
      <c r="E832" s="1022">
        <f ca="1">IFERROR(C832*D832*_xlfn.XLOOKUP(B832,TabCalc[Ticker],TabCalc[Scale]),0)</f>
        <v>0</v>
      </c>
      <c r="F832" s="1023" cm="1">
        <f t="array" ref="F832">IF(A832=A831,0,SUM(_xlfn._xlws.FILTER(E832:E841,A832:A841=A832)))</f>
        <v>0</v>
      </c>
      <c r="G832" s="1024">
        <f>IF(F832&lt;&gt;0,SUM($F$43:F832),0)</f>
        <v>0</v>
      </c>
      <c r="H832" s="1024" cm="1">
        <f t="array" ref="H832">IFERROR(IF(A832=A831,0,SUM(_xlfn._xlws.FILTER(E832:E841,(A832:A841=A832)*(E832:E841&gt;0)))),0)</f>
        <v>0</v>
      </c>
      <c r="I832" s="1024" cm="1">
        <f t="array" ref="I832">IFERROR(IF(A832=A831,0,SUM(_xlfn._xlws.FILTER(E832:E841,(A832:A841=A832)*(F832&lt;0)))),0)</f>
        <v>0</v>
      </c>
      <c r="J832" s="293" t="str">
        <f ca="1">IFERROR(_xlfn.XLOOKUP(B832,TabCalc[Ticker],TabCalc[Cur]),"")</f>
        <v/>
      </c>
      <c r="K832" s="1023" cm="1">
        <f t="array" ref="K832">IFERROR(IF($A832=$A831,0,SUM(_xlfn._xlws.FILTER($E832:$E842,($A832:$A842=$A832)*($J832:$J842=K$42)))),0)</f>
        <v>0</v>
      </c>
      <c r="L832" s="1023" cm="1">
        <f t="array" ref="L832">IFERROR(IF($A832=$A831,0,SUM(_xlfn._xlws.FILTER($E832:$E842,($A832:$A842=$A832)*($J832:$J842=L$42)))),0)</f>
        <v>0</v>
      </c>
      <c r="M832" s="1023" cm="1">
        <f t="array" ref="M832">IFERROR(IF($A832=$A831,0,SUM(_xlfn._xlws.FILTER($E832:$E842,($A832:$A842=$A832)*($J832:$J842=M$42)))),0)</f>
        <v>0</v>
      </c>
      <c r="N832" s="1023" cm="1">
        <f t="array" ref="N832">IFERROR(IF($A832=$A831,0,SUM(_xlfn._xlws.FILTER($E832:$E842,($A832:$A842=$A832)*($J832:$J842=N$42)))),0)</f>
        <v>0</v>
      </c>
    </row>
    <row r="833" spans="5:14" x14ac:dyDescent="0.3">
      <c r="E833" s="1022">
        <f ca="1">IFERROR(C833*D833*_xlfn.XLOOKUP(B833,TabCalc[Ticker],TabCalc[Scale]),0)</f>
        <v>0</v>
      </c>
      <c r="F833" s="1023" cm="1">
        <f t="array" ref="F833">IF(A833=A832,0,SUM(_xlfn._xlws.FILTER(E833:E842,A833:A842=A833)))</f>
        <v>0</v>
      </c>
      <c r="G833" s="1024">
        <f>IF(F833&lt;&gt;0,SUM($F$43:F833),0)</f>
        <v>0</v>
      </c>
      <c r="H833" s="1024" cm="1">
        <f t="array" ref="H833">IFERROR(IF(A833=A832,0,SUM(_xlfn._xlws.FILTER(E833:E842,(A833:A842=A833)*(E833:E842&gt;0)))),0)</f>
        <v>0</v>
      </c>
      <c r="I833" s="1024" cm="1">
        <f t="array" ref="I833">IFERROR(IF(A833=A832,0,SUM(_xlfn._xlws.FILTER(E833:E842,(A833:A842=A833)*(F833&lt;0)))),0)</f>
        <v>0</v>
      </c>
      <c r="J833" s="293" t="str">
        <f ca="1">IFERROR(_xlfn.XLOOKUP(B833,TabCalc[Ticker],TabCalc[Cur]),"")</f>
        <v/>
      </c>
      <c r="K833" s="1023" cm="1">
        <f t="array" ref="K833">IFERROR(IF($A833=$A832,0,SUM(_xlfn._xlws.FILTER($E833:$E843,($A833:$A843=$A833)*($J833:$J843=K$42)))),0)</f>
        <v>0</v>
      </c>
      <c r="L833" s="1023" cm="1">
        <f t="array" ref="L833">IFERROR(IF($A833=$A832,0,SUM(_xlfn._xlws.FILTER($E833:$E843,($A833:$A843=$A833)*($J833:$J843=L$42)))),0)</f>
        <v>0</v>
      </c>
      <c r="M833" s="1023" cm="1">
        <f t="array" ref="M833">IFERROR(IF($A833=$A832,0,SUM(_xlfn._xlws.FILTER($E833:$E843,($A833:$A843=$A833)*($J833:$J843=M$42)))),0)</f>
        <v>0</v>
      </c>
      <c r="N833" s="1023" cm="1">
        <f t="array" ref="N833">IFERROR(IF($A833=$A832,0,SUM(_xlfn._xlws.FILTER($E833:$E843,($A833:$A843=$A833)*($J833:$J843=N$42)))),0)</f>
        <v>0</v>
      </c>
    </row>
    <row r="834" spans="5:14" x14ac:dyDescent="0.3">
      <c r="E834" s="1022">
        <f ca="1">IFERROR(C834*D834*_xlfn.XLOOKUP(B834,TabCalc[Ticker],TabCalc[Scale]),0)</f>
        <v>0</v>
      </c>
      <c r="F834" s="1023" cm="1">
        <f t="array" ref="F834">IF(A834=A833,0,SUM(_xlfn._xlws.FILTER(E834:E843,A834:A843=A834)))</f>
        <v>0</v>
      </c>
      <c r="G834" s="1024">
        <f>IF(F834&lt;&gt;0,SUM($F$43:F834),0)</f>
        <v>0</v>
      </c>
      <c r="H834" s="1024" cm="1">
        <f t="array" ref="H834">IFERROR(IF(A834=A833,0,SUM(_xlfn._xlws.FILTER(E834:E843,(A834:A843=A834)*(E834:E843&gt;0)))),0)</f>
        <v>0</v>
      </c>
      <c r="I834" s="1024" cm="1">
        <f t="array" ref="I834">IFERROR(IF(A834=A833,0,SUM(_xlfn._xlws.FILTER(E834:E843,(A834:A843=A834)*(F834&lt;0)))),0)</f>
        <v>0</v>
      </c>
      <c r="J834" s="293" t="str">
        <f ca="1">IFERROR(_xlfn.XLOOKUP(B834,TabCalc[Ticker],TabCalc[Cur]),"")</f>
        <v/>
      </c>
      <c r="K834" s="1023" cm="1">
        <f t="array" ref="K834">IFERROR(IF($A834=$A833,0,SUM(_xlfn._xlws.FILTER($E834:$E844,($A834:$A844=$A834)*($J834:$J844=K$42)))),0)</f>
        <v>0</v>
      </c>
      <c r="L834" s="1023" cm="1">
        <f t="array" ref="L834">IFERROR(IF($A834=$A833,0,SUM(_xlfn._xlws.FILTER($E834:$E844,($A834:$A844=$A834)*($J834:$J844=L$42)))),0)</f>
        <v>0</v>
      </c>
      <c r="M834" s="1023" cm="1">
        <f t="array" ref="M834">IFERROR(IF($A834=$A833,0,SUM(_xlfn._xlws.FILTER($E834:$E844,($A834:$A844=$A834)*($J834:$J844=M$42)))),0)</f>
        <v>0</v>
      </c>
      <c r="N834" s="1023" cm="1">
        <f t="array" ref="N834">IFERROR(IF($A834=$A833,0,SUM(_xlfn._xlws.FILTER($E834:$E844,($A834:$A844=$A834)*($J834:$J844=N$42)))),0)</f>
        <v>0</v>
      </c>
    </row>
    <row r="835" spans="5:14" x14ac:dyDescent="0.3">
      <c r="E835" s="1022">
        <f ca="1">IFERROR(C835*D835*_xlfn.XLOOKUP(B835,TabCalc[Ticker],TabCalc[Scale]),0)</f>
        <v>0</v>
      </c>
      <c r="F835" s="1023" cm="1">
        <f t="array" ref="F835">IF(A835=A834,0,SUM(_xlfn._xlws.FILTER(E835:E844,A835:A844=A835)))</f>
        <v>0</v>
      </c>
      <c r="G835" s="1024">
        <f>IF(F835&lt;&gt;0,SUM($F$43:F835),0)</f>
        <v>0</v>
      </c>
      <c r="H835" s="1024" cm="1">
        <f t="array" ref="H835">IFERROR(IF(A835=A834,0,SUM(_xlfn._xlws.FILTER(E835:E844,(A835:A844=A835)*(E835:E844&gt;0)))),0)</f>
        <v>0</v>
      </c>
      <c r="I835" s="1024" cm="1">
        <f t="array" ref="I835">IFERROR(IF(A835=A834,0,SUM(_xlfn._xlws.FILTER(E835:E844,(A835:A844=A835)*(F835&lt;0)))),0)</f>
        <v>0</v>
      </c>
      <c r="J835" s="293" t="str">
        <f ca="1">IFERROR(_xlfn.XLOOKUP(B835,TabCalc[Ticker],TabCalc[Cur]),"")</f>
        <v/>
      </c>
      <c r="K835" s="1023" cm="1">
        <f t="array" ref="K835">IFERROR(IF($A835=$A834,0,SUM(_xlfn._xlws.FILTER($E835:$E845,($A835:$A845=$A835)*($J835:$J845=K$42)))),0)</f>
        <v>0</v>
      </c>
      <c r="L835" s="1023" cm="1">
        <f t="array" ref="L835">IFERROR(IF($A835=$A834,0,SUM(_xlfn._xlws.FILTER($E835:$E845,($A835:$A845=$A835)*($J835:$J845=L$42)))),0)</f>
        <v>0</v>
      </c>
      <c r="M835" s="1023" cm="1">
        <f t="array" ref="M835">IFERROR(IF($A835=$A834,0,SUM(_xlfn._xlws.FILTER($E835:$E845,($A835:$A845=$A835)*($J835:$J845=M$42)))),0)</f>
        <v>0</v>
      </c>
      <c r="N835" s="1023" cm="1">
        <f t="array" ref="N835">IFERROR(IF($A835=$A834,0,SUM(_xlfn._xlws.FILTER($E835:$E845,($A835:$A845=$A835)*($J835:$J845=N$42)))),0)</f>
        <v>0</v>
      </c>
    </row>
    <row r="836" spans="5:14" x14ac:dyDescent="0.3">
      <c r="E836" s="1022">
        <f ca="1">IFERROR(C836*D836*_xlfn.XLOOKUP(B836,TabCalc[Ticker],TabCalc[Scale]),0)</f>
        <v>0</v>
      </c>
      <c r="F836" s="1023" cm="1">
        <f t="array" ref="F836">IF(A836=A835,0,SUM(_xlfn._xlws.FILTER(E836:E845,A836:A845=A836)))</f>
        <v>0</v>
      </c>
      <c r="G836" s="1024">
        <f>IF(F836&lt;&gt;0,SUM($F$43:F836),0)</f>
        <v>0</v>
      </c>
      <c r="H836" s="1024" cm="1">
        <f t="array" ref="H836">IFERROR(IF(A836=A835,0,SUM(_xlfn._xlws.FILTER(E836:E845,(A836:A845=A836)*(E836:E845&gt;0)))),0)</f>
        <v>0</v>
      </c>
      <c r="I836" s="1024" cm="1">
        <f t="array" ref="I836">IFERROR(IF(A836=A835,0,SUM(_xlfn._xlws.FILTER(E836:E845,(A836:A845=A836)*(F836&lt;0)))),0)</f>
        <v>0</v>
      </c>
      <c r="J836" s="293" t="str">
        <f ca="1">IFERROR(_xlfn.XLOOKUP(B836,TabCalc[Ticker],TabCalc[Cur]),"")</f>
        <v/>
      </c>
      <c r="K836" s="1023" cm="1">
        <f t="array" ref="K836">IFERROR(IF($A836=$A835,0,SUM(_xlfn._xlws.FILTER($E836:$E846,($A836:$A846=$A836)*($J836:$J846=K$42)))),0)</f>
        <v>0</v>
      </c>
      <c r="L836" s="1023" cm="1">
        <f t="array" ref="L836">IFERROR(IF($A836=$A835,0,SUM(_xlfn._xlws.FILTER($E836:$E846,($A836:$A846=$A836)*($J836:$J846=L$42)))),0)</f>
        <v>0</v>
      </c>
      <c r="M836" s="1023" cm="1">
        <f t="array" ref="M836">IFERROR(IF($A836=$A835,0,SUM(_xlfn._xlws.FILTER($E836:$E846,($A836:$A846=$A836)*($J836:$J846=M$42)))),0)</f>
        <v>0</v>
      </c>
      <c r="N836" s="1023" cm="1">
        <f t="array" ref="N836">IFERROR(IF($A836=$A835,0,SUM(_xlfn._xlws.FILTER($E836:$E846,($A836:$A846=$A836)*($J836:$J846=N$42)))),0)</f>
        <v>0</v>
      </c>
    </row>
    <row r="837" spans="5:14" x14ac:dyDescent="0.3">
      <c r="E837" s="1022">
        <f ca="1">IFERROR(C837*D837*_xlfn.XLOOKUP(B837,TabCalc[Ticker],TabCalc[Scale]),0)</f>
        <v>0</v>
      </c>
      <c r="F837" s="1023" cm="1">
        <f t="array" ref="F837">IF(A837=A836,0,SUM(_xlfn._xlws.FILTER(E837:E846,A837:A846=A837)))</f>
        <v>0</v>
      </c>
      <c r="G837" s="1024">
        <f>IF(F837&lt;&gt;0,SUM($F$43:F837),0)</f>
        <v>0</v>
      </c>
      <c r="H837" s="1024" cm="1">
        <f t="array" ref="H837">IFERROR(IF(A837=A836,0,SUM(_xlfn._xlws.FILTER(E837:E846,(A837:A846=A837)*(E837:E846&gt;0)))),0)</f>
        <v>0</v>
      </c>
      <c r="I837" s="1024" cm="1">
        <f t="array" ref="I837">IFERROR(IF(A837=A836,0,SUM(_xlfn._xlws.FILTER(E837:E846,(A837:A846=A837)*(F837&lt;0)))),0)</f>
        <v>0</v>
      </c>
      <c r="J837" s="293" t="str">
        <f ca="1">IFERROR(_xlfn.XLOOKUP(B837,TabCalc[Ticker],TabCalc[Cur]),"")</f>
        <v/>
      </c>
      <c r="K837" s="1023" cm="1">
        <f t="array" ref="K837">IFERROR(IF($A837=$A836,0,SUM(_xlfn._xlws.FILTER($E837:$E847,($A837:$A847=$A837)*($J837:$J847=K$42)))),0)</f>
        <v>0</v>
      </c>
      <c r="L837" s="1023" cm="1">
        <f t="array" ref="L837">IFERROR(IF($A837=$A836,0,SUM(_xlfn._xlws.FILTER($E837:$E847,($A837:$A847=$A837)*($J837:$J847=L$42)))),0)</f>
        <v>0</v>
      </c>
      <c r="M837" s="1023" cm="1">
        <f t="array" ref="M837">IFERROR(IF($A837=$A836,0,SUM(_xlfn._xlws.FILTER($E837:$E847,($A837:$A847=$A837)*($J837:$J847=M$42)))),0)</f>
        <v>0</v>
      </c>
      <c r="N837" s="1023" cm="1">
        <f t="array" ref="N837">IFERROR(IF($A837=$A836,0,SUM(_xlfn._xlws.FILTER($E837:$E847,($A837:$A847=$A837)*($J837:$J847=N$42)))),0)</f>
        <v>0</v>
      </c>
    </row>
    <row r="838" spans="5:14" x14ac:dyDescent="0.3">
      <c r="E838" s="1022">
        <f ca="1">IFERROR(C838*D838*_xlfn.XLOOKUP(B838,TabCalc[Ticker],TabCalc[Scale]),0)</f>
        <v>0</v>
      </c>
      <c r="F838" s="1023" cm="1">
        <f t="array" ref="F838">IF(A838=A837,0,SUM(_xlfn._xlws.FILTER(E838:E847,A838:A847=A838)))</f>
        <v>0</v>
      </c>
      <c r="G838" s="1024">
        <f>IF(F838&lt;&gt;0,SUM($F$43:F838),0)</f>
        <v>0</v>
      </c>
      <c r="H838" s="1024" cm="1">
        <f t="array" ref="H838">IFERROR(IF(A838=A837,0,SUM(_xlfn._xlws.FILTER(E838:E847,(A838:A847=A838)*(E838:E847&gt;0)))),0)</f>
        <v>0</v>
      </c>
      <c r="I838" s="1024" cm="1">
        <f t="array" ref="I838">IFERROR(IF(A838=A837,0,SUM(_xlfn._xlws.FILTER(E838:E847,(A838:A847=A838)*(F838&lt;0)))),0)</f>
        <v>0</v>
      </c>
      <c r="J838" s="293" t="str">
        <f ca="1">IFERROR(_xlfn.XLOOKUP(B838,TabCalc[Ticker],TabCalc[Cur]),"")</f>
        <v/>
      </c>
      <c r="K838" s="1023" cm="1">
        <f t="array" ref="K838">IFERROR(IF($A838=$A837,0,SUM(_xlfn._xlws.FILTER($E838:$E848,($A838:$A848=$A838)*($J838:$J848=K$42)))),0)</f>
        <v>0</v>
      </c>
      <c r="L838" s="1023" cm="1">
        <f t="array" ref="L838">IFERROR(IF($A838=$A837,0,SUM(_xlfn._xlws.FILTER($E838:$E848,($A838:$A848=$A838)*($J838:$J848=L$42)))),0)</f>
        <v>0</v>
      </c>
      <c r="M838" s="1023" cm="1">
        <f t="array" ref="M838">IFERROR(IF($A838=$A837,0,SUM(_xlfn._xlws.FILTER($E838:$E848,($A838:$A848=$A838)*($J838:$J848=M$42)))),0)</f>
        <v>0</v>
      </c>
      <c r="N838" s="1023" cm="1">
        <f t="array" ref="N838">IFERROR(IF($A838=$A837,0,SUM(_xlfn._xlws.FILTER($E838:$E848,($A838:$A848=$A838)*($J838:$J848=N$42)))),0)</f>
        <v>0</v>
      </c>
    </row>
    <row r="839" spans="5:14" x14ac:dyDescent="0.3">
      <c r="E839" s="1022">
        <f ca="1">IFERROR(C839*D839*_xlfn.XLOOKUP(B839,TabCalc[Ticker],TabCalc[Scale]),0)</f>
        <v>0</v>
      </c>
      <c r="F839" s="1023" cm="1">
        <f t="array" ref="F839">IF(A839=A838,0,SUM(_xlfn._xlws.FILTER(E839:E848,A839:A848=A839)))</f>
        <v>0</v>
      </c>
      <c r="G839" s="1024">
        <f>IF(F839&lt;&gt;0,SUM($F$43:F839),0)</f>
        <v>0</v>
      </c>
      <c r="H839" s="1024" cm="1">
        <f t="array" ref="H839">IFERROR(IF(A839=A838,0,SUM(_xlfn._xlws.FILTER(E839:E848,(A839:A848=A839)*(E839:E848&gt;0)))),0)</f>
        <v>0</v>
      </c>
      <c r="I839" s="1024" cm="1">
        <f t="array" ref="I839">IFERROR(IF(A839=A838,0,SUM(_xlfn._xlws.FILTER(E839:E848,(A839:A848=A839)*(F839&lt;0)))),0)</f>
        <v>0</v>
      </c>
      <c r="J839" s="293" t="str">
        <f ca="1">IFERROR(_xlfn.XLOOKUP(B839,TabCalc[Ticker],TabCalc[Cur]),"")</f>
        <v/>
      </c>
      <c r="K839" s="1023" cm="1">
        <f t="array" ref="K839">IFERROR(IF($A839=$A838,0,SUM(_xlfn._xlws.FILTER($E839:$E849,($A839:$A849=$A839)*($J839:$J849=K$42)))),0)</f>
        <v>0</v>
      </c>
      <c r="L839" s="1023" cm="1">
        <f t="array" ref="L839">IFERROR(IF($A839=$A838,0,SUM(_xlfn._xlws.FILTER($E839:$E849,($A839:$A849=$A839)*($J839:$J849=L$42)))),0)</f>
        <v>0</v>
      </c>
      <c r="M839" s="1023" cm="1">
        <f t="array" ref="M839">IFERROR(IF($A839=$A838,0,SUM(_xlfn._xlws.FILTER($E839:$E849,($A839:$A849=$A839)*($J839:$J849=M$42)))),0)</f>
        <v>0</v>
      </c>
      <c r="N839" s="1023" cm="1">
        <f t="array" ref="N839">IFERROR(IF($A839=$A838,0,SUM(_xlfn._xlws.FILTER($E839:$E849,($A839:$A849=$A839)*($J839:$J849=N$42)))),0)</f>
        <v>0</v>
      </c>
    </row>
    <row r="840" spans="5:14" x14ac:dyDescent="0.3">
      <c r="E840" s="1022">
        <f ca="1">IFERROR(C840*D840*_xlfn.XLOOKUP(B840,TabCalc[Ticker],TabCalc[Scale]),0)</f>
        <v>0</v>
      </c>
      <c r="F840" s="1023" cm="1">
        <f t="array" ref="F840">IF(A840=A839,0,SUM(_xlfn._xlws.FILTER(E840:E849,A840:A849=A840)))</f>
        <v>0</v>
      </c>
      <c r="G840" s="1024">
        <f>IF(F840&lt;&gt;0,SUM($F$43:F840),0)</f>
        <v>0</v>
      </c>
      <c r="H840" s="1024" cm="1">
        <f t="array" ref="H840">IFERROR(IF(A840=A839,0,SUM(_xlfn._xlws.FILTER(E840:E849,(A840:A849=A840)*(E840:E849&gt;0)))),0)</f>
        <v>0</v>
      </c>
      <c r="I840" s="1024" cm="1">
        <f t="array" ref="I840">IFERROR(IF(A840=A839,0,SUM(_xlfn._xlws.FILTER(E840:E849,(A840:A849=A840)*(F840&lt;0)))),0)</f>
        <v>0</v>
      </c>
      <c r="J840" s="293" t="str">
        <f ca="1">IFERROR(_xlfn.XLOOKUP(B840,TabCalc[Ticker],TabCalc[Cur]),"")</f>
        <v/>
      </c>
      <c r="K840" s="1023" cm="1">
        <f t="array" ref="K840">IFERROR(IF($A840=$A839,0,SUM(_xlfn._xlws.FILTER($E840:$E850,($A840:$A850=$A840)*($J840:$J850=K$42)))),0)</f>
        <v>0</v>
      </c>
      <c r="L840" s="1023" cm="1">
        <f t="array" ref="L840">IFERROR(IF($A840=$A839,0,SUM(_xlfn._xlws.FILTER($E840:$E850,($A840:$A850=$A840)*($J840:$J850=L$42)))),0)</f>
        <v>0</v>
      </c>
      <c r="M840" s="1023" cm="1">
        <f t="array" ref="M840">IFERROR(IF($A840=$A839,0,SUM(_xlfn._xlws.FILTER($E840:$E850,($A840:$A850=$A840)*($J840:$J850=M$42)))),0)</f>
        <v>0</v>
      </c>
      <c r="N840" s="1023" cm="1">
        <f t="array" ref="N840">IFERROR(IF($A840=$A839,0,SUM(_xlfn._xlws.FILTER($E840:$E850,($A840:$A850=$A840)*($J840:$J850=N$42)))),0)</f>
        <v>0</v>
      </c>
    </row>
    <row r="841" spans="5:14" x14ac:dyDescent="0.3">
      <c r="E841" s="1022">
        <f ca="1">IFERROR(C841*D841*_xlfn.XLOOKUP(B841,TabCalc[Ticker],TabCalc[Scale]),0)</f>
        <v>0</v>
      </c>
      <c r="F841" s="1023" cm="1">
        <f t="array" ref="F841">IF(A841=A840,0,SUM(_xlfn._xlws.FILTER(E841:E850,A841:A850=A841)))</f>
        <v>0</v>
      </c>
      <c r="G841" s="1024">
        <f>IF(F841&lt;&gt;0,SUM($F$43:F841),0)</f>
        <v>0</v>
      </c>
      <c r="H841" s="1024" cm="1">
        <f t="array" ref="H841">IFERROR(IF(A841=A840,0,SUM(_xlfn._xlws.FILTER(E841:E850,(A841:A850=A841)*(E841:E850&gt;0)))),0)</f>
        <v>0</v>
      </c>
      <c r="I841" s="1024" cm="1">
        <f t="array" ref="I841">IFERROR(IF(A841=A840,0,SUM(_xlfn._xlws.FILTER(E841:E850,(A841:A850=A841)*(F841&lt;0)))),0)</f>
        <v>0</v>
      </c>
      <c r="J841" s="293" t="str">
        <f ca="1">IFERROR(_xlfn.XLOOKUP(B841,TabCalc[Ticker],TabCalc[Cur]),"")</f>
        <v/>
      </c>
      <c r="K841" s="1023" cm="1">
        <f t="array" ref="K841">IFERROR(IF($A841=$A840,0,SUM(_xlfn._xlws.FILTER($E841:$E851,($A841:$A851=$A841)*($J841:$J851=K$42)))),0)</f>
        <v>0</v>
      </c>
      <c r="L841" s="1023" cm="1">
        <f t="array" ref="L841">IFERROR(IF($A841=$A840,0,SUM(_xlfn._xlws.FILTER($E841:$E851,($A841:$A851=$A841)*($J841:$J851=L$42)))),0)</f>
        <v>0</v>
      </c>
      <c r="M841" s="1023" cm="1">
        <f t="array" ref="M841">IFERROR(IF($A841=$A840,0,SUM(_xlfn._xlws.FILTER($E841:$E851,($A841:$A851=$A841)*($J841:$J851=M$42)))),0)</f>
        <v>0</v>
      </c>
      <c r="N841" s="1023" cm="1">
        <f t="array" ref="N841">IFERROR(IF($A841=$A840,0,SUM(_xlfn._xlws.FILTER($E841:$E851,($A841:$A851=$A841)*($J841:$J851=N$42)))),0)</f>
        <v>0</v>
      </c>
    </row>
    <row r="842" spans="5:14" x14ac:dyDescent="0.3">
      <c r="E842" s="1022">
        <f ca="1">IFERROR(C842*D842*_xlfn.XLOOKUP(B842,TabCalc[Ticker],TabCalc[Scale]),0)</f>
        <v>0</v>
      </c>
      <c r="F842" s="1023" cm="1">
        <f t="array" ref="F842">IF(A842=A841,0,SUM(_xlfn._xlws.FILTER(E842:E851,A842:A851=A842)))</f>
        <v>0</v>
      </c>
      <c r="G842" s="1024">
        <f>IF(F842&lt;&gt;0,SUM($F$43:F842),0)</f>
        <v>0</v>
      </c>
      <c r="H842" s="1024" cm="1">
        <f t="array" ref="H842">IFERROR(IF(A842=A841,0,SUM(_xlfn._xlws.FILTER(E842:E851,(A842:A851=A842)*(E842:E851&gt;0)))),0)</f>
        <v>0</v>
      </c>
      <c r="I842" s="1024" cm="1">
        <f t="array" ref="I842">IFERROR(IF(A842=A841,0,SUM(_xlfn._xlws.FILTER(E842:E851,(A842:A851=A842)*(F842&lt;0)))),0)</f>
        <v>0</v>
      </c>
      <c r="J842" s="293" t="str">
        <f ca="1">IFERROR(_xlfn.XLOOKUP(B842,TabCalc[Ticker],TabCalc[Cur]),"")</f>
        <v/>
      </c>
      <c r="K842" s="1023" cm="1">
        <f t="array" ref="K842">IFERROR(IF($A842=$A841,0,SUM(_xlfn._xlws.FILTER($E842:$E852,($A842:$A852=$A842)*($J842:$J852=K$42)))),0)</f>
        <v>0</v>
      </c>
      <c r="L842" s="1023" cm="1">
        <f t="array" ref="L842">IFERROR(IF($A842=$A841,0,SUM(_xlfn._xlws.FILTER($E842:$E852,($A842:$A852=$A842)*($J842:$J852=L$42)))),0)</f>
        <v>0</v>
      </c>
      <c r="M842" s="1023" cm="1">
        <f t="array" ref="M842">IFERROR(IF($A842=$A841,0,SUM(_xlfn._xlws.FILTER($E842:$E852,($A842:$A852=$A842)*($J842:$J852=M$42)))),0)</f>
        <v>0</v>
      </c>
      <c r="N842" s="1023" cm="1">
        <f t="array" ref="N842">IFERROR(IF($A842=$A841,0,SUM(_xlfn._xlws.FILTER($E842:$E852,($A842:$A852=$A842)*($J842:$J852=N$42)))),0)</f>
        <v>0</v>
      </c>
    </row>
    <row r="843" spans="5:14" x14ac:dyDescent="0.3">
      <c r="E843" s="1022">
        <f ca="1">IFERROR(C843*D843*_xlfn.XLOOKUP(B843,TabCalc[Ticker],TabCalc[Scale]),0)</f>
        <v>0</v>
      </c>
      <c r="F843" s="1023" cm="1">
        <f t="array" ref="F843">IF(A843=A842,0,SUM(_xlfn._xlws.FILTER(E843:E852,A843:A852=A843)))</f>
        <v>0</v>
      </c>
      <c r="G843" s="1024">
        <f>IF(F843&lt;&gt;0,SUM($F$43:F843),0)</f>
        <v>0</v>
      </c>
      <c r="H843" s="1024" cm="1">
        <f t="array" ref="H843">IFERROR(IF(A843=A842,0,SUM(_xlfn._xlws.FILTER(E843:E852,(A843:A852=A843)*(E843:E852&gt;0)))),0)</f>
        <v>0</v>
      </c>
      <c r="I843" s="1024" cm="1">
        <f t="array" ref="I843">IFERROR(IF(A843=A842,0,SUM(_xlfn._xlws.FILTER(E843:E852,(A843:A852=A843)*(F843&lt;0)))),0)</f>
        <v>0</v>
      </c>
      <c r="J843" s="293" t="str">
        <f ca="1">IFERROR(_xlfn.XLOOKUP(B843,TabCalc[Ticker],TabCalc[Cur]),"")</f>
        <v/>
      </c>
      <c r="K843" s="1023" cm="1">
        <f t="array" ref="K843">IFERROR(IF($A843=$A842,0,SUM(_xlfn._xlws.FILTER($E843:$E853,($A843:$A853=$A843)*($J843:$J853=K$42)))),0)</f>
        <v>0</v>
      </c>
      <c r="L843" s="1023" cm="1">
        <f t="array" ref="L843">IFERROR(IF($A843=$A842,0,SUM(_xlfn._xlws.FILTER($E843:$E853,($A843:$A853=$A843)*($J843:$J853=L$42)))),0)</f>
        <v>0</v>
      </c>
      <c r="M843" s="1023" cm="1">
        <f t="array" ref="M843">IFERROR(IF($A843=$A842,0,SUM(_xlfn._xlws.FILTER($E843:$E853,($A843:$A853=$A843)*($J843:$J853=M$42)))),0)</f>
        <v>0</v>
      </c>
      <c r="N843" s="1023" cm="1">
        <f t="array" ref="N843">IFERROR(IF($A843=$A842,0,SUM(_xlfn._xlws.FILTER($E843:$E853,($A843:$A853=$A843)*($J843:$J853=N$42)))),0)</f>
        <v>0</v>
      </c>
    </row>
    <row r="844" spans="5:14" x14ac:dyDescent="0.3">
      <c r="E844" s="1022">
        <f ca="1">IFERROR(C844*D844*_xlfn.XLOOKUP(B844,TabCalc[Ticker],TabCalc[Scale]),0)</f>
        <v>0</v>
      </c>
      <c r="F844" s="1023" cm="1">
        <f t="array" ref="F844">IF(A844=A843,0,SUM(_xlfn._xlws.FILTER(E844:E853,A844:A853=A844)))</f>
        <v>0</v>
      </c>
      <c r="G844" s="1024">
        <f>IF(F844&lt;&gt;0,SUM($F$43:F844),0)</f>
        <v>0</v>
      </c>
      <c r="H844" s="1024" cm="1">
        <f t="array" ref="H844">IFERROR(IF(A844=A843,0,SUM(_xlfn._xlws.FILTER(E844:E853,(A844:A853=A844)*(E844:E853&gt;0)))),0)</f>
        <v>0</v>
      </c>
      <c r="I844" s="1024" cm="1">
        <f t="array" ref="I844">IFERROR(IF(A844=A843,0,SUM(_xlfn._xlws.FILTER(E844:E853,(A844:A853=A844)*(F844&lt;0)))),0)</f>
        <v>0</v>
      </c>
      <c r="J844" s="293" t="str">
        <f ca="1">IFERROR(_xlfn.XLOOKUP(B844,TabCalc[Ticker],TabCalc[Cur]),"")</f>
        <v/>
      </c>
      <c r="K844" s="1023" cm="1">
        <f t="array" ref="K844">IFERROR(IF($A844=$A843,0,SUM(_xlfn._xlws.FILTER($E844:$E854,($A844:$A854=$A844)*($J844:$J854=K$42)))),0)</f>
        <v>0</v>
      </c>
      <c r="L844" s="1023" cm="1">
        <f t="array" ref="L844">IFERROR(IF($A844=$A843,0,SUM(_xlfn._xlws.FILTER($E844:$E854,($A844:$A854=$A844)*($J844:$J854=L$42)))),0)</f>
        <v>0</v>
      </c>
      <c r="M844" s="1023" cm="1">
        <f t="array" ref="M844">IFERROR(IF($A844=$A843,0,SUM(_xlfn._xlws.FILTER($E844:$E854,($A844:$A854=$A844)*($J844:$J854=M$42)))),0)</f>
        <v>0</v>
      </c>
      <c r="N844" s="1023" cm="1">
        <f t="array" ref="N844">IFERROR(IF($A844=$A843,0,SUM(_xlfn._xlws.FILTER($E844:$E854,($A844:$A854=$A844)*($J844:$J854=N$42)))),0)</f>
        <v>0</v>
      </c>
    </row>
    <row r="845" spans="5:14" x14ac:dyDescent="0.3">
      <c r="E845" s="1022">
        <f ca="1">IFERROR(C845*D845*_xlfn.XLOOKUP(B845,TabCalc[Ticker],TabCalc[Scale]),0)</f>
        <v>0</v>
      </c>
      <c r="F845" s="1023" cm="1">
        <f t="array" ref="F845">IF(A845=A844,0,SUM(_xlfn._xlws.FILTER(E845:E854,A845:A854=A845)))</f>
        <v>0</v>
      </c>
      <c r="G845" s="1024">
        <f>IF(F845&lt;&gt;0,SUM($F$43:F845),0)</f>
        <v>0</v>
      </c>
      <c r="H845" s="1024" cm="1">
        <f t="array" ref="H845">IFERROR(IF(A845=A844,0,SUM(_xlfn._xlws.FILTER(E845:E854,(A845:A854=A845)*(E845:E854&gt;0)))),0)</f>
        <v>0</v>
      </c>
      <c r="I845" s="1024" cm="1">
        <f t="array" ref="I845">IFERROR(IF(A845=A844,0,SUM(_xlfn._xlws.FILTER(E845:E854,(A845:A854=A845)*(F845&lt;0)))),0)</f>
        <v>0</v>
      </c>
      <c r="J845" s="293" t="str">
        <f ca="1">IFERROR(_xlfn.XLOOKUP(B845,TabCalc[Ticker],TabCalc[Cur]),"")</f>
        <v/>
      </c>
      <c r="K845" s="1023" cm="1">
        <f t="array" ref="K845">IFERROR(IF($A845=$A844,0,SUM(_xlfn._xlws.FILTER($E845:$E855,($A845:$A855=$A845)*($J845:$J855=K$42)))),0)</f>
        <v>0</v>
      </c>
      <c r="L845" s="1023" cm="1">
        <f t="array" ref="L845">IFERROR(IF($A845=$A844,0,SUM(_xlfn._xlws.FILTER($E845:$E855,($A845:$A855=$A845)*($J845:$J855=L$42)))),0)</f>
        <v>0</v>
      </c>
      <c r="M845" s="1023" cm="1">
        <f t="array" ref="M845">IFERROR(IF($A845=$A844,0,SUM(_xlfn._xlws.FILTER($E845:$E855,($A845:$A855=$A845)*($J845:$J855=M$42)))),0)</f>
        <v>0</v>
      </c>
      <c r="N845" s="1023" cm="1">
        <f t="array" ref="N845">IFERROR(IF($A845=$A844,0,SUM(_xlfn._xlws.FILTER($E845:$E855,($A845:$A855=$A845)*($J845:$J855=N$42)))),0)</f>
        <v>0</v>
      </c>
    </row>
    <row r="846" spans="5:14" x14ac:dyDescent="0.3">
      <c r="E846" s="1022">
        <f ca="1">IFERROR(C846*D846*_xlfn.XLOOKUP(B846,TabCalc[Ticker],TabCalc[Scale]),0)</f>
        <v>0</v>
      </c>
      <c r="F846" s="1023" cm="1">
        <f t="array" ref="F846">IF(A846=A845,0,SUM(_xlfn._xlws.FILTER(E846:E855,A846:A855=A846)))</f>
        <v>0</v>
      </c>
      <c r="G846" s="1024">
        <f>IF(F846&lt;&gt;0,SUM($F$43:F846),0)</f>
        <v>0</v>
      </c>
      <c r="H846" s="1024" cm="1">
        <f t="array" ref="H846">IFERROR(IF(A846=A845,0,SUM(_xlfn._xlws.FILTER(E846:E855,(A846:A855=A846)*(E846:E855&gt;0)))),0)</f>
        <v>0</v>
      </c>
      <c r="I846" s="1024" cm="1">
        <f t="array" ref="I846">IFERROR(IF(A846=A845,0,SUM(_xlfn._xlws.FILTER(E846:E855,(A846:A855=A846)*(F846&lt;0)))),0)</f>
        <v>0</v>
      </c>
      <c r="J846" s="293" t="str">
        <f ca="1">IFERROR(_xlfn.XLOOKUP(B846,TabCalc[Ticker],TabCalc[Cur]),"")</f>
        <v/>
      </c>
      <c r="K846" s="1023" cm="1">
        <f t="array" ref="K846">IFERROR(IF($A846=$A845,0,SUM(_xlfn._xlws.FILTER($E846:$E856,($A846:$A856=$A846)*($J846:$J856=K$42)))),0)</f>
        <v>0</v>
      </c>
      <c r="L846" s="1023" cm="1">
        <f t="array" ref="L846">IFERROR(IF($A846=$A845,0,SUM(_xlfn._xlws.FILTER($E846:$E856,($A846:$A856=$A846)*($J846:$J856=L$42)))),0)</f>
        <v>0</v>
      </c>
      <c r="M846" s="1023" cm="1">
        <f t="array" ref="M846">IFERROR(IF($A846=$A845,0,SUM(_xlfn._xlws.FILTER($E846:$E856,($A846:$A856=$A846)*($J846:$J856=M$42)))),0)</f>
        <v>0</v>
      </c>
      <c r="N846" s="1023" cm="1">
        <f t="array" ref="N846">IFERROR(IF($A846=$A845,0,SUM(_xlfn._xlws.FILTER($E846:$E856,($A846:$A856=$A846)*($J846:$J856=N$42)))),0)</f>
        <v>0</v>
      </c>
    </row>
    <row r="847" spans="5:14" x14ac:dyDescent="0.3">
      <c r="E847" s="1022">
        <f ca="1">IFERROR(C847*D847*_xlfn.XLOOKUP(B847,TabCalc[Ticker],TabCalc[Scale]),0)</f>
        <v>0</v>
      </c>
      <c r="F847" s="1023" cm="1">
        <f t="array" ref="F847">IF(A847=A846,0,SUM(_xlfn._xlws.FILTER(E847:E856,A847:A856=A847)))</f>
        <v>0</v>
      </c>
      <c r="G847" s="1024">
        <f>IF(F847&lt;&gt;0,SUM($F$43:F847),0)</f>
        <v>0</v>
      </c>
      <c r="H847" s="1024" cm="1">
        <f t="array" ref="H847">IFERROR(IF(A847=A846,0,SUM(_xlfn._xlws.FILTER(E847:E856,(A847:A856=A847)*(E847:E856&gt;0)))),0)</f>
        <v>0</v>
      </c>
      <c r="I847" s="1024" cm="1">
        <f t="array" ref="I847">IFERROR(IF(A847=A846,0,SUM(_xlfn._xlws.FILTER(E847:E856,(A847:A856=A847)*(F847&lt;0)))),0)</f>
        <v>0</v>
      </c>
      <c r="J847" s="293" t="str">
        <f ca="1">IFERROR(_xlfn.XLOOKUP(B847,TabCalc[Ticker],TabCalc[Cur]),"")</f>
        <v/>
      </c>
      <c r="K847" s="1023" cm="1">
        <f t="array" ref="K847">IFERROR(IF($A847=$A846,0,SUM(_xlfn._xlws.FILTER($E847:$E857,($A847:$A857=$A847)*($J847:$J857=K$42)))),0)</f>
        <v>0</v>
      </c>
      <c r="L847" s="1023" cm="1">
        <f t="array" ref="L847">IFERROR(IF($A847=$A846,0,SUM(_xlfn._xlws.FILTER($E847:$E857,($A847:$A857=$A847)*($J847:$J857=L$42)))),0)</f>
        <v>0</v>
      </c>
      <c r="M847" s="1023" cm="1">
        <f t="array" ref="M847">IFERROR(IF($A847=$A846,0,SUM(_xlfn._xlws.FILTER($E847:$E857,($A847:$A857=$A847)*($J847:$J857=M$42)))),0)</f>
        <v>0</v>
      </c>
      <c r="N847" s="1023" cm="1">
        <f t="array" ref="N847">IFERROR(IF($A847=$A846,0,SUM(_xlfn._xlws.FILTER($E847:$E857,($A847:$A857=$A847)*($J847:$J857=N$42)))),0)</f>
        <v>0</v>
      </c>
    </row>
    <row r="848" spans="5:14" x14ac:dyDescent="0.3">
      <c r="E848" s="1022">
        <f ca="1">IFERROR(C848*D848*_xlfn.XLOOKUP(B848,TabCalc[Ticker],TabCalc[Scale]),0)</f>
        <v>0</v>
      </c>
      <c r="F848" s="1023" cm="1">
        <f t="array" ref="F848">IF(A848=A847,0,SUM(_xlfn._xlws.FILTER(E848:E857,A848:A857=A848)))</f>
        <v>0</v>
      </c>
      <c r="G848" s="1024">
        <f>IF(F848&lt;&gt;0,SUM($F$43:F848),0)</f>
        <v>0</v>
      </c>
      <c r="H848" s="1024" cm="1">
        <f t="array" ref="H848">IFERROR(IF(A848=A847,0,SUM(_xlfn._xlws.FILTER(E848:E857,(A848:A857=A848)*(E848:E857&gt;0)))),0)</f>
        <v>0</v>
      </c>
      <c r="I848" s="1024" cm="1">
        <f t="array" ref="I848">IFERROR(IF(A848=A847,0,SUM(_xlfn._xlws.FILTER(E848:E857,(A848:A857=A848)*(F848&lt;0)))),0)</f>
        <v>0</v>
      </c>
      <c r="J848" s="293" t="str">
        <f ca="1">IFERROR(_xlfn.XLOOKUP(B848,TabCalc[Ticker],TabCalc[Cur]),"")</f>
        <v/>
      </c>
      <c r="K848" s="1023" cm="1">
        <f t="array" ref="K848">IFERROR(IF($A848=$A847,0,SUM(_xlfn._xlws.FILTER($E848:$E858,($A848:$A858=$A848)*($J848:$J858=K$42)))),0)</f>
        <v>0</v>
      </c>
      <c r="L848" s="1023" cm="1">
        <f t="array" ref="L848">IFERROR(IF($A848=$A847,0,SUM(_xlfn._xlws.FILTER($E848:$E858,($A848:$A858=$A848)*($J848:$J858=L$42)))),0)</f>
        <v>0</v>
      </c>
      <c r="M848" s="1023" cm="1">
        <f t="array" ref="M848">IFERROR(IF($A848=$A847,0,SUM(_xlfn._xlws.FILTER($E848:$E858,($A848:$A858=$A848)*($J848:$J858=M$42)))),0)</f>
        <v>0</v>
      </c>
      <c r="N848" s="1023" cm="1">
        <f t="array" ref="N848">IFERROR(IF($A848=$A847,0,SUM(_xlfn._xlws.FILTER($E848:$E858,($A848:$A858=$A848)*($J848:$J858=N$42)))),0)</f>
        <v>0</v>
      </c>
    </row>
    <row r="849" spans="5:14" x14ac:dyDescent="0.3">
      <c r="E849" s="1022">
        <f ca="1">IFERROR(C849*D849*_xlfn.XLOOKUP(B849,TabCalc[Ticker],TabCalc[Scale]),0)</f>
        <v>0</v>
      </c>
      <c r="F849" s="1023" cm="1">
        <f t="array" ref="F849">IF(A849=A848,0,SUM(_xlfn._xlws.FILTER(E849:E858,A849:A858=A849)))</f>
        <v>0</v>
      </c>
      <c r="G849" s="1024">
        <f>IF(F849&lt;&gt;0,SUM($F$43:F849),0)</f>
        <v>0</v>
      </c>
      <c r="H849" s="1024" cm="1">
        <f t="array" ref="H849">IFERROR(IF(A849=A848,0,SUM(_xlfn._xlws.FILTER(E849:E858,(A849:A858=A849)*(E849:E858&gt;0)))),0)</f>
        <v>0</v>
      </c>
      <c r="I849" s="1024" cm="1">
        <f t="array" ref="I849">IFERROR(IF(A849=A848,0,SUM(_xlfn._xlws.FILTER(E849:E858,(A849:A858=A849)*(F849&lt;0)))),0)</f>
        <v>0</v>
      </c>
      <c r="J849" s="293" t="str">
        <f ca="1">IFERROR(_xlfn.XLOOKUP(B849,TabCalc[Ticker],TabCalc[Cur]),"")</f>
        <v/>
      </c>
      <c r="K849" s="1023" cm="1">
        <f t="array" ref="K849">IFERROR(IF($A849=$A848,0,SUM(_xlfn._xlws.FILTER($E849:$E859,($A849:$A859=$A849)*($J849:$J859=K$42)))),0)</f>
        <v>0</v>
      </c>
      <c r="L849" s="1023" cm="1">
        <f t="array" ref="L849">IFERROR(IF($A849=$A848,0,SUM(_xlfn._xlws.FILTER($E849:$E859,($A849:$A859=$A849)*($J849:$J859=L$42)))),0)</f>
        <v>0</v>
      </c>
      <c r="M849" s="1023" cm="1">
        <f t="array" ref="M849">IFERROR(IF($A849=$A848,0,SUM(_xlfn._xlws.FILTER($E849:$E859,($A849:$A859=$A849)*($J849:$J859=M$42)))),0)</f>
        <v>0</v>
      </c>
      <c r="N849" s="1023" cm="1">
        <f t="array" ref="N849">IFERROR(IF($A849=$A848,0,SUM(_xlfn._xlws.FILTER($E849:$E859,($A849:$A859=$A849)*($J849:$J859=N$42)))),0)</f>
        <v>0</v>
      </c>
    </row>
    <row r="850" spans="5:14" x14ac:dyDescent="0.3">
      <c r="E850" s="1022">
        <f ca="1">IFERROR(C850*D850*_xlfn.XLOOKUP(B850,TabCalc[Ticker],TabCalc[Scale]),0)</f>
        <v>0</v>
      </c>
      <c r="F850" s="1023" cm="1">
        <f t="array" ref="F850">IF(A850=A849,0,SUM(_xlfn._xlws.FILTER(E850:E859,A850:A859=A850)))</f>
        <v>0</v>
      </c>
      <c r="G850" s="1024">
        <f>IF(F850&lt;&gt;0,SUM($F$43:F850),0)</f>
        <v>0</v>
      </c>
      <c r="H850" s="1024" cm="1">
        <f t="array" ref="H850">IFERROR(IF(A850=A849,0,SUM(_xlfn._xlws.FILTER(E850:E859,(A850:A859=A850)*(E850:E859&gt;0)))),0)</f>
        <v>0</v>
      </c>
      <c r="I850" s="1024" cm="1">
        <f t="array" ref="I850">IFERROR(IF(A850=A849,0,SUM(_xlfn._xlws.FILTER(E850:E859,(A850:A859=A850)*(F850&lt;0)))),0)</f>
        <v>0</v>
      </c>
      <c r="J850" s="293" t="str">
        <f ca="1">IFERROR(_xlfn.XLOOKUP(B850,TabCalc[Ticker],TabCalc[Cur]),"")</f>
        <v/>
      </c>
      <c r="K850" s="1023" cm="1">
        <f t="array" ref="K850">IFERROR(IF($A850=$A849,0,SUM(_xlfn._xlws.FILTER($E850:$E860,($A850:$A860=$A850)*($J850:$J860=K$42)))),0)</f>
        <v>0</v>
      </c>
      <c r="L850" s="1023" cm="1">
        <f t="array" ref="L850">IFERROR(IF($A850=$A849,0,SUM(_xlfn._xlws.FILTER($E850:$E860,($A850:$A860=$A850)*($J850:$J860=L$42)))),0)</f>
        <v>0</v>
      </c>
      <c r="M850" s="1023" cm="1">
        <f t="array" ref="M850">IFERROR(IF($A850=$A849,0,SUM(_xlfn._xlws.FILTER($E850:$E860,($A850:$A860=$A850)*($J850:$J860=M$42)))),0)</f>
        <v>0</v>
      </c>
      <c r="N850" s="1023" cm="1">
        <f t="array" ref="N850">IFERROR(IF($A850=$A849,0,SUM(_xlfn._xlws.FILTER($E850:$E860,($A850:$A860=$A850)*($J850:$J860=N$42)))),0)</f>
        <v>0</v>
      </c>
    </row>
    <row r="851" spans="5:14" x14ac:dyDescent="0.3">
      <c r="E851" s="1022">
        <f ca="1">IFERROR(C851*D851*_xlfn.XLOOKUP(B851,TabCalc[Ticker],TabCalc[Scale]),0)</f>
        <v>0</v>
      </c>
      <c r="F851" s="1023" cm="1">
        <f t="array" ref="F851">IF(A851=A850,0,SUM(_xlfn._xlws.FILTER(E851:E860,A851:A860=A851)))</f>
        <v>0</v>
      </c>
      <c r="G851" s="1024">
        <f>IF(F851&lt;&gt;0,SUM($F$43:F851),0)</f>
        <v>0</v>
      </c>
      <c r="H851" s="1024" cm="1">
        <f t="array" ref="H851">IFERROR(IF(A851=A850,0,SUM(_xlfn._xlws.FILTER(E851:E860,(A851:A860=A851)*(E851:E860&gt;0)))),0)</f>
        <v>0</v>
      </c>
      <c r="I851" s="1024" cm="1">
        <f t="array" ref="I851">IFERROR(IF(A851=A850,0,SUM(_xlfn._xlws.FILTER(E851:E860,(A851:A860=A851)*(F851&lt;0)))),0)</f>
        <v>0</v>
      </c>
      <c r="J851" s="293" t="str">
        <f ca="1">IFERROR(_xlfn.XLOOKUP(B851,TabCalc[Ticker],TabCalc[Cur]),"")</f>
        <v/>
      </c>
      <c r="K851" s="1023" cm="1">
        <f t="array" ref="K851">IFERROR(IF($A851=$A850,0,SUM(_xlfn._xlws.FILTER($E851:$E861,($A851:$A861=$A851)*($J851:$J861=K$42)))),0)</f>
        <v>0</v>
      </c>
      <c r="L851" s="1023" cm="1">
        <f t="array" ref="L851">IFERROR(IF($A851=$A850,0,SUM(_xlfn._xlws.FILTER($E851:$E861,($A851:$A861=$A851)*($J851:$J861=L$42)))),0)</f>
        <v>0</v>
      </c>
      <c r="M851" s="1023" cm="1">
        <f t="array" ref="M851">IFERROR(IF($A851=$A850,0,SUM(_xlfn._xlws.FILTER($E851:$E861,($A851:$A861=$A851)*($J851:$J861=M$42)))),0)</f>
        <v>0</v>
      </c>
      <c r="N851" s="1023" cm="1">
        <f t="array" ref="N851">IFERROR(IF($A851=$A850,0,SUM(_xlfn._xlws.FILTER($E851:$E861,($A851:$A861=$A851)*($J851:$J861=N$42)))),0)</f>
        <v>0</v>
      </c>
    </row>
    <row r="852" spans="5:14" x14ac:dyDescent="0.3">
      <c r="E852" s="1022">
        <f ca="1">IFERROR(C852*D852*_xlfn.XLOOKUP(B852,TabCalc[Ticker],TabCalc[Scale]),0)</f>
        <v>0</v>
      </c>
      <c r="F852" s="1023" cm="1">
        <f t="array" ref="F852">IF(A852=A851,0,SUM(_xlfn._xlws.FILTER(E852:E861,A852:A861=A852)))</f>
        <v>0</v>
      </c>
      <c r="G852" s="1024">
        <f>IF(F852&lt;&gt;0,SUM($F$43:F852),0)</f>
        <v>0</v>
      </c>
      <c r="H852" s="1024" cm="1">
        <f t="array" ref="H852">IFERROR(IF(A852=A851,0,SUM(_xlfn._xlws.FILTER(E852:E861,(A852:A861=A852)*(E852:E861&gt;0)))),0)</f>
        <v>0</v>
      </c>
      <c r="I852" s="1024" cm="1">
        <f t="array" ref="I852">IFERROR(IF(A852=A851,0,SUM(_xlfn._xlws.FILTER(E852:E861,(A852:A861=A852)*(F852&lt;0)))),0)</f>
        <v>0</v>
      </c>
      <c r="J852" s="293" t="str">
        <f ca="1">IFERROR(_xlfn.XLOOKUP(B852,TabCalc[Ticker],TabCalc[Cur]),"")</f>
        <v/>
      </c>
      <c r="K852" s="1023" cm="1">
        <f t="array" ref="K852">IFERROR(IF($A852=$A851,0,SUM(_xlfn._xlws.FILTER($E852:$E862,($A852:$A862=$A852)*($J852:$J862=K$42)))),0)</f>
        <v>0</v>
      </c>
      <c r="L852" s="1023" cm="1">
        <f t="array" ref="L852">IFERROR(IF($A852=$A851,0,SUM(_xlfn._xlws.FILTER($E852:$E862,($A852:$A862=$A852)*($J852:$J862=L$42)))),0)</f>
        <v>0</v>
      </c>
      <c r="M852" s="1023" cm="1">
        <f t="array" ref="M852">IFERROR(IF($A852=$A851,0,SUM(_xlfn._xlws.FILTER($E852:$E862,($A852:$A862=$A852)*($J852:$J862=M$42)))),0)</f>
        <v>0</v>
      </c>
      <c r="N852" s="1023" cm="1">
        <f t="array" ref="N852">IFERROR(IF($A852=$A851,0,SUM(_xlfn._xlws.FILTER($E852:$E862,($A852:$A862=$A852)*($J852:$J862=N$42)))),0)</f>
        <v>0</v>
      </c>
    </row>
    <row r="853" spans="5:14" x14ac:dyDescent="0.3">
      <c r="E853" s="1022">
        <f ca="1">IFERROR(C853*D853*_xlfn.XLOOKUP(B853,TabCalc[Ticker],TabCalc[Scale]),0)</f>
        <v>0</v>
      </c>
      <c r="F853" s="1023" cm="1">
        <f t="array" ref="F853">IF(A853=A852,0,SUM(_xlfn._xlws.FILTER(E853:E862,A853:A862=A853)))</f>
        <v>0</v>
      </c>
      <c r="G853" s="1024">
        <f>IF(F853&lt;&gt;0,SUM($F$43:F853),0)</f>
        <v>0</v>
      </c>
      <c r="H853" s="1024" cm="1">
        <f t="array" ref="H853">IFERROR(IF(A853=A852,0,SUM(_xlfn._xlws.FILTER(E853:E862,(A853:A862=A853)*(E853:E862&gt;0)))),0)</f>
        <v>0</v>
      </c>
      <c r="I853" s="1024" cm="1">
        <f t="array" ref="I853">IFERROR(IF(A853=A852,0,SUM(_xlfn._xlws.FILTER(E853:E862,(A853:A862=A853)*(F853&lt;0)))),0)</f>
        <v>0</v>
      </c>
      <c r="J853" s="293" t="str">
        <f ca="1">IFERROR(_xlfn.XLOOKUP(B853,TabCalc[Ticker],TabCalc[Cur]),"")</f>
        <v/>
      </c>
      <c r="K853" s="1023" cm="1">
        <f t="array" ref="K853">IFERROR(IF($A853=$A852,0,SUM(_xlfn._xlws.FILTER($E853:$E863,($A853:$A863=$A853)*($J853:$J863=K$42)))),0)</f>
        <v>0</v>
      </c>
      <c r="L853" s="1023" cm="1">
        <f t="array" ref="L853">IFERROR(IF($A853=$A852,0,SUM(_xlfn._xlws.FILTER($E853:$E863,($A853:$A863=$A853)*($J853:$J863=L$42)))),0)</f>
        <v>0</v>
      </c>
      <c r="M853" s="1023" cm="1">
        <f t="array" ref="M853">IFERROR(IF($A853=$A852,0,SUM(_xlfn._xlws.FILTER($E853:$E863,($A853:$A863=$A853)*($J853:$J863=M$42)))),0)</f>
        <v>0</v>
      </c>
      <c r="N853" s="1023" cm="1">
        <f t="array" ref="N853">IFERROR(IF($A853=$A852,0,SUM(_xlfn._xlws.FILTER($E853:$E863,($A853:$A863=$A853)*($J853:$J863=N$42)))),0)</f>
        <v>0</v>
      </c>
    </row>
    <row r="854" spans="5:14" x14ac:dyDescent="0.3">
      <c r="E854" s="1022">
        <f ca="1">IFERROR(C854*D854*_xlfn.XLOOKUP(B854,TabCalc[Ticker],TabCalc[Scale]),0)</f>
        <v>0</v>
      </c>
      <c r="F854" s="1023" cm="1">
        <f t="array" ref="F854">IF(A854=A853,0,SUM(_xlfn._xlws.FILTER(E854:E863,A854:A863=A854)))</f>
        <v>0</v>
      </c>
      <c r="G854" s="1024">
        <f>IF(F854&lt;&gt;0,SUM($F$43:F854),0)</f>
        <v>0</v>
      </c>
      <c r="H854" s="1024" cm="1">
        <f t="array" ref="H854">IFERROR(IF(A854=A853,0,SUM(_xlfn._xlws.FILTER(E854:E863,(A854:A863=A854)*(E854:E863&gt;0)))),0)</f>
        <v>0</v>
      </c>
      <c r="I854" s="1024" cm="1">
        <f t="array" ref="I854">IFERROR(IF(A854=A853,0,SUM(_xlfn._xlws.FILTER(E854:E863,(A854:A863=A854)*(F854&lt;0)))),0)</f>
        <v>0</v>
      </c>
      <c r="J854" s="293" t="str">
        <f ca="1">IFERROR(_xlfn.XLOOKUP(B854,TabCalc[Ticker],TabCalc[Cur]),"")</f>
        <v/>
      </c>
      <c r="K854" s="1023" cm="1">
        <f t="array" ref="K854">IFERROR(IF($A854=$A853,0,SUM(_xlfn._xlws.FILTER($E854:$E864,($A854:$A864=$A854)*($J854:$J864=K$42)))),0)</f>
        <v>0</v>
      </c>
      <c r="L854" s="1023" cm="1">
        <f t="array" ref="L854">IFERROR(IF($A854=$A853,0,SUM(_xlfn._xlws.FILTER($E854:$E864,($A854:$A864=$A854)*($J854:$J864=L$42)))),0)</f>
        <v>0</v>
      </c>
      <c r="M854" s="1023" cm="1">
        <f t="array" ref="M854">IFERROR(IF($A854=$A853,0,SUM(_xlfn._xlws.FILTER($E854:$E864,($A854:$A864=$A854)*($J854:$J864=M$42)))),0)</f>
        <v>0</v>
      </c>
      <c r="N854" s="1023" cm="1">
        <f t="array" ref="N854">IFERROR(IF($A854=$A853,0,SUM(_xlfn._xlws.FILTER($E854:$E864,($A854:$A864=$A854)*($J854:$J864=N$42)))),0)</f>
        <v>0</v>
      </c>
    </row>
    <row r="855" spans="5:14" x14ac:dyDescent="0.3">
      <c r="E855" s="1022">
        <f ca="1">IFERROR(C855*D855*_xlfn.XLOOKUP(B855,TabCalc[Ticker],TabCalc[Scale]),0)</f>
        <v>0</v>
      </c>
      <c r="F855" s="1023" cm="1">
        <f t="array" ref="F855">IF(A855=A854,0,SUM(_xlfn._xlws.FILTER(E855:E864,A855:A864=A855)))</f>
        <v>0</v>
      </c>
      <c r="G855" s="1024">
        <f>IF(F855&lt;&gt;0,SUM($F$43:F855),0)</f>
        <v>0</v>
      </c>
      <c r="H855" s="1024" cm="1">
        <f t="array" ref="H855">IFERROR(IF(A855=A854,0,SUM(_xlfn._xlws.FILTER(E855:E864,(A855:A864=A855)*(E855:E864&gt;0)))),0)</f>
        <v>0</v>
      </c>
      <c r="I855" s="1024" cm="1">
        <f t="array" ref="I855">IFERROR(IF(A855=A854,0,SUM(_xlfn._xlws.FILTER(E855:E864,(A855:A864=A855)*(F855&lt;0)))),0)</f>
        <v>0</v>
      </c>
      <c r="J855" s="293" t="str">
        <f ca="1">IFERROR(_xlfn.XLOOKUP(B855,TabCalc[Ticker],TabCalc[Cur]),"")</f>
        <v/>
      </c>
      <c r="K855" s="1023" cm="1">
        <f t="array" ref="K855">IFERROR(IF($A855=$A854,0,SUM(_xlfn._xlws.FILTER($E855:$E865,($A855:$A865=$A855)*($J855:$J865=K$42)))),0)</f>
        <v>0</v>
      </c>
      <c r="L855" s="1023" cm="1">
        <f t="array" ref="L855">IFERROR(IF($A855=$A854,0,SUM(_xlfn._xlws.FILTER($E855:$E865,($A855:$A865=$A855)*($J855:$J865=L$42)))),0)</f>
        <v>0</v>
      </c>
      <c r="M855" s="1023" cm="1">
        <f t="array" ref="M855">IFERROR(IF($A855=$A854,0,SUM(_xlfn._xlws.FILTER($E855:$E865,($A855:$A865=$A855)*($J855:$J865=M$42)))),0)</f>
        <v>0</v>
      </c>
      <c r="N855" s="1023" cm="1">
        <f t="array" ref="N855">IFERROR(IF($A855=$A854,0,SUM(_xlfn._xlws.FILTER($E855:$E865,($A855:$A865=$A855)*($J855:$J865=N$42)))),0)</f>
        <v>0</v>
      </c>
    </row>
    <row r="856" spans="5:14" x14ac:dyDescent="0.3">
      <c r="E856" s="1022">
        <f ca="1">IFERROR(C856*D856*_xlfn.XLOOKUP(B856,TabCalc[Ticker],TabCalc[Scale]),0)</f>
        <v>0</v>
      </c>
      <c r="F856" s="1023" cm="1">
        <f t="array" ref="F856">IF(A856=A855,0,SUM(_xlfn._xlws.FILTER(E856:E865,A856:A865=A856)))</f>
        <v>0</v>
      </c>
      <c r="G856" s="1024">
        <f>IF(F856&lt;&gt;0,SUM($F$43:F856),0)</f>
        <v>0</v>
      </c>
      <c r="H856" s="1024" cm="1">
        <f t="array" ref="H856">IFERROR(IF(A856=A855,0,SUM(_xlfn._xlws.FILTER(E856:E865,(A856:A865=A856)*(E856:E865&gt;0)))),0)</f>
        <v>0</v>
      </c>
      <c r="I856" s="1024" cm="1">
        <f t="array" ref="I856">IFERROR(IF(A856=A855,0,SUM(_xlfn._xlws.FILTER(E856:E865,(A856:A865=A856)*(F856&lt;0)))),0)</f>
        <v>0</v>
      </c>
      <c r="J856" s="293" t="str">
        <f ca="1">IFERROR(_xlfn.XLOOKUP(B856,TabCalc[Ticker],TabCalc[Cur]),"")</f>
        <v/>
      </c>
      <c r="K856" s="1023" cm="1">
        <f t="array" ref="K856">IFERROR(IF($A856=$A855,0,SUM(_xlfn._xlws.FILTER($E856:$E866,($A856:$A866=$A856)*($J856:$J866=K$42)))),0)</f>
        <v>0</v>
      </c>
      <c r="L856" s="1023" cm="1">
        <f t="array" ref="L856">IFERROR(IF($A856=$A855,0,SUM(_xlfn._xlws.FILTER($E856:$E866,($A856:$A866=$A856)*($J856:$J866=L$42)))),0)</f>
        <v>0</v>
      </c>
      <c r="M856" s="1023" cm="1">
        <f t="array" ref="M856">IFERROR(IF($A856=$A855,0,SUM(_xlfn._xlws.FILTER($E856:$E866,($A856:$A866=$A856)*($J856:$J866=M$42)))),0)</f>
        <v>0</v>
      </c>
      <c r="N856" s="1023" cm="1">
        <f t="array" ref="N856">IFERROR(IF($A856=$A855,0,SUM(_xlfn._xlws.FILTER($E856:$E866,($A856:$A866=$A856)*($J856:$J866=N$42)))),0)</f>
        <v>0</v>
      </c>
    </row>
    <row r="857" spans="5:14" x14ac:dyDescent="0.3">
      <c r="E857" s="1022">
        <f ca="1">IFERROR(C857*D857*_xlfn.XLOOKUP(B857,TabCalc[Ticker],TabCalc[Scale]),0)</f>
        <v>0</v>
      </c>
      <c r="F857" s="1023" cm="1">
        <f t="array" ref="F857">IF(A857=A856,0,SUM(_xlfn._xlws.FILTER(E857:E866,A857:A866=A857)))</f>
        <v>0</v>
      </c>
      <c r="G857" s="1024">
        <f>IF(F857&lt;&gt;0,SUM($F$43:F857),0)</f>
        <v>0</v>
      </c>
      <c r="H857" s="1024" cm="1">
        <f t="array" ref="H857">IFERROR(IF(A857=A856,0,SUM(_xlfn._xlws.FILTER(E857:E866,(A857:A866=A857)*(E857:E866&gt;0)))),0)</f>
        <v>0</v>
      </c>
      <c r="I857" s="1024" cm="1">
        <f t="array" ref="I857">IFERROR(IF(A857=A856,0,SUM(_xlfn._xlws.FILTER(E857:E866,(A857:A866=A857)*(F857&lt;0)))),0)</f>
        <v>0</v>
      </c>
      <c r="J857" s="293" t="str">
        <f ca="1">IFERROR(_xlfn.XLOOKUP(B857,TabCalc[Ticker],TabCalc[Cur]),"")</f>
        <v/>
      </c>
      <c r="K857" s="1023" cm="1">
        <f t="array" ref="K857">IFERROR(IF($A857=$A856,0,SUM(_xlfn._xlws.FILTER($E857:$E867,($A857:$A867=$A857)*($J857:$J867=K$42)))),0)</f>
        <v>0</v>
      </c>
      <c r="L857" s="1023" cm="1">
        <f t="array" ref="L857">IFERROR(IF($A857=$A856,0,SUM(_xlfn._xlws.FILTER($E857:$E867,($A857:$A867=$A857)*($J857:$J867=L$42)))),0)</f>
        <v>0</v>
      </c>
      <c r="M857" s="1023" cm="1">
        <f t="array" ref="M857">IFERROR(IF($A857=$A856,0,SUM(_xlfn._xlws.FILTER($E857:$E867,($A857:$A867=$A857)*($J857:$J867=M$42)))),0)</f>
        <v>0</v>
      </c>
      <c r="N857" s="1023" cm="1">
        <f t="array" ref="N857">IFERROR(IF($A857=$A856,0,SUM(_xlfn._xlws.FILTER($E857:$E867,($A857:$A867=$A857)*($J857:$J867=N$42)))),0)</f>
        <v>0</v>
      </c>
    </row>
    <row r="858" spans="5:14" x14ac:dyDescent="0.3">
      <c r="E858" s="1022">
        <f ca="1">IFERROR(C858*D858*_xlfn.XLOOKUP(B858,TabCalc[Ticker],TabCalc[Scale]),0)</f>
        <v>0</v>
      </c>
      <c r="F858" s="1023" cm="1">
        <f t="array" ref="F858">IF(A858=A857,0,SUM(_xlfn._xlws.FILTER(E858:E867,A858:A867=A858)))</f>
        <v>0</v>
      </c>
      <c r="G858" s="1024">
        <f>IF(F858&lt;&gt;0,SUM($F$43:F858),0)</f>
        <v>0</v>
      </c>
      <c r="H858" s="1024" cm="1">
        <f t="array" ref="H858">IFERROR(IF(A858=A857,0,SUM(_xlfn._xlws.FILTER(E858:E867,(A858:A867=A858)*(E858:E867&gt;0)))),0)</f>
        <v>0</v>
      </c>
      <c r="I858" s="1024" cm="1">
        <f t="array" ref="I858">IFERROR(IF(A858=A857,0,SUM(_xlfn._xlws.FILTER(E858:E867,(A858:A867=A858)*(F858&lt;0)))),0)</f>
        <v>0</v>
      </c>
      <c r="J858" s="293" t="str">
        <f ca="1">IFERROR(_xlfn.XLOOKUP(B858,TabCalc[Ticker],TabCalc[Cur]),"")</f>
        <v/>
      </c>
      <c r="K858" s="1023" cm="1">
        <f t="array" ref="K858">IFERROR(IF($A858=$A857,0,SUM(_xlfn._xlws.FILTER($E858:$E868,($A858:$A868=$A858)*($J858:$J868=K$42)))),0)</f>
        <v>0</v>
      </c>
      <c r="L858" s="1023" cm="1">
        <f t="array" ref="L858">IFERROR(IF($A858=$A857,0,SUM(_xlfn._xlws.FILTER($E858:$E868,($A858:$A868=$A858)*($J858:$J868=L$42)))),0)</f>
        <v>0</v>
      </c>
      <c r="M858" s="1023" cm="1">
        <f t="array" ref="M858">IFERROR(IF($A858=$A857,0,SUM(_xlfn._xlws.FILTER($E858:$E868,($A858:$A868=$A858)*($J858:$J868=M$42)))),0)</f>
        <v>0</v>
      </c>
      <c r="N858" s="1023" cm="1">
        <f t="array" ref="N858">IFERROR(IF($A858=$A857,0,SUM(_xlfn._xlws.FILTER($E858:$E868,($A858:$A868=$A858)*($J858:$J868=N$42)))),0)</f>
        <v>0</v>
      </c>
    </row>
    <row r="859" spans="5:14" x14ac:dyDescent="0.3">
      <c r="E859" s="1022">
        <f ca="1">IFERROR(C859*D859*_xlfn.XLOOKUP(B859,TabCalc[Ticker],TabCalc[Scale]),0)</f>
        <v>0</v>
      </c>
      <c r="F859" s="1023" cm="1">
        <f t="array" ref="F859">IF(A859=A858,0,SUM(_xlfn._xlws.FILTER(E859:E868,A859:A868=A859)))</f>
        <v>0</v>
      </c>
      <c r="G859" s="1024">
        <f>IF(F859&lt;&gt;0,SUM($F$43:F859),0)</f>
        <v>0</v>
      </c>
      <c r="H859" s="1024" cm="1">
        <f t="array" ref="H859">IFERROR(IF(A859=A858,0,SUM(_xlfn._xlws.FILTER(E859:E868,(A859:A868=A859)*(E859:E868&gt;0)))),0)</f>
        <v>0</v>
      </c>
      <c r="I859" s="1024" cm="1">
        <f t="array" ref="I859">IFERROR(IF(A859=A858,0,SUM(_xlfn._xlws.FILTER(E859:E868,(A859:A868=A859)*(F859&lt;0)))),0)</f>
        <v>0</v>
      </c>
      <c r="J859" s="293" t="str">
        <f ca="1">IFERROR(_xlfn.XLOOKUP(B859,TabCalc[Ticker],TabCalc[Cur]),"")</f>
        <v/>
      </c>
      <c r="K859" s="1023" cm="1">
        <f t="array" ref="K859">IFERROR(IF($A859=$A858,0,SUM(_xlfn._xlws.FILTER($E859:$E869,($A859:$A869=$A859)*($J859:$J869=K$42)))),0)</f>
        <v>0</v>
      </c>
      <c r="L859" s="1023" cm="1">
        <f t="array" ref="L859">IFERROR(IF($A859=$A858,0,SUM(_xlfn._xlws.FILTER($E859:$E869,($A859:$A869=$A859)*($J859:$J869=L$42)))),0)</f>
        <v>0</v>
      </c>
      <c r="M859" s="1023" cm="1">
        <f t="array" ref="M859">IFERROR(IF($A859=$A858,0,SUM(_xlfn._xlws.FILTER($E859:$E869,($A859:$A869=$A859)*($J859:$J869=M$42)))),0)</f>
        <v>0</v>
      </c>
      <c r="N859" s="1023" cm="1">
        <f t="array" ref="N859">IFERROR(IF($A859=$A858,0,SUM(_xlfn._xlws.FILTER($E859:$E869,($A859:$A869=$A859)*($J859:$J869=N$42)))),0)</f>
        <v>0</v>
      </c>
    </row>
    <row r="860" spans="5:14" x14ac:dyDescent="0.3">
      <c r="E860" s="1022">
        <f ca="1">IFERROR(C860*D860*_xlfn.XLOOKUP(B860,TabCalc[Ticker],TabCalc[Scale]),0)</f>
        <v>0</v>
      </c>
      <c r="F860" s="1023" cm="1">
        <f t="array" ref="F860">IF(A860=A859,0,SUM(_xlfn._xlws.FILTER(E860:E869,A860:A869=A860)))</f>
        <v>0</v>
      </c>
      <c r="G860" s="1024">
        <f>IF(F860&lt;&gt;0,SUM($F$43:F860),0)</f>
        <v>0</v>
      </c>
      <c r="H860" s="1024" cm="1">
        <f t="array" ref="H860">IFERROR(IF(A860=A859,0,SUM(_xlfn._xlws.FILTER(E860:E869,(A860:A869=A860)*(E860:E869&gt;0)))),0)</f>
        <v>0</v>
      </c>
      <c r="I860" s="1024" cm="1">
        <f t="array" ref="I860">IFERROR(IF(A860=A859,0,SUM(_xlfn._xlws.FILTER(E860:E869,(A860:A869=A860)*(F860&lt;0)))),0)</f>
        <v>0</v>
      </c>
      <c r="J860" s="293" t="str">
        <f ca="1">IFERROR(_xlfn.XLOOKUP(B860,TabCalc[Ticker],TabCalc[Cur]),"")</f>
        <v/>
      </c>
      <c r="K860" s="1023" cm="1">
        <f t="array" ref="K860">IFERROR(IF($A860=$A859,0,SUM(_xlfn._xlws.FILTER($E860:$E870,($A860:$A870=$A860)*($J860:$J870=K$42)))),0)</f>
        <v>0</v>
      </c>
      <c r="L860" s="1023" cm="1">
        <f t="array" ref="L860">IFERROR(IF($A860=$A859,0,SUM(_xlfn._xlws.FILTER($E860:$E870,($A860:$A870=$A860)*($J860:$J870=L$42)))),0)</f>
        <v>0</v>
      </c>
      <c r="M860" s="1023" cm="1">
        <f t="array" ref="M860">IFERROR(IF($A860=$A859,0,SUM(_xlfn._xlws.FILTER($E860:$E870,($A860:$A870=$A860)*($J860:$J870=M$42)))),0)</f>
        <v>0</v>
      </c>
      <c r="N860" s="1023" cm="1">
        <f t="array" ref="N860">IFERROR(IF($A860=$A859,0,SUM(_xlfn._xlws.FILTER($E860:$E870,($A860:$A870=$A860)*($J860:$J870=N$42)))),0)</f>
        <v>0</v>
      </c>
    </row>
    <row r="861" spans="5:14" x14ac:dyDescent="0.3">
      <c r="E861" s="1022">
        <f ca="1">IFERROR(C861*D861*_xlfn.XLOOKUP(B861,TabCalc[Ticker],TabCalc[Scale]),0)</f>
        <v>0</v>
      </c>
      <c r="F861" s="1023" cm="1">
        <f t="array" ref="F861">IF(A861=A860,0,SUM(_xlfn._xlws.FILTER(E861:E870,A861:A870=A861)))</f>
        <v>0</v>
      </c>
      <c r="G861" s="1024">
        <f>IF(F861&lt;&gt;0,SUM($F$43:F861),0)</f>
        <v>0</v>
      </c>
      <c r="H861" s="1024" cm="1">
        <f t="array" ref="H861">IFERROR(IF(A861=A860,0,SUM(_xlfn._xlws.FILTER(E861:E870,(A861:A870=A861)*(E861:E870&gt;0)))),0)</f>
        <v>0</v>
      </c>
      <c r="I861" s="1024" cm="1">
        <f t="array" ref="I861">IFERROR(IF(A861=A860,0,SUM(_xlfn._xlws.FILTER(E861:E870,(A861:A870=A861)*(F861&lt;0)))),0)</f>
        <v>0</v>
      </c>
      <c r="J861" s="293" t="str">
        <f ca="1">IFERROR(_xlfn.XLOOKUP(B861,TabCalc[Ticker],TabCalc[Cur]),"")</f>
        <v/>
      </c>
      <c r="K861" s="1023" cm="1">
        <f t="array" ref="K861">IFERROR(IF($A861=$A860,0,SUM(_xlfn._xlws.FILTER($E861:$E871,($A861:$A871=$A861)*($J861:$J871=K$42)))),0)</f>
        <v>0</v>
      </c>
      <c r="L861" s="1023" cm="1">
        <f t="array" ref="L861">IFERROR(IF($A861=$A860,0,SUM(_xlfn._xlws.FILTER($E861:$E871,($A861:$A871=$A861)*($J861:$J871=L$42)))),0)</f>
        <v>0</v>
      </c>
      <c r="M861" s="1023" cm="1">
        <f t="array" ref="M861">IFERROR(IF($A861=$A860,0,SUM(_xlfn._xlws.FILTER($E861:$E871,($A861:$A871=$A861)*($J861:$J871=M$42)))),0)</f>
        <v>0</v>
      </c>
      <c r="N861" s="1023" cm="1">
        <f t="array" ref="N861">IFERROR(IF($A861=$A860,0,SUM(_xlfn._xlws.FILTER($E861:$E871,($A861:$A871=$A861)*($J861:$J871=N$42)))),0)</f>
        <v>0</v>
      </c>
    </row>
    <row r="862" spans="5:14" x14ac:dyDescent="0.3">
      <c r="E862" s="1022">
        <f ca="1">IFERROR(C862*D862*_xlfn.XLOOKUP(B862,TabCalc[Ticker],TabCalc[Scale]),0)</f>
        <v>0</v>
      </c>
      <c r="F862" s="1023" cm="1">
        <f t="array" ref="F862">IF(A862=A861,0,SUM(_xlfn._xlws.FILTER(E862:E871,A862:A871=A862)))</f>
        <v>0</v>
      </c>
      <c r="G862" s="1024">
        <f>IF(F862&lt;&gt;0,SUM($F$43:F862),0)</f>
        <v>0</v>
      </c>
      <c r="H862" s="1024" cm="1">
        <f t="array" ref="H862">IFERROR(IF(A862=A861,0,SUM(_xlfn._xlws.FILTER(E862:E871,(A862:A871=A862)*(E862:E871&gt;0)))),0)</f>
        <v>0</v>
      </c>
      <c r="I862" s="1024" cm="1">
        <f t="array" ref="I862">IFERROR(IF(A862=A861,0,SUM(_xlfn._xlws.FILTER(E862:E871,(A862:A871=A862)*(F862&lt;0)))),0)</f>
        <v>0</v>
      </c>
      <c r="J862" s="293" t="str">
        <f ca="1">IFERROR(_xlfn.XLOOKUP(B862,TabCalc[Ticker],TabCalc[Cur]),"")</f>
        <v/>
      </c>
      <c r="K862" s="1023" cm="1">
        <f t="array" ref="K862">IFERROR(IF($A862=$A861,0,SUM(_xlfn._xlws.FILTER($E862:$E872,($A862:$A872=$A862)*($J862:$J872=K$42)))),0)</f>
        <v>0</v>
      </c>
      <c r="L862" s="1023" cm="1">
        <f t="array" ref="L862">IFERROR(IF($A862=$A861,0,SUM(_xlfn._xlws.FILTER($E862:$E872,($A862:$A872=$A862)*($J862:$J872=L$42)))),0)</f>
        <v>0</v>
      </c>
      <c r="M862" s="1023" cm="1">
        <f t="array" ref="M862">IFERROR(IF($A862=$A861,0,SUM(_xlfn._xlws.FILTER($E862:$E872,($A862:$A872=$A862)*($J862:$J872=M$42)))),0)</f>
        <v>0</v>
      </c>
      <c r="N862" s="1023" cm="1">
        <f t="array" ref="N862">IFERROR(IF($A862=$A861,0,SUM(_xlfn._xlws.FILTER($E862:$E872,($A862:$A872=$A862)*($J862:$J872=N$42)))),0)</f>
        <v>0</v>
      </c>
    </row>
    <row r="863" spans="5:14" x14ac:dyDescent="0.3">
      <c r="E863" s="1022">
        <f ca="1">IFERROR(C863*D863*_xlfn.XLOOKUP(B863,TabCalc[Ticker],TabCalc[Scale]),0)</f>
        <v>0</v>
      </c>
      <c r="F863" s="1023" cm="1">
        <f t="array" ref="F863">IF(A863=A862,0,SUM(_xlfn._xlws.FILTER(E863:E872,A863:A872=A863)))</f>
        <v>0</v>
      </c>
      <c r="G863" s="1024">
        <f>IF(F863&lt;&gt;0,SUM($F$43:F863),0)</f>
        <v>0</v>
      </c>
      <c r="H863" s="1024" cm="1">
        <f t="array" ref="H863">IFERROR(IF(A863=A862,0,SUM(_xlfn._xlws.FILTER(E863:E872,(A863:A872=A863)*(E863:E872&gt;0)))),0)</f>
        <v>0</v>
      </c>
      <c r="I863" s="1024" cm="1">
        <f t="array" ref="I863">IFERROR(IF(A863=A862,0,SUM(_xlfn._xlws.FILTER(E863:E872,(A863:A872=A863)*(F863&lt;0)))),0)</f>
        <v>0</v>
      </c>
      <c r="J863" s="293" t="str">
        <f ca="1">IFERROR(_xlfn.XLOOKUP(B863,TabCalc[Ticker],TabCalc[Cur]),"")</f>
        <v/>
      </c>
      <c r="K863" s="1023" cm="1">
        <f t="array" ref="K863">IFERROR(IF($A863=$A862,0,SUM(_xlfn._xlws.FILTER($E863:$E873,($A863:$A873=$A863)*($J863:$J873=K$42)))),0)</f>
        <v>0</v>
      </c>
      <c r="L863" s="1023" cm="1">
        <f t="array" ref="L863">IFERROR(IF($A863=$A862,0,SUM(_xlfn._xlws.FILTER($E863:$E873,($A863:$A873=$A863)*($J863:$J873=L$42)))),0)</f>
        <v>0</v>
      </c>
      <c r="M863" s="1023" cm="1">
        <f t="array" ref="M863">IFERROR(IF($A863=$A862,0,SUM(_xlfn._xlws.FILTER($E863:$E873,($A863:$A873=$A863)*($J863:$J873=M$42)))),0)</f>
        <v>0</v>
      </c>
      <c r="N863" s="1023" cm="1">
        <f t="array" ref="N863">IFERROR(IF($A863=$A862,0,SUM(_xlfn._xlws.FILTER($E863:$E873,($A863:$A873=$A863)*($J863:$J873=N$42)))),0)</f>
        <v>0</v>
      </c>
    </row>
    <row r="864" spans="5:14" x14ac:dyDescent="0.3">
      <c r="E864" s="1022">
        <f ca="1">IFERROR(C864*D864*_xlfn.XLOOKUP(B864,TabCalc[Ticker],TabCalc[Scale]),0)</f>
        <v>0</v>
      </c>
      <c r="F864" s="1023" cm="1">
        <f t="array" ref="F864">IF(A864=A863,0,SUM(_xlfn._xlws.FILTER(E864:E873,A864:A873=A864)))</f>
        <v>0</v>
      </c>
      <c r="G864" s="1024">
        <f>IF(F864&lt;&gt;0,SUM($F$43:F864),0)</f>
        <v>0</v>
      </c>
      <c r="H864" s="1024" cm="1">
        <f t="array" ref="H864">IFERROR(IF(A864=A863,0,SUM(_xlfn._xlws.FILTER(E864:E873,(A864:A873=A864)*(E864:E873&gt;0)))),0)</f>
        <v>0</v>
      </c>
      <c r="I864" s="1024" cm="1">
        <f t="array" ref="I864">IFERROR(IF(A864=A863,0,SUM(_xlfn._xlws.FILTER(E864:E873,(A864:A873=A864)*(F864&lt;0)))),0)</f>
        <v>0</v>
      </c>
      <c r="J864" s="293" t="str">
        <f ca="1">IFERROR(_xlfn.XLOOKUP(B864,TabCalc[Ticker],TabCalc[Cur]),"")</f>
        <v/>
      </c>
      <c r="K864" s="1023" cm="1">
        <f t="array" ref="K864">IFERROR(IF($A864=$A863,0,SUM(_xlfn._xlws.FILTER($E864:$E874,($A864:$A874=$A864)*($J864:$J874=K$42)))),0)</f>
        <v>0</v>
      </c>
      <c r="L864" s="1023" cm="1">
        <f t="array" ref="L864">IFERROR(IF($A864=$A863,0,SUM(_xlfn._xlws.FILTER($E864:$E874,($A864:$A874=$A864)*($J864:$J874=L$42)))),0)</f>
        <v>0</v>
      </c>
      <c r="M864" s="1023" cm="1">
        <f t="array" ref="M864">IFERROR(IF($A864=$A863,0,SUM(_xlfn._xlws.FILTER($E864:$E874,($A864:$A874=$A864)*($J864:$J874=M$42)))),0)</f>
        <v>0</v>
      </c>
      <c r="N864" s="1023" cm="1">
        <f t="array" ref="N864">IFERROR(IF($A864=$A863,0,SUM(_xlfn._xlws.FILTER($E864:$E874,($A864:$A874=$A864)*($J864:$J874=N$42)))),0)</f>
        <v>0</v>
      </c>
    </row>
    <row r="865" spans="5:14" x14ac:dyDescent="0.3">
      <c r="E865" s="1022">
        <f ca="1">IFERROR(C865*D865*_xlfn.XLOOKUP(B865,TabCalc[Ticker],TabCalc[Scale]),0)</f>
        <v>0</v>
      </c>
      <c r="F865" s="1023" cm="1">
        <f t="array" ref="F865">IF(A865=A864,0,SUM(_xlfn._xlws.FILTER(E865:E874,A865:A874=A865)))</f>
        <v>0</v>
      </c>
      <c r="G865" s="1024">
        <f>IF(F865&lt;&gt;0,SUM($F$43:F865),0)</f>
        <v>0</v>
      </c>
      <c r="H865" s="1024" cm="1">
        <f t="array" ref="H865">IFERROR(IF(A865=A864,0,SUM(_xlfn._xlws.FILTER(E865:E874,(A865:A874=A865)*(E865:E874&gt;0)))),0)</f>
        <v>0</v>
      </c>
      <c r="I865" s="1024" cm="1">
        <f t="array" ref="I865">IFERROR(IF(A865=A864,0,SUM(_xlfn._xlws.FILTER(E865:E874,(A865:A874=A865)*(F865&lt;0)))),0)</f>
        <v>0</v>
      </c>
      <c r="J865" s="293" t="str">
        <f ca="1">IFERROR(_xlfn.XLOOKUP(B865,TabCalc[Ticker],TabCalc[Cur]),"")</f>
        <v/>
      </c>
      <c r="K865" s="1023" cm="1">
        <f t="array" ref="K865">IFERROR(IF($A865=$A864,0,SUM(_xlfn._xlws.FILTER($E865:$E875,($A865:$A875=$A865)*($J865:$J875=K$42)))),0)</f>
        <v>0</v>
      </c>
      <c r="L865" s="1023" cm="1">
        <f t="array" ref="L865">IFERROR(IF($A865=$A864,0,SUM(_xlfn._xlws.FILTER($E865:$E875,($A865:$A875=$A865)*($J865:$J875=L$42)))),0)</f>
        <v>0</v>
      </c>
      <c r="M865" s="1023" cm="1">
        <f t="array" ref="M865">IFERROR(IF($A865=$A864,0,SUM(_xlfn._xlws.FILTER($E865:$E875,($A865:$A875=$A865)*($J865:$J875=M$42)))),0)</f>
        <v>0</v>
      </c>
      <c r="N865" s="1023" cm="1">
        <f t="array" ref="N865">IFERROR(IF($A865=$A864,0,SUM(_xlfn._xlws.FILTER($E865:$E875,($A865:$A875=$A865)*($J865:$J875=N$42)))),0)</f>
        <v>0</v>
      </c>
    </row>
    <row r="866" spans="5:14" x14ac:dyDescent="0.3">
      <c r="E866" s="1022">
        <f ca="1">IFERROR(C866*D866*_xlfn.XLOOKUP(B866,TabCalc[Ticker],TabCalc[Scale]),0)</f>
        <v>0</v>
      </c>
      <c r="F866" s="1023" cm="1">
        <f t="array" ref="F866">IF(A866=A865,0,SUM(_xlfn._xlws.FILTER(E866:E875,A866:A875=A866)))</f>
        <v>0</v>
      </c>
      <c r="G866" s="1024">
        <f>IF(F866&lt;&gt;0,SUM($F$43:F866),0)</f>
        <v>0</v>
      </c>
      <c r="H866" s="1024" cm="1">
        <f t="array" ref="H866">IFERROR(IF(A866=A865,0,SUM(_xlfn._xlws.FILTER(E866:E875,(A866:A875=A866)*(E866:E875&gt;0)))),0)</f>
        <v>0</v>
      </c>
      <c r="I866" s="1024" cm="1">
        <f t="array" ref="I866">IFERROR(IF(A866=A865,0,SUM(_xlfn._xlws.FILTER(E866:E875,(A866:A875=A866)*(F866&lt;0)))),0)</f>
        <v>0</v>
      </c>
      <c r="J866" s="293" t="str">
        <f ca="1">IFERROR(_xlfn.XLOOKUP(B866,TabCalc[Ticker],TabCalc[Cur]),"")</f>
        <v/>
      </c>
      <c r="K866" s="1023" cm="1">
        <f t="array" ref="K866">IFERROR(IF($A866=$A865,0,SUM(_xlfn._xlws.FILTER($E866:$E876,($A866:$A876=$A866)*($J866:$J876=K$42)))),0)</f>
        <v>0</v>
      </c>
      <c r="L866" s="1023" cm="1">
        <f t="array" ref="L866">IFERROR(IF($A866=$A865,0,SUM(_xlfn._xlws.FILTER($E866:$E876,($A866:$A876=$A866)*($J866:$J876=L$42)))),0)</f>
        <v>0</v>
      </c>
      <c r="M866" s="1023" cm="1">
        <f t="array" ref="M866">IFERROR(IF($A866=$A865,0,SUM(_xlfn._xlws.FILTER($E866:$E876,($A866:$A876=$A866)*($J866:$J876=M$42)))),0)</f>
        <v>0</v>
      </c>
      <c r="N866" s="1023" cm="1">
        <f t="array" ref="N866">IFERROR(IF($A866=$A865,0,SUM(_xlfn._xlws.FILTER($E866:$E876,($A866:$A876=$A866)*($J866:$J876=N$42)))),0)</f>
        <v>0</v>
      </c>
    </row>
    <row r="867" spans="5:14" x14ac:dyDescent="0.3">
      <c r="E867" s="1022">
        <f ca="1">IFERROR(C867*D867*_xlfn.XLOOKUP(B867,TabCalc[Ticker],TabCalc[Scale]),0)</f>
        <v>0</v>
      </c>
      <c r="F867" s="1023" cm="1">
        <f t="array" ref="F867">IF(A867=A866,0,SUM(_xlfn._xlws.FILTER(E867:E876,A867:A876=A867)))</f>
        <v>0</v>
      </c>
      <c r="G867" s="1024">
        <f>IF(F867&lt;&gt;0,SUM($F$43:F867),0)</f>
        <v>0</v>
      </c>
      <c r="H867" s="1024" cm="1">
        <f t="array" ref="H867">IFERROR(IF(A867=A866,0,SUM(_xlfn._xlws.FILTER(E867:E876,(A867:A876=A867)*(E867:E876&gt;0)))),0)</f>
        <v>0</v>
      </c>
      <c r="I867" s="1024" cm="1">
        <f t="array" ref="I867">IFERROR(IF(A867=A866,0,SUM(_xlfn._xlws.FILTER(E867:E876,(A867:A876=A867)*(F867&lt;0)))),0)</f>
        <v>0</v>
      </c>
      <c r="J867" s="293" t="str">
        <f ca="1">IFERROR(_xlfn.XLOOKUP(B867,TabCalc[Ticker],TabCalc[Cur]),"")</f>
        <v/>
      </c>
      <c r="K867" s="1023" cm="1">
        <f t="array" ref="K867">IFERROR(IF($A867=$A866,0,SUM(_xlfn._xlws.FILTER($E867:$E877,($A867:$A877=$A867)*($J867:$J877=K$42)))),0)</f>
        <v>0</v>
      </c>
      <c r="L867" s="1023" cm="1">
        <f t="array" ref="L867">IFERROR(IF($A867=$A866,0,SUM(_xlfn._xlws.FILTER($E867:$E877,($A867:$A877=$A867)*($J867:$J877=L$42)))),0)</f>
        <v>0</v>
      </c>
      <c r="M867" s="1023" cm="1">
        <f t="array" ref="M867">IFERROR(IF($A867=$A866,0,SUM(_xlfn._xlws.FILTER($E867:$E877,($A867:$A877=$A867)*($J867:$J877=M$42)))),0)</f>
        <v>0</v>
      </c>
      <c r="N867" s="1023" cm="1">
        <f t="array" ref="N867">IFERROR(IF($A867=$A866,0,SUM(_xlfn._xlws.FILTER($E867:$E877,($A867:$A877=$A867)*($J867:$J877=N$42)))),0)</f>
        <v>0</v>
      </c>
    </row>
    <row r="868" spans="5:14" x14ac:dyDescent="0.3">
      <c r="E868" s="1022">
        <f ca="1">IFERROR(C868*D868*_xlfn.XLOOKUP(B868,TabCalc[Ticker],TabCalc[Scale]),0)</f>
        <v>0</v>
      </c>
      <c r="F868" s="1023" cm="1">
        <f t="array" ref="F868">IF(A868=A867,0,SUM(_xlfn._xlws.FILTER(E868:E877,A868:A877=A868)))</f>
        <v>0</v>
      </c>
      <c r="G868" s="1024">
        <f>IF(F868&lt;&gt;0,SUM($F$43:F868),0)</f>
        <v>0</v>
      </c>
      <c r="H868" s="1024" cm="1">
        <f t="array" ref="H868">IFERROR(IF(A868=A867,0,SUM(_xlfn._xlws.FILTER(E868:E877,(A868:A877=A868)*(E868:E877&gt;0)))),0)</f>
        <v>0</v>
      </c>
      <c r="I868" s="1024" cm="1">
        <f t="array" ref="I868">IFERROR(IF(A868=A867,0,SUM(_xlfn._xlws.FILTER(E868:E877,(A868:A877=A868)*(F868&lt;0)))),0)</f>
        <v>0</v>
      </c>
      <c r="J868" s="293" t="str">
        <f ca="1">IFERROR(_xlfn.XLOOKUP(B868,TabCalc[Ticker],TabCalc[Cur]),"")</f>
        <v/>
      </c>
      <c r="K868" s="1023" cm="1">
        <f t="array" ref="K868">IFERROR(IF($A868=$A867,0,SUM(_xlfn._xlws.FILTER($E868:$E878,($A868:$A878=$A868)*($J868:$J878=K$42)))),0)</f>
        <v>0</v>
      </c>
      <c r="L868" s="1023" cm="1">
        <f t="array" ref="L868">IFERROR(IF($A868=$A867,0,SUM(_xlfn._xlws.FILTER($E868:$E878,($A868:$A878=$A868)*($J868:$J878=L$42)))),0)</f>
        <v>0</v>
      </c>
      <c r="M868" s="1023" cm="1">
        <f t="array" ref="M868">IFERROR(IF($A868=$A867,0,SUM(_xlfn._xlws.FILTER($E868:$E878,($A868:$A878=$A868)*($J868:$J878=M$42)))),0)</f>
        <v>0</v>
      </c>
      <c r="N868" s="1023" cm="1">
        <f t="array" ref="N868">IFERROR(IF($A868=$A867,0,SUM(_xlfn._xlws.FILTER($E868:$E878,($A868:$A878=$A868)*($J868:$J878=N$42)))),0)</f>
        <v>0</v>
      </c>
    </row>
    <row r="869" spans="5:14" x14ac:dyDescent="0.3">
      <c r="E869" s="1022">
        <f ca="1">IFERROR(C869*D869*_xlfn.XLOOKUP(B869,TabCalc[Ticker],TabCalc[Scale]),0)</f>
        <v>0</v>
      </c>
      <c r="F869" s="1023" cm="1">
        <f t="array" ref="F869">IF(A869=A868,0,SUM(_xlfn._xlws.FILTER(E869:E878,A869:A878=A869)))</f>
        <v>0</v>
      </c>
      <c r="G869" s="1024">
        <f>IF(F869&lt;&gt;0,SUM($F$43:F869),0)</f>
        <v>0</v>
      </c>
      <c r="H869" s="1024" cm="1">
        <f t="array" ref="H869">IFERROR(IF(A869=A868,0,SUM(_xlfn._xlws.FILTER(E869:E878,(A869:A878=A869)*(E869:E878&gt;0)))),0)</f>
        <v>0</v>
      </c>
      <c r="I869" s="1024" cm="1">
        <f t="array" ref="I869">IFERROR(IF(A869=A868,0,SUM(_xlfn._xlws.FILTER(E869:E878,(A869:A878=A869)*(F869&lt;0)))),0)</f>
        <v>0</v>
      </c>
      <c r="J869" s="293" t="str">
        <f ca="1">IFERROR(_xlfn.XLOOKUP(B869,TabCalc[Ticker],TabCalc[Cur]),"")</f>
        <v/>
      </c>
      <c r="K869" s="1023" cm="1">
        <f t="array" ref="K869">IFERROR(IF($A869=$A868,0,SUM(_xlfn._xlws.FILTER($E869:$E879,($A869:$A879=$A869)*($J869:$J879=K$42)))),0)</f>
        <v>0</v>
      </c>
      <c r="L869" s="1023" cm="1">
        <f t="array" ref="L869">IFERROR(IF($A869=$A868,0,SUM(_xlfn._xlws.FILTER($E869:$E879,($A869:$A879=$A869)*($J869:$J879=L$42)))),0)</f>
        <v>0</v>
      </c>
      <c r="M869" s="1023" cm="1">
        <f t="array" ref="M869">IFERROR(IF($A869=$A868,0,SUM(_xlfn._xlws.FILTER($E869:$E879,($A869:$A879=$A869)*($J869:$J879=M$42)))),0)</f>
        <v>0</v>
      </c>
      <c r="N869" s="1023" cm="1">
        <f t="array" ref="N869">IFERROR(IF($A869=$A868,0,SUM(_xlfn._xlws.FILTER($E869:$E879,($A869:$A879=$A869)*($J869:$J879=N$42)))),0)</f>
        <v>0</v>
      </c>
    </row>
    <row r="870" spans="5:14" x14ac:dyDescent="0.3">
      <c r="E870" s="1022">
        <f ca="1">IFERROR(C870*D870*_xlfn.XLOOKUP(B870,TabCalc[Ticker],TabCalc[Scale]),0)</f>
        <v>0</v>
      </c>
      <c r="F870" s="1023" cm="1">
        <f t="array" ref="F870">IF(A870=A869,0,SUM(_xlfn._xlws.FILTER(E870:E879,A870:A879=A870)))</f>
        <v>0</v>
      </c>
      <c r="G870" s="1024">
        <f>IF(F870&lt;&gt;0,SUM($F$43:F870),0)</f>
        <v>0</v>
      </c>
      <c r="H870" s="1024" cm="1">
        <f t="array" ref="H870">IFERROR(IF(A870=A869,0,SUM(_xlfn._xlws.FILTER(E870:E879,(A870:A879=A870)*(E870:E879&gt;0)))),0)</f>
        <v>0</v>
      </c>
      <c r="I870" s="1024" cm="1">
        <f t="array" ref="I870">IFERROR(IF(A870=A869,0,SUM(_xlfn._xlws.FILTER(E870:E879,(A870:A879=A870)*(F870&lt;0)))),0)</f>
        <v>0</v>
      </c>
      <c r="J870" s="293" t="str">
        <f ca="1">IFERROR(_xlfn.XLOOKUP(B870,TabCalc[Ticker],TabCalc[Cur]),"")</f>
        <v/>
      </c>
      <c r="K870" s="1023" cm="1">
        <f t="array" ref="K870">IFERROR(IF($A870=$A869,0,SUM(_xlfn._xlws.FILTER($E870:$E880,($A870:$A880=$A870)*($J870:$J880=K$42)))),0)</f>
        <v>0</v>
      </c>
      <c r="L870" s="1023" cm="1">
        <f t="array" ref="L870">IFERROR(IF($A870=$A869,0,SUM(_xlfn._xlws.FILTER($E870:$E880,($A870:$A880=$A870)*($J870:$J880=L$42)))),0)</f>
        <v>0</v>
      </c>
      <c r="M870" s="1023" cm="1">
        <f t="array" ref="M870">IFERROR(IF($A870=$A869,0,SUM(_xlfn._xlws.FILTER($E870:$E880,($A870:$A880=$A870)*($J870:$J880=M$42)))),0)</f>
        <v>0</v>
      </c>
      <c r="N870" s="1023" cm="1">
        <f t="array" ref="N870">IFERROR(IF($A870=$A869,0,SUM(_xlfn._xlws.FILTER($E870:$E880,($A870:$A880=$A870)*($J870:$J880=N$42)))),0)</f>
        <v>0</v>
      </c>
    </row>
    <row r="871" spans="5:14" x14ac:dyDescent="0.3">
      <c r="E871" s="1022">
        <f ca="1">IFERROR(C871*D871*_xlfn.XLOOKUP(B871,TabCalc[Ticker],TabCalc[Scale]),0)</f>
        <v>0</v>
      </c>
      <c r="F871" s="1023" cm="1">
        <f t="array" ref="F871">IF(A871=A870,0,SUM(_xlfn._xlws.FILTER(E871:E880,A871:A880=A871)))</f>
        <v>0</v>
      </c>
      <c r="G871" s="1024">
        <f>IF(F871&lt;&gt;0,SUM($F$43:F871),0)</f>
        <v>0</v>
      </c>
      <c r="H871" s="1024" cm="1">
        <f t="array" ref="H871">IFERROR(IF(A871=A870,0,SUM(_xlfn._xlws.FILTER(E871:E880,(A871:A880=A871)*(E871:E880&gt;0)))),0)</f>
        <v>0</v>
      </c>
      <c r="I871" s="1024" cm="1">
        <f t="array" ref="I871">IFERROR(IF(A871=A870,0,SUM(_xlfn._xlws.FILTER(E871:E880,(A871:A880=A871)*(F871&lt;0)))),0)</f>
        <v>0</v>
      </c>
      <c r="J871" s="293" t="str">
        <f ca="1">IFERROR(_xlfn.XLOOKUP(B871,TabCalc[Ticker],TabCalc[Cur]),"")</f>
        <v/>
      </c>
      <c r="K871" s="1023" cm="1">
        <f t="array" ref="K871">IFERROR(IF($A871=$A870,0,SUM(_xlfn._xlws.FILTER($E871:$E881,($A871:$A881=$A871)*($J871:$J881=K$42)))),0)</f>
        <v>0</v>
      </c>
      <c r="L871" s="1023" cm="1">
        <f t="array" ref="L871">IFERROR(IF($A871=$A870,0,SUM(_xlfn._xlws.FILTER($E871:$E881,($A871:$A881=$A871)*($J871:$J881=L$42)))),0)</f>
        <v>0</v>
      </c>
      <c r="M871" s="1023" cm="1">
        <f t="array" ref="M871">IFERROR(IF($A871=$A870,0,SUM(_xlfn._xlws.FILTER($E871:$E881,($A871:$A881=$A871)*($J871:$J881=M$42)))),0)</f>
        <v>0</v>
      </c>
      <c r="N871" s="1023" cm="1">
        <f t="array" ref="N871">IFERROR(IF($A871=$A870,0,SUM(_xlfn._xlws.FILTER($E871:$E881,($A871:$A881=$A871)*($J871:$J881=N$42)))),0)</f>
        <v>0</v>
      </c>
    </row>
    <row r="872" spans="5:14" x14ac:dyDescent="0.3">
      <c r="E872" s="1022">
        <f ca="1">IFERROR(C872*D872*_xlfn.XLOOKUP(B872,TabCalc[Ticker],TabCalc[Scale]),0)</f>
        <v>0</v>
      </c>
      <c r="F872" s="1023" cm="1">
        <f t="array" ref="F872">IF(A872=A871,0,SUM(_xlfn._xlws.FILTER(E872:E881,A872:A881=A872)))</f>
        <v>0</v>
      </c>
      <c r="G872" s="1024">
        <f>IF(F872&lt;&gt;0,SUM($F$43:F872),0)</f>
        <v>0</v>
      </c>
      <c r="H872" s="1024" cm="1">
        <f t="array" ref="H872">IFERROR(IF(A872=A871,0,SUM(_xlfn._xlws.FILTER(E872:E881,(A872:A881=A872)*(E872:E881&gt;0)))),0)</f>
        <v>0</v>
      </c>
      <c r="I872" s="1024" cm="1">
        <f t="array" ref="I872">IFERROR(IF(A872=A871,0,SUM(_xlfn._xlws.FILTER(E872:E881,(A872:A881=A872)*(F872&lt;0)))),0)</f>
        <v>0</v>
      </c>
      <c r="J872" s="293" t="str">
        <f ca="1">IFERROR(_xlfn.XLOOKUP(B872,TabCalc[Ticker],TabCalc[Cur]),"")</f>
        <v/>
      </c>
      <c r="K872" s="1023" cm="1">
        <f t="array" ref="K872">IFERROR(IF($A872=$A871,0,SUM(_xlfn._xlws.FILTER($E872:$E882,($A872:$A882=$A872)*($J872:$J882=K$42)))),0)</f>
        <v>0</v>
      </c>
      <c r="L872" s="1023" cm="1">
        <f t="array" ref="L872">IFERROR(IF($A872=$A871,0,SUM(_xlfn._xlws.FILTER($E872:$E882,($A872:$A882=$A872)*($J872:$J882=L$42)))),0)</f>
        <v>0</v>
      </c>
      <c r="M872" s="1023" cm="1">
        <f t="array" ref="M872">IFERROR(IF($A872=$A871,0,SUM(_xlfn._xlws.FILTER($E872:$E882,($A872:$A882=$A872)*($J872:$J882=M$42)))),0)</f>
        <v>0</v>
      </c>
      <c r="N872" s="1023" cm="1">
        <f t="array" ref="N872">IFERROR(IF($A872=$A871,0,SUM(_xlfn._xlws.FILTER($E872:$E882,($A872:$A882=$A872)*($J872:$J882=N$42)))),0)</f>
        <v>0</v>
      </c>
    </row>
    <row r="873" spans="5:14" x14ac:dyDescent="0.3">
      <c r="E873" s="1022">
        <f ca="1">IFERROR(C873*D873*_xlfn.XLOOKUP(B873,TabCalc[Ticker],TabCalc[Scale]),0)</f>
        <v>0</v>
      </c>
      <c r="F873" s="1023" cm="1">
        <f t="array" ref="F873">IF(A873=A872,0,SUM(_xlfn._xlws.FILTER(E873:E882,A873:A882=A873)))</f>
        <v>0</v>
      </c>
      <c r="G873" s="1024">
        <f>IF(F873&lt;&gt;0,SUM($F$43:F873),0)</f>
        <v>0</v>
      </c>
      <c r="H873" s="1024" cm="1">
        <f t="array" ref="H873">IFERROR(IF(A873=A872,0,SUM(_xlfn._xlws.FILTER(E873:E882,(A873:A882=A873)*(E873:E882&gt;0)))),0)</f>
        <v>0</v>
      </c>
      <c r="I873" s="1024" cm="1">
        <f t="array" ref="I873">IFERROR(IF(A873=A872,0,SUM(_xlfn._xlws.FILTER(E873:E882,(A873:A882=A873)*(F873&lt;0)))),0)</f>
        <v>0</v>
      </c>
      <c r="J873" s="293" t="str">
        <f ca="1">IFERROR(_xlfn.XLOOKUP(B873,TabCalc[Ticker],TabCalc[Cur]),"")</f>
        <v/>
      </c>
      <c r="K873" s="1023" cm="1">
        <f t="array" ref="K873">IFERROR(IF($A873=$A872,0,SUM(_xlfn._xlws.FILTER($E873:$E883,($A873:$A883=$A873)*($J873:$J883=K$42)))),0)</f>
        <v>0</v>
      </c>
      <c r="L873" s="1023" cm="1">
        <f t="array" ref="L873">IFERROR(IF($A873=$A872,0,SUM(_xlfn._xlws.FILTER($E873:$E883,($A873:$A883=$A873)*($J873:$J883=L$42)))),0)</f>
        <v>0</v>
      </c>
      <c r="M873" s="1023" cm="1">
        <f t="array" ref="M873">IFERROR(IF($A873=$A872,0,SUM(_xlfn._xlws.FILTER($E873:$E883,($A873:$A883=$A873)*($J873:$J883=M$42)))),0)</f>
        <v>0</v>
      </c>
      <c r="N873" s="1023" cm="1">
        <f t="array" ref="N873">IFERROR(IF($A873=$A872,0,SUM(_xlfn._xlws.FILTER($E873:$E883,($A873:$A883=$A873)*($J873:$J883=N$42)))),0)</f>
        <v>0</v>
      </c>
    </row>
    <row r="874" spans="5:14" x14ac:dyDescent="0.3">
      <c r="E874" s="1022">
        <f ca="1">IFERROR(C874*D874*_xlfn.XLOOKUP(B874,TabCalc[Ticker],TabCalc[Scale]),0)</f>
        <v>0</v>
      </c>
      <c r="F874" s="1023" cm="1">
        <f t="array" ref="F874">IF(A874=A873,0,SUM(_xlfn._xlws.FILTER(E874:E883,A874:A883=A874)))</f>
        <v>0</v>
      </c>
      <c r="G874" s="1024">
        <f>IF(F874&lt;&gt;0,SUM($F$43:F874),0)</f>
        <v>0</v>
      </c>
      <c r="H874" s="1024" cm="1">
        <f t="array" ref="H874">IFERROR(IF(A874=A873,0,SUM(_xlfn._xlws.FILTER(E874:E883,(A874:A883=A874)*(E874:E883&gt;0)))),0)</f>
        <v>0</v>
      </c>
      <c r="I874" s="1024" cm="1">
        <f t="array" ref="I874">IFERROR(IF(A874=A873,0,SUM(_xlfn._xlws.FILTER(E874:E883,(A874:A883=A874)*(F874&lt;0)))),0)</f>
        <v>0</v>
      </c>
      <c r="J874" s="293" t="str">
        <f ca="1">IFERROR(_xlfn.XLOOKUP(B874,TabCalc[Ticker],TabCalc[Cur]),"")</f>
        <v/>
      </c>
      <c r="K874" s="1023" cm="1">
        <f t="array" ref="K874">IFERROR(IF($A874=$A873,0,SUM(_xlfn._xlws.FILTER($E874:$E884,($A874:$A884=$A874)*($J874:$J884=K$42)))),0)</f>
        <v>0</v>
      </c>
      <c r="L874" s="1023" cm="1">
        <f t="array" ref="L874">IFERROR(IF($A874=$A873,0,SUM(_xlfn._xlws.FILTER($E874:$E884,($A874:$A884=$A874)*($J874:$J884=L$42)))),0)</f>
        <v>0</v>
      </c>
      <c r="M874" s="1023" cm="1">
        <f t="array" ref="M874">IFERROR(IF($A874=$A873,0,SUM(_xlfn._xlws.FILTER($E874:$E884,($A874:$A884=$A874)*($J874:$J884=M$42)))),0)</f>
        <v>0</v>
      </c>
      <c r="N874" s="1023" cm="1">
        <f t="array" ref="N874">IFERROR(IF($A874=$A873,0,SUM(_xlfn._xlws.FILTER($E874:$E884,($A874:$A884=$A874)*($J874:$J884=N$42)))),0)</f>
        <v>0</v>
      </c>
    </row>
    <row r="875" spans="5:14" x14ac:dyDescent="0.3">
      <c r="E875" s="1022">
        <f ca="1">IFERROR(C875*D875*_xlfn.XLOOKUP(B875,TabCalc[Ticker],TabCalc[Scale]),0)</f>
        <v>0</v>
      </c>
      <c r="F875" s="1023" cm="1">
        <f t="array" ref="F875">IF(A875=A874,0,SUM(_xlfn._xlws.FILTER(E875:E884,A875:A884=A875)))</f>
        <v>0</v>
      </c>
      <c r="G875" s="1024">
        <f>IF(F875&lt;&gt;0,SUM($F$43:F875),0)</f>
        <v>0</v>
      </c>
      <c r="H875" s="1024" cm="1">
        <f t="array" ref="H875">IFERROR(IF(A875=A874,0,SUM(_xlfn._xlws.FILTER(E875:E884,(A875:A884=A875)*(E875:E884&gt;0)))),0)</f>
        <v>0</v>
      </c>
      <c r="I875" s="1024" cm="1">
        <f t="array" ref="I875">IFERROR(IF(A875=A874,0,SUM(_xlfn._xlws.FILTER(E875:E884,(A875:A884=A875)*(F875&lt;0)))),0)</f>
        <v>0</v>
      </c>
      <c r="J875" s="293" t="str">
        <f ca="1">IFERROR(_xlfn.XLOOKUP(B875,TabCalc[Ticker],TabCalc[Cur]),"")</f>
        <v/>
      </c>
      <c r="K875" s="1023" cm="1">
        <f t="array" ref="K875">IFERROR(IF($A875=$A874,0,SUM(_xlfn._xlws.FILTER($E875:$E885,($A875:$A885=$A875)*($J875:$J885=K$42)))),0)</f>
        <v>0</v>
      </c>
      <c r="L875" s="1023" cm="1">
        <f t="array" ref="L875">IFERROR(IF($A875=$A874,0,SUM(_xlfn._xlws.FILTER($E875:$E885,($A875:$A885=$A875)*($J875:$J885=L$42)))),0)</f>
        <v>0</v>
      </c>
      <c r="M875" s="1023" cm="1">
        <f t="array" ref="M875">IFERROR(IF($A875=$A874,0,SUM(_xlfn._xlws.FILTER($E875:$E885,($A875:$A885=$A875)*($J875:$J885=M$42)))),0)</f>
        <v>0</v>
      </c>
      <c r="N875" s="1023" cm="1">
        <f t="array" ref="N875">IFERROR(IF($A875=$A874,0,SUM(_xlfn._xlws.FILTER($E875:$E885,($A875:$A885=$A875)*($J875:$J885=N$42)))),0)</f>
        <v>0</v>
      </c>
    </row>
    <row r="876" spans="5:14" x14ac:dyDescent="0.3">
      <c r="E876" s="1022">
        <f ca="1">IFERROR(C876*D876*_xlfn.XLOOKUP(B876,TabCalc[Ticker],TabCalc[Scale]),0)</f>
        <v>0</v>
      </c>
      <c r="F876" s="1023" cm="1">
        <f t="array" ref="F876">IF(A876=A875,0,SUM(_xlfn._xlws.FILTER(E876:E885,A876:A885=A876)))</f>
        <v>0</v>
      </c>
      <c r="G876" s="1024">
        <f>IF(F876&lt;&gt;0,SUM($F$43:F876),0)</f>
        <v>0</v>
      </c>
      <c r="H876" s="1024" cm="1">
        <f t="array" ref="H876">IFERROR(IF(A876=A875,0,SUM(_xlfn._xlws.FILTER(E876:E885,(A876:A885=A876)*(E876:E885&gt;0)))),0)</f>
        <v>0</v>
      </c>
      <c r="I876" s="1024" cm="1">
        <f t="array" ref="I876">IFERROR(IF(A876=A875,0,SUM(_xlfn._xlws.FILTER(E876:E885,(A876:A885=A876)*(F876&lt;0)))),0)</f>
        <v>0</v>
      </c>
      <c r="J876" s="293" t="str">
        <f ca="1">IFERROR(_xlfn.XLOOKUP(B876,TabCalc[Ticker],TabCalc[Cur]),"")</f>
        <v/>
      </c>
      <c r="K876" s="1023" cm="1">
        <f t="array" ref="K876">IFERROR(IF($A876=$A875,0,SUM(_xlfn._xlws.FILTER($E876:$E886,($A876:$A886=$A876)*($J876:$J886=K$42)))),0)</f>
        <v>0</v>
      </c>
      <c r="L876" s="1023" cm="1">
        <f t="array" ref="L876">IFERROR(IF($A876=$A875,0,SUM(_xlfn._xlws.FILTER($E876:$E886,($A876:$A886=$A876)*($J876:$J886=L$42)))),0)</f>
        <v>0</v>
      </c>
      <c r="M876" s="1023" cm="1">
        <f t="array" ref="M876">IFERROR(IF($A876=$A875,0,SUM(_xlfn._xlws.FILTER($E876:$E886,($A876:$A886=$A876)*($J876:$J886=M$42)))),0)</f>
        <v>0</v>
      </c>
      <c r="N876" s="1023" cm="1">
        <f t="array" ref="N876">IFERROR(IF($A876=$A875,0,SUM(_xlfn._xlws.FILTER($E876:$E886,($A876:$A886=$A876)*($J876:$J886=N$42)))),0)</f>
        <v>0</v>
      </c>
    </row>
    <row r="877" spans="5:14" x14ac:dyDescent="0.3">
      <c r="E877" s="1022">
        <f ca="1">IFERROR(C877*D877*_xlfn.XLOOKUP(B877,TabCalc[Ticker],TabCalc[Scale]),0)</f>
        <v>0</v>
      </c>
      <c r="F877" s="1023" cm="1">
        <f t="array" ref="F877">IF(A877=A876,0,SUM(_xlfn._xlws.FILTER(E877:E886,A877:A886=A877)))</f>
        <v>0</v>
      </c>
      <c r="G877" s="1024">
        <f>IF(F877&lt;&gt;0,SUM($F$43:F877),0)</f>
        <v>0</v>
      </c>
      <c r="H877" s="1024" cm="1">
        <f t="array" ref="H877">IFERROR(IF(A877=A876,0,SUM(_xlfn._xlws.FILTER(E877:E886,(A877:A886=A877)*(E877:E886&gt;0)))),0)</f>
        <v>0</v>
      </c>
      <c r="I877" s="1024" cm="1">
        <f t="array" ref="I877">IFERROR(IF(A877=A876,0,SUM(_xlfn._xlws.FILTER(E877:E886,(A877:A886=A877)*(F877&lt;0)))),0)</f>
        <v>0</v>
      </c>
      <c r="J877" s="293" t="str">
        <f ca="1">IFERROR(_xlfn.XLOOKUP(B877,TabCalc[Ticker],TabCalc[Cur]),"")</f>
        <v/>
      </c>
      <c r="K877" s="1023" cm="1">
        <f t="array" ref="K877">IFERROR(IF($A877=$A876,0,SUM(_xlfn._xlws.FILTER($E877:$E887,($A877:$A887=$A877)*($J877:$J887=K$42)))),0)</f>
        <v>0</v>
      </c>
      <c r="L877" s="1023" cm="1">
        <f t="array" ref="L877">IFERROR(IF($A877=$A876,0,SUM(_xlfn._xlws.FILTER($E877:$E887,($A877:$A887=$A877)*($J877:$J887=L$42)))),0)</f>
        <v>0</v>
      </c>
      <c r="M877" s="1023" cm="1">
        <f t="array" ref="M877">IFERROR(IF($A877=$A876,0,SUM(_xlfn._xlws.FILTER($E877:$E887,($A877:$A887=$A877)*($J877:$J887=M$42)))),0)</f>
        <v>0</v>
      </c>
      <c r="N877" s="1023" cm="1">
        <f t="array" ref="N877">IFERROR(IF($A877=$A876,0,SUM(_xlfn._xlws.FILTER($E877:$E887,($A877:$A887=$A877)*($J877:$J887=N$42)))),0)</f>
        <v>0</v>
      </c>
    </row>
    <row r="878" spans="5:14" x14ac:dyDescent="0.3">
      <c r="E878" s="1022">
        <f ca="1">IFERROR(C878*D878*_xlfn.XLOOKUP(B878,TabCalc[Ticker],TabCalc[Scale]),0)</f>
        <v>0</v>
      </c>
      <c r="F878" s="1023" cm="1">
        <f t="array" ref="F878">IF(A878=A877,0,SUM(_xlfn._xlws.FILTER(E878:E887,A878:A887=A878)))</f>
        <v>0</v>
      </c>
      <c r="G878" s="1024">
        <f>IF(F878&lt;&gt;0,SUM($F$43:F878),0)</f>
        <v>0</v>
      </c>
      <c r="H878" s="1024" cm="1">
        <f t="array" ref="H878">IFERROR(IF(A878=A877,0,SUM(_xlfn._xlws.FILTER(E878:E887,(A878:A887=A878)*(E878:E887&gt;0)))),0)</f>
        <v>0</v>
      </c>
      <c r="I878" s="1024" cm="1">
        <f t="array" ref="I878">IFERROR(IF(A878=A877,0,SUM(_xlfn._xlws.FILTER(E878:E887,(A878:A887=A878)*(F878&lt;0)))),0)</f>
        <v>0</v>
      </c>
      <c r="J878" s="293" t="str">
        <f ca="1">IFERROR(_xlfn.XLOOKUP(B878,TabCalc[Ticker],TabCalc[Cur]),"")</f>
        <v/>
      </c>
      <c r="K878" s="1023" cm="1">
        <f t="array" ref="K878">IFERROR(IF($A878=$A877,0,SUM(_xlfn._xlws.FILTER($E878:$E888,($A878:$A888=$A878)*($J878:$J888=K$42)))),0)</f>
        <v>0</v>
      </c>
      <c r="L878" s="1023" cm="1">
        <f t="array" ref="L878">IFERROR(IF($A878=$A877,0,SUM(_xlfn._xlws.FILTER($E878:$E888,($A878:$A888=$A878)*($J878:$J888=L$42)))),0)</f>
        <v>0</v>
      </c>
      <c r="M878" s="1023" cm="1">
        <f t="array" ref="M878">IFERROR(IF($A878=$A877,0,SUM(_xlfn._xlws.FILTER($E878:$E888,($A878:$A888=$A878)*($J878:$J888=M$42)))),0)</f>
        <v>0</v>
      </c>
      <c r="N878" s="1023" cm="1">
        <f t="array" ref="N878">IFERROR(IF($A878=$A877,0,SUM(_xlfn._xlws.FILTER($E878:$E888,($A878:$A888=$A878)*($J878:$J888=N$42)))),0)</f>
        <v>0</v>
      </c>
    </row>
    <row r="879" spans="5:14" x14ac:dyDescent="0.3">
      <c r="E879" s="1022">
        <f ca="1">IFERROR(C879*D879*_xlfn.XLOOKUP(B879,TabCalc[Ticker],TabCalc[Scale]),0)</f>
        <v>0</v>
      </c>
      <c r="F879" s="1023" cm="1">
        <f t="array" ref="F879">IF(A879=A878,0,SUM(_xlfn._xlws.FILTER(E879:E888,A879:A888=A879)))</f>
        <v>0</v>
      </c>
      <c r="G879" s="1024">
        <f>IF(F879&lt;&gt;0,SUM($F$43:F879),0)</f>
        <v>0</v>
      </c>
      <c r="H879" s="1024" cm="1">
        <f t="array" ref="H879">IFERROR(IF(A879=A878,0,SUM(_xlfn._xlws.FILTER(E879:E888,(A879:A888=A879)*(E879:E888&gt;0)))),0)</f>
        <v>0</v>
      </c>
      <c r="I879" s="1024" cm="1">
        <f t="array" ref="I879">IFERROR(IF(A879=A878,0,SUM(_xlfn._xlws.FILTER(E879:E888,(A879:A888=A879)*(F879&lt;0)))),0)</f>
        <v>0</v>
      </c>
      <c r="J879" s="293" t="str">
        <f ca="1">IFERROR(_xlfn.XLOOKUP(B879,TabCalc[Ticker],TabCalc[Cur]),"")</f>
        <v/>
      </c>
      <c r="K879" s="1023" cm="1">
        <f t="array" ref="K879">IFERROR(IF($A879=$A878,0,SUM(_xlfn._xlws.FILTER($E879:$E889,($A879:$A889=$A879)*($J879:$J889=K$42)))),0)</f>
        <v>0</v>
      </c>
      <c r="L879" s="1023" cm="1">
        <f t="array" ref="L879">IFERROR(IF($A879=$A878,0,SUM(_xlfn._xlws.FILTER($E879:$E889,($A879:$A889=$A879)*($J879:$J889=L$42)))),0)</f>
        <v>0</v>
      </c>
      <c r="M879" s="1023" cm="1">
        <f t="array" ref="M879">IFERROR(IF($A879=$A878,0,SUM(_xlfn._xlws.FILTER($E879:$E889,($A879:$A889=$A879)*($J879:$J889=M$42)))),0)</f>
        <v>0</v>
      </c>
      <c r="N879" s="1023" cm="1">
        <f t="array" ref="N879">IFERROR(IF($A879=$A878,0,SUM(_xlfn._xlws.FILTER($E879:$E889,($A879:$A889=$A879)*($J879:$J889=N$42)))),0)</f>
        <v>0</v>
      </c>
    </row>
    <row r="880" spans="5:14" x14ac:dyDescent="0.3">
      <c r="E880" s="1022">
        <f ca="1">IFERROR(C880*D880*_xlfn.XLOOKUP(B880,TabCalc[Ticker],TabCalc[Scale]),0)</f>
        <v>0</v>
      </c>
      <c r="F880" s="1023" cm="1">
        <f t="array" ref="F880">IF(A880=A879,0,SUM(_xlfn._xlws.FILTER(E880:E889,A880:A889=A880)))</f>
        <v>0</v>
      </c>
      <c r="G880" s="1024">
        <f>IF(F880&lt;&gt;0,SUM($F$43:F880),0)</f>
        <v>0</v>
      </c>
      <c r="H880" s="1024" cm="1">
        <f t="array" ref="H880">IFERROR(IF(A880=A879,0,SUM(_xlfn._xlws.FILTER(E880:E889,(A880:A889=A880)*(E880:E889&gt;0)))),0)</f>
        <v>0</v>
      </c>
      <c r="I880" s="1024" cm="1">
        <f t="array" ref="I880">IFERROR(IF(A880=A879,0,SUM(_xlfn._xlws.FILTER(E880:E889,(A880:A889=A880)*(F880&lt;0)))),0)</f>
        <v>0</v>
      </c>
      <c r="J880" s="293" t="str">
        <f ca="1">IFERROR(_xlfn.XLOOKUP(B880,TabCalc[Ticker],TabCalc[Cur]),"")</f>
        <v/>
      </c>
      <c r="K880" s="1023" cm="1">
        <f t="array" ref="K880">IFERROR(IF($A880=$A879,0,SUM(_xlfn._xlws.FILTER($E880:$E890,($A880:$A890=$A880)*($J880:$J890=K$42)))),0)</f>
        <v>0</v>
      </c>
      <c r="L880" s="1023" cm="1">
        <f t="array" ref="L880">IFERROR(IF($A880=$A879,0,SUM(_xlfn._xlws.FILTER($E880:$E890,($A880:$A890=$A880)*($J880:$J890=L$42)))),0)</f>
        <v>0</v>
      </c>
      <c r="M880" s="1023" cm="1">
        <f t="array" ref="M880">IFERROR(IF($A880=$A879,0,SUM(_xlfn._xlws.FILTER($E880:$E890,($A880:$A890=$A880)*($J880:$J890=M$42)))),0)</f>
        <v>0</v>
      </c>
      <c r="N880" s="1023" cm="1">
        <f t="array" ref="N880">IFERROR(IF($A880=$A879,0,SUM(_xlfn._xlws.FILTER($E880:$E890,($A880:$A890=$A880)*($J880:$J890=N$42)))),0)</f>
        <v>0</v>
      </c>
    </row>
    <row r="881" spans="5:14" x14ac:dyDescent="0.3">
      <c r="E881" s="1022">
        <f ca="1">IFERROR(C881*D881*_xlfn.XLOOKUP(B881,TabCalc[Ticker],TabCalc[Scale]),0)</f>
        <v>0</v>
      </c>
      <c r="F881" s="1023" cm="1">
        <f t="array" ref="F881">IF(A881=A880,0,SUM(_xlfn._xlws.FILTER(E881:E890,A881:A890=A881)))</f>
        <v>0</v>
      </c>
      <c r="G881" s="1024">
        <f>IF(F881&lt;&gt;0,SUM($F$43:F881),0)</f>
        <v>0</v>
      </c>
      <c r="H881" s="1024" cm="1">
        <f t="array" ref="H881">IFERROR(IF(A881=A880,0,SUM(_xlfn._xlws.FILTER(E881:E890,(A881:A890=A881)*(E881:E890&gt;0)))),0)</f>
        <v>0</v>
      </c>
      <c r="I881" s="1024" cm="1">
        <f t="array" ref="I881">IFERROR(IF(A881=A880,0,SUM(_xlfn._xlws.FILTER(E881:E890,(A881:A890=A881)*(F881&lt;0)))),0)</f>
        <v>0</v>
      </c>
      <c r="J881" s="293" t="str">
        <f ca="1">IFERROR(_xlfn.XLOOKUP(B881,TabCalc[Ticker],TabCalc[Cur]),"")</f>
        <v/>
      </c>
      <c r="K881" s="1023" cm="1">
        <f t="array" ref="K881">IFERROR(IF($A881=$A880,0,SUM(_xlfn._xlws.FILTER($E881:$E891,($A881:$A891=$A881)*($J881:$J891=K$42)))),0)</f>
        <v>0</v>
      </c>
      <c r="L881" s="1023" cm="1">
        <f t="array" ref="L881">IFERROR(IF($A881=$A880,0,SUM(_xlfn._xlws.FILTER($E881:$E891,($A881:$A891=$A881)*($J881:$J891=L$42)))),0)</f>
        <v>0</v>
      </c>
      <c r="M881" s="1023" cm="1">
        <f t="array" ref="M881">IFERROR(IF($A881=$A880,0,SUM(_xlfn._xlws.FILTER($E881:$E891,($A881:$A891=$A881)*($J881:$J891=M$42)))),0)</f>
        <v>0</v>
      </c>
      <c r="N881" s="1023" cm="1">
        <f t="array" ref="N881">IFERROR(IF($A881=$A880,0,SUM(_xlfn._xlws.FILTER($E881:$E891,($A881:$A891=$A881)*($J881:$J891=N$42)))),0)</f>
        <v>0</v>
      </c>
    </row>
    <row r="882" spans="5:14" x14ac:dyDescent="0.3">
      <c r="E882" s="1022">
        <f ca="1">IFERROR(C882*D882*_xlfn.XLOOKUP(B882,TabCalc[Ticker],TabCalc[Scale]),0)</f>
        <v>0</v>
      </c>
      <c r="F882" s="1023" cm="1">
        <f t="array" ref="F882">IF(A882=A881,0,SUM(_xlfn._xlws.FILTER(E882:E891,A882:A891=A882)))</f>
        <v>0</v>
      </c>
      <c r="G882" s="1024">
        <f>IF(F882&lt;&gt;0,SUM($F$43:F882),0)</f>
        <v>0</v>
      </c>
      <c r="H882" s="1024" cm="1">
        <f t="array" ref="H882">IFERROR(IF(A882=A881,0,SUM(_xlfn._xlws.FILTER(E882:E891,(A882:A891=A882)*(E882:E891&gt;0)))),0)</f>
        <v>0</v>
      </c>
      <c r="I882" s="1024" cm="1">
        <f t="array" ref="I882">IFERROR(IF(A882=A881,0,SUM(_xlfn._xlws.FILTER(E882:E891,(A882:A891=A882)*(F882&lt;0)))),0)</f>
        <v>0</v>
      </c>
      <c r="J882" s="293" t="str">
        <f ca="1">IFERROR(_xlfn.XLOOKUP(B882,TabCalc[Ticker],TabCalc[Cur]),"")</f>
        <v/>
      </c>
      <c r="K882" s="1023" cm="1">
        <f t="array" ref="K882">IFERROR(IF($A882=$A881,0,SUM(_xlfn._xlws.FILTER($E882:$E892,($A882:$A892=$A882)*($J882:$J892=K$42)))),0)</f>
        <v>0</v>
      </c>
      <c r="L882" s="1023" cm="1">
        <f t="array" ref="L882">IFERROR(IF($A882=$A881,0,SUM(_xlfn._xlws.FILTER($E882:$E892,($A882:$A892=$A882)*($J882:$J892=L$42)))),0)</f>
        <v>0</v>
      </c>
      <c r="M882" s="1023" cm="1">
        <f t="array" ref="M882">IFERROR(IF($A882=$A881,0,SUM(_xlfn._xlws.FILTER($E882:$E892,($A882:$A892=$A882)*($J882:$J892=M$42)))),0)</f>
        <v>0</v>
      </c>
      <c r="N882" s="1023" cm="1">
        <f t="array" ref="N882">IFERROR(IF($A882=$A881,0,SUM(_xlfn._xlws.FILTER($E882:$E892,($A882:$A892=$A882)*($J882:$J892=N$42)))),0)</f>
        <v>0</v>
      </c>
    </row>
    <row r="883" spans="5:14" x14ac:dyDescent="0.3">
      <c r="E883" s="1022">
        <f ca="1">IFERROR(C883*D883*_xlfn.XLOOKUP(B883,TabCalc[Ticker],TabCalc[Scale]),0)</f>
        <v>0</v>
      </c>
      <c r="F883" s="1023" cm="1">
        <f t="array" ref="F883">IF(A883=A882,0,SUM(_xlfn._xlws.FILTER(E883:E892,A883:A892=A883)))</f>
        <v>0</v>
      </c>
      <c r="G883" s="1024">
        <f>IF(F883&lt;&gt;0,SUM($F$43:F883),0)</f>
        <v>0</v>
      </c>
      <c r="H883" s="1024" cm="1">
        <f t="array" ref="H883">IFERROR(IF(A883=A882,0,SUM(_xlfn._xlws.FILTER(E883:E892,(A883:A892=A883)*(E883:E892&gt;0)))),0)</f>
        <v>0</v>
      </c>
      <c r="I883" s="1024" cm="1">
        <f t="array" ref="I883">IFERROR(IF(A883=A882,0,SUM(_xlfn._xlws.FILTER(E883:E892,(A883:A892=A883)*(F883&lt;0)))),0)</f>
        <v>0</v>
      </c>
      <c r="J883" s="293" t="str">
        <f ca="1">IFERROR(_xlfn.XLOOKUP(B883,TabCalc[Ticker],TabCalc[Cur]),"")</f>
        <v/>
      </c>
      <c r="K883" s="1023" cm="1">
        <f t="array" ref="K883">IFERROR(IF($A883=$A882,0,SUM(_xlfn._xlws.FILTER($E883:$E893,($A883:$A893=$A883)*($J883:$J893=K$42)))),0)</f>
        <v>0</v>
      </c>
      <c r="L883" s="1023" cm="1">
        <f t="array" ref="L883">IFERROR(IF($A883=$A882,0,SUM(_xlfn._xlws.FILTER($E883:$E893,($A883:$A893=$A883)*($J883:$J893=L$42)))),0)</f>
        <v>0</v>
      </c>
      <c r="M883" s="1023" cm="1">
        <f t="array" ref="M883">IFERROR(IF($A883=$A882,0,SUM(_xlfn._xlws.FILTER($E883:$E893,($A883:$A893=$A883)*($J883:$J893=M$42)))),0)</f>
        <v>0</v>
      </c>
      <c r="N883" s="1023" cm="1">
        <f t="array" ref="N883">IFERROR(IF($A883=$A882,0,SUM(_xlfn._xlws.FILTER($E883:$E893,($A883:$A893=$A883)*($J883:$J893=N$42)))),0)</f>
        <v>0</v>
      </c>
    </row>
    <row r="884" spans="5:14" x14ac:dyDescent="0.3">
      <c r="E884" s="1022">
        <f ca="1">IFERROR(C884*D884*_xlfn.XLOOKUP(B884,TabCalc[Ticker],TabCalc[Scale]),0)</f>
        <v>0</v>
      </c>
      <c r="F884" s="1023" cm="1">
        <f t="array" ref="F884">IF(A884=A883,0,SUM(_xlfn._xlws.FILTER(E884:E893,A884:A893=A884)))</f>
        <v>0</v>
      </c>
      <c r="G884" s="1024">
        <f>IF(F884&lt;&gt;0,SUM($F$43:F884),0)</f>
        <v>0</v>
      </c>
      <c r="H884" s="1024" cm="1">
        <f t="array" ref="H884">IFERROR(IF(A884=A883,0,SUM(_xlfn._xlws.FILTER(E884:E893,(A884:A893=A884)*(E884:E893&gt;0)))),0)</f>
        <v>0</v>
      </c>
      <c r="I884" s="1024" cm="1">
        <f t="array" ref="I884">IFERROR(IF(A884=A883,0,SUM(_xlfn._xlws.FILTER(E884:E893,(A884:A893=A884)*(F884&lt;0)))),0)</f>
        <v>0</v>
      </c>
      <c r="J884" s="293" t="str">
        <f ca="1">IFERROR(_xlfn.XLOOKUP(B884,TabCalc[Ticker],TabCalc[Cur]),"")</f>
        <v/>
      </c>
      <c r="K884" s="1023" cm="1">
        <f t="array" ref="K884">IFERROR(IF($A884=$A883,0,SUM(_xlfn._xlws.FILTER($E884:$E894,($A884:$A894=$A884)*($J884:$J894=K$42)))),0)</f>
        <v>0</v>
      </c>
      <c r="L884" s="1023" cm="1">
        <f t="array" ref="L884">IFERROR(IF($A884=$A883,0,SUM(_xlfn._xlws.FILTER($E884:$E894,($A884:$A894=$A884)*($J884:$J894=L$42)))),0)</f>
        <v>0</v>
      </c>
      <c r="M884" s="1023" cm="1">
        <f t="array" ref="M884">IFERROR(IF($A884=$A883,0,SUM(_xlfn._xlws.FILTER($E884:$E894,($A884:$A894=$A884)*($J884:$J894=M$42)))),0)</f>
        <v>0</v>
      </c>
      <c r="N884" s="1023" cm="1">
        <f t="array" ref="N884">IFERROR(IF($A884=$A883,0,SUM(_xlfn._xlws.FILTER($E884:$E894,($A884:$A894=$A884)*($J884:$J894=N$42)))),0)</f>
        <v>0</v>
      </c>
    </row>
    <row r="885" spans="5:14" x14ac:dyDescent="0.3">
      <c r="E885" s="1022">
        <f ca="1">IFERROR(C885*D885*_xlfn.XLOOKUP(B885,TabCalc[Ticker],TabCalc[Scale]),0)</f>
        <v>0</v>
      </c>
      <c r="F885" s="1023" cm="1">
        <f t="array" ref="F885">IF(A885=A884,0,SUM(_xlfn._xlws.FILTER(E885:E894,A885:A894=A885)))</f>
        <v>0</v>
      </c>
      <c r="G885" s="1024">
        <f>IF(F885&lt;&gt;0,SUM($F$43:F885),0)</f>
        <v>0</v>
      </c>
      <c r="H885" s="1024" cm="1">
        <f t="array" ref="H885">IFERROR(IF(A885=A884,0,SUM(_xlfn._xlws.FILTER(E885:E894,(A885:A894=A885)*(E885:E894&gt;0)))),0)</f>
        <v>0</v>
      </c>
      <c r="I885" s="1024" cm="1">
        <f t="array" ref="I885">IFERROR(IF(A885=A884,0,SUM(_xlfn._xlws.FILTER(E885:E894,(A885:A894=A885)*(F885&lt;0)))),0)</f>
        <v>0</v>
      </c>
      <c r="J885" s="293" t="str">
        <f ca="1">IFERROR(_xlfn.XLOOKUP(B885,TabCalc[Ticker],TabCalc[Cur]),"")</f>
        <v/>
      </c>
      <c r="K885" s="1023" cm="1">
        <f t="array" ref="K885">IFERROR(IF($A885=$A884,0,SUM(_xlfn._xlws.FILTER($E885:$E895,($A885:$A895=$A885)*($J885:$J895=K$42)))),0)</f>
        <v>0</v>
      </c>
      <c r="L885" s="1023" cm="1">
        <f t="array" ref="L885">IFERROR(IF($A885=$A884,0,SUM(_xlfn._xlws.FILTER($E885:$E895,($A885:$A895=$A885)*($J885:$J895=L$42)))),0)</f>
        <v>0</v>
      </c>
      <c r="M885" s="1023" cm="1">
        <f t="array" ref="M885">IFERROR(IF($A885=$A884,0,SUM(_xlfn._xlws.FILTER($E885:$E895,($A885:$A895=$A885)*($J885:$J895=M$42)))),0)</f>
        <v>0</v>
      </c>
      <c r="N885" s="1023" cm="1">
        <f t="array" ref="N885">IFERROR(IF($A885=$A884,0,SUM(_xlfn._xlws.FILTER($E885:$E895,($A885:$A895=$A885)*($J885:$J895=N$42)))),0)</f>
        <v>0</v>
      </c>
    </row>
    <row r="886" spans="5:14" x14ac:dyDescent="0.3">
      <c r="E886" s="1022">
        <f ca="1">IFERROR(C886*D886*_xlfn.XLOOKUP(B886,TabCalc[Ticker],TabCalc[Scale]),0)</f>
        <v>0</v>
      </c>
      <c r="F886" s="1023" cm="1">
        <f t="array" ref="F886">IF(A886=A885,0,SUM(_xlfn._xlws.FILTER(E886:E895,A886:A895=A886)))</f>
        <v>0</v>
      </c>
      <c r="G886" s="1024">
        <f>IF(F886&lt;&gt;0,SUM($F$43:F886),0)</f>
        <v>0</v>
      </c>
      <c r="H886" s="1024" cm="1">
        <f t="array" ref="H886">IFERROR(IF(A886=A885,0,SUM(_xlfn._xlws.FILTER(E886:E895,(A886:A895=A886)*(E886:E895&gt;0)))),0)</f>
        <v>0</v>
      </c>
      <c r="I886" s="1024" cm="1">
        <f t="array" ref="I886">IFERROR(IF(A886=A885,0,SUM(_xlfn._xlws.FILTER(E886:E895,(A886:A895=A886)*(F886&lt;0)))),0)</f>
        <v>0</v>
      </c>
      <c r="J886" s="293" t="str">
        <f ca="1">IFERROR(_xlfn.XLOOKUP(B886,TabCalc[Ticker],TabCalc[Cur]),"")</f>
        <v/>
      </c>
      <c r="K886" s="1023" cm="1">
        <f t="array" ref="K886">IFERROR(IF($A886=$A885,0,SUM(_xlfn._xlws.FILTER($E886:$E896,($A886:$A896=$A886)*($J886:$J896=K$42)))),0)</f>
        <v>0</v>
      </c>
      <c r="L886" s="1023" cm="1">
        <f t="array" ref="L886">IFERROR(IF($A886=$A885,0,SUM(_xlfn._xlws.FILTER($E886:$E896,($A886:$A896=$A886)*($J886:$J896=L$42)))),0)</f>
        <v>0</v>
      </c>
      <c r="M886" s="1023" cm="1">
        <f t="array" ref="M886">IFERROR(IF($A886=$A885,0,SUM(_xlfn._xlws.FILTER($E886:$E896,($A886:$A896=$A886)*($J886:$J896=M$42)))),0)</f>
        <v>0</v>
      </c>
      <c r="N886" s="1023" cm="1">
        <f t="array" ref="N886">IFERROR(IF($A886=$A885,0,SUM(_xlfn._xlws.FILTER($E886:$E896,($A886:$A896=$A886)*($J886:$J896=N$42)))),0)</f>
        <v>0</v>
      </c>
    </row>
    <row r="887" spans="5:14" x14ac:dyDescent="0.3">
      <c r="E887" s="1022">
        <f ca="1">IFERROR(C887*D887*_xlfn.XLOOKUP(B887,TabCalc[Ticker],TabCalc[Scale]),0)</f>
        <v>0</v>
      </c>
      <c r="F887" s="1023" cm="1">
        <f t="array" ref="F887">IF(A887=A886,0,SUM(_xlfn._xlws.FILTER(E887:E896,A887:A896=A887)))</f>
        <v>0</v>
      </c>
      <c r="G887" s="1024">
        <f>IF(F887&lt;&gt;0,SUM($F$43:F887),0)</f>
        <v>0</v>
      </c>
      <c r="H887" s="1024" cm="1">
        <f t="array" ref="H887">IFERROR(IF(A887=A886,0,SUM(_xlfn._xlws.FILTER(E887:E896,(A887:A896=A887)*(E887:E896&gt;0)))),0)</f>
        <v>0</v>
      </c>
      <c r="I887" s="1024" cm="1">
        <f t="array" ref="I887">IFERROR(IF(A887=A886,0,SUM(_xlfn._xlws.FILTER(E887:E896,(A887:A896=A887)*(F887&lt;0)))),0)</f>
        <v>0</v>
      </c>
      <c r="J887" s="293" t="str">
        <f ca="1">IFERROR(_xlfn.XLOOKUP(B887,TabCalc[Ticker],TabCalc[Cur]),"")</f>
        <v/>
      </c>
      <c r="K887" s="1023" cm="1">
        <f t="array" ref="K887">IFERROR(IF($A887=$A886,0,SUM(_xlfn._xlws.FILTER($E887:$E897,($A887:$A897=$A887)*($J887:$J897=K$42)))),0)</f>
        <v>0</v>
      </c>
      <c r="L887" s="1023" cm="1">
        <f t="array" ref="L887">IFERROR(IF($A887=$A886,0,SUM(_xlfn._xlws.FILTER($E887:$E897,($A887:$A897=$A887)*($J887:$J897=L$42)))),0)</f>
        <v>0</v>
      </c>
      <c r="M887" s="1023" cm="1">
        <f t="array" ref="M887">IFERROR(IF($A887=$A886,0,SUM(_xlfn._xlws.FILTER($E887:$E897,($A887:$A897=$A887)*($J887:$J897=M$42)))),0)</f>
        <v>0</v>
      </c>
      <c r="N887" s="1023" cm="1">
        <f t="array" ref="N887">IFERROR(IF($A887=$A886,0,SUM(_xlfn._xlws.FILTER($E887:$E897,($A887:$A897=$A887)*($J887:$J897=N$42)))),0)</f>
        <v>0</v>
      </c>
    </row>
    <row r="888" spans="5:14" x14ac:dyDescent="0.3">
      <c r="E888" s="1022">
        <f ca="1">IFERROR(C888*D888*_xlfn.XLOOKUP(B888,TabCalc[Ticker],TabCalc[Scale]),0)</f>
        <v>0</v>
      </c>
      <c r="F888" s="1023" cm="1">
        <f t="array" ref="F888">IF(A888=A887,0,SUM(_xlfn._xlws.FILTER(E888:E897,A888:A897=A888)))</f>
        <v>0</v>
      </c>
      <c r="G888" s="1024">
        <f>IF(F888&lt;&gt;0,SUM($F$43:F888),0)</f>
        <v>0</v>
      </c>
      <c r="H888" s="1024" cm="1">
        <f t="array" ref="H888">IFERROR(IF(A888=A887,0,SUM(_xlfn._xlws.FILTER(E888:E897,(A888:A897=A888)*(E888:E897&gt;0)))),0)</f>
        <v>0</v>
      </c>
      <c r="I888" s="1024" cm="1">
        <f t="array" ref="I888">IFERROR(IF(A888=A887,0,SUM(_xlfn._xlws.FILTER(E888:E897,(A888:A897=A888)*(F888&lt;0)))),0)</f>
        <v>0</v>
      </c>
      <c r="J888" s="293" t="str">
        <f ca="1">IFERROR(_xlfn.XLOOKUP(B888,TabCalc[Ticker],TabCalc[Cur]),"")</f>
        <v/>
      </c>
      <c r="K888" s="1023" cm="1">
        <f t="array" ref="K888">IFERROR(IF($A888=$A887,0,SUM(_xlfn._xlws.FILTER($E888:$E898,($A888:$A898=$A888)*($J888:$J898=K$42)))),0)</f>
        <v>0</v>
      </c>
      <c r="L888" s="1023" cm="1">
        <f t="array" ref="L888">IFERROR(IF($A888=$A887,0,SUM(_xlfn._xlws.FILTER($E888:$E898,($A888:$A898=$A888)*($J888:$J898=L$42)))),0)</f>
        <v>0</v>
      </c>
      <c r="M888" s="1023" cm="1">
        <f t="array" ref="M888">IFERROR(IF($A888=$A887,0,SUM(_xlfn._xlws.FILTER($E888:$E898,($A888:$A898=$A888)*($J888:$J898=M$42)))),0)</f>
        <v>0</v>
      </c>
      <c r="N888" s="1023" cm="1">
        <f t="array" ref="N888">IFERROR(IF($A888=$A887,0,SUM(_xlfn._xlws.FILTER($E888:$E898,($A888:$A898=$A888)*($J888:$J898=N$42)))),0)</f>
        <v>0</v>
      </c>
    </row>
    <row r="889" spans="5:14" x14ac:dyDescent="0.3">
      <c r="E889" s="1022">
        <f ca="1">IFERROR(C889*D889*_xlfn.XLOOKUP(B889,TabCalc[Ticker],TabCalc[Scale]),0)</f>
        <v>0</v>
      </c>
      <c r="F889" s="1023" cm="1">
        <f t="array" ref="F889">IF(A889=A888,0,SUM(_xlfn._xlws.FILTER(E889:E898,A889:A898=A889)))</f>
        <v>0</v>
      </c>
      <c r="G889" s="1024">
        <f>IF(F889&lt;&gt;0,SUM($F$43:F889),0)</f>
        <v>0</v>
      </c>
      <c r="H889" s="1024" cm="1">
        <f t="array" ref="H889">IFERROR(IF(A889=A888,0,SUM(_xlfn._xlws.FILTER(E889:E898,(A889:A898=A889)*(E889:E898&gt;0)))),0)</f>
        <v>0</v>
      </c>
      <c r="I889" s="1024" cm="1">
        <f t="array" ref="I889">IFERROR(IF(A889=A888,0,SUM(_xlfn._xlws.FILTER(E889:E898,(A889:A898=A889)*(F889&lt;0)))),0)</f>
        <v>0</v>
      </c>
      <c r="J889" s="293" t="str">
        <f ca="1">IFERROR(_xlfn.XLOOKUP(B889,TabCalc[Ticker],TabCalc[Cur]),"")</f>
        <v/>
      </c>
      <c r="K889" s="1023" cm="1">
        <f t="array" ref="K889">IFERROR(IF($A889=$A888,0,SUM(_xlfn._xlws.FILTER($E889:$E899,($A889:$A899=$A889)*($J889:$J899=K$42)))),0)</f>
        <v>0</v>
      </c>
      <c r="L889" s="1023" cm="1">
        <f t="array" ref="L889">IFERROR(IF($A889=$A888,0,SUM(_xlfn._xlws.FILTER($E889:$E899,($A889:$A899=$A889)*($J889:$J899=L$42)))),0)</f>
        <v>0</v>
      </c>
      <c r="M889" s="1023" cm="1">
        <f t="array" ref="M889">IFERROR(IF($A889=$A888,0,SUM(_xlfn._xlws.FILTER($E889:$E899,($A889:$A899=$A889)*($J889:$J899=M$42)))),0)</f>
        <v>0</v>
      </c>
      <c r="N889" s="1023" cm="1">
        <f t="array" ref="N889">IFERROR(IF($A889=$A888,0,SUM(_xlfn._xlws.FILTER($E889:$E899,($A889:$A899=$A889)*($J889:$J899=N$42)))),0)</f>
        <v>0</v>
      </c>
    </row>
    <row r="890" spans="5:14" x14ac:dyDescent="0.3">
      <c r="E890" s="1022">
        <f ca="1">IFERROR(C890*D890*_xlfn.XLOOKUP(B890,TabCalc[Ticker],TabCalc[Scale]),0)</f>
        <v>0</v>
      </c>
      <c r="F890" s="1023" cm="1">
        <f t="array" ref="F890">IF(A890=A889,0,SUM(_xlfn._xlws.FILTER(E890:E899,A890:A899=A890)))</f>
        <v>0</v>
      </c>
      <c r="G890" s="1024">
        <f>IF(F890&lt;&gt;0,SUM($F$43:F890),0)</f>
        <v>0</v>
      </c>
      <c r="H890" s="1024" cm="1">
        <f t="array" ref="H890">IFERROR(IF(A890=A889,0,SUM(_xlfn._xlws.FILTER(E890:E899,(A890:A899=A890)*(E890:E899&gt;0)))),0)</f>
        <v>0</v>
      </c>
      <c r="I890" s="1024" cm="1">
        <f t="array" ref="I890">IFERROR(IF(A890=A889,0,SUM(_xlfn._xlws.FILTER(E890:E899,(A890:A899=A890)*(F890&lt;0)))),0)</f>
        <v>0</v>
      </c>
      <c r="J890" s="293" t="str">
        <f ca="1">IFERROR(_xlfn.XLOOKUP(B890,TabCalc[Ticker],TabCalc[Cur]),"")</f>
        <v/>
      </c>
      <c r="K890" s="1023" cm="1">
        <f t="array" ref="K890">IFERROR(IF($A890=$A889,0,SUM(_xlfn._xlws.FILTER($E890:$E900,($A890:$A900=$A890)*($J890:$J900=K$42)))),0)</f>
        <v>0</v>
      </c>
      <c r="L890" s="1023" cm="1">
        <f t="array" ref="L890">IFERROR(IF($A890=$A889,0,SUM(_xlfn._xlws.FILTER($E890:$E900,($A890:$A900=$A890)*($J890:$J900=L$42)))),0)</f>
        <v>0</v>
      </c>
      <c r="M890" s="1023" cm="1">
        <f t="array" ref="M890">IFERROR(IF($A890=$A889,0,SUM(_xlfn._xlws.FILTER($E890:$E900,($A890:$A900=$A890)*($J890:$J900=M$42)))),0)</f>
        <v>0</v>
      </c>
      <c r="N890" s="1023" cm="1">
        <f t="array" ref="N890">IFERROR(IF($A890=$A889,0,SUM(_xlfn._xlws.FILTER($E890:$E900,($A890:$A900=$A890)*($J890:$J900=N$42)))),0)</f>
        <v>0</v>
      </c>
    </row>
    <row r="891" spans="5:14" x14ac:dyDescent="0.3">
      <c r="E891" s="1022">
        <f ca="1">IFERROR(C891*D891*_xlfn.XLOOKUP(B891,TabCalc[Ticker],TabCalc[Scale]),0)</f>
        <v>0</v>
      </c>
      <c r="F891" s="1023" cm="1">
        <f t="array" ref="F891">IF(A891=A890,0,SUM(_xlfn._xlws.FILTER(E891:E900,A891:A900=A891)))</f>
        <v>0</v>
      </c>
      <c r="G891" s="1024">
        <f>IF(F891&lt;&gt;0,SUM($F$43:F891),0)</f>
        <v>0</v>
      </c>
      <c r="H891" s="1024" cm="1">
        <f t="array" ref="H891">IFERROR(IF(A891=A890,0,SUM(_xlfn._xlws.FILTER(E891:E900,(A891:A900=A891)*(E891:E900&gt;0)))),0)</f>
        <v>0</v>
      </c>
      <c r="I891" s="1024" cm="1">
        <f t="array" ref="I891">IFERROR(IF(A891=A890,0,SUM(_xlfn._xlws.FILTER(E891:E900,(A891:A900=A891)*(F891&lt;0)))),0)</f>
        <v>0</v>
      </c>
      <c r="J891" s="293" t="str">
        <f ca="1">IFERROR(_xlfn.XLOOKUP(B891,TabCalc[Ticker],TabCalc[Cur]),"")</f>
        <v/>
      </c>
      <c r="K891" s="1023" cm="1">
        <f t="array" ref="K891">IFERROR(IF($A891=$A890,0,SUM(_xlfn._xlws.FILTER($E891:$E901,($A891:$A901=$A891)*($J891:$J901=K$42)))),0)</f>
        <v>0</v>
      </c>
      <c r="L891" s="1023" cm="1">
        <f t="array" ref="L891">IFERROR(IF($A891=$A890,0,SUM(_xlfn._xlws.FILTER($E891:$E901,($A891:$A901=$A891)*($J891:$J901=L$42)))),0)</f>
        <v>0</v>
      </c>
      <c r="M891" s="1023" cm="1">
        <f t="array" ref="M891">IFERROR(IF($A891=$A890,0,SUM(_xlfn._xlws.FILTER($E891:$E901,($A891:$A901=$A891)*($J891:$J901=M$42)))),0)</f>
        <v>0</v>
      </c>
      <c r="N891" s="1023" cm="1">
        <f t="array" ref="N891">IFERROR(IF($A891=$A890,0,SUM(_xlfn._xlws.FILTER($E891:$E901,($A891:$A901=$A891)*($J891:$J901=N$42)))),0)</f>
        <v>0</v>
      </c>
    </row>
    <row r="892" spans="5:14" x14ac:dyDescent="0.3">
      <c r="E892" s="1022">
        <f ca="1">IFERROR(C892*D892*_xlfn.XLOOKUP(B892,TabCalc[Ticker],TabCalc[Scale]),0)</f>
        <v>0</v>
      </c>
      <c r="F892" s="1023" cm="1">
        <f t="array" ref="F892">IF(A892=A891,0,SUM(_xlfn._xlws.FILTER(E892:E901,A892:A901=A892)))</f>
        <v>0</v>
      </c>
      <c r="G892" s="1024">
        <f>IF(F892&lt;&gt;0,SUM($F$43:F892),0)</f>
        <v>0</v>
      </c>
      <c r="H892" s="1024" cm="1">
        <f t="array" ref="H892">IFERROR(IF(A892=A891,0,SUM(_xlfn._xlws.FILTER(E892:E901,(A892:A901=A892)*(E892:E901&gt;0)))),0)</f>
        <v>0</v>
      </c>
      <c r="I892" s="1024" cm="1">
        <f t="array" ref="I892">IFERROR(IF(A892=A891,0,SUM(_xlfn._xlws.FILTER(E892:E901,(A892:A901=A892)*(F892&lt;0)))),0)</f>
        <v>0</v>
      </c>
      <c r="J892" s="293" t="str">
        <f ca="1">IFERROR(_xlfn.XLOOKUP(B892,TabCalc[Ticker],TabCalc[Cur]),"")</f>
        <v/>
      </c>
      <c r="K892" s="1023" cm="1">
        <f t="array" ref="K892">IFERROR(IF($A892=$A891,0,SUM(_xlfn._xlws.FILTER($E892:$E902,($A892:$A902=$A892)*($J892:$J902=K$42)))),0)</f>
        <v>0</v>
      </c>
      <c r="L892" s="1023" cm="1">
        <f t="array" ref="L892">IFERROR(IF($A892=$A891,0,SUM(_xlfn._xlws.FILTER($E892:$E902,($A892:$A902=$A892)*($J892:$J902=L$42)))),0)</f>
        <v>0</v>
      </c>
      <c r="M892" s="1023" cm="1">
        <f t="array" ref="M892">IFERROR(IF($A892=$A891,0,SUM(_xlfn._xlws.FILTER($E892:$E902,($A892:$A902=$A892)*($J892:$J902=M$42)))),0)</f>
        <v>0</v>
      </c>
      <c r="N892" s="1023" cm="1">
        <f t="array" ref="N892">IFERROR(IF($A892=$A891,0,SUM(_xlfn._xlws.FILTER($E892:$E902,($A892:$A902=$A892)*($J892:$J902=N$42)))),0)</f>
        <v>0</v>
      </c>
    </row>
    <row r="893" spans="5:14" x14ac:dyDescent="0.3">
      <c r="E893" s="1022">
        <f ca="1">IFERROR(C893*D893*_xlfn.XLOOKUP(B893,TabCalc[Ticker],TabCalc[Scale]),0)</f>
        <v>0</v>
      </c>
      <c r="F893" s="1023" cm="1">
        <f t="array" ref="F893">IF(A893=A892,0,SUM(_xlfn._xlws.FILTER(E893:E902,A893:A902=A893)))</f>
        <v>0</v>
      </c>
      <c r="G893" s="1024">
        <f>IF(F893&lt;&gt;0,SUM($F$43:F893),0)</f>
        <v>0</v>
      </c>
      <c r="H893" s="1024" cm="1">
        <f t="array" ref="H893">IFERROR(IF(A893=A892,0,SUM(_xlfn._xlws.FILTER(E893:E902,(A893:A902=A893)*(E893:E902&gt;0)))),0)</f>
        <v>0</v>
      </c>
      <c r="I893" s="1024" cm="1">
        <f t="array" ref="I893">IFERROR(IF(A893=A892,0,SUM(_xlfn._xlws.FILTER(E893:E902,(A893:A902=A893)*(F893&lt;0)))),0)</f>
        <v>0</v>
      </c>
      <c r="J893" s="293" t="str">
        <f ca="1">IFERROR(_xlfn.XLOOKUP(B893,TabCalc[Ticker],TabCalc[Cur]),"")</f>
        <v/>
      </c>
      <c r="K893" s="1023" cm="1">
        <f t="array" ref="K893">IFERROR(IF($A893=$A892,0,SUM(_xlfn._xlws.FILTER($E893:$E903,($A893:$A903=$A893)*($J893:$J903=K$42)))),0)</f>
        <v>0</v>
      </c>
      <c r="L893" s="1023" cm="1">
        <f t="array" ref="L893">IFERROR(IF($A893=$A892,0,SUM(_xlfn._xlws.FILTER($E893:$E903,($A893:$A903=$A893)*($J893:$J903=L$42)))),0)</f>
        <v>0</v>
      </c>
      <c r="M893" s="1023" cm="1">
        <f t="array" ref="M893">IFERROR(IF($A893=$A892,0,SUM(_xlfn._xlws.FILTER($E893:$E903,($A893:$A903=$A893)*($J893:$J903=M$42)))),0)</f>
        <v>0</v>
      </c>
      <c r="N893" s="1023" cm="1">
        <f t="array" ref="N893">IFERROR(IF($A893=$A892,0,SUM(_xlfn._xlws.FILTER($E893:$E903,($A893:$A903=$A893)*($J893:$J903=N$42)))),0)</f>
        <v>0</v>
      </c>
    </row>
    <row r="894" spans="5:14" x14ac:dyDescent="0.3">
      <c r="E894" s="1022">
        <f ca="1">IFERROR(C894*D894*_xlfn.XLOOKUP(B894,TabCalc[Ticker],TabCalc[Scale]),0)</f>
        <v>0</v>
      </c>
      <c r="F894" s="1023" cm="1">
        <f t="array" ref="F894">IF(A894=A893,0,SUM(_xlfn._xlws.FILTER(E894:E903,A894:A903=A894)))</f>
        <v>0</v>
      </c>
      <c r="G894" s="1024">
        <f>IF(F894&lt;&gt;0,SUM($F$43:F894),0)</f>
        <v>0</v>
      </c>
      <c r="H894" s="1024" cm="1">
        <f t="array" ref="H894">IFERROR(IF(A894=A893,0,SUM(_xlfn._xlws.FILTER(E894:E903,(A894:A903=A894)*(E894:E903&gt;0)))),0)</f>
        <v>0</v>
      </c>
      <c r="I894" s="1024" cm="1">
        <f t="array" ref="I894">IFERROR(IF(A894=A893,0,SUM(_xlfn._xlws.FILTER(E894:E903,(A894:A903=A894)*(F894&lt;0)))),0)</f>
        <v>0</v>
      </c>
      <c r="J894" s="293" t="str">
        <f ca="1">IFERROR(_xlfn.XLOOKUP(B894,TabCalc[Ticker],TabCalc[Cur]),"")</f>
        <v/>
      </c>
      <c r="K894" s="1023" cm="1">
        <f t="array" ref="K894">IFERROR(IF($A894=$A893,0,SUM(_xlfn._xlws.FILTER($E894:$E904,($A894:$A904=$A894)*($J894:$J904=K$42)))),0)</f>
        <v>0</v>
      </c>
      <c r="L894" s="1023" cm="1">
        <f t="array" ref="L894">IFERROR(IF($A894=$A893,0,SUM(_xlfn._xlws.FILTER($E894:$E904,($A894:$A904=$A894)*($J894:$J904=L$42)))),0)</f>
        <v>0</v>
      </c>
      <c r="M894" s="1023" cm="1">
        <f t="array" ref="M894">IFERROR(IF($A894=$A893,0,SUM(_xlfn._xlws.FILTER($E894:$E904,($A894:$A904=$A894)*($J894:$J904=M$42)))),0)</f>
        <v>0</v>
      </c>
      <c r="N894" s="1023" cm="1">
        <f t="array" ref="N894">IFERROR(IF($A894=$A893,0,SUM(_xlfn._xlws.FILTER($E894:$E904,($A894:$A904=$A894)*($J894:$J904=N$42)))),0)</f>
        <v>0</v>
      </c>
    </row>
    <row r="895" spans="5:14" x14ac:dyDescent="0.3">
      <c r="E895" s="1022">
        <f ca="1">IFERROR(C895*D895*_xlfn.XLOOKUP(B895,TabCalc[Ticker],TabCalc[Scale]),0)</f>
        <v>0</v>
      </c>
      <c r="F895" s="1023" cm="1">
        <f t="array" ref="F895">IF(A895=A894,0,SUM(_xlfn._xlws.FILTER(E895:E904,A895:A904=A895)))</f>
        <v>0</v>
      </c>
      <c r="G895" s="1024">
        <f>IF(F895&lt;&gt;0,SUM($F$43:F895),0)</f>
        <v>0</v>
      </c>
      <c r="H895" s="1024" cm="1">
        <f t="array" ref="H895">IFERROR(IF(A895=A894,0,SUM(_xlfn._xlws.FILTER(E895:E904,(A895:A904=A895)*(E895:E904&gt;0)))),0)</f>
        <v>0</v>
      </c>
      <c r="I895" s="1024" cm="1">
        <f t="array" ref="I895">IFERROR(IF(A895=A894,0,SUM(_xlfn._xlws.FILTER(E895:E904,(A895:A904=A895)*(F895&lt;0)))),0)</f>
        <v>0</v>
      </c>
      <c r="J895" s="293" t="str">
        <f ca="1">IFERROR(_xlfn.XLOOKUP(B895,TabCalc[Ticker],TabCalc[Cur]),"")</f>
        <v/>
      </c>
      <c r="K895" s="1023" cm="1">
        <f t="array" ref="K895">IFERROR(IF($A895=$A894,0,SUM(_xlfn._xlws.FILTER($E895:$E905,($A895:$A905=$A895)*($J895:$J905=K$42)))),0)</f>
        <v>0</v>
      </c>
      <c r="L895" s="1023" cm="1">
        <f t="array" ref="L895">IFERROR(IF($A895=$A894,0,SUM(_xlfn._xlws.FILTER($E895:$E905,($A895:$A905=$A895)*($J895:$J905=L$42)))),0)</f>
        <v>0</v>
      </c>
      <c r="M895" s="1023" cm="1">
        <f t="array" ref="M895">IFERROR(IF($A895=$A894,0,SUM(_xlfn._xlws.FILTER($E895:$E905,($A895:$A905=$A895)*($J895:$J905=M$42)))),0)</f>
        <v>0</v>
      </c>
      <c r="N895" s="1023" cm="1">
        <f t="array" ref="N895">IFERROR(IF($A895=$A894,0,SUM(_xlfn._xlws.FILTER($E895:$E905,($A895:$A905=$A895)*($J895:$J905=N$42)))),0)</f>
        <v>0</v>
      </c>
    </row>
    <row r="896" spans="5:14" x14ac:dyDescent="0.3">
      <c r="E896" s="1022">
        <f ca="1">IFERROR(C896*D896*_xlfn.XLOOKUP(B896,TabCalc[Ticker],TabCalc[Scale]),0)</f>
        <v>0</v>
      </c>
      <c r="F896" s="1023" cm="1">
        <f t="array" ref="F896">IF(A896=A895,0,SUM(_xlfn._xlws.FILTER(E896:E905,A896:A905=A896)))</f>
        <v>0</v>
      </c>
      <c r="G896" s="1024">
        <f>IF(F896&lt;&gt;0,SUM($F$43:F896),0)</f>
        <v>0</v>
      </c>
      <c r="H896" s="1024" cm="1">
        <f t="array" ref="H896">IFERROR(IF(A896=A895,0,SUM(_xlfn._xlws.FILTER(E896:E905,(A896:A905=A896)*(E896:E905&gt;0)))),0)</f>
        <v>0</v>
      </c>
      <c r="I896" s="1024" cm="1">
        <f t="array" ref="I896">IFERROR(IF(A896=A895,0,SUM(_xlfn._xlws.FILTER(E896:E905,(A896:A905=A896)*(F896&lt;0)))),0)</f>
        <v>0</v>
      </c>
      <c r="J896" s="293" t="str">
        <f ca="1">IFERROR(_xlfn.XLOOKUP(B896,TabCalc[Ticker],TabCalc[Cur]),"")</f>
        <v/>
      </c>
      <c r="K896" s="1023" cm="1">
        <f t="array" ref="K896">IFERROR(IF($A896=$A895,0,SUM(_xlfn._xlws.FILTER($E896:$E906,($A896:$A906=$A896)*($J896:$J906=K$42)))),0)</f>
        <v>0</v>
      </c>
      <c r="L896" s="1023" cm="1">
        <f t="array" ref="L896">IFERROR(IF($A896=$A895,0,SUM(_xlfn._xlws.FILTER($E896:$E906,($A896:$A906=$A896)*($J896:$J906=L$42)))),0)</f>
        <v>0</v>
      </c>
      <c r="M896" s="1023" cm="1">
        <f t="array" ref="M896">IFERROR(IF($A896=$A895,0,SUM(_xlfn._xlws.FILTER($E896:$E906,($A896:$A906=$A896)*($J896:$J906=M$42)))),0)</f>
        <v>0</v>
      </c>
      <c r="N896" s="1023" cm="1">
        <f t="array" ref="N896">IFERROR(IF($A896=$A895,0,SUM(_xlfn._xlws.FILTER($E896:$E906,($A896:$A906=$A896)*($J896:$J906=N$42)))),0)</f>
        <v>0</v>
      </c>
    </row>
    <row r="897" spans="5:14" x14ac:dyDescent="0.3">
      <c r="E897" s="1022">
        <f ca="1">IFERROR(C897*D897*_xlfn.XLOOKUP(B897,TabCalc[Ticker],TabCalc[Scale]),0)</f>
        <v>0</v>
      </c>
      <c r="F897" s="1023" cm="1">
        <f t="array" ref="F897">IF(A897=A896,0,SUM(_xlfn._xlws.FILTER(E897:E906,A897:A906=A897)))</f>
        <v>0</v>
      </c>
      <c r="G897" s="1024">
        <f>IF(F897&lt;&gt;0,SUM($F$43:F897),0)</f>
        <v>0</v>
      </c>
      <c r="H897" s="1024" cm="1">
        <f t="array" ref="H897">IFERROR(IF(A897=A896,0,SUM(_xlfn._xlws.FILTER(E897:E906,(A897:A906=A897)*(E897:E906&gt;0)))),0)</f>
        <v>0</v>
      </c>
      <c r="I897" s="1024" cm="1">
        <f t="array" ref="I897">IFERROR(IF(A897=A896,0,SUM(_xlfn._xlws.FILTER(E897:E906,(A897:A906=A897)*(F897&lt;0)))),0)</f>
        <v>0</v>
      </c>
      <c r="J897" s="293" t="str">
        <f ca="1">IFERROR(_xlfn.XLOOKUP(B897,TabCalc[Ticker],TabCalc[Cur]),"")</f>
        <v/>
      </c>
      <c r="K897" s="1023" cm="1">
        <f t="array" ref="K897">IFERROR(IF($A897=$A896,0,SUM(_xlfn._xlws.FILTER($E897:$E907,($A897:$A907=$A897)*($J897:$J907=K$42)))),0)</f>
        <v>0</v>
      </c>
      <c r="L897" s="1023" cm="1">
        <f t="array" ref="L897">IFERROR(IF($A897=$A896,0,SUM(_xlfn._xlws.FILTER($E897:$E907,($A897:$A907=$A897)*($J897:$J907=L$42)))),0)</f>
        <v>0</v>
      </c>
      <c r="M897" s="1023" cm="1">
        <f t="array" ref="M897">IFERROR(IF($A897=$A896,0,SUM(_xlfn._xlws.FILTER($E897:$E907,($A897:$A907=$A897)*($J897:$J907=M$42)))),0)</f>
        <v>0</v>
      </c>
      <c r="N897" s="1023" cm="1">
        <f t="array" ref="N897">IFERROR(IF($A897=$A896,0,SUM(_xlfn._xlws.FILTER($E897:$E907,($A897:$A907=$A897)*($J897:$J907=N$42)))),0)</f>
        <v>0</v>
      </c>
    </row>
    <row r="898" spans="5:14" x14ac:dyDescent="0.3">
      <c r="E898" s="1022">
        <f ca="1">IFERROR(C898*D898*_xlfn.XLOOKUP(B898,TabCalc[Ticker],TabCalc[Scale]),0)</f>
        <v>0</v>
      </c>
      <c r="F898" s="1023" cm="1">
        <f t="array" ref="F898">IF(A898=A897,0,SUM(_xlfn._xlws.FILTER(E898:E907,A898:A907=A898)))</f>
        <v>0</v>
      </c>
      <c r="G898" s="1024">
        <f>IF(F898&lt;&gt;0,SUM($F$43:F898),0)</f>
        <v>0</v>
      </c>
      <c r="H898" s="1024" cm="1">
        <f t="array" ref="H898">IFERROR(IF(A898=A897,0,SUM(_xlfn._xlws.FILTER(E898:E907,(A898:A907=A898)*(E898:E907&gt;0)))),0)</f>
        <v>0</v>
      </c>
      <c r="I898" s="1024" cm="1">
        <f t="array" ref="I898">IFERROR(IF(A898=A897,0,SUM(_xlfn._xlws.FILTER(E898:E907,(A898:A907=A898)*(F898&lt;0)))),0)</f>
        <v>0</v>
      </c>
      <c r="J898" s="293" t="str">
        <f ca="1">IFERROR(_xlfn.XLOOKUP(B898,TabCalc[Ticker],TabCalc[Cur]),"")</f>
        <v/>
      </c>
      <c r="K898" s="1023" cm="1">
        <f t="array" ref="K898">IFERROR(IF($A898=$A897,0,SUM(_xlfn._xlws.FILTER($E898:$E908,($A898:$A908=$A898)*($J898:$J908=K$42)))),0)</f>
        <v>0</v>
      </c>
      <c r="L898" s="1023" cm="1">
        <f t="array" ref="L898">IFERROR(IF($A898=$A897,0,SUM(_xlfn._xlws.FILTER($E898:$E908,($A898:$A908=$A898)*($J898:$J908=L$42)))),0)</f>
        <v>0</v>
      </c>
      <c r="M898" s="1023" cm="1">
        <f t="array" ref="M898">IFERROR(IF($A898=$A897,0,SUM(_xlfn._xlws.FILTER($E898:$E908,($A898:$A908=$A898)*($J898:$J908=M$42)))),0)</f>
        <v>0</v>
      </c>
      <c r="N898" s="1023" cm="1">
        <f t="array" ref="N898">IFERROR(IF($A898=$A897,0,SUM(_xlfn._xlws.FILTER($E898:$E908,($A898:$A908=$A898)*($J898:$J908=N$42)))),0)</f>
        <v>0</v>
      </c>
    </row>
    <row r="899" spans="5:14" x14ac:dyDescent="0.3">
      <c r="E899" s="1022">
        <f ca="1">IFERROR(C899*D899*_xlfn.XLOOKUP(B899,TabCalc[Ticker],TabCalc[Scale]),0)</f>
        <v>0</v>
      </c>
      <c r="F899" s="1023" cm="1">
        <f t="array" ref="F899">IF(A899=A898,0,SUM(_xlfn._xlws.FILTER(E899:E908,A899:A908=A899)))</f>
        <v>0</v>
      </c>
      <c r="G899" s="1024">
        <f>IF(F899&lt;&gt;0,SUM($F$43:F899),0)</f>
        <v>0</v>
      </c>
      <c r="H899" s="1024" cm="1">
        <f t="array" ref="H899">IFERROR(IF(A899=A898,0,SUM(_xlfn._xlws.FILTER(E899:E908,(A899:A908=A899)*(E899:E908&gt;0)))),0)</f>
        <v>0</v>
      </c>
      <c r="I899" s="1024" cm="1">
        <f t="array" ref="I899">IFERROR(IF(A899=A898,0,SUM(_xlfn._xlws.FILTER(E899:E908,(A899:A908=A899)*(F899&lt;0)))),0)</f>
        <v>0</v>
      </c>
      <c r="J899" s="293" t="str">
        <f ca="1">IFERROR(_xlfn.XLOOKUP(B899,TabCalc[Ticker],TabCalc[Cur]),"")</f>
        <v/>
      </c>
      <c r="K899" s="1023" cm="1">
        <f t="array" ref="K899">IFERROR(IF($A899=$A898,0,SUM(_xlfn._xlws.FILTER($E899:$E909,($A899:$A909=$A899)*($J899:$J909=K$42)))),0)</f>
        <v>0</v>
      </c>
      <c r="L899" s="1023" cm="1">
        <f t="array" ref="L899">IFERROR(IF($A899=$A898,0,SUM(_xlfn._xlws.FILTER($E899:$E909,($A899:$A909=$A899)*($J899:$J909=L$42)))),0)</f>
        <v>0</v>
      </c>
      <c r="M899" s="1023" cm="1">
        <f t="array" ref="M899">IFERROR(IF($A899=$A898,0,SUM(_xlfn._xlws.FILTER($E899:$E909,($A899:$A909=$A899)*($J899:$J909=M$42)))),0)</f>
        <v>0</v>
      </c>
      <c r="N899" s="1023" cm="1">
        <f t="array" ref="N899">IFERROR(IF($A899=$A898,0,SUM(_xlfn._xlws.FILTER($E899:$E909,($A899:$A909=$A899)*($J899:$J909=N$42)))),0)</f>
        <v>0</v>
      </c>
    </row>
    <row r="900" spans="5:14" x14ac:dyDescent="0.3">
      <c r="E900" s="1022">
        <f ca="1">IFERROR(C900*D900*_xlfn.XLOOKUP(B900,TabCalc[Ticker],TabCalc[Scale]),0)</f>
        <v>0</v>
      </c>
      <c r="F900" s="1023" cm="1">
        <f t="array" ref="F900">IF(A900=A899,0,SUM(_xlfn._xlws.FILTER(E900:E909,A900:A909=A900)))</f>
        <v>0</v>
      </c>
      <c r="G900" s="1024">
        <f>IF(F900&lt;&gt;0,SUM($F$43:F900),0)</f>
        <v>0</v>
      </c>
      <c r="H900" s="1024" cm="1">
        <f t="array" ref="H900">IFERROR(IF(A900=A899,0,SUM(_xlfn._xlws.FILTER(E900:E909,(A900:A909=A900)*(E900:E909&gt;0)))),0)</f>
        <v>0</v>
      </c>
      <c r="I900" s="1024" cm="1">
        <f t="array" ref="I900">IFERROR(IF(A900=A899,0,SUM(_xlfn._xlws.FILTER(E900:E909,(A900:A909=A900)*(F900&lt;0)))),0)</f>
        <v>0</v>
      </c>
      <c r="J900" s="293" t="str">
        <f ca="1">IFERROR(_xlfn.XLOOKUP(B900,TabCalc[Ticker],TabCalc[Cur]),"")</f>
        <v/>
      </c>
      <c r="K900" s="1023" cm="1">
        <f t="array" ref="K900">IFERROR(IF($A900=$A899,0,SUM(_xlfn._xlws.FILTER($E900:$E910,($A900:$A910=$A900)*($J900:$J910=K$42)))),0)</f>
        <v>0</v>
      </c>
      <c r="L900" s="1023" cm="1">
        <f t="array" ref="L900">IFERROR(IF($A900=$A899,0,SUM(_xlfn._xlws.FILTER($E900:$E910,($A900:$A910=$A900)*($J900:$J910=L$42)))),0)</f>
        <v>0</v>
      </c>
      <c r="M900" s="1023" cm="1">
        <f t="array" ref="M900">IFERROR(IF($A900=$A899,0,SUM(_xlfn._xlws.FILTER($E900:$E910,($A900:$A910=$A900)*($J900:$J910=M$42)))),0)</f>
        <v>0</v>
      </c>
      <c r="N900" s="1023" cm="1">
        <f t="array" ref="N900">IFERROR(IF($A900=$A899,0,SUM(_xlfn._xlws.FILTER($E900:$E910,($A900:$A910=$A900)*($J900:$J910=N$42)))),0)</f>
        <v>0</v>
      </c>
    </row>
    <row r="901" spans="5:14" x14ac:dyDescent="0.3">
      <c r="E901" s="1022">
        <f ca="1">IFERROR(C901*D901*_xlfn.XLOOKUP(B901,TabCalc[Ticker],TabCalc[Scale]),0)</f>
        <v>0</v>
      </c>
      <c r="F901" s="1023" cm="1">
        <f t="array" ref="F901">IF(A901=A900,0,SUM(_xlfn._xlws.FILTER(E901:E910,A901:A910=A901)))</f>
        <v>0</v>
      </c>
      <c r="G901" s="1024">
        <f>IF(F901&lt;&gt;0,SUM($F$43:F901),0)</f>
        <v>0</v>
      </c>
      <c r="H901" s="1024" cm="1">
        <f t="array" ref="H901">IFERROR(IF(A901=A900,0,SUM(_xlfn._xlws.FILTER(E901:E910,(A901:A910=A901)*(E901:E910&gt;0)))),0)</f>
        <v>0</v>
      </c>
      <c r="I901" s="1024" cm="1">
        <f t="array" ref="I901">IFERROR(IF(A901=A900,0,SUM(_xlfn._xlws.FILTER(E901:E910,(A901:A910=A901)*(F901&lt;0)))),0)</f>
        <v>0</v>
      </c>
      <c r="J901" s="293" t="str">
        <f ca="1">IFERROR(_xlfn.XLOOKUP(B901,TabCalc[Ticker],TabCalc[Cur]),"")</f>
        <v/>
      </c>
      <c r="K901" s="1023" cm="1">
        <f t="array" ref="K901">IFERROR(IF($A901=$A900,0,SUM(_xlfn._xlws.FILTER($E901:$E911,($A901:$A911=$A901)*($J901:$J911=K$42)))),0)</f>
        <v>0</v>
      </c>
      <c r="L901" s="1023" cm="1">
        <f t="array" ref="L901">IFERROR(IF($A901=$A900,0,SUM(_xlfn._xlws.FILTER($E901:$E911,($A901:$A911=$A901)*($J901:$J911=L$42)))),0)</f>
        <v>0</v>
      </c>
      <c r="M901" s="1023" cm="1">
        <f t="array" ref="M901">IFERROR(IF($A901=$A900,0,SUM(_xlfn._xlws.FILTER($E901:$E911,($A901:$A911=$A901)*($J901:$J911=M$42)))),0)</f>
        <v>0</v>
      </c>
      <c r="N901" s="1023" cm="1">
        <f t="array" ref="N901">IFERROR(IF($A901=$A900,0,SUM(_xlfn._xlws.FILTER($E901:$E911,($A901:$A911=$A901)*($J901:$J911=N$42)))),0)</f>
        <v>0</v>
      </c>
    </row>
    <row r="902" spans="5:14" x14ac:dyDescent="0.3">
      <c r="E902" s="1022">
        <f ca="1">IFERROR(C902*D902*_xlfn.XLOOKUP(B902,TabCalc[Ticker],TabCalc[Scale]),0)</f>
        <v>0</v>
      </c>
      <c r="F902" s="1023" cm="1">
        <f t="array" ref="F902">IF(A902=A901,0,SUM(_xlfn._xlws.FILTER(E902:E911,A902:A911=A902)))</f>
        <v>0</v>
      </c>
      <c r="G902" s="1024">
        <f>IF(F902&lt;&gt;0,SUM($F$43:F902),0)</f>
        <v>0</v>
      </c>
      <c r="H902" s="1024" cm="1">
        <f t="array" ref="H902">IFERROR(IF(A902=A901,0,SUM(_xlfn._xlws.FILTER(E902:E911,(A902:A911=A902)*(E902:E911&gt;0)))),0)</f>
        <v>0</v>
      </c>
      <c r="I902" s="1024" cm="1">
        <f t="array" ref="I902">IFERROR(IF(A902=A901,0,SUM(_xlfn._xlws.FILTER(E902:E911,(A902:A911=A902)*(F902&lt;0)))),0)</f>
        <v>0</v>
      </c>
      <c r="J902" s="293" t="str">
        <f ca="1">IFERROR(_xlfn.XLOOKUP(B902,TabCalc[Ticker],TabCalc[Cur]),"")</f>
        <v/>
      </c>
      <c r="K902" s="1023" cm="1">
        <f t="array" ref="K902">IFERROR(IF($A902=$A901,0,SUM(_xlfn._xlws.FILTER($E902:$E912,($A902:$A912=$A902)*($J902:$J912=K$42)))),0)</f>
        <v>0</v>
      </c>
      <c r="L902" s="1023" cm="1">
        <f t="array" ref="L902">IFERROR(IF($A902=$A901,0,SUM(_xlfn._xlws.FILTER($E902:$E912,($A902:$A912=$A902)*($J902:$J912=L$42)))),0)</f>
        <v>0</v>
      </c>
      <c r="M902" s="1023" cm="1">
        <f t="array" ref="M902">IFERROR(IF($A902=$A901,0,SUM(_xlfn._xlws.FILTER($E902:$E912,($A902:$A912=$A902)*($J902:$J912=M$42)))),0)</f>
        <v>0</v>
      </c>
      <c r="N902" s="1023" cm="1">
        <f t="array" ref="N902">IFERROR(IF($A902=$A901,0,SUM(_xlfn._xlws.FILTER($E902:$E912,($A902:$A912=$A902)*($J902:$J912=N$42)))),0)</f>
        <v>0</v>
      </c>
    </row>
    <row r="903" spans="5:14" x14ac:dyDescent="0.3">
      <c r="E903" s="1022">
        <f ca="1">IFERROR(C903*D903*_xlfn.XLOOKUP(B903,TabCalc[Ticker],TabCalc[Scale]),0)</f>
        <v>0</v>
      </c>
      <c r="F903" s="1023" cm="1">
        <f t="array" ref="F903">IF(A903=A902,0,SUM(_xlfn._xlws.FILTER(E903:E912,A903:A912=A903)))</f>
        <v>0</v>
      </c>
      <c r="G903" s="1024">
        <f>IF(F903&lt;&gt;0,SUM($F$43:F903),0)</f>
        <v>0</v>
      </c>
      <c r="H903" s="1024" cm="1">
        <f t="array" ref="H903">IFERROR(IF(A903=A902,0,SUM(_xlfn._xlws.FILTER(E903:E912,(A903:A912=A903)*(E903:E912&gt;0)))),0)</f>
        <v>0</v>
      </c>
      <c r="I903" s="1024" cm="1">
        <f t="array" ref="I903">IFERROR(IF(A903=A902,0,SUM(_xlfn._xlws.FILTER(E903:E912,(A903:A912=A903)*(F903&lt;0)))),0)</f>
        <v>0</v>
      </c>
      <c r="J903" s="293" t="str">
        <f ca="1">IFERROR(_xlfn.XLOOKUP(B903,TabCalc[Ticker],TabCalc[Cur]),"")</f>
        <v/>
      </c>
      <c r="K903" s="1023" cm="1">
        <f t="array" ref="K903">IFERROR(IF($A903=$A902,0,SUM(_xlfn._xlws.FILTER($E903:$E913,($A903:$A913=$A903)*($J903:$J913=K$42)))),0)</f>
        <v>0</v>
      </c>
      <c r="L903" s="1023" cm="1">
        <f t="array" ref="L903">IFERROR(IF($A903=$A902,0,SUM(_xlfn._xlws.FILTER($E903:$E913,($A903:$A913=$A903)*($J903:$J913=L$42)))),0)</f>
        <v>0</v>
      </c>
      <c r="M903" s="1023" cm="1">
        <f t="array" ref="M903">IFERROR(IF($A903=$A902,0,SUM(_xlfn._xlws.FILTER($E903:$E913,($A903:$A913=$A903)*($J903:$J913=M$42)))),0)</f>
        <v>0</v>
      </c>
      <c r="N903" s="1023" cm="1">
        <f t="array" ref="N903">IFERROR(IF($A903=$A902,0,SUM(_xlfn._xlws.FILTER($E903:$E913,($A903:$A913=$A903)*($J903:$J913=N$42)))),0)</f>
        <v>0</v>
      </c>
    </row>
    <row r="904" spans="5:14" x14ac:dyDescent="0.3">
      <c r="E904" s="1022">
        <f ca="1">IFERROR(C904*D904*_xlfn.XLOOKUP(B904,TabCalc[Ticker],TabCalc[Scale]),0)</f>
        <v>0</v>
      </c>
      <c r="F904" s="1023" cm="1">
        <f t="array" ref="F904">IF(A904=A903,0,SUM(_xlfn._xlws.FILTER(E904:E913,A904:A913=A904)))</f>
        <v>0</v>
      </c>
      <c r="G904" s="1024">
        <f>IF(F904&lt;&gt;0,SUM($F$43:F904),0)</f>
        <v>0</v>
      </c>
      <c r="H904" s="1024" cm="1">
        <f t="array" ref="H904">IFERROR(IF(A904=A903,0,SUM(_xlfn._xlws.FILTER(E904:E913,(A904:A913=A904)*(E904:E913&gt;0)))),0)</f>
        <v>0</v>
      </c>
      <c r="I904" s="1024" cm="1">
        <f t="array" ref="I904">IFERROR(IF(A904=A903,0,SUM(_xlfn._xlws.FILTER(E904:E913,(A904:A913=A904)*(F904&lt;0)))),0)</f>
        <v>0</v>
      </c>
      <c r="J904" s="293" t="str">
        <f ca="1">IFERROR(_xlfn.XLOOKUP(B904,TabCalc[Ticker],TabCalc[Cur]),"")</f>
        <v/>
      </c>
      <c r="K904" s="1023" cm="1">
        <f t="array" ref="K904">IFERROR(IF($A904=$A903,0,SUM(_xlfn._xlws.FILTER($E904:$E914,($A904:$A914=$A904)*($J904:$J914=K$42)))),0)</f>
        <v>0</v>
      </c>
      <c r="L904" s="1023" cm="1">
        <f t="array" ref="L904">IFERROR(IF($A904=$A903,0,SUM(_xlfn._xlws.FILTER($E904:$E914,($A904:$A914=$A904)*($J904:$J914=L$42)))),0)</f>
        <v>0</v>
      </c>
      <c r="M904" s="1023" cm="1">
        <f t="array" ref="M904">IFERROR(IF($A904=$A903,0,SUM(_xlfn._xlws.FILTER($E904:$E914,($A904:$A914=$A904)*($J904:$J914=M$42)))),0)</f>
        <v>0</v>
      </c>
      <c r="N904" s="1023" cm="1">
        <f t="array" ref="N904">IFERROR(IF($A904=$A903,0,SUM(_xlfn._xlws.FILTER($E904:$E914,($A904:$A914=$A904)*($J904:$J914=N$42)))),0)</f>
        <v>0</v>
      </c>
    </row>
    <row r="905" spans="5:14" x14ac:dyDescent="0.3">
      <c r="E905" s="1022">
        <f ca="1">IFERROR(C905*D905*_xlfn.XLOOKUP(B905,TabCalc[Ticker],TabCalc[Scale]),0)</f>
        <v>0</v>
      </c>
      <c r="F905" s="1023" cm="1">
        <f t="array" ref="F905">IF(A905=A904,0,SUM(_xlfn._xlws.FILTER(E905:E914,A905:A914=A905)))</f>
        <v>0</v>
      </c>
      <c r="G905" s="1024">
        <f>IF(F905&lt;&gt;0,SUM($F$43:F905),0)</f>
        <v>0</v>
      </c>
      <c r="H905" s="1024" cm="1">
        <f t="array" ref="H905">IFERROR(IF(A905=A904,0,SUM(_xlfn._xlws.FILTER(E905:E914,(A905:A914=A905)*(E905:E914&gt;0)))),0)</f>
        <v>0</v>
      </c>
      <c r="I905" s="1024" cm="1">
        <f t="array" ref="I905">IFERROR(IF(A905=A904,0,SUM(_xlfn._xlws.FILTER(E905:E914,(A905:A914=A905)*(F905&lt;0)))),0)</f>
        <v>0</v>
      </c>
      <c r="J905" s="293" t="str">
        <f ca="1">IFERROR(_xlfn.XLOOKUP(B905,TabCalc[Ticker],TabCalc[Cur]),"")</f>
        <v/>
      </c>
      <c r="K905" s="1023" cm="1">
        <f t="array" ref="K905">IFERROR(IF($A905=$A904,0,SUM(_xlfn._xlws.FILTER($E905:$E915,($A905:$A915=$A905)*($J905:$J915=K$42)))),0)</f>
        <v>0</v>
      </c>
      <c r="L905" s="1023" cm="1">
        <f t="array" ref="L905">IFERROR(IF($A905=$A904,0,SUM(_xlfn._xlws.FILTER($E905:$E915,($A905:$A915=$A905)*($J905:$J915=L$42)))),0)</f>
        <v>0</v>
      </c>
      <c r="M905" s="1023" cm="1">
        <f t="array" ref="M905">IFERROR(IF($A905=$A904,0,SUM(_xlfn._xlws.FILTER($E905:$E915,($A905:$A915=$A905)*($J905:$J915=M$42)))),0)</f>
        <v>0</v>
      </c>
      <c r="N905" s="1023" cm="1">
        <f t="array" ref="N905">IFERROR(IF($A905=$A904,0,SUM(_xlfn._xlws.FILTER($E905:$E915,($A905:$A915=$A905)*($J905:$J915=N$42)))),0)</f>
        <v>0</v>
      </c>
    </row>
    <row r="906" spans="5:14" x14ac:dyDescent="0.3">
      <c r="E906" s="1022">
        <f ca="1">IFERROR(C906*D906*_xlfn.XLOOKUP(B906,TabCalc[Ticker],TabCalc[Scale]),0)</f>
        <v>0</v>
      </c>
      <c r="F906" s="1023" cm="1">
        <f t="array" ref="F906">IF(A906=A905,0,SUM(_xlfn._xlws.FILTER(E906:E915,A906:A915=A906)))</f>
        <v>0</v>
      </c>
      <c r="G906" s="1024">
        <f>IF(F906&lt;&gt;0,SUM($F$43:F906),0)</f>
        <v>0</v>
      </c>
      <c r="H906" s="1024" cm="1">
        <f t="array" ref="H906">IFERROR(IF(A906=A905,0,SUM(_xlfn._xlws.FILTER(E906:E915,(A906:A915=A906)*(E906:E915&gt;0)))),0)</f>
        <v>0</v>
      </c>
      <c r="I906" s="1024" cm="1">
        <f t="array" ref="I906">IFERROR(IF(A906=A905,0,SUM(_xlfn._xlws.FILTER(E906:E915,(A906:A915=A906)*(F906&lt;0)))),0)</f>
        <v>0</v>
      </c>
      <c r="J906" s="293" t="str">
        <f ca="1">IFERROR(_xlfn.XLOOKUP(B906,TabCalc[Ticker],TabCalc[Cur]),"")</f>
        <v/>
      </c>
      <c r="K906" s="1023" cm="1">
        <f t="array" ref="K906">IFERROR(IF($A906=$A905,0,SUM(_xlfn._xlws.FILTER($E906:$E916,($A906:$A916=$A906)*($J906:$J916=K$42)))),0)</f>
        <v>0</v>
      </c>
      <c r="L906" s="1023" cm="1">
        <f t="array" ref="L906">IFERROR(IF($A906=$A905,0,SUM(_xlfn._xlws.FILTER($E906:$E916,($A906:$A916=$A906)*($J906:$J916=L$42)))),0)</f>
        <v>0</v>
      </c>
      <c r="M906" s="1023" cm="1">
        <f t="array" ref="M906">IFERROR(IF($A906=$A905,0,SUM(_xlfn._xlws.FILTER($E906:$E916,($A906:$A916=$A906)*($J906:$J916=M$42)))),0)</f>
        <v>0</v>
      </c>
      <c r="N906" s="1023" cm="1">
        <f t="array" ref="N906">IFERROR(IF($A906=$A905,0,SUM(_xlfn._xlws.FILTER($E906:$E916,($A906:$A916=$A906)*($J906:$J916=N$42)))),0)</f>
        <v>0</v>
      </c>
    </row>
    <row r="907" spans="5:14" x14ac:dyDescent="0.3">
      <c r="E907" s="1022">
        <f ca="1">IFERROR(C907*D907*_xlfn.XLOOKUP(B907,TabCalc[Ticker],TabCalc[Scale]),0)</f>
        <v>0</v>
      </c>
      <c r="F907" s="1023" cm="1">
        <f t="array" ref="F907">IF(A907=A906,0,SUM(_xlfn._xlws.FILTER(E907:E916,A907:A916=A907)))</f>
        <v>0</v>
      </c>
      <c r="G907" s="1024">
        <f>IF(F907&lt;&gt;0,SUM($F$43:F907),0)</f>
        <v>0</v>
      </c>
      <c r="H907" s="1024" cm="1">
        <f t="array" ref="H907">IFERROR(IF(A907=A906,0,SUM(_xlfn._xlws.FILTER(E907:E916,(A907:A916=A907)*(E907:E916&gt;0)))),0)</f>
        <v>0</v>
      </c>
      <c r="I907" s="1024" cm="1">
        <f t="array" ref="I907">IFERROR(IF(A907=A906,0,SUM(_xlfn._xlws.FILTER(E907:E916,(A907:A916=A907)*(F907&lt;0)))),0)</f>
        <v>0</v>
      </c>
      <c r="J907" s="293" t="str">
        <f ca="1">IFERROR(_xlfn.XLOOKUP(B907,TabCalc[Ticker],TabCalc[Cur]),"")</f>
        <v/>
      </c>
      <c r="K907" s="1023" cm="1">
        <f t="array" ref="K907">IFERROR(IF($A907=$A906,0,SUM(_xlfn._xlws.FILTER($E907:$E917,($A907:$A917=$A907)*($J907:$J917=K$42)))),0)</f>
        <v>0</v>
      </c>
      <c r="L907" s="1023" cm="1">
        <f t="array" ref="L907">IFERROR(IF($A907=$A906,0,SUM(_xlfn._xlws.FILTER($E907:$E917,($A907:$A917=$A907)*($J907:$J917=L$42)))),0)</f>
        <v>0</v>
      </c>
      <c r="M907" s="1023" cm="1">
        <f t="array" ref="M907">IFERROR(IF($A907=$A906,0,SUM(_xlfn._xlws.FILTER($E907:$E917,($A907:$A917=$A907)*($J907:$J917=M$42)))),0)</f>
        <v>0</v>
      </c>
      <c r="N907" s="1023" cm="1">
        <f t="array" ref="N907">IFERROR(IF($A907=$A906,0,SUM(_xlfn._xlws.FILTER($E907:$E917,($A907:$A917=$A907)*($J907:$J917=N$42)))),0)</f>
        <v>0</v>
      </c>
    </row>
    <row r="908" spans="5:14" x14ac:dyDescent="0.3">
      <c r="E908" s="1022">
        <f ca="1">IFERROR(C908*D908*_xlfn.XLOOKUP(B908,TabCalc[Ticker],TabCalc[Scale]),0)</f>
        <v>0</v>
      </c>
      <c r="F908" s="1023" cm="1">
        <f t="array" ref="F908">IF(A908=A907,0,SUM(_xlfn._xlws.FILTER(E908:E917,A908:A917=A908)))</f>
        <v>0</v>
      </c>
      <c r="G908" s="1024">
        <f>IF(F908&lt;&gt;0,SUM($F$43:F908),0)</f>
        <v>0</v>
      </c>
      <c r="H908" s="1024" cm="1">
        <f t="array" ref="H908">IFERROR(IF(A908=A907,0,SUM(_xlfn._xlws.FILTER(E908:E917,(A908:A917=A908)*(E908:E917&gt;0)))),0)</f>
        <v>0</v>
      </c>
      <c r="I908" s="1024" cm="1">
        <f t="array" ref="I908">IFERROR(IF(A908=A907,0,SUM(_xlfn._xlws.FILTER(E908:E917,(A908:A917=A908)*(F908&lt;0)))),0)</f>
        <v>0</v>
      </c>
      <c r="J908" s="293" t="str">
        <f ca="1">IFERROR(_xlfn.XLOOKUP(B908,TabCalc[Ticker],TabCalc[Cur]),"")</f>
        <v/>
      </c>
      <c r="K908" s="1023" cm="1">
        <f t="array" ref="K908">IFERROR(IF($A908=$A907,0,SUM(_xlfn._xlws.FILTER($E908:$E918,($A908:$A918=$A908)*($J908:$J918=K$42)))),0)</f>
        <v>0</v>
      </c>
      <c r="L908" s="1023" cm="1">
        <f t="array" ref="L908">IFERROR(IF($A908=$A907,0,SUM(_xlfn._xlws.FILTER($E908:$E918,($A908:$A918=$A908)*($J908:$J918=L$42)))),0)</f>
        <v>0</v>
      </c>
      <c r="M908" s="1023" cm="1">
        <f t="array" ref="M908">IFERROR(IF($A908=$A907,0,SUM(_xlfn._xlws.FILTER($E908:$E918,($A908:$A918=$A908)*($J908:$J918=M$42)))),0)</f>
        <v>0</v>
      </c>
      <c r="N908" s="1023" cm="1">
        <f t="array" ref="N908">IFERROR(IF($A908=$A907,0,SUM(_xlfn._xlws.FILTER($E908:$E918,($A908:$A918=$A908)*($J908:$J918=N$42)))),0)</f>
        <v>0</v>
      </c>
    </row>
    <row r="909" spans="5:14" x14ac:dyDescent="0.3">
      <c r="E909" s="1022">
        <f ca="1">IFERROR(C909*D909*_xlfn.XLOOKUP(B909,TabCalc[Ticker],TabCalc[Scale]),0)</f>
        <v>0</v>
      </c>
      <c r="F909" s="1023" cm="1">
        <f t="array" ref="F909">IF(A909=A908,0,SUM(_xlfn._xlws.FILTER(E909:E918,A909:A918=A909)))</f>
        <v>0</v>
      </c>
      <c r="G909" s="1024">
        <f>IF(F909&lt;&gt;0,SUM($F$43:F909),0)</f>
        <v>0</v>
      </c>
      <c r="H909" s="1024" cm="1">
        <f t="array" ref="H909">IFERROR(IF(A909=A908,0,SUM(_xlfn._xlws.FILTER(E909:E918,(A909:A918=A909)*(E909:E918&gt;0)))),0)</f>
        <v>0</v>
      </c>
      <c r="I909" s="1024" cm="1">
        <f t="array" ref="I909">IFERROR(IF(A909=A908,0,SUM(_xlfn._xlws.FILTER(E909:E918,(A909:A918=A909)*(F909&lt;0)))),0)</f>
        <v>0</v>
      </c>
      <c r="J909" s="293" t="str">
        <f ca="1">IFERROR(_xlfn.XLOOKUP(B909,TabCalc[Ticker],TabCalc[Cur]),"")</f>
        <v/>
      </c>
      <c r="K909" s="1023" cm="1">
        <f t="array" ref="K909">IFERROR(IF($A909=$A908,0,SUM(_xlfn._xlws.FILTER($E909:$E919,($A909:$A919=$A909)*($J909:$J919=K$42)))),0)</f>
        <v>0</v>
      </c>
      <c r="L909" s="1023" cm="1">
        <f t="array" ref="L909">IFERROR(IF($A909=$A908,0,SUM(_xlfn._xlws.FILTER($E909:$E919,($A909:$A919=$A909)*($J909:$J919=L$42)))),0)</f>
        <v>0</v>
      </c>
      <c r="M909" s="1023" cm="1">
        <f t="array" ref="M909">IFERROR(IF($A909=$A908,0,SUM(_xlfn._xlws.FILTER($E909:$E919,($A909:$A919=$A909)*($J909:$J919=M$42)))),0)</f>
        <v>0</v>
      </c>
      <c r="N909" s="1023" cm="1">
        <f t="array" ref="N909">IFERROR(IF($A909=$A908,0,SUM(_xlfn._xlws.FILTER($E909:$E919,($A909:$A919=$A909)*($J909:$J919=N$42)))),0)</f>
        <v>0</v>
      </c>
    </row>
    <row r="910" spans="5:14" x14ac:dyDescent="0.3">
      <c r="E910" s="1022">
        <f ca="1">IFERROR(C910*D910*_xlfn.XLOOKUP(B910,TabCalc[Ticker],TabCalc[Scale]),0)</f>
        <v>0</v>
      </c>
      <c r="F910" s="1023" cm="1">
        <f t="array" ref="F910">IF(A910=A909,0,SUM(_xlfn._xlws.FILTER(E910:E919,A910:A919=A910)))</f>
        <v>0</v>
      </c>
      <c r="G910" s="1024">
        <f>IF(F910&lt;&gt;0,SUM($F$43:F910),0)</f>
        <v>0</v>
      </c>
      <c r="H910" s="1024" cm="1">
        <f t="array" ref="H910">IFERROR(IF(A910=A909,0,SUM(_xlfn._xlws.FILTER(E910:E919,(A910:A919=A910)*(E910:E919&gt;0)))),0)</f>
        <v>0</v>
      </c>
      <c r="I910" s="1024" cm="1">
        <f t="array" ref="I910">IFERROR(IF(A910=A909,0,SUM(_xlfn._xlws.FILTER(E910:E919,(A910:A919=A910)*(F910&lt;0)))),0)</f>
        <v>0</v>
      </c>
      <c r="J910" s="293" t="str">
        <f ca="1">IFERROR(_xlfn.XLOOKUP(B910,TabCalc[Ticker],TabCalc[Cur]),"")</f>
        <v/>
      </c>
      <c r="K910" s="1023" cm="1">
        <f t="array" ref="K910">IFERROR(IF($A910=$A909,0,SUM(_xlfn._xlws.FILTER($E910:$E920,($A910:$A920=$A910)*($J910:$J920=K$42)))),0)</f>
        <v>0</v>
      </c>
      <c r="L910" s="1023" cm="1">
        <f t="array" ref="L910">IFERROR(IF($A910=$A909,0,SUM(_xlfn._xlws.FILTER($E910:$E920,($A910:$A920=$A910)*($J910:$J920=L$42)))),0)</f>
        <v>0</v>
      </c>
      <c r="M910" s="1023" cm="1">
        <f t="array" ref="M910">IFERROR(IF($A910=$A909,0,SUM(_xlfn._xlws.FILTER($E910:$E920,($A910:$A920=$A910)*($J910:$J920=M$42)))),0)</f>
        <v>0</v>
      </c>
      <c r="N910" s="1023" cm="1">
        <f t="array" ref="N910">IFERROR(IF($A910=$A909,0,SUM(_xlfn._xlws.FILTER($E910:$E920,($A910:$A920=$A910)*($J910:$J920=N$42)))),0)</f>
        <v>0</v>
      </c>
    </row>
    <row r="911" spans="5:14" x14ac:dyDescent="0.3">
      <c r="E911" s="1022">
        <f ca="1">IFERROR(C911*D911*_xlfn.XLOOKUP(B911,TabCalc[Ticker],TabCalc[Scale]),0)</f>
        <v>0</v>
      </c>
      <c r="F911" s="1023" cm="1">
        <f t="array" ref="F911">IF(A911=A910,0,SUM(_xlfn._xlws.FILTER(E911:E920,A911:A920=A911)))</f>
        <v>0</v>
      </c>
      <c r="G911" s="1024">
        <f>IF(F911&lt;&gt;0,SUM($F$43:F911),0)</f>
        <v>0</v>
      </c>
      <c r="H911" s="1024" cm="1">
        <f t="array" ref="H911">IFERROR(IF(A911=A910,0,SUM(_xlfn._xlws.FILTER(E911:E920,(A911:A920=A911)*(E911:E920&gt;0)))),0)</f>
        <v>0</v>
      </c>
      <c r="I911" s="1024" cm="1">
        <f t="array" ref="I911">IFERROR(IF(A911=A910,0,SUM(_xlfn._xlws.FILTER(E911:E920,(A911:A920=A911)*(F911&lt;0)))),0)</f>
        <v>0</v>
      </c>
      <c r="J911" s="293" t="str">
        <f ca="1">IFERROR(_xlfn.XLOOKUP(B911,TabCalc[Ticker],TabCalc[Cur]),"")</f>
        <v/>
      </c>
      <c r="K911" s="1023" cm="1">
        <f t="array" ref="K911">IFERROR(IF($A911=$A910,0,SUM(_xlfn._xlws.FILTER($E911:$E921,($A911:$A921=$A911)*($J911:$J921=K$42)))),0)</f>
        <v>0</v>
      </c>
      <c r="L911" s="1023" cm="1">
        <f t="array" ref="L911">IFERROR(IF($A911=$A910,0,SUM(_xlfn._xlws.FILTER($E911:$E921,($A911:$A921=$A911)*($J911:$J921=L$42)))),0)</f>
        <v>0</v>
      </c>
      <c r="M911" s="1023" cm="1">
        <f t="array" ref="M911">IFERROR(IF($A911=$A910,0,SUM(_xlfn._xlws.FILTER($E911:$E921,($A911:$A921=$A911)*($J911:$J921=M$42)))),0)</f>
        <v>0</v>
      </c>
      <c r="N911" s="1023" cm="1">
        <f t="array" ref="N911">IFERROR(IF($A911=$A910,0,SUM(_xlfn._xlws.FILTER($E911:$E921,($A911:$A921=$A911)*($J911:$J921=N$42)))),0)</f>
        <v>0</v>
      </c>
    </row>
    <row r="912" spans="5:14" x14ac:dyDescent="0.3">
      <c r="E912" s="1022">
        <f ca="1">IFERROR(C912*D912*_xlfn.XLOOKUP(B912,TabCalc[Ticker],TabCalc[Scale]),0)</f>
        <v>0</v>
      </c>
      <c r="F912" s="1023" cm="1">
        <f t="array" ref="F912">IF(A912=A911,0,SUM(_xlfn._xlws.FILTER(E912:E921,A912:A921=A912)))</f>
        <v>0</v>
      </c>
      <c r="G912" s="1024">
        <f>IF(F912&lt;&gt;0,SUM($F$43:F912),0)</f>
        <v>0</v>
      </c>
      <c r="H912" s="1024" cm="1">
        <f t="array" ref="H912">IFERROR(IF(A912=A911,0,SUM(_xlfn._xlws.FILTER(E912:E921,(A912:A921=A912)*(E912:E921&gt;0)))),0)</f>
        <v>0</v>
      </c>
      <c r="I912" s="1024" cm="1">
        <f t="array" ref="I912">IFERROR(IF(A912=A911,0,SUM(_xlfn._xlws.FILTER(E912:E921,(A912:A921=A912)*(F912&lt;0)))),0)</f>
        <v>0</v>
      </c>
      <c r="J912" s="293" t="str">
        <f ca="1">IFERROR(_xlfn.XLOOKUP(B912,TabCalc[Ticker],TabCalc[Cur]),"")</f>
        <v/>
      </c>
      <c r="K912" s="1023" cm="1">
        <f t="array" ref="K912">IFERROR(IF($A912=$A911,0,SUM(_xlfn._xlws.FILTER($E912:$E922,($A912:$A922=$A912)*($J912:$J922=K$42)))),0)</f>
        <v>0</v>
      </c>
      <c r="L912" s="1023" cm="1">
        <f t="array" ref="L912">IFERROR(IF($A912=$A911,0,SUM(_xlfn._xlws.FILTER($E912:$E922,($A912:$A922=$A912)*($J912:$J922=L$42)))),0)</f>
        <v>0</v>
      </c>
      <c r="M912" s="1023" cm="1">
        <f t="array" ref="M912">IFERROR(IF($A912=$A911,0,SUM(_xlfn._xlws.FILTER($E912:$E922,($A912:$A922=$A912)*($J912:$J922=M$42)))),0)</f>
        <v>0</v>
      </c>
      <c r="N912" s="1023" cm="1">
        <f t="array" ref="N912">IFERROR(IF($A912=$A911,0,SUM(_xlfn._xlws.FILTER($E912:$E922,($A912:$A922=$A912)*($J912:$J922=N$42)))),0)</f>
        <v>0</v>
      </c>
    </row>
    <row r="913" spans="5:14" x14ac:dyDescent="0.3">
      <c r="E913" s="1022">
        <f ca="1">IFERROR(C913*D913*_xlfn.XLOOKUP(B913,TabCalc[Ticker],TabCalc[Scale]),0)</f>
        <v>0</v>
      </c>
      <c r="F913" s="1023" cm="1">
        <f t="array" ref="F913">IF(A913=A912,0,SUM(_xlfn._xlws.FILTER(E913:E922,A913:A922=A913)))</f>
        <v>0</v>
      </c>
      <c r="G913" s="1024">
        <f>IF(F913&lt;&gt;0,SUM($F$43:F913),0)</f>
        <v>0</v>
      </c>
      <c r="H913" s="1024" cm="1">
        <f t="array" ref="H913">IFERROR(IF(A913=A912,0,SUM(_xlfn._xlws.FILTER(E913:E922,(A913:A922=A913)*(E913:E922&gt;0)))),0)</f>
        <v>0</v>
      </c>
      <c r="I913" s="1024" cm="1">
        <f t="array" ref="I913">IFERROR(IF(A913=A912,0,SUM(_xlfn._xlws.FILTER(E913:E922,(A913:A922=A913)*(F913&lt;0)))),0)</f>
        <v>0</v>
      </c>
      <c r="J913" s="293" t="str">
        <f ca="1">IFERROR(_xlfn.XLOOKUP(B913,TabCalc[Ticker],TabCalc[Cur]),"")</f>
        <v/>
      </c>
      <c r="K913" s="1023" cm="1">
        <f t="array" ref="K913">IFERROR(IF($A913=$A912,0,SUM(_xlfn._xlws.FILTER($E913:$E923,($A913:$A923=$A913)*($J913:$J923=K$42)))),0)</f>
        <v>0</v>
      </c>
      <c r="L913" s="1023" cm="1">
        <f t="array" ref="L913">IFERROR(IF($A913=$A912,0,SUM(_xlfn._xlws.FILTER($E913:$E923,($A913:$A923=$A913)*($J913:$J923=L$42)))),0)</f>
        <v>0</v>
      </c>
      <c r="M913" s="1023" cm="1">
        <f t="array" ref="M913">IFERROR(IF($A913=$A912,0,SUM(_xlfn._xlws.FILTER($E913:$E923,($A913:$A923=$A913)*($J913:$J923=M$42)))),0)</f>
        <v>0</v>
      </c>
      <c r="N913" s="1023" cm="1">
        <f t="array" ref="N913">IFERROR(IF($A913=$A912,0,SUM(_xlfn._xlws.FILTER($E913:$E923,($A913:$A923=$A913)*($J913:$J923=N$42)))),0)</f>
        <v>0</v>
      </c>
    </row>
    <row r="914" spans="5:14" x14ac:dyDescent="0.3">
      <c r="E914" s="1022">
        <f ca="1">IFERROR(C914*D914*_xlfn.XLOOKUP(B914,TabCalc[Ticker],TabCalc[Scale]),0)</f>
        <v>0</v>
      </c>
      <c r="F914" s="1023" cm="1">
        <f t="array" ref="F914">IF(A914=A913,0,SUM(_xlfn._xlws.FILTER(E914:E923,A914:A923=A914)))</f>
        <v>0</v>
      </c>
      <c r="G914" s="1024">
        <f>IF(F914&lt;&gt;0,SUM($F$43:F914),0)</f>
        <v>0</v>
      </c>
      <c r="H914" s="1024" cm="1">
        <f t="array" ref="H914">IFERROR(IF(A914=A913,0,SUM(_xlfn._xlws.FILTER(E914:E923,(A914:A923=A914)*(E914:E923&gt;0)))),0)</f>
        <v>0</v>
      </c>
      <c r="I914" s="1024" cm="1">
        <f t="array" ref="I914">IFERROR(IF(A914=A913,0,SUM(_xlfn._xlws.FILTER(E914:E923,(A914:A923=A914)*(F914&lt;0)))),0)</f>
        <v>0</v>
      </c>
      <c r="J914" s="293" t="str">
        <f ca="1">IFERROR(_xlfn.XLOOKUP(B914,TabCalc[Ticker],TabCalc[Cur]),"")</f>
        <v/>
      </c>
      <c r="K914" s="1023" cm="1">
        <f t="array" ref="K914">IFERROR(IF($A914=$A913,0,SUM(_xlfn._xlws.FILTER($E914:$E924,($A914:$A924=$A914)*($J914:$J924=K$42)))),0)</f>
        <v>0</v>
      </c>
      <c r="L914" s="1023" cm="1">
        <f t="array" ref="L914">IFERROR(IF($A914=$A913,0,SUM(_xlfn._xlws.FILTER($E914:$E924,($A914:$A924=$A914)*($J914:$J924=L$42)))),0)</f>
        <v>0</v>
      </c>
      <c r="M914" s="1023" cm="1">
        <f t="array" ref="M914">IFERROR(IF($A914=$A913,0,SUM(_xlfn._xlws.FILTER($E914:$E924,($A914:$A924=$A914)*($J914:$J924=M$42)))),0)</f>
        <v>0</v>
      </c>
      <c r="N914" s="1023" cm="1">
        <f t="array" ref="N914">IFERROR(IF($A914=$A913,0,SUM(_xlfn._xlws.FILTER($E914:$E924,($A914:$A924=$A914)*($J914:$J924=N$42)))),0)</f>
        <v>0</v>
      </c>
    </row>
    <row r="915" spans="5:14" x14ac:dyDescent="0.3">
      <c r="E915" s="1022">
        <f ca="1">IFERROR(C915*D915*_xlfn.XLOOKUP(B915,TabCalc[Ticker],TabCalc[Scale]),0)</f>
        <v>0</v>
      </c>
      <c r="F915" s="1023" cm="1">
        <f t="array" ref="F915">IF(A915=A914,0,SUM(_xlfn._xlws.FILTER(E915:E924,A915:A924=A915)))</f>
        <v>0</v>
      </c>
      <c r="G915" s="1024">
        <f>IF(F915&lt;&gt;0,SUM($F$43:F915),0)</f>
        <v>0</v>
      </c>
      <c r="H915" s="1024" cm="1">
        <f t="array" ref="H915">IFERROR(IF(A915=A914,0,SUM(_xlfn._xlws.FILTER(E915:E924,(A915:A924=A915)*(E915:E924&gt;0)))),0)</f>
        <v>0</v>
      </c>
      <c r="I915" s="1024" cm="1">
        <f t="array" ref="I915">IFERROR(IF(A915=A914,0,SUM(_xlfn._xlws.FILTER(E915:E924,(A915:A924=A915)*(F915&lt;0)))),0)</f>
        <v>0</v>
      </c>
      <c r="J915" s="293" t="str">
        <f ca="1">IFERROR(_xlfn.XLOOKUP(B915,TabCalc[Ticker],TabCalc[Cur]),"")</f>
        <v/>
      </c>
      <c r="K915" s="1023" cm="1">
        <f t="array" ref="K915">IFERROR(IF($A915=$A914,0,SUM(_xlfn._xlws.FILTER($E915:$E925,($A915:$A925=$A915)*($J915:$J925=K$42)))),0)</f>
        <v>0</v>
      </c>
      <c r="L915" s="1023" cm="1">
        <f t="array" ref="L915">IFERROR(IF($A915=$A914,0,SUM(_xlfn._xlws.FILTER($E915:$E925,($A915:$A925=$A915)*($J915:$J925=L$42)))),0)</f>
        <v>0</v>
      </c>
      <c r="M915" s="1023" cm="1">
        <f t="array" ref="M915">IFERROR(IF($A915=$A914,0,SUM(_xlfn._xlws.FILTER($E915:$E925,($A915:$A925=$A915)*($J915:$J925=M$42)))),0)</f>
        <v>0</v>
      </c>
      <c r="N915" s="1023" cm="1">
        <f t="array" ref="N915">IFERROR(IF($A915=$A914,0,SUM(_xlfn._xlws.FILTER($E915:$E925,($A915:$A925=$A915)*($J915:$J925=N$42)))),0)</f>
        <v>0</v>
      </c>
    </row>
    <row r="916" spans="5:14" x14ac:dyDescent="0.3">
      <c r="E916" s="1022">
        <f ca="1">IFERROR(C916*D916*_xlfn.XLOOKUP(B916,TabCalc[Ticker],TabCalc[Scale]),0)</f>
        <v>0</v>
      </c>
      <c r="F916" s="1023" cm="1">
        <f t="array" ref="F916">IF(A916=A915,0,SUM(_xlfn._xlws.FILTER(E916:E925,A916:A925=A916)))</f>
        <v>0</v>
      </c>
      <c r="G916" s="1024">
        <f>IF(F916&lt;&gt;0,SUM($F$43:F916),0)</f>
        <v>0</v>
      </c>
      <c r="H916" s="1024" cm="1">
        <f t="array" ref="H916">IFERROR(IF(A916=A915,0,SUM(_xlfn._xlws.FILTER(E916:E925,(A916:A925=A916)*(E916:E925&gt;0)))),0)</f>
        <v>0</v>
      </c>
      <c r="I916" s="1024" cm="1">
        <f t="array" ref="I916">IFERROR(IF(A916=A915,0,SUM(_xlfn._xlws.FILTER(E916:E925,(A916:A925=A916)*(F916&lt;0)))),0)</f>
        <v>0</v>
      </c>
      <c r="J916" s="293" t="str">
        <f ca="1">IFERROR(_xlfn.XLOOKUP(B916,TabCalc[Ticker],TabCalc[Cur]),"")</f>
        <v/>
      </c>
      <c r="K916" s="1023" cm="1">
        <f t="array" ref="K916">IFERROR(IF($A916=$A915,0,SUM(_xlfn._xlws.FILTER($E916:$E926,($A916:$A926=$A916)*($J916:$J926=K$42)))),0)</f>
        <v>0</v>
      </c>
      <c r="L916" s="1023" cm="1">
        <f t="array" ref="L916">IFERROR(IF($A916=$A915,0,SUM(_xlfn._xlws.FILTER($E916:$E926,($A916:$A926=$A916)*($J916:$J926=L$42)))),0)</f>
        <v>0</v>
      </c>
      <c r="M916" s="1023" cm="1">
        <f t="array" ref="M916">IFERROR(IF($A916=$A915,0,SUM(_xlfn._xlws.FILTER($E916:$E926,($A916:$A926=$A916)*($J916:$J926=M$42)))),0)</f>
        <v>0</v>
      </c>
      <c r="N916" s="1023" cm="1">
        <f t="array" ref="N916">IFERROR(IF($A916=$A915,0,SUM(_xlfn._xlws.FILTER($E916:$E926,($A916:$A926=$A916)*($J916:$J926=N$42)))),0)</f>
        <v>0</v>
      </c>
    </row>
    <row r="917" spans="5:14" x14ac:dyDescent="0.3">
      <c r="E917" s="1022">
        <f ca="1">IFERROR(C917*D917*_xlfn.XLOOKUP(B917,TabCalc[Ticker],TabCalc[Scale]),0)</f>
        <v>0</v>
      </c>
      <c r="F917" s="1023" cm="1">
        <f t="array" ref="F917">IF(A917=A916,0,SUM(_xlfn._xlws.FILTER(E917:E926,A917:A926=A917)))</f>
        <v>0</v>
      </c>
      <c r="G917" s="1024">
        <f>IF(F917&lt;&gt;0,SUM($F$43:F917),0)</f>
        <v>0</v>
      </c>
      <c r="H917" s="1024" cm="1">
        <f t="array" ref="H917">IFERROR(IF(A917=A916,0,SUM(_xlfn._xlws.FILTER(E917:E926,(A917:A926=A917)*(E917:E926&gt;0)))),0)</f>
        <v>0</v>
      </c>
      <c r="I917" s="1024" cm="1">
        <f t="array" ref="I917">IFERROR(IF(A917=A916,0,SUM(_xlfn._xlws.FILTER(E917:E926,(A917:A926=A917)*(F917&lt;0)))),0)</f>
        <v>0</v>
      </c>
      <c r="J917" s="293" t="str">
        <f ca="1">IFERROR(_xlfn.XLOOKUP(B917,TabCalc[Ticker],TabCalc[Cur]),"")</f>
        <v/>
      </c>
      <c r="K917" s="1023" cm="1">
        <f t="array" ref="K917">IFERROR(IF($A917=$A916,0,SUM(_xlfn._xlws.FILTER($E917:$E927,($A917:$A927=$A917)*($J917:$J927=K$42)))),0)</f>
        <v>0</v>
      </c>
      <c r="L917" s="1023" cm="1">
        <f t="array" ref="L917">IFERROR(IF($A917=$A916,0,SUM(_xlfn._xlws.FILTER($E917:$E927,($A917:$A927=$A917)*($J917:$J927=L$42)))),0)</f>
        <v>0</v>
      </c>
      <c r="M917" s="1023" cm="1">
        <f t="array" ref="M917">IFERROR(IF($A917=$A916,0,SUM(_xlfn._xlws.FILTER($E917:$E927,($A917:$A927=$A917)*($J917:$J927=M$42)))),0)</f>
        <v>0</v>
      </c>
      <c r="N917" s="1023" cm="1">
        <f t="array" ref="N917">IFERROR(IF($A917=$A916,0,SUM(_xlfn._xlws.FILTER($E917:$E927,($A917:$A927=$A917)*($J917:$J927=N$42)))),0)</f>
        <v>0</v>
      </c>
    </row>
    <row r="918" spans="5:14" x14ac:dyDescent="0.3">
      <c r="E918" s="1022">
        <f ca="1">IFERROR(C918*D918*_xlfn.XLOOKUP(B918,TabCalc[Ticker],TabCalc[Scale]),0)</f>
        <v>0</v>
      </c>
      <c r="F918" s="1023" cm="1">
        <f t="array" ref="F918">IF(A918=A917,0,SUM(_xlfn._xlws.FILTER(E918:E927,A918:A927=A918)))</f>
        <v>0</v>
      </c>
      <c r="G918" s="1024">
        <f>IF(F918&lt;&gt;0,SUM($F$43:F918),0)</f>
        <v>0</v>
      </c>
      <c r="H918" s="1024" cm="1">
        <f t="array" ref="H918">IFERROR(IF(A918=A917,0,SUM(_xlfn._xlws.FILTER(E918:E927,(A918:A927=A918)*(E918:E927&gt;0)))),0)</f>
        <v>0</v>
      </c>
      <c r="I918" s="1024" cm="1">
        <f t="array" ref="I918">IFERROR(IF(A918=A917,0,SUM(_xlfn._xlws.FILTER(E918:E927,(A918:A927=A918)*(F918&lt;0)))),0)</f>
        <v>0</v>
      </c>
      <c r="J918" s="293" t="str">
        <f ca="1">IFERROR(_xlfn.XLOOKUP(B918,TabCalc[Ticker],TabCalc[Cur]),"")</f>
        <v/>
      </c>
      <c r="K918" s="1023" cm="1">
        <f t="array" ref="K918">IFERROR(IF($A918=$A917,0,SUM(_xlfn._xlws.FILTER($E918:$E928,($A918:$A928=$A918)*($J918:$J928=K$42)))),0)</f>
        <v>0</v>
      </c>
      <c r="L918" s="1023" cm="1">
        <f t="array" ref="L918">IFERROR(IF($A918=$A917,0,SUM(_xlfn._xlws.FILTER($E918:$E928,($A918:$A928=$A918)*($J918:$J928=L$42)))),0)</f>
        <v>0</v>
      </c>
      <c r="M918" s="1023" cm="1">
        <f t="array" ref="M918">IFERROR(IF($A918=$A917,0,SUM(_xlfn._xlws.FILTER($E918:$E928,($A918:$A928=$A918)*($J918:$J928=M$42)))),0)</f>
        <v>0</v>
      </c>
      <c r="N918" s="1023" cm="1">
        <f t="array" ref="N918">IFERROR(IF($A918=$A917,0,SUM(_xlfn._xlws.FILTER($E918:$E928,($A918:$A928=$A918)*($J918:$J928=N$42)))),0)</f>
        <v>0</v>
      </c>
    </row>
    <row r="919" spans="5:14" x14ac:dyDescent="0.3">
      <c r="E919" s="1022">
        <f ca="1">IFERROR(C919*D919*_xlfn.XLOOKUP(B919,TabCalc[Ticker],TabCalc[Scale]),0)</f>
        <v>0</v>
      </c>
      <c r="F919" s="1023" cm="1">
        <f t="array" ref="F919">IF(A919=A918,0,SUM(_xlfn._xlws.FILTER(E919:E928,A919:A928=A919)))</f>
        <v>0</v>
      </c>
      <c r="G919" s="1024">
        <f>IF(F919&lt;&gt;0,SUM($F$43:F919),0)</f>
        <v>0</v>
      </c>
      <c r="H919" s="1024" cm="1">
        <f t="array" ref="H919">IFERROR(IF(A919=A918,0,SUM(_xlfn._xlws.FILTER(E919:E928,(A919:A928=A919)*(E919:E928&gt;0)))),0)</f>
        <v>0</v>
      </c>
      <c r="I919" s="1024" cm="1">
        <f t="array" ref="I919">IFERROR(IF(A919=A918,0,SUM(_xlfn._xlws.FILTER(E919:E928,(A919:A928=A919)*(F919&lt;0)))),0)</f>
        <v>0</v>
      </c>
      <c r="J919" s="293" t="str">
        <f ca="1">IFERROR(_xlfn.XLOOKUP(B919,TabCalc[Ticker],TabCalc[Cur]),"")</f>
        <v/>
      </c>
      <c r="K919" s="1023" cm="1">
        <f t="array" ref="K919">IFERROR(IF($A919=$A918,0,SUM(_xlfn._xlws.FILTER($E919:$E929,($A919:$A929=$A919)*($J919:$J929=K$42)))),0)</f>
        <v>0</v>
      </c>
      <c r="L919" s="1023" cm="1">
        <f t="array" ref="L919">IFERROR(IF($A919=$A918,0,SUM(_xlfn._xlws.FILTER($E919:$E929,($A919:$A929=$A919)*($J919:$J929=L$42)))),0)</f>
        <v>0</v>
      </c>
      <c r="M919" s="1023" cm="1">
        <f t="array" ref="M919">IFERROR(IF($A919=$A918,0,SUM(_xlfn._xlws.FILTER($E919:$E929,($A919:$A929=$A919)*($J919:$J929=M$42)))),0)</f>
        <v>0</v>
      </c>
      <c r="N919" s="1023" cm="1">
        <f t="array" ref="N919">IFERROR(IF($A919=$A918,0,SUM(_xlfn._xlws.FILTER($E919:$E929,($A919:$A929=$A919)*($J919:$J929=N$42)))),0)</f>
        <v>0</v>
      </c>
    </row>
    <row r="920" spans="5:14" x14ac:dyDescent="0.3">
      <c r="E920" s="1022">
        <f ca="1">IFERROR(C920*D920*_xlfn.XLOOKUP(B920,TabCalc[Ticker],TabCalc[Scale]),0)</f>
        <v>0</v>
      </c>
      <c r="F920" s="1023" cm="1">
        <f t="array" ref="F920">IF(A920=A919,0,SUM(_xlfn._xlws.FILTER(E920:E929,A920:A929=A920)))</f>
        <v>0</v>
      </c>
      <c r="G920" s="1024">
        <f>IF(F920&lt;&gt;0,SUM($F$43:F920),0)</f>
        <v>0</v>
      </c>
      <c r="H920" s="1024" cm="1">
        <f t="array" ref="H920">IFERROR(IF(A920=A919,0,SUM(_xlfn._xlws.FILTER(E920:E929,(A920:A929=A920)*(E920:E929&gt;0)))),0)</f>
        <v>0</v>
      </c>
      <c r="I920" s="1024" cm="1">
        <f t="array" ref="I920">IFERROR(IF(A920=A919,0,SUM(_xlfn._xlws.FILTER(E920:E929,(A920:A929=A920)*(F920&lt;0)))),0)</f>
        <v>0</v>
      </c>
      <c r="J920" s="293" t="str">
        <f ca="1">IFERROR(_xlfn.XLOOKUP(B920,TabCalc[Ticker],TabCalc[Cur]),"")</f>
        <v/>
      </c>
      <c r="K920" s="1023" cm="1">
        <f t="array" ref="K920">IFERROR(IF($A920=$A919,0,SUM(_xlfn._xlws.FILTER($E920:$E930,($A920:$A930=$A920)*($J920:$J930=K$42)))),0)</f>
        <v>0</v>
      </c>
      <c r="L920" s="1023" cm="1">
        <f t="array" ref="L920">IFERROR(IF($A920=$A919,0,SUM(_xlfn._xlws.FILTER($E920:$E930,($A920:$A930=$A920)*($J920:$J930=L$42)))),0)</f>
        <v>0</v>
      </c>
      <c r="M920" s="1023" cm="1">
        <f t="array" ref="M920">IFERROR(IF($A920=$A919,0,SUM(_xlfn._xlws.FILTER($E920:$E930,($A920:$A930=$A920)*($J920:$J930=M$42)))),0)</f>
        <v>0</v>
      </c>
      <c r="N920" s="1023" cm="1">
        <f t="array" ref="N920">IFERROR(IF($A920=$A919,0,SUM(_xlfn._xlws.FILTER($E920:$E930,($A920:$A930=$A920)*($J920:$J930=N$42)))),0)</f>
        <v>0</v>
      </c>
    </row>
    <row r="921" spans="5:14" x14ac:dyDescent="0.3">
      <c r="E921" s="1022">
        <f ca="1">IFERROR(C921*D921*_xlfn.XLOOKUP(B921,TabCalc[Ticker],TabCalc[Scale]),0)</f>
        <v>0</v>
      </c>
      <c r="F921" s="1023" cm="1">
        <f t="array" ref="F921">IF(A921=A920,0,SUM(_xlfn._xlws.FILTER(E921:E930,A921:A930=A921)))</f>
        <v>0</v>
      </c>
      <c r="G921" s="1024">
        <f>IF(F921&lt;&gt;0,SUM($F$43:F921),0)</f>
        <v>0</v>
      </c>
      <c r="H921" s="1024" cm="1">
        <f t="array" ref="H921">IFERROR(IF(A921=A920,0,SUM(_xlfn._xlws.FILTER(E921:E930,(A921:A930=A921)*(E921:E930&gt;0)))),0)</f>
        <v>0</v>
      </c>
      <c r="I921" s="1024" cm="1">
        <f t="array" ref="I921">IFERROR(IF(A921=A920,0,SUM(_xlfn._xlws.FILTER(E921:E930,(A921:A930=A921)*(F921&lt;0)))),0)</f>
        <v>0</v>
      </c>
      <c r="J921" s="293" t="str">
        <f ca="1">IFERROR(_xlfn.XLOOKUP(B921,TabCalc[Ticker],TabCalc[Cur]),"")</f>
        <v/>
      </c>
      <c r="K921" s="1023" cm="1">
        <f t="array" ref="K921">IFERROR(IF($A921=$A920,0,SUM(_xlfn._xlws.FILTER($E921:$E931,($A921:$A931=$A921)*($J921:$J931=K$42)))),0)</f>
        <v>0</v>
      </c>
      <c r="L921" s="1023" cm="1">
        <f t="array" ref="L921">IFERROR(IF($A921=$A920,0,SUM(_xlfn._xlws.FILTER($E921:$E931,($A921:$A931=$A921)*($J921:$J931=L$42)))),0)</f>
        <v>0</v>
      </c>
      <c r="M921" s="1023" cm="1">
        <f t="array" ref="M921">IFERROR(IF($A921=$A920,0,SUM(_xlfn._xlws.FILTER($E921:$E931,($A921:$A931=$A921)*($J921:$J931=M$42)))),0)</f>
        <v>0</v>
      </c>
      <c r="N921" s="1023" cm="1">
        <f t="array" ref="N921">IFERROR(IF($A921=$A920,0,SUM(_xlfn._xlws.FILTER($E921:$E931,($A921:$A931=$A921)*($J921:$J931=N$42)))),0)</f>
        <v>0</v>
      </c>
    </row>
    <row r="922" spans="5:14" x14ac:dyDescent="0.3">
      <c r="E922" s="1022">
        <f ca="1">IFERROR(C922*D922*_xlfn.XLOOKUP(B922,TabCalc[Ticker],TabCalc[Scale]),0)</f>
        <v>0</v>
      </c>
      <c r="F922" s="1023" cm="1">
        <f t="array" ref="F922">IF(A922=A921,0,SUM(_xlfn._xlws.FILTER(E922:E931,A922:A931=A922)))</f>
        <v>0</v>
      </c>
      <c r="G922" s="1024">
        <f>IF(F922&lt;&gt;0,SUM($F$43:F922),0)</f>
        <v>0</v>
      </c>
      <c r="H922" s="1024" cm="1">
        <f t="array" ref="H922">IFERROR(IF(A922=A921,0,SUM(_xlfn._xlws.FILTER(E922:E931,(A922:A931=A922)*(E922:E931&gt;0)))),0)</f>
        <v>0</v>
      </c>
      <c r="I922" s="1024" cm="1">
        <f t="array" ref="I922">IFERROR(IF(A922=A921,0,SUM(_xlfn._xlws.FILTER(E922:E931,(A922:A931=A922)*(F922&lt;0)))),0)</f>
        <v>0</v>
      </c>
      <c r="J922" s="293" t="str">
        <f ca="1">IFERROR(_xlfn.XLOOKUP(B922,TabCalc[Ticker],TabCalc[Cur]),"")</f>
        <v/>
      </c>
      <c r="K922" s="1023" cm="1">
        <f t="array" ref="K922">IFERROR(IF($A922=$A921,0,SUM(_xlfn._xlws.FILTER($E922:$E932,($A922:$A932=$A922)*($J922:$J932=K$42)))),0)</f>
        <v>0</v>
      </c>
      <c r="L922" s="1023" cm="1">
        <f t="array" ref="L922">IFERROR(IF($A922=$A921,0,SUM(_xlfn._xlws.FILTER($E922:$E932,($A922:$A932=$A922)*($J922:$J932=L$42)))),0)</f>
        <v>0</v>
      </c>
      <c r="M922" s="1023" cm="1">
        <f t="array" ref="M922">IFERROR(IF($A922=$A921,0,SUM(_xlfn._xlws.FILTER($E922:$E932,($A922:$A932=$A922)*($J922:$J932=M$42)))),0)</f>
        <v>0</v>
      </c>
      <c r="N922" s="1023" cm="1">
        <f t="array" ref="N922">IFERROR(IF($A922=$A921,0,SUM(_xlfn._xlws.FILTER($E922:$E932,($A922:$A932=$A922)*($J922:$J932=N$42)))),0)</f>
        <v>0</v>
      </c>
    </row>
    <row r="923" spans="5:14" x14ac:dyDescent="0.3">
      <c r="E923" s="1022">
        <f ca="1">IFERROR(C923*D923*_xlfn.XLOOKUP(B923,TabCalc[Ticker],TabCalc[Scale]),0)</f>
        <v>0</v>
      </c>
      <c r="F923" s="1023" cm="1">
        <f t="array" ref="F923">IF(A923=A922,0,SUM(_xlfn._xlws.FILTER(E923:E932,A923:A932=A923)))</f>
        <v>0</v>
      </c>
      <c r="G923" s="1024">
        <f>IF(F923&lt;&gt;0,SUM($F$43:F923),0)</f>
        <v>0</v>
      </c>
      <c r="H923" s="1024" cm="1">
        <f t="array" ref="H923">IFERROR(IF(A923=A922,0,SUM(_xlfn._xlws.FILTER(E923:E932,(A923:A932=A923)*(E923:E932&gt;0)))),0)</f>
        <v>0</v>
      </c>
      <c r="I923" s="1024" cm="1">
        <f t="array" ref="I923">IFERROR(IF(A923=A922,0,SUM(_xlfn._xlws.FILTER(E923:E932,(A923:A932=A923)*(F923&lt;0)))),0)</f>
        <v>0</v>
      </c>
      <c r="J923" s="293" t="str">
        <f ca="1">IFERROR(_xlfn.XLOOKUP(B923,TabCalc[Ticker],TabCalc[Cur]),"")</f>
        <v/>
      </c>
      <c r="K923" s="1023" cm="1">
        <f t="array" ref="K923">IFERROR(IF($A923=$A922,0,SUM(_xlfn._xlws.FILTER($E923:$E933,($A923:$A933=$A923)*($J923:$J933=K$42)))),0)</f>
        <v>0</v>
      </c>
      <c r="L923" s="1023" cm="1">
        <f t="array" ref="L923">IFERROR(IF($A923=$A922,0,SUM(_xlfn._xlws.FILTER($E923:$E933,($A923:$A933=$A923)*($J923:$J933=L$42)))),0)</f>
        <v>0</v>
      </c>
      <c r="M923" s="1023" cm="1">
        <f t="array" ref="M923">IFERROR(IF($A923=$A922,0,SUM(_xlfn._xlws.FILTER($E923:$E933,($A923:$A933=$A923)*($J923:$J933=M$42)))),0)</f>
        <v>0</v>
      </c>
      <c r="N923" s="1023" cm="1">
        <f t="array" ref="N923">IFERROR(IF($A923=$A922,0,SUM(_xlfn._xlws.FILTER($E923:$E933,($A923:$A933=$A923)*($J923:$J933=N$42)))),0)</f>
        <v>0</v>
      </c>
    </row>
    <row r="924" spans="5:14" x14ac:dyDescent="0.3">
      <c r="E924" s="1022">
        <f ca="1">IFERROR(C924*D924*_xlfn.XLOOKUP(B924,TabCalc[Ticker],TabCalc[Scale]),0)</f>
        <v>0</v>
      </c>
      <c r="F924" s="1023" cm="1">
        <f t="array" ref="F924">IF(A924=A923,0,SUM(_xlfn._xlws.FILTER(E924:E933,A924:A933=A924)))</f>
        <v>0</v>
      </c>
      <c r="G924" s="1024">
        <f>IF(F924&lt;&gt;0,SUM($F$43:F924),0)</f>
        <v>0</v>
      </c>
      <c r="H924" s="1024" cm="1">
        <f t="array" ref="H924">IFERROR(IF(A924=A923,0,SUM(_xlfn._xlws.FILTER(E924:E933,(A924:A933=A924)*(E924:E933&gt;0)))),0)</f>
        <v>0</v>
      </c>
      <c r="I924" s="1024" cm="1">
        <f t="array" ref="I924">IFERROR(IF(A924=A923,0,SUM(_xlfn._xlws.FILTER(E924:E933,(A924:A933=A924)*(F924&lt;0)))),0)</f>
        <v>0</v>
      </c>
      <c r="J924" s="293" t="str">
        <f ca="1">IFERROR(_xlfn.XLOOKUP(B924,TabCalc[Ticker],TabCalc[Cur]),"")</f>
        <v/>
      </c>
      <c r="K924" s="1023" cm="1">
        <f t="array" ref="K924">IFERROR(IF($A924=$A923,0,SUM(_xlfn._xlws.FILTER($E924:$E934,($A924:$A934=$A924)*($J924:$J934=K$42)))),0)</f>
        <v>0</v>
      </c>
      <c r="L924" s="1023" cm="1">
        <f t="array" ref="L924">IFERROR(IF($A924=$A923,0,SUM(_xlfn._xlws.FILTER($E924:$E934,($A924:$A934=$A924)*($J924:$J934=L$42)))),0)</f>
        <v>0</v>
      </c>
      <c r="M924" s="1023" cm="1">
        <f t="array" ref="M924">IFERROR(IF($A924=$A923,0,SUM(_xlfn._xlws.FILTER($E924:$E934,($A924:$A934=$A924)*($J924:$J934=M$42)))),0)</f>
        <v>0</v>
      </c>
      <c r="N924" s="1023" cm="1">
        <f t="array" ref="N924">IFERROR(IF($A924=$A923,0,SUM(_xlfn._xlws.FILTER($E924:$E934,($A924:$A934=$A924)*($J924:$J934=N$42)))),0)</f>
        <v>0</v>
      </c>
    </row>
    <row r="925" spans="5:14" x14ac:dyDescent="0.3">
      <c r="E925" s="1022">
        <f ca="1">IFERROR(C925*D925*_xlfn.XLOOKUP(B925,TabCalc[Ticker],TabCalc[Scale]),0)</f>
        <v>0</v>
      </c>
      <c r="F925" s="1023" cm="1">
        <f t="array" ref="F925">IF(A925=A924,0,SUM(_xlfn._xlws.FILTER(E925:E934,A925:A934=A925)))</f>
        <v>0</v>
      </c>
      <c r="G925" s="1024">
        <f>IF(F925&lt;&gt;0,SUM($F$43:F925),0)</f>
        <v>0</v>
      </c>
      <c r="H925" s="1024" cm="1">
        <f t="array" ref="H925">IFERROR(IF(A925=A924,0,SUM(_xlfn._xlws.FILTER(E925:E934,(A925:A934=A925)*(E925:E934&gt;0)))),0)</f>
        <v>0</v>
      </c>
      <c r="I925" s="1024" cm="1">
        <f t="array" ref="I925">IFERROR(IF(A925=A924,0,SUM(_xlfn._xlws.FILTER(E925:E934,(A925:A934=A925)*(F925&lt;0)))),0)</f>
        <v>0</v>
      </c>
      <c r="J925" s="293" t="str">
        <f ca="1">IFERROR(_xlfn.XLOOKUP(B925,TabCalc[Ticker],TabCalc[Cur]),"")</f>
        <v/>
      </c>
      <c r="K925" s="1023" cm="1">
        <f t="array" ref="K925">IFERROR(IF($A925=$A924,0,SUM(_xlfn._xlws.FILTER($E925:$E935,($A925:$A935=$A925)*($J925:$J935=K$42)))),0)</f>
        <v>0</v>
      </c>
      <c r="L925" s="1023" cm="1">
        <f t="array" ref="L925">IFERROR(IF($A925=$A924,0,SUM(_xlfn._xlws.FILTER($E925:$E935,($A925:$A935=$A925)*($J925:$J935=L$42)))),0)</f>
        <v>0</v>
      </c>
      <c r="M925" s="1023" cm="1">
        <f t="array" ref="M925">IFERROR(IF($A925=$A924,0,SUM(_xlfn._xlws.FILTER($E925:$E935,($A925:$A935=$A925)*($J925:$J935=M$42)))),0)</f>
        <v>0</v>
      </c>
      <c r="N925" s="1023" cm="1">
        <f t="array" ref="N925">IFERROR(IF($A925=$A924,0,SUM(_xlfn._xlws.FILTER($E925:$E935,($A925:$A935=$A925)*($J925:$J935=N$42)))),0)</f>
        <v>0</v>
      </c>
    </row>
    <row r="926" spans="5:14" x14ac:dyDescent="0.3">
      <c r="E926" s="1022">
        <f ca="1">IFERROR(C926*D926*_xlfn.XLOOKUP(B926,TabCalc[Ticker],TabCalc[Scale]),0)</f>
        <v>0</v>
      </c>
      <c r="F926" s="1023" cm="1">
        <f t="array" ref="F926">IF(A926=A925,0,SUM(_xlfn._xlws.FILTER(E926:E935,A926:A935=A926)))</f>
        <v>0</v>
      </c>
      <c r="G926" s="1024">
        <f>IF(F926&lt;&gt;0,SUM($F$43:F926),0)</f>
        <v>0</v>
      </c>
      <c r="H926" s="1024" cm="1">
        <f t="array" ref="H926">IFERROR(IF(A926=A925,0,SUM(_xlfn._xlws.FILTER(E926:E935,(A926:A935=A926)*(E926:E935&gt;0)))),0)</f>
        <v>0</v>
      </c>
      <c r="I926" s="1024" cm="1">
        <f t="array" ref="I926">IFERROR(IF(A926=A925,0,SUM(_xlfn._xlws.FILTER(E926:E935,(A926:A935=A926)*(F926&lt;0)))),0)</f>
        <v>0</v>
      </c>
      <c r="J926" s="293" t="str">
        <f ca="1">IFERROR(_xlfn.XLOOKUP(B926,TabCalc[Ticker],TabCalc[Cur]),"")</f>
        <v/>
      </c>
      <c r="K926" s="1023" cm="1">
        <f t="array" ref="K926">IFERROR(IF($A926=$A925,0,SUM(_xlfn._xlws.FILTER($E926:$E936,($A926:$A936=$A926)*($J926:$J936=K$42)))),0)</f>
        <v>0</v>
      </c>
      <c r="L926" s="1023" cm="1">
        <f t="array" ref="L926">IFERROR(IF($A926=$A925,0,SUM(_xlfn._xlws.FILTER($E926:$E936,($A926:$A936=$A926)*($J926:$J936=L$42)))),0)</f>
        <v>0</v>
      </c>
      <c r="M926" s="1023" cm="1">
        <f t="array" ref="M926">IFERROR(IF($A926=$A925,0,SUM(_xlfn._xlws.FILTER($E926:$E936,($A926:$A936=$A926)*($J926:$J936=M$42)))),0)</f>
        <v>0</v>
      </c>
      <c r="N926" s="1023" cm="1">
        <f t="array" ref="N926">IFERROR(IF($A926=$A925,0,SUM(_xlfn._xlws.FILTER($E926:$E936,($A926:$A936=$A926)*($J926:$J936=N$42)))),0)</f>
        <v>0</v>
      </c>
    </row>
    <row r="927" spans="5:14" x14ac:dyDescent="0.3">
      <c r="E927" s="1022">
        <f ca="1">IFERROR(C927*D927*_xlfn.XLOOKUP(B927,TabCalc[Ticker],TabCalc[Scale]),0)</f>
        <v>0</v>
      </c>
      <c r="F927" s="1023" cm="1">
        <f t="array" ref="F927">IF(A927=A926,0,SUM(_xlfn._xlws.FILTER(E927:E936,A927:A936=A927)))</f>
        <v>0</v>
      </c>
      <c r="G927" s="1024">
        <f>IF(F927&lt;&gt;0,SUM($F$43:F927),0)</f>
        <v>0</v>
      </c>
      <c r="H927" s="1024" cm="1">
        <f t="array" ref="H927">IFERROR(IF(A927=A926,0,SUM(_xlfn._xlws.FILTER(E927:E936,(A927:A936=A927)*(E927:E936&gt;0)))),0)</f>
        <v>0</v>
      </c>
      <c r="I927" s="1024" cm="1">
        <f t="array" ref="I927">IFERROR(IF(A927=A926,0,SUM(_xlfn._xlws.FILTER(E927:E936,(A927:A936=A927)*(F927&lt;0)))),0)</f>
        <v>0</v>
      </c>
      <c r="J927" s="293" t="str">
        <f ca="1">IFERROR(_xlfn.XLOOKUP(B927,TabCalc[Ticker],TabCalc[Cur]),"")</f>
        <v/>
      </c>
      <c r="K927" s="1023" cm="1">
        <f t="array" ref="K927">IFERROR(IF($A927=$A926,0,SUM(_xlfn._xlws.FILTER($E927:$E937,($A927:$A937=$A927)*($J927:$J937=K$42)))),0)</f>
        <v>0</v>
      </c>
      <c r="L927" s="1023" cm="1">
        <f t="array" ref="L927">IFERROR(IF($A927=$A926,0,SUM(_xlfn._xlws.FILTER($E927:$E937,($A927:$A937=$A927)*($J927:$J937=L$42)))),0)</f>
        <v>0</v>
      </c>
      <c r="M927" s="1023" cm="1">
        <f t="array" ref="M927">IFERROR(IF($A927=$A926,0,SUM(_xlfn._xlws.FILTER($E927:$E937,($A927:$A937=$A927)*($J927:$J937=M$42)))),0)</f>
        <v>0</v>
      </c>
      <c r="N927" s="1023" cm="1">
        <f t="array" ref="N927">IFERROR(IF($A927=$A926,0,SUM(_xlfn._xlws.FILTER($E927:$E937,($A927:$A937=$A927)*($J927:$J937=N$42)))),0)</f>
        <v>0</v>
      </c>
    </row>
    <row r="928" spans="5:14" x14ac:dyDescent="0.3">
      <c r="E928" s="1022">
        <f ca="1">IFERROR(C928*D928*_xlfn.XLOOKUP(B928,TabCalc[Ticker],TabCalc[Scale]),0)</f>
        <v>0</v>
      </c>
      <c r="F928" s="1023" cm="1">
        <f t="array" ref="F928">IF(A928=A927,0,SUM(_xlfn._xlws.FILTER(E928:E937,A928:A937=A928)))</f>
        <v>0</v>
      </c>
      <c r="G928" s="1024">
        <f>IF(F928&lt;&gt;0,SUM($F$43:F928),0)</f>
        <v>0</v>
      </c>
      <c r="H928" s="1024" cm="1">
        <f t="array" ref="H928">IFERROR(IF(A928=A927,0,SUM(_xlfn._xlws.FILTER(E928:E937,(A928:A937=A928)*(E928:E937&gt;0)))),0)</f>
        <v>0</v>
      </c>
      <c r="I928" s="1024" cm="1">
        <f t="array" ref="I928">IFERROR(IF(A928=A927,0,SUM(_xlfn._xlws.FILTER(E928:E937,(A928:A937=A928)*(F928&lt;0)))),0)</f>
        <v>0</v>
      </c>
      <c r="J928" s="293" t="str">
        <f ca="1">IFERROR(_xlfn.XLOOKUP(B928,TabCalc[Ticker],TabCalc[Cur]),"")</f>
        <v/>
      </c>
      <c r="K928" s="1023" cm="1">
        <f t="array" ref="K928">IFERROR(IF($A928=$A927,0,SUM(_xlfn._xlws.FILTER($E928:$E938,($A928:$A938=$A928)*($J928:$J938=K$42)))),0)</f>
        <v>0</v>
      </c>
      <c r="L928" s="1023" cm="1">
        <f t="array" ref="L928">IFERROR(IF($A928=$A927,0,SUM(_xlfn._xlws.FILTER($E928:$E938,($A928:$A938=$A928)*($J928:$J938=L$42)))),0)</f>
        <v>0</v>
      </c>
      <c r="M928" s="1023" cm="1">
        <f t="array" ref="M928">IFERROR(IF($A928=$A927,0,SUM(_xlfn._xlws.FILTER($E928:$E938,($A928:$A938=$A928)*($J928:$J938=M$42)))),0)</f>
        <v>0</v>
      </c>
      <c r="N928" s="1023" cm="1">
        <f t="array" ref="N928">IFERROR(IF($A928=$A927,0,SUM(_xlfn._xlws.FILTER($E928:$E938,($A928:$A938=$A928)*($J928:$J938=N$42)))),0)</f>
        <v>0</v>
      </c>
    </row>
    <row r="929" spans="5:14" x14ac:dyDescent="0.3">
      <c r="E929" s="1022">
        <f ca="1">IFERROR(C929*D929*_xlfn.XLOOKUP(B929,TabCalc[Ticker],TabCalc[Scale]),0)</f>
        <v>0</v>
      </c>
      <c r="F929" s="1023" cm="1">
        <f t="array" ref="F929">IF(A929=A928,0,SUM(_xlfn._xlws.FILTER(E929:E938,A929:A938=A929)))</f>
        <v>0</v>
      </c>
      <c r="G929" s="1024">
        <f>IF(F929&lt;&gt;0,SUM($F$43:F929),0)</f>
        <v>0</v>
      </c>
      <c r="H929" s="1024" cm="1">
        <f t="array" ref="H929">IFERROR(IF(A929=A928,0,SUM(_xlfn._xlws.FILTER(E929:E938,(A929:A938=A929)*(E929:E938&gt;0)))),0)</f>
        <v>0</v>
      </c>
      <c r="I929" s="1024" cm="1">
        <f t="array" ref="I929">IFERROR(IF(A929=A928,0,SUM(_xlfn._xlws.FILTER(E929:E938,(A929:A938=A929)*(F929&lt;0)))),0)</f>
        <v>0</v>
      </c>
      <c r="J929" s="293" t="str">
        <f ca="1">IFERROR(_xlfn.XLOOKUP(B929,TabCalc[Ticker],TabCalc[Cur]),"")</f>
        <v/>
      </c>
      <c r="K929" s="1023" cm="1">
        <f t="array" ref="K929">IFERROR(IF($A929=$A928,0,SUM(_xlfn._xlws.FILTER($E929:$E939,($A929:$A939=$A929)*($J929:$J939=K$42)))),0)</f>
        <v>0</v>
      </c>
      <c r="L929" s="1023" cm="1">
        <f t="array" ref="L929">IFERROR(IF($A929=$A928,0,SUM(_xlfn._xlws.FILTER($E929:$E939,($A929:$A939=$A929)*($J929:$J939=L$42)))),0)</f>
        <v>0</v>
      </c>
      <c r="M929" s="1023" cm="1">
        <f t="array" ref="M929">IFERROR(IF($A929=$A928,0,SUM(_xlfn._xlws.FILTER($E929:$E939,($A929:$A939=$A929)*($J929:$J939=M$42)))),0)</f>
        <v>0</v>
      </c>
      <c r="N929" s="1023" cm="1">
        <f t="array" ref="N929">IFERROR(IF($A929=$A928,0,SUM(_xlfn._xlws.FILTER($E929:$E939,($A929:$A939=$A929)*($J929:$J939=N$42)))),0)</f>
        <v>0</v>
      </c>
    </row>
    <row r="930" spans="5:14" x14ac:dyDescent="0.3">
      <c r="E930" s="1022">
        <f ca="1">IFERROR(C930*D930*_xlfn.XLOOKUP(B930,TabCalc[Ticker],TabCalc[Scale]),0)</f>
        <v>0</v>
      </c>
      <c r="F930" s="1023" cm="1">
        <f t="array" ref="F930">IF(A930=A929,0,SUM(_xlfn._xlws.FILTER(E930:E939,A930:A939=A930)))</f>
        <v>0</v>
      </c>
      <c r="G930" s="1024">
        <f>IF(F930&lt;&gt;0,SUM($F$43:F930),0)</f>
        <v>0</v>
      </c>
      <c r="H930" s="1024" cm="1">
        <f t="array" ref="H930">IFERROR(IF(A930=A929,0,SUM(_xlfn._xlws.FILTER(E930:E939,(A930:A939=A930)*(E930:E939&gt;0)))),0)</f>
        <v>0</v>
      </c>
      <c r="I930" s="1024" cm="1">
        <f t="array" ref="I930">IFERROR(IF(A930=A929,0,SUM(_xlfn._xlws.FILTER(E930:E939,(A930:A939=A930)*(F930&lt;0)))),0)</f>
        <v>0</v>
      </c>
      <c r="J930" s="293" t="str">
        <f ca="1">IFERROR(_xlfn.XLOOKUP(B930,TabCalc[Ticker],TabCalc[Cur]),"")</f>
        <v/>
      </c>
      <c r="K930" s="1023" cm="1">
        <f t="array" ref="K930">IFERROR(IF($A930=$A929,0,SUM(_xlfn._xlws.FILTER($E930:$E940,($A930:$A940=$A930)*($J930:$J940=K$42)))),0)</f>
        <v>0</v>
      </c>
      <c r="L930" s="1023" cm="1">
        <f t="array" ref="L930">IFERROR(IF($A930=$A929,0,SUM(_xlfn._xlws.FILTER($E930:$E940,($A930:$A940=$A930)*($J930:$J940=L$42)))),0)</f>
        <v>0</v>
      </c>
      <c r="M930" s="1023" cm="1">
        <f t="array" ref="M930">IFERROR(IF($A930=$A929,0,SUM(_xlfn._xlws.FILTER($E930:$E940,($A930:$A940=$A930)*($J930:$J940=M$42)))),0)</f>
        <v>0</v>
      </c>
      <c r="N930" s="1023" cm="1">
        <f t="array" ref="N930">IFERROR(IF($A930=$A929,0,SUM(_xlfn._xlws.FILTER($E930:$E940,($A930:$A940=$A930)*($J930:$J940=N$42)))),0)</f>
        <v>0</v>
      </c>
    </row>
    <row r="931" spans="5:14" x14ac:dyDescent="0.3">
      <c r="E931" s="1022">
        <f ca="1">IFERROR(C931*D931*_xlfn.XLOOKUP(B931,TabCalc[Ticker],TabCalc[Scale]),0)</f>
        <v>0</v>
      </c>
      <c r="F931" s="1023" cm="1">
        <f t="array" ref="F931">IF(A931=A930,0,SUM(_xlfn._xlws.FILTER(E931:E940,A931:A940=A931)))</f>
        <v>0</v>
      </c>
      <c r="G931" s="1024">
        <f>IF(F931&lt;&gt;0,SUM($F$43:F931),0)</f>
        <v>0</v>
      </c>
      <c r="H931" s="1024" cm="1">
        <f t="array" ref="H931">IFERROR(IF(A931=A930,0,SUM(_xlfn._xlws.FILTER(E931:E940,(A931:A940=A931)*(E931:E940&gt;0)))),0)</f>
        <v>0</v>
      </c>
      <c r="I931" s="1024" cm="1">
        <f t="array" ref="I931">IFERROR(IF(A931=A930,0,SUM(_xlfn._xlws.FILTER(E931:E940,(A931:A940=A931)*(F931&lt;0)))),0)</f>
        <v>0</v>
      </c>
      <c r="J931" s="293" t="str">
        <f ca="1">IFERROR(_xlfn.XLOOKUP(B931,TabCalc[Ticker],TabCalc[Cur]),"")</f>
        <v/>
      </c>
      <c r="K931" s="1023" cm="1">
        <f t="array" ref="K931">IFERROR(IF($A931=$A930,0,SUM(_xlfn._xlws.FILTER($E931:$E941,($A931:$A941=$A931)*($J931:$J941=K$42)))),0)</f>
        <v>0</v>
      </c>
      <c r="L931" s="1023" cm="1">
        <f t="array" ref="L931">IFERROR(IF($A931=$A930,0,SUM(_xlfn._xlws.FILTER($E931:$E941,($A931:$A941=$A931)*($J931:$J941=L$42)))),0)</f>
        <v>0</v>
      </c>
      <c r="M931" s="1023" cm="1">
        <f t="array" ref="M931">IFERROR(IF($A931=$A930,0,SUM(_xlfn._xlws.FILTER($E931:$E941,($A931:$A941=$A931)*($J931:$J941=M$42)))),0)</f>
        <v>0</v>
      </c>
      <c r="N931" s="1023" cm="1">
        <f t="array" ref="N931">IFERROR(IF($A931=$A930,0,SUM(_xlfn._xlws.FILTER($E931:$E941,($A931:$A941=$A931)*($J931:$J941=N$42)))),0)</f>
        <v>0</v>
      </c>
    </row>
    <row r="932" spans="5:14" x14ac:dyDescent="0.3">
      <c r="E932" s="1022">
        <f ca="1">IFERROR(C932*D932*_xlfn.XLOOKUP(B932,TabCalc[Ticker],TabCalc[Scale]),0)</f>
        <v>0</v>
      </c>
      <c r="F932" s="1023" cm="1">
        <f t="array" ref="F932">IF(A932=A931,0,SUM(_xlfn._xlws.FILTER(E932:E941,A932:A941=A932)))</f>
        <v>0</v>
      </c>
      <c r="G932" s="1024">
        <f>IF(F932&lt;&gt;0,SUM($F$43:F932),0)</f>
        <v>0</v>
      </c>
      <c r="H932" s="1024" cm="1">
        <f t="array" ref="H932">IFERROR(IF(A932=A931,0,SUM(_xlfn._xlws.FILTER(E932:E941,(A932:A941=A932)*(E932:E941&gt;0)))),0)</f>
        <v>0</v>
      </c>
      <c r="I932" s="1024" cm="1">
        <f t="array" ref="I932">IFERROR(IF(A932=A931,0,SUM(_xlfn._xlws.FILTER(E932:E941,(A932:A941=A932)*(F932&lt;0)))),0)</f>
        <v>0</v>
      </c>
      <c r="J932" s="293" t="str">
        <f ca="1">IFERROR(_xlfn.XLOOKUP(B932,TabCalc[Ticker],TabCalc[Cur]),"")</f>
        <v/>
      </c>
      <c r="K932" s="1023" cm="1">
        <f t="array" ref="K932">IFERROR(IF($A932=$A931,0,SUM(_xlfn._xlws.FILTER($E932:$E942,($A932:$A942=$A932)*($J932:$J942=K$42)))),0)</f>
        <v>0</v>
      </c>
      <c r="L932" s="1023" cm="1">
        <f t="array" ref="L932">IFERROR(IF($A932=$A931,0,SUM(_xlfn._xlws.FILTER($E932:$E942,($A932:$A942=$A932)*($J932:$J942=L$42)))),0)</f>
        <v>0</v>
      </c>
      <c r="M932" s="1023" cm="1">
        <f t="array" ref="M932">IFERROR(IF($A932=$A931,0,SUM(_xlfn._xlws.FILTER($E932:$E942,($A932:$A942=$A932)*($J932:$J942=M$42)))),0)</f>
        <v>0</v>
      </c>
      <c r="N932" s="1023" cm="1">
        <f t="array" ref="N932">IFERROR(IF($A932=$A931,0,SUM(_xlfn._xlws.FILTER($E932:$E942,($A932:$A942=$A932)*($J932:$J942=N$42)))),0)</f>
        <v>0</v>
      </c>
    </row>
    <row r="933" spans="5:14" x14ac:dyDescent="0.3">
      <c r="E933" s="1022">
        <f ca="1">IFERROR(C933*D933*_xlfn.XLOOKUP(B933,TabCalc[Ticker],TabCalc[Scale]),0)</f>
        <v>0</v>
      </c>
      <c r="F933" s="1023" cm="1">
        <f t="array" ref="F933">IF(A933=A932,0,SUM(_xlfn._xlws.FILTER(E933:E942,A933:A942=A933)))</f>
        <v>0</v>
      </c>
      <c r="G933" s="1024">
        <f>IF(F933&lt;&gt;0,SUM($F$43:F933),0)</f>
        <v>0</v>
      </c>
      <c r="H933" s="1024" cm="1">
        <f t="array" ref="H933">IFERROR(IF(A933=A932,0,SUM(_xlfn._xlws.FILTER(E933:E942,(A933:A942=A933)*(E933:E942&gt;0)))),0)</f>
        <v>0</v>
      </c>
      <c r="I933" s="1024" cm="1">
        <f t="array" ref="I933">IFERROR(IF(A933=A932,0,SUM(_xlfn._xlws.FILTER(E933:E942,(A933:A942=A933)*(F933&lt;0)))),0)</f>
        <v>0</v>
      </c>
      <c r="J933" s="293" t="str">
        <f ca="1">IFERROR(_xlfn.XLOOKUP(B933,TabCalc[Ticker],TabCalc[Cur]),"")</f>
        <v/>
      </c>
      <c r="K933" s="1023" cm="1">
        <f t="array" ref="K933">IFERROR(IF($A933=$A932,0,SUM(_xlfn._xlws.FILTER($E933:$E943,($A933:$A943=$A933)*($J933:$J943=K$42)))),0)</f>
        <v>0</v>
      </c>
      <c r="L933" s="1023" cm="1">
        <f t="array" ref="L933">IFERROR(IF($A933=$A932,0,SUM(_xlfn._xlws.FILTER($E933:$E943,($A933:$A943=$A933)*($J933:$J943=L$42)))),0)</f>
        <v>0</v>
      </c>
      <c r="M933" s="1023" cm="1">
        <f t="array" ref="M933">IFERROR(IF($A933=$A932,0,SUM(_xlfn._xlws.FILTER($E933:$E943,($A933:$A943=$A933)*($J933:$J943=M$42)))),0)</f>
        <v>0</v>
      </c>
      <c r="N933" s="1023" cm="1">
        <f t="array" ref="N933">IFERROR(IF($A933=$A932,0,SUM(_xlfn._xlws.FILTER($E933:$E943,($A933:$A943=$A933)*($J933:$J943=N$42)))),0)</f>
        <v>0</v>
      </c>
    </row>
    <row r="934" spans="5:14" x14ac:dyDescent="0.3">
      <c r="E934" s="1022">
        <f ca="1">IFERROR(C934*D934*_xlfn.XLOOKUP(B934,TabCalc[Ticker],TabCalc[Scale]),0)</f>
        <v>0</v>
      </c>
      <c r="F934" s="1023" cm="1">
        <f t="array" ref="F934">IF(A934=A933,0,SUM(_xlfn._xlws.FILTER(E934:E943,A934:A943=A934)))</f>
        <v>0</v>
      </c>
      <c r="G934" s="1024">
        <f>IF(F934&lt;&gt;0,SUM($F$43:F934),0)</f>
        <v>0</v>
      </c>
      <c r="H934" s="1024" cm="1">
        <f t="array" ref="H934">IFERROR(IF(A934=A933,0,SUM(_xlfn._xlws.FILTER(E934:E943,(A934:A943=A934)*(E934:E943&gt;0)))),0)</f>
        <v>0</v>
      </c>
      <c r="I934" s="1024" cm="1">
        <f t="array" ref="I934">IFERROR(IF(A934=A933,0,SUM(_xlfn._xlws.FILTER(E934:E943,(A934:A943=A934)*(F934&lt;0)))),0)</f>
        <v>0</v>
      </c>
      <c r="J934" s="293" t="str">
        <f ca="1">IFERROR(_xlfn.XLOOKUP(B934,TabCalc[Ticker],TabCalc[Cur]),"")</f>
        <v/>
      </c>
      <c r="K934" s="1023" cm="1">
        <f t="array" ref="K934">IFERROR(IF($A934=$A933,0,SUM(_xlfn._xlws.FILTER($E934:$E944,($A934:$A944=$A934)*($J934:$J944=K$42)))),0)</f>
        <v>0</v>
      </c>
      <c r="L934" s="1023" cm="1">
        <f t="array" ref="L934">IFERROR(IF($A934=$A933,0,SUM(_xlfn._xlws.FILTER($E934:$E944,($A934:$A944=$A934)*($J934:$J944=L$42)))),0)</f>
        <v>0</v>
      </c>
      <c r="M934" s="1023" cm="1">
        <f t="array" ref="M934">IFERROR(IF($A934=$A933,0,SUM(_xlfn._xlws.FILTER($E934:$E944,($A934:$A944=$A934)*($J934:$J944=M$42)))),0)</f>
        <v>0</v>
      </c>
      <c r="N934" s="1023" cm="1">
        <f t="array" ref="N934">IFERROR(IF($A934=$A933,0,SUM(_xlfn._xlws.FILTER($E934:$E944,($A934:$A944=$A934)*($J934:$J944=N$42)))),0)</f>
        <v>0</v>
      </c>
    </row>
    <row r="935" spans="5:14" x14ac:dyDescent="0.3">
      <c r="E935" s="1022">
        <f ca="1">IFERROR(C935*D935*_xlfn.XLOOKUP(B935,TabCalc[Ticker],TabCalc[Scale]),0)</f>
        <v>0</v>
      </c>
      <c r="F935" s="1023" cm="1">
        <f t="array" ref="F935">IF(A935=A934,0,SUM(_xlfn._xlws.FILTER(E935:E944,A935:A944=A935)))</f>
        <v>0</v>
      </c>
      <c r="G935" s="1024">
        <f>IF(F935&lt;&gt;0,SUM($F$43:F935),0)</f>
        <v>0</v>
      </c>
      <c r="H935" s="1024" cm="1">
        <f t="array" ref="H935">IFERROR(IF(A935=A934,0,SUM(_xlfn._xlws.FILTER(E935:E944,(A935:A944=A935)*(E935:E944&gt;0)))),0)</f>
        <v>0</v>
      </c>
      <c r="I935" s="1024" cm="1">
        <f t="array" ref="I935">IFERROR(IF(A935=A934,0,SUM(_xlfn._xlws.FILTER(E935:E944,(A935:A944=A935)*(F935&lt;0)))),0)</f>
        <v>0</v>
      </c>
      <c r="J935" s="293" t="str">
        <f ca="1">IFERROR(_xlfn.XLOOKUP(B935,TabCalc[Ticker],TabCalc[Cur]),"")</f>
        <v/>
      </c>
      <c r="K935" s="1023" cm="1">
        <f t="array" ref="K935">IFERROR(IF($A935=$A934,0,SUM(_xlfn._xlws.FILTER($E935:$E945,($A935:$A945=$A935)*($J935:$J945=K$42)))),0)</f>
        <v>0</v>
      </c>
      <c r="L935" s="1023" cm="1">
        <f t="array" ref="L935">IFERROR(IF($A935=$A934,0,SUM(_xlfn._xlws.FILTER($E935:$E945,($A935:$A945=$A935)*($J935:$J945=L$42)))),0)</f>
        <v>0</v>
      </c>
      <c r="M935" s="1023" cm="1">
        <f t="array" ref="M935">IFERROR(IF($A935=$A934,0,SUM(_xlfn._xlws.FILTER($E935:$E945,($A935:$A945=$A935)*($J935:$J945=M$42)))),0)</f>
        <v>0</v>
      </c>
      <c r="N935" s="1023" cm="1">
        <f t="array" ref="N935">IFERROR(IF($A935=$A934,0,SUM(_xlfn._xlws.FILTER($E935:$E945,($A935:$A945=$A935)*($J935:$J945=N$42)))),0)</f>
        <v>0</v>
      </c>
    </row>
    <row r="936" spans="5:14" x14ac:dyDescent="0.3">
      <c r="E936" s="1022">
        <f ca="1">IFERROR(C936*D936*_xlfn.XLOOKUP(B936,TabCalc[Ticker],TabCalc[Scale]),0)</f>
        <v>0</v>
      </c>
      <c r="F936" s="1023" cm="1">
        <f t="array" ref="F936">IF(A936=A935,0,SUM(_xlfn._xlws.FILTER(E936:E945,A936:A945=A936)))</f>
        <v>0</v>
      </c>
      <c r="G936" s="1024">
        <f>IF(F936&lt;&gt;0,SUM($F$43:F936),0)</f>
        <v>0</v>
      </c>
      <c r="H936" s="1024" cm="1">
        <f t="array" ref="H936">IFERROR(IF(A936=A935,0,SUM(_xlfn._xlws.FILTER(E936:E945,(A936:A945=A936)*(E936:E945&gt;0)))),0)</f>
        <v>0</v>
      </c>
      <c r="I936" s="1024" cm="1">
        <f t="array" ref="I936">IFERROR(IF(A936=A935,0,SUM(_xlfn._xlws.FILTER(E936:E945,(A936:A945=A936)*(F936&lt;0)))),0)</f>
        <v>0</v>
      </c>
      <c r="J936" s="293" t="str">
        <f ca="1">IFERROR(_xlfn.XLOOKUP(B936,TabCalc[Ticker],TabCalc[Cur]),"")</f>
        <v/>
      </c>
      <c r="K936" s="1023" cm="1">
        <f t="array" ref="K936">IFERROR(IF($A936=$A935,0,SUM(_xlfn._xlws.FILTER($E936:$E946,($A936:$A946=$A936)*($J936:$J946=K$42)))),0)</f>
        <v>0</v>
      </c>
      <c r="L936" s="1023" cm="1">
        <f t="array" ref="L936">IFERROR(IF($A936=$A935,0,SUM(_xlfn._xlws.FILTER($E936:$E946,($A936:$A946=$A936)*($J936:$J946=L$42)))),0)</f>
        <v>0</v>
      </c>
      <c r="M936" s="1023" cm="1">
        <f t="array" ref="M936">IFERROR(IF($A936=$A935,0,SUM(_xlfn._xlws.FILTER($E936:$E946,($A936:$A946=$A936)*($J936:$J946=M$42)))),0)</f>
        <v>0</v>
      </c>
      <c r="N936" s="1023" cm="1">
        <f t="array" ref="N936">IFERROR(IF($A936=$A935,0,SUM(_xlfn._xlws.FILTER($E936:$E946,($A936:$A946=$A936)*($J936:$J946=N$42)))),0)</f>
        <v>0</v>
      </c>
    </row>
    <row r="937" spans="5:14" x14ac:dyDescent="0.3">
      <c r="E937" s="1022">
        <f ca="1">IFERROR(C937*D937*_xlfn.XLOOKUP(B937,TabCalc[Ticker],TabCalc[Scale]),0)</f>
        <v>0</v>
      </c>
      <c r="F937" s="1023" cm="1">
        <f t="array" ref="F937">IF(A937=A936,0,SUM(_xlfn._xlws.FILTER(E937:E946,A937:A946=A937)))</f>
        <v>0</v>
      </c>
      <c r="G937" s="1024">
        <f>IF(F937&lt;&gt;0,SUM($F$43:F937),0)</f>
        <v>0</v>
      </c>
      <c r="H937" s="1024" cm="1">
        <f t="array" ref="H937">IFERROR(IF(A937=A936,0,SUM(_xlfn._xlws.FILTER(E937:E946,(A937:A946=A937)*(E937:E946&gt;0)))),0)</f>
        <v>0</v>
      </c>
      <c r="I937" s="1024" cm="1">
        <f t="array" ref="I937">IFERROR(IF(A937=A936,0,SUM(_xlfn._xlws.FILTER(E937:E946,(A937:A946=A937)*(F937&lt;0)))),0)</f>
        <v>0</v>
      </c>
      <c r="J937" s="293" t="str">
        <f ca="1">IFERROR(_xlfn.XLOOKUP(B937,TabCalc[Ticker],TabCalc[Cur]),"")</f>
        <v/>
      </c>
      <c r="K937" s="1023" cm="1">
        <f t="array" ref="K937">IFERROR(IF($A937=$A936,0,SUM(_xlfn._xlws.FILTER($E937:$E947,($A937:$A947=$A937)*($J937:$J947=K$42)))),0)</f>
        <v>0</v>
      </c>
      <c r="L937" s="1023" cm="1">
        <f t="array" ref="L937">IFERROR(IF($A937=$A936,0,SUM(_xlfn._xlws.FILTER($E937:$E947,($A937:$A947=$A937)*($J937:$J947=L$42)))),0)</f>
        <v>0</v>
      </c>
      <c r="M937" s="1023" cm="1">
        <f t="array" ref="M937">IFERROR(IF($A937=$A936,0,SUM(_xlfn._xlws.FILTER($E937:$E947,($A937:$A947=$A937)*($J937:$J947=M$42)))),0)</f>
        <v>0</v>
      </c>
      <c r="N937" s="1023" cm="1">
        <f t="array" ref="N937">IFERROR(IF($A937=$A936,0,SUM(_xlfn._xlws.FILTER($E937:$E947,($A937:$A947=$A937)*($J937:$J947=N$42)))),0)</f>
        <v>0</v>
      </c>
    </row>
    <row r="938" spans="5:14" x14ac:dyDescent="0.3">
      <c r="E938" s="1022">
        <f ca="1">IFERROR(C938*D938*_xlfn.XLOOKUP(B938,TabCalc[Ticker],TabCalc[Scale]),0)</f>
        <v>0</v>
      </c>
      <c r="F938" s="1023" cm="1">
        <f t="array" ref="F938">IF(A938=A937,0,SUM(_xlfn._xlws.FILTER(E938:E947,A938:A947=A938)))</f>
        <v>0</v>
      </c>
      <c r="G938" s="1024">
        <f>IF(F938&lt;&gt;0,SUM($F$43:F938),0)</f>
        <v>0</v>
      </c>
      <c r="H938" s="1024" cm="1">
        <f t="array" ref="H938">IFERROR(IF(A938=A937,0,SUM(_xlfn._xlws.FILTER(E938:E947,(A938:A947=A938)*(E938:E947&gt;0)))),0)</f>
        <v>0</v>
      </c>
      <c r="I938" s="1024" cm="1">
        <f t="array" ref="I938">IFERROR(IF(A938=A937,0,SUM(_xlfn._xlws.FILTER(E938:E947,(A938:A947=A938)*(F938&lt;0)))),0)</f>
        <v>0</v>
      </c>
      <c r="J938" s="293" t="str">
        <f ca="1">IFERROR(_xlfn.XLOOKUP(B938,TabCalc[Ticker],TabCalc[Cur]),"")</f>
        <v/>
      </c>
      <c r="K938" s="1023" cm="1">
        <f t="array" ref="K938">IFERROR(IF($A938=$A937,0,SUM(_xlfn._xlws.FILTER($E938:$E948,($A938:$A948=$A938)*($J938:$J948=K$42)))),0)</f>
        <v>0</v>
      </c>
      <c r="L938" s="1023" cm="1">
        <f t="array" ref="L938">IFERROR(IF($A938=$A937,0,SUM(_xlfn._xlws.FILTER($E938:$E948,($A938:$A948=$A938)*($J938:$J948=L$42)))),0)</f>
        <v>0</v>
      </c>
      <c r="M938" s="1023" cm="1">
        <f t="array" ref="M938">IFERROR(IF($A938=$A937,0,SUM(_xlfn._xlws.FILTER($E938:$E948,($A938:$A948=$A938)*($J938:$J948=M$42)))),0)</f>
        <v>0</v>
      </c>
      <c r="N938" s="1023" cm="1">
        <f t="array" ref="N938">IFERROR(IF($A938=$A937,0,SUM(_xlfn._xlws.FILTER($E938:$E948,($A938:$A948=$A938)*($J938:$J948=N$42)))),0)</f>
        <v>0</v>
      </c>
    </row>
    <row r="939" spans="5:14" x14ac:dyDescent="0.3">
      <c r="E939" s="1022">
        <f ca="1">IFERROR(C939*D939*_xlfn.XLOOKUP(B939,TabCalc[Ticker],TabCalc[Scale]),0)</f>
        <v>0</v>
      </c>
      <c r="F939" s="1023" cm="1">
        <f t="array" ref="F939">IF(A939=A938,0,SUM(_xlfn._xlws.FILTER(E939:E948,A939:A948=A939)))</f>
        <v>0</v>
      </c>
      <c r="G939" s="1024">
        <f>IF(F939&lt;&gt;0,SUM($F$43:F939),0)</f>
        <v>0</v>
      </c>
      <c r="H939" s="1024" cm="1">
        <f t="array" ref="H939">IFERROR(IF(A939=A938,0,SUM(_xlfn._xlws.FILTER(E939:E948,(A939:A948=A939)*(E939:E948&gt;0)))),0)</f>
        <v>0</v>
      </c>
      <c r="I939" s="1024" cm="1">
        <f t="array" ref="I939">IFERROR(IF(A939=A938,0,SUM(_xlfn._xlws.FILTER(E939:E948,(A939:A948=A939)*(F939&lt;0)))),0)</f>
        <v>0</v>
      </c>
      <c r="J939" s="293" t="str">
        <f ca="1">IFERROR(_xlfn.XLOOKUP(B939,TabCalc[Ticker],TabCalc[Cur]),"")</f>
        <v/>
      </c>
      <c r="K939" s="1023" cm="1">
        <f t="array" ref="K939">IFERROR(IF($A939=$A938,0,SUM(_xlfn._xlws.FILTER($E939:$E949,($A939:$A949=$A939)*($J939:$J949=K$42)))),0)</f>
        <v>0</v>
      </c>
      <c r="L939" s="1023" cm="1">
        <f t="array" ref="L939">IFERROR(IF($A939=$A938,0,SUM(_xlfn._xlws.FILTER($E939:$E949,($A939:$A949=$A939)*($J939:$J949=L$42)))),0)</f>
        <v>0</v>
      </c>
      <c r="M939" s="1023" cm="1">
        <f t="array" ref="M939">IFERROR(IF($A939=$A938,0,SUM(_xlfn._xlws.FILTER($E939:$E949,($A939:$A949=$A939)*($J939:$J949=M$42)))),0)</f>
        <v>0</v>
      </c>
      <c r="N939" s="1023" cm="1">
        <f t="array" ref="N939">IFERROR(IF($A939=$A938,0,SUM(_xlfn._xlws.FILTER($E939:$E949,($A939:$A949=$A939)*($J939:$J949=N$42)))),0)</f>
        <v>0</v>
      </c>
    </row>
    <row r="940" spans="5:14" x14ac:dyDescent="0.3">
      <c r="E940" s="1022">
        <f ca="1">IFERROR(C940*D940*_xlfn.XLOOKUP(B940,TabCalc[Ticker],TabCalc[Scale]),0)</f>
        <v>0</v>
      </c>
      <c r="F940" s="1023" cm="1">
        <f t="array" ref="F940">IF(A940=A939,0,SUM(_xlfn._xlws.FILTER(E940:E949,A940:A949=A940)))</f>
        <v>0</v>
      </c>
      <c r="G940" s="1024">
        <f>IF(F940&lt;&gt;0,SUM($F$43:F940),0)</f>
        <v>0</v>
      </c>
      <c r="H940" s="1024" cm="1">
        <f t="array" ref="H940">IFERROR(IF(A940=A939,0,SUM(_xlfn._xlws.FILTER(E940:E949,(A940:A949=A940)*(E940:E949&gt;0)))),0)</f>
        <v>0</v>
      </c>
      <c r="I940" s="1024" cm="1">
        <f t="array" ref="I940">IFERROR(IF(A940=A939,0,SUM(_xlfn._xlws.FILTER(E940:E949,(A940:A949=A940)*(F940&lt;0)))),0)</f>
        <v>0</v>
      </c>
      <c r="J940" s="293" t="str">
        <f ca="1">IFERROR(_xlfn.XLOOKUP(B940,TabCalc[Ticker],TabCalc[Cur]),"")</f>
        <v/>
      </c>
      <c r="K940" s="1023" cm="1">
        <f t="array" ref="K940">IFERROR(IF($A940=$A939,0,SUM(_xlfn._xlws.FILTER($E940:$E950,($A940:$A950=$A940)*($J940:$J950=K$42)))),0)</f>
        <v>0</v>
      </c>
      <c r="L940" s="1023" cm="1">
        <f t="array" ref="L940">IFERROR(IF($A940=$A939,0,SUM(_xlfn._xlws.FILTER($E940:$E950,($A940:$A950=$A940)*($J940:$J950=L$42)))),0)</f>
        <v>0</v>
      </c>
      <c r="M940" s="1023" cm="1">
        <f t="array" ref="M940">IFERROR(IF($A940=$A939,0,SUM(_xlfn._xlws.FILTER($E940:$E950,($A940:$A950=$A940)*($J940:$J950=M$42)))),0)</f>
        <v>0</v>
      </c>
      <c r="N940" s="1023" cm="1">
        <f t="array" ref="N940">IFERROR(IF($A940=$A939,0,SUM(_xlfn._xlws.FILTER($E940:$E950,($A940:$A950=$A940)*($J940:$J950=N$42)))),0)</f>
        <v>0</v>
      </c>
    </row>
    <row r="941" spans="5:14" x14ac:dyDescent="0.3">
      <c r="E941" s="1022">
        <f ca="1">IFERROR(C941*D941*_xlfn.XLOOKUP(B941,TabCalc[Ticker],TabCalc[Scale]),0)</f>
        <v>0</v>
      </c>
      <c r="F941" s="1023" cm="1">
        <f t="array" ref="F941">IF(A941=A940,0,SUM(_xlfn._xlws.FILTER(E941:E950,A941:A950=A941)))</f>
        <v>0</v>
      </c>
      <c r="G941" s="1024">
        <f>IF(F941&lt;&gt;0,SUM($F$43:F941),0)</f>
        <v>0</v>
      </c>
      <c r="H941" s="1024" cm="1">
        <f t="array" ref="H941">IFERROR(IF(A941=A940,0,SUM(_xlfn._xlws.FILTER(E941:E950,(A941:A950=A941)*(E941:E950&gt;0)))),0)</f>
        <v>0</v>
      </c>
      <c r="I941" s="1024" cm="1">
        <f t="array" ref="I941">IFERROR(IF(A941=A940,0,SUM(_xlfn._xlws.FILTER(E941:E950,(A941:A950=A941)*(F941&lt;0)))),0)</f>
        <v>0</v>
      </c>
      <c r="J941" s="293" t="str">
        <f ca="1">IFERROR(_xlfn.XLOOKUP(B941,TabCalc[Ticker],TabCalc[Cur]),"")</f>
        <v/>
      </c>
      <c r="K941" s="1023" cm="1">
        <f t="array" ref="K941">IFERROR(IF($A941=$A940,0,SUM(_xlfn._xlws.FILTER($E941:$E951,($A941:$A951=$A941)*($J941:$J951=K$42)))),0)</f>
        <v>0</v>
      </c>
      <c r="L941" s="1023" cm="1">
        <f t="array" ref="L941">IFERROR(IF($A941=$A940,0,SUM(_xlfn._xlws.FILTER($E941:$E951,($A941:$A951=$A941)*($J941:$J951=L$42)))),0)</f>
        <v>0</v>
      </c>
      <c r="M941" s="1023" cm="1">
        <f t="array" ref="M941">IFERROR(IF($A941=$A940,0,SUM(_xlfn._xlws.FILTER($E941:$E951,($A941:$A951=$A941)*($J941:$J951=M$42)))),0)</f>
        <v>0</v>
      </c>
      <c r="N941" s="1023" cm="1">
        <f t="array" ref="N941">IFERROR(IF($A941=$A940,0,SUM(_xlfn._xlws.FILTER($E941:$E951,($A941:$A951=$A941)*($J941:$J951=N$42)))),0)</f>
        <v>0</v>
      </c>
    </row>
    <row r="942" spans="5:14" x14ac:dyDescent="0.3">
      <c r="E942" s="1022">
        <f ca="1">IFERROR(C942*D942*_xlfn.XLOOKUP(B942,TabCalc[Ticker],TabCalc[Scale]),0)</f>
        <v>0</v>
      </c>
      <c r="F942" s="1023" cm="1">
        <f t="array" ref="F942">IF(A942=A941,0,SUM(_xlfn._xlws.FILTER(E942:E951,A942:A951=A942)))</f>
        <v>0</v>
      </c>
      <c r="G942" s="1024">
        <f>IF(F942&lt;&gt;0,SUM($F$43:F942),0)</f>
        <v>0</v>
      </c>
      <c r="H942" s="1024" cm="1">
        <f t="array" ref="H942">IFERROR(IF(A942=A941,0,SUM(_xlfn._xlws.FILTER(E942:E951,(A942:A951=A942)*(E942:E951&gt;0)))),0)</f>
        <v>0</v>
      </c>
      <c r="I942" s="1024" cm="1">
        <f t="array" ref="I942">IFERROR(IF(A942=A941,0,SUM(_xlfn._xlws.FILTER(E942:E951,(A942:A951=A942)*(F942&lt;0)))),0)</f>
        <v>0</v>
      </c>
      <c r="J942" s="293" t="str">
        <f ca="1">IFERROR(_xlfn.XLOOKUP(B942,TabCalc[Ticker],TabCalc[Cur]),"")</f>
        <v/>
      </c>
      <c r="K942" s="1023" cm="1">
        <f t="array" ref="K942">IFERROR(IF($A942=$A941,0,SUM(_xlfn._xlws.FILTER($E942:$E952,($A942:$A952=$A942)*($J942:$J952=K$42)))),0)</f>
        <v>0</v>
      </c>
      <c r="L942" s="1023" cm="1">
        <f t="array" ref="L942">IFERROR(IF($A942=$A941,0,SUM(_xlfn._xlws.FILTER($E942:$E952,($A942:$A952=$A942)*($J942:$J952=L$42)))),0)</f>
        <v>0</v>
      </c>
      <c r="M942" s="1023" cm="1">
        <f t="array" ref="M942">IFERROR(IF($A942=$A941,0,SUM(_xlfn._xlws.FILTER($E942:$E952,($A942:$A952=$A942)*($J942:$J952=M$42)))),0)</f>
        <v>0</v>
      </c>
      <c r="N942" s="1023" cm="1">
        <f t="array" ref="N942">IFERROR(IF($A942=$A941,0,SUM(_xlfn._xlws.FILTER($E942:$E952,($A942:$A952=$A942)*($J942:$J952=N$42)))),0)</f>
        <v>0</v>
      </c>
    </row>
    <row r="943" spans="5:14" x14ac:dyDescent="0.3">
      <c r="E943" s="1022">
        <f ca="1">IFERROR(C943*D943*_xlfn.XLOOKUP(B943,TabCalc[Ticker],TabCalc[Scale]),0)</f>
        <v>0</v>
      </c>
      <c r="F943" s="1023" cm="1">
        <f t="array" ref="F943">IF(A943=A942,0,SUM(_xlfn._xlws.FILTER(E943:E952,A943:A952=A943)))</f>
        <v>0</v>
      </c>
      <c r="G943" s="1024">
        <f>IF(F943&lt;&gt;0,SUM($F$43:F943),0)</f>
        <v>0</v>
      </c>
      <c r="H943" s="1024" cm="1">
        <f t="array" ref="H943">IFERROR(IF(A943=A942,0,SUM(_xlfn._xlws.FILTER(E943:E952,(A943:A952=A943)*(E943:E952&gt;0)))),0)</f>
        <v>0</v>
      </c>
      <c r="I943" s="1024" cm="1">
        <f t="array" ref="I943">IFERROR(IF(A943=A942,0,SUM(_xlfn._xlws.FILTER(E943:E952,(A943:A952=A943)*(F943&lt;0)))),0)</f>
        <v>0</v>
      </c>
      <c r="J943" s="293" t="str">
        <f ca="1">IFERROR(_xlfn.XLOOKUP(B943,TabCalc[Ticker],TabCalc[Cur]),"")</f>
        <v/>
      </c>
      <c r="K943" s="1023" cm="1">
        <f t="array" ref="K943">IFERROR(IF($A943=$A942,0,SUM(_xlfn._xlws.FILTER($E943:$E953,($A943:$A953=$A943)*($J943:$J953=K$42)))),0)</f>
        <v>0</v>
      </c>
      <c r="L943" s="1023" cm="1">
        <f t="array" ref="L943">IFERROR(IF($A943=$A942,0,SUM(_xlfn._xlws.FILTER($E943:$E953,($A943:$A953=$A943)*($J943:$J953=L$42)))),0)</f>
        <v>0</v>
      </c>
      <c r="M943" s="1023" cm="1">
        <f t="array" ref="M943">IFERROR(IF($A943=$A942,0,SUM(_xlfn._xlws.FILTER($E943:$E953,($A943:$A953=$A943)*($J943:$J953=M$42)))),0)</f>
        <v>0</v>
      </c>
      <c r="N943" s="1023" cm="1">
        <f t="array" ref="N943">IFERROR(IF($A943=$A942,0,SUM(_xlfn._xlws.FILTER($E943:$E953,($A943:$A953=$A943)*($J943:$J953=N$42)))),0)</f>
        <v>0</v>
      </c>
    </row>
    <row r="944" spans="5:14" x14ac:dyDescent="0.3">
      <c r="E944" s="1022">
        <f ca="1">IFERROR(C944*D944*_xlfn.XLOOKUP(B944,TabCalc[Ticker],TabCalc[Scale]),0)</f>
        <v>0</v>
      </c>
      <c r="F944" s="1023" cm="1">
        <f t="array" ref="F944">IF(A944=A943,0,SUM(_xlfn._xlws.FILTER(E944:E953,A944:A953=A944)))</f>
        <v>0</v>
      </c>
      <c r="G944" s="1024">
        <f>IF(F944&lt;&gt;0,SUM($F$43:F944),0)</f>
        <v>0</v>
      </c>
      <c r="H944" s="1024" cm="1">
        <f t="array" ref="H944">IFERROR(IF(A944=A943,0,SUM(_xlfn._xlws.FILTER(E944:E953,(A944:A953=A944)*(E944:E953&gt;0)))),0)</f>
        <v>0</v>
      </c>
      <c r="I944" s="1024" cm="1">
        <f t="array" ref="I944">IFERROR(IF(A944=A943,0,SUM(_xlfn._xlws.FILTER(E944:E953,(A944:A953=A944)*(F944&lt;0)))),0)</f>
        <v>0</v>
      </c>
      <c r="J944" s="293" t="str">
        <f ca="1">IFERROR(_xlfn.XLOOKUP(B944,TabCalc[Ticker],TabCalc[Cur]),"")</f>
        <v/>
      </c>
      <c r="K944" s="1023" cm="1">
        <f t="array" ref="K944">IFERROR(IF($A944=$A943,0,SUM(_xlfn._xlws.FILTER($E944:$E954,($A944:$A954=$A944)*($J944:$J954=K$42)))),0)</f>
        <v>0</v>
      </c>
      <c r="L944" s="1023" cm="1">
        <f t="array" ref="L944">IFERROR(IF($A944=$A943,0,SUM(_xlfn._xlws.FILTER($E944:$E954,($A944:$A954=$A944)*($J944:$J954=L$42)))),0)</f>
        <v>0</v>
      </c>
      <c r="M944" s="1023" cm="1">
        <f t="array" ref="M944">IFERROR(IF($A944=$A943,0,SUM(_xlfn._xlws.FILTER($E944:$E954,($A944:$A954=$A944)*($J944:$J954=M$42)))),0)</f>
        <v>0</v>
      </c>
      <c r="N944" s="1023" cm="1">
        <f t="array" ref="N944">IFERROR(IF($A944=$A943,0,SUM(_xlfn._xlws.FILTER($E944:$E954,($A944:$A954=$A944)*($J944:$J954=N$42)))),0)</f>
        <v>0</v>
      </c>
    </row>
    <row r="945" spans="5:14" x14ac:dyDescent="0.3">
      <c r="E945" s="1022">
        <f ca="1">IFERROR(C945*D945*_xlfn.XLOOKUP(B945,TabCalc[Ticker],TabCalc[Scale]),0)</f>
        <v>0</v>
      </c>
      <c r="F945" s="1023" cm="1">
        <f t="array" ref="F945">IF(A945=A944,0,SUM(_xlfn._xlws.FILTER(E945:E954,A945:A954=A945)))</f>
        <v>0</v>
      </c>
      <c r="G945" s="1024">
        <f>IF(F945&lt;&gt;0,SUM($F$43:F945),0)</f>
        <v>0</v>
      </c>
      <c r="H945" s="1024" cm="1">
        <f t="array" ref="H945">IFERROR(IF(A945=A944,0,SUM(_xlfn._xlws.FILTER(E945:E954,(A945:A954=A945)*(E945:E954&gt;0)))),0)</f>
        <v>0</v>
      </c>
      <c r="I945" s="1024" cm="1">
        <f t="array" ref="I945">IFERROR(IF(A945=A944,0,SUM(_xlfn._xlws.FILTER(E945:E954,(A945:A954=A945)*(F945&lt;0)))),0)</f>
        <v>0</v>
      </c>
      <c r="J945" s="293" t="str">
        <f ca="1">IFERROR(_xlfn.XLOOKUP(B945,TabCalc[Ticker],TabCalc[Cur]),"")</f>
        <v/>
      </c>
      <c r="K945" s="1023" cm="1">
        <f t="array" ref="K945">IFERROR(IF($A945=$A944,0,SUM(_xlfn._xlws.FILTER($E945:$E955,($A945:$A955=$A945)*($J945:$J955=K$42)))),0)</f>
        <v>0</v>
      </c>
      <c r="L945" s="1023" cm="1">
        <f t="array" ref="L945">IFERROR(IF($A945=$A944,0,SUM(_xlfn._xlws.FILTER($E945:$E955,($A945:$A955=$A945)*($J945:$J955=L$42)))),0)</f>
        <v>0</v>
      </c>
      <c r="M945" s="1023" cm="1">
        <f t="array" ref="M945">IFERROR(IF($A945=$A944,0,SUM(_xlfn._xlws.FILTER($E945:$E955,($A945:$A955=$A945)*($J945:$J955=M$42)))),0)</f>
        <v>0</v>
      </c>
      <c r="N945" s="1023" cm="1">
        <f t="array" ref="N945">IFERROR(IF($A945=$A944,0,SUM(_xlfn._xlws.FILTER($E945:$E955,($A945:$A955=$A945)*($J945:$J955=N$42)))),0)</f>
        <v>0</v>
      </c>
    </row>
    <row r="946" spans="5:14" x14ac:dyDescent="0.3">
      <c r="E946" s="1022">
        <f ca="1">IFERROR(C946*D946*_xlfn.XLOOKUP(B946,TabCalc[Ticker],TabCalc[Scale]),0)</f>
        <v>0</v>
      </c>
      <c r="F946" s="1023" cm="1">
        <f t="array" ref="F946">IF(A946=A945,0,SUM(_xlfn._xlws.FILTER(E946:E955,A946:A955=A946)))</f>
        <v>0</v>
      </c>
      <c r="G946" s="1024">
        <f>IF(F946&lt;&gt;0,SUM($F$43:F946),0)</f>
        <v>0</v>
      </c>
      <c r="H946" s="1024" cm="1">
        <f t="array" ref="H946">IFERROR(IF(A946=A945,0,SUM(_xlfn._xlws.FILTER(E946:E955,(A946:A955=A946)*(E946:E955&gt;0)))),0)</f>
        <v>0</v>
      </c>
      <c r="I946" s="1024" cm="1">
        <f t="array" ref="I946">IFERROR(IF(A946=A945,0,SUM(_xlfn._xlws.FILTER(E946:E955,(A946:A955=A946)*(F946&lt;0)))),0)</f>
        <v>0</v>
      </c>
      <c r="J946" s="293" t="str">
        <f ca="1">IFERROR(_xlfn.XLOOKUP(B946,TabCalc[Ticker],TabCalc[Cur]),"")</f>
        <v/>
      </c>
      <c r="K946" s="1023" cm="1">
        <f t="array" ref="K946">IFERROR(IF($A946=$A945,0,SUM(_xlfn._xlws.FILTER($E946:$E956,($A946:$A956=$A946)*($J946:$J956=K$42)))),0)</f>
        <v>0</v>
      </c>
      <c r="L946" s="1023" cm="1">
        <f t="array" ref="L946">IFERROR(IF($A946=$A945,0,SUM(_xlfn._xlws.FILTER($E946:$E956,($A946:$A956=$A946)*($J946:$J956=L$42)))),0)</f>
        <v>0</v>
      </c>
      <c r="M946" s="1023" cm="1">
        <f t="array" ref="M946">IFERROR(IF($A946=$A945,0,SUM(_xlfn._xlws.FILTER($E946:$E956,($A946:$A956=$A946)*($J946:$J956=M$42)))),0)</f>
        <v>0</v>
      </c>
      <c r="N946" s="1023" cm="1">
        <f t="array" ref="N946">IFERROR(IF($A946=$A945,0,SUM(_xlfn._xlws.FILTER($E946:$E956,($A946:$A956=$A946)*($J946:$J956=N$42)))),0)</f>
        <v>0</v>
      </c>
    </row>
    <row r="947" spans="5:14" x14ac:dyDescent="0.3">
      <c r="E947" s="1022">
        <f ca="1">IFERROR(C947*D947*_xlfn.XLOOKUP(B947,TabCalc[Ticker],TabCalc[Scale]),0)</f>
        <v>0</v>
      </c>
      <c r="F947" s="1023" cm="1">
        <f t="array" ref="F947">IF(A947=A946,0,SUM(_xlfn._xlws.FILTER(E947:E956,A947:A956=A947)))</f>
        <v>0</v>
      </c>
      <c r="G947" s="1024">
        <f>IF(F947&lt;&gt;0,SUM($F$43:F947),0)</f>
        <v>0</v>
      </c>
      <c r="H947" s="1024" cm="1">
        <f t="array" ref="H947">IFERROR(IF(A947=A946,0,SUM(_xlfn._xlws.FILTER(E947:E956,(A947:A956=A947)*(E947:E956&gt;0)))),0)</f>
        <v>0</v>
      </c>
      <c r="I947" s="1024" cm="1">
        <f t="array" ref="I947">IFERROR(IF(A947=A946,0,SUM(_xlfn._xlws.FILTER(E947:E956,(A947:A956=A947)*(F947&lt;0)))),0)</f>
        <v>0</v>
      </c>
      <c r="J947" s="293" t="str">
        <f ca="1">IFERROR(_xlfn.XLOOKUP(B947,TabCalc[Ticker],TabCalc[Cur]),"")</f>
        <v/>
      </c>
      <c r="K947" s="1023" cm="1">
        <f t="array" ref="K947">IFERROR(IF($A947=$A946,0,SUM(_xlfn._xlws.FILTER($E947:$E957,($A947:$A957=$A947)*($J947:$J957=K$42)))),0)</f>
        <v>0</v>
      </c>
      <c r="L947" s="1023" cm="1">
        <f t="array" ref="L947">IFERROR(IF($A947=$A946,0,SUM(_xlfn._xlws.FILTER($E947:$E957,($A947:$A957=$A947)*($J947:$J957=L$42)))),0)</f>
        <v>0</v>
      </c>
      <c r="M947" s="1023" cm="1">
        <f t="array" ref="M947">IFERROR(IF($A947=$A946,0,SUM(_xlfn._xlws.FILTER($E947:$E957,($A947:$A957=$A947)*($J947:$J957=M$42)))),0)</f>
        <v>0</v>
      </c>
      <c r="N947" s="1023" cm="1">
        <f t="array" ref="N947">IFERROR(IF($A947=$A946,0,SUM(_xlfn._xlws.FILTER($E947:$E957,($A947:$A957=$A947)*($J947:$J957=N$42)))),0)</f>
        <v>0</v>
      </c>
    </row>
    <row r="948" spans="5:14" x14ac:dyDescent="0.3">
      <c r="E948" s="1022">
        <f ca="1">IFERROR(C948*D948*_xlfn.XLOOKUP(B948,TabCalc[Ticker],TabCalc[Scale]),0)</f>
        <v>0</v>
      </c>
      <c r="F948" s="1023" cm="1">
        <f t="array" ref="F948">IF(A948=A947,0,SUM(_xlfn._xlws.FILTER(E948:E957,A948:A957=A948)))</f>
        <v>0</v>
      </c>
      <c r="G948" s="1024">
        <f>IF(F948&lt;&gt;0,SUM($F$43:F948),0)</f>
        <v>0</v>
      </c>
      <c r="H948" s="1024" cm="1">
        <f t="array" ref="H948">IFERROR(IF(A948=A947,0,SUM(_xlfn._xlws.FILTER(E948:E957,(A948:A957=A948)*(E948:E957&gt;0)))),0)</f>
        <v>0</v>
      </c>
      <c r="I948" s="1024" cm="1">
        <f t="array" ref="I948">IFERROR(IF(A948=A947,0,SUM(_xlfn._xlws.FILTER(E948:E957,(A948:A957=A948)*(F948&lt;0)))),0)</f>
        <v>0</v>
      </c>
      <c r="J948" s="293" t="str">
        <f ca="1">IFERROR(_xlfn.XLOOKUP(B948,TabCalc[Ticker],TabCalc[Cur]),"")</f>
        <v/>
      </c>
      <c r="K948" s="1023" cm="1">
        <f t="array" ref="K948">IFERROR(IF($A948=$A947,0,SUM(_xlfn._xlws.FILTER($E948:$E958,($A948:$A958=$A948)*($J948:$J958=K$42)))),0)</f>
        <v>0</v>
      </c>
      <c r="L948" s="1023" cm="1">
        <f t="array" ref="L948">IFERROR(IF($A948=$A947,0,SUM(_xlfn._xlws.FILTER($E948:$E958,($A948:$A958=$A948)*($J948:$J958=L$42)))),0)</f>
        <v>0</v>
      </c>
      <c r="M948" s="1023" cm="1">
        <f t="array" ref="M948">IFERROR(IF($A948=$A947,0,SUM(_xlfn._xlws.FILTER($E948:$E958,($A948:$A958=$A948)*($J948:$J958=M$42)))),0)</f>
        <v>0</v>
      </c>
      <c r="N948" s="1023" cm="1">
        <f t="array" ref="N948">IFERROR(IF($A948=$A947,0,SUM(_xlfn._xlws.FILTER($E948:$E958,($A948:$A958=$A948)*($J948:$J958=N$42)))),0)</f>
        <v>0</v>
      </c>
    </row>
    <row r="949" spans="5:14" x14ac:dyDescent="0.3">
      <c r="E949" s="1022">
        <f ca="1">IFERROR(C949*D949*_xlfn.XLOOKUP(B949,TabCalc[Ticker],TabCalc[Scale]),0)</f>
        <v>0</v>
      </c>
      <c r="F949" s="1023" cm="1">
        <f t="array" ref="F949">IF(A949=A948,0,SUM(_xlfn._xlws.FILTER(E949:E958,A949:A958=A949)))</f>
        <v>0</v>
      </c>
      <c r="G949" s="1024">
        <f>IF(F949&lt;&gt;0,SUM($F$43:F949),0)</f>
        <v>0</v>
      </c>
      <c r="H949" s="1024" cm="1">
        <f t="array" ref="H949">IFERROR(IF(A949=A948,0,SUM(_xlfn._xlws.FILTER(E949:E958,(A949:A958=A949)*(E949:E958&gt;0)))),0)</f>
        <v>0</v>
      </c>
      <c r="I949" s="1024" cm="1">
        <f t="array" ref="I949">IFERROR(IF(A949=A948,0,SUM(_xlfn._xlws.FILTER(E949:E958,(A949:A958=A949)*(F949&lt;0)))),0)</f>
        <v>0</v>
      </c>
      <c r="J949" s="293" t="str">
        <f ca="1">IFERROR(_xlfn.XLOOKUP(B949,TabCalc[Ticker],TabCalc[Cur]),"")</f>
        <v/>
      </c>
      <c r="K949" s="1023" cm="1">
        <f t="array" ref="K949">IFERROR(IF($A949=$A948,0,SUM(_xlfn._xlws.FILTER($E949:$E959,($A949:$A959=$A949)*($J949:$J959=K$42)))),0)</f>
        <v>0</v>
      </c>
      <c r="L949" s="1023" cm="1">
        <f t="array" ref="L949">IFERROR(IF($A949=$A948,0,SUM(_xlfn._xlws.FILTER($E949:$E959,($A949:$A959=$A949)*($J949:$J959=L$42)))),0)</f>
        <v>0</v>
      </c>
      <c r="M949" s="1023" cm="1">
        <f t="array" ref="M949">IFERROR(IF($A949=$A948,0,SUM(_xlfn._xlws.FILTER($E949:$E959,($A949:$A959=$A949)*($J949:$J959=M$42)))),0)</f>
        <v>0</v>
      </c>
      <c r="N949" s="1023" cm="1">
        <f t="array" ref="N949">IFERROR(IF($A949=$A948,0,SUM(_xlfn._xlws.FILTER($E949:$E959,($A949:$A959=$A949)*($J949:$J959=N$42)))),0)</f>
        <v>0</v>
      </c>
    </row>
    <row r="950" spans="5:14" x14ac:dyDescent="0.3">
      <c r="E950" s="1022">
        <f ca="1">IFERROR(C950*D950*_xlfn.XLOOKUP(B950,TabCalc[Ticker],TabCalc[Scale]),0)</f>
        <v>0</v>
      </c>
      <c r="F950" s="1023" cm="1">
        <f t="array" ref="F950">IF(A950=A949,0,SUM(_xlfn._xlws.FILTER(E950:E959,A950:A959=A950)))</f>
        <v>0</v>
      </c>
      <c r="G950" s="1024">
        <f>IF(F950&lt;&gt;0,SUM($F$43:F950),0)</f>
        <v>0</v>
      </c>
      <c r="H950" s="1024" cm="1">
        <f t="array" ref="H950">IFERROR(IF(A950=A949,0,SUM(_xlfn._xlws.FILTER(E950:E959,(A950:A959=A950)*(E950:E959&gt;0)))),0)</f>
        <v>0</v>
      </c>
      <c r="I950" s="1024" cm="1">
        <f t="array" ref="I950">IFERROR(IF(A950=A949,0,SUM(_xlfn._xlws.FILTER(E950:E959,(A950:A959=A950)*(F950&lt;0)))),0)</f>
        <v>0</v>
      </c>
      <c r="J950" s="293" t="str">
        <f ca="1">IFERROR(_xlfn.XLOOKUP(B950,TabCalc[Ticker],TabCalc[Cur]),"")</f>
        <v/>
      </c>
      <c r="K950" s="1023" cm="1">
        <f t="array" ref="K950">IFERROR(IF($A950=$A949,0,SUM(_xlfn._xlws.FILTER($E950:$E960,($A950:$A960=$A950)*($J950:$J960=K$42)))),0)</f>
        <v>0</v>
      </c>
      <c r="L950" s="1023" cm="1">
        <f t="array" ref="L950">IFERROR(IF($A950=$A949,0,SUM(_xlfn._xlws.FILTER($E950:$E960,($A950:$A960=$A950)*($J950:$J960=L$42)))),0)</f>
        <v>0</v>
      </c>
      <c r="M950" s="1023" cm="1">
        <f t="array" ref="M950">IFERROR(IF($A950=$A949,0,SUM(_xlfn._xlws.FILTER($E950:$E960,($A950:$A960=$A950)*($J950:$J960=M$42)))),0)</f>
        <v>0</v>
      </c>
      <c r="N950" s="1023" cm="1">
        <f t="array" ref="N950">IFERROR(IF($A950=$A949,0,SUM(_xlfn._xlws.FILTER($E950:$E960,($A950:$A960=$A950)*($J950:$J960=N$42)))),0)</f>
        <v>0</v>
      </c>
    </row>
    <row r="951" spans="5:14" x14ac:dyDescent="0.3">
      <c r="E951" s="1022">
        <f ca="1">IFERROR(C951*D951*_xlfn.XLOOKUP(B951,TabCalc[Ticker],TabCalc[Scale]),0)</f>
        <v>0</v>
      </c>
      <c r="F951" s="1023" cm="1">
        <f t="array" ref="F951">IF(A951=A950,0,SUM(_xlfn._xlws.FILTER(E951:E960,A951:A960=A951)))</f>
        <v>0</v>
      </c>
      <c r="G951" s="1024">
        <f>IF(F951&lt;&gt;0,SUM($F$43:F951),0)</f>
        <v>0</v>
      </c>
      <c r="H951" s="1024" cm="1">
        <f t="array" ref="H951">IFERROR(IF(A951=A950,0,SUM(_xlfn._xlws.FILTER(E951:E960,(A951:A960=A951)*(E951:E960&gt;0)))),0)</f>
        <v>0</v>
      </c>
      <c r="I951" s="1024" cm="1">
        <f t="array" ref="I951">IFERROR(IF(A951=A950,0,SUM(_xlfn._xlws.FILTER(E951:E960,(A951:A960=A951)*(F951&lt;0)))),0)</f>
        <v>0</v>
      </c>
      <c r="J951" s="293" t="str">
        <f ca="1">IFERROR(_xlfn.XLOOKUP(B951,TabCalc[Ticker],TabCalc[Cur]),"")</f>
        <v/>
      </c>
      <c r="K951" s="1023" cm="1">
        <f t="array" ref="K951">IFERROR(IF($A951=$A950,0,SUM(_xlfn._xlws.FILTER($E951:$E961,($A951:$A961=$A951)*($J951:$J961=K$42)))),0)</f>
        <v>0</v>
      </c>
      <c r="L951" s="1023" cm="1">
        <f t="array" ref="L951">IFERROR(IF($A951=$A950,0,SUM(_xlfn._xlws.FILTER($E951:$E961,($A951:$A961=$A951)*($J951:$J961=L$42)))),0)</f>
        <v>0</v>
      </c>
      <c r="M951" s="1023" cm="1">
        <f t="array" ref="M951">IFERROR(IF($A951=$A950,0,SUM(_xlfn._xlws.FILTER($E951:$E961,($A951:$A961=$A951)*($J951:$J961=M$42)))),0)</f>
        <v>0</v>
      </c>
      <c r="N951" s="1023" cm="1">
        <f t="array" ref="N951">IFERROR(IF($A951=$A950,0,SUM(_xlfn._xlws.FILTER($E951:$E961,($A951:$A961=$A951)*($J951:$J961=N$42)))),0)</f>
        <v>0</v>
      </c>
    </row>
    <row r="952" spans="5:14" x14ac:dyDescent="0.3">
      <c r="E952" s="1022">
        <f ca="1">IFERROR(C952*D952*_xlfn.XLOOKUP(B952,TabCalc[Ticker],TabCalc[Scale]),0)</f>
        <v>0</v>
      </c>
      <c r="F952" s="1023" cm="1">
        <f t="array" ref="F952">IF(A952=A951,0,SUM(_xlfn._xlws.FILTER(E952:E961,A952:A961=A952)))</f>
        <v>0</v>
      </c>
      <c r="G952" s="1024">
        <f>IF(F952&lt;&gt;0,SUM($F$43:F952),0)</f>
        <v>0</v>
      </c>
      <c r="H952" s="1024" cm="1">
        <f t="array" ref="H952">IFERROR(IF(A952=A951,0,SUM(_xlfn._xlws.FILTER(E952:E961,(A952:A961=A952)*(E952:E961&gt;0)))),0)</f>
        <v>0</v>
      </c>
      <c r="I952" s="1024" cm="1">
        <f t="array" ref="I952">IFERROR(IF(A952=A951,0,SUM(_xlfn._xlws.FILTER(E952:E961,(A952:A961=A952)*(F952&lt;0)))),0)</f>
        <v>0</v>
      </c>
      <c r="J952" s="293" t="str">
        <f ca="1">IFERROR(_xlfn.XLOOKUP(B952,TabCalc[Ticker],TabCalc[Cur]),"")</f>
        <v/>
      </c>
      <c r="K952" s="1023" cm="1">
        <f t="array" ref="K952">IFERROR(IF($A952=$A951,0,SUM(_xlfn._xlws.FILTER($E952:$E962,($A952:$A962=$A952)*($J952:$J962=K$42)))),0)</f>
        <v>0</v>
      </c>
      <c r="L952" s="1023" cm="1">
        <f t="array" ref="L952">IFERROR(IF($A952=$A951,0,SUM(_xlfn._xlws.FILTER($E952:$E962,($A952:$A962=$A952)*($J952:$J962=L$42)))),0)</f>
        <v>0</v>
      </c>
      <c r="M952" s="1023" cm="1">
        <f t="array" ref="M952">IFERROR(IF($A952=$A951,0,SUM(_xlfn._xlws.FILTER($E952:$E962,($A952:$A962=$A952)*($J952:$J962=M$42)))),0)</f>
        <v>0</v>
      </c>
      <c r="N952" s="1023" cm="1">
        <f t="array" ref="N952">IFERROR(IF($A952=$A951,0,SUM(_xlfn._xlws.FILTER($E952:$E962,($A952:$A962=$A952)*($J952:$J962=N$42)))),0)</f>
        <v>0</v>
      </c>
    </row>
    <row r="953" spans="5:14" x14ac:dyDescent="0.3">
      <c r="E953" s="1022">
        <f ca="1">IFERROR(C953*D953*_xlfn.XLOOKUP(B953,TabCalc[Ticker],TabCalc[Scale]),0)</f>
        <v>0</v>
      </c>
      <c r="F953" s="1023" cm="1">
        <f t="array" ref="F953">IF(A953=A952,0,SUM(_xlfn._xlws.FILTER(E953:E962,A953:A962=A953)))</f>
        <v>0</v>
      </c>
      <c r="G953" s="1024">
        <f>IF(F953&lt;&gt;0,SUM($F$43:F953),0)</f>
        <v>0</v>
      </c>
      <c r="H953" s="1024" cm="1">
        <f t="array" ref="H953">IFERROR(IF(A953=A952,0,SUM(_xlfn._xlws.FILTER(E953:E962,(A953:A962=A953)*(E953:E962&gt;0)))),0)</f>
        <v>0</v>
      </c>
      <c r="I953" s="1024" cm="1">
        <f t="array" ref="I953">IFERROR(IF(A953=A952,0,SUM(_xlfn._xlws.FILTER(E953:E962,(A953:A962=A953)*(F953&lt;0)))),0)</f>
        <v>0</v>
      </c>
      <c r="J953" s="293" t="str">
        <f ca="1">IFERROR(_xlfn.XLOOKUP(B953,TabCalc[Ticker],TabCalc[Cur]),"")</f>
        <v/>
      </c>
      <c r="K953" s="1023" cm="1">
        <f t="array" ref="K953">IFERROR(IF($A953=$A952,0,SUM(_xlfn._xlws.FILTER($E953:$E963,($A953:$A963=$A953)*($J953:$J963=K$42)))),0)</f>
        <v>0</v>
      </c>
      <c r="L953" s="1023" cm="1">
        <f t="array" ref="L953">IFERROR(IF($A953=$A952,0,SUM(_xlfn._xlws.FILTER($E953:$E963,($A953:$A963=$A953)*($J953:$J963=L$42)))),0)</f>
        <v>0</v>
      </c>
      <c r="M953" s="1023" cm="1">
        <f t="array" ref="M953">IFERROR(IF($A953=$A952,0,SUM(_xlfn._xlws.FILTER($E953:$E963,($A953:$A963=$A953)*($J953:$J963=M$42)))),0)</f>
        <v>0</v>
      </c>
      <c r="N953" s="1023" cm="1">
        <f t="array" ref="N953">IFERROR(IF($A953=$A952,0,SUM(_xlfn._xlws.FILTER($E953:$E963,($A953:$A963=$A953)*($J953:$J963=N$42)))),0)</f>
        <v>0</v>
      </c>
    </row>
    <row r="954" spans="5:14" x14ac:dyDescent="0.3">
      <c r="E954" s="1022">
        <f ca="1">IFERROR(C954*D954*_xlfn.XLOOKUP(B954,TabCalc[Ticker],TabCalc[Scale]),0)</f>
        <v>0</v>
      </c>
      <c r="F954" s="1023" cm="1">
        <f t="array" ref="F954">IF(A954=A953,0,SUM(_xlfn._xlws.FILTER(E954:E963,A954:A963=A954)))</f>
        <v>0</v>
      </c>
      <c r="G954" s="1024">
        <f>IF(F954&lt;&gt;0,SUM($F$43:F954),0)</f>
        <v>0</v>
      </c>
      <c r="H954" s="1024" cm="1">
        <f t="array" ref="H954">IFERROR(IF(A954=A953,0,SUM(_xlfn._xlws.FILTER(E954:E963,(A954:A963=A954)*(E954:E963&gt;0)))),0)</f>
        <v>0</v>
      </c>
      <c r="I954" s="1024" cm="1">
        <f t="array" ref="I954">IFERROR(IF(A954=A953,0,SUM(_xlfn._xlws.FILTER(E954:E963,(A954:A963=A954)*(F954&lt;0)))),0)</f>
        <v>0</v>
      </c>
      <c r="J954" s="293" t="str">
        <f ca="1">IFERROR(_xlfn.XLOOKUP(B954,TabCalc[Ticker],TabCalc[Cur]),"")</f>
        <v/>
      </c>
      <c r="K954" s="1023" cm="1">
        <f t="array" ref="K954">IFERROR(IF($A954=$A953,0,SUM(_xlfn._xlws.FILTER($E954:$E964,($A954:$A964=$A954)*($J954:$J964=K$42)))),0)</f>
        <v>0</v>
      </c>
      <c r="L954" s="1023" cm="1">
        <f t="array" ref="L954">IFERROR(IF($A954=$A953,0,SUM(_xlfn._xlws.FILTER($E954:$E964,($A954:$A964=$A954)*($J954:$J964=L$42)))),0)</f>
        <v>0</v>
      </c>
      <c r="M954" s="1023" cm="1">
        <f t="array" ref="M954">IFERROR(IF($A954=$A953,0,SUM(_xlfn._xlws.FILTER($E954:$E964,($A954:$A964=$A954)*($J954:$J964=M$42)))),0)</f>
        <v>0</v>
      </c>
      <c r="N954" s="1023" cm="1">
        <f t="array" ref="N954">IFERROR(IF($A954=$A953,0,SUM(_xlfn._xlws.FILTER($E954:$E964,($A954:$A964=$A954)*($J954:$J964=N$42)))),0)</f>
        <v>0</v>
      </c>
    </row>
    <row r="955" spans="5:14" x14ac:dyDescent="0.3">
      <c r="E955" s="1022">
        <f ca="1">IFERROR(C955*D955*_xlfn.XLOOKUP(B955,TabCalc[Ticker],TabCalc[Scale]),0)</f>
        <v>0</v>
      </c>
      <c r="F955" s="1023" cm="1">
        <f t="array" ref="F955">IF(A955=A954,0,SUM(_xlfn._xlws.FILTER(E955:E964,A955:A964=A955)))</f>
        <v>0</v>
      </c>
      <c r="G955" s="1024">
        <f>IF(F955&lt;&gt;0,SUM($F$43:F955),0)</f>
        <v>0</v>
      </c>
      <c r="H955" s="1024" cm="1">
        <f t="array" ref="H955">IFERROR(IF(A955=A954,0,SUM(_xlfn._xlws.FILTER(E955:E964,(A955:A964=A955)*(E955:E964&gt;0)))),0)</f>
        <v>0</v>
      </c>
      <c r="I955" s="1024" cm="1">
        <f t="array" ref="I955">IFERROR(IF(A955=A954,0,SUM(_xlfn._xlws.FILTER(E955:E964,(A955:A964=A955)*(F955&lt;0)))),0)</f>
        <v>0</v>
      </c>
      <c r="J955" s="293" t="str">
        <f ca="1">IFERROR(_xlfn.XLOOKUP(B955,TabCalc[Ticker],TabCalc[Cur]),"")</f>
        <v/>
      </c>
      <c r="K955" s="1023" cm="1">
        <f t="array" ref="K955">IFERROR(IF($A955=$A954,0,SUM(_xlfn._xlws.FILTER($E955:$E965,($A955:$A965=$A955)*($J955:$J965=K$42)))),0)</f>
        <v>0</v>
      </c>
      <c r="L955" s="1023" cm="1">
        <f t="array" ref="L955">IFERROR(IF($A955=$A954,0,SUM(_xlfn._xlws.FILTER($E955:$E965,($A955:$A965=$A955)*($J955:$J965=L$42)))),0)</f>
        <v>0</v>
      </c>
      <c r="M955" s="1023" cm="1">
        <f t="array" ref="M955">IFERROR(IF($A955=$A954,0,SUM(_xlfn._xlws.FILTER($E955:$E965,($A955:$A965=$A955)*($J955:$J965=M$42)))),0)</f>
        <v>0</v>
      </c>
      <c r="N955" s="1023" cm="1">
        <f t="array" ref="N955">IFERROR(IF($A955=$A954,0,SUM(_xlfn._xlws.FILTER($E955:$E965,($A955:$A965=$A955)*($J955:$J965=N$42)))),0)</f>
        <v>0</v>
      </c>
    </row>
    <row r="956" spans="5:14" x14ac:dyDescent="0.3">
      <c r="E956" s="1022">
        <f ca="1">IFERROR(C956*D956*_xlfn.XLOOKUP(B956,TabCalc[Ticker],TabCalc[Scale]),0)</f>
        <v>0</v>
      </c>
      <c r="F956" s="1023" cm="1">
        <f t="array" ref="F956">IF(A956=A955,0,SUM(_xlfn._xlws.FILTER(E956:E965,A956:A965=A956)))</f>
        <v>0</v>
      </c>
      <c r="G956" s="1024">
        <f>IF(F956&lt;&gt;0,SUM($F$43:F956),0)</f>
        <v>0</v>
      </c>
      <c r="H956" s="1024" cm="1">
        <f t="array" ref="H956">IFERROR(IF(A956=A955,0,SUM(_xlfn._xlws.FILTER(E956:E965,(A956:A965=A956)*(E956:E965&gt;0)))),0)</f>
        <v>0</v>
      </c>
      <c r="I956" s="1024" cm="1">
        <f t="array" ref="I956">IFERROR(IF(A956=A955,0,SUM(_xlfn._xlws.FILTER(E956:E965,(A956:A965=A956)*(F956&lt;0)))),0)</f>
        <v>0</v>
      </c>
      <c r="J956" s="293" t="str">
        <f ca="1">IFERROR(_xlfn.XLOOKUP(B956,TabCalc[Ticker],TabCalc[Cur]),"")</f>
        <v/>
      </c>
      <c r="K956" s="1023" cm="1">
        <f t="array" ref="K956">IFERROR(IF($A956=$A955,0,SUM(_xlfn._xlws.FILTER($E956:$E966,($A956:$A966=$A956)*($J956:$J966=K$42)))),0)</f>
        <v>0</v>
      </c>
      <c r="L956" s="1023" cm="1">
        <f t="array" ref="L956">IFERROR(IF($A956=$A955,0,SUM(_xlfn._xlws.FILTER($E956:$E966,($A956:$A966=$A956)*($J956:$J966=L$42)))),0)</f>
        <v>0</v>
      </c>
      <c r="M956" s="1023" cm="1">
        <f t="array" ref="M956">IFERROR(IF($A956=$A955,0,SUM(_xlfn._xlws.FILTER($E956:$E966,($A956:$A966=$A956)*($J956:$J966=M$42)))),0)</f>
        <v>0</v>
      </c>
      <c r="N956" s="1023" cm="1">
        <f t="array" ref="N956">IFERROR(IF($A956=$A955,0,SUM(_xlfn._xlws.FILTER($E956:$E966,($A956:$A966=$A956)*($J956:$J966=N$42)))),0)</f>
        <v>0</v>
      </c>
    </row>
    <row r="957" spans="5:14" x14ac:dyDescent="0.3">
      <c r="E957" s="1022">
        <f ca="1">IFERROR(C957*D957*_xlfn.XLOOKUP(B957,TabCalc[Ticker],TabCalc[Scale]),0)</f>
        <v>0</v>
      </c>
      <c r="F957" s="1023" cm="1">
        <f t="array" ref="F957">IF(A957=A956,0,SUM(_xlfn._xlws.FILTER(E957:E966,A957:A966=A957)))</f>
        <v>0</v>
      </c>
      <c r="G957" s="1024">
        <f>IF(F957&lt;&gt;0,SUM($F$43:F957),0)</f>
        <v>0</v>
      </c>
      <c r="H957" s="1024" cm="1">
        <f t="array" ref="H957">IFERROR(IF(A957=A956,0,SUM(_xlfn._xlws.FILTER(E957:E966,(A957:A966=A957)*(E957:E966&gt;0)))),0)</f>
        <v>0</v>
      </c>
      <c r="I957" s="1024" cm="1">
        <f t="array" ref="I957">IFERROR(IF(A957=A956,0,SUM(_xlfn._xlws.FILTER(E957:E966,(A957:A966=A957)*(F957&lt;0)))),0)</f>
        <v>0</v>
      </c>
      <c r="J957" s="293" t="str">
        <f ca="1">IFERROR(_xlfn.XLOOKUP(B957,TabCalc[Ticker],TabCalc[Cur]),"")</f>
        <v/>
      </c>
      <c r="K957" s="1023" cm="1">
        <f t="array" ref="K957">IFERROR(IF($A957=$A956,0,SUM(_xlfn._xlws.FILTER($E957:$E967,($A957:$A967=$A957)*($J957:$J967=K$42)))),0)</f>
        <v>0</v>
      </c>
      <c r="L957" s="1023" cm="1">
        <f t="array" ref="L957">IFERROR(IF($A957=$A956,0,SUM(_xlfn._xlws.FILTER($E957:$E967,($A957:$A967=$A957)*($J957:$J967=L$42)))),0)</f>
        <v>0</v>
      </c>
      <c r="M957" s="1023" cm="1">
        <f t="array" ref="M957">IFERROR(IF($A957=$A956,0,SUM(_xlfn._xlws.FILTER($E957:$E967,($A957:$A967=$A957)*($J957:$J967=M$42)))),0)</f>
        <v>0</v>
      </c>
      <c r="N957" s="1023" cm="1">
        <f t="array" ref="N957">IFERROR(IF($A957=$A956,0,SUM(_xlfn._xlws.FILTER($E957:$E967,($A957:$A967=$A957)*($J957:$J967=N$42)))),0)</f>
        <v>0</v>
      </c>
    </row>
    <row r="958" spans="5:14" x14ac:dyDescent="0.3">
      <c r="E958" s="1022">
        <f ca="1">IFERROR(C958*D958*_xlfn.XLOOKUP(B958,TabCalc[Ticker],TabCalc[Scale]),0)</f>
        <v>0</v>
      </c>
      <c r="F958" s="1023" cm="1">
        <f t="array" ref="F958">IF(A958=A957,0,SUM(_xlfn._xlws.FILTER(E958:E967,A958:A967=A958)))</f>
        <v>0</v>
      </c>
      <c r="G958" s="1024">
        <f>IF(F958&lt;&gt;0,SUM($F$43:F958),0)</f>
        <v>0</v>
      </c>
      <c r="H958" s="1024" cm="1">
        <f t="array" ref="H958">IFERROR(IF(A958=A957,0,SUM(_xlfn._xlws.FILTER(E958:E967,(A958:A967=A958)*(E958:E967&gt;0)))),0)</f>
        <v>0</v>
      </c>
      <c r="I958" s="1024" cm="1">
        <f t="array" ref="I958">IFERROR(IF(A958=A957,0,SUM(_xlfn._xlws.FILTER(E958:E967,(A958:A967=A958)*(F958&lt;0)))),0)</f>
        <v>0</v>
      </c>
      <c r="J958" s="293" t="str">
        <f ca="1">IFERROR(_xlfn.XLOOKUP(B958,TabCalc[Ticker],TabCalc[Cur]),"")</f>
        <v/>
      </c>
      <c r="K958" s="1023" cm="1">
        <f t="array" ref="K958">IFERROR(IF($A958=$A957,0,SUM(_xlfn._xlws.FILTER($E958:$E968,($A958:$A968=$A958)*($J958:$J968=K$42)))),0)</f>
        <v>0</v>
      </c>
      <c r="L958" s="1023" cm="1">
        <f t="array" ref="L958">IFERROR(IF($A958=$A957,0,SUM(_xlfn._xlws.FILTER($E958:$E968,($A958:$A968=$A958)*($J958:$J968=L$42)))),0)</f>
        <v>0</v>
      </c>
      <c r="M958" s="1023" cm="1">
        <f t="array" ref="M958">IFERROR(IF($A958=$A957,0,SUM(_xlfn._xlws.FILTER($E958:$E968,($A958:$A968=$A958)*($J958:$J968=M$42)))),0)</f>
        <v>0</v>
      </c>
      <c r="N958" s="1023" cm="1">
        <f t="array" ref="N958">IFERROR(IF($A958=$A957,0,SUM(_xlfn._xlws.FILTER($E958:$E968,($A958:$A968=$A958)*($J958:$J968=N$42)))),0)</f>
        <v>0</v>
      </c>
    </row>
    <row r="959" spans="5:14" x14ac:dyDescent="0.3">
      <c r="E959" s="1022">
        <f ca="1">IFERROR(C959*D959*_xlfn.XLOOKUP(B959,TabCalc[Ticker],TabCalc[Scale]),0)</f>
        <v>0</v>
      </c>
      <c r="F959" s="1023" cm="1">
        <f t="array" ref="F959">IF(A959=A958,0,SUM(_xlfn._xlws.FILTER(E959:E968,A959:A968=A959)))</f>
        <v>0</v>
      </c>
      <c r="G959" s="1024">
        <f>IF(F959&lt;&gt;0,SUM($F$43:F959),0)</f>
        <v>0</v>
      </c>
      <c r="H959" s="1024" cm="1">
        <f t="array" ref="H959">IFERROR(IF(A959=A958,0,SUM(_xlfn._xlws.FILTER(E959:E968,(A959:A968=A959)*(E959:E968&gt;0)))),0)</f>
        <v>0</v>
      </c>
      <c r="I959" s="1024" cm="1">
        <f t="array" ref="I959">IFERROR(IF(A959=A958,0,SUM(_xlfn._xlws.FILTER(E959:E968,(A959:A968=A959)*(F959&lt;0)))),0)</f>
        <v>0</v>
      </c>
      <c r="J959" s="293" t="str">
        <f ca="1">IFERROR(_xlfn.XLOOKUP(B959,TabCalc[Ticker],TabCalc[Cur]),"")</f>
        <v/>
      </c>
      <c r="K959" s="1023" cm="1">
        <f t="array" ref="K959">IFERROR(IF($A959=$A958,0,SUM(_xlfn._xlws.FILTER($E959:$E969,($A959:$A969=$A959)*($J959:$J969=K$42)))),0)</f>
        <v>0</v>
      </c>
      <c r="L959" s="1023" cm="1">
        <f t="array" ref="L959">IFERROR(IF($A959=$A958,0,SUM(_xlfn._xlws.FILTER($E959:$E969,($A959:$A969=$A959)*($J959:$J969=L$42)))),0)</f>
        <v>0</v>
      </c>
      <c r="M959" s="1023" cm="1">
        <f t="array" ref="M959">IFERROR(IF($A959=$A958,0,SUM(_xlfn._xlws.FILTER($E959:$E969,($A959:$A969=$A959)*($J959:$J969=M$42)))),0)</f>
        <v>0</v>
      </c>
      <c r="N959" s="1023" cm="1">
        <f t="array" ref="N959">IFERROR(IF($A959=$A958,0,SUM(_xlfn._xlws.FILTER($E959:$E969,($A959:$A969=$A959)*($J959:$J969=N$42)))),0)</f>
        <v>0</v>
      </c>
    </row>
    <row r="960" spans="5:14" x14ac:dyDescent="0.3">
      <c r="E960" s="1022">
        <f ca="1">IFERROR(C960*D960*_xlfn.XLOOKUP(B960,TabCalc[Ticker],TabCalc[Scale]),0)</f>
        <v>0</v>
      </c>
      <c r="F960" s="1023" cm="1">
        <f t="array" ref="F960">IF(A960=A959,0,SUM(_xlfn._xlws.FILTER(E960:E969,A960:A969=A960)))</f>
        <v>0</v>
      </c>
      <c r="G960" s="1024">
        <f>IF(F960&lt;&gt;0,SUM($F$43:F960),0)</f>
        <v>0</v>
      </c>
      <c r="H960" s="1024" cm="1">
        <f t="array" ref="H960">IFERROR(IF(A960=A959,0,SUM(_xlfn._xlws.FILTER(E960:E969,(A960:A969=A960)*(E960:E969&gt;0)))),0)</f>
        <v>0</v>
      </c>
      <c r="I960" s="1024" cm="1">
        <f t="array" ref="I960">IFERROR(IF(A960=A959,0,SUM(_xlfn._xlws.FILTER(E960:E969,(A960:A969=A960)*(F960&lt;0)))),0)</f>
        <v>0</v>
      </c>
      <c r="J960" s="293" t="str">
        <f ca="1">IFERROR(_xlfn.XLOOKUP(B960,TabCalc[Ticker],TabCalc[Cur]),"")</f>
        <v/>
      </c>
      <c r="K960" s="1023" cm="1">
        <f t="array" ref="K960">IFERROR(IF($A960=$A959,0,SUM(_xlfn._xlws.FILTER($E960:$E970,($A960:$A970=$A960)*($J960:$J970=K$42)))),0)</f>
        <v>0</v>
      </c>
      <c r="L960" s="1023" cm="1">
        <f t="array" ref="L960">IFERROR(IF($A960=$A959,0,SUM(_xlfn._xlws.FILTER($E960:$E970,($A960:$A970=$A960)*($J960:$J970=L$42)))),0)</f>
        <v>0</v>
      </c>
      <c r="M960" s="1023" cm="1">
        <f t="array" ref="M960">IFERROR(IF($A960=$A959,0,SUM(_xlfn._xlws.FILTER($E960:$E970,($A960:$A970=$A960)*($J960:$J970=M$42)))),0)</f>
        <v>0</v>
      </c>
      <c r="N960" s="1023" cm="1">
        <f t="array" ref="N960">IFERROR(IF($A960=$A959,0,SUM(_xlfn._xlws.FILTER($E960:$E970,($A960:$A970=$A960)*($J960:$J970=N$42)))),0)</f>
        <v>0</v>
      </c>
    </row>
    <row r="961" spans="5:14" x14ac:dyDescent="0.3">
      <c r="E961" s="1022">
        <f ca="1">IFERROR(C961*D961*_xlfn.XLOOKUP(B961,TabCalc[Ticker],TabCalc[Scale]),0)</f>
        <v>0</v>
      </c>
      <c r="F961" s="1023" cm="1">
        <f t="array" ref="F961">IF(A961=A960,0,SUM(_xlfn._xlws.FILTER(E961:E970,A961:A970=A961)))</f>
        <v>0</v>
      </c>
      <c r="G961" s="1024">
        <f>IF(F961&lt;&gt;0,SUM($F$43:F961),0)</f>
        <v>0</v>
      </c>
      <c r="H961" s="1024" cm="1">
        <f t="array" ref="H961">IFERROR(IF(A961=A960,0,SUM(_xlfn._xlws.FILTER(E961:E970,(A961:A970=A961)*(E961:E970&gt;0)))),0)</f>
        <v>0</v>
      </c>
      <c r="I961" s="1024" cm="1">
        <f t="array" ref="I961">IFERROR(IF(A961=A960,0,SUM(_xlfn._xlws.FILTER(E961:E970,(A961:A970=A961)*(F961&lt;0)))),0)</f>
        <v>0</v>
      </c>
      <c r="J961" s="293" t="str">
        <f ca="1">IFERROR(_xlfn.XLOOKUP(B961,TabCalc[Ticker],TabCalc[Cur]),"")</f>
        <v/>
      </c>
      <c r="K961" s="1023" cm="1">
        <f t="array" ref="K961">IFERROR(IF($A961=$A960,0,SUM(_xlfn._xlws.FILTER($E961:$E971,($A961:$A971=$A961)*($J961:$J971=K$42)))),0)</f>
        <v>0</v>
      </c>
      <c r="L961" s="1023" cm="1">
        <f t="array" ref="L961">IFERROR(IF($A961=$A960,0,SUM(_xlfn._xlws.FILTER($E961:$E971,($A961:$A971=$A961)*($J961:$J971=L$42)))),0)</f>
        <v>0</v>
      </c>
      <c r="M961" s="1023" cm="1">
        <f t="array" ref="M961">IFERROR(IF($A961=$A960,0,SUM(_xlfn._xlws.FILTER($E961:$E971,($A961:$A971=$A961)*($J961:$J971=M$42)))),0)</f>
        <v>0</v>
      </c>
      <c r="N961" s="1023" cm="1">
        <f t="array" ref="N961">IFERROR(IF($A961=$A960,0,SUM(_xlfn._xlws.FILTER($E961:$E971,($A961:$A971=$A961)*($J961:$J971=N$42)))),0)</f>
        <v>0</v>
      </c>
    </row>
    <row r="962" spans="5:14" x14ac:dyDescent="0.3">
      <c r="E962" s="1022">
        <f ca="1">IFERROR(C962*D962*_xlfn.XLOOKUP(B962,TabCalc[Ticker],TabCalc[Scale]),0)</f>
        <v>0</v>
      </c>
      <c r="F962" s="1023" cm="1">
        <f t="array" ref="F962">IF(A962=A961,0,SUM(_xlfn._xlws.FILTER(E962:E971,A962:A971=A962)))</f>
        <v>0</v>
      </c>
      <c r="G962" s="1024">
        <f>IF(F962&lt;&gt;0,SUM($F$43:F962),0)</f>
        <v>0</v>
      </c>
      <c r="H962" s="1024" cm="1">
        <f t="array" ref="H962">IFERROR(IF(A962=A961,0,SUM(_xlfn._xlws.FILTER(E962:E971,(A962:A971=A962)*(E962:E971&gt;0)))),0)</f>
        <v>0</v>
      </c>
      <c r="I962" s="1024" cm="1">
        <f t="array" ref="I962">IFERROR(IF(A962=A961,0,SUM(_xlfn._xlws.FILTER(E962:E971,(A962:A971=A962)*(F962&lt;0)))),0)</f>
        <v>0</v>
      </c>
      <c r="J962" s="293" t="str">
        <f ca="1">IFERROR(_xlfn.XLOOKUP(B962,TabCalc[Ticker],TabCalc[Cur]),"")</f>
        <v/>
      </c>
      <c r="K962" s="1023" cm="1">
        <f t="array" ref="K962">IFERROR(IF($A962=$A961,0,SUM(_xlfn._xlws.FILTER($E962:$E972,($A962:$A972=$A962)*($J962:$J972=K$42)))),0)</f>
        <v>0</v>
      </c>
      <c r="L962" s="1023" cm="1">
        <f t="array" ref="L962">IFERROR(IF($A962=$A961,0,SUM(_xlfn._xlws.FILTER($E962:$E972,($A962:$A972=$A962)*($J962:$J972=L$42)))),0)</f>
        <v>0</v>
      </c>
      <c r="M962" s="1023" cm="1">
        <f t="array" ref="M962">IFERROR(IF($A962=$A961,0,SUM(_xlfn._xlws.FILTER($E962:$E972,($A962:$A972=$A962)*($J962:$J972=M$42)))),0)</f>
        <v>0</v>
      </c>
      <c r="N962" s="1023" cm="1">
        <f t="array" ref="N962">IFERROR(IF($A962=$A961,0,SUM(_xlfn._xlws.FILTER($E962:$E972,($A962:$A972=$A962)*($J962:$J972=N$42)))),0)</f>
        <v>0</v>
      </c>
    </row>
    <row r="963" spans="5:14" x14ac:dyDescent="0.3">
      <c r="E963" s="1022">
        <f ca="1">IFERROR(C963*D963*_xlfn.XLOOKUP(B963,TabCalc[Ticker],TabCalc[Scale]),0)</f>
        <v>0</v>
      </c>
      <c r="F963" s="1023" cm="1">
        <f t="array" ref="F963">IF(A963=A962,0,SUM(_xlfn._xlws.FILTER(E963:E972,A963:A972=A963)))</f>
        <v>0</v>
      </c>
      <c r="G963" s="1024">
        <f>IF(F963&lt;&gt;0,SUM($F$43:F963),0)</f>
        <v>0</v>
      </c>
      <c r="H963" s="1024" cm="1">
        <f t="array" ref="H963">IFERROR(IF(A963=A962,0,SUM(_xlfn._xlws.FILTER(E963:E972,(A963:A972=A963)*(E963:E972&gt;0)))),0)</f>
        <v>0</v>
      </c>
      <c r="I963" s="1024" cm="1">
        <f t="array" ref="I963">IFERROR(IF(A963=A962,0,SUM(_xlfn._xlws.FILTER(E963:E972,(A963:A972=A963)*(F963&lt;0)))),0)</f>
        <v>0</v>
      </c>
      <c r="J963" s="293" t="str">
        <f ca="1">IFERROR(_xlfn.XLOOKUP(B963,TabCalc[Ticker],TabCalc[Cur]),"")</f>
        <v/>
      </c>
      <c r="K963" s="1023" cm="1">
        <f t="array" ref="K963">IFERROR(IF($A963=$A962,0,SUM(_xlfn._xlws.FILTER($E963:$E973,($A963:$A973=$A963)*($J963:$J973=K$42)))),0)</f>
        <v>0</v>
      </c>
      <c r="L963" s="1023" cm="1">
        <f t="array" ref="L963">IFERROR(IF($A963=$A962,0,SUM(_xlfn._xlws.FILTER($E963:$E973,($A963:$A973=$A963)*($J963:$J973=L$42)))),0)</f>
        <v>0</v>
      </c>
      <c r="M963" s="1023" cm="1">
        <f t="array" ref="M963">IFERROR(IF($A963=$A962,0,SUM(_xlfn._xlws.FILTER($E963:$E973,($A963:$A973=$A963)*($J963:$J973=M$42)))),0)</f>
        <v>0</v>
      </c>
      <c r="N963" s="1023" cm="1">
        <f t="array" ref="N963">IFERROR(IF($A963=$A962,0,SUM(_xlfn._xlws.FILTER($E963:$E973,($A963:$A973=$A963)*($J963:$J973=N$42)))),0)</f>
        <v>0</v>
      </c>
    </row>
    <row r="964" spans="5:14" x14ac:dyDescent="0.3">
      <c r="E964" s="1022">
        <f ca="1">IFERROR(C964*D964*_xlfn.XLOOKUP(B964,TabCalc[Ticker],TabCalc[Scale]),0)</f>
        <v>0</v>
      </c>
      <c r="F964" s="1023" cm="1">
        <f t="array" ref="F964">IF(A964=A963,0,SUM(_xlfn._xlws.FILTER(E964:E973,A964:A973=A964)))</f>
        <v>0</v>
      </c>
      <c r="G964" s="1024">
        <f>IF(F964&lt;&gt;0,SUM($F$43:F964),0)</f>
        <v>0</v>
      </c>
      <c r="H964" s="1024" cm="1">
        <f t="array" ref="H964">IFERROR(IF(A964=A963,0,SUM(_xlfn._xlws.FILTER(E964:E973,(A964:A973=A964)*(E964:E973&gt;0)))),0)</f>
        <v>0</v>
      </c>
      <c r="I964" s="1024" cm="1">
        <f t="array" ref="I964">IFERROR(IF(A964=A963,0,SUM(_xlfn._xlws.FILTER(E964:E973,(A964:A973=A964)*(F964&lt;0)))),0)</f>
        <v>0</v>
      </c>
      <c r="J964" s="293" t="str">
        <f ca="1">IFERROR(_xlfn.XLOOKUP(B964,TabCalc[Ticker],TabCalc[Cur]),"")</f>
        <v/>
      </c>
      <c r="K964" s="1023" cm="1">
        <f t="array" ref="K964">IFERROR(IF($A964=$A963,0,SUM(_xlfn._xlws.FILTER($E964:$E974,($A964:$A974=$A964)*($J964:$J974=K$42)))),0)</f>
        <v>0</v>
      </c>
      <c r="L964" s="1023" cm="1">
        <f t="array" ref="L964">IFERROR(IF($A964=$A963,0,SUM(_xlfn._xlws.FILTER($E964:$E974,($A964:$A974=$A964)*($J964:$J974=L$42)))),0)</f>
        <v>0</v>
      </c>
      <c r="M964" s="1023" cm="1">
        <f t="array" ref="M964">IFERROR(IF($A964=$A963,0,SUM(_xlfn._xlws.FILTER($E964:$E974,($A964:$A974=$A964)*($J964:$J974=M$42)))),0)</f>
        <v>0</v>
      </c>
      <c r="N964" s="1023" cm="1">
        <f t="array" ref="N964">IFERROR(IF($A964=$A963,0,SUM(_xlfn._xlws.FILTER($E964:$E974,($A964:$A974=$A964)*($J964:$J974=N$42)))),0)</f>
        <v>0</v>
      </c>
    </row>
    <row r="965" spans="5:14" x14ac:dyDescent="0.3">
      <c r="E965" s="1022">
        <f ca="1">IFERROR(C965*D965*_xlfn.XLOOKUP(B965,TabCalc[Ticker],TabCalc[Scale]),0)</f>
        <v>0</v>
      </c>
      <c r="F965" s="1023" cm="1">
        <f t="array" ref="F965">IF(A965=A964,0,SUM(_xlfn._xlws.FILTER(E965:E974,A965:A974=A965)))</f>
        <v>0</v>
      </c>
      <c r="G965" s="1024">
        <f>IF(F965&lt;&gt;0,SUM($F$43:F965),0)</f>
        <v>0</v>
      </c>
      <c r="H965" s="1024" cm="1">
        <f t="array" ref="H965">IFERROR(IF(A965=A964,0,SUM(_xlfn._xlws.FILTER(E965:E974,(A965:A974=A965)*(E965:E974&gt;0)))),0)</f>
        <v>0</v>
      </c>
      <c r="I965" s="1024" cm="1">
        <f t="array" ref="I965">IFERROR(IF(A965=A964,0,SUM(_xlfn._xlws.FILTER(E965:E974,(A965:A974=A965)*(F965&lt;0)))),0)</f>
        <v>0</v>
      </c>
      <c r="J965" s="293" t="str">
        <f ca="1">IFERROR(_xlfn.XLOOKUP(B965,TabCalc[Ticker],TabCalc[Cur]),"")</f>
        <v/>
      </c>
      <c r="K965" s="1023" cm="1">
        <f t="array" ref="K965">IFERROR(IF($A965=$A964,0,SUM(_xlfn._xlws.FILTER($E965:$E975,($A965:$A975=$A965)*($J965:$J975=K$42)))),0)</f>
        <v>0</v>
      </c>
      <c r="L965" s="1023" cm="1">
        <f t="array" ref="L965">IFERROR(IF($A965=$A964,0,SUM(_xlfn._xlws.FILTER($E965:$E975,($A965:$A975=$A965)*($J965:$J975=L$42)))),0)</f>
        <v>0</v>
      </c>
      <c r="M965" s="1023" cm="1">
        <f t="array" ref="M965">IFERROR(IF($A965=$A964,0,SUM(_xlfn._xlws.FILTER($E965:$E975,($A965:$A975=$A965)*($J965:$J975=M$42)))),0)</f>
        <v>0</v>
      </c>
      <c r="N965" s="1023" cm="1">
        <f t="array" ref="N965">IFERROR(IF($A965=$A964,0,SUM(_xlfn._xlws.FILTER($E965:$E975,($A965:$A975=$A965)*($J965:$J975=N$42)))),0)</f>
        <v>0</v>
      </c>
    </row>
    <row r="966" spans="5:14" x14ac:dyDescent="0.3">
      <c r="E966" s="1022">
        <f ca="1">IFERROR(C966*D966*_xlfn.XLOOKUP(B966,TabCalc[Ticker],TabCalc[Scale]),0)</f>
        <v>0</v>
      </c>
      <c r="F966" s="1023" cm="1">
        <f t="array" ref="F966">IF(A966=A965,0,SUM(_xlfn._xlws.FILTER(E966:E975,A966:A975=A966)))</f>
        <v>0</v>
      </c>
      <c r="G966" s="1024">
        <f>IF(F966&lt;&gt;0,SUM($F$43:F966),0)</f>
        <v>0</v>
      </c>
      <c r="H966" s="1024" cm="1">
        <f t="array" ref="H966">IFERROR(IF(A966=A965,0,SUM(_xlfn._xlws.FILTER(E966:E975,(A966:A975=A966)*(E966:E975&gt;0)))),0)</f>
        <v>0</v>
      </c>
      <c r="I966" s="1024" cm="1">
        <f t="array" ref="I966">IFERROR(IF(A966=A965,0,SUM(_xlfn._xlws.FILTER(E966:E975,(A966:A975=A966)*(F966&lt;0)))),0)</f>
        <v>0</v>
      </c>
      <c r="J966" s="293" t="str">
        <f ca="1">IFERROR(_xlfn.XLOOKUP(B966,TabCalc[Ticker],TabCalc[Cur]),"")</f>
        <v/>
      </c>
      <c r="K966" s="1023" cm="1">
        <f t="array" ref="K966">IFERROR(IF($A966=$A965,0,SUM(_xlfn._xlws.FILTER($E966:$E976,($A966:$A976=$A966)*($J966:$J976=K$42)))),0)</f>
        <v>0</v>
      </c>
      <c r="L966" s="1023" cm="1">
        <f t="array" ref="L966">IFERROR(IF($A966=$A965,0,SUM(_xlfn._xlws.FILTER($E966:$E976,($A966:$A976=$A966)*($J966:$J976=L$42)))),0)</f>
        <v>0</v>
      </c>
      <c r="M966" s="1023" cm="1">
        <f t="array" ref="M966">IFERROR(IF($A966=$A965,0,SUM(_xlfn._xlws.FILTER($E966:$E976,($A966:$A976=$A966)*($J966:$J976=M$42)))),0)</f>
        <v>0</v>
      </c>
      <c r="N966" s="1023" cm="1">
        <f t="array" ref="N966">IFERROR(IF($A966=$A965,0,SUM(_xlfn._xlws.FILTER($E966:$E976,($A966:$A976=$A966)*($J966:$J976=N$42)))),0)</f>
        <v>0</v>
      </c>
    </row>
    <row r="967" spans="5:14" x14ac:dyDescent="0.3">
      <c r="E967" s="1022">
        <f ca="1">IFERROR(C967*D967*_xlfn.XLOOKUP(B967,TabCalc[Ticker],TabCalc[Scale]),0)</f>
        <v>0</v>
      </c>
      <c r="F967" s="1023" cm="1">
        <f t="array" ref="F967">IF(A967=A966,0,SUM(_xlfn._xlws.FILTER(E967:E976,A967:A976=A967)))</f>
        <v>0</v>
      </c>
      <c r="G967" s="1024">
        <f>IF(F967&lt;&gt;0,SUM($F$43:F967),0)</f>
        <v>0</v>
      </c>
      <c r="H967" s="1024" cm="1">
        <f t="array" ref="H967">IFERROR(IF(A967=A966,0,SUM(_xlfn._xlws.FILTER(E967:E976,(A967:A976=A967)*(E967:E976&gt;0)))),0)</f>
        <v>0</v>
      </c>
      <c r="I967" s="1024" cm="1">
        <f t="array" ref="I967">IFERROR(IF(A967=A966,0,SUM(_xlfn._xlws.FILTER(E967:E976,(A967:A976=A967)*(F967&lt;0)))),0)</f>
        <v>0</v>
      </c>
      <c r="J967" s="293" t="str">
        <f ca="1">IFERROR(_xlfn.XLOOKUP(B967,TabCalc[Ticker],TabCalc[Cur]),"")</f>
        <v/>
      </c>
      <c r="K967" s="1023" cm="1">
        <f t="array" ref="K967">IFERROR(IF($A967=$A966,0,SUM(_xlfn._xlws.FILTER($E967:$E977,($A967:$A977=$A967)*($J967:$J977=K$42)))),0)</f>
        <v>0</v>
      </c>
      <c r="L967" s="1023" cm="1">
        <f t="array" ref="L967">IFERROR(IF($A967=$A966,0,SUM(_xlfn._xlws.FILTER($E967:$E977,($A967:$A977=$A967)*($J967:$J977=L$42)))),0)</f>
        <v>0</v>
      </c>
      <c r="M967" s="1023" cm="1">
        <f t="array" ref="M967">IFERROR(IF($A967=$A966,0,SUM(_xlfn._xlws.FILTER($E967:$E977,($A967:$A977=$A967)*($J967:$J977=M$42)))),0)</f>
        <v>0</v>
      </c>
      <c r="N967" s="1023" cm="1">
        <f t="array" ref="N967">IFERROR(IF($A967=$A966,0,SUM(_xlfn._xlws.FILTER($E967:$E977,($A967:$A977=$A967)*($J967:$J977=N$42)))),0)</f>
        <v>0</v>
      </c>
    </row>
    <row r="968" spans="5:14" x14ac:dyDescent="0.3">
      <c r="E968" s="1022">
        <f ca="1">IFERROR(C968*D968*_xlfn.XLOOKUP(B968,TabCalc[Ticker],TabCalc[Scale]),0)</f>
        <v>0</v>
      </c>
      <c r="F968" s="1023" cm="1">
        <f t="array" ref="F968">IF(A968=A967,0,SUM(_xlfn._xlws.FILTER(E968:E977,A968:A977=A968)))</f>
        <v>0</v>
      </c>
      <c r="G968" s="1024">
        <f>IF(F968&lt;&gt;0,SUM($F$43:F968),0)</f>
        <v>0</v>
      </c>
      <c r="H968" s="1024" cm="1">
        <f t="array" ref="H968">IFERROR(IF(A968=A967,0,SUM(_xlfn._xlws.FILTER(E968:E977,(A968:A977=A968)*(E968:E977&gt;0)))),0)</f>
        <v>0</v>
      </c>
      <c r="I968" s="1024" cm="1">
        <f t="array" ref="I968">IFERROR(IF(A968=A967,0,SUM(_xlfn._xlws.FILTER(E968:E977,(A968:A977=A968)*(F968&lt;0)))),0)</f>
        <v>0</v>
      </c>
      <c r="J968" s="293" t="str">
        <f ca="1">IFERROR(_xlfn.XLOOKUP(B968,TabCalc[Ticker],TabCalc[Cur]),"")</f>
        <v/>
      </c>
      <c r="K968" s="1023" cm="1">
        <f t="array" ref="K968">IFERROR(IF($A968=$A967,0,SUM(_xlfn._xlws.FILTER($E968:$E978,($A968:$A978=$A968)*($J968:$J978=K$42)))),0)</f>
        <v>0</v>
      </c>
      <c r="L968" s="1023" cm="1">
        <f t="array" ref="L968">IFERROR(IF($A968=$A967,0,SUM(_xlfn._xlws.FILTER($E968:$E978,($A968:$A978=$A968)*($J968:$J978=L$42)))),0)</f>
        <v>0</v>
      </c>
      <c r="M968" s="1023" cm="1">
        <f t="array" ref="M968">IFERROR(IF($A968=$A967,0,SUM(_xlfn._xlws.FILTER($E968:$E978,($A968:$A978=$A968)*($J968:$J978=M$42)))),0)</f>
        <v>0</v>
      </c>
      <c r="N968" s="1023" cm="1">
        <f t="array" ref="N968">IFERROR(IF($A968=$A967,0,SUM(_xlfn._xlws.FILTER($E968:$E978,($A968:$A978=$A968)*($J968:$J978=N$42)))),0)</f>
        <v>0</v>
      </c>
    </row>
    <row r="969" spans="5:14" x14ac:dyDescent="0.3">
      <c r="E969" s="1022">
        <f ca="1">IFERROR(C969*D969*_xlfn.XLOOKUP(B969,TabCalc[Ticker],TabCalc[Scale]),0)</f>
        <v>0</v>
      </c>
      <c r="F969" s="1023" cm="1">
        <f t="array" ref="F969">IF(A969=A968,0,SUM(_xlfn._xlws.FILTER(E969:E978,A969:A978=A969)))</f>
        <v>0</v>
      </c>
      <c r="G969" s="1024">
        <f>IF(F969&lt;&gt;0,SUM($F$43:F969),0)</f>
        <v>0</v>
      </c>
      <c r="H969" s="1024" cm="1">
        <f t="array" ref="H969">IFERROR(IF(A969=A968,0,SUM(_xlfn._xlws.FILTER(E969:E978,(A969:A978=A969)*(E969:E978&gt;0)))),0)</f>
        <v>0</v>
      </c>
      <c r="I969" s="1024" cm="1">
        <f t="array" ref="I969">IFERROR(IF(A969=A968,0,SUM(_xlfn._xlws.FILTER(E969:E978,(A969:A978=A969)*(F969&lt;0)))),0)</f>
        <v>0</v>
      </c>
      <c r="J969" s="293" t="str">
        <f ca="1">IFERROR(_xlfn.XLOOKUP(B969,TabCalc[Ticker],TabCalc[Cur]),"")</f>
        <v/>
      </c>
      <c r="K969" s="1023" cm="1">
        <f t="array" ref="K969">IFERROR(IF($A969=$A968,0,SUM(_xlfn._xlws.FILTER($E969:$E979,($A969:$A979=$A969)*($J969:$J979=K$42)))),0)</f>
        <v>0</v>
      </c>
      <c r="L969" s="1023" cm="1">
        <f t="array" ref="L969">IFERROR(IF($A969=$A968,0,SUM(_xlfn._xlws.FILTER($E969:$E979,($A969:$A979=$A969)*($J969:$J979=L$42)))),0)</f>
        <v>0</v>
      </c>
      <c r="M969" s="1023" cm="1">
        <f t="array" ref="M969">IFERROR(IF($A969=$A968,0,SUM(_xlfn._xlws.FILTER($E969:$E979,($A969:$A979=$A969)*($J969:$J979=M$42)))),0)</f>
        <v>0</v>
      </c>
      <c r="N969" s="1023" cm="1">
        <f t="array" ref="N969">IFERROR(IF($A969=$A968,0,SUM(_xlfn._xlws.FILTER($E969:$E979,($A969:$A979=$A969)*($J969:$J979=N$42)))),0)</f>
        <v>0</v>
      </c>
    </row>
    <row r="970" spans="5:14" x14ac:dyDescent="0.3">
      <c r="E970" s="1022">
        <f ca="1">IFERROR(C970*D970*_xlfn.XLOOKUP(B970,TabCalc[Ticker],TabCalc[Scale]),0)</f>
        <v>0</v>
      </c>
      <c r="F970" s="1023" cm="1">
        <f t="array" ref="F970">IF(A970=A969,0,SUM(_xlfn._xlws.FILTER(E970:E979,A970:A979=A970)))</f>
        <v>0</v>
      </c>
      <c r="G970" s="1024">
        <f>IF(F970&lt;&gt;0,SUM($F$43:F970),0)</f>
        <v>0</v>
      </c>
      <c r="H970" s="1024" cm="1">
        <f t="array" ref="H970">IFERROR(IF(A970=A969,0,SUM(_xlfn._xlws.FILTER(E970:E979,(A970:A979=A970)*(E970:E979&gt;0)))),0)</f>
        <v>0</v>
      </c>
      <c r="I970" s="1024" cm="1">
        <f t="array" ref="I970">IFERROR(IF(A970=A969,0,SUM(_xlfn._xlws.FILTER(E970:E979,(A970:A979=A970)*(F970&lt;0)))),0)</f>
        <v>0</v>
      </c>
      <c r="J970" s="293" t="str">
        <f ca="1">IFERROR(_xlfn.XLOOKUP(B970,TabCalc[Ticker],TabCalc[Cur]),"")</f>
        <v/>
      </c>
      <c r="K970" s="1023" cm="1">
        <f t="array" ref="K970">IFERROR(IF($A970=$A969,0,SUM(_xlfn._xlws.FILTER($E970:$E980,($A970:$A980=$A970)*($J970:$J980=K$42)))),0)</f>
        <v>0</v>
      </c>
      <c r="L970" s="1023" cm="1">
        <f t="array" ref="L970">IFERROR(IF($A970=$A969,0,SUM(_xlfn._xlws.FILTER($E970:$E980,($A970:$A980=$A970)*($J970:$J980=L$42)))),0)</f>
        <v>0</v>
      </c>
      <c r="M970" s="1023" cm="1">
        <f t="array" ref="M970">IFERROR(IF($A970=$A969,0,SUM(_xlfn._xlws.FILTER($E970:$E980,($A970:$A980=$A970)*($J970:$J980=M$42)))),0)</f>
        <v>0</v>
      </c>
      <c r="N970" s="1023" cm="1">
        <f t="array" ref="N970">IFERROR(IF($A970=$A969,0,SUM(_xlfn._xlws.FILTER($E970:$E980,($A970:$A980=$A970)*($J970:$J980=N$42)))),0)</f>
        <v>0</v>
      </c>
    </row>
    <row r="971" spans="5:14" x14ac:dyDescent="0.3">
      <c r="E971" s="1022">
        <f ca="1">IFERROR(C971*D971*_xlfn.XLOOKUP(B971,TabCalc[Ticker],TabCalc[Scale]),0)</f>
        <v>0</v>
      </c>
      <c r="F971" s="1023" cm="1">
        <f t="array" ref="F971">IF(A971=A970,0,SUM(_xlfn._xlws.FILTER(E971:E980,A971:A980=A971)))</f>
        <v>0</v>
      </c>
      <c r="G971" s="1024">
        <f>IF(F971&lt;&gt;0,SUM($F$43:F971),0)</f>
        <v>0</v>
      </c>
      <c r="H971" s="1024" cm="1">
        <f t="array" ref="H971">IFERROR(IF(A971=A970,0,SUM(_xlfn._xlws.FILTER(E971:E980,(A971:A980=A971)*(E971:E980&gt;0)))),0)</f>
        <v>0</v>
      </c>
      <c r="I971" s="1024" cm="1">
        <f t="array" ref="I971">IFERROR(IF(A971=A970,0,SUM(_xlfn._xlws.FILTER(E971:E980,(A971:A980=A971)*(F971&lt;0)))),0)</f>
        <v>0</v>
      </c>
      <c r="J971" s="293" t="str">
        <f ca="1">IFERROR(_xlfn.XLOOKUP(B971,TabCalc[Ticker],TabCalc[Cur]),"")</f>
        <v/>
      </c>
      <c r="K971" s="1023" cm="1">
        <f t="array" ref="K971">IFERROR(IF($A971=$A970,0,SUM(_xlfn._xlws.FILTER($E971:$E981,($A971:$A981=$A971)*($J971:$J981=K$42)))),0)</f>
        <v>0</v>
      </c>
      <c r="L971" s="1023" cm="1">
        <f t="array" ref="L971">IFERROR(IF($A971=$A970,0,SUM(_xlfn._xlws.FILTER($E971:$E981,($A971:$A981=$A971)*($J971:$J981=L$42)))),0)</f>
        <v>0</v>
      </c>
      <c r="M971" s="1023" cm="1">
        <f t="array" ref="M971">IFERROR(IF($A971=$A970,0,SUM(_xlfn._xlws.FILTER($E971:$E981,($A971:$A981=$A971)*($J971:$J981=M$42)))),0)</f>
        <v>0</v>
      </c>
      <c r="N971" s="1023" cm="1">
        <f t="array" ref="N971">IFERROR(IF($A971=$A970,0,SUM(_xlfn._xlws.FILTER($E971:$E981,($A971:$A981=$A971)*($J971:$J981=N$42)))),0)</f>
        <v>0</v>
      </c>
    </row>
    <row r="972" spans="5:14" x14ac:dyDescent="0.3">
      <c r="E972" s="1022">
        <f ca="1">IFERROR(C972*D972*_xlfn.XLOOKUP(B972,TabCalc[Ticker],TabCalc[Scale]),0)</f>
        <v>0</v>
      </c>
      <c r="F972" s="1023" cm="1">
        <f t="array" ref="F972">IF(A972=A971,0,SUM(_xlfn._xlws.FILTER(E972:E981,A972:A981=A972)))</f>
        <v>0</v>
      </c>
      <c r="G972" s="1024">
        <f>IF(F972&lt;&gt;0,SUM($F$43:F972),0)</f>
        <v>0</v>
      </c>
      <c r="H972" s="1024" cm="1">
        <f t="array" ref="H972">IFERROR(IF(A972=A971,0,SUM(_xlfn._xlws.FILTER(E972:E981,(A972:A981=A972)*(E972:E981&gt;0)))),0)</f>
        <v>0</v>
      </c>
      <c r="I972" s="1024" cm="1">
        <f t="array" ref="I972">IFERROR(IF(A972=A971,0,SUM(_xlfn._xlws.FILTER(E972:E981,(A972:A981=A972)*(F972&lt;0)))),0)</f>
        <v>0</v>
      </c>
      <c r="J972" s="293" t="str">
        <f ca="1">IFERROR(_xlfn.XLOOKUP(B972,TabCalc[Ticker],TabCalc[Cur]),"")</f>
        <v/>
      </c>
      <c r="K972" s="1023" cm="1">
        <f t="array" ref="K972">IFERROR(IF($A972=$A971,0,SUM(_xlfn._xlws.FILTER($E972:$E982,($A972:$A982=$A972)*($J972:$J982=K$42)))),0)</f>
        <v>0</v>
      </c>
      <c r="L972" s="1023" cm="1">
        <f t="array" ref="L972">IFERROR(IF($A972=$A971,0,SUM(_xlfn._xlws.FILTER($E972:$E982,($A972:$A982=$A972)*($J972:$J982=L$42)))),0)</f>
        <v>0</v>
      </c>
      <c r="M972" s="1023" cm="1">
        <f t="array" ref="M972">IFERROR(IF($A972=$A971,0,SUM(_xlfn._xlws.FILTER($E972:$E982,($A972:$A982=$A972)*($J972:$J982=M$42)))),0)</f>
        <v>0</v>
      </c>
      <c r="N972" s="1023" cm="1">
        <f t="array" ref="N972">IFERROR(IF($A972=$A971,0,SUM(_xlfn._xlws.FILTER($E972:$E982,($A972:$A982=$A972)*($J972:$J982=N$42)))),0)</f>
        <v>0</v>
      </c>
    </row>
    <row r="973" spans="5:14" x14ac:dyDescent="0.3">
      <c r="E973" s="1022">
        <f ca="1">IFERROR(C973*D973*_xlfn.XLOOKUP(B973,TabCalc[Ticker],TabCalc[Scale]),0)</f>
        <v>0</v>
      </c>
      <c r="F973" s="1023" cm="1">
        <f t="array" ref="F973">IF(A973=A972,0,SUM(_xlfn._xlws.FILTER(E973:E982,A973:A982=A973)))</f>
        <v>0</v>
      </c>
      <c r="G973" s="1024">
        <f>IF(F973&lt;&gt;0,SUM($F$43:F973),0)</f>
        <v>0</v>
      </c>
      <c r="H973" s="1024" cm="1">
        <f t="array" ref="H973">IFERROR(IF(A973=A972,0,SUM(_xlfn._xlws.FILTER(E973:E982,(A973:A982=A973)*(E973:E982&gt;0)))),0)</f>
        <v>0</v>
      </c>
      <c r="I973" s="1024" cm="1">
        <f t="array" ref="I973">IFERROR(IF(A973=A972,0,SUM(_xlfn._xlws.FILTER(E973:E982,(A973:A982=A973)*(F973&lt;0)))),0)</f>
        <v>0</v>
      </c>
      <c r="J973" s="293" t="str">
        <f ca="1">IFERROR(_xlfn.XLOOKUP(B973,TabCalc[Ticker],TabCalc[Cur]),"")</f>
        <v/>
      </c>
      <c r="K973" s="1023" cm="1">
        <f t="array" ref="K973">IFERROR(IF($A973=$A972,0,SUM(_xlfn._xlws.FILTER($E973:$E983,($A973:$A983=$A973)*($J973:$J983=K$42)))),0)</f>
        <v>0</v>
      </c>
      <c r="L973" s="1023" cm="1">
        <f t="array" ref="L973">IFERROR(IF($A973=$A972,0,SUM(_xlfn._xlws.FILTER($E973:$E983,($A973:$A983=$A973)*($J973:$J983=L$42)))),0)</f>
        <v>0</v>
      </c>
      <c r="M973" s="1023" cm="1">
        <f t="array" ref="M973">IFERROR(IF($A973=$A972,0,SUM(_xlfn._xlws.FILTER($E973:$E983,($A973:$A983=$A973)*($J973:$J983=M$42)))),0)</f>
        <v>0</v>
      </c>
      <c r="N973" s="1023" cm="1">
        <f t="array" ref="N973">IFERROR(IF($A973=$A972,0,SUM(_xlfn._xlws.FILTER($E973:$E983,($A973:$A983=$A973)*($J973:$J983=N$42)))),0)</f>
        <v>0</v>
      </c>
    </row>
    <row r="974" spans="5:14" x14ac:dyDescent="0.3">
      <c r="E974" s="1022">
        <f ca="1">IFERROR(C974*D974*_xlfn.XLOOKUP(B974,TabCalc[Ticker],TabCalc[Scale]),0)</f>
        <v>0</v>
      </c>
      <c r="F974" s="1023" cm="1">
        <f t="array" ref="F974">IF(A974=A973,0,SUM(_xlfn._xlws.FILTER(E974:E983,A974:A983=A974)))</f>
        <v>0</v>
      </c>
      <c r="G974" s="1024">
        <f>IF(F974&lt;&gt;0,SUM($F$43:F974),0)</f>
        <v>0</v>
      </c>
      <c r="H974" s="1024" cm="1">
        <f t="array" ref="H974">IFERROR(IF(A974=A973,0,SUM(_xlfn._xlws.FILTER(E974:E983,(A974:A983=A974)*(E974:E983&gt;0)))),0)</f>
        <v>0</v>
      </c>
      <c r="I974" s="1024" cm="1">
        <f t="array" ref="I974">IFERROR(IF(A974=A973,0,SUM(_xlfn._xlws.FILTER(E974:E983,(A974:A983=A974)*(F974&lt;0)))),0)</f>
        <v>0</v>
      </c>
      <c r="J974" s="293" t="str">
        <f ca="1">IFERROR(_xlfn.XLOOKUP(B974,TabCalc[Ticker],TabCalc[Cur]),"")</f>
        <v/>
      </c>
      <c r="K974" s="1023" cm="1">
        <f t="array" ref="K974">IFERROR(IF($A974=$A973,0,SUM(_xlfn._xlws.FILTER($E974:$E984,($A974:$A984=$A974)*($J974:$J984=K$42)))),0)</f>
        <v>0</v>
      </c>
      <c r="L974" s="1023" cm="1">
        <f t="array" ref="L974">IFERROR(IF($A974=$A973,0,SUM(_xlfn._xlws.FILTER($E974:$E984,($A974:$A984=$A974)*($J974:$J984=L$42)))),0)</f>
        <v>0</v>
      </c>
      <c r="M974" s="1023" cm="1">
        <f t="array" ref="M974">IFERROR(IF($A974=$A973,0,SUM(_xlfn._xlws.FILTER($E974:$E984,($A974:$A984=$A974)*($J974:$J984=M$42)))),0)</f>
        <v>0</v>
      </c>
      <c r="N974" s="1023" cm="1">
        <f t="array" ref="N974">IFERROR(IF($A974=$A973,0,SUM(_xlfn._xlws.FILTER($E974:$E984,($A974:$A984=$A974)*($J974:$J984=N$42)))),0)</f>
        <v>0</v>
      </c>
    </row>
    <row r="975" spans="5:14" x14ac:dyDescent="0.3">
      <c r="E975" s="1022">
        <f ca="1">IFERROR(C975*D975*_xlfn.XLOOKUP(B975,TabCalc[Ticker],TabCalc[Scale]),0)</f>
        <v>0</v>
      </c>
      <c r="F975" s="1023" cm="1">
        <f t="array" ref="F975">IF(A975=A974,0,SUM(_xlfn._xlws.FILTER(E975:E984,A975:A984=A975)))</f>
        <v>0</v>
      </c>
      <c r="G975" s="1024">
        <f>IF(F975&lt;&gt;0,SUM($F$43:F975),0)</f>
        <v>0</v>
      </c>
      <c r="H975" s="1024" cm="1">
        <f t="array" ref="H975">IFERROR(IF(A975=A974,0,SUM(_xlfn._xlws.FILTER(E975:E984,(A975:A984=A975)*(E975:E984&gt;0)))),0)</f>
        <v>0</v>
      </c>
      <c r="I975" s="1024" cm="1">
        <f t="array" ref="I975">IFERROR(IF(A975=A974,0,SUM(_xlfn._xlws.FILTER(E975:E984,(A975:A984=A975)*(F975&lt;0)))),0)</f>
        <v>0</v>
      </c>
      <c r="J975" s="293" t="str">
        <f ca="1">IFERROR(_xlfn.XLOOKUP(B975,TabCalc[Ticker],TabCalc[Cur]),"")</f>
        <v/>
      </c>
      <c r="K975" s="1023" cm="1">
        <f t="array" ref="K975">IFERROR(IF($A975=$A974,0,SUM(_xlfn._xlws.FILTER($E975:$E985,($A975:$A985=$A975)*($J975:$J985=K$42)))),0)</f>
        <v>0</v>
      </c>
      <c r="L975" s="1023" cm="1">
        <f t="array" ref="L975">IFERROR(IF($A975=$A974,0,SUM(_xlfn._xlws.FILTER($E975:$E985,($A975:$A985=$A975)*($J975:$J985=L$42)))),0)</f>
        <v>0</v>
      </c>
      <c r="M975" s="1023" cm="1">
        <f t="array" ref="M975">IFERROR(IF($A975=$A974,0,SUM(_xlfn._xlws.FILTER($E975:$E985,($A975:$A985=$A975)*($J975:$J985=M$42)))),0)</f>
        <v>0</v>
      </c>
      <c r="N975" s="1023" cm="1">
        <f t="array" ref="N975">IFERROR(IF($A975=$A974,0,SUM(_xlfn._xlws.FILTER($E975:$E985,($A975:$A985=$A975)*($J975:$J985=N$42)))),0)</f>
        <v>0</v>
      </c>
    </row>
    <row r="976" spans="5:14" x14ac:dyDescent="0.3">
      <c r="E976" s="1022">
        <f ca="1">IFERROR(C976*D976*_xlfn.XLOOKUP(B976,TabCalc[Ticker],TabCalc[Scale]),0)</f>
        <v>0</v>
      </c>
      <c r="F976" s="1023" cm="1">
        <f t="array" ref="F976">IF(A976=A975,0,SUM(_xlfn._xlws.FILTER(E976:E985,A976:A985=A976)))</f>
        <v>0</v>
      </c>
      <c r="G976" s="1024">
        <f>IF(F976&lt;&gt;0,SUM($F$43:F976),0)</f>
        <v>0</v>
      </c>
      <c r="H976" s="1024" cm="1">
        <f t="array" ref="H976">IFERROR(IF(A976=A975,0,SUM(_xlfn._xlws.FILTER(E976:E985,(A976:A985=A976)*(E976:E985&gt;0)))),0)</f>
        <v>0</v>
      </c>
      <c r="I976" s="1024" cm="1">
        <f t="array" ref="I976">IFERROR(IF(A976=A975,0,SUM(_xlfn._xlws.FILTER(E976:E985,(A976:A985=A976)*(F976&lt;0)))),0)</f>
        <v>0</v>
      </c>
      <c r="J976" s="293" t="str">
        <f ca="1">IFERROR(_xlfn.XLOOKUP(B976,TabCalc[Ticker],TabCalc[Cur]),"")</f>
        <v/>
      </c>
      <c r="K976" s="1023" cm="1">
        <f t="array" ref="K976">IFERROR(IF($A976=$A975,0,SUM(_xlfn._xlws.FILTER($E976:$E986,($A976:$A986=$A976)*($J976:$J986=K$42)))),0)</f>
        <v>0</v>
      </c>
      <c r="L976" s="1023" cm="1">
        <f t="array" ref="L976">IFERROR(IF($A976=$A975,0,SUM(_xlfn._xlws.FILTER($E976:$E986,($A976:$A986=$A976)*($J976:$J986=L$42)))),0)</f>
        <v>0</v>
      </c>
      <c r="M976" s="1023" cm="1">
        <f t="array" ref="M976">IFERROR(IF($A976=$A975,0,SUM(_xlfn._xlws.FILTER($E976:$E986,($A976:$A986=$A976)*($J976:$J986=M$42)))),0)</f>
        <v>0</v>
      </c>
      <c r="N976" s="1023" cm="1">
        <f t="array" ref="N976">IFERROR(IF($A976=$A975,0,SUM(_xlfn._xlws.FILTER($E976:$E986,($A976:$A986=$A976)*($J976:$J986=N$42)))),0)</f>
        <v>0</v>
      </c>
    </row>
    <row r="977" spans="5:14" x14ac:dyDescent="0.3">
      <c r="E977" s="1022">
        <f ca="1">IFERROR(C977*D977*_xlfn.XLOOKUP(B977,TabCalc[Ticker],TabCalc[Scale]),0)</f>
        <v>0</v>
      </c>
      <c r="F977" s="1023" cm="1">
        <f t="array" ref="F977">IF(A977=A976,0,SUM(_xlfn._xlws.FILTER(E977:E986,A977:A986=A977)))</f>
        <v>0</v>
      </c>
      <c r="G977" s="1024">
        <f>IF(F977&lt;&gt;0,SUM($F$43:F977),0)</f>
        <v>0</v>
      </c>
      <c r="H977" s="1024" cm="1">
        <f t="array" ref="H977">IFERROR(IF(A977=A976,0,SUM(_xlfn._xlws.FILTER(E977:E986,(A977:A986=A977)*(E977:E986&gt;0)))),0)</f>
        <v>0</v>
      </c>
      <c r="I977" s="1024" cm="1">
        <f t="array" ref="I977">IFERROR(IF(A977=A976,0,SUM(_xlfn._xlws.FILTER(E977:E986,(A977:A986=A977)*(F977&lt;0)))),0)</f>
        <v>0</v>
      </c>
      <c r="J977" s="293" t="str">
        <f ca="1">IFERROR(_xlfn.XLOOKUP(B977,TabCalc[Ticker],TabCalc[Cur]),"")</f>
        <v/>
      </c>
      <c r="K977" s="1023" cm="1">
        <f t="array" ref="K977">IFERROR(IF($A977=$A976,0,SUM(_xlfn._xlws.FILTER($E977:$E987,($A977:$A987=$A977)*($J977:$J987=K$42)))),0)</f>
        <v>0</v>
      </c>
      <c r="L977" s="1023" cm="1">
        <f t="array" ref="L977">IFERROR(IF($A977=$A976,0,SUM(_xlfn._xlws.FILTER($E977:$E987,($A977:$A987=$A977)*($J977:$J987=L$42)))),0)</f>
        <v>0</v>
      </c>
      <c r="M977" s="1023" cm="1">
        <f t="array" ref="M977">IFERROR(IF($A977=$A976,0,SUM(_xlfn._xlws.FILTER($E977:$E987,($A977:$A987=$A977)*($J977:$J987=M$42)))),0)</f>
        <v>0</v>
      </c>
      <c r="N977" s="1023" cm="1">
        <f t="array" ref="N977">IFERROR(IF($A977=$A976,0,SUM(_xlfn._xlws.FILTER($E977:$E987,($A977:$A987=$A977)*($J977:$J987=N$42)))),0)</f>
        <v>0</v>
      </c>
    </row>
    <row r="978" spans="5:14" x14ac:dyDescent="0.3">
      <c r="E978" s="1022">
        <f ca="1">IFERROR(C978*D978*_xlfn.XLOOKUP(B978,TabCalc[Ticker],TabCalc[Scale]),0)</f>
        <v>0</v>
      </c>
      <c r="F978" s="1023" cm="1">
        <f t="array" ref="F978">IF(A978=A977,0,SUM(_xlfn._xlws.FILTER(E978:E987,A978:A987=A978)))</f>
        <v>0</v>
      </c>
      <c r="G978" s="1024">
        <f>IF(F978&lt;&gt;0,SUM($F$43:F978),0)</f>
        <v>0</v>
      </c>
      <c r="H978" s="1024" cm="1">
        <f t="array" ref="H978">IFERROR(IF(A978=A977,0,SUM(_xlfn._xlws.FILTER(E978:E987,(A978:A987=A978)*(E978:E987&gt;0)))),0)</f>
        <v>0</v>
      </c>
      <c r="I978" s="1024" cm="1">
        <f t="array" ref="I978">IFERROR(IF(A978=A977,0,SUM(_xlfn._xlws.FILTER(E978:E987,(A978:A987=A978)*(F978&lt;0)))),0)</f>
        <v>0</v>
      </c>
      <c r="J978" s="293" t="str">
        <f ca="1">IFERROR(_xlfn.XLOOKUP(B978,TabCalc[Ticker],TabCalc[Cur]),"")</f>
        <v/>
      </c>
      <c r="K978" s="1023" cm="1">
        <f t="array" ref="K978">IFERROR(IF($A978=$A977,0,SUM(_xlfn._xlws.FILTER($E978:$E988,($A978:$A988=$A978)*($J978:$J988=K$42)))),0)</f>
        <v>0</v>
      </c>
      <c r="L978" s="1023" cm="1">
        <f t="array" ref="L978">IFERROR(IF($A978=$A977,0,SUM(_xlfn._xlws.FILTER($E978:$E988,($A978:$A988=$A978)*($J978:$J988=L$42)))),0)</f>
        <v>0</v>
      </c>
      <c r="M978" s="1023" cm="1">
        <f t="array" ref="M978">IFERROR(IF($A978=$A977,0,SUM(_xlfn._xlws.FILTER($E978:$E988,($A978:$A988=$A978)*($J978:$J988=M$42)))),0)</f>
        <v>0</v>
      </c>
      <c r="N978" s="1023" cm="1">
        <f t="array" ref="N978">IFERROR(IF($A978=$A977,0,SUM(_xlfn._xlws.FILTER($E978:$E988,($A978:$A988=$A978)*($J978:$J988=N$42)))),0)</f>
        <v>0</v>
      </c>
    </row>
    <row r="979" spans="5:14" x14ac:dyDescent="0.3">
      <c r="E979" s="1022">
        <f ca="1">IFERROR(C979*D979*_xlfn.XLOOKUP(B979,TabCalc[Ticker],TabCalc[Scale]),0)</f>
        <v>0</v>
      </c>
      <c r="F979" s="1023" cm="1">
        <f t="array" ref="F979">IF(A979=A978,0,SUM(_xlfn._xlws.FILTER(E979:E988,A979:A988=A979)))</f>
        <v>0</v>
      </c>
      <c r="G979" s="1024">
        <f>IF(F979&lt;&gt;0,SUM($F$43:F979),0)</f>
        <v>0</v>
      </c>
      <c r="H979" s="1024" cm="1">
        <f t="array" ref="H979">IFERROR(IF(A979=A978,0,SUM(_xlfn._xlws.FILTER(E979:E988,(A979:A988=A979)*(E979:E988&gt;0)))),0)</f>
        <v>0</v>
      </c>
      <c r="I979" s="1024" cm="1">
        <f t="array" ref="I979">IFERROR(IF(A979=A978,0,SUM(_xlfn._xlws.FILTER(E979:E988,(A979:A988=A979)*(F979&lt;0)))),0)</f>
        <v>0</v>
      </c>
      <c r="J979" s="293" t="str">
        <f ca="1">IFERROR(_xlfn.XLOOKUP(B979,TabCalc[Ticker],TabCalc[Cur]),"")</f>
        <v/>
      </c>
      <c r="K979" s="1023" cm="1">
        <f t="array" ref="K979">IFERROR(IF($A979=$A978,0,SUM(_xlfn._xlws.FILTER($E979:$E989,($A979:$A989=$A979)*($J979:$J989=K$42)))),0)</f>
        <v>0</v>
      </c>
      <c r="L979" s="1023" cm="1">
        <f t="array" ref="L979">IFERROR(IF($A979=$A978,0,SUM(_xlfn._xlws.FILTER($E979:$E989,($A979:$A989=$A979)*($J979:$J989=L$42)))),0)</f>
        <v>0</v>
      </c>
      <c r="M979" s="1023" cm="1">
        <f t="array" ref="M979">IFERROR(IF($A979=$A978,0,SUM(_xlfn._xlws.FILTER($E979:$E989,($A979:$A989=$A979)*($J979:$J989=M$42)))),0)</f>
        <v>0</v>
      </c>
      <c r="N979" s="1023" cm="1">
        <f t="array" ref="N979">IFERROR(IF($A979=$A978,0,SUM(_xlfn._xlws.FILTER($E979:$E989,($A979:$A989=$A979)*($J979:$J989=N$42)))),0)</f>
        <v>0</v>
      </c>
    </row>
    <row r="980" spans="5:14" x14ac:dyDescent="0.3">
      <c r="E980" s="1022">
        <f ca="1">IFERROR(C980*D980*_xlfn.XLOOKUP(B980,TabCalc[Ticker],TabCalc[Scale]),0)</f>
        <v>0</v>
      </c>
      <c r="F980" s="1023" cm="1">
        <f t="array" ref="F980">IF(A980=A979,0,SUM(_xlfn._xlws.FILTER(E980:E989,A980:A989=A980)))</f>
        <v>0</v>
      </c>
      <c r="G980" s="1024">
        <f>IF(F980&lt;&gt;0,SUM($F$43:F980),0)</f>
        <v>0</v>
      </c>
      <c r="H980" s="1024" cm="1">
        <f t="array" ref="H980">IFERROR(IF(A980=A979,0,SUM(_xlfn._xlws.FILTER(E980:E989,(A980:A989=A980)*(E980:E989&gt;0)))),0)</f>
        <v>0</v>
      </c>
      <c r="I980" s="1024" cm="1">
        <f t="array" ref="I980">IFERROR(IF(A980=A979,0,SUM(_xlfn._xlws.FILTER(E980:E989,(A980:A989=A980)*(F980&lt;0)))),0)</f>
        <v>0</v>
      </c>
      <c r="J980" s="293" t="str">
        <f ca="1">IFERROR(_xlfn.XLOOKUP(B980,TabCalc[Ticker],TabCalc[Cur]),"")</f>
        <v/>
      </c>
      <c r="K980" s="1023" cm="1">
        <f t="array" ref="K980">IFERROR(IF($A980=$A979,0,SUM(_xlfn._xlws.FILTER($E980:$E990,($A980:$A990=$A980)*($J980:$J990=K$42)))),0)</f>
        <v>0</v>
      </c>
      <c r="L980" s="1023" cm="1">
        <f t="array" ref="L980">IFERROR(IF($A980=$A979,0,SUM(_xlfn._xlws.FILTER($E980:$E990,($A980:$A990=$A980)*($J980:$J990=L$42)))),0)</f>
        <v>0</v>
      </c>
      <c r="M980" s="1023" cm="1">
        <f t="array" ref="M980">IFERROR(IF($A980=$A979,0,SUM(_xlfn._xlws.FILTER($E980:$E990,($A980:$A990=$A980)*($J980:$J990=M$42)))),0)</f>
        <v>0</v>
      </c>
      <c r="N980" s="1023" cm="1">
        <f t="array" ref="N980">IFERROR(IF($A980=$A979,0,SUM(_xlfn._xlws.FILTER($E980:$E990,($A980:$A990=$A980)*($J980:$J990=N$42)))),0)</f>
        <v>0</v>
      </c>
    </row>
    <row r="981" spans="5:14" x14ac:dyDescent="0.3">
      <c r="E981" s="1022">
        <f ca="1">IFERROR(C981*D981*_xlfn.XLOOKUP(B981,TabCalc[Ticker],TabCalc[Scale]),0)</f>
        <v>0</v>
      </c>
      <c r="F981" s="1023" cm="1">
        <f t="array" ref="F981">IF(A981=A980,0,SUM(_xlfn._xlws.FILTER(E981:E990,A981:A990=A981)))</f>
        <v>0</v>
      </c>
      <c r="G981" s="1024">
        <f>IF(F981&lt;&gt;0,SUM($F$43:F981),0)</f>
        <v>0</v>
      </c>
      <c r="H981" s="1024" cm="1">
        <f t="array" ref="H981">IFERROR(IF(A981=A980,0,SUM(_xlfn._xlws.FILTER(E981:E990,(A981:A990=A981)*(E981:E990&gt;0)))),0)</f>
        <v>0</v>
      </c>
      <c r="I981" s="1024" cm="1">
        <f t="array" ref="I981">IFERROR(IF(A981=A980,0,SUM(_xlfn._xlws.FILTER(E981:E990,(A981:A990=A981)*(F981&lt;0)))),0)</f>
        <v>0</v>
      </c>
      <c r="J981" s="293" t="str">
        <f ca="1">IFERROR(_xlfn.XLOOKUP(B981,TabCalc[Ticker],TabCalc[Cur]),"")</f>
        <v/>
      </c>
      <c r="K981" s="1023" cm="1">
        <f t="array" ref="K981">IFERROR(IF($A981=$A980,0,SUM(_xlfn._xlws.FILTER($E981:$E991,($A981:$A991=$A981)*($J981:$J991=K$42)))),0)</f>
        <v>0</v>
      </c>
      <c r="L981" s="1023" cm="1">
        <f t="array" ref="L981">IFERROR(IF($A981=$A980,0,SUM(_xlfn._xlws.FILTER($E981:$E991,($A981:$A991=$A981)*($J981:$J991=L$42)))),0)</f>
        <v>0</v>
      </c>
      <c r="M981" s="1023" cm="1">
        <f t="array" ref="M981">IFERROR(IF($A981=$A980,0,SUM(_xlfn._xlws.FILTER($E981:$E991,($A981:$A991=$A981)*($J981:$J991=M$42)))),0)</f>
        <v>0</v>
      </c>
      <c r="N981" s="1023" cm="1">
        <f t="array" ref="N981">IFERROR(IF($A981=$A980,0,SUM(_xlfn._xlws.FILTER($E981:$E991,($A981:$A991=$A981)*($J981:$J991=N$42)))),0)</f>
        <v>0</v>
      </c>
    </row>
    <row r="982" spans="5:14" x14ac:dyDescent="0.3">
      <c r="E982" s="1022">
        <f ca="1">IFERROR(C982*D982*_xlfn.XLOOKUP(B982,TabCalc[Ticker],TabCalc[Scale]),0)</f>
        <v>0</v>
      </c>
      <c r="F982" s="1023" cm="1">
        <f t="array" ref="F982">IF(A982=A981,0,SUM(_xlfn._xlws.FILTER(E982:E991,A982:A991=A982)))</f>
        <v>0</v>
      </c>
      <c r="G982" s="1024">
        <f>IF(F982&lt;&gt;0,SUM($F$43:F982),0)</f>
        <v>0</v>
      </c>
      <c r="H982" s="1024" cm="1">
        <f t="array" ref="H982">IFERROR(IF(A982=A981,0,SUM(_xlfn._xlws.FILTER(E982:E991,(A982:A991=A982)*(E982:E991&gt;0)))),0)</f>
        <v>0</v>
      </c>
      <c r="I982" s="1024" cm="1">
        <f t="array" ref="I982">IFERROR(IF(A982=A981,0,SUM(_xlfn._xlws.FILTER(E982:E991,(A982:A991=A982)*(F982&lt;0)))),0)</f>
        <v>0</v>
      </c>
      <c r="J982" s="293" t="str">
        <f ca="1">IFERROR(_xlfn.XLOOKUP(B982,TabCalc[Ticker],TabCalc[Cur]),"")</f>
        <v/>
      </c>
      <c r="K982" s="1023" cm="1">
        <f t="array" ref="K982">IFERROR(IF($A982=$A981,0,SUM(_xlfn._xlws.FILTER($E982:$E992,($A982:$A992=$A982)*($J982:$J992=K$42)))),0)</f>
        <v>0</v>
      </c>
      <c r="L982" s="1023" cm="1">
        <f t="array" ref="L982">IFERROR(IF($A982=$A981,0,SUM(_xlfn._xlws.FILTER($E982:$E992,($A982:$A992=$A982)*($J982:$J992=L$42)))),0)</f>
        <v>0</v>
      </c>
      <c r="M982" s="1023" cm="1">
        <f t="array" ref="M982">IFERROR(IF($A982=$A981,0,SUM(_xlfn._xlws.FILTER($E982:$E992,($A982:$A992=$A982)*($J982:$J992=M$42)))),0)</f>
        <v>0</v>
      </c>
      <c r="N982" s="1023" cm="1">
        <f t="array" ref="N982">IFERROR(IF($A982=$A981,0,SUM(_xlfn._xlws.FILTER($E982:$E992,($A982:$A992=$A982)*($J982:$J992=N$42)))),0)</f>
        <v>0</v>
      </c>
    </row>
    <row r="983" spans="5:14" x14ac:dyDescent="0.3">
      <c r="E983" s="1022">
        <f ca="1">IFERROR(C983*D983*_xlfn.XLOOKUP(B983,TabCalc[Ticker],TabCalc[Scale]),0)</f>
        <v>0</v>
      </c>
      <c r="F983" s="1023" cm="1">
        <f t="array" ref="F983">IF(A983=A982,0,SUM(_xlfn._xlws.FILTER(E983:E992,A983:A992=A983)))</f>
        <v>0</v>
      </c>
      <c r="G983" s="1024">
        <f>IF(F983&lt;&gt;0,SUM($F$43:F983),0)</f>
        <v>0</v>
      </c>
      <c r="H983" s="1024" cm="1">
        <f t="array" ref="H983">IFERROR(IF(A983=A982,0,SUM(_xlfn._xlws.FILTER(E983:E992,(A983:A992=A983)*(E983:E992&gt;0)))),0)</f>
        <v>0</v>
      </c>
      <c r="I983" s="1024" cm="1">
        <f t="array" ref="I983">IFERROR(IF(A983=A982,0,SUM(_xlfn._xlws.FILTER(E983:E992,(A983:A992=A983)*(F983&lt;0)))),0)</f>
        <v>0</v>
      </c>
      <c r="J983" s="293" t="str">
        <f ca="1">IFERROR(_xlfn.XLOOKUP(B983,TabCalc[Ticker],TabCalc[Cur]),"")</f>
        <v/>
      </c>
      <c r="K983" s="1023" cm="1">
        <f t="array" ref="K983">IFERROR(IF($A983=$A982,0,SUM(_xlfn._xlws.FILTER($E983:$E993,($A983:$A993=$A983)*($J983:$J993=K$42)))),0)</f>
        <v>0</v>
      </c>
      <c r="L983" s="1023" cm="1">
        <f t="array" ref="L983">IFERROR(IF($A983=$A982,0,SUM(_xlfn._xlws.FILTER($E983:$E993,($A983:$A993=$A983)*($J983:$J993=L$42)))),0)</f>
        <v>0</v>
      </c>
      <c r="M983" s="1023" cm="1">
        <f t="array" ref="M983">IFERROR(IF($A983=$A982,0,SUM(_xlfn._xlws.FILTER($E983:$E993,($A983:$A993=$A983)*($J983:$J993=M$42)))),0)</f>
        <v>0</v>
      </c>
      <c r="N983" s="1023" cm="1">
        <f t="array" ref="N983">IFERROR(IF($A983=$A982,0,SUM(_xlfn._xlws.FILTER($E983:$E993,($A983:$A993=$A983)*($J983:$J993=N$42)))),0)</f>
        <v>0</v>
      </c>
    </row>
    <row r="984" spans="5:14" x14ac:dyDescent="0.3">
      <c r="E984" s="1022">
        <f ca="1">IFERROR(C984*D984*_xlfn.XLOOKUP(B984,TabCalc[Ticker],TabCalc[Scale]),0)</f>
        <v>0</v>
      </c>
      <c r="F984" s="1023" cm="1">
        <f t="array" ref="F984">IF(A984=A983,0,SUM(_xlfn._xlws.FILTER(E984:E993,A984:A993=A984)))</f>
        <v>0</v>
      </c>
      <c r="G984" s="1024">
        <f>IF(F984&lt;&gt;0,SUM($F$43:F984),0)</f>
        <v>0</v>
      </c>
      <c r="H984" s="1024" cm="1">
        <f t="array" ref="H984">IFERROR(IF(A984=A983,0,SUM(_xlfn._xlws.FILTER(E984:E993,(A984:A993=A984)*(E984:E993&gt;0)))),0)</f>
        <v>0</v>
      </c>
      <c r="I984" s="1024" cm="1">
        <f t="array" ref="I984">IFERROR(IF(A984=A983,0,SUM(_xlfn._xlws.FILTER(E984:E993,(A984:A993=A984)*(F984&lt;0)))),0)</f>
        <v>0</v>
      </c>
      <c r="J984" s="293" t="str">
        <f ca="1">IFERROR(_xlfn.XLOOKUP(B984,TabCalc[Ticker],TabCalc[Cur]),"")</f>
        <v/>
      </c>
      <c r="K984" s="1023" cm="1">
        <f t="array" ref="K984">IFERROR(IF($A984=$A983,0,SUM(_xlfn._xlws.FILTER($E984:$E994,($A984:$A994=$A984)*($J984:$J994=K$42)))),0)</f>
        <v>0</v>
      </c>
      <c r="L984" s="1023" cm="1">
        <f t="array" ref="L984">IFERROR(IF($A984=$A983,0,SUM(_xlfn._xlws.FILTER($E984:$E994,($A984:$A994=$A984)*($J984:$J994=L$42)))),0)</f>
        <v>0</v>
      </c>
      <c r="M984" s="1023" cm="1">
        <f t="array" ref="M984">IFERROR(IF($A984=$A983,0,SUM(_xlfn._xlws.FILTER($E984:$E994,($A984:$A994=$A984)*($J984:$J994=M$42)))),0)</f>
        <v>0</v>
      </c>
      <c r="N984" s="1023" cm="1">
        <f t="array" ref="N984">IFERROR(IF($A984=$A983,0,SUM(_xlfn._xlws.FILTER($E984:$E994,($A984:$A994=$A984)*($J984:$J994=N$42)))),0)</f>
        <v>0</v>
      </c>
    </row>
    <row r="985" spans="5:14" x14ac:dyDescent="0.3">
      <c r="E985" s="1022">
        <f ca="1">IFERROR(C985*D985*_xlfn.XLOOKUP(B985,TabCalc[Ticker],TabCalc[Scale]),0)</f>
        <v>0</v>
      </c>
      <c r="F985" s="1023" cm="1">
        <f t="array" ref="F985">IF(A985=A984,0,SUM(_xlfn._xlws.FILTER(E985:E994,A985:A994=A985)))</f>
        <v>0</v>
      </c>
      <c r="G985" s="1024">
        <f>IF(F985&lt;&gt;0,SUM($F$43:F985),0)</f>
        <v>0</v>
      </c>
      <c r="H985" s="1024" cm="1">
        <f t="array" ref="H985">IFERROR(IF(A985=A984,0,SUM(_xlfn._xlws.FILTER(E985:E994,(A985:A994=A985)*(E985:E994&gt;0)))),0)</f>
        <v>0</v>
      </c>
      <c r="I985" s="1024" cm="1">
        <f t="array" ref="I985">IFERROR(IF(A985=A984,0,SUM(_xlfn._xlws.FILTER(E985:E994,(A985:A994=A985)*(F985&lt;0)))),0)</f>
        <v>0</v>
      </c>
      <c r="J985" s="293" t="str">
        <f ca="1">IFERROR(_xlfn.XLOOKUP(B985,TabCalc[Ticker],TabCalc[Cur]),"")</f>
        <v/>
      </c>
      <c r="K985" s="1023" cm="1">
        <f t="array" ref="K985">IFERROR(IF($A985=$A984,0,SUM(_xlfn._xlws.FILTER($E985:$E995,($A985:$A995=$A985)*($J985:$J995=K$42)))),0)</f>
        <v>0</v>
      </c>
      <c r="L985" s="1023" cm="1">
        <f t="array" ref="L985">IFERROR(IF($A985=$A984,0,SUM(_xlfn._xlws.FILTER($E985:$E995,($A985:$A995=$A985)*($J985:$J995=L$42)))),0)</f>
        <v>0</v>
      </c>
      <c r="M985" s="1023" cm="1">
        <f t="array" ref="M985">IFERROR(IF($A985=$A984,0,SUM(_xlfn._xlws.FILTER($E985:$E995,($A985:$A995=$A985)*($J985:$J995=M$42)))),0)</f>
        <v>0</v>
      </c>
      <c r="N985" s="1023" cm="1">
        <f t="array" ref="N985">IFERROR(IF($A985=$A984,0,SUM(_xlfn._xlws.FILTER($E985:$E995,($A985:$A995=$A985)*($J985:$J995=N$42)))),0)</f>
        <v>0</v>
      </c>
    </row>
    <row r="986" spans="5:14" x14ac:dyDescent="0.3">
      <c r="E986" s="1022">
        <f ca="1">IFERROR(C986*D986*_xlfn.XLOOKUP(B986,TabCalc[Ticker],TabCalc[Scale]),0)</f>
        <v>0</v>
      </c>
      <c r="F986" s="1023" cm="1">
        <f t="array" ref="F986">IF(A986=A985,0,SUM(_xlfn._xlws.FILTER(E986:E995,A986:A995=A986)))</f>
        <v>0</v>
      </c>
      <c r="G986" s="1024">
        <f>IF(F986&lt;&gt;0,SUM($F$43:F986),0)</f>
        <v>0</v>
      </c>
      <c r="H986" s="1024" cm="1">
        <f t="array" ref="H986">IFERROR(IF(A986=A985,0,SUM(_xlfn._xlws.FILTER(E986:E995,(A986:A995=A986)*(E986:E995&gt;0)))),0)</f>
        <v>0</v>
      </c>
      <c r="I986" s="1024" cm="1">
        <f t="array" ref="I986">IFERROR(IF(A986=A985,0,SUM(_xlfn._xlws.FILTER(E986:E995,(A986:A995=A986)*(F986&lt;0)))),0)</f>
        <v>0</v>
      </c>
      <c r="J986" s="293" t="str">
        <f ca="1">IFERROR(_xlfn.XLOOKUP(B986,TabCalc[Ticker],TabCalc[Cur]),"")</f>
        <v/>
      </c>
      <c r="K986" s="1023" cm="1">
        <f t="array" ref="K986">IFERROR(IF($A986=$A985,0,SUM(_xlfn._xlws.FILTER($E986:$E996,($A986:$A996=$A986)*($J986:$J996=K$42)))),0)</f>
        <v>0</v>
      </c>
      <c r="L986" s="1023" cm="1">
        <f t="array" ref="L986">IFERROR(IF($A986=$A985,0,SUM(_xlfn._xlws.FILTER($E986:$E996,($A986:$A996=$A986)*($J986:$J996=L$42)))),0)</f>
        <v>0</v>
      </c>
      <c r="M986" s="1023" cm="1">
        <f t="array" ref="M986">IFERROR(IF($A986=$A985,0,SUM(_xlfn._xlws.FILTER($E986:$E996,($A986:$A996=$A986)*($J986:$J996=M$42)))),0)</f>
        <v>0</v>
      </c>
      <c r="N986" s="1023" cm="1">
        <f t="array" ref="N986">IFERROR(IF($A986=$A985,0,SUM(_xlfn._xlws.FILTER($E986:$E996,($A986:$A996=$A986)*($J986:$J996=N$42)))),0)</f>
        <v>0</v>
      </c>
    </row>
    <row r="987" spans="5:14" x14ac:dyDescent="0.3">
      <c r="E987" s="1022">
        <f ca="1">IFERROR(C987*D987*_xlfn.XLOOKUP(B987,TabCalc[Ticker],TabCalc[Scale]),0)</f>
        <v>0</v>
      </c>
      <c r="F987" s="1023" cm="1">
        <f t="array" ref="F987">IF(A987=A986,0,SUM(_xlfn._xlws.FILTER(E987:E996,A987:A996=A987)))</f>
        <v>0</v>
      </c>
      <c r="G987" s="1024">
        <f>IF(F987&lt;&gt;0,SUM($F$43:F987),0)</f>
        <v>0</v>
      </c>
      <c r="H987" s="1024" cm="1">
        <f t="array" ref="H987">IFERROR(IF(A987=A986,0,SUM(_xlfn._xlws.FILTER(E987:E996,(A987:A996=A987)*(E987:E996&gt;0)))),0)</f>
        <v>0</v>
      </c>
      <c r="I987" s="1024" cm="1">
        <f t="array" ref="I987">IFERROR(IF(A987=A986,0,SUM(_xlfn._xlws.FILTER(E987:E996,(A987:A996=A987)*(F987&lt;0)))),0)</f>
        <v>0</v>
      </c>
      <c r="J987" s="293" t="str">
        <f ca="1">IFERROR(_xlfn.XLOOKUP(B987,TabCalc[Ticker],TabCalc[Cur]),"")</f>
        <v/>
      </c>
      <c r="K987" s="1023" cm="1">
        <f t="array" ref="K987">IFERROR(IF($A987=$A986,0,SUM(_xlfn._xlws.FILTER($E987:$E997,($A987:$A997=$A987)*($J987:$J997=K$42)))),0)</f>
        <v>0</v>
      </c>
      <c r="L987" s="1023" cm="1">
        <f t="array" ref="L987">IFERROR(IF($A987=$A986,0,SUM(_xlfn._xlws.FILTER($E987:$E997,($A987:$A997=$A987)*($J987:$J997=L$42)))),0)</f>
        <v>0</v>
      </c>
      <c r="M987" s="1023" cm="1">
        <f t="array" ref="M987">IFERROR(IF($A987=$A986,0,SUM(_xlfn._xlws.FILTER($E987:$E997,($A987:$A997=$A987)*($J987:$J997=M$42)))),0)</f>
        <v>0</v>
      </c>
      <c r="N987" s="1023" cm="1">
        <f t="array" ref="N987">IFERROR(IF($A987=$A986,0,SUM(_xlfn._xlws.FILTER($E987:$E997,($A987:$A997=$A987)*($J987:$J997=N$42)))),0)</f>
        <v>0</v>
      </c>
    </row>
    <row r="988" spans="5:14" x14ac:dyDescent="0.3">
      <c r="E988" s="1022">
        <f ca="1">IFERROR(C988*D988*_xlfn.XLOOKUP(B988,TabCalc[Ticker],TabCalc[Scale]),0)</f>
        <v>0</v>
      </c>
      <c r="F988" s="1023" cm="1">
        <f t="array" ref="F988">IF(A988=A987,0,SUM(_xlfn._xlws.FILTER(E988:E997,A988:A997=A988)))</f>
        <v>0</v>
      </c>
      <c r="G988" s="1024">
        <f>IF(F988&lt;&gt;0,SUM($F$43:F988),0)</f>
        <v>0</v>
      </c>
      <c r="H988" s="1024" cm="1">
        <f t="array" ref="H988">IFERROR(IF(A988=A987,0,SUM(_xlfn._xlws.FILTER(E988:E997,(A988:A997=A988)*(E988:E997&gt;0)))),0)</f>
        <v>0</v>
      </c>
      <c r="I988" s="1024" cm="1">
        <f t="array" ref="I988">IFERROR(IF(A988=A987,0,SUM(_xlfn._xlws.FILTER(E988:E997,(A988:A997=A988)*(F988&lt;0)))),0)</f>
        <v>0</v>
      </c>
      <c r="J988" s="293" t="str">
        <f ca="1">IFERROR(_xlfn.XLOOKUP(B988,TabCalc[Ticker],TabCalc[Cur]),"")</f>
        <v/>
      </c>
      <c r="K988" s="1023" cm="1">
        <f t="array" ref="K988">IFERROR(IF($A988=$A987,0,SUM(_xlfn._xlws.FILTER($E988:$E998,($A988:$A998=$A988)*($J988:$J998=K$42)))),0)</f>
        <v>0</v>
      </c>
      <c r="L988" s="1023" cm="1">
        <f t="array" ref="L988">IFERROR(IF($A988=$A987,0,SUM(_xlfn._xlws.FILTER($E988:$E998,($A988:$A998=$A988)*($J988:$J998=L$42)))),0)</f>
        <v>0</v>
      </c>
      <c r="M988" s="1023" cm="1">
        <f t="array" ref="M988">IFERROR(IF($A988=$A987,0,SUM(_xlfn._xlws.FILTER($E988:$E998,($A988:$A998=$A988)*($J988:$J998=M$42)))),0)</f>
        <v>0</v>
      </c>
      <c r="N988" s="1023" cm="1">
        <f t="array" ref="N988">IFERROR(IF($A988=$A987,0,SUM(_xlfn._xlws.FILTER($E988:$E998,($A988:$A998=$A988)*($J988:$J998=N$42)))),0)</f>
        <v>0</v>
      </c>
    </row>
    <row r="989" spans="5:14" x14ac:dyDescent="0.3">
      <c r="E989" s="1022">
        <f ca="1">IFERROR(C989*D989*_xlfn.XLOOKUP(B989,TabCalc[Ticker],TabCalc[Scale]),0)</f>
        <v>0</v>
      </c>
      <c r="F989" s="1023" cm="1">
        <f t="array" ref="F989">IF(A989=A988,0,SUM(_xlfn._xlws.FILTER(E989:E998,A989:A998=A989)))</f>
        <v>0</v>
      </c>
      <c r="G989" s="1024">
        <f>IF(F989&lt;&gt;0,SUM($F$43:F989),0)</f>
        <v>0</v>
      </c>
      <c r="H989" s="1024" cm="1">
        <f t="array" ref="H989">IFERROR(IF(A989=A988,0,SUM(_xlfn._xlws.FILTER(E989:E998,(A989:A998=A989)*(E989:E998&gt;0)))),0)</f>
        <v>0</v>
      </c>
      <c r="I989" s="1024" cm="1">
        <f t="array" ref="I989">IFERROR(IF(A989=A988,0,SUM(_xlfn._xlws.FILTER(E989:E998,(A989:A998=A989)*(F989&lt;0)))),0)</f>
        <v>0</v>
      </c>
      <c r="J989" s="293" t="str">
        <f ca="1">IFERROR(_xlfn.XLOOKUP(B989,TabCalc[Ticker],TabCalc[Cur]),"")</f>
        <v/>
      </c>
      <c r="K989" s="1023" cm="1">
        <f t="array" ref="K989">IFERROR(IF($A989=$A988,0,SUM(_xlfn._xlws.FILTER($E989:$E999,($A989:$A999=$A989)*($J989:$J999=K$42)))),0)</f>
        <v>0</v>
      </c>
      <c r="L989" s="1023" cm="1">
        <f t="array" ref="L989">IFERROR(IF($A989=$A988,0,SUM(_xlfn._xlws.FILTER($E989:$E999,($A989:$A999=$A989)*($J989:$J999=L$42)))),0)</f>
        <v>0</v>
      </c>
      <c r="M989" s="1023" cm="1">
        <f t="array" ref="M989">IFERROR(IF($A989=$A988,0,SUM(_xlfn._xlws.FILTER($E989:$E999,($A989:$A999=$A989)*($J989:$J999=M$42)))),0)</f>
        <v>0</v>
      </c>
      <c r="N989" s="1023" cm="1">
        <f t="array" ref="N989">IFERROR(IF($A989=$A988,0,SUM(_xlfn._xlws.FILTER($E989:$E999,($A989:$A999=$A989)*($J989:$J999=N$42)))),0)</f>
        <v>0</v>
      </c>
    </row>
    <row r="990" spans="5:14" x14ac:dyDescent="0.3">
      <c r="E990" s="1022">
        <f ca="1">IFERROR(C990*D990*_xlfn.XLOOKUP(B990,TabCalc[Ticker],TabCalc[Scale]),0)</f>
        <v>0</v>
      </c>
      <c r="F990" s="1023" cm="1">
        <f t="array" ref="F990">IF(A990=A989,0,SUM(_xlfn._xlws.FILTER(E990:E999,A990:A999=A990)))</f>
        <v>0</v>
      </c>
      <c r="G990" s="1024">
        <f>IF(F990&lt;&gt;0,SUM($F$43:F990),0)</f>
        <v>0</v>
      </c>
      <c r="H990" s="1024" cm="1">
        <f t="array" ref="H990">IFERROR(IF(A990=A989,0,SUM(_xlfn._xlws.FILTER(E990:E999,(A990:A999=A990)*(E990:E999&gt;0)))),0)</f>
        <v>0</v>
      </c>
      <c r="I990" s="1024" cm="1">
        <f t="array" ref="I990">IFERROR(IF(A990=A989,0,SUM(_xlfn._xlws.FILTER(E990:E999,(A990:A999=A990)*(F990&lt;0)))),0)</f>
        <v>0</v>
      </c>
      <c r="J990" s="293" t="str">
        <f ca="1">IFERROR(_xlfn.XLOOKUP(B990,TabCalc[Ticker],TabCalc[Cur]),"")</f>
        <v/>
      </c>
      <c r="K990" s="1023" cm="1">
        <f t="array" ref="K990">IFERROR(IF($A990=$A989,0,SUM(_xlfn._xlws.FILTER($E990:$E1000,($A990:$A1000=$A990)*($J990:$J1000=K$42)))),0)</f>
        <v>0</v>
      </c>
      <c r="L990" s="1023" cm="1">
        <f t="array" ref="L990">IFERROR(IF($A990=$A989,0,SUM(_xlfn._xlws.FILTER($E990:$E1000,($A990:$A1000=$A990)*($J990:$J1000=L$42)))),0)</f>
        <v>0</v>
      </c>
      <c r="M990" s="1023" cm="1">
        <f t="array" ref="M990">IFERROR(IF($A990=$A989,0,SUM(_xlfn._xlws.FILTER($E990:$E1000,($A990:$A1000=$A990)*($J990:$J1000=M$42)))),0)</f>
        <v>0</v>
      </c>
      <c r="N990" s="1023" cm="1">
        <f t="array" ref="N990">IFERROR(IF($A990=$A989,0,SUM(_xlfn._xlws.FILTER($E990:$E1000,($A990:$A1000=$A990)*($J990:$J1000=N$42)))),0)</f>
        <v>0</v>
      </c>
    </row>
    <row r="991" spans="5:14" x14ac:dyDescent="0.3">
      <c r="E991" s="1022">
        <f ca="1">IFERROR(C991*D991*_xlfn.XLOOKUP(B991,TabCalc[Ticker],TabCalc[Scale]),0)</f>
        <v>0</v>
      </c>
      <c r="F991" s="1023" cm="1">
        <f t="array" ref="F991">IF(A991=A990,0,SUM(_xlfn._xlws.FILTER(E991:E1000,A991:A1000=A991)))</f>
        <v>0</v>
      </c>
      <c r="G991" s="1024">
        <f>IF(F991&lt;&gt;0,SUM($F$43:F991),0)</f>
        <v>0</v>
      </c>
      <c r="H991" s="1024" cm="1">
        <f t="array" ref="H991">IFERROR(IF(A991=A990,0,SUM(_xlfn._xlws.FILTER(E991:E1000,(A991:A1000=A991)*(E991:E1000&gt;0)))),0)</f>
        <v>0</v>
      </c>
      <c r="I991" s="1024" cm="1">
        <f t="array" ref="I991">IFERROR(IF(A991=A990,0,SUM(_xlfn._xlws.FILTER(E991:E1000,(A991:A1000=A991)*(F991&lt;0)))),0)</f>
        <v>0</v>
      </c>
      <c r="J991" s="293" t="str">
        <f ca="1">IFERROR(_xlfn.XLOOKUP(B991,TabCalc[Ticker],TabCalc[Cur]),"")</f>
        <v/>
      </c>
      <c r="K991" s="1023" cm="1">
        <f t="array" ref="K991">IFERROR(IF($A991=$A990,0,SUM(_xlfn._xlws.FILTER($E991:$E1001,($A991:$A1001=$A991)*($J991:$J1001=K$42)))),0)</f>
        <v>0</v>
      </c>
      <c r="L991" s="1023" cm="1">
        <f t="array" ref="L991">IFERROR(IF($A991=$A990,0,SUM(_xlfn._xlws.FILTER($E991:$E1001,($A991:$A1001=$A991)*($J991:$J1001=L$42)))),0)</f>
        <v>0</v>
      </c>
      <c r="M991" s="1023" cm="1">
        <f t="array" ref="M991">IFERROR(IF($A991=$A990,0,SUM(_xlfn._xlws.FILTER($E991:$E1001,($A991:$A1001=$A991)*($J991:$J1001=M$42)))),0)</f>
        <v>0</v>
      </c>
      <c r="N991" s="1023" cm="1">
        <f t="array" ref="N991">IFERROR(IF($A991=$A990,0,SUM(_xlfn._xlws.FILTER($E991:$E1001,($A991:$A1001=$A991)*($J991:$J1001=N$42)))),0)</f>
        <v>0</v>
      </c>
    </row>
    <row r="992" spans="5:14" x14ac:dyDescent="0.3">
      <c r="E992" s="1022">
        <f ca="1">IFERROR(C992*D992*_xlfn.XLOOKUP(B992,TabCalc[Ticker],TabCalc[Scale]),0)</f>
        <v>0</v>
      </c>
      <c r="F992" s="1023" cm="1">
        <f t="array" ref="F992">IF(A992=A991,0,SUM(_xlfn._xlws.FILTER(E992:E1001,A992:A1001=A992)))</f>
        <v>0</v>
      </c>
      <c r="G992" s="1024">
        <f>IF(F992&lt;&gt;0,SUM($F$43:F992),0)</f>
        <v>0</v>
      </c>
      <c r="H992" s="1024" cm="1">
        <f t="array" ref="H992">IFERROR(IF(A992=A991,0,SUM(_xlfn._xlws.FILTER(E992:E1001,(A992:A1001=A992)*(E992:E1001&gt;0)))),0)</f>
        <v>0</v>
      </c>
      <c r="I992" s="1024" cm="1">
        <f t="array" ref="I992">IFERROR(IF(A992=A991,0,SUM(_xlfn._xlws.FILTER(E992:E1001,(A992:A1001=A992)*(F992&lt;0)))),0)</f>
        <v>0</v>
      </c>
      <c r="J992" s="293" t="str">
        <f ca="1">IFERROR(_xlfn.XLOOKUP(B992,TabCalc[Ticker],TabCalc[Cur]),"")</f>
        <v/>
      </c>
      <c r="K992" s="1023" cm="1">
        <f t="array" ref="K992">IFERROR(IF($A992=$A991,0,SUM(_xlfn._xlws.FILTER($E992:$E1002,($A992:$A1002=$A992)*($J992:$J1002=K$42)))),0)</f>
        <v>0</v>
      </c>
      <c r="L992" s="1023" cm="1">
        <f t="array" ref="L992">IFERROR(IF($A992=$A991,0,SUM(_xlfn._xlws.FILTER($E992:$E1002,($A992:$A1002=$A992)*($J992:$J1002=L$42)))),0)</f>
        <v>0</v>
      </c>
      <c r="M992" s="1023" cm="1">
        <f t="array" ref="M992">IFERROR(IF($A992=$A991,0,SUM(_xlfn._xlws.FILTER($E992:$E1002,($A992:$A1002=$A992)*($J992:$J1002=M$42)))),0)</f>
        <v>0</v>
      </c>
      <c r="N992" s="1023" cm="1">
        <f t="array" ref="N992">IFERROR(IF($A992=$A991,0,SUM(_xlfn._xlws.FILTER($E992:$E1002,($A992:$A1002=$A992)*($J992:$J1002=N$42)))),0)</f>
        <v>0</v>
      </c>
    </row>
    <row r="993" spans="5:14" x14ac:dyDescent="0.3">
      <c r="E993" s="1022">
        <f ca="1">IFERROR(C993*D993*_xlfn.XLOOKUP(B993,TabCalc[Ticker],TabCalc[Scale]),0)</f>
        <v>0</v>
      </c>
      <c r="F993" s="1023" cm="1">
        <f t="array" ref="F993">IF(A993=A992,0,SUM(_xlfn._xlws.FILTER(E993:E1002,A993:A1002=A993)))</f>
        <v>0</v>
      </c>
      <c r="G993" s="1024">
        <f>IF(F993&lt;&gt;0,SUM($F$43:F993),0)</f>
        <v>0</v>
      </c>
      <c r="H993" s="1024" cm="1">
        <f t="array" ref="H993">IFERROR(IF(A993=A992,0,SUM(_xlfn._xlws.FILTER(E993:E1002,(A993:A1002=A993)*(E993:E1002&gt;0)))),0)</f>
        <v>0</v>
      </c>
      <c r="I993" s="1024" cm="1">
        <f t="array" ref="I993">IFERROR(IF(A993=A992,0,SUM(_xlfn._xlws.FILTER(E993:E1002,(A993:A1002=A993)*(F993&lt;0)))),0)</f>
        <v>0</v>
      </c>
      <c r="J993" s="293" t="str">
        <f ca="1">IFERROR(_xlfn.XLOOKUP(B993,TabCalc[Ticker],TabCalc[Cur]),"")</f>
        <v/>
      </c>
      <c r="K993" s="1023" cm="1">
        <f t="array" ref="K993">IFERROR(IF($A993=$A992,0,SUM(_xlfn._xlws.FILTER($E993:$E1003,($A993:$A1003=$A993)*($J993:$J1003=K$42)))),0)</f>
        <v>0</v>
      </c>
      <c r="L993" s="1023" cm="1">
        <f t="array" ref="L993">IFERROR(IF($A993=$A992,0,SUM(_xlfn._xlws.FILTER($E993:$E1003,($A993:$A1003=$A993)*($J993:$J1003=L$42)))),0)</f>
        <v>0</v>
      </c>
      <c r="M993" s="1023" cm="1">
        <f t="array" ref="M993">IFERROR(IF($A993=$A992,0,SUM(_xlfn._xlws.FILTER($E993:$E1003,($A993:$A1003=$A993)*($J993:$J1003=M$42)))),0)</f>
        <v>0</v>
      </c>
      <c r="N993" s="1023" cm="1">
        <f t="array" ref="N993">IFERROR(IF($A993=$A992,0,SUM(_xlfn._xlws.FILTER($E993:$E1003,($A993:$A1003=$A993)*($J993:$J1003=N$42)))),0)</f>
        <v>0</v>
      </c>
    </row>
    <row r="994" spans="5:14" x14ac:dyDescent="0.3">
      <c r="E994" s="1022">
        <f ca="1">IFERROR(C994*D994*_xlfn.XLOOKUP(B994,TabCalc[Ticker],TabCalc[Scale]),0)</f>
        <v>0</v>
      </c>
      <c r="F994" s="1023" cm="1">
        <f t="array" ref="F994">IF(A994=A993,0,SUM(_xlfn._xlws.FILTER(E994:E1003,A994:A1003=A994)))</f>
        <v>0</v>
      </c>
      <c r="G994" s="1024">
        <f>IF(F994&lt;&gt;0,SUM($F$43:F994),0)</f>
        <v>0</v>
      </c>
      <c r="H994" s="1024" cm="1">
        <f t="array" ref="H994">IFERROR(IF(A994=A993,0,SUM(_xlfn._xlws.FILTER(E994:E1003,(A994:A1003=A994)*(E994:E1003&gt;0)))),0)</f>
        <v>0</v>
      </c>
      <c r="I994" s="1024" cm="1">
        <f t="array" ref="I994">IFERROR(IF(A994=A993,0,SUM(_xlfn._xlws.FILTER(E994:E1003,(A994:A1003=A994)*(F994&lt;0)))),0)</f>
        <v>0</v>
      </c>
      <c r="J994" s="293" t="str">
        <f ca="1">IFERROR(_xlfn.XLOOKUP(B994,TabCalc[Ticker],TabCalc[Cur]),"")</f>
        <v/>
      </c>
      <c r="K994" s="1023" cm="1">
        <f t="array" ref="K994">IFERROR(IF($A994=$A993,0,SUM(_xlfn._xlws.FILTER($E994:$E1004,($A994:$A1004=$A994)*($J994:$J1004=K$42)))),0)</f>
        <v>0</v>
      </c>
      <c r="L994" s="1023" cm="1">
        <f t="array" ref="L994">IFERROR(IF($A994=$A993,0,SUM(_xlfn._xlws.FILTER($E994:$E1004,($A994:$A1004=$A994)*($J994:$J1004=L$42)))),0)</f>
        <v>0</v>
      </c>
      <c r="M994" s="1023" cm="1">
        <f t="array" ref="M994">IFERROR(IF($A994=$A993,0,SUM(_xlfn._xlws.FILTER($E994:$E1004,($A994:$A1004=$A994)*($J994:$J1004=M$42)))),0)</f>
        <v>0</v>
      </c>
      <c r="N994" s="1023" cm="1">
        <f t="array" ref="N994">IFERROR(IF($A994=$A993,0,SUM(_xlfn._xlws.FILTER($E994:$E1004,($A994:$A1004=$A994)*($J994:$J1004=N$42)))),0)</f>
        <v>0</v>
      </c>
    </row>
    <row r="995" spans="5:14" x14ac:dyDescent="0.3">
      <c r="E995" s="1022">
        <f ca="1">IFERROR(C995*D995*_xlfn.XLOOKUP(B995,TabCalc[Ticker],TabCalc[Scale]),0)</f>
        <v>0</v>
      </c>
      <c r="F995" s="1023" cm="1">
        <f t="array" ref="F995">IF(A995=A994,0,SUM(_xlfn._xlws.FILTER(E995:E1004,A995:A1004=A995)))</f>
        <v>0</v>
      </c>
      <c r="G995" s="1024">
        <f>IF(F995&lt;&gt;0,SUM($F$43:F995),0)</f>
        <v>0</v>
      </c>
      <c r="H995" s="1024" cm="1">
        <f t="array" ref="H995">IFERROR(IF(A995=A994,0,SUM(_xlfn._xlws.FILTER(E995:E1004,(A995:A1004=A995)*(E995:E1004&gt;0)))),0)</f>
        <v>0</v>
      </c>
      <c r="I995" s="1024" cm="1">
        <f t="array" ref="I995">IFERROR(IF(A995=A994,0,SUM(_xlfn._xlws.FILTER(E995:E1004,(A995:A1004=A995)*(F995&lt;0)))),0)</f>
        <v>0</v>
      </c>
      <c r="J995" s="293" t="str">
        <f ca="1">IFERROR(_xlfn.XLOOKUP(B995,TabCalc[Ticker],TabCalc[Cur]),"")</f>
        <v/>
      </c>
      <c r="K995" s="1023" cm="1">
        <f t="array" ref="K995">IFERROR(IF($A995=$A994,0,SUM(_xlfn._xlws.FILTER($E995:$E1005,($A995:$A1005=$A995)*($J995:$J1005=K$42)))),0)</f>
        <v>0</v>
      </c>
      <c r="L995" s="1023" cm="1">
        <f t="array" ref="L995">IFERROR(IF($A995=$A994,0,SUM(_xlfn._xlws.FILTER($E995:$E1005,($A995:$A1005=$A995)*($J995:$J1005=L$42)))),0)</f>
        <v>0</v>
      </c>
      <c r="M995" s="1023" cm="1">
        <f t="array" ref="M995">IFERROR(IF($A995=$A994,0,SUM(_xlfn._xlws.FILTER($E995:$E1005,($A995:$A1005=$A995)*($J995:$J1005=M$42)))),0)</f>
        <v>0</v>
      </c>
      <c r="N995" s="1023" cm="1">
        <f t="array" ref="N995">IFERROR(IF($A995=$A994,0,SUM(_xlfn._xlws.FILTER($E995:$E1005,($A995:$A1005=$A995)*($J995:$J1005=N$42)))),0)</f>
        <v>0</v>
      </c>
    </row>
    <row r="996" spans="5:14" x14ac:dyDescent="0.3">
      <c r="E996" s="1022">
        <f ca="1">IFERROR(C996*D996*_xlfn.XLOOKUP(B996,TabCalc[Ticker],TabCalc[Scale]),0)</f>
        <v>0</v>
      </c>
      <c r="F996" s="1023" cm="1">
        <f t="array" ref="F996">IF(A996=A995,0,SUM(_xlfn._xlws.FILTER(E996:E1005,A996:A1005=A996)))</f>
        <v>0</v>
      </c>
      <c r="G996" s="1024">
        <f>IF(F996&lt;&gt;0,SUM($F$43:F996),0)</f>
        <v>0</v>
      </c>
      <c r="H996" s="1024" cm="1">
        <f t="array" ref="H996">IFERROR(IF(A996=A995,0,SUM(_xlfn._xlws.FILTER(E996:E1005,(A996:A1005=A996)*(E996:E1005&gt;0)))),0)</f>
        <v>0</v>
      </c>
      <c r="I996" s="1024" cm="1">
        <f t="array" ref="I996">IFERROR(IF(A996=A995,0,SUM(_xlfn._xlws.FILTER(E996:E1005,(A996:A1005=A996)*(F996&lt;0)))),0)</f>
        <v>0</v>
      </c>
      <c r="J996" s="293" t="str">
        <f ca="1">IFERROR(_xlfn.XLOOKUP(B996,TabCalc[Ticker],TabCalc[Cur]),"")</f>
        <v/>
      </c>
      <c r="K996" s="1023" cm="1">
        <f t="array" ref="K996">IFERROR(IF($A996=$A995,0,SUM(_xlfn._xlws.FILTER($E996:$E1006,($A996:$A1006=$A996)*($J996:$J1006=K$42)))),0)</f>
        <v>0</v>
      </c>
      <c r="L996" s="1023" cm="1">
        <f t="array" ref="L996">IFERROR(IF($A996=$A995,0,SUM(_xlfn._xlws.FILTER($E996:$E1006,($A996:$A1006=$A996)*($J996:$J1006=L$42)))),0)</f>
        <v>0</v>
      </c>
      <c r="M996" s="1023" cm="1">
        <f t="array" ref="M996">IFERROR(IF($A996=$A995,0,SUM(_xlfn._xlws.FILTER($E996:$E1006,($A996:$A1006=$A996)*($J996:$J1006=M$42)))),0)</f>
        <v>0</v>
      </c>
      <c r="N996" s="1023" cm="1">
        <f t="array" ref="N996">IFERROR(IF($A996=$A995,0,SUM(_xlfn._xlws.FILTER($E996:$E1006,($A996:$A1006=$A996)*($J996:$J1006=N$42)))),0)</f>
        <v>0</v>
      </c>
    </row>
    <row r="997" spans="5:14" x14ac:dyDescent="0.3">
      <c r="E997" s="1022">
        <f ca="1">IFERROR(C997*D997*_xlfn.XLOOKUP(B997,TabCalc[Ticker],TabCalc[Scale]),0)</f>
        <v>0</v>
      </c>
      <c r="F997" s="1023" cm="1">
        <f t="array" ref="F997">IF(A997=A996,0,SUM(_xlfn._xlws.FILTER(E997:E1006,A997:A1006=A997)))</f>
        <v>0</v>
      </c>
      <c r="G997" s="1024">
        <f>IF(F997&lt;&gt;0,SUM($F$43:F997),0)</f>
        <v>0</v>
      </c>
      <c r="H997" s="1024" cm="1">
        <f t="array" ref="H997">IFERROR(IF(A997=A996,0,SUM(_xlfn._xlws.FILTER(E997:E1006,(A997:A1006=A997)*(E997:E1006&gt;0)))),0)</f>
        <v>0</v>
      </c>
      <c r="I997" s="1024" cm="1">
        <f t="array" ref="I997">IFERROR(IF(A997=A996,0,SUM(_xlfn._xlws.FILTER(E997:E1006,(A997:A1006=A997)*(F997&lt;0)))),0)</f>
        <v>0</v>
      </c>
      <c r="J997" s="293" t="str">
        <f ca="1">IFERROR(_xlfn.XLOOKUP(B997,TabCalc[Ticker],TabCalc[Cur]),"")</f>
        <v/>
      </c>
      <c r="K997" s="1023" cm="1">
        <f t="array" ref="K997">IFERROR(IF($A997=$A996,0,SUM(_xlfn._xlws.FILTER($E997:$E1007,($A997:$A1007=$A997)*($J997:$J1007=K$42)))),0)</f>
        <v>0</v>
      </c>
      <c r="L997" s="1023" cm="1">
        <f t="array" ref="L997">IFERROR(IF($A997=$A996,0,SUM(_xlfn._xlws.FILTER($E997:$E1007,($A997:$A1007=$A997)*($J997:$J1007=L$42)))),0)</f>
        <v>0</v>
      </c>
      <c r="M997" s="1023" cm="1">
        <f t="array" ref="M997">IFERROR(IF($A997=$A996,0,SUM(_xlfn._xlws.FILTER($E997:$E1007,($A997:$A1007=$A997)*($J997:$J1007=M$42)))),0)</f>
        <v>0</v>
      </c>
      <c r="N997" s="1023" cm="1">
        <f t="array" ref="N997">IFERROR(IF($A997=$A996,0,SUM(_xlfn._xlws.FILTER($E997:$E1007,($A997:$A1007=$A997)*($J997:$J1007=N$42)))),0)</f>
        <v>0</v>
      </c>
    </row>
    <row r="998" spans="5:14" x14ac:dyDescent="0.3">
      <c r="E998" s="1022">
        <f ca="1">IFERROR(C998*D998*_xlfn.XLOOKUP(B998,TabCalc[Ticker],TabCalc[Scale]),0)</f>
        <v>0</v>
      </c>
      <c r="F998" s="1023" cm="1">
        <f t="array" ref="F998">IF(A998=A997,0,SUM(_xlfn._xlws.FILTER(E998:E1007,A998:A1007=A998)))</f>
        <v>0</v>
      </c>
      <c r="G998" s="1024">
        <f>IF(F998&lt;&gt;0,SUM($F$43:F998),0)</f>
        <v>0</v>
      </c>
      <c r="H998" s="1024" cm="1">
        <f t="array" ref="H998">IFERROR(IF(A998=A997,0,SUM(_xlfn._xlws.FILTER(E998:E1007,(A998:A1007=A998)*(E998:E1007&gt;0)))),0)</f>
        <v>0</v>
      </c>
      <c r="I998" s="1024" cm="1">
        <f t="array" ref="I998">IFERROR(IF(A998=A997,0,SUM(_xlfn._xlws.FILTER(E998:E1007,(A998:A1007=A998)*(F998&lt;0)))),0)</f>
        <v>0</v>
      </c>
      <c r="J998" s="293" t="str">
        <f ca="1">IFERROR(_xlfn.XLOOKUP(B998,TabCalc[Ticker],TabCalc[Cur]),"")</f>
        <v/>
      </c>
      <c r="K998" s="1023" cm="1">
        <f t="array" ref="K998">IFERROR(IF($A998=$A997,0,SUM(_xlfn._xlws.FILTER($E998:$E1008,($A998:$A1008=$A998)*($J998:$J1008=K$42)))),0)</f>
        <v>0</v>
      </c>
      <c r="L998" s="1023" cm="1">
        <f t="array" ref="L998">IFERROR(IF($A998=$A997,0,SUM(_xlfn._xlws.FILTER($E998:$E1008,($A998:$A1008=$A998)*($J998:$J1008=L$42)))),0)</f>
        <v>0</v>
      </c>
      <c r="M998" s="1023" cm="1">
        <f t="array" ref="M998">IFERROR(IF($A998=$A997,0,SUM(_xlfn._xlws.FILTER($E998:$E1008,($A998:$A1008=$A998)*($J998:$J1008=M$42)))),0)</f>
        <v>0</v>
      </c>
      <c r="N998" s="1023" cm="1">
        <f t="array" ref="N998">IFERROR(IF($A998=$A997,0,SUM(_xlfn._xlws.FILTER($E998:$E1008,($A998:$A1008=$A998)*($J998:$J1008=N$42)))),0)</f>
        <v>0</v>
      </c>
    </row>
    <row r="999" spans="5:14" x14ac:dyDescent="0.3">
      <c r="E999" s="1022">
        <f ca="1">IFERROR(C999*D999*_xlfn.XLOOKUP(B999,TabCalc[Ticker],TabCalc[Scale]),0)</f>
        <v>0</v>
      </c>
      <c r="F999" s="1023" cm="1">
        <f t="array" ref="F999">IF(A999=A998,0,SUM(_xlfn._xlws.FILTER(E999:E1008,A999:A1008=A999)))</f>
        <v>0</v>
      </c>
      <c r="G999" s="1024">
        <f>IF(F999&lt;&gt;0,SUM($F$43:F999),0)</f>
        <v>0</v>
      </c>
      <c r="H999" s="1024" cm="1">
        <f t="array" ref="H999">IFERROR(IF(A999=A998,0,SUM(_xlfn._xlws.FILTER(E999:E1008,(A999:A1008=A999)*(E999:E1008&gt;0)))),0)</f>
        <v>0</v>
      </c>
      <c r="I999" s="1024" cm="1">
        <f t="array" ref="I999">IFERROR(IF(A999=A998,0,SUM(_xlfn._xlws.FILTER(E999:E1008,(A999:A1008=A999)*(F999&lt;0)))),0)</f>
        <v>0</v>
      </c>
      <c r="J999" s="293" t="str">
        <f ca="1">IFERROR(_xlfn.XLOOKUP(B999,TabCalc[Ticker],TabCalc[Cur]),"")</f>
        <v/>
      </c>
      <c r="K999" s="1023" cm="1">
        <f t="array" ref="K999">IFERROR(IF($A999=$A998,0,SUM(_xlfn._xlws.FILTER($E999:$E1009,($A999:$A1009=$A999)*($J999:$J1009=K$42)))),0)</f>
        <v>0</v>
      </c>
      <c r="L999" s="1023" cm="1">
        <f t="array" ref="L999">IFERROR(IF($A999=$A998,0,SUM(_xlfn._xlws.FILTER($E999:$E1009,($A999:$A1009=$A999)*($J999:$J1009=L$42)))),0)</f>
        <v>0</v>
      </c>
      <c r="M999" s="1023" cm="1">
        <f t="array" ref="M999">IFERROR(IF($A999=$A998,0,SUM(_xlfn._xlws.FILTER($E999:$E1009,($A999:$A1009=$A999)*($J999:$J1009=M$42)))),0)</f>
        <v>0</v>
      </c>
      <c r="N999" s="1023"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V4" activePane="bottomRight" state="frozen"/>
      <selection activeCell="Z112" sqref="Z112"/>
      <selection pane="topRight" activeCell="Z112" sqref="Z112"/>
      <selection pane="bottomLeft" activeCell="Z112" sqref="Z112"/>
      <selection pane="bottomRight" activeCell="DB4" sqref="DB4:DB2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63">
        <v>40544</v>
      </c>
      <c r="C4" s="1364">
        <v>5000</v>
      </c>
      <c r="D4" s="1365">
        <v>-107.46</v>
      </c>
      <c r="E4" s="1363">
        <v>40544</v>
      </c>
      <c r="F4" s="1364">
        <v>9000</v>
      </c>
      <c r="G4" s="1365">
        <v>-9.8365559999999999</v>
      </c>
      <c r="H4" s="1363">
        <v>40544</v>
      </c>
      <c r="I4" s="1364">
        <v>400000</v>
      </c>
      <c r="J4" s="1365">
        <v>-40.441576750000003</v>
      </c>
      <c r="K4" s="1363">
        <v>40544</v>
      </c>
      <c r="L4" s="1364">
        <v>8000</v>
      </c>
      <c r="M4" s="1365">
        <v>-132.55000000000001</v>
      </c>
      <c r="N4" s="1363">
        <v>40544</v>
      </c>
      <c r="O4" s="1364">
        <v>2448050</v>
      </c>
      <c r="P4" s="1365">
        <v>-1.1677472432195899</v>
      </c>
      <c r="Q4" s="137">
        <v>45443</v>
      </c>
      <c r="R4" s="122">
        <v>500</v>
      </c>
      <c r="S4" s="162">
        <v>-896.1</v>
      </c>
      <c r="T4" s="1363">
        <v>40544</v>
      </c>
      <c r="U4" s="1364">
        <v>190</v>
      </c>
      <c r="V4" s="1365">
        <v>-109.65132</v>
      </c>
      <c r="W4" s="1363">
        <v>40544</v>
      </c>
      <c r="X4" s="1364">
        <v>5000</v>
      </c>
      <c r="Y4" s="1365">
        <v>-54.11</v>
      </c>
      <c r="Z4" s="1363">
        <v>40544</v>
      </c>
      <c r="AA4" s="1364">
        <v>10000</v>
      </c>
      <c r="AB4" s="1365">
        <v>-2.69</v>
      </c>
      <c r="AC4" s="1363">
        <v>40544</v>
      </c>
      <c r="AD4" s="1364">
        <v>12500</v>
      </c>
      <c r="AE4" s="1365">
        <v>-12.7196</v>
      </c>
      <c r="AF4" s="1363">
        <v>40544</v>
      </c>
      <c r="AG4" s="1364">
        <v>100</v>
      </c>
      <c r="AH4" s="1365">
        <v>-49.07</v>
      </c>
      <c r="AI4" s="1363">
        <v>40544</v>
      </c>
      <c r="AJ4" s="1364">
        <v>5000</v>
      </c>
      <c r="AK4" s="1365">
        <v>-39.770000000000003</v>
      </c>
      <c r="AL4" s="1363">
        <v>40544</v>
      </c>
      <c r="AM4" s="1364">
        <v>2000</v>
      </c>
      <c r="AN4" s="1365">
        <v>-108.31</v>
      </c>
      <c r="AO4" s="1363">
        <v>40544</v>
      </c>
      <c r="AP4" s="1364">
        <v>40000</v>
      </c>
      <c r="AQ4" s="1365">
        <v>-10.359875000000001</v>
      </c>
      <c r="AR4" s="1363">
        <v>40544</v>
      </c>
      <c r="AS4" s="1364">
        <v>350</v>
      </c>
      <c r="AT4" s="1365">
        <v>-170.71425714285715</v>
      </c>
      <c r="AU4" s="1363">
        <v>40544</v>
      </c>
      <c r="AV4" s="1364">
        <v>250</v>
      </c>
      <c r="AW4" s="1365">
        <v>-1</v>
      </c>
      <c r="AX4" s="1363">
        <v>40544</v>
      </c>
      <c r="AY4" s="1364">
        <v>1000</v>
      </c>
      <c r="AZ4" s="1365">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438">
        <v>40000</v>
      </c>
      <c r="CS4" s="1445">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52">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-38.729999999999997</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440">
        <v>3000</v>
      </c>
      <c r="CS5" s="1446">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53">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440">
        <v>3000</v>
      </c>
      <c r="CS6" s="1445">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441">
        <v>10000</v>
      </c>
      <c r="CS7" s="1446">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438">
        <v>15000</v>
      </c>
      <c r="CS8" s="1445">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81"/>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440">
        <v>5000</v>
      </c>
      <c r="CS9" s="1446">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81"/>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440">
        <v>5000</v>
      </c>
      <c r="CS10" s="1445">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81"/>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441">
        <v>5000</v>
      </c>
      <c r="CS11" s="1446">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81"/>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440">
        <v>5000</v>
      </c>
      <c r="CS12" s="1445">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81"/>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440">
        <v>5000</v>
      </c>
      <c r="CS13" s="1446">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81"/>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442">
        <v>2000</v>
      </c>
      <c r="CS14" s="1445">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81"/>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443">
        <v>2000</v>
      </c>
      <c r="CS15" s="1446">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81"/>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444">
        <v>2000</v>
      </c>
      <c r="CS16" s="1445">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81"/>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440">
        <v>2000</v>
      </c>
      <c r="CS17" s="1446">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81"/>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438">
        <v>2000</v>
      </c>
      <c r="CS18" s="1445">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81"/>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577">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441">
        <v>2000</v>
      </c>
      <c r="CS19" s="1446">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81"/>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438">
        <v>2000</v>
      </c>
      <c r="CS20" s="1445">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81"/>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441">
        <v>2000</v>
      </c>
      <c r="CS21" s="1446">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438">
        <v>4000</v>
      </c>
      <c r="CS22" s="1445">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441">
        <v>2000</v>
      </c>
      <c r="CS23" s="1446">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438">
        <v>1000</v>
      </c>
      <c r="CS24" s="1445">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441">
        <v>1000</v>
      </c>
      <c r="CS25" s="1446">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438">
        <v>1000</v>
      </c>
      <c r="CS26" s="1445">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897">
        <v>45713</v>
      </c>
      <c r="R27" s="122">
        <v>100</v>
      </c>
      <c r="S27" s="162">
        <v>-706.6</v>
      </c>
      <c r="T27" s="16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441">
        <v>13000</v>
      </c>
      <c r="CS27" s="1446">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897">
        <v>45713</v>
      </c>
      <c r="R28" s="122">
        <v>300</v>
      </c>
      <c r="S28" s="162">
        <v>-690.9</v>
      </c>
      <c r="T28" s="16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438">
        <v>5000</v>
      </c>
      <c r="CS28" s="1445">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897">
        <v>45726</v>
      </c>
      <c r="R29" s="122">
        <v>300</v>
      </c>
      <c r="S29" s="162">
        <v>-632.79999999999995</v>
      </c>
      <c r="T29" s="16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441">
        <v>5000</v>
      </c>
      <c r="CS29" s="1446">
        <v>-109.68800000000002</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897">
        <v>45735</v>
      </c>
      <c r="R30" s="122">
        <v>300</v>
      </c>
      <c r="S30" s="162">
        <v>667.6</v>
      </c>
      <c r="T30" s="16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897">
        <v>45743</v>
      </c>
      <c r="R31" s="122">
        <v>300</v>
      </c>
      <c r="S31" s="162">
        <v>-647.29999999999995</v>
      </c>
      <c r="T31" s="16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897">
        <v>45749</v>
      </c>
      <c r="R32" s="122">
        <v>200</v>
      </c>
      <c r="S32" s="162">
        <v>-603.79999999999995</v>
      </c>
      <c r="T32" s="16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897">
        <v>45833</v>
      </c>
      <c r="R33" s="122">
        <v>200</v>
      </c>
      <c r="S33" s="162">
        <v>-695.5</v>
      </c>
      <c r="T33" s="16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897">
        <v>45856</v>
      </c>
      <c r="R34" s="122">
        <v>100</v>
      </c>
      <c r="S34" s="162">
        <v>-632.95000000000005</v>
      </c>
      <c r="T34" s="16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897">
        <v>45856</v>
      </c>
      <c r="R35" s="122">
        <v>200</v>
      </c>
      <c r="S35" s="162">
        <v>-645.5</v>
      </c>
      <c r="T35" s="16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897">
        <v>45860</v>
      </c>
      <c r="R36" s="122">
        <v>300</v>
      </c>
      <c r="S36" s="162">
        <v>-602.54999999999995</v>
      </c>
      <c r="T36" s="16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897">
        <v>45874</v>
      </c>
      <c r="R37" s="122">
        <v>500</v>
      </c>
      <c r="S37" s="162">
        <v>-599.29999999999995</v>
      </c>
      <c r="T37" s="16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897">
        <v>45888</v>
      </c>
      <c r="R38" s="122">
        <v>500</v>
      </c>
      <c r="S38" s="162">
        <v>636.70000000000005</v>
      </c>
      <c r="T38" s="16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897">
        <v>45895</v>
      </c>
      <c r="R39" s="122">
        <v>500</v>
      </c>
      <c r="S39" s="162">
        <v>646.20000000000005</v>
      </c>
      <c r="T39" s="16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74">
        <v>45925</v>
      </c>
      <c r="R49" s="122">
        <v>200</v>
      </c>
      <c r="S49" s="778">
        <v>-804.9</v>
      </c>
      <c r="T49" s="167"/>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74">
        <v>45932</v>
      </c>
      <c r="R50" s="122">
        <v>200</v>
      </c>
      <c r="S50" s="778">
        <v>880.6</v>
      </c>
      <c r="T50" s="167"/>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74">
        <v>45936</v>
      </c>
      <c r="R51" s="122">
        <v>100</v>
      </c>
      <c r="S51" s="778">
        <v>901.2</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74">
        <v>45940</v>
      </c>
      <c r="R52" s="122">
        <v>200</v>
      </c>
      <c r="S52" s="778">
        <v>-813.9</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74">
        <v>45946</v>
      </c>
      <c r="R53" s="122">
        <v>100</v>
      </c>
      <c r="S53" s="778">
        <v>893.2</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74">
        <v>45947</v>
      </c>
      <c r="R54" s="122">
        <v>100</v>
      </c>
      <c r="S54" s="778">
        <v>862.601</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74">
        <v>45954</v>
      </c>
      <c r="R55" s="122">
        <v>100</v>
      </c>
      <c r="S55" s="778">
        <v>894.75</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45973</v>
      </c>
      <c r="R57" s="122">
        <v>100</v>
      </c>
      <c r="S57" s="778">
        <v>886.7</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45973</v>
      </c>
      <c r="R58" s="122">
        <v>100</v>
      </c>
      <c r="S58" s="778">
        <v>886.7</v>
      </c>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v>45975</v>
      </c>
      <c r="R59" s="122">
        <v>100</v>
      </c>
      <c r="S59" s="778">
        <v>-886.7</v>
      </c>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56</v>
      </c>
      <c r="R72" s="154">
        <f>COUNT(TabReg[ASML1])</f>
        <v>56</v>
      </c>
      <c r="S72" s="154">
        <f>COUNT(TabReg[ASML2])</f>
        <v>56</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51</v>
      </c>
      <c r="BT72" s="154">
        <f>COUNT(TabReg[IAG1])</f>
        <v>51</v>
      </c>
      <c r="BU72" s="154">
        <f>COUNT(TabReg[IAG2])</f>
        <v>51</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45975</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45975</v>
      </c>
      <c r="R74" s="562">
        <f>SUMIF(INDEX(TabReg[], 0, COLUMN()+1),"&lt;0", INDEX(TabReg[], 0, COLUMN()))-SUMIF(INDEX(TabReg[], 0, COLUMN()+1),"&gt;0", INDEX(TabReg[], 0, COLUMN()))</f>
        <v>3500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45974</v>
      </c>
      <c r="BT74" s="562">
        <f>SUMIF(INDEX(TabReg[], 0, COLUMN()+1),"&lt;0", INDEX(TabReg[], 0, COLUMN()))-SUMIF(INDEX(TabReg[], 0, COLUMN()+1),"&gt;0", INDEX(TabReg[], 0, COLUMN()))</f>
        <v>100000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6100</v>
      </c>
    </row>
    <row r="78" spans="1:301" x14ac:dyDescent="0.3">
      <c r="R78">
        <f>SUMIF(TabReg[ASML2],"&lt;0",TabReg[ASML1])</f>
        <v>9600</v>
      </c>
    </row>
    <row r="79" spans="1:301" x14ac:dyDescent="0.3">
      <c r="CQ79" s="138">
        <v>40544</v>
      </c>
      <c r="CR79" s="996">
        <v>4000</v>
      </c>
      <c r="CS79" s="991">
        <v>-393.15</v>
      </c>
      <c r="CU79" s="88">
        <f>CQ79</f>
        <v>40544</v>
      </c>
      <c r="CV79" s="1437">
        <f>10*CR79</f>
        <v>40000</v>
      </c>
      <c r="CW79">
        <f>CS79/10</f>
        <v>-39.314999999999998</v>
      </c>
    </row>
    <row r="80" spans="1:301" x14ac:dyDescent="0.3">
      <c r="CQ80" s="137">
        <v>45357</v>
      </c>
      <c r="CR80" s="552">
        <v>300</v>
      </c>
      <c r="CS80" s="162">
        <v>-601.39</v>
      </c>
      <c r="CU80" s="88">
        <f t="shared" ref="CU80:CU104" si="0">CQ80</f>
        <v>45357</v>
      </c>
      <c r="CV80" s="1437">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1">
        <v>612.22</v>
      </c>
      <c r="CU81" s="88">
        <f t="shared" si="0"/>
        <v>45365</v>
      </c>
      <c r="CV81" s="1437">
        <f t="shared" si="1"/>
        <v>3000</v>
      </c>
      <c r="CW81">
        <f t="shared" si="2"/>
        <v>61.222000000000001</v>
      </c>
    </row>
    <row r="82" spans="66:101" x14ac:dyDescent="0.3">
      <c r="BN82">
        <v>2</v>
      </c>
      <c r="CQ82" s="124">
        <v>45366</v>
      </c>
      <c r="CR82" s="122">
        <v>1000</v>
      </c>
      <c r="CS82" s="162">
        <v>608.69060000000002</v>
      </c>
      <c r="CU82" s="88">
        <f t="shared" si="0"/>
        <v>45366</v>
      </c>
      <c r="CV82" s="1437">
        <f t="shared" si="1"/>
        <v>10000</v>
      </c>
      <c r="CW82">
        <f t="shared" si="2"/>
        <v>60.869060000000005</v>
      </c>
    </row>
    <row r="83" spans="66:101" x14ac:dyDescent="0.3">
      <c r="BN83">
        <v>3</v>
      </c>
      <c r="CQ83" s="167">
        <v>45386</v>
      </c>
      <c r="CR83" s="996">
        <v>1500</v>
      </c>
      <c r="CS83" s="991">
        <v>618.70000000000005</v>
      </c>
      <c r="CU83" s="88">
        <f t="shared" si="0"/>
        <v>45386</v>
      </c>
      <c r="CV83" s="1437">
        <f t="shared" si="1"/>
        <v>15000</v>
      </c>
      <c r="CW83">
        <f t="shared" si="2"/>
        <v>61.870000000000005</v>
      </c>
    </row>
    <row r="84" spans="66:101" x14ac:dyDescent="0.3">
      <c r="BN84">
        <v>4</v>
      </c>
      <c r="CQ84" s="167">
        <v>45419</v>
      </c>
      <c r="CR84" s="552">
        <v>500</v>
      </c>
      <c r="CS84" s="162">
        <v>-601.75</v>
      </c>
      <c r="CU84" s="88">
        <f t="shared" si="0"/>
        <v>45419</v>
      </c>
      <c r="CV84" s="1437">
        <f t="shared" si="1"/>
        <v>5000</v>
      </c>
      <c r="CW84">
        <f t="shared" si="2"/>
        <v>-60.174999999999997</v>
      </c>
    </row>
    <row r="85" spans="66:101" x14ac:dyDescent="0.3">
      <c r="BN85">
        <v>5</v>
      </c>
      <c r="CQ85" s="167">
        <v>45447</v>
      </c>
      <c r="CR85" s="552">
        <v>500</v>
      </c>
      <c r="CS85" s="991">
        <v>627.82140000000004</v>
      </c>
      <c r="CU85" s="88">
        <f t="shared" si="0"/>
        <v>45447</v>
      </c>
      <c r="CV85" s="1437">
        <f t="shared" si="1"/>
        <v>5000</v>
      </c>
      <c r="CW85">
        <f t="shared" si="2"/>
        <v>62.782140000000005</v>
      </c>
    </row>
    <row r="86" spans="66:101" x14ac:dyDescent="0.3">
      <c r="CQ86" s="167">
        <v>45453</v>
      </c>
      <c r="CR86" s="122">
        <v>500</v>
      </c>
      <c r="CS86" s="162">
        <v>636.91930000000002</v>
      </c>
      <c r="CU86" s="88">
        <f t="shared" si="0"/>
        <v>45453</v>
      </c>
      <c r="CV86" s="1437">
        <f t="shared" si="1"/>
        <v>5000</v>
      </c>
      <c r="CW86">
        <f t="shared" si="2"/>
        <v>63.691929999999999</v>
      </c>
    </row>
    <row r="87" spans="66:101" x14ac:dyDescent="0.3">
      <c r="CQ87" s="167">
        <v>45474</v>
      </c>
      <c r="CR87" s="552">
        <v>500</v>
      </c>
      <c r="CS87" s="991">
        <v>670.21226000000001</v>
      </c>
      <c r="CU87" s="88">
        <f t="shared" si="0"/>
        <v>45474</v>
      </c>
      <c r="CV87" s="1437">
        <f t="shared" si="1"/>
        <v>5000</v>
      </c>
      <c r="CW87">
        <f t="shared" si="2"/>
        <v>67.021225999999999</v>
      </c>
    </row>
    <row r="88" spans="66:101" ht="23" thickBot="1" x14ac:dyDescent="0.35">
      <c r="CQ88" s="167">
        <v>45496</v>
      </c>
      <c r="CR88" s="552">
        <v>500</v>
      </c>
      <c r="CS88" s="162">
        <v>-642.58018000000004</v>
      </c>
      <c r="CU88" s="88">
        <f t="shared" si="0"/>
        <v>45496</v>
      </c>
      <c r="CV88" s="1437">
        <f t="shared" si="1"/>
        <v>5000</v>
      </c>
      <c r="CW88">
        <f t="shared" si="2"/>
        <v>-64.258018000000007</v>
      </c>
    </row>
    <row r="89" spans="66:101" x14ac:dyDescent="0.3">
      <c r="CQ89" s="167">
        <v>45581</v>
      </c>
      <c r="CR89" s="553">
        <v>200</v>
      </c>
      <c r="CS89" s="991">
        <v>-705.46</v>
      </c>
      <c r="CU89" s="88">
        <f t="shared" si="0"/>
        <v>45581</v>
      </c>
      <c r="CV89" s="1437">
        <f t="shared" si="1"/>
        <v>2000</v>
      </c>
      <c r="CW89">
        <f t="shared" si="2"/>
        <v>-70.546000000000006</v>
      </c>
    </row>
    <row r="90" spans="66:101" ht="23" thickBot="1" x14ac:dyDescent="0.35">
      <c r="CQ90" s="167">
        <v>45678</v>
      </c>
      <c r="CR90" s="554">
        <v>200</v>
      </c>
      <c r="CS90" s="162">
        <v>968.21</v>
      </c>
      <c r="CU90" s="88">
        <f t="shared" si="0"/>
        <v>45678</v>
      </c>
      <c r="CV90" s="1437">
        <f t="shared" si="1"/>
        <v>2000</v>
      </c>
      <c r="CW90">
        <f t="shared" si="2"/>
        <v>96.820999999999998</v>
      </c>
    </row>
    <row r="91" spans="66:101" x14ac:dyDescent="0.3">
      <c r="CQ91" s="167">
        <v>45679</v>
      </c>
      <c r="CR91" s="555">
        <v>200</v>
      </c>
      <c r="CS91" s="991">
        <v>-957.53</v>
      </c>
      <c r="CU91" s="88">
        <f t="shared" si="0"/>
        <v>45679</v>
      </c>
      <c r="CV91" s="1437">
        <f t="shared" si="1"/>
        <v>2000</v>
      </c>
      <c r="CW91">
        <f t="shared" si="2"/>
        <v>-95.753</v>
      </c>
    </row>
    <row r="92" spans="66:101" x14ac:dyDescent="0.3">
      <c r="CQ92" s="167">
        <v>45719</v>
      </c>
      <c r="CR92" s="552">
        <v>200</v>
      </c>
      <c r="CS92" s="162">
        <v>982.61</v>
      </c>
      <c r="CU92" s="88">
        <f t="shared" si="0"/>
        <v>45719</v>
      </c>
      <c r="CV92" s="1437">
        <f t="shared" si="1"/>
        <v>2000</v>
      </c>
      <c r="CW92">
        <f t="shared" si="2"/>
        <v>98.260999999999996</v>
      </c>
    </row>
    <row r="93" spans="66:101" x14ac:dyDescent="0.3">
      <c r="CQ93" s="167">
        <v>45771</v>
      </c>
      <c r="CR93" s="996">
        <v>200</v>
      </c>
      <c r="CS93" s="991">
        <v>1096.44</v>
      </c>
      <c r="CU93" s="88">
        <f t="shared" si="0"/>
        <v>45771</v>
      </c>
      <c r="CV93" s="1437">
        <f t="shared" si="1"/>
        <v>2000</v>
      </c>
      <c r="CW93">
        <f t="shared" si="2"/>
        <v>109.64400000000001</v>
      </c>
    </row>
    <row r="94" spans="66:101" x14ac:dyDescent="0.3">
      <c r="CQ94" s="167">
        <v>45782</v>
      </c>
      <c r="CR94" s="122">
        <v>200</v>
      </c>
      <c r="CS94" s="162">
        <v>1133.76</v>
      </c>
      <c r="CU94" s="88">
        <f t="shared" si="0"/>
        <v>45782</v>
      </c>
      <c r="CV94" s="1437">
        <f t="shared" si="1"/>
        <v>2000</v>
      </c>
      <c r="CW94">
        <f t="shared" si="2"/>
        <v>113.376</v>
      </c>
    </row>
    <row r="95" spans="66:101" x14ac:dyDescent="0.3">
      <c r="CQ95" s="167">
        <v>45811</v>
      </c>
      <c r="CR95" s="996">
        <v>200</v>
      </c>
      <c r="CS95" s="991">
        <v>1222.17</v>
      </c>
      <c r="CU95" s="88">
        <f t="shared" si="0"/>
        <v>45811</v>
      </c>
      <c r="CV95" s="1437">
        <f t="shared" si="1"/>
        <v>2000</v>
      </c>
      <c r="CW95">
        <f t="shared" si="2"/>
        <v>122.21700000000001</v>
      </c>
    </row>
    <row r="96" spans="66:101" x14ac:dyDescent="0.3">
      <c r="CQ96" s="167">
        <v>45825</v>
      </c>
      <c r="CR96" s="122">
        <v>200</v>
      </c>
      <c r="CS96" s="162">
        <v>1220.52</v>
      </c>
      <c r="CU96" s="88">
        <f t="shared" si="0"/>
        <v>45825</v>
      </c>
      <c r="CV96" s="1437">
        <f t="shared" si="1"/>
        <v>2000</v>
      </c>
      <c r="CW96">
        <f t="shared" si="2"/>
        <v>122.05199999999999</v>
      </c>
    </row>
    <row r="97" spans="95:101" x14ac:dyDescent="0.3">
      <c r="CQ97" s="167">
        <v>45856</v>
      </c>
      <c r="CR97" s="996">
        <v>400</v>
      </c>
      <c r="CS97" s="991">
        <v>-1208.99</v>
      </c>
      <c r="CU97" s="88">
        <f t="shared" si="0"/>
        <v>45856</v>
      </c>
      <c r="CV97" s="1437">
        <f t="shared" si="1"/>
        <v>4000</v>
      </c>
      <c r="CW97">
        <f t="shared" si="2"/>
        <v>-120.899</v>
      </c>
    </row>
    <row r="98" spans="95:101" x14ac:dyDescent="0.3">
      <c r="CQ98" s="167">
        <v>45936</v>
      </c>
      <c r="CR98" s="122">
        <v>200</v>
      </c>
      <c r="CS98" s="162">
        <v>-1161.69</v>
      </c>
      <c r="CU98" s="88">
        <f t="shared" si="0"/>
        <v>45936</v>
      </c>
      <c r="CV98" s="1437">
        <f t="shared" si="1"/>
        <v>2000</v>
      </c>
      <c r="CW98">
        <f t="shared" si="2"/>
        <v>-116.16900000000001</v>
      </c>
    </row>
    <row r="99" spans="95:101" x14ac:dyDescent="0.3">
      <c r="CQ99" s="167">
        <v>45939</v>
      </c>
      <c r="CR99" s="996">
        <v>100</v>
      </c>
      <c r="CS99" s="991">
        <v>1235.33</v>
      </c>
      <c r="CU99" s="88">
        <f t="shared" si="0"/>
        <v>45939</v>
      </c>
      <c r="CV99" s="1437">
        <f t="shared" si="1"/>
        <v>1000</v>
      </c>
      <c r="CW99">
        <f t="shared" si="2"/>
        <v>123.53299999999999</v>
      </c>
    </row>
    <row r="100" spans="95:101" x14ac:dyDescent="0.3">
      <c r="CQ100" s="167">
        <v>45946</v>
      </c>
      <c r="CR100" s="122">
        <v>100</v>
      </c>
      <c r="CS100" s="162">
        <v>-1179.6600000000001</v>
      </c>
      <c r="CU100" s="88">
        <f t="shared" si="0"/>
        <v>45946</v>
      </c>
      <c r="CV100" s="1437">
        <f t="shared" si="1"/>
        <v>1000</v>
      </c>
      <c r="CW100">
        <f t="shared" si="2"/>
        <v>-117.96600000000001</v>
      </c>
    </row>
    <row r="101" spans="95:101" x14ac:dyDescent="0.3">
      <c r="CQ101" s="167">
        <v>45950</v>
      </c>
      <c r="CR101" s="996">
        <v>100</v>
      </c>
      <c r="CS101" s="991">
        <v>1233.56</v>
      </c>
      <c r="CU101" s="88">
        <f t="shared" si="0"/>
        <v>45950</v>
      </c>
      <c r="CV101" s="1437">
        <f t="shared" si="1"/>
        <v>1000</v>
      </c>
      <c r="CW101">
        <f t="shared" si="2"/>
        <v>123.35599999999999</v>
      </c>
    </row>
    <row r="102" spans="95:101" x14ac:dyDescent="0.3">
      <c r="CQ102" s="167">
        <v>45952</v>
      </c>
      <c r="CR102" s="122">
        <v>1300</v>
      </c>
      <c r="CS102" s="162">
        <v>-1117.45</v>
      </c>
      <c r="CU102" s="88">
        <f t="shared" si="0"/>
        <v>45952</v>
      </c>
      <c r="CV102" s="1437">
        <f t="shared" si="1"/>
        <v>13000</v>
      </c>
      <c r="CW102">
        <f t="shared" si="2"/>
        <v>-111.745</v>
      </c>
    </row>
    <row r="103" spans="95:101" x14ac:dyDescent="0.3">
      <c r="CQ103" s="167">
        <v>45953</v>
      </c>
      <c r="CR103" s="996">
        <v>500</v>
      </c>
      <c r="CS103" s="991">
        <v>-1103.56</v>
      </c>
      <c r="CU103" s="88">
        <f t="shared" si="0"/>
        <v>45953</v>
      </c>
      <c r="CV103" s="1437">
        <f t="shared" si="1"/>
        <v>5000</v>
      </c>
      <c r="CW103">
        <f t="shared" si="2"/>
        <v>-110.35599999999999</v>
      </c>
    </row>
    <row r="104" spans="95:101" x14ac:dyDescent="0.3">
      <c r="CQ104" s="167">
        <v>45954</v>
      </c>
      <c r="CR104" s="122">
        <v>500</v>
      </c>
      <c r="CS104" s="162">
        <v>-1096.8800000000001</v>
      </c>
      <c r="CU104" s="88">
        <f t="shared" si="0"/>
        <v>45954</v>
      </c>
      <c r="CV104" s="1437">
        <f t="shared" si="1"/>
        <v>5000</v>
      </c>
      <c r="CW104">
        <f t="shared" si="2"/>
        <v>-109.68800000000002</v>
      </c>
    </row>
  </sheetData>
  <phoneticPr fontId="48"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W34" activePane="bottomRight" state="frozen"/>
      <selection activeCell="Z112" sqref="Z112"/>
      <selection pane="topRight" activeCell="Z112" sqref="Z112"/>
      <selection pane="bottomLeft" activeCell="Z112" sqref="Z112"/>
      <selection pane="bottomRight" activeCell="AF34" sqref="AF34"/>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3" customWidth="1"/>
    <col min="54" max="54" width="8.875" customWidth="1"/>
    <col min="55" max="55" width="10.625" customWidth="1"/>
    <col min="56" max="56" width="11.875" style="409"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94" t="s">
        <v>2193</v>
      </c>
      <c r="Q1" s="1495"/>
      <c r="R1" s="1495"/>
      <c r="S1" s="1496"/>
      <c r="T1" s="784" t="s">
        <v>183</v>
      </c>
      <c r="U1" s="696" t="s">
        <v>2637</v>
      </c>
      <c r="V1" s="774" t="s">
        <v>2078</v>
      </c>
      <c r="W1" s="707" t="s">
        <v>2087</v>
      </c>
      <c r="X1" s="1312" t="s">
        <v>2083</v>
      </c>
      <c r="Y1" s="783" t="s">
        <v>682</v>
      </c>
      <c r="Z1" s="834" t="s">
        <v>2235</v>
      </c>
      <c r="AA1" s="1002" t="s">
        <v>2475</v>
      </c>
      <c r="AB1" s="826" t="s">
        <v>2281</v>
      </c>
      <c r="AC1" s="709" t="s">
        <v>1889</v>
      </c>
      <c r="AD1" s="1510" t="s">
        <v>2570</v>
      </c>
      <c r="AE1" s="1511"/>
      <c r="AF1" s="1511"/>
      <c r="AG1" s="1511"/>
      <c r="AH1" s="1157"/>
      <c r="AI1" s="1157"/>
      <c r="AJ1" s="1157"/>
      <c r="AK1" s="1157"/>
      <c r="AL1" s="1157"/>
      <c r="AM1" s="1157"/>
      <c r="AN1" s="1157"/>
      <c r="AO1" s="1157"/>
      <c r="AP1" s="1497" t="s">
        <v>2532</v>
      </c>
      <c r="AQ1" s="1497"/>
      <c r="AR1" s="940"/>
      <c r="AS1" s="940"/>
      <c r="AT1" s="1498" t="s">
        <v>2323</v>
      </c>
      <c r="AU1" s="1499"/>
      <c r="AV1" s="1500" t="s">
        <v>2229</v>
      </c>
      <c r="AW1" s="1500"/>
      <c r="AX1" s="800" t="s">
        <v>2227</v>
      </c>
      <c r="AY1" s="1501" t="s">
        <v>2511</v>
      </c>
      <c r="AZ1" s="1502"/>
      <c r="BA1" s="1502"/>
      <c r="BB1" s="1491" t="s">
        <v>2194</v>
      </c>
      <c r="BC1" s="1492"/>
      <c r="BD1" s="1492"/>
      <c r="BE1" s="1493"/>
      <c r="BF1" s="694" t="s">
        <v>2098</v>
      </c>
      <c r="BG1" s="799" t="s">
        <v>1917</v>
      </c>
      <c r="BH1" s="754"/>
      <c r="BI1" s="754"/>
    </row>
    <row r="2" spans="1:74" ht="35" thickBot="1" x14ac:dyDescent="0.4">
      <c r="A2" s="224" t="s">
        <v>547</v>
      </c>
      <c r="B2" s="197" t="s">
        <v>1876</v>
      </c>
      <c r="C2" s="492" t="s">
        <v>1688</v>
      </c>
      <c r="D2" s="349" t="s">
        <v>2077</v>
      </c>
      <c r="E2" s="862"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27" t="s">
        <v>2403</v>
      </c>
      <c r="T2" s="781" t="s">
        <v>544</v>
      </c>
      <c r="U2" s="748" t="s">
        <v>2282</v>
      </c>
      <c r="V2" s="772" t="s">
        <v>1114</v>
      </c>
      <c r="W2" s="1005" t="s">
        <v>677</v>
      </c>
      <c r="X2" s="1315" t="s">
        <v>2132</v>
      </c>
      <c r="Y2" s="801" t="s">
        <v>2198</v>
      </c>
      <c r="Z2" s="817" t="s">
        <v>2234</v>
      </c>
      <c r="AA2" s="833" t="s">
        <v>1579</v>
      </c>
      <c r="AB2" s="827" t="s">
        <v>2280</v>
      </c>
      <c r="AC2" s="1055" t="s">
        <v>1607</v>
      </c>
      <c r="AD2" s="746" t="s">
        <v>2533</v>
      </c>
      <c r="AE2" s="987" t="s">
        <v>2140</v>
      </c>
      <c r="AF2" s="1521" t="s">
        <v>2811</v>
      </c>
      <c r="AG2" s="1521" t="s">
        <v>2808</v>
      </c>
      <c r="AH2" s="1522" t="s">
        <v>2809</v>
      </c>
      <c r="AI2" s="1522" t="s">
        <v>2810</v>
      </c>
      <c r="AJ2" s="1520" t="s">
        <v>2804</v>
      </c>
      <c r="AK2" s="1520" t="s">
        <v>2805</v>
      </c>
      <c r="AL2" s="1520" t="s">
        <v>2806</v>
      </c>
      <c r="AM2" s="1520" t="s">
        <v>2807</v>
      </c>
      <c r="AN2" s="1209" t="s">
        <v>2672</v>
      </c>
      <c r="AO2" s="759" t="s">
        <v>2415</v>
      </c>
      <c r="AP2" s="947" t="s">
        <v>2411</v>
      </c>
      <c r="AQ2" s="947" t="s">
        <v>2412</v>
      </c>
      <c r="AR2" s="1271" t="s">
        <v>2577</v>
      </c>
      <c r="AS2" s="1269" t="s">
        <v>2503</v>
      </c>
      <c r="AT2" s="805" t="s">
        <v>2413</v>
      </c>
      <c r="AU2" s="805" t="s">
        <v>2414</v>
      </c>
      <c r="AV2" s="833" t="s">
        <v>2232</v>
      </c>
      <c r="AW2" s="833" t="s">
        <v>2233</v>
      </c>
      <c r="AX2" s="759" t="s">
        <v>2197</v>
      </c>
      <c r="AY2" s="735" t="s">
        <v>2144</v>
      </c>
      <c r="AZ2" s="806" t="s">
        <v>2142</v>
      </c>
      <c r="BA2" s="713" t="s">
        <v>2102</v>
      </c>
      <c r="BB2" s="662" t="s">
        <v>1446</v>
      </c>
      <c r="BC2" s="727" t="s">
        <v>1686</v>
      </c>
      <c r="BD2" s="663" t="s">
        <v>1879</v>
      </c>
      <c r="BE2" s="926" t="s">
        <v>2402</v>
      </c>
      <c r="BF2" s="695" t="s">
        <v>2079</v>
      </c>
      <c r="BG2" s="637" t="s">
        <v>1878</v>
      </c>
      <c r="BH2" s="637" t="s">
        <v>2214</v>
      </c>
      <c r="BI2" s="689" t="s">
        <v>2086</v>
      </c>
      <c r="BJ2" s="689" t="s">
        <v>2131</v>
      </c>
      <c r="BK2" s="668" t="s">
        <v>1885</v>
      </c>
      <c r="BL2" s="1" t="s">
        <v>1881</v>
      </c>
      <c r="BM2" s="758" t="s">
        <v>2141</v>
      </c>
      <c r="BN2" s="901" t="s">
        <v>2685</v>
      </c>
      <c r="BO2" s="678" t="s">
        <v>2212</v>
      </c>
      <c r="BP2" s="678" t="s">
        <v>2324</v>
      </c>
      <c r="BQ2" s="753" t="s">
        <v>2325</v>
      </c>
      <c r="BR2" s="1263" t="s">
        <v>2080</v>
      </c>
      <c r="BS2" s="678" t="s">
        <v>2084</v>
      </c>
      <c r="BT2" s="678" t="s">
        <v>2085</v>
      </c>
      <c r="BU2" s="1261" t="s">
        <v>2686</v>
      </c>
    </row>
    <row r="3" spans="1:74" hidden="1"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+4,302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BUY  500,000</v>
      </c>
      <c r="F3" s="226" t="str">
        <f ca="1">TRUNC(TabCalc[[#This Row],[L_B1p]],2)&amp;"x"&amp;TabCalc[[#This Row],[L_B1n]]&amp;"=   "&amp;TEXT(TabCalc[[#This Row],[ReverseS1]],"#,#0")&amp;"$"</f>
        <v>-200.7x300=   20,799$</v>
      </c>
      <c r="G3" s="225" t="str">
        <f ca="1">IFERROR(TRUNC(_xlfn.XLOOKUP(TabTRADER[[#This Row],[ClickTick]],TabCalc[Ticker],ListLastSalep),2)&amp;"x"&amp;_xlfn.XLOOKUP(TabTRADER[[#This Row],[ClickTick]],TabCalc[Ticker],ListLastSalen)&amp;"=   "&amp;TEXT(-_xlfn.XLOOKUP(TabTRADER[[#This Row],[ClickTick]],TabCalc[Ticker],ListReverseB),"#,#0")&amp;"$","")</f>
        <v>270.04x500=   -5$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500,000</v>
      </c>
      <c r="I3" s="226" t="str">
        <f ca="1">IFERROR(TRUNC(TabCalc[[#This Row],[L_S1p]],2)&amp;"x"&amp;TabCalc[[#This Row],[L_S1n]]&amp;"=   "&amp;TEXT(TabCalc[[#This Row],[ReverseB1]],"#,#0"),"")</f>
        <v>263.58x500=   -3,225</v>
      </c>
      <c r="J3" s="295">
        <f ca="1">_xlfn.XLOOKUP(TabTRADER[[#This Row],[ClickTick]],TabCalc[Ticker],ListGravity)</f>
        <v>1.0237046624449135</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1215134.9999999998</v>
      </c>
      <c r="M3" s="323">
        <f ca="1">_xlfn.XLOOKUP(TabTRADER[[#This Row],[ClickTick]],TabCalc[Ticker],TabCalc[Agiotage])</f>
        <v>0.30565067320598954</v>
      </c>
      <c r="N3" s="324" cm="1">
        <f t="array" aca="1" ref="N3" ca="1">_xlfn.XLOOKUP(TabTRADER[[#This Row],[ClickTick]],ListTickers,Tab2RSIConventional[RSIConv20])</f>
        <v>59</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8.6552390149685993E-2</v>
      </c>
      <c r="S3" s="683">
        <f ca="1">_xlfn.XLOOKUP(TabTRADER[[#This Row],[ClickTick]],TabCalc[Ticker],TabCalc[Rev(MinStock)])*(1-Commission)</f>
        <v>4290.8147999999928</v>
      </c>
      <c r="T3" s="782">
        <f ca="1">_xlfn.XLOOKUP(TabTRADER[[#This Row],[ClickTick]],TabCalc[Ticker],TabCalc[Agiotage])</f>
        <v>0.30565067320598954</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43,035/43,035=&gt;1.0% / 1.0%</v>
      </c>
      <c r="V3" s="739" t="str">
        <f ca="1">_xlfn.XLOOKUP(TabTRADER[[#This Row],[ClickTick]],[1]!RTData[Ticker_Symbol],[1]!RTData[Currency])</f>
        <v>USD</v>
      </c>
      <c r="W3" s="749">
        <f ca="1">_xlfn.XLOOKUP(TabTRADER[[#This Row],[ClickTick]],TabCalc[Ticker],TabCalc[M])</f>
        <v>270.02999999999997</v>
      </c>
      <c r="X3" s="1315"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9.6839999999999999E-3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^1,142/2,565 K$</v>
      </c>
      <c r="AE3" s="1182"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 s="1164"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270.04</v>
      </c>
      <c r="AG3" s="1165"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4.9870000000238122</v>
      </c>
      <c r="AH3" s="1165" t="str" cm="1">
        <f t="array" aca="1" ref="AH3" ca="1">_xlfn.IFS(     TabTRADER[[#This Row],[Traps]]=MUp,MIN(TabTRADER[[#This Row],[L_Sn]],TabTRADER[[#This Row],[N]])*(TabTRADER[[#This Row],[M]]-TabTRADER[[#This Row],[L_Sp]])*(1-Commission)*TabTRADER[[#This Row],[Scale]],                                  TRUE,"M= "&amp;TabTRADER[[#This Row],[M]])</f>
        <v>M= 270.03</v>
      </c>
      <c r="AI3" s="1165" t="str" cm="1">
        <f t="array" aca="1" ref="AI3" ca="1">_xlfn.IFS(   TabTRADER[[#This Row],[Traps]]=MUp,TEXT(MIN(TabTRADER[[#This Row],[L_Sn]],TabTRADER[[#This Row],[N]]),"#,#0")&amp;" x "&amp;TEXT(TabTRADER[[#This Row],[L_Sp]],"#,#0.#0"),          TRUE,"")</f>
        <v/>
      </c>
      <c r="AJ3" s="1165"/>
      <c r="AK3" s="1165" t="str"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 s="1165"/>
      <c r="AM3" s="1165"/>
      <c r="AN3" s="1165"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4.9870000000238122</v>
      </c>
      <c r="AO3" s="1173"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3.703155088152773E-5</v>
      </c>
      <c r="AP3" s="1174" t="str"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 s="825" t="str" cm="1">
        <f t="array" aca="1" ref="AQ3" ca="1">_xlfn.IFS(   TabTRADER[[#This Row],[Traps]]=SellMorePercentGain,                     MIN(TabTRADER[[#This Row],[L_Sn]],TabTRADER[[#This Row],[N]])*(TabTRADER[[#This Row],[M]]-TabTRADER[[#This Row],[L_Sp]])*(1-Commission)*TabTRADER[[#This Row],[Scale]],                    TRUE,"")</f>
        <v/>
      </c>
      <c r="AR3" s="1163">
        <f ca="1">_xlfn.XLOOKUP(TabTRADER[[#This Row],[ClickTick]],TabCalc[Ticker],TabCalc[Ann%RevLB])</f>
        <v>0.84213136361856644</v>
      </c>
      <c r="AS3" s="1267">
        <f ca="1">_xlfn.XLOOKUP(TabTRADER[[#This Row],[ClickTick]],TabCalc[Ticker],TabCalc[Up20])</f>
        <v>0</v>
      </c>
      <c r="AT3" s="310"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5" t="str" cm="1">
        <f t="array" aca="1" ref="AU3" ca="1">_xlfn.IFS(         TabTRADER[[#This Row],[Traps]]=MDown,TabTRADER[[#This Row],[L_Bn]]*TabTRADER[[#This Row],[M]]*(-(TabTRADER[[#This Row],[L_Bp]]+TabTRADER[[#This Row],[M]])/TabTRADER[[#This Row],[M]])*(1-Commission)*TabTRADER[[#This Row],[Scale]],                               TRUE,"")</f>
        <v/>
      </c>
      <c r="AV3" s="1174" t="str" cm="1">
        <f t="array" aca="1" ref="AV3" ca="1">_xlfn.IFS(   TabTRADER[[#This Row],[Traps]]=MUp,TabTRADER[[#This Row],[TakeGain_A]]-Commission,        TabTRADER[[#This Row],[Traps]]=MDown,(TabTRADER[[#This Row],[A]]-TabTRADER[[#This Row],[M]])/TabTRADER[[#This Row],[M]]-Commission,                              TRUE,"")</f>
        <v/>
      </c>
      <c r="AW3" s="825"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549674.51078599982</v>
      </c>
      <c r="AX3" s="760"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3" s="736"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 s="765" cm="1">
        <f t="array" aca="1" ref="AZ3" ca="1">_xlfn.IFS(TabTRADER[[#This Row],[Traps]]=Sale_Back,"",         TabTRADER[[#This Row],[Traps]]=MDown, (TabTRADER[[#This Row],[M]]-TabTRADER[[#This Row],[A]])/TabTRADER[[#This Row],[A]]*ComFactor,             TRUE, IFERROR((TabTRADER[[#This Row],[M]]-TabTRADER[[#This Row],[A]])/TabTRADER[[#This Row],[A]]*ComFactor,""))</f>
        <v>0.27290270135909211</v>
      </c>
      <c r="BA3" s="762" cm="1">
        <f t="array" aca="1" ref="BA3" ca="1">_xlfn.IFS(               TabTRADER[[#This Row],[Traps]]=NoStock,(TabTRADER[[#This Row],[L_Sp]]-TabTRADER[[#This Row],[M]])/TabTRADER[[#This Row],[M]]-Commission,             TabTRADER[[#This Row],[A]]&lt;&gt;0,(TabTRADER[[#This Row],[A]]-TabTRADER[[#This Row],[M]])/TabTRADER[[#This Row],[M]]-Commission)</f>
        <v>-0.21743281194876979</v>
      </c>
      <c r="BB3" s="324">
        <f ca="1">_xlfn.XLOOKUP(TabTRADER[[#This Row],[ClickTick]],TabCalc[Ticker],TabCalc[L_Sn])</f>
        <v>500</v>
      </c>
      <c r="BC3" s="728">
        <f ca="1">_xlfn.XLOOKUP(TabTRADER[[#This Row],[ClickTick]],TabCalc[Ticker],TabCalc[L_Sp])</f>
        <v>270.04000000000002</v>
      </c>
      <c r="BD3" s="764">
        <f ca="1">-IFERROR((TabTRADER[[#This Row],[M]]-TabTRADER[[#This Row],[L_Sp]])/TabTRADER[[#This Row],[L_Sp]],0)</f>
        <v>3.703155088152773E-5</v>
      </c>
      <c r="BE3" s="729">
        <f ca="1">TabTRADER[[#This Row],[L_Sn]]*(TabTRADER[[#This Row],[M]]-TabTRADER[[#This Row],[L_Sp]])*(1-Commission)*TabTRADER[[#This Row],[Scale]]</f>
        <v>-4.9870000000238122</v>
      </c>
      <c r="BF3" s="692">
        <f ca="1">TabTRADER[[#This Row],[L_Sn]]*(TabTRADER[[#This Row],[Agiotage]]-TabTRADER[[#This Row],[M]])/(TabTRADER[[#This Row],[L_Bn]]*TabTRADER[[#This Row],[M]])</f>
        <v>-2.4971702155945081</v>
      </c>
      <c r="BG3" s="635">
        <f ca="1">IFERROR((TabTRADER[[#This Row],[M]]-TabTRADER[[#This Row],[A]])/TabTRADER[[#This Row],[A]],0)</f>
        <v>0.27361409801392833</v>
      </c>
      <c r="BH3" s="638" t="str">
        <f ca="1">TEXT(_xlfn.XLOOKUP(TabTRADER[[#This Row],[ClickTick]],TabCalc[Ticker],TabCalc[NAfter]),"#,#0")&amp;" : "&amp;TEXT(_xlfn.XLOOKUP(TabTRADER[[#This Row],[ClickTick]],TabCalc[Ticker],TabCalc[NAfter])*(TabTRADER[[#This Row],[M]]-TabTRADER[[#This Row],[A]])*(1-Commission)*TabTRADER[[#This Row],[Scale]],"#,#0$")</f>
        <v>9,500 : 549,675$</v>
      </c>
      <c r="BI3" s="684">
        <f ca="1">_xlfn.XLOOKUP(TabTRADER[[#This Row],[ClickTick]],TabCalc[[#This Row],[Ticker]],TabCalc[[#This Row],[GL]])*(1-Commission)</f>
        <v>1139085.2854435649</v>
      </c>
      <c r="BJ3" s="684"/>
      <c r="BK3" s="669" t="str">
        <f ca="1">TabTRADER[[#This Row],[ClickTick]]&amp;": "&amp;_xlfn.XLOOKUP(TabTRADER[[#This Row],[ClickTick]],TabCalc[Ticker],TabCalc[Pile?])</f>
        <v xml:space="preserve">AAPL: </v>
      </c>
      <c r="BL3" s="350" t="s">
        <v>1920</v>
      </c>
      <c r="BM3" s="756" t="str" cm="1">
        <f t="array" aca="1" ref="BM3" ca="1">_xlfn.TEXTJOIN("",,INDEX({"M","A","Y"}, _xlfn.SORTBY({1,2,3}, -CHOOSE({1,2,3}, TabTRADER[[#This Row],[M]], TabTRADER[[#This Row],[A]], TabTRADER[[#This Row],[Agiotage]]))))</f>
        <v>MAY</v>
      </c>
      <c r="BN3" s="902" t="str"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 s="679">
        <f ca="1">TabTRADER[[#This Row],[L_Sn]]*TabTRADER[[#This Row],[L_Sp]]+TabTRADER[[#This Row],[SellMore]]*TabTRADER[[#This Row],[M]]</f>
        <v>189026</v>
      </c>
      <c r="BP3" s="679">
        <f ca="1">INDEX(
  INDEX(TabConsolid[], , _xlfn.XMATCH(TabTRADER[[#This Row],[ClickTick]]&amp;1, TabConsolid[#Headers])),
  MATCH(
    -TabTRADER[[#This Row],[M]],
    INDEX(TabConsolid[], , _xlfn.XMATCH(TabTRADER[[#This Row],[ClickTick]]&amp;2, TabConsolid[#Headers])),
    -1
  )
)</f>
        <v>200</v>
      </c>
      <c r="BQ3" s="679"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44">
        <f ca="1">TabTRADER[[#This Row],[ReBuy]]/(TabTRADER[[#This Row],[L_Sn]]+TabTRADER[[#This Row],[SellMore]])</f>
        <v>270.03714285714284</v>
      </c>
      <c r="BS3" s="687">
        <f ca="1">((_xlfn.XLOOKUP(TabTRADER[[#This Row],[ClickTick]],TabCalc[Ticker],TabCalc[NAfter])+TabTRADER[[#This Row],[L_Sn]])*(TabTRADER[[#This Row],[Agiotage]]-TabTRADER[[#This Row],[M]]))/(TabTRADER[[#This Row],[L_Sn]]*_xlfn.XLOOKUP(TabTRADER[[#This Row],[ClickTick]],TabCalc[Ticker],TabCalc[NAfter]))</f>
        <v>-0.56784073542482949</v>
      </c>
      <c r="BT3" s="687">
        <f ca="1">(TabTRADER[[#This Row],[M]]-TabTRADER[[#This Row],[Agiotage]])/(TabTRADER[[#This Row],[M]]-TabTRADER[[#This Row],[A]])-1</f>
        <v>3.6495136249298765</v>
      </c>
      <c r="BU3" s="1262">
        <f ca="1">_xlfn.XMATCH(TabTRADER[[#This Row],[ClickTick]]&amp;1, TabConsolid[#Headers])</f>
        <v>2</v>
      </c>
      <c r="BV3" t="b">
        <f ca="1">IF(ABS(TabTRADER[[#This Row],[L_Bp]])&gt;=TabTRADER[[#This Row],[M]],"OK")</f>
        <v>0</v>
      </c>
    </row>
    <row r="4" spans="1:74" hidden="1"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-378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-16.2%</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-2,128$</v>
      </c>
      <c r="G4" s="225" t="str">
        <f ca="1">IFERROR(TRUNC(_xlfn.XLOOKUP(TabTRADER[[#This Row],[ClickTick]],TabCalc[Ticker],ListLastSalep),2)&amp;"x"&amp;_xlfn.XLOOKUP(TabTRADER[[#This Row],[ClickTick]],TabCalc[Ticker],ListLastSalen)&amp;"=   "&amp;TEXT(-_xlfn.XLOOKUP(TabTRADER[[#This Row],[ClickTick]],TabCalc[Ticker],ListReverseB),"#,#0")&amp;"$","")</f>
        <v>16.86x1000=   -4,600$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37.5% = 1,087</v>
      </c>
      <c r="I4" s="226" t="str">
        <f ca="1">IFERROR(TRUNC(TabCalc[[#This Row],[L_S1p]],2)&amp;"x"&amp;TabCalc[[#This Row],[L_S1n]]&amp;"=   "&amp;TEXT(TabCalc[[#This Row],[ReverseB1]],"#,#0"),"")</f>
        <v>16.67x2990=   13,186</v>
      </c>
      <c r="J4" s="295">
        <f ca="1">_xlfn.XLOOKUP(TabTRADER[[#This Row],[ClickTick]],TabCalc[Ticker],ListGravity)</f>
        <v>1.6856990212071779</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0.26803017315275157</v>
      </c>
      <c r="N4" s="324" cm="1">
        <f t="array" aca="1" ref="N4" ca="1">_xlfn.XLOOKUP(TabTRADER[[#This Row],[ClickTick]],ListTickers,Tab2RSIConventional[RSIConv20])</f>
        <v>42</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-0.13964912280701755</v>
      </c>
      <c r="S4" s="683">
        <f ca="1">_xlfn.XLOOKUP(TabTRADER[[#This Row],[ClickTick]],TabCalc[Ticker],TabCalc[Rev(MinStock)])*(1-Commission)</f>
        <v>-377.11694</v>
      </c>
      <c r="T4" s="782">
        <f ca="1">_xlfn.XLOOKUP(TabTRADER[[#This Row],[ClickTick]],TabCalc[Ticker],TabCalc[Agiotage])</f>
        <v>0.26803017315275157</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-650/-650=&gt;-0.7% / -0.7%</v>
      </c>
      <c r="V4" s="739" t="str">
        <f ca="1">_xlfn.XLOOKUP(TabTRADER[[#This Row],[ClickTick]],[1]!RTData[Ticker_Symbol],[1]!RTData[Currency])</f>
        <v>USD</v>
      </c>
      <c r="W4" s="749">
        <f ca="1">_xlfn.XLOOKUP(TabTRADER[[#This Row],[ClickTick]],TabCalc[Ticker],TabCalc[M])</f>
        <v>12.26</v>
      </c>
      <c r="X4" s="1315"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-7.2870000000000001E-3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^31/61 K$</v>
      </c>
      <c r="AE4" s="1182"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64"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65"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4588.04</v>
      </c>
      <c r="AH4" s="1165" t="str" cm="1">
        <f t="array" aca="1" ref="AH4" ca="1">_xlfn.IFS(     TabTRADER[[#This Row],[Traps]]=MUp,MIN(TabTRADER[[#This Row],[L_Sn]],TabTRADER[[#This Row],[N]])*(TabTRADER[[#This Row],[M]]-TabTRADER[[#This Row],[L_Sp]])*(1-Commission)*TabTRADER[[#This Row],[Scale]],                                  TRUE,"M= "&amp;TabTRADER[[#This Row],[M]])</f>
        <v>M= 12.26</v>
      </c>
      <c r="AI4" s="1165" t="str" cm="1">
        <f t="array" aca="1" ref="AI4" ca="1">_xlfn.IFS(   TabTRADER[[#This Row],[Traps]]=MUp,TEXT(MIN(TabTRADER[[#This Row],[L_Sn]],TabTRADER[[#This Row],[N]]),"#,#0")&amp;" x "&amp;TEXT(TabTRADER[[#This Row],[L_Sp]],"#,#0.#0"),          TRUE,"")</f>
        <v/>
      </c>
      <c r="AJ4" s="1165"/>
      <c r="AK4" s="1165"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65"/>
      <c r="AM4" s="1165"/>
      <c r="AN4" s="1165"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4588.04</v>
      </c>
      <c r="AO4" s="1174"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0.27283511269276395</v>
      </c>
      <c r="AP4" s="1174"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TabTRADER[[#This Row],[Traps]]=SellMorePercentGain,                     MIN(TabTRADER[[#This Row],[L_Sn]],TabTRADER[[#This Row],[N]])*(TabTRADER[[#This Row],[M]]-TabTRADER[[#This Row],[L_Sp]])*(1-Commission)*TabTRADER[[#This Row],[Scale]],                    TRUE,"")</f>
        <v/>
      </c>
      <c r="AR4" s="1163">
        <f ca="1">_xlfn.XLOOKUP(TabTRADER[[#This Row],[ClickTick]],TabCalc[Ticker],TabCalc[Ann%RevLB])</f>
        <v>-0.40218947368421054</v>
      </c>
      <c r="AS4" s="1267">
        <f ca="1">_xlfn.XLOOKUP(TabTRADER[[#This Row],[ClickTick]],TabCalc[Ticker],TabCalc[Up20])</f>
        <v>0</v>
      </c>
      <c r="AT4" s="310"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5" t="str" cm="1">
        <f t="array" aca="1" ref="AU4" ca="1">_xlfn.IFS(         TabTRADER[[#This Row],[Traps]]=MDown,TabTRADER[[#This Row],[L_Bn]]*TabTRADER[[#This Row],[M]]*(-(TabTRADER[[#This Row],[L_Bp]]+TabTRADER[[#This Row],[M]])/TabTRADER[[#This Row],[M]])*(1-Commission)*TabTRADER[[#This Row],[Scale]],                               TRUE,"")</f>
        <v/>
      </c>
      <c r="AV4" s="1174" t="str" cm="1">
        <f t="array" aca="1" ref="AV4" ca="1">_xlfn.IFS(   TabTRADER[[#This Row],[Traps]]=MUp,TabTRADER[[#This Row],[TakeGain_A]]-Commission,        TabTRADER[[#This Row],[Traps]]=MDown,(TabTRADER[[#This Row],[A]]-TabTRADER[[#This Row],[M]])/TabTRADER[[#This Row],[M]]-Commission,                              TRUE,"")</f>
        <v/>
      </c>
      <c r="AW4" s="825"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-4063.3078599999944</v>
      </c>
      <c r="AX4" s="760"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 s="736"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5" cm="1">
        <f t="array" aca="1" ref="AZ4" ca="1">_xlfn.IFS(TabTRADER[[#This Row],[Traps]]=Sale_Back,"",         TabTRADER[[#This Row],[Traps]]=MDown, (TabTRADER[[#This Row],[M]]-TabTRADER[[#This Row],[A]])/TabTRADER[[#This Row],[A]]*ComFactor,             TRUE, IFERROR((TabTRADER[[#This Row],[M]]-TabTRADER[[#This Row],[A]])/TabTRADER[[#This Row],[A]]*ComFactor,""))</f>
        <v>-6.2154894537422352E-2</v>
      </c>
      <c r="BA4" s="762" cm="1">
        <f t="array" aca="1" ref="BA4" ca="1">_xlfn.IFS(               TabTRADER[[#This Row],[Traps]]=NoStock,(TabTRADER[[#This Row],[L_Sp]]-TabTRADER[[#This Row],[M]])/TabTRADER[[#This Row],[M]]-Commission,             TabTRADER[[#This Row],[A]]&lt;&gt;0,(TabTRADER[[#This Row],[A]]-TabTRADER[[#This Row],[M]])/TabTRADER[[#This Row],[M]]-Commission)</f>
        <v>6.3858401305057003E-2</v>
      </c>
      <c r="BB4" s="324">
        <f ca="1">_xlfn.XLOOKUP(TabTRADER[[#This Row],[ClickTick]],TabCalc[Ticker],TabCalc[L_Sn])</f>
        <v>1000</v>
      </c>
      <c r="BC4" s="728">
        <f ca="1">_xlfn.XLOOKUP(TabTRADER[[#This Row],[ClickTick]],TabCalc[Ticker],TabCalc[L_Sp])</f>
        <v>16.86</v>
      </c>
      <c r="BD4" s="764">
        <f ca="1">-IFERROR((TabTRADER[[#This Row],[M]]-TabTRADER[[#This Row],[L_Sp]])/TabTRADER[[#This Row],[L_Sp]],0)</f>
        <v>0.27283511269276395</v>
      </c>
      <c r="BE4" s="729">
        <f ca="1">TabTRADER[[#This Row],[L_Sn]]*(TabTRADER[[#This Row],[M]]-TabTRADER[[#This Row],[L_Sp]])*(1-Commission)*TabTRADER[[#This Row],[Scale]]</f>
        <v>-4588.04</v>
      </c>
      <c r="BF4" s="692">
        <f ca="1">TabTRADER[[#This Row],[L_Sn]]*(TabTRADER[[#This Row],[Agiotage]]-TabTRADER[[#This Row],[M]])/(TabTRADER[[#This Row],[L_Bn]]*TabTRADER[[#This Row],[M]])</f>
        <v>-5.1480938554336939</v>
      </c>
      <c r="BG4" s="635">
        <f ca="1">IFERROR((TabTRADER[[#This Row],[M]]-TabTRADER[[#This Row],[A]])/TabTRADER[[#This Row],[A]],0)</f>
        <v>-6.2316918525588884E-2</v>
      </c>
      <c r="BH4" s="638" t="str">
        <f ca="1">TEXT(_xlfn.XLOOKUP(TabTRADER[[#This Row],[ClickTick]],TabCalc[Ticker],TabCalc[NAfter]),"#,#0")&amp;" : "&amp;TEXT(_xlfn.XLOOKUP(TabTRADER[[#This Row],[ClickTick]],TabCalc[Ticker],TabCalc[NAfter])*(TabTRADER[[#This Row],[M]]-TabTRADER[[#This Row],[A]])*(1-Commission)*TabTRADER[[#This Row],[Scale]],"#,#0$")</f>
        <v>5,000 : -4,063$</v>
      </c>
      <c r="BI4" s="684">
        <f ca="1">_xlfn.XLOOKUP(TabTRADER[[#This Row],[ClickTick]],TabCalc[[#This Row],[Ticker]],TabCalc[[#This Row],[GL]])*(1-Commission)</f>
        <v>31397.949357197929</v>
      </c>
      <c r="BJ4" s="684"/>
      <c r="BK4" s="669" t="str">
        <f ca="1">TabTRADER[[#This Row],[ClickTick]]&amp;": "&amp;_xlfn.XLOOKUP(TabTRADER[[#This Row],[ClickTick]],TabCalc[Ticker],TabCalc[Pile?])</f>
        <v xml:space="preserve">ADEA: </v>
      </c>
      <c r="BL4" s="351" t="s">
        <v>1921</v>
      </c>
      <c r="BM4" s="755" t="str" cm="1">
        <f t="array" aca="1" ref="BM4" ca="1">_xlfn.TEXTJOIN("",,INDEX({"M","A","Y"}, _xlfn.SORTBY({1,2,3}, -CHOOSE({1,2,3}, TabTRADER[[#This Row],[M]], TabTRADER[[#This Row],[A]], TabTRADER[[#This Row],[Agiotage]]))))</f>
        <v>AMY</v>
      </c>
      <c r="BN4" s="902"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9" t="e">
        <f ca="1">TabTRADER[[#This Row],[L_Sn]]*TabTRADER[[#This Row],[L_Sp]]+TabTRADER[[#This Row],[SellMore]]*TabTRADER[[#This Row],[M]]</f>
        <v>#N/A</v>
      </c>
      <c r="BP4" s="679" t="e">
        <f ca="1">INDEX(
  INDEX(TabConsolid[], , _xlfn.XMATCH(TabTRADER[[#This Row],[ClickTick]]&amp;1, TabConsolid[#Headers])),
  MATCH(
    -TabTRADER[[#This Row],[M]],
    INDEX(TabConsolid[], , _xlfn.XMATCH(TabTRADER[[#This Row],[ClickTick]]&amp;2, TabConsolid[#Headers])),
    -1
  )
)</f>
        <v>#N/A</v>
      </c>
      <c r="BQ4" s="679"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44" t="e">
        <f ca="1">TabTRADER[[#This Row],[ReBuy]]/(TabTRADER[[#This Row],[L_Sn]]+TabTRADER[[#This Row],[SellMore]])</f>
        <v>#N/A</v>
      </c>
      <c r="BS4" s="687">
        <f ca="1">((_xlfn.XLOOKUP(TabTRADER[[#This Row],[ClickTick]],TabCalc[Ticker],TabCalc[NAfter])+TabTRADER[[#This Row],[L_Sn]])*(TabTRADER[[#This Row],[Agiotage]]-TabTRADER[[#This Row],[M]]))/(TabTRADER[[#This Row],[L_Sn]]*_xlfn.XLOOKUP(TabTRADER[[#This Row],[ClickTick]],TabCalc[Ticker],TabCalc[NAfter]))</f>
        <v>-1.4390363792216697E-2</v>
      </c>
      <c r="BT4" s="687">
        <f ca="1">(TabTRADER[[#This Row],[M]]-TabTRADER[[#This Row],[Agiotage]])/(TabTRADER[[#This Row],[M]]-TabTRADER[[#This Row],[A]])-1</f>
        <v>-15.718046376748648</v>
      </c>
      <c r="BU4" s="1262">
        <f ca="1">_xlfn.XMATCH(TabTRADER[[#This Row],[ClickTick]]&amp;1, TabConsolid[#Headers])</f>
        <v>5</v>
      </c>
      <c r="BV4" t="str">
        <f ca="1">IF(ABS(TabTRADER[[#This Row],[L_Bp]])&gt;=TabTRADER[[#This Row],[M]],"OK")</f>
        <v>OK</v>
      </c>
    </row>
    <row r="5" spans="1:74" ht="27" hidden="1"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-80$</v>
      </c>
      <c r="G5" s="225" t="str">
        <f ca="1">IFERROR(TRUNC(_xlfn.XLOOKUP(TabTRADER[[#This Row],[ClickTick]],TabCalc[Ticker],ListLastSalep),2)&amp;"x"&amp;_xlfn.XLOOKUP(TabTRADER[[#This Row],[ClickTick]],TabCalc[Ticker],ListLastSalen)&amp;"=   "&amp;TEXT(-_xlfn.XLOOKUP(TabTRADER[[#This Row],[ClickTick]],TabCalc[Ticker],ListReverseB),"#,#0")&amp;"$","")</f>
        <v>52.01x20000=   -1,402$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713</v>
      </c>
      <c r="I5" s="226" t="str">
        <f ca="1">IFERROR(TRUNC(TabCalc[[#This Row],[L_S1p]],2)&amp;"x"&amp;TabCalc[[#This Row],[L_S1n]]&amp;"=   "&amp;TEXT(TabCalc[[#This Row],[ReverseB1]],"#,#0"),"")</f>
        <v>53.62x90000=   7,758</v>
      </c>
      <c r="J5" s="295">
        <f ca="1">_xlfn.XLOOKUP(TabTRADER[[#This Row],[ClickTick]],TabCalc[Ticker],ListGravity)</f>
        <v>2.1480000000000001</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189000</v>
      </c>
      <c r="M5" s="323">
        <f ca="1">_xlfn.XLOOKUP(TabTRADER[[#This Row],[ClickTick]],TabCalc[Ticker],TabCalc[Agiotage])</f>
        <v>1.831612965464017</v>
      </c>
      <c r="N5" s="324" cm="1">
        <f t="array" aca="1" ref="N5" ca="1">_xlfn.XLOOKUP(TabTRADER[[#This Row],[ClickTick]],ListTickers,Tab2RSIConventional[RSIConv20])</f>
        <v>40</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-1.3157894736842136E-2</v>
      </c>
      <c r="S5" s="683">
        <f ca="1">_xlfn.XLOOKUP(TabTRADER[[#This Row],[ClickTick]],TabCalc[Ticker],TabCalc[Rev(MinStock)])*(1-Commission)</f>
        <v>-59.844000000000143</v>
      </c>
      <c r="T5" s="782">
        <f ca="1">_xlfn.XLOOKUP(TabTRADER[[#This Row],[ClickTick]],TabCalc[Ticker],TabCalc[Agiotage])</f>
        <v>1.831612965464017</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-13,120/-13,120=&gt;0.0% / 0.0%</v>
      </c>
      <c r="V5" s="739" t="str">
        <f ca="1">_xlfn.XLOOKUP(TabTRADER[[#This Row],[ClickTick]],[1]!RTData[Ticker_Symbol],[1]!RTData[Currency])</f>
        <v>GBp</v>
      </c>
      <c r="W5" s="1056">
        <f ca="1">_xlfn.XLOOKUP(TabTRADER[[#This Row],[ClickTick]],TabCalc[Ticker],TabCalc[M])</f>
        <v>45</v>
      </c>
      <c r="X5" s="1315"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0</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^24/369 K$</v>
      </c>
      <c r="AE5" s="116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64"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45, -13.5%</v>
      </c>
      <c r="AG5" s="1165"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65" t="str" cm="1">
        <f t="array" aca="1" ref="AH5" ca="1">_xlfn.IFS(     TabTRADER[[#This Row],[Traps]]=MUp,MIN(TabTRADER[[#This Row],[L_Sn]],TabTRADER[[#This Row],[N]])*(TabTRADER[[#This Row],[M]]-TabTRADER[[#This Row],[L_Sp]])*(1-Commission)*TabTRADER[[#This Row],[Scale]],                                  TRUE,"M= "&amp;TabTRADER[[#This Row],[M]])</f>
        <v>M= 45</v>
      </c>
      <c r="AI5" s="1165" t="str" cm="1">
        <f t="array" aca="1" ref="AI5" ca="1">_xlfn.IFS(   TabTRADER[[#This Row],[Traps]]=MUp,TEXT(MIN(TabTRADER[[#This Row],[L_Sn]],TabTRADER[[#This Row],[N]]),"#,#0")&amp;" x "&amp;TEXT(TabTRADER[[#This Row],[L_Sp]],"#,#0.#0"),          TRUE,"")</f>
        <v/>
      </c>
      <c r="AJ5" s="1165"/>
      <c r="AK5" s="1165"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59.844000000000143</v>
      </c>
      <c r="AL5" s="1165"/>
      <c r="AM5" s="1165"/>
      <c r="AN5" s="1165"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369000</v>
      </c>
      <c r="AO5" s="1174"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8.60536893415806E-2</v>
      </c>
      <c r="AP5" s="1174"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1.0733333333333366E-2</v>
      </c>
      <c r="AQ5" s="825" t="str" cm="1">
        <f t="array" aca="1" ref="AQ5" ca="1">_xlfn.IFS(   TabTRADER[[#This Row],[Traps]]=SellMorePercentGain,                     MIN(TabTRADER[[#This Row],[L_Sn]],TabTRADER[[#This Row],[N]])*(TabTRADER[[#This Row],[M]]-TabTRADER[[#This Row],[L_Sp]])*(1-Commission)*TabTRADER[[#This Row],[Scale]],                    TRUE,"")</f>
        <v/>
      </c>
      <c r="AR5" s="1180">
        <f ca="1">_xlfn.XLOOKUP(TabTRADER[[#This Row],[ClickTick]],TabCalc[Ticker],TabCalc[Ann%RevLB])</f>
        <v>-0.1214574898785428</v>
      </c>
      <c r="AS5" s="1180">
        <f ca="1">_xlfn.XLOOKUP(TabTRADER[[#This Row],[ClickTick]],TabCalc[Ticker],TabCalc[Up20])</f>
        <v>0</v>
      </c>
      <c r="AT5" s="1243"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1.3333333333333365E-2</v>
      </c>
      <c r="AU5" s="825" cm="1">
        <f t="array" aca="1" ref="AU5" ca="1">_xlfn.IFS(         TabTRADER[[#This Row],[Traps]]=MDown,TabTRADER[[#This Row],[L_Bn]]*TabTRADER[[#This Row],[M]]*(-(TabTRADER[[#This Row],[L_Bp]]+TabTRADER[[#This Row],[M]])/TabTRADER[[#This Row],[M]])*(1-Commission)*TabTRADER[[#This Row],[Scale]],                               TRUE,"")</f>
        <v>59.844000000000143</v>
      </c>
      <c r="AV5" s="1174" cm="1">
        <f t="array" aca="1" ref="AV5" ca="1">_xlfn.IFS(   TabTRADER[[#This Row],[Traps]]=MUp,TabTRADER[[#This Row],[TakeGain_A]]-Commission,        TabTRADER[[#This Row],[Traps]]=MDown,(TabTRADER[[#This Row],[A]]-TabTRADER[[#This Row],[M]])/TabTRADER[[#This Row],[M]]-Commission,                              TRUE,"")</f>
        <v>9.1556175628726325E-2</v>
      </c>
      <c r="AW5" s="825"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34653.295372101813</v>
      </c>
      <c r="AX5" s="760"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5" s="736"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-6.0000000000000001E-3</v>
      </c>
      <c r="AZ5" s="765" cm="1">
        <f t="array" aca="1" ref="AZ5" ca="1">_xlfn.IFS(TabTRADER[[#This Row],[Traps]]=Sale_Back,"",         TabTRADER[[#This Row],[Traps]]=MDown, (TabTRADER[[#This Row],[M]]-TabTRADER[[#This Row],[A]])/TabTRADER[[#This Row],[A]]*ComFactor,             TRUE, IFERROR((TabTRADER[[#This Row],[M]]-TabTRADER[[#This Row],[A]])/TabTRADER[[#This Row],[A]]*ComFactor,""))</f>
        <v>-8.5829949749292492E-2</v>
      </c>
      <c r="BA5" s="762" cm="1">
        <f t="array" aca="1" ref="BA5" ca="1">_xlfn.IFS(               TabTRADER[[#This Row],[Traps]]=NoStock,(TabTRADER[[#This Row],[L_Sp]]-TabTRADER[[#This Row],[M]])/TabTRADER[[#This Row],[M]]-Commission,             TabTRADER[[#This Row],[A]]&lt;&gt;0,(TabTRADER[[#This Row],[A]]-TabTRADER[[#This Row],[M]])/TabTRADER[[#This Row],[M]]-Commission)</f>
        <v>9.1556175628726325E-2</v>
      </c>
      <c r="BB5" s="324">
        <f ca="1">_xlfn.XLOOKUP(TabTRADER[[#This Row],[ClickTick]],TabCalc[Ticker],TabCalc[L_Sn])</f>
        <v>20000</v>
      </c>
      <c r="BC5" s="728">
        <f ca="1">_xlfn.XLOOKUP(TabTRADER[[#This Row],[ClickTick]],TabCalc[Ticker],TabCalc[L_Sp])</f>
        <v>52.01</v>
      </c>
      <c r="BD5" s="764">
        <f ca="1">-IFERROR((TabTRADER[[#This Row],[M]]-TabTRADER[[#This Row],[L_Sp]])/TabTRADER[[#This Row],[L_Sp]],0)</f>
        <v>0.13478177273601227</v>
      </c>
      <c r="BE5" s="729">
        <f ca="1">TabTRADER[[#This Row],[L_Sn]]*(TabTRADER[[#This Row],[M]]-TabTRADER[[#This Row],[L_Sp]])*(1-Commission)*TabTRADER[[#This Row],[Scale]]</f>
        <v>-1398.3547999999996</v>
      </c>
      <c r="BF5" s="692">
        <f ca="1">TabTRADER[[#This Row],[L_Sn]]*(TabTRADER[[#This Row],[Agiotage]]-TabTRADER[[#This Row],[M]])/(TabTRADER[[#This Row],[L_Bn]]*TabTRADER[[#This Row],[M]])</f>
        <v>-1.9185949793127104</v>
      </c>
      <c r="BG5" s="635">
        <f ca="1">IFERROR((TabTRADER[[#This Row],[M]]-TabTRADER[[#This Row],[A]])/TabTRADER[[#This Row],[A]],0)</f>
        <v>-8.60536893415806E-2</v>
      </c>
      <c r="BH5" s="638" t="str">
        <f ca="1">TEXT(_xlfn.XLOOKUP(TabTRADER[[#This Row],[ClickTick]],TabCalc[Ticker],TabCalc[NAfter]),"#,#0")&amp;" : "&amp;TEXT(_xlfn.XLOOKUP(TabTRADER[[#This Row],[ClickTick]],TabCalc[Ticker],TabCalc[NAfter])*(TabTRADER[[#This Row],[M]]-TabTRADER[[#This Row],[A]])*(1-Commission)*TabTRADER[[#This Row],[Scale]],"#,#0$")</f>
        <v>820,000 : -34,653$</v>
      </c>
      <c r="BI5" s="684">
        <f ca="1">_xlfn.XLOOKUP(TabTRADER[[#This Row],[ClickTick]],TabCalc[[#This Row],[Ticker]],TabCalc[[#This Row],[GL]])*(1-Commission)</f>
        <v>24324.975697602033</v>
      </c>
      <c r="BJ5" s="684"/>
      <c r="BK5" s="669" t="str">
        <f ca="1">TabTRADER[[#This Row],[ClickTick]]&amp;": "&amp;_xlfn.XLOOKUP(TabTRADER[[#This Row],[ClickTick]],TabCalc[Ticker],TabCalc[Pile?])</f>
        <v xml:space="preserve">AET: </v>
      </c>
      <c r="BL5" s="351" t="s">
        <v>1922</v>
      </c>
      <c r="BM5" s="755" t="str" cm="1">
        <f t="array" aca="1" ref="BM5" ca="1">_xlfn.TEXTJOIN("",,INDEX({"M","A","Y"}, _xlfn.SORTBY({1,2,3}, -CHOOSE({1,2,3}, TabTRADER[[#This Row],[M]], TabTRADER[[#This Row],[A]], TabTRADER[[#This Row],[Agiotage]]))))</f>
        <v>AMY</v>
      </c>
      <c r="BN5" s="902"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1.3333333333333365E-2</v>
      </c>
      <c r="BO5" s="679" t="e">
        <f ca="1">TabTRADER[[#This Row],[L_Sn]]*TabTRADER[[#This Row],[L_Sp]]+TabTRADER[[#This Row],[SellMore]]*TabTRADER[[#This Row],[M]]</f>
        <v>#N/A</v>
      </c>
      <c r="BP5" s="679" t="e">
        <f ca="1">INDEX(
  INDEX(TabConsolid[], , _xlfn.XMATCH(TabTRADER[[#This Row],[ClickTick]]&amp;1, TabConsolid[#Headers])),
  MATCH(
    -TabTRADER[[#This Row],[M]],
    INDEX(TabConsolid[], , _xlfn.XMATCH(TabTRADER[[#This Row],[ClickTick]]&amp;2, TabConsolid[#Headers])),
    -1
  )
)</f>
        <v>#N/A</v>
      </c>
      <c r="BQ5" s="679"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5" s="1144" t="e">
        <f ca="1">TabTRADER[[#This Row],[ReBuy]]/(TabTRADER[[#This Row],[L_Sn]]+TabTRADER[[#This Row],[SellMore]])</f>
        <v>#N/A</v>
      </c>
      <c r="BS5" s="687">
        <f ca="1">((_xlfn.XLOOKUP(TabTRADER[[#This Row],[ClickTick]],TabCalc[Ticker],TabCalc[NAfter])+TabTRADER[[#This Row],[L_Sn]])*(TabTRADER[[#This Row],[Agiotage]]-TabTRADER[[#This Row],[M]]))/(TabTRADER[[#This Row],[L_Sn]]*_xlfn.XLOOKUP(TabTRADER[[#This Row],[ClickTick]],TabCalc[Ticker],TabCalc[NAfter]))</f>
        <v>-2.2110637261591602E-3</v>
      </c>
      <c r="BT5" s="687">
        <f ca="1">(TabTRADER[[#This Row],[M]]-TabTRADER[[#This Row],[Agiotage]])/(TabTRADER[[#This Row],[M]]-TabTRADER[[#This Row],[A]])-1</f>
        <v>-11.188365056786365</v>
      </c>
      <c r="BU5" s="1262">
        <f ca="1">_xlfn.XMATCH(TabTRADER[[#This Row],[ClickTick]]&amp;1, TabConsolid[#Headers])</f>
        <v>8</v>
      </c>
      <c r="BV5" t="str">
        <f ca="1">IF(ABS(TabTRADER[[#This Row],[L_Bp]])&gt;=TabTRADER[[#This Row],[M]],"OK")</f>
        <v>OK</v>
      </c>
    </row>
    <row r="6" spans="1:74" hidden="1"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+12,324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811/12,000=179,473</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15,015</v>
      </c>
      <c r="F6" s="226" t="str">
        <f ca="1">TRUNC(TabCalc[[#This Row],[L_B1p]],2)&amp;"x"&amp;TabCalc[[#This Row],[L_B1n]]&amp;"=   "&amp;TEXT(TabCalc[[#This Row],[ReverseS1]],"#,#0")&amp;"$"</f>
        <v>-212.98x500=   4,101$</v>
      </c>
      <c r="G6" s="225" t="str">
        <f ca="1">IFERROR(TRUNC(_xlfn.XLOOKUP(TabTRADER[[#This Row],[ClickTick]],TabCalc[Ticker],ListLastSalep),2)&amp;"x"&amp;_xlfn.XLOOKUP(TabTRADER[[#This Row],[ClickTick]],TabCalc[Ticker],ListLastSalen)&amp;"=   "&amp;TEXT(-_xlfn.XLOOKUP(TabTRADER[[#This Row],[ClickTick]],TabCalc[Ticker],ListReverseB),"#,#0")&amp;"$","")</f>
        <v>221.51x200=   -67$</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15,015</v>
      </c>
      <c r="I6" s="226" t="str">
        <f ca="1">IFERROR(TRUNC(TabCalc[[#This Row],[L_S1p]],2)&amp;"x"&amp;TabCalc[[#This Row],[L_S1n]]&amp;"=   "&amp;TEXT(TabCalc[[#This Row],[ReverseB1]],"#,#0"),"")</f>
        <v>234.24x500=   6,529</v>
      </c>
      <c r="J6" s="295">
        <f ca="1">_xlfn.XLOOKUP(TabTRADER[[#This Row],[ClickTick]],TabCalc[Ticker],ListGravity)</f>
        <v>1.3040125326654068</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884728</v>
      </c>
      <c r="M6" s="323">
        <f ca="1">_xlfn.XLOOKUP(TabTRADER[[#This Row],[ClickTick]],TabCalc[Ticker],TabCalc[Agiotage])</f>
        <v>0.55227376593669197</v>
      </c>
      <c r="N6" s="324" cm="1">
        <f t="array" aca="1" ref="N6" ca="1">_xlfn.XLOOKUP(TabTRADER[[#This Row],[ClickTick]],ListTickers,Tab2RSIConventional[RSIConv20])</f>
        <v>24</v>
      </c>
      <c r="O6" s="703" t="str">
        <f ca="1">TEXT(_xlfn.XLOOKUP(TabTRADER[[#This Row],[ClickTick]],TabCalc[Ticker],TabCalc[Nbegin]),"#,#0")&amp;": "&amp;_xlfn.XLOOKUP(TabTRADER[[#This Row],[ClickTick]],TabCalc[Ticker],TabCalc[Pile?])</f>
        <v>8,000: Pile</v>
      </c>
      <c r="P6" s="734">
        <f ca="1">_xlfn.XLOOKUP(TabTRADER[[#This Row],[ClickTick]],TabCalc[Ticker],TabCalc[L_Bn])</f>
        <v>2000</v>
      </c>
      <c r="Q6" s="728">
        <f ca="1">_xlfn.XLOOKUP(TabTRADER[[#This Row],[ClickTick]],TabCalc[Ticker],TabCalc[L_Bp])</f>
        <v>-215.02</v>
      </c>
      <c r="R6" s="764">
        <f ca="1">(TabTRADER[[#This Row],[M]]+TabTRADER[[#This Row],[L_Bp]])/ABS(TabTRADER[[#This Row],[L_Bp]])</f>
        <v>2.8657799274485991E-2</v>
      </c>
      <c r="S6" s="683">
        <f ca="1">_xlfn.XLOOKUP(TabTRADER[[#This Row],[ClickTick]],TabCalc[Ticker],TabCalc[Rev(MinStock)])*(1-Commission)</f>
        <v>12291.957599999956</v>
      </c>
      <c r="T6" s="782">
        <f ca="1">_xlfn.XLOOKUP(TabTRADER[[#This Row],[ClickTick]],TabCalc[Ticker],TabCalc[Agiotage])</f>
        <v>0.55227376593669197</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-28,896/-28,896=&gt;-0.6% / -0.6%</v>
      </c>
      <c r="V6" s="739" t="str">
        <f ca="1">_xlfn.XLOOKUP(TabTRADER[[#This Row],[ClickTick]],[1]!RTData[Ticker_Symbol],[1]!RTData[Currency])</f>
        <v>USD</v>
      </c>
      <c r="W6" s="708">
        <f ca="1">_xlfn.XLOOKUP(TabTRADER[[#This Row],[ClickTick]],TabCalc[Ticker],TabCalc[M])</f>
        <v>221.18199999999999</v>
      </c>
      <c r="X6" s="1315"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-6.1470000000000006E-3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^680/2,654 K$</v>
      </c>
      <c r="AE6" s="116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 s="1164"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221.52</v>
      </c>
      <c r="AG6" s="1165"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66.426839999999686</v>
      </c>
      <c r="AH6" s="1165" t="str" cm="1">
        <f t="array" aca="1" ref="AH6" ca="1">_xlfn.IFS(     TabTRADER[[#This Row],[Traps]]=MUp,MIN(TabTRADER[[#This Row],[L_Sn]],TabTRADER[[#This Row],[N]])*(TabTRADER[[#This Row],[M]]-TabTRADER[[#This Row],[L_Sp]])*(1-Commission)*TabTRADER[[#This Row],[Scale]],                                  TRUE,"M= "&amp;TabTRADER[[#This Row],[M]])</f>
        <v>M= 221.182</v>
      </c>
      <c r="AI6" s="1165" t="str" cm="1">
        <f t="array" aca="1" ref="AI6" ca="1">_xlfn.IFS(   TabTRADER[[#This Row],[Traps]]=MUp,TEXT(MIN(TabTRADER[[#This Row],[L_Sn]],TabTRADER[[#This Row],[N]]),"#,#0")&amp;" x "&amp;TEXT(TabTRADER[[#This Row],[L_Sp]],"#,#0.#0"),          TRUE,"")</f>
        <v/>
      </c>
      <c r="AJ6" s="1165"/>
      <c r="AK6" s="1165" t="str"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 s="1165"/>
      <c r="AM6" s="1165"/>
      <c r="AN6" s="1165"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66.426839999999686</v>
      </c>
      <c r="AO6" s="1174"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1.5032842019727713E-3</v>
      </c>
      <c r="AP6" s="1174" t="str"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 s="825" t="str" cm="1">
        <f t="array" aca="1" ref="AQ6" ca="1">_xlfn.IFS(   TabTRADER[[#This Row],[Traps]]=SellMorePercentGain,                     MIN(TabTRADER[[#This Row],[L_Sn]],TabTRADER[[#This Row],[N]])*(TabTRADER[[#This Row],[M]]-TabTRADER[[#This Row],[L_Sp]])*(1-Commission)*TabTRADER[[#This Row],[Scale]],                    TRUE,"")</f>
        <v/>
      </c>
      <c r="AR6" s="1163">
        <f ca="1">_xlfn.XLOOKUP(TabTRADER[[#This Row],[ClickTick]],TabCalc[Ticker],TabCalc[Ann%RevLB])</f>
        <v>9.3789161261954149E-2</v>
      </c>
      <c r="AS6" s="1267">
        <f ca="1">_xlfn.XLOOKUP(TabTRADER[[#This Row],[ClickTick]],TabCalc[Ticker],TabCalc[Up20])</f>
        <v>0</v>
      </c>
      <c r="AT6" s="310"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5" t="str" cm="1">
        <f t="array" aca="1" ref="AU6" ca="1">_xlfn.IFS(         TabTRADER[[#This Row],[Traps]]=MDown,TabTRADER[[#This Row],[L_Bn]]*TabTRADER[[#This Row],[M]]*(-(TabTRADER[[#This Row],[L_Bp]]+TabTRADER[[#This Row],[M]])/TabTRADER[[#This Row],[M]])*(1-Commission)*TabTRADER[[#This Row],[Scale]],                               TRUE,"")</f>
        <v/>
      </c>
      <c r="AV6" s="1174" t="str" cm="1">
        <f t="array" aca="1" ref="AV6" ca="1">_xlfn.IFS(   TabTRADER[[#This Row],[Traps]]=MUp,TabTRADER[[#This Row],[TakeGain_A]]-Commission,        TabTRADER[[#This Row],[Traps]]=MDown,(TabTRADER[[#This Row],[A]]-TabTRADER[[#This Row],[M]])/TabTRADER[[#This Row],[M]]-Commission,                              TRUE,"")</f>
        <v/>
      </c>
      <c r="AW6" s="760"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215718.88882799973</v>
      </c>
      <c r="AX6" s="760"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6" s="736"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 s="765" cm="1">
        <f t="array" aca="1" ref="AZ6" ca="1">_xlfn.IFS(TabTRADER[[#This Row],[Traps]]=Sale_Back,"",         TabTRADER[[#This Row],[Traps]]=MDown, (TabTRADER[[#This Row],[M]]-TabTRADER[[#This Row],[A]])/TabTRADER[[#This Row],[A]]*ComFactor,             TRUE, IFERROR((TabTRADER[[#This Row],[M]]-TabTRADER[[#This Row],[A]])/TabTRADER[[#This Row],[A]]*ComFactor,""))</f>
        <v>8.8485435349476782E-2</v>
      </c>
      <c r="BA6" s="762" cm="1">
        <f t="array" aca="1" ref="BA6" ca="1">_xlfn.IFS(               TabTRADER[[#This Row],[Traps]]=NoStock,(TabTRADER[[#This Row],[L_Sp]]-TabTRADER[[#This Row],[M]])/TabTRADER[[#This Row],[M]]-Commission,             TabTRADER[[#This Row],[A]]&lt;&gt;0,(TabTRADER[[#This Row],[A]]-TabTRADER[[#This Row],[M]])/TabTRADER[[#This Row],[M]]-Commission)</f>
        <v>-8.4086897667983745E-2</v>
      </c>
      <c r="BB6" s="324">
        <f ca="1">_xlfn.XLOOKUP(TabTRADER[[#This Row],[ClickTick]],TabCalc[Ticker],TabCalc[L_Sn])</f>
        <v>200</v>
      </c>
      <c r="BC6" s="728">
        <f ca="1">_xlfn.XLOOKUP(TabTRADER[[#This Row],[ClickTick]],TabCalc[Ticker],TabCalc[L_Sp])</f>
        <v>221.51499999999999</v>
      </c>
      <c r="BD6" s="764">
        <f ca="1">-IFERROR((TabTRADER[[#This Row],[M]]-TabTRADER[[#This Row],[L_Sp]])/TabTRADER[[#This Row],[L_Sp]],0)</f>
        <v>1.5032842019727713E-3</v>
      </c>
      <c r="BE6" s="729">
        <f ca="1">TabTRADER[[#This Row],[L_Sn]]*(TabTRADER[[#This Row],[M]]-TabTRADER[[#This Row],[L_Sp]])*(1-Commission)*TabTRADER[[#This Row],[Scale]]</f>
        <v>-66.426839999999686</v>
      </c>
      <c r="BF6" s="692">
        <f ca="1">TabTRADER[[#This Row],[L_Sn]]*(TabTRADER[[#This Row],[Agiotage]]-TabTRADER[[#This Row],[M]])/(TabTRADER[[#This Row],[L_Bn]]*TabTRADER[[#This Row],[M]])</f>
        <v>-9.9750307997062734E-2</v>
      </c>
      <c r="BG6" s="635">
        <f ca="1">IFERROR((TabTRADER[[#This Row],[M]]-TabTRADER[[#This Row],[A]])/TabTRADER[[#This Row],[A]],0)</f>
        <v>8.8716097202202512E-2</v>
      </c>
      <c r="BH6" s="638" t="str">
        <f ca="1">TEXT(_xlfn.XLOOKUP(TabTRADER[[#This Row],[ClickTick]],TabCalc[Ticker],TabCalc[NAfter]),"#,#0")&amp;" : "&amp;TEXT(_xlfn.XLOOKUP(TabTRADER[[#This Row],[ClickTick]],TabCalc[Ticker],TabCalc[NAfter])*(TabTRADER[[#This Row],[M]]-TabTRADER[[#This Row],[A]])*(1-Commission)*TabTRADER[[#This Row],[Scale]],"#,#0$")</f>
        <v>12,000 : 215,719$</v>
      </c>
      <c r="BI6" s="684">
        <f ca="1">_xlfn.XLOOKUP(TabTRADER[[#This Row],[ClickTick]],TabCalc[[#This Row],[Ticker]],TabCalc[[#This Row],[GL]])*(1-Commission)</f>
        <v>678049.231065967</v>
      </c>
      <c r="BJ6" s="684"/>
      <c r="BK6" s="669" t="str">
        <f ca="1">TabTRADER[[#This Row],[ClickTick]]&amp;": "&amp;_xlfn.XLOOKUP(TabTRADER[[#This Row],[ClickTick]],TabCalc[Ticker],TabCalc[Pile?])</f>
        <v>AMZN: Pile</v>
      </c>
      <c r="BL6" s="351" t="s">
        <v>1927</v>
      </c>
      <c r="BM6" s="755" t="str" cm="1">
        <f t="array" aca="1" ref="BM6" ca="1">_xlfn.TEXTJOIN("",,INDEX({"M","A","Y"}, _xlfn.SORTBY({1,2,3}, -CHOOSE({1,2,3}, TabTRADER[[#This Row],[M]], TabTRADER[[#This Row],[A]], TabTRADER[[#This Row],[Agiotage]]))))</f>
        <v>MAY</v>
      </c>
      <c r="BN6" s="902" t="str"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 s="679">
        <f ca="1">TabTRADER[[#This Row],[L_Sn]]*TabTRADER[[#This Row],[L_Sp]]+TabTRADER[[#This Row],[SellMore]]*TabTRADER[[#This Row],[M]]</f>
        <v>154894</v>
      </c>
      <c r="BP6" s="679">
        <f ca="1">INDEX(
  INDEX(TabConsolid[], , _xlfn.XMATCH(TabTRADER[[#This Row],[ClickTick]]&amp;1, TabConsolid[#Headers])),
  MATCH(
    -TabTRADER[[#This Row],[M]],
    INDEX(TabConsolid[], , _xlfn.XMATCH(TabTRADER[[#This Row],[ClickTick]]&amp;2, TabConsolid[#Headers])),
    -1
  )
)</f>
        <v>500</v>
      </c>
      <c r="BQ6" s="679"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 s="1144">
        <f ca="1">TabTRADER[[#This Row],[ReBuy]]/(TabTRADER[[#This Row],[L_Sn]]+TabTRADER[[#This Row],[SellMore]])</f>
        <v>221.27714285714285</v>
      </c>
      <c r="BS6" s="687">
        <f ca="1">((_xlfn.XLOOKUP(TabTRADER[[#This Row],[ClickTick]],TabCalc[Ticker],TabCalc[NAfter])+TabTRADER[[#This Row],[L_Sn]])*(TabTRADER[[#This Row],[Agiotage]]-TabTRADER[[#This Row],[M]]))/(TabTRADER[[#This Row],[L_Sn]]*_xlfn.XLOOKUP(TabTRADER[[#This Row],[ClickTick]],TabCalc[Ticker],TabCalc[NAfter]))</f>
        <v>-1.1215344416898216</v>
      </c>
      <c r="BT6" s="687">
        <f ca="1">(TabTRADER[[#This Row],[M]]-TabTRADER[[#This Row],[Agiotage]])/(TabTRADER[[#This Row],[M]]-TabTRADER[[#This Row],[A]])-1</f>
        <v>11.241269560106804</v>
      </c>
      <c r="BU6" s="1262">
        <f ca="1">_xlfn.XMATCH(TabTRADER[[#This Row],[ClickTick]]&amp;1, TabConsolid[#Headers])</f>
        <v>11</v>
      </c>
      <c r="BV6" t="b">
        <f ca="1">IF(ABS(TabTRADER[[#This Row],[L_Bp]])&gt;=TabTRADER[[#This Row],[M]],"OK")</f>
        <v>0</v>
      </c>
    </row>
    <row r="7" spans="1:74" hidden="1"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-3,630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-7,680$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2.2286773255813959</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56381.599999999999</v>
      </c>
      <c r="M7" s="323">
        <f ca="1">_xlfn.XLOOKUP(TabTRADER[[#This Row],[ClickTick]],TabCalc[Ticker],TabCalc[Agiotage])</f>
        <v>0.55366568914956016</v>
      </c>
      <c r="N7" s="324" cm="1">
        <f t="array" aca="1" ref="N7" ca="1">_xlfn.XLOOKUP(TabTRADER[[#This Row],[ClickTick]],ListTickers,Tab2RSIConventional[RSIConv20])</f>
        <v>36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-0.26021505376344095</v>
      </c>
      <c r="S7" s="683">
        <f ca="1">_xlfn.XLOOKUP(TabTRADER[[#This Row],[ClickTick]],TabCalc[Ticker],TabCalc[Rev(MinStock)])*(1-Commission)</f>
        <v>-3620.5620000000013</v>
      </c>
      <c r="T7" s="782">
        <f ca="1">_xlfn.XLOOKUP(TabTRADER[[#This Row],[ClickTick]],TabCalc[Ticker],TabCalc[Agiotage])</f>
        <v>0.55366568914956016</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15,180/15,180=&gt;1.2% / 1.2%</v>
      </c>
      <c r="V7" s="739" t="str">
        <f ca="1">_xlfn.XLOOKUP(TabTRADER[[#This Row],[ClickTick]],[1]!RTData[Ticker_Symbol],[1]!RTData[Currency])</f>
        <v>EUR</v>
      </c>
      <c r="W7" s="749">
        <f ca="1">_xlfn.XLOOKUP(TabTRADER[[#This Row],[ClickTick]],TabCalc[Ticker],TabCalc[M])</f>
        <v>0.68799999999999994</v>
      </c>
      <c r="X7" s="1315"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1.1765000000000001E-2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-1,224/1,741 K$</v>
      </c>
      <c r="AE7" s="1182"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64"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65"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65" t="str" cm="1">
        <f t="array" aca="1" ref="AH7" ca="1">_xlfn.IFS(     TabTRADER[[#This Row],[Traps]]=MUp,MIN(TabTRADER[[#This Row],[L_Sn]],TabTRADER[[#This Row],[N]])*(TabTRADER[[#This Row],[M]]-TabTRADER[[#This Row],[L_Sp]])*(1-Commission)*TabTRADER[[#This Row],[Scale]],                                  TRUE,"M= "&amp;TabTRADER[[#This Row],[M]])</f>
        <v>M= 0.688</v>
      </c>
      <c r="AI7" s="1165" t="str" cm="1">
        <f t="array" aca="1" ref="AI7" ca="1">_xlfn.IFS(   TabTRADER[[#This Row],[Traps]]=MUp,TEXT(MIN(TabTRADER[[#This Row],[L_Sn]],TabTRADER[[#This Row],[N]]),"#,#0")&amp;" x "&amp;TEXT(TabTRADER[[#This Row],[L_Sp]],"#,#0.#0"),          TRUE,"")</f>
        <v/>
      </c>
      <c r="AJ7" s="1165"/>
      <c r="AK7" s="1165"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3620.5620000000013</v>
      </c>
      <c r="AL7" s="1165"/>
      <c r="AM7" s="1165"/>
      <c r="AN7" s="1165"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1740639.9999999998</v>
      </c>
      <c r="AO7" s="1174"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0.41043639248182623</v>
      </c>
      <c r="AP7" s="1174"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0.34914418604651182</v>
      </c>
      <c r="AQ7" s="825" t="str" cm="1">
        <f t="array" aca="1" ref="AQ7" ca="1">_xlfn.IFS(   TabTRADER[[#This Row],[Traps]]=SellMorePercentGain,                     MIN(TabTRADER[[#This Row],[L_Sn]],TabTRADER[[#This Row],[N]])*(TabTRADER[[#This Row],[M]]-TabTRADER[[#This Row],[L_Sp]])*(1-Commission)*TabTRADER[[#This Row],[Scale]],                    TRUE,"")</f>
        <v/>
      </c>
      <c r="AR7" s="1163">
        <f ca="1">_xlfn.XLOOKUP(TabTRADER[[#This Row],[ClickTick]],TabCalc[Ticker],TabCalc[Ann%RevLB])</f>
        <v>-0.38080251770259654</v>
      </c>
      <c r="AS7" s="1267">
        <f ca="1">_xlfn.XLOOKUP(TabTRADER[[#This Row],[ClickTick]],TabCalc[Ticker],TabCalc[Up20])</f>
        <v>0</v>
      </c>
      <c r="AT7" s="1243"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0.35174418604651181</v>
      </c>
      <c r="AU7" s="825" cm="1">
        <f t="array" aca="1" ref="AU7" ca="1">_xlfn.IFS(         TabTRADER[[#This Row],[Traps]]=MDown,TabTRADER[[#This Row],[L_Bn]]*TabTRADER[[#This Row],[M]]*(-(TabTRADER[[#This Row],[L_Bp]]+TabTRADER[[#This Row],[M]])/TabTRADER[[#This Row],[M]])*(1-Commission)*TabTRADER[[#This Row],[Scale]],                               TRUE,"")</f>
        <v>3620.5620000000017</v>
      </c>
      <c r="AV7" s="1174" cm="1">
        <f t="array" aca="1" ref="AV7" ca="1">_xlfn.IFS(   TabTRADER[[#This Row],[Traps]]=MUp,TabTRADER[[#This Row],[TakeGain_A]]-Commission,        TabTRADER[[#This Row],[Traps]]=MDown,(TabTRADER[[#This Row],[A]]-TabTRADER[[#This Row],[M]])/TabTRADER[[#This Row],[M]]-Commission,                              TRUE,"")</f>
        <v>0.6935698233199955</v>
      </c>
      <c r="AW7" s="825"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1208630.4105564312</v>
      </c>
      <c r="AX7" s="760"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7" s="736"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-0.24</v>
      </c>
      <c r="AZ7" s="765" cm="1">
        <f t="array" aca="1" ref="AZ7" ca="1">_xlfn.IFS(TabTRADER[[#This Row],[Traps]]=Sale_Back,"",         TabTRADER[[#This Row],[Traps]]=MDown, (TabTRADER[[#This Row],[M]]-TabTRADER[[#This Row],[A]])/TabTRADER[[#This Row],[A]]*ComFactor,             TRUE, IFERROR((TabTRADER[[#This Row],[M]]-TabTRADER[[#This Row],[A]])/TabTRADER[[#This Row],[A]]*ComFactor,""))</f>
        <v>-0.40936925786137346</v>
      </c>
      <c r="BA7" s="762" cm="1">
        <f t="array" aca="1" ref="BA7" ca="1">_xlfn.IFS(               TabTRADER[[#This Row],[Traps]]=NoStock,(TabTRADER[[#This Row],[L_Sp]]-TabTRADER[[#This Row],[M]])/TabTRADER[[#This Row],[M]]-Commission,             TabTRADER[[#This Row],[A]]&lt;&gt;0,(TabTRADER[[#This Row],[A]]-TabTRADER[[#This Row],[M]])/TabTRADER[[#This Row],[M]]-Commission)</f>
        <v>0.6935698233199955</v>
      </c>
      <c r="BB7" s="324">
        <f ca="1">_xlfn.XLOOKUP(TabTRADER[[#This Row],[ClickTick]],TabCalc[Ticker],TabCalc[L_Sn])</f>
        <v>0</v>
      </c>
      <c r="BC7" s="728">
        <f ca="1">_xlfn.XLOOKUP(TabTRADER[[#This Row],[ClickTick]],TabCalc[Ticker],TabCalc[L_Sp])</f>
        <v>0</v>
      </c>
      <c r="BD7" s="764">
        <f ca="1">-IFERROR((TabTRADER[[#This Row],[M]]-TabTRADER[[#This Row],[L_Sp]])/TabTRADER[[#This Row],[L_Sp]],0)</f>
        <v>0</v>
      </c>
      <c r="BE7" s="729">
        <f ca="1">TabTRADER[[#This Row],[L_Sn]]*(TabTRADER[[#This Row],[M]]-TabTRADER[[#This Row],[L_Sp]])*(1-Commission)*TabTRADER[[#This Row],[Scale]]</f>
        <v>0</v>
      </c>
      <c r="BF7" s="692">
        <f ca="1">TabTRADER[[#This Row],[L_Sn]]*(TabTRADER[[#This Row],[Agiotage]]-TabTRADER[[#This Row],[M]])/(TabTRADER[[#This Row],[L_Bn]]*TabTRADER[[#This Row],[M]])</f>
        <v>0</v>
      </c>
      <c r="BG7" s="635">
        <f ca="1">IFERROR((TabTRADER[[#This Row],[M]]-TabTRADER[[#This Row],[A]])/TabTRADER[[#This Row],[A]],0)</f>
        <v>-0.41043639248182623</v>
      </c>
      <c r="BH7" s="638" t="str">
        <f ca="1">TEXT(_xlfn.XLOOKUP(TabTRADER[[#This Row],[ClickTick]],TabCalc[Ticker],TabCalc[NAfter]),"#,#0")&amp;" : "&amp;TEXT(_xlfn.XLOOKUP(TabTRADER[[#This Row],[ClickTick]],TabCalc[Ticker],TabCalc[NAfter])*(TabTRADER[[#This Row],[M]]-TabTRADER[[#This Row],[A]])*(1-Commission)*TabTRADER[[#This Row],[Scale]],"#,#0$")</f>
        <v>2,530,000 : -1,208,630$</v>
      </c>
      <c r="BI7" s="684">
        <f ca="1">_xlfn.XLOOKUP(TabTRADER[[#This Row],[ClickTick]],TabCalc[[#This Row],[Ticker]],TabCalc[[#This Row],[GL]])*(1-Commission)</f>
        <v>-1220800.6441710782</v>
      </c>
      <c r="BJ7" s="684"/>
      <c r="BK7" s="669" t="str">
        <f ca="1">TabTRADER[[#This Row],[ClickTick]]&amp;": "&amp;_xlfn.XLOOKUP(TabTRADER[[#This Row],[ClickTick]],TabCalc[Ticker],TabCalc[Pile?])</f>
        <v>ALDNE: Pile</v>
      </c>
      <c r="BL7" s="351" t="s">
        <v>1929</v>
      </c>
      <c r="BM7" s="755" t="str" cm="1">
        <f t="array" aca="1" ref="BM7" ca="1">_xlfn.TEXTJOIN("",,INDEX({"M","A","Y"}, _xlfn.SORTBY({1,2,3}, -CHOOSE({1,2,3}, TabTRADER[[#This Row],[M]], TabTRADER[[#This Row],[A]], TabTRADER[[#This Row],[Agiotage]]))))</f>
        <v>AMY</v>
      </c>
      <c r="BN7" s="902"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0.35174418604651181</v>
      </c>
      <c r="BO7" s="679" t="e">
        <f ca="1">TabTRADER[[#This Row],[L_Sn]]*TabTRADER[[#This Row],[L_Sp]]+TabTRADER[[#This Row],[SellMore]]*TabTRADER[[#This Row],[M]]</f>
        <v>#N/A</v>
      </c>
      <c r="BP7" s="679" t="e">
        <f ca="1">INDEX(
  INDEX(TabConsolid[], , _xlfn.XMATCH(TabTRADER[[#This Row],[ClickTick]]&amp;1, TabConsolid[#Headers])),
  MATCH(
    -TabTRADER[[#This Row],[M]],
    INDEX(TabConsolid[], , _xlfn.XMATCH(TabTRADER[[#This Row],[ClickTick]]&amp;2, TabConsolid[#Headers])),
    -1
  )
)</f>
        <v>#N/A</v>
      </c>
      <c r="BQ7" s="679"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44" t="e">
        <f ca="1">TabTRADER[[#This Row],[ReBuy]]/(TabTRADER[[#This Row],[L_Sn]]+TabTRADER[[#This Row],[SellMore]])</f>
        <v>#N/A</v>
      </c>
      <c r="BS7" s="687" t="e">
        <f ca="1">((_xlfn.XLOOKUP(TabTRADER[[#This Row],[ClickTick]],TabCalc[Ticker],TabCalc[NAfter])+TabTRADER[[#This Row],[L_Sn]])*(TabTRADER[[#This Row],[Agiotage]]-TabTRADER[[#This Row],[M]]))/(TabTRADER[[#This Row],[L_Sn]]*_xlfn.XLOOKUP(TabTRADER[[#This Row],[ClickTick]],TabCalc[Ticker],TabCalc[NAfter]))</f>
        <v>#DIV/0!</v>
      </c>
      <c r="BT7" s="687">
        <f ca="1">(TabTRADER[[#This Row],[M]]-TabTRADER[[#This Row],[Agiotage]])/(TabTRADER[[#This Row],[M]]-TabTRADER[[#This Row],[A]])-1</f>
        <v>-1.2804680011309473</v>
      </c>
      <c r="BU7" s="1262">
        <f ca="1">_xlfn.XMATCH(TabTRADER[[#This Row],[ClickTick]]&amp;1, TabConsolid[#Headers])</f>
        <v>14</v>
      </c>
      <c r="BV7" t="str">
        <f ca="1">IF(ABS(TabTRADER[[#This Row],[L_Bp]])&gt;=TabTRADER[[#This Row],[M]],"OK")</f>
        <v>OK</v>
      </c>
    </row>
    <row r="8" spans="1:74" hidden="1"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-10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50,000</v>
      </c>
      <c r="F8" s="226" t="str">
        <f ca="1">TRUNC(TabCalc[[#This Row],[L_B1p]],2)&amp;"x"&amp;TabCalc[[#This Row],[L_B1n]]&amp;"=   "&amp;TEXT(TabCalc[[#This Row],[ReverseS1]],"#,#0")&amp;"$"</f>
        <v>-813.9x200=   14,540$</v>
      </c>
      <c r="G8" s="225" t="str">
        <f ca="1">IFERROR(TRUNC(_xlfn.XLOOKUP(TabTRADER[[#This Row],[ClickTick]],TabCalc[Ticker],ListLastSalep),2)&amp;"x"&amp;_xlfn.XLOOKUP(TabTRADER[[#This Row],[ClickTick]],TabCalc[Ticker],ListLastSalen)&amp;"=   "&amp;TEXT(-_xlfn.XLOOKUP(TabTRADER[[#This Row],[ClickTick]],TabCalc[Ticker],ListReverseB),"#,#0")&amp;"$","")</f>
        <v>886.7x100=   -10$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50,000</v>
      </c>
      <c r="I8" s="226" t="str">
        <f ca="1">IFERROR(TRUNC(TabCalc[[#This Row],[L_S1p]],2)&amp;"x"&amp;TabCalc[[#This Row],[L_S1n]]&amp;"=   "&amp;TEXT(TabCalc[[#This Row],[ReverseB1]],"#,#0"),"")</f>
        <v>910.25x100=   2,365</v>
      </c>
      <c r="J8" s="295">
        <f ca="1">_xlfn.XLOOKUP(TabTRADER[[#This Row],[ClickTick]],TabCalc[Ticker],ListGravity)</f>
        <v>1.0623767877284007</v>
      </c>
      <c r="K8" s="322" cm="1">
        <f t="array" aca="1" ref="K8" ca="1">IF(_xlfn.XLOOKUP(TabTRADER[[#This Row],[ClickTick]],TabTRADER[ClickTick],ListExtra_n)&gt;0,_xlfn.XLOOKUP(TabTRADER[[#This Row],[ClickTick]],TabTRADER[ClickTick],ListExtra_n),"")</f>
        <v>3000</v>
      </c>
      <c r="L8" s="320">
        <f ca="1">IF(_xlfn.XLOOKUP(TabTRADER[[#This Row],[ClickTick]],TabCalc[Ticker],ListExtra_n)&gt;0,_xlfn.XLOOKUP(TabTRADER[[#This Row],[ClickTick]],TabCalc[Ticker],ListExtra_n)*TabTRADER[[#This Row],[M]]*_xlfn.XLOOKUP(TabTRADER[[#This Row],[ClickTick]],TabCalc[Ticker],ListScale),"")</f>
        <v>2659800</v>
      </c>
      <c r="M8" s="323">
        <f ca="1">_xlfn.XLOOKUP(TabTRADER[[#This Row],[ClickTick]],TabCalc[Ticker],TabCalc[Agiotage])</f>
        <v>1.0213644846396783</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-1.1277771512351724E-4</v>
      </c>
      <c r="S8" s="683">
        <f ca="1">_xlfn.XLOOKUP(TabTRADER[[#This Row],[ClickTick]],TabCalc[Ticker],TabCalc[Rev(MinStock)])*(1-Commission)</f>
        <v>-9.9740000000022668</v>
      </c>
      <c r="T8" s="782">
        <f ca="1">_xlfn.XLOOKUP(TabTRADER[[#This Row],[ClickTick]],TabCalc[Ticker],TabCalc[Agiotage])</f>
        <v>1.0213644846396783</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89,250/89,250=&gt;2.4% / 2.4%</v>
      </c>
      <c r="V8" s="739" t="str">
        <f ca="1">_xlfn.XLOOKUP(TabTRADER[[#This Row],[ClickTick]],[1]!RTData[Ticker_Symbol],[1]!RTData[Currency])</f>
        <v>EUR</v>
      </c>
      <c r="W8" s="749">
        <f ca="1">_xlfn.XLOOKUP(TabTRADER[[#This Row],[ClickTick]],TabCalc[Ticker],TabCalc[M])</f>
        <v>886.6</v>
      </c>
      <c r="X8" s="1315"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655.73235294117649</v>
      </c>
      <c r="AB8" s="817" cm="1">
        <f t="array" aca="1" ref="AB8" ca="1">_xlfn.XLOOKUP(TabTRADER[[#This Row],[ClickTick]],ListTickers,Tab1ChangePercent[Change%19])</f>
        <v>2.4260999999999998E-2</v>
      </c>
      <c r="AC8" s="768">
        <f ca="1">_xlfn.XLOOKUP(TabTRADER[[#This Row],[ClickTick]],TabCalc[Ticker],TabCalc[NAfter])</f>
        <v>3500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^812/3,103 K$</v>
      </c>
      <c r="AE8" s="116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 s="1164"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886.6, 00.0%</v>
      </c>
      <c r="AG8" s="1165"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-886.70</v>
      </c>
      <c r="AH8" s="1165" t="str" cm="1">
        <f t="array" aca="1" ref="AH8" ca="1">_xlfn.IFS(     TabTRADER[[#This Row],[Traps]]=MUp,MIN(TabTRADER[[#This Row],[L_Sn]],TabTRADER[[#This Row],[N]])*(TabTRADER[[#This Row],[M]]-TabTRADER[[#This Row],[L_Sp]])*(1-Commission)*TabTRADER[[#This Row],[Scale]],                                  TRUE,"M= "&amp;TabTRADER[[#This Row],[M]])</f>
        <v>M= 886.6</v>
      </c>
      <c r="AI8" s="1165" t="str" cm="1">
        <f t="array" aca="1" ref="AI8" ca="1">_xlfn.IFS(   TabTRADER[[#This Row],[Traps]]=MUp,TEXT(MIN(TabTRADER[[#This Row],[L_Sn]],TabTRADER[[#This Row],[N]]),"#,#0")&amp;" x "&amp;TEXT(TabTRADER[[#This Row],[L_Sp]],"#,#0.#0"),          TRUE,"")</f>
        <v/>
      </c>
      <c r="AJ8" s="1165"/>
      <c r="AK8" s="1165"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9.9740000000022668</v>
      </c>
      <c r="AL8" s="1165"/>
      <c r="AM8" s="1165"/>
      <c r="AN8" s="1165"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3103100</v>
      </c>
      <c r="AO8" s="1174"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-0.35207603532646481</v>
      </c>
      <c r="AP8" s="1174"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-2.4872095646288938E-3</v>
      </c>
      <c r="AQ8" s="825" t="str" cm="1">
        <f t="array" aca="1" ref="AQ8" ca="1">_xlfn.IFS(   TabTRADER[[#This Row],[Traps]]=SellMorePercentGain,                     MIN(TabTRADER[[#This Row],[L_Sn]],TabTRADER[[#This Row],[N]])*(TabTRADER[[#This Row],[M]]-TabTRADER[[#This Row],[L_Sp]])*(1-Commission)*TabTRADER[[#This Row],[Scale]],                    TRUE,"")</f>
        <v/>
      </c>
      <c r="AR8" s="1163">
        <f ca="1">_xlfn.XLOOKUP(TabTRADER[[#This Row],[ClickTick]],TabCalc[Ticker],TabCalc[Ann%RevLB])</f>
        <v>-8.1199954888932415E-3</v>
      </c>
      <c r="AS8" s="1163">
        <f ca="1">_xlfn.XLOOKUP(TabTRADER[[#This Row],[ClickTick]],TabCalc[Ticker],TabCalc[Up20])</f>
        <v>0</v>
      </c>
      <c r="AT8" s="310"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1.1279043537110617E-4</v>
      </c>
      <c r="AU8" s="825" cm="1">
        <f t="array" aca="1" ref="AU8" ca="1">_xlfn.IFS(         TabTRADER[[#This Row],[Traps]]=MDown,TabTRADER[[#This Row],[L_Bn]]*TabTRADER[[#This Row],[M]]*(-(TabTRADER[[#This Row],[L_Bp]]+TabTRADER[[#This Row],[M]])/TabTRADER[[#This Row],[M]])*(1-Commission)*TabTRADER[[#This Row],[Scale]],                               TRUE,"")</f>
        <v>9.9740000000022668</v>
      </c>
      <c r="AV8" s="1174" cm="1">
        <f t="array" aca="1" ref="AV8" ca="1">_xlfn.IFS(   TabTRADER[[#This Row],[Traps]]=MUp,TabTRADER[[#This Row],[TakeGain_A]]-Commission,        TabTRADER[[#This Row],[Traps]]=MDown,(TabTRADER[[#This Row],[A]]-TabTRADER[[#This Row],[M]])/TabTRADER[[#This Row],[M]]-Commission,                              TRUE,"")</f>
        <v>-0.26299662424861664</v>
      </c>
      <c r="AW8" s="825"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-805935.86911764706</v>
      </c>
      <c r="AX8" s="760"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8" s="736"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Z8" s="765" cm="1">
        <f t="array" aca="1" ref="AZ8" ca="1">_xlfn.IFS(TabTRADER[[#This Row],[Traps]]=Sale_Back,"",         TabTRADER[[#This Row],[Traps]]=MDown, (TabTRADER[[#This Row],[M]]-TabTRADER[[#This Row],[A]])/TabTRADER[[#This Row],[A]]*ComFactor,             TRUE, IFERROR((TabTRADER[[#This Row],[M]]-TabTRADER[[#This Row],[A]])/TabTRADER[[#This Row],[A]]*ComFactor,""))</f>
        <v>0.35116063763461597</v>
      </c>
      <c r="BA8" s="762" cm="1">
        <f t="array" aca="1" ref="BA8" ca="1">_xlfn.IFS(               TabTRADER[[#This Row],[Traps]]=NoStock,(TabTRADER[[#This Row],[L_Sp]]-TabTRADER[[#This Row],[M]])/TabTRADER[[#This Row],[M]]-Commission,             TabTRADER[[#This Row],[A]]&lt;&gt;0,(TabTRADER[[#This Row],[A]]-TabTRADER[[#This Row],[M]])/TabTRADER[[#This Row],[M]]-Commission)</f>
        <v>-0.26299662424861664</v>
      </c>
      <c r="BB8" s="324">
        <f ca="1">_xlfn.XLOOKUP(TabTRADER[[#This Row],[ClickTick]],TabCalc[Ticker],TabCalc[L_Sn])</f>
        <v>100</v>
      </c>
      <c r="BC8" s="728">
        <f ca="1">_xlfn.XLOOKUP(TabTRADER[[#This Row],[ClickTick]],TabCalc[Ticker],TabCalc[L_Sp])</f>
        <v>886.7</v>
      </c>
      <c r="BD8" s="764">
        <f ca="1">-IFERROR((TabTRADER[[#This Row],[M]]-TabTRADER[[#This Row],[L_Sp]])/TabTRADER[[#This Row],[L_Sp]],0)</f>
        <v>1.1277771512351724E-4</v>
      </c>
      <c r="BE8" s="729">
        <f ca="1">TabTRADER[[#This Row],[L_Sn]]*(TabTRADER[[#This Row],[M]]-TabTRADER[[#This Row],[L_Sp]])*(1-Commission)*TabTRADER[[#This Row],[Scale]]</f>
        <v>-9.9740000000022668</v>
      </c>
      <c r="BF8" s="692">
        <f ca="1">TabTRADER[[#This Row],[L_Sn]]*(TabTRADER[[#This Row],[Agiotage]]-TabTRADER[[#This Row],[M]])/(TabTRADER[[#This Row],[L_Bn]]*TabTRADER[[#This Row],[M]])</f>
        <v>-0.99884799855104933</v>
      </c>
      <c r="BG8" s="635">
        <f ca="1">IFERROR((TabTRADER[[#This Row],[M]]-TabTRADER[[#This Row],[A]])/TabTRADER[[#This Row],[A]],0)</f>
        <v>0.35207603532646481</v>
      </c>
      <c r="BH8" s="638" t="str">
        <f ca="1">TEXT(_xlfn.XLOOKUP(TabTRADER[[#This Row],[ClickTick]],TabCalc[Ticker],TabCalc[NAfter]),"#,#0")&amp;" : "&amp;TEXT(_xlfn.XLOOKUP(TabTRADER[[#This Row],[ClickTick]],TabCalc[Ticker],TabCalc[NAfter])*(TabTRADER[[#This Row],[M]]-TabTRADER[[#This Row],[A]])*(1-Commission)*TabTRADER[[#This Row],[Scale]],"#,#0$")</f>
        <v>3,500 : 805,936$</v>
      </c>
      <c r="BI8" s="684">
        <f ca="1">_xlfn.XLOOKUP(TabTRADER[[#This Row],[ClickTick]],TabCalc[[#This Row],[Ticker]],TabCalc[[#This Row],[GL]])*(1-Commission)</f>
        <v>810301.05744252459</v>
      </c>
      <c r="BJ8" s="684"/>
      <c r="BK8" s="669" t="str">
        <f ca="1">TabTRADER[[#This Row],[ClickTick]]&amp;": "&amp;_xlfn.XLOOKUP(TabTRADER[[#This Row],[ClickTick]],TabCalc[Ticker],TabCalc[Pile?])</f>
        <v xml:space="preserve">ASML: </v>
      </c>
      <c r="BL8" s="351" t="s">
        <v>1930</v>
      </c>
      <c r="BM8" s="755" t="str" cm="1">
        <f t="array" aca="1" ref="BM8" ca="1">_xlfn.TEXTJOIN("",,INDEX({"M","A","Y"}, _xlfn.SORTBY({1,2,3}, -CHOOSE({1,2,3}, TabTRADER[[#This Row],[M]], TabTRADER[[#This Row],[A]], TabTRADER[[#This Row],[Agiotage]]))))</f>
        <v>MAY</v>
      </c>
      <c r="BN8" s="902"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1.1279043537110617E-4</v>
      </c>
      <c r="BO8" s="679">
        <f ca="1">TabTRADER[[#This Row],[L_Sn]]*TabTRADER[[#This Row],[L_Sp]]+TabTRADER[[#This Row],[SellMore]]*TabTRADER[[#This Row],[M]]</f>
        <v>265990</v>
      </c>
      <c r="BP8" s="679">
        <f ca="1">INDEX(
  INDEX(TabConsolid[], , _xlfn.XMATCH(TabTRADER[[#This Row],[ClickTick]]&amp;1, TabConsolid[#Headers])),
  MATCH(
    -TabTRADER[[#This Row],[M]],
    INDEX(TabConsolid[], , _xlfn.XMATCH(TabTRADER[[#This Row],[ClickTick]]&amp;2, TabConsolid[#Headers])),
    -1
  )
)</f>
        <v>200</v>
      </c>
      <c r="BQ8" s="679"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8" s="1144">
        <f ca="1">TabTRADER[[#This Row],[ReBuy]]/(TabTRADER[[#This Row],[L_Sn]]+TabTRADER[[#This Row],[SellMore]])</f>
        <v>886.63333333333333</v>
      </c>
      <c r="BS8" s="687">
        <f ca="1">((_xlfn.XLOOKUP(TabTRADER[[#This Row],[ClickTick]],TabCalc[Ticker],TabCalc[NAfter])+TabTRADER[[#This Row],[L_Sn]])*(TabTRADER[[#This Row],[Agiotage]]-TabTRADER[[#This Row],[M]]))/(TabTRADER[[#This Row],[L_Sn]]*_xlfn.XLOOKUP(TabTRADER[[#This Row],[ClickTick]],TabCalc[Ticker],TabCalc[NAfter]))</f>
        <v>-9.1088088224437058</v>
      </c>
      <c r="BT8" s="687">
        <f ca="1">(TabTRADER[[#This Row],[M]]-TabTRADER[[#This Row],[Agiotage]])/(TabTRADER[[#This Row],[M]]-TabTRADER[[#This Row],[A]])-1</f>
        <v>2.8358715341769858</v>
      </c>
      <c r="BU8" s="1262">
        <f ca="1">_xlfn.XMATCH(TabTRADER[[#This Row],[ClickTick]]&amp;1, TabConsolid[#Headers])</f>
        <v>17</v>
      </c>
      <c r="BV8" t="str">
        <f ca="1">IF(ABS(TabTRADER[[#This Row],[L_Bp]])&gt;=TabTRADER[[#This Row],[M]],"OK")</f>
        <v>OK</v>
      </c>
    </row>
    <row r="9" spans="1:74" hidden="1"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+3,268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28,909$</v>
      </c>
      <c r="G9" s="225" t="str">
        <f ca="1">IFERROR(TRUNC(_xlfn.XLOOKUP(TabTRADER[[#This Row],[ClickTick]],TabCalc[Ticker],ListLastSalep),2)&amp;"x"&amp;_xlfn.XLOOKUP(TabTRADER[[#This Row],[ClickTick]],TabCalc[Ticker],ListLastSalen)&amp;"=   "&amp;TEXT(-_xlfn.XLOOKUP(TabTRADER[[#This Row],[ClickTick]],TabCalc[Ticker],ListReverseB),"#,#0")&amp;"$","")</f>
        <v>342.32x200=   1,130$</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9" s="226" t="str">
        <f ca="1">IFERROR(TRUNC(TabCalc[[#This Row],[L_S1p]],2)&amp;"x"&amp;TabCalc[[#This Row],[L_S1n]]&amp;"=   "&amp;TEXT(TabCalc[[#This Row],[ReverseB1]],"#,#0"),"")</f>
        <v>346.09x160=   -301</v>
      </c>
      <c r="J9" s="295">
        <f ca="1">_xlfn.XLOOKUP(TabTRADER[[#This Row],[ClickTick]],TabCalc[Ticker],ListGravity)</f>
        <v>1.1276306865534385</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3479.7000000000003</v>
      </c>
      <c r="M9" s="323">
        <f ca="1">_xlfn.XLOOKUP(TabTRADER[[#This Row],[ClickTick]],TabCalc[Ticker],TabCalc[Agiotage])</f>
        <v>0.51410314470649965</v>
      </c>
      <c r="N9" s="324" cm="1">
        <f t="array" aca="1" ref="N9" ca="1">_xlfn.XLOOKUP(TabTRADER[[#This Row],[ClickTick]],ListTickers,Tab2RSIConventional[RSIConv20])</f>
        <v>64</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4.9271778789615028E-2</v>
      </c>
      <c r="S9" s="683">
        <f ca="1">_xlfn.XLOOKUP(TabTRADER[[#This Row],[ClickTick]],TabCalc[Ticker],TabCalc[Rev(MinStock)])*(1-Commission)</f>
        <v>3259.503200000006</v>
      </c>
      <c r="T9" s="782">
        <f ca="1">_xlfn.XLOOKUP(TabTRADER[[#This Row],[ClickTick]],TabCalc[Ticker],TabCalc[Agiotage])</f>
        <v>0.51410314470649965</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1,454/1,454=&gt;2.2% / 2.2%</v>
      </c>
      <c r="V9" s="739" t="str">
        <f ca="1">_xlfn.XLOOKUP(TabTRADER[[#This Row],[ClickTick]],[1]!RTData[Ticker_Symbol],[1]!RTData[Currency])</f>
        <v>USD</v>
      </c>
      <c r="W9" s="749">
        <f ca="1">_xlfn.XLOOKUP(TabTRADER[[#This Row],[ClickTick]],TabCalc[Ticker],TabCalc[M])</f>
        <v>347.97</v>
      </c>
      <c r="X9" s="1315"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2.1937999999999999E-2</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^70/70 K$</v>
      </c>
      <c r="AE9" s="1182"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64"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347.97, 01.7%</v>
      </c>
      <c r="AG9" s="1165"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65" cm="1">
        <f t="array" aca="1" ref="AH9" ca="1">_xlfn.IFS(     TabTRADER[[#This Row],[Traps]]=MUp,MIN(TabTRADER[[#This Row],[L_Sn]],TabTRADER[[#This Row],[N]])*(TabTRADER[[#This Row],[M]]-TabTRADER[[#This Row],[L_Sp]])*(1-Commission)*TabTRADER[[#This Row],[Scale]],                                  TRUE,"M= "&amp;TabTRADER[[#This Row],[M]])</f>
        <v>1127.0620000000067</v>
      </c>
      <c r="AI9" s="1165" t="str" cm="1">
        <f t="array" aca="1" ref="AI9" ca="1">_xlfn.IFS(   TabTRADER[[#This Row],[Traps]]=MUp,TEXT(MIN(TabTRADER[[#This Row],[L_Sn]],TabTRADER[[#This Row],[N]]),"#,#0")&amp;" x "&amp;TEXT(TabTRADER[[#This Row],[L_Sp]],"#,#0.#0"),          TRUE,"")</f>
        <v>200 x 342.32</v>
      </c>
      <c r="AJ9" s="1165"/>
      <c r="AK9" s="1165"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1127.0620000000067</v>
      </c>
      <c r="AL9" s="1165"/>
      <c r="AM9" s="1165"/>
      <c r="AN9" s="1165"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15407.232607325102</v>
      </c>
      <c r="AO9" s="1174"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0.28528835880188086</v>
      </c>
      <c r="AP9" s="1174"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1.363703192803987E-2</v>
      </c>
      <c r="AQ9" s="825" cm="1">
        <f t="array" aca="1" ref="AQ9" ca="1">_xlfn.IFS(   TabTRADER[[#This Row],[Traps]]=SellMorePercentGain,                     MIN(TabTRADER[[#This Row],[L_Sn]],TabTRADER[[#This Row],[N]])*(TabTRADER[[#This Row],[M]]-TabTRADER[[#This Row],[L_Sp]])*(1-Commission)*TabTRADER[[#This Row],[Scale]],                    TRUE,"")</f>
        <v>1127.0620000000067</v>
      </c>
      <c r="AR9" s="1163">
        <f ca="1">_xlfn.XLOOKUP(TabTRADER[[#This Row],[ClickTick]],TabCalc[Ticker],TabCalc[Ann%RevLB])</f>
        <v>0.44344600910653525</v>
      </c>
      <c r="AS9" s="1267">
        <f ca="1">_xlfn.XLOOKUP(TabTRADER[[#This Row],[ClickTick]],TabCalc[Ticker],TabCalc[Up20])</f>
        <v>0</v>
      </c>
      <c r="AT9" s="310"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5" t="str" cm="1">
        <f t="array" aca="1" ref="AU9" ca="1">_xlfn.IFS(         TabTRADER[[#This Row],[Traps]]=MDown,TabTRADER[[#This Row],[L_Bn]]*TabTRADER[[#This Row],[M]]*(-(TabTRADER[[#This Row],[L_Bp]]+TabTRADER[[#This Row],[M]])/TabTRADER[[#This Row],[M]])*(1-Commission)*TabTRADER[[#This Row],[Scale]],                               TRUE,"")</f>
        <v/>
      </c>
      <c r="AV9" s="1174" cm="1">
        <f t="array" aca="1" ref="AV9" ca="1">_xlfn.IFS(   TabTRADER[[#This Row],[Traps]]=MUp,TabTRADER[[#This Row],[TakeGain_A]]-Commission,        TabTRADER[[#This Row],[Traps]]=MDown,(TabTRADER[[#This Row],[A]]-TabTRADER[[#This Row],[M]])/TabTRADER[[#This Row],[M]]-Commission,                              TRUE,"")</f>
        <v>0.28268835880188087</v>
      </c>
      <c r="AW9" s="825"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19802.736711547706</v>
      </c>
      <c r="AX9" s="760"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 s="736"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200x77.23</v>
      </c>
      <c r="AZ9" s="765" cm="1">
        <f t="array" aca="1" ref="AZ9" ca="1">_xlfn.IFS(TabTRADER[[#This Row],[Traps]]=Sale_Back,"",         TabTRADER[[#This Row],[Traps]]=MDown, (TabTRADER[[#This Row],[M]]-TabTRADER[[#This Row],[A]])/TabTRADER[[#This Row],[A]]*ComFactor,             TRUE, IFERROR((TabTRADER[[#This Row],[M]]-TabTRADER[[#This Row],[A]])/TabTRADER[[#This Row],[A]]*ComFactor,""))</f>
        <v>0.28454660906899598</v>
      </c>
      <c r="BA9" s="762" cm="1">
        <f t="array" aca="1" ref="BA9" ca="1">_xlfn.IFS(               TabTRADER[[#This Row],[Traps]]=NoStock,(TabTRADER[[#This Row],[L_Sp]]-TabTRADER[[#This Row],[M]])/TabTRADER[[#This Row],[M]]-Commission,             TabTRADER[[#This Row],[A]]&lt;&gt;0,(TabTRADER[[#This Row],[A]]-TabTRADER[[#This Row],[M]])/TabTRADER[[#This Row],[M]]-Commission)</f>
        <v>-0.22456447734718513</v>
      </c>
      <c r="BB9" s="324">
        <f ca="1">_xlfn.XLOOKUP(TabTRADER[[#This Row],[ClickTick]],TabCalc[Ticker],TabCalc[L_Sn])</f>
        <v>200</v>
      </c>
      <c r="BC9" s="728">
        <f ca="1">_xlfn.XLOOKUP(TabTRADER[[#This Row],[ClickTick]],TabCalc[Ticker],TabCalc[L_Sp])</f>
        <v>342.32</v>
      </c>
      <c r="BD9" s="764">
        <f ca="1">-IFERROR((TabTRADER[[#This Row],[M]]-TabTRADER[[#This Row],[L_Sp]])/TabTRADER[[#This Row],[L_Sp]],0)</f>
        <v>-1.6505024538443661E-2</v>
      </c>
      <c r="BE9" s="729">
        <f ca="1">TabTRADER[[#This Row],[L_Sn]]*(TabTRADER[[#This Row],[M]]-TabTRADER[[#This Row],[L_Sp]])*(1-Commission)*TabTRADER[[#This Row],[Scale]]</f>
        <v>1127.0620000000067</v>
      </c>
      <c r="BF9" s="692">
        <f ca="1">TabTRADER[[#This Row],[L_Sn]]*(TabTRADER[[#This Row],[Agiotage]]-TabTRADER[[#This Row],[M]])/(TabTRADER[[#This Row],[L_Bn]]*TabTRADER[[#This Row],[M]])</f>
        <v>-0.95097387118838506</v>
      </c>
      <c r="BG9" s="635">
        <f ca="1">IFERROR((TabTRADER[[#This Row],[M]]-TabTRADER[[#This Row],[A]])/TabTRADER[[#This Row],[A]],0)</f>
        <v>0.28528835880188086</v>
      </c>
      <c r="BH9" s="638" t="str">
        <f ca="1">TEXT(_xlfn.XLOOKUP(TabTRADER[[#This Row],[ClickTick]],TabCalc[Ticker],TabCalc[NAfter]),"#,#0")&amp;" : "&amp;TEXT(_xlfn.XLOOKUP(TabTRADER[[#This Row],[ClickTick]],TabCalc[Ticker],TabCalc[NAfter])*(TabTRADER[[#This Row],[M]]-TabTRADER[[#This Row],[A]])*(1-Commission)*TabTRADER[[#This Row],[Scale]],"#,#0$")</f>
        <v>200 : 15,407$</v>
      </c>
      <c r="BI9" s="684">
        <f ca="1">_xlfn.XLOOKUP(TabTRADER[[#This Row],[ClickTick]],TabCalc[[#This Row],[Ticker]],TabCalc[[#This Row],[GL]])*(1-Commission)</f>
        <v>70255.949945423563</v>
      </c>
      <c r="BJ9" s="684"/>
      <c r="BK9" s="669" t="str">
        <f ca="1">TabTRADER[[#This Row],[ClickTick]]&amp;": "&amp;_xlfn.XLOOKUP(TabTRADER[[#This Row],[ClickTick]],TabCalc[Ticker],TabCalc[Pile?])</f>
        <v xml:space="preserve">AVGO: </v>
      </c>
      <c r="BL9" s="351" t="s">
        <v>1931</v>
      </c>
      <c r="BM9" s="755" t="str" cm="1">
        <f t="array" aca="1" ref="BM9" ca="1">_xlfn.TEXTJOIN("",,INDEX({"M","A","Y"}, _xlfn.SORTBY({1,2,3}, -CHOOSE({1,2,3}, TabTRADER[[#This Row],[M]], TabTRADER[[#This Row],[A]], TabTRADER[[#This Row],[Agiotage]]))))</f>
        <v>MAY</v>
      </c>
      <c r="BN9" s="902"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1.623703192803987E-2</v>
      </c>
      <c r="BO9" s="679">
        <f ca="1">TabTRADER[[#This Row],[L_Sn]]*TabTRADER[[#This Row],[L_Sp]]+TabTRADER[[#This Row],[SellMore]]*TabTRADER[[#This Row],[M]]</f>
        <v>141537.70000000001</v>
      </c>
      <c r="BP9" s="679">
        <f ca="1">INDEX(
  INDEX(TabConsolid[], , _xlfn.XMATCH(TabTRADER[[#This Row],[ClickTick]]&amp;1, TabConsolid[#Headers])),
  MATCH(
    -TabTRADER[[#This Row],[M]],
    INDEX(TabConsolid[], , _xlfn.XMATCH(TabTRADER[[#This Row],[ClickTick]]&amp;2, TabConsolid[#Headers])),
    -1
  )
)</f>
        <v>210</v>
      </c>
      <c r="BQ9" s="679"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R9" s="1144">
        <f ca="1">TabTRADER[[#This Row],[ReBuy]]/(TabTRADER[[#This Row],[L_Sn]]+TabTRADER[[#This Row],[SellMore]])</f>
        <v>345.21390243902442</v>
      </c>
      <c r="BS9" s="687">
        <f ca="1">((_xlfn.XLOOKUP(TabTRADER[[#This Row],[ClickTick]],TabCalc[Ticker],TabCalc[NAfter])+TabTRADER[[#This Row],[L_Sn]])*(TabTRADER[[#This Row],[Agiotage]]-TabTRADER[[#This Row],[M]]))/(TabTRADER[[#This Row],[L_Sn]]*_xlfn.XLOOKUP(TabTRADER[[#This Row],[ClickTick]],TabCalc[Ticker],TabCalc[NAfter]))</f>
        <v>-3.4745589685529352</v>
      </c>
      <c r="BT9" s="687">
        <f ca="1">(TabTRADER[[#This Row],[M]]-TabTRADER[[#This Row],[Agiotage]])/(TabTRADER[[#This Row],[M]]-TabTRADER[[#This Row],[A]])-1</f>
        <v>3.4985692155865467</v>
      </c>
      <c r="BU9" s="1262">
        <f ca="1">_xlfn.XMATCH(TabTRADER[[#This Row],[ClickTick]]&amp;1, TabConsolid[#Headers])</f>
        <v>20</v>
      </c>
      <c r="BV9" t="b">
        <f ca="1">IF(ABS(TabTRADER[[#This Row],[L_Bp]])&gt;=TabTRADER[[#This Row],[M]],"OK")</f>
        <v>0</v>
      </c>
    </row>
    <row r="10" spans="1:74" hidden="1"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+9,565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21.5%</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261/500=23,254</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5,650$</v>
      </c>
      <c r="G10" s="225" t="str">
        <f ca="1">IFERROR(TRUNC(_xlfn.XLOOKUP(TabTRADER[[#This Row],[ClickTick]],TabCalc[Ticker],ListLastSalep),2)&amp;"x"&amp;_xlfn.XLOOKUP(TabTRADER[[#This Row],[ClickTick]],TabCalc[Ticker],ListLastSalen)&amp;"=   "&amp;TEXT(-_xlfn.XLOOKUP(TabTRADER[[#This Row],[ClickTick]],TabCalc[Ticker],ListReverseB),"#,#0")&amp;"$","")</f>
        <v>86.22x500=   1,375$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0</v>
      </c>
      <c r="I10" s="226" t="str">
        <f ca="1">IFERROR(TRUNC(TabCalc[[#This Row],[L_S1p]],2)&amp;"x"&amp;TabCalc[[#This Row],[L_S1n]]&amp;"=   "&amp;TEXT(TabCalc[[#This Row],[ReverseB1]],"#,#0"),"")</f>
        <v>79.51x2000=   -18,920</v>
      </c>
      <c r="J10" s="295">
        <f ca="1">_xlfn.XLOOKUP(TabTRADER[[#This Row],[ClickTick]],TabCalc[Ticker],ListGravity)</f>
        <v>1.0481356096036758</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0.83565875907624187</v>
      </c>
      <c r="N10" s="324" cm="1">
        <f t="array" aca="1" ref="N10" ca="1">_xlfn.XLOOKUP(TabTRADER[[#This Row],[ClickTick]],ListTickers,Tab2RSIConventional[RSIConv20])</f>
        <v>37</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0.27391323024054981</v>
      </c>
      <c r="S10" s="683">
        <f ca="1">_xlfn.XLOOKUP(TabTRADER[[#This Row],[ClickTick]],TabCalc[Ticker],TabCalc[Rev(MinStock)])*(1-Commission)</f>
        <v>9540.1808699999983</v>
      </c>
      <c r="T10" s="782">
        <f ca="1">_xlfn.XLOOKUP(TabTRADER[[#This Row],[ClickTick]],TabCalc[Ticker],TabCalc[Agiotage])</f>
        <v>0.83565875907624187</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-275/-275=&gt;-0.6% / -0.6%</v>
      </c>
      <c r="V10" s="739" t="str">
        <f ca="1">_xlfn.XLOOKUP(TabTRADER[[#This Row],[ClickTick]],[1]!RTData[Ticker_Symbol],[1]!RTData[Currency])</f>
        <v>USD</v>
      </c>
      <c r="W10" s="749">
        <f ca="1">_xlfn.XLOOKUP(TabTRADER[[#This Row],[ClickTick]],TabCalc[Ticker],TabCalc[M])</f>
        <v>88.970100000000002</v>
      </c>
      <c r="X10" s="1315"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-6.4759999999999991E-3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^153/44 K$</v>
      </c>
      <c r="AE10" s="1182"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64"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88.9701, 03.2%</v>
      </c>
      <c r="AG10" s="1165"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65" cm="1">
        <f t="array" aca="1" ref="AH10" ca="1">_xlfn.IFS(     TabTRADER[[#This Row],[Traps]]=MUp,MIN(TabTRADER[[#This Row],[L_Sn]],TabTRADER[[#This Row],[N]])*(TabTRADER[[#This Row],[M]]-TabTRADER[[#This Row],[L_Sp]])*(1-Commission)*TabTRADER[[#This Row],[Scale]],                                  TRUE,"M= "&amp;TabTRADER[[#This Row],[M]])</f>
        <v>1371.4748700000014</v>
      </c>
      <c r="AI10" s="1165" t="str" cm="1">
        <f t="array" aca="1" ref="AI10" ca="1">_xlfn.IFS(   TabTRADER[[#This Row],[Traps]]=MUp,TEXT(MIN(TabTRADER[[#This Row],[L_Sn]],TabTRADER[[#This Row],[N]]),"#,#0")&amp;" x "&amp;TEXT(TabTRADER[[#This Row],[L_Sp]],"#,#0.#0"),          TRUE,"")</f>
        <v>500 x 86.22</v>
      </c>
      <c r="AJ10" s="1165"/>
      <c r="AK10" s="1165"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1371.4748700000014</v>
      </c>
      <c r="AL10" s="1165"/>
      <c r="AM10" s="1165"/>
      <c r="AN10" s="1165"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9540.1808699999983</v>
      </c>
      <c r="AO10" s="1174"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0.27391323024054981</v>
      </c>
      <c r="AP10" s="1174"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2.8310384499961261E-2</v>
      </c>
      <c r="AQ10" s="825" cm="1">
        <f t="array" aca="1" ref="AQ10" ca="1">_xlfn.IFS(   TabTRADER[[#This Row],[Traps]]=SellMorePercentGain,                     MIN(TabTRADER[[#This Row],[L_Sn]],TabTRADER[[#This Row],[N]])*(TabTRADER[[#This Row],[M]]-TabTRADER[[#This Row],[L_Sp]])*(1-Commission)*TabTRADER[[#This Row],[Scale]],                    TRUE,"")</f>
        <v>1371.4748700000014</v>
      </c>
      <c r="AR10" s="1163">
        <f ca="1">_xlfn.XLOOKUP(TabTRADER[[#This Row],[ClickTick]],TabCalc[Ticker],TabCalc[Ann%RevLB])</f>
        <v>0.64874186109603904</v>
      </c>
      <c r="AS10" s="1267">
        <f ca="1">_xlfn.XLOOKUP(TabTRADER[[#This Row],[ClickTick]],TabCalc[Ticker],TabCalc[Up20])</f>
        <v>0</v>
      </c>
      <c r="AT10" s="310"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5" t="str" cm="1">
        <f t="array" aca="1" ref="AU10" ca="1">_xlfn.IFS(         TabTRADER[[#This Row],[Traps]]=MDown,TabTRADER[[#This Row],[L_Bn]]*TabTRADER[[#This Row],[M]]*(-(TabTRADER[[#This Row],[L_Bp]]+TabTRADER[[#This Row],[M]])/TabTRADER[[#This Row],[M]])*(1-Commission)*TabTRADER[[#This Row],[Scale]],                               TRUE,"")</f>
        <v/>
      </c>
      <c r="AV10" s="1174" cm="1">
        <f t="array" aca="1" ref="AV10" ca="1">_xlfn.IFS(   TabTRADER[[#This Row],[Traps]]=MUp,TabTRADER[[#This Row],[TakeGain_A]]-Commission,        TabTRADER[[#This Row],[Traps]]=MDown,(TabTRADER[[#This Row],[A]]-TabTRADER[[#This Row],[M]])/TabTRADER[[#This Row],[M]]-Commission,                              TRUE,"")</f>
        <v>0.27131323024054982</v>
      </c>
      <c r="AW10" s="825"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12153.362629180798</v>
      </c>
      <c r="AX10" s="760"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10" s="736"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500x19.13</v>
      </c>
      <c r="AZ10" s="765" cm="1">
        <f t="array" aca="1" ref="AZ10" ca="1">_xlfn.IFS(TabTRADER[[#This Row],[Traps]]=Sale_Back,"",         TabTRADER[[#This Row],[Traps]]=MDown, (TabTRADER[[#This Row],[M]]-TabTRADER[[#This Row],[A]])/TabTRADER[[#This Row],[A]]*ComFactor,             TRUE, IFERROR((TabTRADER[[#This Row],[M]]-TabTRADER[[#This Row],[A]])/TabTRADER[[#This Row],[A]]*ComFactor,""))</f>
        <v>0.27320105584192439</v>
      </c>
      <c r="BA10" s="762" cm="1">
        <f t="array" aca="1" ref="BA10" ca="1">_xlfn.IFS(               TabTRADER[[#This Row],[Traps]]=NoStock,(TabTRADER[[#This Row],[L_Sp]]-TabTRADER[[#This Row],[M]])/TabTRADER[[#This Row],[M]]-Commission,             TabTRADER[[#This Row],[A]]&lt;&gt;0,(TabTRADER[[#This Row],[A]]-TabTRADER[[#This Row],[M]])/TabTRADER[[#This Row],[M]]-Commission)</f>
        <v>-0.21761717992898735</v>
      </c>
      <c r="BB10" s="324">
        <f ca="1">_xlfn.XLOOKUP(TabTRADER[[#This Row],[ClickTick]],TabCalc[Ticker],TabCalc[L_Sn])</f>
        <v>500</v>
      </c>
      <c r="BC10" s="728">
        <f ca="1">_xlfn.XLOOKUP(TabTRADER[[#This Row],[ClickTick]],TabCalc[Ticker],TabCalc[L_Sp])</f>
        <v>86.22</v>
      </c>
      <c r="BD10" s="764">
        <f ca="1">-IFERROR((TabTRADER[[#This Row],[M]]-TabTRADER[[#This Row],[L_Sp]])/TabTRADER[[#This Row],[L_Sp]],0)</f>
        <v>-3.1896311760612424E-2</v>
      </c>
      <c r="BE10" s="729">
        <f ca="1">TabTRADER[[#This Row],[L_Sn]]*(TabTRADER[[#This Row],[M]]-TabTRADER[[#This Row],[L_Sp]])*(1-Commission)*TabTRADER[[#This Row],[Scale]]</f>
        <v>1371.4748700000014</v>
      </c>
      <c r="BF10" s="692">
        <f ca="1">TabTRADER[[#This Row],[L_Sn]]*(TabTRADER[[#This Row],[Agiotage]]-TabTRADER[[#This Row],[M]])/(TabTRADER[[#This Row],[L_Bn]]*TabTRADER[[#This Row],[M]])</f>
        <v>-0.12382592753200761</v>
      </c>
      <c r="BG10" s="635">
        <f ca="1">IFERROR((TabTRADER[[#This Row],[M]]-TabTRADER[[#This Row],[A]])/TabTRADER[[#This Row],[A]],0)</f>
        <v>0.27391323024054981</v>
      </c>
      <c r="BH10" s="638" t="str">
        <f ca="1">TEXT(_xlfn.XLOOKUP(TabTRADER[[#This Row],[ClickTick]],TabCalc[Ticker],TabCalc[NAfter]),"#,#0")&amp;" : "&amp;TEXT(_xlfn.XLOOKUP(TabTRADER[[#This Row],[ClickTick]],TabCalc[Ticker],TabCalc[NAfter])*(TabTRADER[[#This Row],[M]]-TabTRADER[[#This Row],[A]])*(1-Commission)*TabTRADER[[#This Row],[Scale]],"#,#0$")</f>
        <v>500 : 9,540$</v>
      </c>
      <c r="BI10" s="684">
        <f ca="1">_xlfn.XLOOKUP(TabTRADER[[#This Row],[ClickTick]],TabCalc[[#This Row],[Ticker]],TabCalc[[#This Row],[GL]])*(1-Commission)</f>
        <v>152587.69611839394</v>
      </c>
      <c r="BJ10" s="684"/>
      <c r="BK10" s="669" t="str">
        <f ca="1">TabTRADER[[#This Row],[ClickTick]]&amp;": "&amp;_xlfn.XLOOKUP(TabTRADER[[#This Row],[ClickTick]],TabCalc[Ticker],TabCalc[Pile?])</f>
        <v>AZN: Pile</v>
      </c>
      <c r="BL10" s="351" t="s">
        <v>1932</v>
      </c>
      <c r="BM10" s="755" t="str" cm="1">
        <f t="array" aca="1" ref="BM10" ca="1">_xlfn.TEXTJOIN("",,INDEX({"M","A","Y"}, _xlfn.SORTBY({1,2,3}, -CHOOSE({1,2,3}, TabTRADER[[#This Row],[M]], TabTRADER[[#This Row],[A]], TabTRADER[[#This Row],[Agiotage]]))))</f>
        <v>MAY</v>
      </c>
      <c r="BN10" s="902"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3.0910384499961259E-2</v>
      </c>
      <c r="BO10" s="679">
        <f ca="1">TabTRADER[[#This Row],[L_Sn]]*TabTRADER[[#This Row],[L_Sp]]+TabTRADER[[#This Row],[SellMore]]*TabTRADER[[#This Row],[M]]</f>
        <v>87595.05</v>
      </c>
      <c r="BP10" s="679">
        <f ca="1">INDEX(
  INDEX(TabConsolid[], , _xlfn.XMATCH(TabTRADER[[#This Row],[ClickTick]]&amp;1, TabConsolid[#Headers])),
  MATCH(
    -TabTRADER[[#This Row],[M]],
    INDEX(TabConsolid[], , _xlfn.XMATCH(TabTRADER[[#This Row],[ClickTick]]&amp;2, TabConsolid[#Headers])),
    -1
  )
)</f>
        <v>500</v>
      </c>
      <c r="BQ10" s="679"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44">
        <f ca="1">TabTRADER[[#This Row],[ReBuy]]/(TabTRADER[[#This Row],[L_Sn]]+TabTRADER[[#This Row],[SellMore]])</f>
        <v>87.595050000000001</v>
      </c>
      <c r="BS10" s="687">
        <f ca="1">((_xlfn.XLOOKUP(TabTRADER[[#This Row],[ClickTick]],TabCalc[Ticker],TabCalc[NAfter])+TabTRADER[[#This Row],[L_Sn]])*(TabTRADER[[#This Row],[Agiotage]]-TabTRADER[[#This Row],[M]]))/(TabTRADER[[#This Row],[L_Sn]]*_xlfn.XLOOKUP(TabTRADER[[#This Row],[ClickTick]],TabCalc[Ticker],TabCalc[NAfter]))</f>
        <v>-0.3525377649636951</v>
      </c>
      <c r="BT10" s="687">
        <f ca="1">(TabTRADER[[#This Row],[M]]-TabTRADER[[#This Row],[Agiotage]])/(TabTRADER[[#This Row],[M]]-TabTRADER[[#This Row],[A]])-1</f>
        <v>3.6071082347151231</v>
      </c>
      <c r="BU10" s="1262">
        <f ca="1">_xlfn.XMATCH(TabTRADER[[#This Row],[ClickTick]]&amp;1, TabConsolid[#Headers])</f>
        <v>23</v>
      </c>
      <c r="BV10" t="b">
        <f ca="1">IF(ABS(TabTRADER[[#This Row],[L_Bp]])&gt;=TabTRADER[[#This Row],[M]],"OK")</f>
        <v>0</v>
      </c>
    </row>
    <row r="11" spans="1:74" hidden="1"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-48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9,841</v>
      </c>
      <c r="F11" s="226" t="str">
        <f ca="1">TRUNC(TabCalc[[#This Row],[L_B1p]],2)&amp;"x"&amp;TabCalc[[#This Row],[L_B1n]]&amp;"=   "&amp;TEXT(TabCalc[[#This Row],[ReverseS1]],"#,#0")&amp;"$"</f>
        <v>-1.83x10000=   10,120$</v>
      </c>
      <c r="G11" s="225" t="str">
        <f ca="1">IFERROR(TRUNC(_xlfn.XLOOKUP(TabTRADER[[#This Row],[ClickTick]],TabCalc[Ticker],ListLastSalep),2)&amp;"x"&amp;_xlfn.XLOOKUP(TabTRADER[[#This Row],[ClickTick]],TabCalc[Ticker],ListLastSalen)&amp;"=   "&amp;TEXT(-_xlfn.XLOOKUP(TabTRADER[[#This Row],[ClickTick]],TabCalc[Ticker],ListReverseB),"#,#0")&amp;"$","")</f>
        <v>3.35x6000=   -3,049$</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17.9% = 9,841</v>
      </c>
      <c r="I11" s="226" t="str">
        <f ca="1">IFERROR(TRUNC(TabCalc[[#This Row],[L_S1p]],2)&amp;"x"&amp;TabCalc[[#This Row],[L_S1n]]&amp;"=   "&amp;TEXT(TabCalc[[#This Row],[ReverseB1]],"#,#0"),"")</f>
        <v>1.96x10000=   -8,820</v>
      </c>
      <c r="J11" s="295">
        <f ca="1">_xlfn.XLOOKUP(TabTRADER[[#This Row],[ClickTick]],TabCalc[Ticker],ListGravity)</f>
        <v>0.96762843068261783</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28420</v>
      </c>
      <c r="M11" s="323">
        <f ca="1">_xlfn.XLOOKUP(TabTRADER[[#This Row],[ClickTick]],TabCalc[Ticker],TabCalc[Agiotage])</f>
        <v>0.20414935791775768</v>
      </c>
      <c r="N11" s="324" cm="1">
        <f t="array" aca="1" ref="N11" ca="1">_xlfn.XLOOKUP(TabTRADER[[#This Row],[ClickTick]],ListTickers,Tab2RSIConventional[RSIConv20])</f>
        <v>12</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-2.8070175438596515E-3</v>
      </c>
      <c r="S11" s="683">
        <f ca="1">_xlfn.XLOOKUP(TabTRADER[[#This Row],[ClickTick]],TabCalc[Ticker],TabCalc[Rev(MinStock)])*(1-Commission)</f>
        <v>-47.875200000000042</v>
      </c>
      <c r="T11" s="782">
        <f ca="1">_xlfn.XLOOKUP(TabTRADER[[#This Row],[ClickTick]],TabCalc[Ticker],TabCalc[Agiotage])</f>
        <v>0.20414935791775768</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-360/-360=&gt;-1.7% / -1.7%</v>
      </c>
      <c r="V11" s="739" t="str">
        <f ca="1">_xlfn.XLOOKUP(TabTRADER[[#This Row],[ClickTick]],[1]!RTData[Ticker_Symbol],[1]!RTData[Currency])</f>
        <v>USD</v>
      </c>
      <c r="W11" s="749">
        <f ca="1">_xlfn.XLOOKUP(TabTRADER[[#This Row],[ClickTick]],TabCalc[Ticker],TabCalc[M])</f>
        <v>2.8420000000000001</v>
      </c>
      <c r="X11" s="1315"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-1.6608999999999999E-2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^25/57 K$</v>
      </c>
      <c r="AE11" s="1182"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64"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65"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3040.6736399999986</v>
      </c>
      <c r="AH11" s="1165" t="str" cm="1">
        <f t="array" aca="1" ref="AH11" ca="1">_xlfn.IFS(     TabTRADER[[#This Row],[Traps]]=MUp,MIN(TabTRADER[[#This Row],[L_Sn]],TabTRADER[[#This Row],[N]])*(TabTRADER[[#This Row],[M]]-TabTRADER[[#This Row],[L_Sp]])*(1-Commission)*TabTRADER[[#This Row],[Scale]],                                  TRUE,"M= "&amp;TabTRADER[[#This Row],[M]])</f>
        <v>M= 2.842</v>
      </c>
      <c r="AI11" s="1165" t="str" cm="1">
        <f t="array" aca="1" ref="AI11" ca="1">_xlfn.IFS(   TabTRADER[[#This Row],[Traps]]=MUp,TEXT(MIN(TabTRADER[[#This Row],[L_Sn]],TabTRADER[[#This Row],[N]]),"#,#0")&amp;" x "&amp;TEXT(TabTRADER[[#This Row],[L_Sp]],"#,#0.#0"),          TRUE,"")</f>
        <v/>
      </c>
      <c r="AJ11" s="1165"/>
      <c r="AK11" s="1165"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65"/>
      <c r="AM11" s="1165"/>
      <c r="AN11" s="1165"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3040.6736399999986</v>
      </c>
      <c r="AO11" s="1174"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0.15166711441449504</v>
      </c>
      <c r="AP11" s="1174"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11" s="825" t="str" cm="1">
        <f t="array" aca="1" ref="AQ11" ca="1">_xlfn.IFS(   TabTRADER[[#This Row],[Traps]]=SellMorePercentGain,                     MIN(TabTRADER[[#This Row],[L_Sn]],TabTRADER[[#This Row],[N]])*(TabTRADER[[#This Row],[M]]-TabTRADER[[#This Row],[L_Sp]])*(1-Commission)*TabTRADER[[#This Row],[Scale]],                    TRUE,"")</f>
        <v/>
      </c>
      <c r="AR11" s="1163">
        <f ca="1">_xlfn.XLOOKUP(TabTRADER[[#This Row],[ClickTick]],TabCalc[Ticker],TabCalc[Ann%RevLB])</f>
        <v>-3.1978680879413751E-3</v>
      </c>
      <c r="AS11" s="1267">
        <f ca="1">_xlfn.XLOOKUP(TabTRADER[[#This Row],[ClickTick]],TabCalc[Ticker],TabCalc[Up20])</f>
        <v>0</v>
      </c>
      <c r="AT11" s="310"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11" s="825" t="str" cm="1">
        <f t="array" aca="1" ref="AU11" ca="1">_xlfn.IFS(         TabTRADER[[#This Row],[Traps]]=MDown,TabTRADER[[#This Row],[L_Bn]]*TabTRADER[[#This Row],[M]]*(-(TabTRADER[[#This Row],[L_Bp]]+TabTRADER[[#This Row],[M]])/TabTRADER[[#This Row],[M]])*(1-Commission)*TabTRADER[[#This Row],[Scale]],                               TRUE,"")</f>
        <v/>
      </c>
      <c r="AV11" s="1174" t="str" cm="1">
        <f t="array" aca="1" ref="AV11" ca="1">_xlfn.IFS(   TabTRADER[[#This Row],[Traps]]=MUp,TabTRADER[[#This Row],[TakeGain_A]]-Commission,        TabTRADER[[#This Row],[Traps]]=MDown,(TabTRADER[[#This Row],[A]]-TabTRADER[[#This Row],[M]])/TabTRADER[[#This Row],[M]]-Commission,                              TRUE,"")</f>
        <v/>
      </c>
      <c r="AW11" s="825"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13923.703999999998</v>
      </c>
      <c r="AX11" s="760"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Y11" s="736"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5" cm="1">
        <f t="array" aca="1" ref="AZ11" ca="1">_xlfn.IFS(TabTRADER[[#This Row],[Traps]]=Sale_Back,"",         TabTRADER[[#This Row],[Traps]]=MDown, (TabTRADER[[#This Row],[M]]-TabTRADER[[#This Row],[A]])/TabTRADER[[#This Row],[A]]*ComFactor,             TRUE, IFERROR((TabTRADER[[#This Row],[M]]-TabTRADER[[#This Row],[A]])/TabTRADER[[#This Row],[A]]*ComFactor,""))</f>
        <v>0.32471324626865666</v>
      </c>
      <c r="BA11" s="762" cm="1">
        <f t="array" aca="1" ref="BA11" ca="1">_xlfn.IFS(               TabTRADER[[#This Row],[Traps]]=NoStock,(TabTRADER[[#This Row],[L_Sp]]-TabTRADER[[#This Row],[M]])/TabTRADER[[#This Row],[M]]-Commission,             TabTRADER[[#This Row],[A]]&lt;&gt;0,(TabTRADER[[#This Row],[A]]-TabTRADER[[#This Row],[M]])/TabTRADER[[#This Row],[M]]-Commission)</f>
        <v>-0.24820168895144262</v>
      </c>
      <c r="BB11" s="324">
        <f ca="1">_xlfn.XLOOKUP(TabTRADER[[#This Row],[ClickTick]],TabCalc[Ticker],TabCalc[L_Sn])</f>
        <v>6000</v>
      </c>
      <c r="BC11" s="728">
        <f ca="1">_xlfn.XLOOKUP(TabTRADER[[#This Row],[ClickTick]],TabCalc[Ticker],TabCalc[L_Sp])</f>
        <v>3.3500999999999999</v>
      </c>
      <c r="BD11" s="764">
        <f ca="1">-IFERROR((TabTRADER[[#This Row],[M]]-TabTRADER[[#This Row],[L_Sp]])/TabTRADER[[#This Row],[L_Sp]],0)</f>
        <v>0.15166711441449504</v>
      </c>
      <c r="BE11" s="729">
        <f ca="1">TabTRADER[[#This Row],[L_Sn]]*(TabTRADER[[#This Row],[M]]-TabTRADER[[#This Row],[L_Sp]])*(1-Commission)*TabTRADER[[#This Row],[Scale]]</f>
        <v>-3040.6736399999986</v>
      </c>
      <c r="BF11" s="692">
        <f ca="1">TabTRADER[[#This Row],[L_Sn]]*(TabTRADER[[#This Row],[Agiotage]]-TabTRADER[[#This Row],[M]])/(TabTRADER[[#This Row],[L_Bn]]*TabTRADER[[#This Row],[M]])</f>
        <v>-0.92816700988115497</v>
      </c>
      <c r="BG11" s="635">
        <f ca="1">IFERROR((TabTRADER[[#This Row],[M]]-TabTRADER[[#This Row],[A]])/TabTRADER[[#This Row],[A]],0)</f>
        <v>0.32555970149253727</v>
      </c>
      <c r="BH11" s="638" t="str">
        <f ca="1">TEXT(_xlfn.XLOOKUP(TabTRADER[[#This Row],[ClickTick]],TabCalc[Ticker],TabCalc[NAfter]),"#,#0")&amp;" : "&amp;TEXT(_xlfn.XLOOKUP(TabTRADER[[#This Row],[ClickTick]],TabCalc[Ticker],TabCalc[NAfter])*(TabTRADER[[#This Row],[M]]-TabTRADER[[#This Row],[A]])*(1-Commission)*TabTRADER[[#This Row],[Scale]],"#,#0$")</f>
        <v>20,000 : 13,924$</v>
      </c>
      <c r="BI11" s="684">
        <f ca="1">_xlfn.XLOOKUP(TabTRADER[[#This Row],[ClickTick]],TabCalc[[#This Row],[Ticker]],TabCalc[[#This Row],[GL]])*(1-Commission)</f>
        <v>24861.215420989392</v>
      </c>
      <c r="BJ11" s="684"/>
      <c r="BK11" s="669" t="str">
        <f ca="1">TabTRADER[[#This Row],[ClickTick]]&amp;": "&amp;_xlfn.XLOOKUP(TabTRADER[[#This Row],[ClickTick]],TabCalc[Ticker],TabCalc[Pile?])</f>
        <v xml:space="preserve">BLDP: </v>
      </c>
      <c r="BL11" s="351" t="s">
        <v>1933</v>
      </c>
      <c r="BM11" s="755" t="str" cm="1">
        <f t="array" aca="1" ref="BM11" ca="1">_xlfn.TEXTJOIN("",,INDEX({"M","A","Y"}, _xlfn.SORTBY({1,2,3}, -CHOOSE({1,2,3}, TabTRADER[[#This Row],[M]], TabTRADER[[#This Row],[A]], TabTRADER[[#This Row],[Agiotage]]))))</f>
        <v>MAY</v>
      </c>
      <c r="BN11" s="902"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11" s="679">
        <f ca="1">TabTRADER[[#This Row],[L_Sn]]*TabTRADER[[#This Row],[L_Sp]]+TabTRADER[[#This Row],[SellMore]]*TabTRADER[[#This Row],[M]]</f>
        <v>31468.6</v>
      </c>
      <c r="BP11" s="679">
        <f ca="1">INDEX(
  INDEX(TabConsolid[], , _xlfn.XMATCH(TabTRADER[[#This Row],[ClickTick]]&amp;1, TabConsolid[#Headers])),
  MATCH(
    -TabTRADER[[#This Row],[M]],
    INDEX(TabConsolid[], , _xlfn.XMATCH(TabTRADER[[#This Row],[ClickTick]]&amp;2, TabConsolid[#Headers])),
    -1
  )
)</f>
        <v>4000</v>
      </c>
      <c r="BQ11" s="679"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44">
        <f ca="1">TabTRADER[[#This Row],[ReBuy]]/(TabTRADER[[#This Row],[L_Sn]]+TabTRADER[[#This Row],[SellMore]])</f>
        <v>3.1468599999999998</v>
      </c>
      <c r="BS11" s="687">
        <f ca="1">((_xlfn.XLOOKUP(TabTRADER[[#This Row],[ClickTick]],TabCalc[Ticker],TabCalc[NAfter])+TabTRADER[[#This Row],[L_Sn]])*(TabTRADER[[#This Row],[Agiotage]]-TabTRADER[[#This Row],[M]]))/(TabTRADER[[#This Row],[L_Sn]]*_xlfn.XLOOKUP(TabTRADER[[#This Row],[ClickTick]],TabCalc[Ticker],TabCalc[NAfter]))</f>
        <v>-5.7153430578448579E-4</v>
      </c>
      <c r="BT11" s="687">
        <f ca="1">(TabTRADER[[#This Row],[M]]-TabTRADER[[#This Row],[Agiotage]])/(TabTRADER[[#This Row],[M]]-TabTRADER[[#This Row],[A]])-1</f>
        <v>2.7791556476822956</v>
      </c>
      <c r="BU11" s="1262">
        <f ca="1">_xlfn.XMATCH(TabTRADER[[#This Row],[ClickTick]]&amp;1, TabConsolid[#Headers])</f>
        <v>26</v>
      </c>
      <c r="BV11" t="str">
        <f ca="1">IF(ABS(TabTRADER[[#This Row],[L_Bp]])&gt;=TabTRADER[[#This Row],[M]],"OK")</f>
        <v>OK</v>
      </c>
    </row>
    <row r="12" spans="1:74" hidden="1"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-131,308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-474.2%</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1.6497235143042414E-2</v>
      </c>
      <c r="N12" s="324" cm="1">
        <f t="array" aca="1" ref="N12" ca="1">_xlfn.XLOOKUP(TabTRADER[[#This Row],[ClickTick]],ListTickers,Tab2RSIConventional[RSIConv20])</f>
        <v>58</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-0.82585930375169037</v>
      </c>
      <c r="S12" s="683">
        <f ca="1">_xlfn.XLOOKUP(TabTRADER[[#This Row],[ClickTick]],TabCalc[Ticker],TabCalc[Rev(MinStock)])*(1-Commission)</f>
        <v>-130966.1005</v>
      </c>
      <c r="T12" s="782">
        <f ca="1">_xlfn.XLOOKUP(TabTRADER[[#This Row],[ClickTick]],TabCalc[Ticker],TabCalc[Agiotage])</f>
        <v>1.6497235143042414E-2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-562/-562=&gt;-1.6% / -1.6%</v>
      </c>
      <c r="V12" s="739" t="str">
        <f ca="1">_xlfn.XLOOKUP(TabTRADER[[#This Row],[ClickTick]],[1]!RTData[Ticker_Symbol],[1]!RTData[Currency])</f>
        <v>USD</v>
      </c>
      <c r="W12" s="749">
        <f ca="1">_xlfn.XLOOKUP(TabTRADER[[#This Row],[ClickTick]],TabCalc[Ticker],TabCalc[M])</f>
        <v>2.2149999999999999</v>
      </c>
      <c r="X12" s="1315"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-1.5556E-2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-132/28 K$</v>
      </c>
      <c r="AE12" s="1182"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64"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65"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65" t="str" cm="1">
        <f t="array" aca="1" ref="AH12" ca="1">_xlfn.IFS(     TabTRADER[[#This Row],[Traps]]=MUp,MIN(TabTRADER[[#This Row],[L_Sn]],TabTRADER[[#This Row],[N]])*(TabTRADER[[#This Row],[M]]-TabTRADER[[#This Row],[L_Sp]])*(1-Commission)*TabTRADER[[#This Row],[Scale]],                                  TRUE,"M= "&amp;TabTRADER[[#This Row],[M]])</f>
        <v>M= 2.215</v>
      </c>
      <c r="AI12" s="1165" t="str" cm="1">
        <f t="array" aca="1" ref="AI12" ca="1">_xlfn.IFS(   TabTRADER[[#This Row],[Traps]]=MUp,TEXT(MIN(TabTRADER[[#This Row],[L_Sn]],TabTRADER[[#This Row],[N]]),"#,#0")&amp;" x "&amp;TEXT(TabTRADER[[#This Row],[L_Sp]],"#,#0.#0"),          TRUE,"")</f>
        <v/>
      </c>
      <c r="AJ12" s="1165"/>
      <c r="AK12" s="1165"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130966.1005</v>
      </c>
      <c r="AL12" s="1165"/>
      <c r="AM12" s="1165"/>
      <c r="AN12" s="1165"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27687.5</v>
      </c>
      <c r="AO12" s="1174"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0.82585930375169037</v>
      </c>
      <c r="AP12" s="1174"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4.7398830699774264</v>
      </c>
      <c r="AQ12" s="825" t="str" cm="1">
        <f t="array" aca="1" ref="AQ12" ca="1">_xlfn.IFS(   TabTRADER[[#This Row],[Traps]]=SellMorePercentGain,                     MIN(TabTRADER[[#This Row],[L_Sn]],TabTRADER[[#This Row],[N]])*(TabTRADER[[#This Row],[M]]-TabTRADER[[#This Row],[L_Sp]])*(1-Commission)*TabTRADER[[#This Row],[Scale]],                    TRUE,"")</f>
        <v/>
      </c>
      <c r="AR12" s="1163">
        <f ca="1">_xlfn.XLOOKUP(TabTRADER[[#This Row],[ClickTick]],TabCalc[Ticker],TabCalc[Ann%RevLB])</f>
        <v>-5.4692669122628497E-2</v>
      </c>
      <c r="AS12" s="1267">
        <f ca="1">_xlfn.XLOOKUP(TabTRADER[[#This Row],[ClickTick]],TabCalc[Ticker],TabCalc[Up20])</f>
        <v>0.66666666666666663</v>
      </c>
      <c r="AT12" s="310"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4.7424830699774265</v>
      </c>
      <c r="AU12" s="825" cm="1">
        <f t="array" aca="1" ref="AU12" ca="1">_xlfn.IFS(         TabTRADER[[#This Row],[Traps]]=MDown,TabTRADER[[#This Row],[L_Bn]]*TabTRADER[[#This Row],[M]]*(-(TabTRADER[[#This Row],[L_Bp]]+TabTRADER[[#This Row],[M]])/TabTRADER[[#This Row],[M]])*(1-Commission)*TabTRADER[[#This Row],[Scale]],                               TRUE,"")</f>
        <v>130966.1005</v>
      </c>
      <c r="AV12" s="1174" cm="1">
        <f t="array" aca="1" ref="AV12" ca="1">_xlfn.IFS(   TabTRADER[[#This Row],[Traps]]=MUp,TabTRADER[[#This Row],[TakeGain_A]]-Commission,        TabTRADER[[#This Row],[Traps]]=MDown,(TabTRADER[[#This Row],[A]]-TabTRADER[[#This Row],[M]])/TabTRADER[[#This Row],[M]]-Commission,                              TRUE,"")</f>
        <v>4.7398830699774264</v>
      </c>
      <c r="AW12" s="825"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130966.1005</v>
      </c>
      <c r="AX12" s="760"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12" s="736"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v>
      </c>
      <c r="AZ12" s="765" cm="1">
        <f t="array" aca="1" ref="AZ12" ca="1">_xlfn.IFS(TabTRADER[[#This Row],[Traps]]=Sale_Back,"",         TabTRADER[[#This Row],[Traps]]=MDown, (TabTRADER[[#This Row],[M]]-TabTRADER[[#This Row],[A]])/TabTRADER[[#This Row],[A]]*ComFactor,             TRUE, IFERROR((TabTRADER[[#This Row],[M]]-TabTRADER[[#This Row],[A]])/TabTRADER[[#This Row],[A]]*ComFactor,""))</f>
        <v>-0.82371206956193588</v>
      </c>
      <c r="BA12" s="762" cm="1">
        <f t="array" aca="1" ref="BA12" ca="1">_xlfn.IFS(               TabTRADER[[#This Row],[Traps]]=NoStock,(TabTRADER[[#This Row],[L_Sp]]-TabTRADER[[#This Row],[M]])/TabTRADER[[#This Row],[M]]-Commission,             TabTRADER[[#This Row],[A]]&lt;&gt;0,(TabTRADER[[#This Row],[A]]-TabTRADER[[#This Row],[M]])/TabTRADER[[#This Row],[M]]-Commission)</f>
        <v>4.7398830699774264</v>
      </c>
      <c r="BB12" s="324">
        <f ca="1">_xlfn.XLOOKUP(TabTRADER[[#This Row],[ClickTick]],TabCalc[Ticker],TabCalc[L_Sn])</f>
        <v>0</v>
      </c>
      <c r="BC12" s="728">
        <f ca="1">_xlfn.XLOOKUP(TabTRADER[[#This Row],[ClickTick]],TabCalc[Ticker],TabCalc[L_Sp])</f>
        <v>0</v>
      </c>
      <c r="BD12" s="764">
        <f ca="1">-IFERROR((TabTRADER[[#This Row],[M]]-TabTRADER[[#This Row],[L_Sp]])/TabTRADER[[#This Row],[L_Sp]],0)</f>
        <v>0</v>
      </c>
      <c r="BE12" s="729">
        <f ca="1">TabTRADER[[#This Row],[L_Sn]]*(TabTRADER[[#This Row],[M]]-TabTRADER[[#This Row],[L_Sp]])*(1-Commission)*TabTRADER[[#This Row],[Scale]]</f>
        <v>0</v>
      </c>
      <c r="BF12" s="692">
        <f ca="1">TabTRADER[[#This Row],[L_Sn]]*(TabTRADER[[#This Row],[Agiotage]]-TabTRADER[[#This Row],[M]])/(TabTRADER[[#This Row],[L_Bn]]*TabTRADER[[#This Row],[M]])</f>
        <v>0</v>
      </c>
      <c r="BG12" s="635">
        <f ca="1">IFERROR((TabTRADER[[#This Row],[M]]-TabTRADER[[#This Row],[A]])/TabTRADER[[#This Row],[A]],0)</f>
        <v>-0.82585930375169037</v>
      </c>
      <c r="BH12" s="638" t="str">
        <f ca="1">TEXT(_xlfn.XLOOKUP(TabTRADER[[#This Row],[ClickTick]],TabCalc[Ticker],TabCalc[NAfter]),"#,#0")&amp;" : "&amp;TEXT(_xlfn.XLOOKUP(TabTRADER[[#This Row],[ClickTick]],TabCalc[Ticker],TabCalc[NAfter])*(TabTRADER[[#This Row],[M]]-TabTRADER[[#This Row],[A]])*(1-Commission)*TabTRADER[[#This Row],[Scale]],"#,#0$")</f>
        <v>12,500 : -130,966$</v>
      </c>
      <c r="BI12" s="684">
        <f ca="1">_xlfn.XLOOKUP(TabTRADER[[#This Row],[ClickTick]],TabCalc[[#This Row],[Ticker]],TabCalc[[#This Row],[GL]])*(1-Commission)</f>
        <v>-131450.21302629996</v>
      </c>
      <c r="BJ12" s="684"/>
      <c r="BK12" s="669" t="str">
        <f ca="1">TabTRADER[[#This Row],[ClickTick]]&amp;": "&amp;_xlfn.XLOOKUP(TabTRADER[[#This Row],[ClickTick]],TabCalc[Ticker],TabCalc[Pile?])</f>
        <v>BMRA: Pile</v>
      </c>
      <c r="BL12" s="351" t="s">
        <v>1938</v>
      </c>
      <c r="BM12" s="755" t="str" cm="1">
        <f t="array" aca="1" ref="BM12" ca="1">_xlfn.TEXTJOIN("",,INDEX({"M","A","Y"}, _xlfn.SORTBY({1,2,3}, -CHOOSE({1,2,3}, TabTRADER[[#This Row],[M]], TabTRADER[[#This Row],[A]], TabTRADER[[#This Row],[Agiotage]]))))</f>
        <v>AMY</v>
      </c>
      <c r="BN12" s="902"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4.7424830699774265</v>
      </c>
      <c r="BO12" s="679" t="e">
        <f ca="1">TabTRADER[[#This Row],[L_Sn]]*TabTRADER[[#This Row],[L_Sp]]+TabTRADER[[#This Row],[SellMore]]*TabTRADER[[#This Row],[M]]</f>
        <v>#N/A</v>
      </c>
      <c r="BP12" s="679" t="e">
        <f ca="1">INDEX(
  INDEX(TabConsolid[], , _xlfn.XMATCH(TabTRADER[[#This Row],[ClickTick]]&amp;1, TabConsolid[#Headers])),
  MATCH(
    -TabTRADER[[#This Row],[M]],
    INDEX(TabConsolid[], , _xlfn.XMATCH(TabTRADER[[#This Row],[ClickTick]]&amp;2, TabConsolid[#Headers])),
    -1
  )
)</f>
        <v>#N/A</v>
      </c>
      <c r="BQ12" s="679"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44" t="e">
        <f ca="1">TabTRADER[[#This Row],[ReBuy]]/(TabTRADER[[#This Row],[L_Sn]]+TabTRADER[[#This Row],[SellMore]])</f>
        <v>#N/A</v>
      </c>
      <c r="BS12" s="687" t="e">
        <f ca="1">((_xlfn.XLOOKUP(TabTRADER[[#This Row],[ClickTick]],TabCalc[Ticker],TabCalc[NAfter])+TabTRADER[[#This Row],[L_Sn]])*(TabTRADER[[#This Row],[Agiotage]]-TabTRADER[[#This Row],[M]]))/(TabTRADER[[#This Row],[L_Sn]]*_xlfn.XLOOKUP(TabTRADER[[#This Row],[ClickTick]],TabCalc[Ticker],TabCalc[NAfter]))</f>
        <v>#DIV/0!</v>
      </c>
      <c r="BT12" s="687">
        <f ca="1">(TabTRADER[[#This Row],[M]]-TabTRADER[[#This Row],[Agiotage]])/(TabTRADER[[#This Row],[M]]-TabTRADER[[#This Row],[A]])-1</f>
        <v>-1.2092895269555202</v>
      </c>
      <c r="BU12" s="1262">
        <f ca="1">_xlfn.XMATCH(TabTRADER[[#This Row],[ClickTick]]&amp;1, TabConsolid[#Headers])</f>
        <v>29</v>
      </c>
      <c r="BV12" t="str">
        <f ca="1">IF(ABS(TabTRADER[[#This Row],[L_Bp]])&gt;=TabTRADER[[#This Row],[M]],"OK")</f>
        <v>OK</v>
      </c>
    </row>
    <row r="13" spans="1:74" hidden="1"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-133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3,869$</v>
      </c>
      <c r="G13" s="225" t="str">
        <f ca="1">IFERROR(TRUNC(_xlfn.XLOOKUP(TabTRADER[[#This Row],[ClickTick]],TabCalc[Ticker],ListLastSalep),2)&amp;"x"&amp;_xlfn.XLOOKUP(TabTRADER[[#This Row],[ClickTick]],TabCalc[Ticker],ListLastSalen)&amp;"=   "&amp;TEXT(-_xlfn.XLOOKUP(TabTRADER[[#This Row],[ClickTick]],TabCalc[Ticker],ListReverseB),"#,#0")&amp;"$","")</f>
        <v>97.37x95=   211$</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 = 0</v>
      </c>
      <c r="I13" s="226" t="str">
        <f ca="1">IFERROR(TRUNC(TabCalc[[#This Row],[L_S1p]],2)&amp;"x"&amp;TabCalc[[#This Row],[L_S1n]]&amp;"=   "&amp;TEXT(TabCalc[[#This Row],[ReverseB1]],"#,#0"),"")</f>
        <v>82.67x500=   -8,465</v>
      </c>
      <c r="J13" s="295">
        <f ca="1">_xlfn.XLOOKUP(TabTRADER[[#This Row],[ClickTick]],TabCalc[Ticker],ListGravity)</f>
        <v>1.1421877510040161</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498</v>
      </c>
      <c r="M13" s="323">
        <f ca="1">_xlfn.XLOOKUP(TabTRADER[[#This Row],[ClickTick]],TabCalc[Ticker],TabCalc[Agiotage])</f>
        <v>0.30231117846724859</v>
      </c>
      <c r="N13" s="324" cm="1">
        <f t="array" aca="1" ref="N13" ca="1">_xlfn.XLOOKUP(TabTRADER[[#This Row],[ClickTick]],ListTickers,Tab2RSIConventional[RSIConv20])</f>
        <v>56</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-1.3177449717626201E-2</v>
      </c>
      <c r="S13" s="683">
        <f ca="1">_xlfn.XLOOKUP(TabTRADER[[#This Row],[ClickTick]],TabCalc[Ticker],TabCalc[Rev(MinStock)])*(1-Commission)</f>
        <v>-132.65420000000125</v>
      </c>
      <c r="T13" s="782">
        <f ca="1">_xlfn.XLOOKUP(TabTRADER[[#This Row],[ClickTick]],TabCalc[Ticker],TabCalc[Agiotage])</f>
        <v>0.30231117846724859</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141/141=&gt;1.3% / 1.3%</v>
      </c>
      <c r="V13" s="739" t="str">
        <f ca="1">_xlfn.XLOOKUP(TabTRADER[[#This Row],[ClickTick]],[1]!RTData[Ticker_Symbol],[1]!RTData[Currency])</f>
        <v>USD</v>
      </c>
      <c r="W13" s="749">
        <f ca="1">_xlfn.XLOOKUP(TabTRADER[[#This Row],[ClickTick]],TabCalc[Ticker],TabCalc[M])</f>
        <v>99.6</v>
      </c>
      <c r="X13" s="1315"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1.3019000000000001E-2</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^40/10 K$</v>
      </c>
      <c r="AE13" s="1182"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3" s="1164"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99.6, 02.3%</v>
      </c>
      <c r="AG13" s="1165" t="str"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-100.93</v>
      </c>
      <c r="AH13" s="1165" t="str" cm="1">
        <f t="array" aca="1" ref="AH13" ca="1">_xlfn.IFS(     TabTRADER[[#This Row],[Traps]]=MUp,MIN(TabTRADER[[#This Row],[L_Sn]],TabTRADER[[#This Row],[N]])*(TabTRADER[[#This Row],[M]]-TabTRADER[[#This Row],[L_Sp]])*(1-Commission)*TabTRADER[[#This Row],[Scale]],                                  TRUE,"M= "&amp;TabTRADER[[#This Row],[M]])</f>
        <v>M= 99.6</v>
      </c>
      <c r="AI13" s="1165" t="str" cm="1">
        <f t="array" aca="1" ref="AI13" ca="1">_xlfn.IFS(   TabTRADER[[#This Row],[Traps]]=MUp,TEXT(MIN(TabTRADER[[#This Row],[L_Sn]],TabTRADER[[#This Row],[N]]),"#,#0")&amp;" x "&amp;TEXT(TabTRADER[[#This Row],[L_Sp]],"#,#0.#0"),          TRUE,"")</f>
        <v/>
      </c>
      <c r="AJ13" s="1165"/>
      <c r="AK13" s="1165"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132.65420000000125</v>
      </c>
      <c r="AL13" s="1165"/>
      <c r="AM13" s="1165"/>
      <c r="AN13" s="1165"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10458</v>
      </c>
      <c r="AO13" s="1174"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-4.9246883032645914E-3</v>
      </c>
      <c r="AP13" s="1174"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1.0753413654618601E-2</v>
      </c>
      <c r="AQ13" s="825" t="str" cm="1">
        <f t="array" aca="1" ref="AQ13" ca="1">_xlfn.IFS(   TabTRADER[[#This Row],[Traps]]=SellMorePercentGain,                     MIN(TabTRADER[[#This Row],[L_Sn]],TabTRADER[[#This Row],[N]])*(TabTRADER[[#This Row],[M]]-TabTRADER[[#This Row],[L_Sp]])*(1-Commission)*TabTRADER[[#This Row],[Scale]],                    TRUE,"")</f>
        <v/>
      </c>
      <c r="AR13" s="1163">
        <f ca="1">_xlfn.XLOOKUP(TabTRADER[[#This Row],[ClickTick]],TabCalc[Ticker],TabCalc[Ann%RevLB])</f>
        <v>-0.3162587932230288</v>
      </c>
      <c r="AS13" s="1267">
        <f ca="1">_xlfn.XLOOKUP(TabTRADER[[#This Row],[ClickTick]],TabCalc[Ticker],TabCalc[Up20])</f>
        <v>0</v>
      </c>
      <c r="AT13" s="310"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1.33534136546186E-2</v>
      </c>
      <c r="AU13" s="825" cm="1">
        <f t="array" aca="1" ref="AU13" ca="1">_xlfn.IFS(         TabTRADER[[#This Row],[Traps]]=MDown,TabTRADER[[#This Row],[L_Bn]]*TabTRADER[[#This Row],[M]]*(-(TabTRADER[[#This Row],[L_Bp]]+TabTRADER[[#This Row],[M]])/TabTRADER[[#This Row],[M]])*(1-Commission)*TabTRADER[[#This Row],[Scale]],                               TRUE,"")</f>
        <v>132.65420000000125</v>
      </c>
      <c r="AV13" s="1174" cm="1">
        <f t="array" aca="1" ref="AV13" ca="1">_xlfn.IFS(   TabTRADER[[#This Row],[Traps]]=MUp,TabTRADER[[#This Row],[TakeGain_A]]-Commission,        TabTRADER[[#This Row],[Traps]]=MDown,(TabTRADER[[#This Row],[A]]-TabTRADER[[#This Row],[M]])/TabTRADER[[#This Row],[M]]-Commission,                              TRUE,"")</f>
        <v>-7.5005545993496649E-3</v>
      </c>
      <c r="AW13" s="825"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-51.116749999998795</v>
      </c>
      <c r="AX13" s="760"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13" s="736"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-1.33</v>
      </c>
      <c r="AZ13" s="765" cm="1">
        <f t="array" aca="1" ref="AZ13" ca="1">_xlfn.IFS(TabTRADER[[#This Row],[Traps]]=Sale_Back,"",         TabTRADER[[#This Row],[Traps]]=MDown, (TabTRADER[[#This Row],[M]]-TabTRADER[[#This Row],[A]])/TabTRADER[[#This Row],[A]]*ComFactor,             TRUE, IFERROR((TabTRADER[[#This Row],[M]]-TabTRADER[[#This Row],[A]])/TabTRADER[[#This Row],[A]]*ComFactor,""))</f>
        <v>4.9118841136761033E-3</v>
      </c>
      <c r="BA13" s="762" cm="1">
        <f t="array" aca="1" ref="BA13" ca="1">_xlfn.IFS(               TabTRADER[[#This Row],[Traps]]=NoStock,(TabTRADER[[#This Row],[L_Sp]]-TabTRADER[[#This Row],[M]])/TabTRADER[[#This Row],[M]]-Commission,             TabTRADER[[#This Row],[A]]&lt;&gt;0,(TabTRADER[[#This Row],[A]]-TabTRADER[[#This Row],[M]])/TabTRADER[[#This Row],[M]]-Commission)</f>
        <v>-7.5005545993496649E-3</v>
      </c>
      <c r="BB13" s="324">
        <f ca="1">_xlfn.XLOOKUP(TabTRADER[[#This Row],[ClickTick]],TabCalc[Ticker],TabCalc[L_Sn])</f>
        <v>95</v>
      </c>
      <c r="BC13" s="728">
        <f ca="1">_xlfn.XLOOKUP(TabTRADER[[#This Row],[ClickTick]],TabCalc[Ticker],TabCalc[L_Sp])</f>
        <v>97.375</v>
      </c>
      <c r="BD13" s="764">
        <f ca="1">-IFERROR((TabTRADER[[#This Row],[M]]-TabTRADER[[#This Row],[L_Sp]])/TabTRADER[[#This Row],[L_Sp]],0)</f>
        <v>-2.2849807445442818E-2</v>
      </c>
      <c r="BE13" s="729">
        <f ca="1">TabTRADER[[#This Row],[L_Sn]]*(TabTRADER[[#This Row],[M]]-TabTRADER[[#This Row],[L_Sp]])*(1-Commission)*TabTRADER[[#This Row],[Scale]]</f>
        <v>210.82542499999946</v>
      </c>
      <c r="BF13" s="692">
        <f ca="1">TabTRADER[[#This Row],[L_Sn]]*(TabTRADER[[#This Row],[Agiotage]]-TabTRADER[[#This Row],[M]])/(TabTRADER[[#This Row],[L_Bn]]*TabTRADER[[#This Row],[M]])</f>
        <v>-0.9471165098439368</v>
      </c>
      <c r="BG13" s="635">
        <f ca="1">IFERROR((TabTRADER[[#This Row],[M]]-TabTRADER[[#This Row],[A]])/TabTRADER[[#This Row],[A]],0)</f>
        <v>4.9246883032645914E-3</v>
      </c>
      <c r="BH13" s="638" t="str">
        <f ca="1">TEXT(_xlfn.XLOOKUP(TabTRADER[[#This Row],[ClickTick]],TabCalc[Ticker],TabCalc[NAfter]),"#,#0")&amp;" : "&amp;TEXT(_xlfn.XLOOKUP(TabTRADER[[#This Row],[ClickTick]],TabCalc[Ticker],TabCalc[NAfter])*(TabTRADER[[#This Row],[M]]-TabTRADER[[#This Row],[A]])*(1-Commission)*TabTRADER[[#This Row],[Scale]],"#,#0$")</f>
        <v>105 : 51$</v>
      </c>
      <c r="BI13" s="684">
        <f ca="1">_xlfn.XLOOKUP(TabTRADER[[#This Row],[ClickTick]],TabCalc[[#This Row],[Ticker]],TabCalc[[#This Row],[GL]])*(1-Commission)</f>
        <v>40309.851929052602</v>
      </c>
      <c r="BJ13" s="684"/>
      <c r="BK13" s="669" t="str">
        <f ca="1">TabTRADER[[#This Row],[ClickTick]]&amp;": "&amp;_xlfn.XLOOKUP(TabTRADER[[#This Row],[ClickTick]],TabCalc[Ticker],TabCalc[Pile?])</f>
        <v xml:space="preserve">C: </v>
      </c>
      <c r="BL13" s="351" t="s">
        <v>1943</v>
      </c>
      <c r="BM13" s="755" t="str" cm="1">
        <f t="array" aca="1" ref="BM13" ca="1">_xlfn.TEXTJOIN("",,INDEX({"M","A","Y"}, _xlfn.SORTBY({1,2,3}, -CHOOSE({1,2,3}, TabTRADER[[#This Row],[M]], TabTRADER[[#This Row],[A]], TabTRADER[[#This Row],[Agiotage]]))))</f>
        <v>MAY</v>
      </c>
      <c r="BN13" s="902"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1.33534136546186E-2</v>
      </c>
      <c r="BO13" s="679">
        <f ca="1">TabTRADER[[#This Row],[L_Sn]]*TabTRADER[[#This Row],[L_Sp]]+TabTRADER[[#This Row],[SellMore]]*TabTRADER[[#This Row],[M]]</f>
        <v>9748.625</v>
      </c>
      <c r="BP13" s="679">
        <f ca="1">INDEX(
  INDEX(TabConsolid[], , _xlfn.XMATCH(TabTRADER[[#This Row],[ClickTick]]&amp;1, TabConsolid[#Headers])),
  MATCH(
    -TabTRADER[[#This Row],[M]],
    INDEX(TabConsolid[], , _xlfn.XMATCH(TabTRADER[[#This Row],[ClickTick]]&amp;2, TabConsolid[#Headers])),
    -1
  )
)</f>
        <v>5</v>
      </c>
      <c r="BQ13" s="679"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3" s="1144">
        <f ca="1">TabTRADER[[#This Row],[ReBuy]]/(TabTRADER[[#This Row],[L_Sn]]+TabTRADER[[#This Row],[SellMore]])</f>
        <v>97.486249999999998</v>
      </c>
      <c r="BS13" s="687">
        <f ca="1">((_xlfn.XLOOKUP(TabTRADER[[#This Row],[ClickTick]],TabCalc[Ticker],TabCalc[NAfter])+TabTRADER[[#This Row],[L_Sn]])*(TabTRADER[[#This Row],[Agiotage]]-TabTRADER[[#This Row],[M]]))/(TabTRADER[[#This Row],[L_Sn]]*_xlfn.XLOOKUP(TabTRADER[[#This Row],[ClickTick]],TabCalc[Ticker],TabCalc[NAfter]))</f>
        <v>-1.9909311041911326</v>
      </c>
      <c r="BT13" s="687">
        <f ca="1">(TabTRADER[[#This Row],[M]]-TabTRADER[[#This Row],[Agiotage]])/(TabTRADER[[#This Row],[M]]-TabTRADER[[#This Row],[A]])-1</f>
        <v>202.43916734168164</v>
      </c>
      <c r="BU13" s="1262">
        <f ca="1">_xlfn.XMATCH(TabTRADER[[#This Row],[ClickTick]]&amp;1, TabConsolid[#Headers])</f>
        <v>32</v>
      </c>
      <c r="BV13" t="str">
        <f ca="1">IF(ABS(TabTRADER[[#This Row],[L_Bp]])&gt;=TabTRADER[[#This Row],[M]],"OK")</f>
        <v>OK</v>
      </c>
    </row>
    <row r="14" spans="1:74" hidden="1"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+11,074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14.1%</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452/1,000=35,342</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19,339$</v>
      </c>
      <c r="G14" s="225" t="str">
        <f ca="1">IFERROR(TRUNC(_xlfn.XLOOKUP(TabTRADER[[#This Row],[ClickTick]],TabCalc[Ticker],ListLastSalep),2)&amp;"x"&amp;_xlfn.XLOOKUP(TabTRADER[[#This Row],[ClickTick]],TabCalc[Ticker],ListLastSalen)&amp;"=   "&amp;TEXT(-_xlfn.XLOOKUP(TabTRADER[[#This Row],[ClickTick]],TabCalc[Ticker],ListReverseB),"#,#0")&amp;"$","")</f>
        <v>69.34x1000=   8,934$</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-11.4% = 0</v>
      </c>
      <c r="I14" s="226" t="str">
        <f ca="1">IFERROR(TRUNC(TabCalc[[#This Row],[L_S1p]],2)&amp;"x"&amp;TabCalc[[#This Row],[L_S1n]]&amp;"=   "&amp;TEXT(TabCalc[[#This Row],[ReverseB1]],"#,#0"),"")</f>
        <v>68.32x1000=   -9,954</v>
      </c>
      <c r="J14" s="295">
        <f ca="1">_xlfn.XLOOKUP(TabTRADER[[#This Row],[ClickTick]],TabCalc[Ticker],ListGravity)</f>
        <v>0.97467025919339334</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0.40983121293491032</v>
      </c>
      <c r="N14" s="324" cm="1">
        <f t="array" aca="1" ref="N14" ca="1">_xlfn.XLOOKUP(TabTRADER[[#This Row],[ClickTick]],ListTickers,Tab2RSIConventional[RSIConv20])</f>
        <v>17</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0.16478571428571426</v>
      </c>
      <c r="S14" s="683">
        <f ca="1">_xlfn.XLOOKUP(TabTRADER[[#This Row],[ClickTick]],TabCalc[Ticker],TabCalc[Rev(MinStock)])*(1-Commission)</f>
        <v>11044.808639999997</v>
      </c>
      <c r="T14" s="782">
        <f ca="1">_xlfn.XLOOKUP(TabTRADER[[#This Row],[ClickTick]],TabCalc[Ticker],TabCalc[Agiotage])</f>
        <v>0.40983121293491032</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1,024/1,024=&gt;1.2% / 1.2%</v>
      </c>
      <c r="V14" s="739" t="str">
        <f ca="1">_xlfn.XLOOKUP(TabTRADER[[#This Row],[ClickTick]],[1]!RTData[Ticker_Symbol],[1]!RTData[Currency])</f>
        <v>USD</v>
      </c>
      <c r="W14" s="708">
        <f ca="1">_xlfn.XLOOKUP(TabTRADER[[#This Row],[ClickTick]],TabCalc[Ticker],TabCalc[M])</f>
        <v>78.273600000000002</v>
      </c>
      <c r="X14" s="1315"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1.1679E-2</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^139/78 K$</v>
      </c>
      <c r="AE14" s="1182"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65"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78.2736, 12.9%</v>
      </c>
      <c r="AG14" s="1165"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65" cm="1">
        <f t="array" aca="1" ref="AH14" ca="1">_xlfn.IFS(     TabTRADER[[#This Row],[Traps]]=MUp,MIN(TabTRADER[[#This Row],[L_Sn]],TabTRADER[[#This Row],[N]])*(TabTRADER[[#This Row],[M]]-TabTRADER[[#This Row],[L_Sp]])*(1-Commission)*TabTRADER[[#This Row],[Scale]],                                  TRUE,"M= "&amp;TabTRADER[[#This Row],[M]])</f>
        <v>8910.3726399999978</v>
      </c>
      <c r="AI14" s="1165" t="str" cm="1">
        <f t="array" aca="1" ref="AI14" ca="1">_xlfn.IFS(   TabTRADER[[#This Row],[Traps]]=MUp,TEXT(MIN(TabTRADER[[#This Row],[L_Sn]],TabTRADER[[#This Row],[N]]),"#,#0")&amp;" x "&amp;TEXT(TabTRADER[[#This Row],[L_Sp]],"#,#0.#0"),          TRUE,"")</f>
        <v>1,000 x 69.34</v>
      </c>
      <c r="AJ14" s="1165"/>
      <c r="AK14" s="1165"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8910.3726399999978</v>
      </c>
      <c r="AL14" s="1165"/>
      <c r="AM14" s="1165"/>
      <c r="AN14" s="1165"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11044.808639999997</v>
      </c>
      <c r="AO14" s="1174"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0.16478571428571426</v>
      </c>
      <c r="AP14" s="1174"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0.11153298992252814</v>
      </c>
      <c r="AQ14" s="825" cm="1">
        <f t="array" aca="1" ref="AQ14" ca="1">_xlfn.IFS(   TabTRADER[[#This Row],[Traps]]=SellMorePercentGain,                     MIN(TabTRADER[[#This Row],[L_Sn]],TabTRADER[[#This Row],[N]])*(TabTRADER[[#This Row],[M]]-TabTRADER[[#This Row],[L_Sp]])*(1-Commission)*TabTRADER[[#This Row],[Scale]],                    TRUE,"")</f>
        <v>8910.3726399999978</v>
      </c>
      <c r="AR14" s="1163">
        <f ca="1">_xlfn.XLOOKUP(TabTRADER[[#This Row],[ClickTick]],TabCalc[Ticker],TabCalc[Ann%RevLB])</f>
        <v>1.0985714285714285</v>
      </c>
      <c r="AS14" s="1267">
        <f ca="1">_xlfn.XLOOKUP(TabTRADER[[#This Row],[ClickTick]],TabCalc[Ticker],TabCalc[Up20])</f>
        <v>0</v>
      </c>
      <c r="AT14" s="310"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14" s="825" t="str" cm="1">
        <f t="array" aca="1" ref="AU14" ca="1">_xlfn.IFS(         TabTRADER[[#This Row],[Traps]]=MDown,TabTRADER[[#This Row],[L_Bn]]*TabTRADER[[#This Row],[M]]*(-(TabTRADER[[#This Row],[L_Bp]]+TabTRADER[[#This Row],[M]])/TabTRADER[[#This Row],[M]])*(1-Commission)*TabTRADER[[#This Row],[Scale]],                               TRUE,"")</f>
        <v/>
      </c>
      <c r="AV14" s="1174" cm="1">
        <f t="array" aca="1" ref="AV14" ca="1">_xlfn.IFS(   TabTRADER[[#This Row],[Traps]]=MUp,TabTRADER[[#This Row],[TakeGain_A]]-Commission,        TabTRADER[[#This Row],[Traps]]=MDown,(TabTRADER[[#This Row],[A]]-TabTRADER[[#This Row],[M]])/TabTRADER[[#This Row],[M]]-Commission,                              TRUE,"")</f>
        <v>0.16218571428571427</v>
      </c>
      <c r="AW14" s="825"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12864.835320891427</v>
      </c>
      <c r="AX14" s="760"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14" s="736"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1,000x11.07</v>
      </c>
      <c r="AZ14" s="765" cm="1">
        <f t="array" aca="1" ref="AZ14" ca="1">_xlfn.IFS(TabTRADER[[#This Row],[Traps]]=Sale_Back,"",         TabTRADER[[#This Row],[Traps]]=MDown, (TabTRADER[[#This Row],[M]]-TabTRADER[[#This Row],[A]])/TabTRADER[[#This Row],[A]]*ComFactor,             TRUE, IFERROR((TabTRADER[[#This Row],[M]]-TabTRADER[[#This Row],[A]])/TabTRADER[[#This Row],[A]]*ComFactor,""))</f>
        <v>0.1643572714285714</v>
      </c>
      <c r="BA14" s="762" cm="1">
        <f t="array" aca="1" ref="BA14" ca="1">_xlfn.IFS(               TabTRADER[[#This Row],[Traps]]=NoStock,(TabTRADER[[#This Row],[L_Sp]]-TabTRADER[[#This Row],[M]])/TabTRADER[[#This Row],[M]]-Commission,             TabTRADER[[#This Row],[A]]&lt;&gt;0,(TabTRADER[[#This Row],[A]]-TabTRADER[[#This Row],[M]])/TabTRADER[[#This Row],[M]]-Commission)</f>
        <v>-0.14407298706077143</v>
      </c>
      <c r="BB14" s="324">
        <f ca="1">_xlfn.XLOOKUP(TabTRADER[[#This Row],[ClickTick]],TabCalc[Ticker],TabCalc[L_Sn])</f>
        <v>1000</v>
      </c>
      <c r="BC14" s="728">
        <f ca="1">_xlfn.XLOOKUP(TabTRADER[[#This Row],[ClickTick]],TabCalc[Ticker],TabCalc[L_Sp])</f>
        <v>69.34</v>
      </c>
      <c r="BD14" s="764">
        <f ca="1">-IFERROR((TabTRADER[[#This Row],[M]]-TabTRADER[[#This Row],[L_Sp]])/TabTRADER[[#This Row],[L_Sp]],0)</f>
        <v>-0.12883761176809919</v>
      </c>
      <c r="BE14" s="729">
        <f ca="1">TabTRADER[[#This Row],[L_Sn]]*(TabTRADER[[#This Row],[M]]-TabTRADER[[#This Row],[L_Sp]])*(1-Commission)*TabTRADER[[#This Row],[Scale]]</f>
        <v>8910.3726399999978</v>
      </c>
      <c r="BF14" s="692">
        <f ca="1">TabTRADER[[#This Row],[L_Sn]]*(TabTRADER[[#This Row],[Agiotage]]-TabTRADER[[#This Row],[M]])/(TabTRADER[[#This Row],[L_Bn]]*TabTRADER[[#This Row],[M]])</f>
        <v>-0.99476411953794242</v>
      </c>
      <c r="BG14" s="635">
        <f ca="1">IFERROR((TabTRADER[[#This Row],[M]]-TabTRADER[[#This Row],[A]])/TabTRADER[[#This Row],[A]],0)</f>
        <v>0.16478571428571426</v>
      </c>
      <c r="BH14" s="638" t="str">
        <f ca="1">TEXT(_xlfn.XLOOKUP(TabTRADER[[#This Row],[ClickTick]],TabCalc[Ticker],TabCalc[NAfter]),"#,#0")&amp;" : "&amp;TEXT(_xlfn.XLOOKUP(TabTRADER[[#This Row],[ClickTick]],TabCalc[Ticker],TabCalc[NAfter])*(TabTRADER[[#This Row],[M]]-TabTRADER[[#This Row],[A]])*(1-Commission)*TabTRADER[[#This Row],[Scale]],"#,#0$")</f>
        <v>1,000 : 11,045$</v>
      </c>
      <c r="BI14" s="684">
        <f ca="1">_xlfn.XLOOKUP(TabTRADER[[#This Row],[ClickTick]],TabCalc[[#This Row],[Ticker]],TabCalc[[#This Row],[GL]])*(1-Commission)</f>
        <v>138505.54649090994</v>
      </c>
      <c r="BJ14" s="684"/>
      <c r="BK14" s="669" t="str">
        <f ca="1">TabTRADER[[#This Row],[ClickTick]]&amp;": "&amp;_xlfn.XLOOKUP(TabTRADER[[#This Row],[ClickTick]],TabCalc[Ticker],TabCalc[Pile?])</f>
        <v>CSCO: Pile</v>
      </c>
      <c r="BL14" s="351" t="s">
        <v>1944</v>
      </c>
      <c r="BM14" s="755" t="str" cm="1">
        <f t="array" aca="1" ref="BM14" ca="1">_xlfn.TEXTJOIN("",,INDEX({"M","A","Y"}, _xlfn.SORTBY({1,2,3}, -CHOOSE({1,2,3}, TabTRADER[[#This Row],[M]], TabTRADER[[#This Row],[A]], TabTRADER[[#This Row],[Agiotage]]))))</f>
        <v>MAY</v>
      </c>
      <c r="BN14" s="902"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0.11413298992252814</v>
      </c>
      <c r="BO14" s="679">
        <f ca="1">TabTRADER[[#This Row],[L_Sn]]*TabTRADER[[#This Row],[L_Sp]]+TabTRADER[[#This Row],[SellMore]]*TabTRADER[[#This Row],[M]]</f>
        <v>147613.6</v>
      </c>
      <c r="BP14" s="679">
        <f ca="1">INDEX(
  INDEX(TabConsolid[], , _xlfn.XMATCH(TabTRADER[[#This Row],[ClickTick]]&amp;1, TabConsolid[#Headers])),
  MATCH(
    -TabTRADER[[#This Row],[M]],
    INDEX(TabConsolid[], , _xlfn.XMATCH(TabTRADER[[#This Row],[ClickTick]]&amp;2, TabConsolid[#Headers])),
    -1
  )
)</f>
        <v>1000</v>
      </c>
      <c r="BQ14" s="679"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44">
        <f ca="1">TabTRADER[[#This Row],[ReBuy]]/(TabTRADER[[#This Row],[L_Sn]]+TabTRADER[[#This Row],[SellMore]])</f>
        <v>73.80680000000001</v>
      </c>
      <c r="BS14" s="687">
        <f ca="1">((_xlfn.XLOOKUP(TabTRADER[[#This Row],[ClickTick]],TabCalc[Ticker],TabCalc[NAfter])+TabTRADER[[#This Row],[L_Sn]])*(TabTRADER[[#This Row],[Agiotage]]-TabTRADER[[#This Row],[M]]))/(TabTRADER[[#This Row],[L_Sn]]*_xlfn.XLOOKUP(TabTRADER[[#This Row],[ClickTick]],TabCalc[Ticker],TabCalc[NAfter]))</f>
        <v>-0.15572753757413019</v>
      </c>
      <c r="BT14" s="687">
        <f ca="1">(TabTRADER[[#This Row],[M]]-TabTRADER[[#This Row],[Agiotage]])/(TabTRADER[[#This Row],[M]]-TabTRADER[[#This Row],[A]])-1</f>
        <v>6.0314774587365543</v>
      </c>
      <c r="BU14" s="1262">
        <f ca="1">_xlfn.XMATCH(TabTRADER[[#This Row],[ClickTick]]&amp;1, TabConsolid[#Headers])</f>
        <v>35</v>
      </c>
      <c r="BV14" t="b">
        <f ca="1">IF(ABS(TabTRADER[[#This Row],[L_Bp]])&gt;=TabTRADER[[#This Row],[M]],"OK")</f>
        <v>0</v>
      </c>
    </row>
    <row r="15" spans="1:74" hidden="1"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26.6%</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30$</v>
      </c>
      <c r="G15" s="225" t="str">
        <f ca="1">IFERROR(TRUNC(_xlfn.XLOOKUP(TabTRADER[[#This Row],[ClickTick]],TabCalc[Ticker],ListLastSalep),2)&amp;"x"&amp;_xlfn.XLOOKUP(TabTRADER[[#This Row],[ClickTick]],TabCalc[Ticker],ListLastSalen)&amp;"=   "&amp;TEXT(-_xlfn.XLOOKUP(TabTRADER[[#This Row],[ClickTick]],TabCalc[Ticker],ListReverseB),"#,#0")&amp;"$","")</f>
        <v>74.68x249=   432$</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15" s="226" t="str">
        <f ca="1">IFERROR(TRUNC(TabCalc[[#This Row],[L_S1p]],2)&amp;"x"&amp;TabCalc[[#This Row],[L_S1n]]&amp;"=   "&amp;TEXT(TabCalc[[#This Row],[ReverseB1]],"#,#0"),"")</f>
        <v>62.73x750=   -10,264</v>
      </c>
      <c r="J15" s="295">
        <f ca="1">_xlfn.XLOOKUP(TabTRADER[[#This Row],[ClickTick]],TabCalc[Ticker],ListGravity)</f>
        <v>1.1839832504579952</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0.28707137293814855</v>
      </c>
      <c r="N15" s="324" cm="1">
        <f t="array" aca="1" ref="N15" ca="1">_xlfn.XLOOKUP(TabTRADER[[#This Row],[ClickTick]],ListTickers,Tab2RSIConventional[RSIConv20])</f>
        <v>12</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0.36327495678889343</v>
      </c>
      <c r="S15" s="683">
        <f ca="1">_xlfn.XLOOKUP(TabTRADER[[#This Row],[ClickTick]],TabCalc[Ticker],TabCalc[Rev(MinStock)])*(1-Commission)</f>
        <v>20.310864093999999</v>
      </c>
      <c r="T15" s="782">
        <f ca="1">_xlfn.XLOOKUP(TabTRADER[[#This Row],[ClickTick]],TabCalc[Ticker],TabCalc[Agiotage])</f>
        <v>0.28707137293814855</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-1/-1=&gt;-2.0% / -2.0%</v>
      </c>
      <c r="V15" s="739" t="str">
        <f ca="1">_xlfn.XLOOKUP(TabTRADER[[#This Row],[ClickTick]],[1]!RTData[Ticker_Symbol],[1]!RTData[Currency])</f>
        <v>USD</v>
      </c>
      <c r="W15" s="749">
        <f ca="1">_xlfn.XLOOKUP(TabTRADER[[#This Row],[ClickTick]],TabCalc[Ticker],TabCalc[M])</f>
        <v>76.42</v>
      </c>
      <c r="X15" s="1315"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-1.9501999999999999E-2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82"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65"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76.42, 02.3%</v>
      </c>
      <c r="AG15" s="1165"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65" cm="1">
        <f t="array" aca="1" ref="AH15" ca="1">_xlfn.IFS(     TabTRADER[[#This Row],[Traps]]=MUp,MIN(TabTRADER[[#This Row],[L_Sn]],TabTRADER[[#This Row],[N]])*(TabTRADER[[#This Row],[M]]-TabTRADER[[#This Row],[L_Sp]])*(1-Commission)*TabTRADER[[#This Row],[Scale]],                                  TRUE,"M= "&amp;TabTRADER[[#This Row],[M]])</f>
        <v>1.7304889999999993</v>
      </c>
      <c r="AI15" s="1165" t="str" cm="1">
        <f t="array" aca="1" ref="AI15" ca="1">_xlfn.IFS(   TabTRADER[[#This Row],[Traps]]=MUp,TEXT(MIN(TabTRADER[[#This Row],[L_Sn]],TabTRADER[[#This Row],[N]]),"#,#0")&amp;" x "&amp;TEXT(TabTRADER[[#This Row],[L_Sp]],"#,#0.#0"),          TRUE,"")</f>
        <v>1 x 74.69</v>
      </c>
      <c r="AJ15" s="1165"/>
      <c r="AK15" s="1165"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1.7304889999999993</v>
      </c>
      <c r="AL15" s="1165"/>
      <c r="AM15" s="1165"/>
      <c r="AN15" s="1165"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20.310864093999999</v>
      </c>
      <c r="AO15" s="1174"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0.36327495678889343</v>
      </c>
      <c r="AP15" s="1174"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2.0103480764197844E-2</v>
      </c>
      <c r="AQ15" s="825" cm="1">
        <f t="array" aca="1" ref="AQ15" ca="1">_xlfn.IFS(   TabTRADER[[#This Row],[Traps]]=SellMorePercentGain,                     MIN(TabTRADER[[#This Row],[L_Sn]],TabTRADER[[#This Row],[N]])*(TabTRADER[[#This Row],[M]]-TabTRADER[[#This Row],[L_Sp]])*(1-Commission)*TabTRADER[[#This Row],[Scale]],                    TRUE,"")</f>
        <v>1.7304889999999993</v>
      </c>
      <c r="AR15" s="1163">
        <f ca="1">_xlfn.XLOOKUP(TabTRADER[[#This Row],[ClickTick]],TabCalc[Ticker],TabCalc[Ann%RevLB])</f>
        <v>0.44182089339189745</v>
      </c>
      <c r="AS15" s="1267">
        <f ca="1">_xlfn.XLOOKUP(TabTRADER[[#This Row],[ClickTick]],TabCalc[Ticker],TabCalc[Up20])</f>
        <v>0</v>
      </c>
      <c r="AT15" s="310"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5" t="str" cm="1">
        <f t="array" aca="1" ref="AU15" ca="1">_xlfn.IFS(         TabTRADER[[#This Row],[Traps]]=MDown,TabTRADER[[#This Row],[L_Bn]]*TabTRADER[[#This Row],[M]]*(-(TabTRADER[[#This Row],[L_Bp]]+TabTRADER[[#This Row],[M]])/TabTRADER[[#This Row],[M]])*(1-Commission)*TabTRADER[[#This Row],[Scale]],                               TRUE,"")</f>
        <v/>
      </c>
      <c r="AV15" s="1174" cm="1">
        <f t="array" aca="1" ref="AV15" ca="1">_xlfn.IFS(   TabTRADER[[#This Row],[Traps]]=MUp,TabTRADER[[#This Row],[TakeGain_A]]-Commission,        TabTRADER[[#This Row],[Traps]]=MDown,(TabTRADER[[#This Row],[A]]-TabTRADER[[#This Row],[M]])/TabTRADER[[#This Row],[M]]-Commission,                              TRUE,"")</f>
        <v>0.36067495678889344</v>
      </c>
      <c r="AW15" s="825"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27.689292370092936</v>
      </c>
      <c r="AX15" s="760"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-1.3%</v>
      </c>
      <c r="AY15" s="736"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1x20.36</v>
      </c>
      <c r="AZ15" s="765" cm="1">
        <f t="array" aca="1" ref="AZ15" ca="1">_xlfn.IFS(TabTRADER[[#This Row],[Traps]]=Sale_Back,"",         TabTRADER[[#This Row],[Traps]]=MDown, (TabTRADER[[#This Row],[M]]-TabTRADER[[#This Row],[A]])/TabTRADER[[#This Row],[A]]*ComFactor,             TRUE, IFERROR((TabTRADER[[#This Row],[M]]-TabTRADER[[#This Row],[A]])/TabTRADER[[#This Row],[A]]*ComFactor,""))</f>
        <v>0.36233044190124231</v>
      </c>
      <c r="BA15" s="762" cm="1">
        <f t="array" aca="1" ref="BA15" ca="1">_xlfn.IFS(               TabTRADER[[#This Row],[Traps]]=NoStock,(TabTRADER[[#This Row],[L_Sp]]-TabTRADER[[#This Row],[M]])/TabTRADER[[#This Row],[M]]-Commission,             TabTRADER[[#This Row],[A]]&lt;&gt;0,(TabTRADER[[#This Row],[A]]-TabTRADER[[#This Row],[M]])/TabTRADER[[#This Row],[M]]-Commission)</f>
        <v>-0.26907225857105471</v>
      </c>
      <c r="BB15" s="324">
        <f ca="1">_xlfn.XLOOKUP(TabTRADER[[#This Row],[ClickTick]],TabCalc[Ticker],TabCalc[L_Sn])</f>
        <v>249</v>
      </c>
      <c r="BC15" s="728">
        <f ca="1">_xlfn.XLOOKUP(TabTRADER[[#This Row],[ClickTick]],TabCalc[Ticker],TabCalc[L_Sp])</f>
        <v>74.685000000000002</v>
      </c>
      <c r="BD15" s="764">
        <f ca="1">-IFERROR((TabTRADER[[#This Row],[M]]-TabTRADER[[#This Row],[L_Sp]])/TabTRADER[[#This Row],[L_Sp]],0)</f>
        <v>-2.3230903126464475E-2</v>
      </c>
      <c r="BE15" s="729">
        <f ca="1">TabTRADER[[#This Row],[L_Sn]]*(TabTRADER[[#This Row],[M]]-TabTRADER[[#This Row],[L_Sp]])*(1-Commission)*TabTRADER[[#This Row],[Scale]]</f>
        <v>430.89176099999986</v>
      </c>
      <c r="BF15" s="692">
        <f ca="1">TabTRADER[[#This Row],[L_Sn]]*(TabTRADER[[#This Row],[Agiotage]]-TabTRADER[[#This Row],[M]])/(TabTRADER[[#This Row],[L_Bn]]*TabTRADER[[#This Row],[M]])</f>
        <v>-0.124032316331709</v>
      </c>
      <c r="BG15" s="635">
        <f ca="1">IFERROR((TabTRADER[[#This Row],[M]]-TabTRADER[[#This Row],[A]])/TabTRADER[[#This Row],[A]],0)</f>
        <v>0.36327495678889343</v>
      </c>
      <c r="BH15" s="638" t="str">
        <f ca="1">TEXT(_xlfn.XLOOKUP(TabTRADER[[#This Row],[ClickTick]],TabCalc[Ticker],TabCalc[NAfter]),"#,#0")&amp;" : "&amp;TEXT(_xlfn.XLOOKUP(TabTRADER[[#This Row],[ClickTick]],TabCalc[Ticker],TabCalc[NAfter])*(TabTRADER[[#This Row],[M]]-TabTRADER[[#This Row],[A]])*(1-Commission)*TabTRADER[[#This Row],[Scale]],"#,#0$")</f>
        <v>1 : 20$</v>
      </c>
      <c r="BI15" s="684">
        <f ca="1">_xlfn.XLOOKUP(TabTRADER[[#This Row],[ClickTick]],TabCalc[[#This Row],[Ticker]],TabCalc[[#This Row],[GL]])*(1-Commission)</f>
        <v>-44448.240881341393</v>
      </c>
      <c r="BJ15" s="684"/>
      <c r="BK15" s="669" t="str">
        <f ca="1">TabTRADER[[#This Row],[ClickTick]]&amp;": "&amp;_xlfn.XLOOKUP(TabTRADER[[#This Row],[ClickTick]],TabCalc[Ticker],TabCalc[Pile?])</f>
        <v xml:space="preserve">CVS: </v>
      </c>
      <c r="BL15" s="351" t="s">
        <v>1945</v>
      </c>
      <c r="BM15" s="755" t="str" cm="1">
        <f t="array" aca="1" ref="BM15" ca="1">_xlfn.TEXTJOIN("",,INDEX({"M","A","Y"}, _xlfn.SORTBY({1,2,3}, -CHOOSE({1,2,3}, TabTRADER[[#This Row],[M]], TabTRADER[[#This Row],[A]], TabTRADER[[#This Row],[Agiotage]]))))</f>
        <v>MAY</v>
      </c>
      <c r="BN15" s="902"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2.2703480764197845E-2</v>
      </c>
      <c r="BO15" s="679">
        <f ca="1">TabTRADER[[#This Row],[L_Sn]]*TabTRADER[[#This Row],[L_Sp]]+TabTRADER[[#This Row],[SellMore]]*TabTRADER[[#This Row],[M]]</f>
        <v>18672.985000000001</v>
      </c>
      <c r="BP15" s="679">
        <f ca="1">INDEX(
  INDEX(TabConsolid[], , _xlfn.XMATCH(TabTRADER[[#This Row],[ClickTick]]&amp;1, TabConsolid[#Headers])),
  MATCH(
    -TabTRADER[[#This Row],[M]],
    INDEX(TabConsolid[], , _xlfn.XMATCH(TabTRADER[[#This Row],[ClickTick]]&amp;2, TabConsolid[#Headers])),
    -1
  )
)</f>
        <v>1</v>
      </c>
      <c r="BQ15" s="679"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44">
        <f ca="1">TabTRADER[[#This Row],[ReBuy]]/(TabTRADER[[#This Row],[L_Sn]]+TabTRADER[[#This Row],[SellMore]])</f>
        <v>74.691940000000002</v>
      </c>
      <c r="BS15" s="687">
        <f ca="1">((_xlfn.XLOOKUP(TabTRADER[[#This Row],[ClickTick]],TabCalc[Ticker],TabCalc[NAfter])+TabTRADER[[#This Row],[L_Sn]])*(TabTRADER[[#This Row],[Agiotage]]-TabTRADER[[#This Row],[M]]))/(TabTRADER[[#This Row],[L_Sn]]*_xlfn.XLOOKUP(TabTRADER[[#This Row],[ClickTick]],TabCalc[Ticker],TabCalc[NAfter]))</f>
        <v>-76.438683360503873</v>
      </c>
      <c r="BT15" s="687">
        <f ca="1">(TabTRADER[[#This Row],[M]]-TabTRADER[[#This Row],[Agiotage]])/(TabTRADER[[#This Row],[M]]-TabTRADER[[#This Row],[A]])-1</f>
        <v>2.7386387236505279</v>
      </c>
      <c r="BU15" s="1262">
        <f ca="1">_xlfn.XMATCH(TabTRADER[[#This Row],[ClickTick]]&amp;1, TabConsolid[#Headers])</f>
        <v>38</v>
      </c>
      <c r="BV15" t="b">
        <f ca="1">IF(ABS(TabTRADER[[#This Row],[L_Bp]])&gt;=TabTRADER[[#This Row],[M]],"OK")</f>
        <v>0</v>
      </c>
    </row>
    <row r="16" spans="1:74" ht="23" hidden="1"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+2,700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-24,225$</v>
      </c>
      <c r="G16" s="225" t="str">
        <f ca="1">IFERROR(TRUNC(_xlfn.XLOOKUP(TabTRADER[[#This Row],[ClickTick]],TabCalc[Ticker],ListLastSalep),2)&amp;"x"&amp;_xlfn.XLOOKUP(TabTRADER[[#This Row],[ClickTick]],TabCalc[Ticker],ListLastSalen)&amp;"=   "&amp;TEXT(-_xlfn.XLOOKUP(TabTRADER[[#This Row],[ClickTick]],TabCalc[Ticker],ListReverseB),"#,#0")&amp;"$","")</f>
        <v>3.15x10000=   -11,050$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54.0% = 4,525</v>
      </c>
      <c r="I16" s="226" t="str">
        <f ca="1">IFERROR(TRUNC(TabCalc[[#This Row],[L_S1p]],2)&amp;"x"&amp;TabCalc[[#This Row],[L_S1n]]&amp;"=   "&amp;TEXT(TabCalc[[#This Row],[ReverseB1]],"#,#0"),"")</f>
        <v>3.08x5000=   5,175</v>
      </c>
      <c r="J16" s="295">
        <f ca="1">_xlfn.XLOOKUP(TabTRADER[[#This Row],[ClickTick]],TabCalc[Ticker],ListGravity)</f>
        <v>1.5892420537897312</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92025</v>
      </c>
      <c r="M16" s="323">
        <f ca="1">_xlfn.XLOOKUP(TabTRADER[[#This Row],[ClickTick]],TabCalc[Ticker],TabCalc[Agiotage])</f>
        <v>0.20013259900261549</v>
      </c>
      <c r="N16" s="324" cm="1">
        <f t="array" aca="1" ref="N16" ca="1">_xlfn.XLOOKUP(TabTRADER[[#This Row],[ClickTick]],ListTickers,Tab2RSIConventional[RSIConv20])</f>
        <v>24</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7.0680628272251314E-2</v>
      </c>
      <c r="S16" s="683">
        <f ca="1">_xlfn.XLOOKUP(TabTRADER[[#This Row],[ClickTick]],TabCalc[Ticker],TabCalc[Rev(MinStock)])*(1-Commission)</f>
        <v>2692.98</v>
      </c>
      <c r="T16" s="782">
        <f ca="1">_xlfn.XLOOKUP(TabTRADER[[#This Row],[ClickTick]],TabCalc[Ticker],TabCalc[Agiotage])</f>
        <v>0.20013259900261549</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-4,675/-4,675=&gt;-1.7% / -1.7%</v>
      </c>
      <c r="V16" s="739" t="str">
        <f ca="1">_xlfn.XLOOKUP(TabTRADER[[#This Row],[ClickTick]],[1]!RTData[Ticker_Symbol],[1]!RTData[Currency])</f>
        <v>USD</v>
      </c>
      <c r="W16" s="749">
        <f ca="1">_xlfn.XLOOKUP(TabTRADER[[#This Row],[ClickTick]],TabCalc[Ticker],TabCalc[M])</f>
        <v>2.0449999999999999</v>
      </c>
      <c r="X16" s="1315"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-1.6827000000000002E-2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-341/174 K$</v>
      </c>
      <c r="AE16" s="1182"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65"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65"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11021.269999999999</v>
      </c>
      <c r="AH16" s="1165" t="str" cm="1">
        <f t="array" aca="1" ref="AH16" ca="1">_xlfn.IFS(     TabTRADER[[#This Row],[Traps]]=MUp,MIN(TabTRADER[[#This Row],[L_Sn]],TabTRADER[[#This Row],[N]])*(TabTRADER[[#This Row],[M]]-TabTRADER[[#This Row],[L_Sp]])*(1-Commission)*TabTRADER[[#This Row],[Scale]],                                  TRUE,"M= "&amp;TabTRADER[[#This Row],[M]])</f>
        <v>M= 2.045</v>
      </c>
      <c r="AI16" s="1165" t="str" cm="1">
        <f t="array" aca="1" ref="AI16" ca="1">_xlfn.IFS(   TabTRADER[[#This Row],[Traps]]=MUp,TEXT(MIN(TabTRADER[[#This Row],[L_Sn]],TabTRADER[[#This Row],[N]]),"#,#0")&amp;" x "&amp;TEXT(TabTRADER[[#This Row],[L_Sp]],"#,#0.#0"),          TRUE,"")</f>
        <v/>
      </c>
      <c r="AJ16" s="1165"/>
      <c r="AK16" s="1165"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65"/>
      <c r="AM16" s="1165"/>
      <c r="AN16" s="1165"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11021.269999999999</v>
      </c>
      <c r="AO16" s="1174"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0.35079365079365082</v>
      </c>
      <c r="AP16" s="1174"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TabTRADER[[#This Row],[Traps]]=SellMorePercentGain,                     MIN(TabTRADER[[#This Row],[L_Sn]],TabTRADER[[#This Row],[N]])*(TabTRADER[[#This Row],[M]]-TabTRADER[[#This Row],[L_Sp]])*(1-Commission)*TabTRADER[[#This Row],[Scale]],                    TRUE,"")</f>
        <v/>
      </c>
      <c r="AR16" s="1163">
        <f ca="1">_xlfn.XLOOKUP(TabTRADER[[#This Row],[ClickTick]],TabCalc[Ticker],TabCalc[Ann%RevLB])</f>
        <v>0.13392119041058143</v>
      </c>
      <c r="AS16" s="1267">
        <f ca="1">_xlfn.XLOOKUP(TabTRADER[[#This Row],[ClickTick]],TabCalc[Ticker],TabCalc[Up20])</f>
        <v>0</v>
      </c>
      <c r="AT16" s="310"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5" t="str" cm="1">
        <f t="array" aca="1" ref="AU16" ca="1">_xlfn.IFS(         TabTRADER[[#This Row],[Traps]]=MDown,TabTRADER[[#This Row],[L_Bn]]*TabTRADER[[#This Row],[M]]*(-(TabTRADER[[#This Row],[L_Bp]]+TabTRADER[[#This Row],[M]])/TabTRADER[[#This Row],[M]])*(1-Commission)*TabTRADER[[#This Row],[Scale]],                               TRUE,"")</f>
        <v/>
      </c>
      <c r="AV16" s="1174" t="str" cm="1">
        <f t="array" aca="1" ref="AV16" ca="1">_xlfn.IFS(   TabTRADER[[#This Row],[Traps]]=MUp,TabTRADER[[#This Row],[TakeGain_A]]-Commission,        TabTRADER[[#This Row],[Traps]]=MDown,(TabTRADER[[#This Row],[A]]-TabTRADER[[#This Row],[M]])/TabTRADER[[#This Row],[M]]-Commission,                              TRUE,"")</f>
        <v/>
      </c>
      <c r="AW16" s="825"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-79866.804999999978</v>
      </c>
      <c r="AX16" s="760"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6" s="736"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5" cm="1">
        <f t="array" aca="1" ref="AZ16" ca="1">_xlfn.IFS(TabTRADER[[#This Row],[Traps]]=Sale_Back,"",         TabTRADER[[#This Row],[Traps]]=MDown, (TabTRADER[[#This Row],[M]]-TabTRADER[[#This Row],[A]])/TabTRADER[[#This Row],[A]]*ComFactor,             TRUE, IFERROR((TabTRADER[[#This Row],[M]]-TabTRADER[[#This Row],[A]])/TabTRADER[[#This Row],[A]]*ComFactor,""))</f>
        <v>-0.31456008270972818</v>
      </c>
      <c r="BA16" s="762" cm="1">
        <f t="array" aca="1" ref="BA16" ca="1">_xlfn.IFS(               TabTRADER[[#This Row],[Traps]]=NoStock,(TabTRADER[[#This Row],[L_Sp]]-TabTRADER[[#This Row],[M]])/TabTRADER[[#This Row],[M]]-Commission,             TabTRADER[[#This Row],[A]]&lt;&gt;0,(TabTRADER[[#This Row],[A]]-TabTRADER[[#This Row],[M]])/TabTRADER[[#This Row],[M]]-Commission)</f>
        <v>0.45806446138357537</v>
      </c>
      <c r="BB16" s="324">
        <f ca="1">_xlfn.XLOOKUP(TabTRADER[[#This Row],[ClickTick]],TabCalc[Ticker],TabCalc[L_Sn])</f>
        <v>10000</v>
      </c>
      <c r="BC16" s="728">
        <f ca="1">_xlfn.XLOOKUP(TabTRADER[[#This Row],[ClickTick]],TabCalc[Ticker],TabCalc[L_Sp])</f>
        <v>3.15</v>
      </c>
      <c r="BD16" s="764">
        <f ca="1">-IFERROR((TabTRADER[[#This Row],[M]]-TabTRADER[[#This Row],[L_Sp]])/TabTRADER[[#This Row],[L_Sp]],0)</f>
        <v>0.35079365079365082</v>
      </c>
      <c r="BE16" s="729">
        <f ca="1">TabTRADER[[#This Row],[L_Sn]]*(TabTRADER[[#This Row],[M]]-TabTRADER[[#This Row],[L_Sp]])*(1-Commission)*TabTRADER[[#This Row],[Scale]]</f>
        <v>-11021.269999999999</v>
      </c>
      <c r="BF16" s="692">
        <f ca="1">TabTRADER[[#This Row],[L_Sn]]*(TabTRADER[[#This Row],[Agiotage]]-TabTRADER[[#This Row],[M]])/(TabTRADER[[#This Row],[L_Bn]]*TabTRADER[[#This Row],[M]])</f>
        <v>-0.45106782420473951</v>
      </c>
      <c r="BG16" s="635">
        <f ca="1">IFERROR((TabTRADER[[#This Row],[M]]-TabTRADER[[#This Row],[A]])/TabTRADER[[#This Row],[A]],0)</f>
        <v>-0.31538007089405273</v>
      </c>
      <c r="BH16" s="638" t="str">
        <f ca="1">TEXT(_xlfn.XLOOKUP(TabTRADER[[#This Row],[ClickTick]],TabCalc[Ticker],TabCalc[NAfter]),"#,#0")&amp;" : "&amp;TEXT(_xlfn.XLOOKUP(TabTRADER[[#This Row],[ClickTick]],TabCalc[Ticker],TabCalc[NAfter])*(TabTRADER[[#This Row],[M]]-TabTRADER[[#This Row],[A]])*(1-Commission)*TabTRADER[[#This Row],[Scale]],"#,#0$")</f>
        <v>85,000 : -79,867$</v>
      </c>
      <c r="BI16" s="684">
        <f ca="1">_xlfn.XLOOKUP(TabTRADER[[#This Row],[ClickTick]],TabCalc[[#This Row],[Ticker]],TabCalc[[#This Row],[GL]])*(1-Commission)</f>
        <v>-339688.74966897996</v>
      </c>
      <c r="BJ16" s="684"/>
      <c r="BK16" s="669" t="str">
        <f ca="1">TabTRADER[[#This Row],[ClickTick]]&amp;": "&amp;_xlfn.XLOOKUP(TabTRADER[[#This Row],[ClickTick]],TabCalc[Ticker],TabCalc[Pile?])</f>
        <v>DDD: Pile</v>
      </c>
      <c r="BL16" s="351" t="s">
        <v>1950</v>
      </c>
      <c r="BM16" s="755" t="str" cm="1">
        <f t="array" aca="1" ref="BM16" ca="1">_xlfn.TEXTJOIN("",,INDEX({"M","A","Y"}, _xlfn.SORTBY({1,2,3}, -CHOOSE({1,2,3}, TabTRADER[[#This Row],[M]], TabTRADER[[#This Row],[A]], TabTRADER[[#This Row],[Agiotage]]))))</f>
        <v>AMY</v>
      </c>
      <c r="BN16" s="902"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9" t="e">
        <f ca="1">TabTRADER[[#This Row],[L_Sn]]*TabTRADER[[#This Row],[L_Sp]]+TabTRADER[[#This Row],[SellMore]]*TabTRADER[[#This Row],[M]]</f>
        <v>#N/A</v>
      </c>
      <c r="BP16" s="679" t="e">
        <f ca="1">INDEX(
  INDEX(TabConsolid[], , _xlfn.XMATCH(TabTRADER[[#This Row],[ClickTick]]&amp;1, TabConsolid[#Headers])),
  MATCH(
    -TabTRADER[[#This Row],[M]],
    INDEX(TabConsolid[], , _xlfn.XMATCH(TabTRADER[[#This Row],[ClickTick]]&amp;2, TabConsolid[#Headers])),
    -1
  )
)</f>
        <v>#N/A</v>
      </c>
      <c r="BQ16" s="679"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44" t="e">
        <f ca="1">TabTRADER[[#This Row],[ReBuy]]/(TabTRADER[[#This Row],[L_Sn]]+TabTRADER[[#This Row],[SellMore]])</f>
        <v>#N/A</v>
      </c>
      <c r="BS16" s="687">
        <f ca="1">((_xlfn.XLOOKUP(TabTRADER[[#This Row],[ClickTick]],TabCalc[Ticker],TabCalc[NAfter])+TabTRADER[[#This Row],[L_Sn]])*(TabTRADER[[#This Row],[Agiotage]]-TabTRADER[[#This Row],[M]]))/(TabTRADER[[#This Row],[L_Sn]]*_xlfn.XLOOKUP(TabTRADER[[#This Row],[ClickTick]],TabCalc[Ticker],TabCalc[NAfter]))</f>
        <v>-2.0619106246441357E-4</v>
      </c>
      <c r="BT16" s="687">
        <f ca="1">(TabTRADER[[#This Row],[M]]-TabTRADER[[#This Row],[Agiotage]])/(TabTRADER[[#This Row],[M]]-TabTRADER[[#This Row],[A]])-1</f>
        <v>-2.9583356738654727</v>
      </c>
      <c r="BU16" s="1262">
        <f ca="1">_xlfn.XMATCH(TabTRADER[[#This Row],[ClickTick]]&amp;1, TabConsolid[#Headers])</f>
        <v>41</v>
      </c>
      <c r="BV16" t="b">
        <f ca="1">IF(ABS(TabTRADER[[#This Row],[L_Bp]])&gt;=TabTRADER[[#This Row],[M]],"OK")</f>
        <v>0</v>
      </c>
    </row>
    <row r="17" spans="1:74" ht="22" hidden="1"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-8,478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-10.1%</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-3,184$</v>
      </c>
      <c r="G17" s="225" t="str">
        <f ca="1">IFERROR(TRUNC(_xlfn.XLOOKUP(TabTRADER[[#This Row],[ClickTick]],TabCalc[Ticker],ListLastSalep),2)&amp;"x"&amp;_xlfn.XLOOKUP(TabTRADER[[#This Row],[ClickTick]],TabCalc[Ticker],ListLastSalen)&amp;"=   "&amp;TEXT(-_xlfn.XLOOKUP(TabTRADER[[#This Row],[ClickTick]],TabCalc[Ticker],ListReverseB),"#,#0")&amp;"$","")</f>
        <v>119.38x800=   -11,264$</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355</v>
      </c>
      <c r="I17" s="226" t="str">
        <f ca="1">IFERROR(TRUNC(TabCalc[[#This Row],[L_S1p]],2)&amp;"x"&amp;TabCalc[[#This Row],[L_S1n]]&amp;"=   "&amp;TEXT(TabCalc[[#This Row],[ReverseB1]],"#,#0"),"")</f>
        <v>117.4x400=   4,840</v>
      </c>
      <c r="J17" s="295">
        <f ca="1">_xlfn.XLOOKUP(TabTRADER[[#This Row],[ClickTick]],TabCalc[Ticker],ListGravity)</f>
        <v>1.2732421652421653</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68445</v>
      </c>
      <c r="M17" s="323">
        <f ca="1">_xlfn.XLOOKUP(TabTRADER[[#This Row],[ClickTick]],TabCalc[Ticker],TabCalc[Agiotage])</f>
        <v>0.43204780109496366</v>
      </c>
      <c r="N17" s="324" cm="1">
        <f t="array" aca="1" ref="N17" ca="1">_xlfn.XLOOKUP(TabTRADER[[#This Row],[ClickTick]],ListTickers,Tab2RSIConventional[RSIConv20])</f>
        <v>4</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-9.1438555620267883E-2</v>
      </c>
      <c r="S17" s="683">
        <f ca="1">_xlfn.XLOOKUP(TabTRADER[[#This Row],[ClickTick]],TabCalc[Ticker],TabCalc[Rev(MinStock)])*(1-Commission)</f>
        <v>-8455.9571999999953</v>
      </c>
      <c r="T17" s="782">
        <f ca="1">_xlfn.XLOOKUP(TabTRADER[[#This Row],[ClickTick]],TabCalc[Ticker],TabCalc[Agiotage])</f>
        <v>0.43204780109496366</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-765/-765=&gt;-0.9% / -0.9%</v>
      </c>
      <c r="V17" s="739" t="str">
        <f ca="1">_xlfn.XLOOKUP(TabTRADER[[#This Row],[ClickTick]],[1]!RTData[Ticker_Symbol],[1]!RTData[Currency])</f>
        <v>USD</v>
      </c>
      <c r="W17" s="749">
        <f ca="1">_xlfn.XLOOKUP(TabTRADER[[#This Row],[ClickTick]],TabCalc[Ticker],TabCalc[M])</f>
        <v>105.3</v>
      </c>
      <c r="X17" s="1315"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-9.221E-3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^13/105 K$</v>
      </c>
      <c r="AE17" s="1182"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65"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105.3, -11.8%</v>
      </c>
      <c r="AG17" s="1165"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65" t="str" cm="1">
        <f t="array" aca="1" ref="AH17" ca="1">_xlfn.IFS(     TabTRADER[[#This Row],[Traps]]=MUp,MIN(TabTRADER[[#This Row],[L_Sn]],TabTRADER[[#This Row],[N]])*(TabTRADER[[#This Row],[M]]-TabTRADER[[#This Row],[L_Sp]])*(1-Commission)*TabTRADER[[#This Row],[Scale]],                                  TRUE,"M= "&amp;TabTRADER[[#This Row],[M]])</f>
        <v>M= 105.3</v>
      </c>
      <c r="AI17" s="1165" t="str" cm="1">
        <f t="array" aca="1" ref="AI17" ca="1">_xlfn.IFS(   TabTRADER[[#This Row],[Traps]]=MUp,TEXT(MIN(TabTRADER[[#This Row],[L_Sn]],TabTRADER[[#This Row],[N]]),"#,#0")&amp;" x "&amp;TEXT(TabTRADER[[#This Row],[L_Sp]],"#,#0.#0"),          TRUE,"")</f>
        <v/>
      </c>
      <c r="AJ17" s="1165"/>
      <c r="AK17" s="1165"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8455.9571999999953</v>
      </c>
      <c r="AL17" s="1165"/>
      <c r="AM17" s="1165"/>
      <c r="AN17" s="1165"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105300</v>
      </c>
      <c r="AO17" s="1174"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8.0943320474104088E-2</v>
      </c>
      <c r="AP17" s="1174"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9.8041025641025611E-2</v>
      </c>
      <c r="AQ17" s="825" t="str" cm="1">
        <f t="array" aca="1" ref="AQ17" ca="1">_xlfn.IFS(   TabTRADER[[#This Row],[Traps]]=SellMorePercentGain,                     MIN(TabTRADER[[#This Row],[L_Sn]],TabTRADER[[#This Row],[N]])*(TabTRADER[[#This Row],[M]]-TabTRADER[[#This Row],[L_Sp]])*(1-Commission)*TabTRADER[[#This Row],[Scale]],                    TRUE,"")</f>
        <v/>
      </c>
      <c r="AR17" s="1180">
        <f ca="1">_xlfn.XLOOKUP(TabTRADER[[#This Row],[ClickTick]],TabCalc[Ticker],TabCalc[Ann%RevLB])</f>
        <v>-0.47025542890423477</v>
      </c>
      <c r="AS17" s="1266">
        <f ca="1">_xlfn.XLOOKUP(TabTRADER[[#This Row],[ClickTick]],TabCalc[Ticker],TabCalc[Up20])</f>
        <v>0</v>
      </c>
      <c r="AT17" s="310"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0.10064102564102562</v>
      </c>
      <c r="AU17" s="825" cm="1">
        <f t="array" aca="1" ref="AU17" ca="1">_xlfn.IFS(         TabTRADER[[#This Row],[Traps]]=MDown,TabTRADER[[#This Row],[L_Bn]]*TabTRADER[[#This Row],[M]]*(-(TabTRADER[[#This Row],[L_Bp]]+TabTRADER[[#This Row],[M]])/TabTRADER[[#This Row],[M]])*(1-Commission)*TabTRADER[[#This Row],[Scale]],                               TRUE,"")</f>
        <v>8455.9571999999971</v>
      </c>
      <c r="AV17" s="1174" cm="1">
        <f t="array" aca="1" ref="AV17" ca="1">_xlfn.IFS(   TabTRADER[[#This Row],[Traps]]=MUp,TabTRADER[[#This Row],[TakeGain_A]]-Commission,        TabTRADER[[#This Row],[Traps]]=MDown,(TabTRADER[[#This Row],[A]]-TabTRADER[[#This Row],[M]])/TabTRADER[[#This Row],[M]]-Commission,                              TRUE,"")</f>
        <v>8.5472174738841417E-2</v>
      </c>
      <c r="AW17" s="825"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9249.8876</v>
      </c>
      <c r="AX17" s="760"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17" s="736"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-10.59</v>
      </c>
      <c r="AZ17" s="765" cm="1">
        <f t="array" aca="1" ref="AZ17" ca="1">_xlfn.IFS(TabTRADER[[#This Row],[Traps]]=Sale_Back,"",         TabTRADER[[#This Row],[Traps]]=MDown, (TabTRADER[[#This Row],[M]]-TabTRADER[[#This Row],[A]])/TabTRADER[[#This Row],[A]]*ComFactor,             TRUE, IFERROR((TabTRADER[[#This Row],[M]]-TabTRADER[[#This Row],[A]])/TabTRADER[[#This Row],[A]]*ComFactor,""))</f>
        <v>-8.0732867840871414E-2</v>
      </c>
      <c r="BA17" s="762" cm="1">
        <f t="array" aca="1" ref="BA17" ca="1">_xlfn.IFS(               TabTRADER[[#This Row],[Traps]]=NoStock,(TabTRADER[[#This Row],[L_Sp]]-TabTRADER[[#This Row],[M]])/TabTRADER[[#This Row],[M]]-Commission,             TabTRADER[[#This Row],[A]]&lt;&gt;0,(TabTRADER[[#This Row],[A]]-TabTRADER[[#This Row],[M]])/TabTRADER[[#This Row],[M]]-Commission)</f>
        <v>8.5472174738841417E-2</v>
      </c>
      <c r="BB17" s="324">
        <f ca="1">_xlfn.XLOOKUP(TabTRADER[[#This Row],[ClickTick]],TabCalc[Ticker],TabCalc[L_Sn])</f>
        <v>800</v>
      </c>
      <c r="BC17" s="728">
        <f ca="1">_xlfn.XLOOKUP(TabTRADER[[#This Row],[ClickTick]],TabCalc[Ticker],TabCalc[L_Sp])</f>
        <v>119.38</v>
      </c>
      <c r="BD17" s="764">
        <f ca="1">-IFERROR((TabTRADER[[#This Row],[M]]-TabTRADER[[#This Row],[L_Sp]])/TabTRADER[[#This Row],[L_Sp]],0)</f>
        <v>0.11794270397051432</v>
      </c>
      <c r="BE17" s="729">
        <f ca="1">TabTRADER[[#This Row],[L_Sn]]*(TabTRADER[[#This Row],[M]]-TabTRADER[[#This Row],[L_Sp]])*(1-Commission)*TabTRADER[[#This Row],[Scale]]</f>
        <v>-11234.713599999997</v>
      </c>
      <c r="BF17" s="692">
        <f ca="1">TabTRADER[[#This Row],[L_Sn]]*(TabTRADER[[#This Row],[Agiotage]]-TabTRADER[[#This Row],[M]])/(TabTRADER[[#This Row],[L_Bn]]*TabTRADER[[#This Row],[M]])</f>
        <v>-0.99589698194591669</v>
      </c>
      <c r="BG17" s="635">
        <f ca="1">IFERROR((TabTRADER[[#This Row],[M]]-TabTRADER[[#This Row],[A]])/TabTRADER[[#This Row],[A]],0)</f>
        <v>-8.0943320474104088E-2</v>
      </c>
      <c r="BH17" s="638" t="str">
        <f ca="1">TEXT(_xlfn.XLOOKUP(TabTRADER[[#This Row],[ClickTick]],TabCalc[Ticker],TabCalc[NAfter]),"#,#0")&amp;" : "&amp;TEXT(_xlfn.XLOOKUP(TabTRADER[[#This Row],[ClickTick]],TabCalc[Ticker],TabCalc[NAfter])*(TabTRADER[[#This Row],[M]]-TabTRADER[[#This Row],[A]])*(1-Commission)*TabTRADER[[#This Row],[Scale]],"#,#0$")</f>
        <v>1,000 : -9,250$</v>
      </c>
      <c r="BI17" s="684">
        <f ca="1">_xlfn.XLOOKUP(TabTRADER[[#This Row],[ClickTick]],TabCalc[[#This Row],[Ticker]],TabCalc[[#This Row],[GL]])*(1-Commission)</f>
        <v>13056.259703181075</v>
      </c>
      <c r="BJ17" s="684"/>
      <c r="BK17" s="669" t="str">
        <f ca="1">TabTRADER[[#This Row],[ClickTick]]&amp;": "&amp;_xlfn.XLOOKUP(TabTRADER[[#This Row],[ClickTick]],TabCalc[Ticker],TabCalc[Pile?])</f>
        <v xml:space="preserve">DIS: </v>
      </c>
      <c r="BL17" s="351" t="s">
        <v>1951</v>
      </c>
      <c r="BM17" s="755" t="str" cm="1">
        <f t="array" aca="1" ref="BM17" ca="1">_xlfn.TEXTJOIN("",,INDEX({"M","A","Y"}, _xlfn.SORTBY({1,2,3}, -CHOOSE({1,2,3}, TabTRADER[[#This Row],[M]], TabTRADER[[#This Row],[A]], TabTRADER[[#This Row],[Agiotage]]))))</f>
        <v>AMY</v>
      </c>
      <c r="BN17" s="902"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0.10064102564102562</v>
      </c>
      <c r="BO17" s="679" t="e">
        <f ca="1">TabTRADER[[#This Row],[L_Sn]]*TabTRADER[[#This Row],[L_Sp]]+TabTRADER[[#This Row],[SellMore]]*TabTRADER[[#This Row],[M]]</f>
        <v>#N/A</v>
      </c>
      <c r="BP17" s="679" t="e">
        <f ca="1">INDEX(
  INDEX(TabConsolid[], , _xlfn.XMATCH(TabTRADER[[#This Row],[ClickTick]]&amp;1, TabConsolid[#Headers])),
  MATCH(
    -TabTRADER[[#This Row],[M]],
    INDEX(TabConsolid[], , _xlfn.XMATCH(TabTRADER[[#This Row],[ClickTick]]&amp;2, TabConsolid[#Headers])),
    -1
  )
)</f>
        <v>#N/A</v>
      </c>
      <c r="BQ17" s="679"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44" t="e">
        <f ca="1">TabTRADER[[#This Row],[ReBuy]]/(TabTRADER[[#This Row],[L_Sn]]+TabTRADER[[#This Row],[SellMore]])</f>
        <v>#N/A</v>
      </c>
      <c r="BS17" s="687">
        <f ca="1">((_xlfn.XLOOKUP(TabTRADER[[#This Row],[ClickTick]],TabCalc[Ticker],TabCalc[NAfter])+TabTRADER[[#This Row],[L_Sn]])*(TabTRADER[[#This Row],[Agiotage]]-TabTRADER[[#This Row],[M]]))/(TabTRADER[[#This Row],[L_Sn]]*_xlfn.XLOOKUP(TabTRADER[[#This Row],[ClickTick]],TabCalc[Ticker],TabCalc[NAfter]))</f>
        <v>-0.23595289244753631</v>
      </c>
      <c r="BT17" s="687">
        <f ca="1">(TabTRADER[[#This Row],[M]]-TabTRADER[[#This Row],[Agiotage]])/(TabTRADER[[#This Row],[M]]-TabTRADER[[#This Row],[A]])-1</f>
        <v>-12.307736920304617</v>
      </c>
      <c r="BU17" s="1262">
        <f ca="1">_xlfn.XMATCH(TabTRADER[[#This Row],[ClickTick]]&amp;1, TabConsolid[#Headers])</f>
        <v>44</v>
      </c>
      <c r="BV17" t="str">
        <f ca="1">IF(ABS(TabTRADER[[#This Row],[L_Bp]])&gt;=TabTRADER[[#This Row],[M]],"OK")</f>
        <v>OK</v>
      </c>
    </row>
    <row r="18" spans="1:74" ht="22" hidden="1"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-6,520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-13.9%</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-3,785$</v>
      </c>
      <c r="G18" s="225" t="str">
        <f ca="1">IFERROR(TRUNC(_xlfn.XLOOKUP(TabTRADER[[#This Row],[ClickTick]],TabCalc[Ticker],ListLastSalep),2)&amp;"x"&amp;_xlfn.XLOOKUP(TabTRADER[[#This Row],[ClickTick]],TabCalc[Ticker],ListLastSalen)&amp;"=   "&amp;TEXT(-_xlfn.XLOOKUP(TabTRADER[[#This Row],[ClickTick]],TabCalc[Ticker],ListReverseB),"#,#0")&amp;"$","")</f>
        <v>29.14x2000=   -11,520$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24.6% = 868</v>
      </c>
      <c r="I18" s="226" t="str">
        <f ca="1">IFERROR(TRUNC(TabCalc[[#This Row],[L_S1p]],2)&amp;"x"&amp;TabCalc[[#This Row],[L_S1n]]&amp;"=   "&amp;TEXT(TabCalc[[#This Row],[ReverseB1]],"#,#0"),"")</f>
        <v>38.69x500=   7,655</v>
      </c>
      <c r="J18" s="295">
        <f ca="1">_xlfn.XLOOKUP(TabTRADER[[#This Row],[ClickTick]],TabCalc[Ticker],ListGravity)</f>
        <v>1.363463644140291</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87675</v>
      </c>
      <c r="M18" s="323">
        <f ca="1">_xlfn.XLOOKUP(TabTRADER[[#This Row],[ClickTick]],TabCalc[Ticker],TabCalc[Agiotage])</f>
        <v>1.4375302511891848</v>
      </c>
      <c r="N18" s="324" cm="1">
        <f t="array" aca="1" ref="N18" ca="1">_xlfn.XLOOKUP(TabTRADER[[#This Row],[ClickTick]],ListTickers,Tab2RSIConventional[RSIConv20])</f>
        <v>37</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-0.12237237237237243</v>
      </c>
      <c r="S18" s="683">
        <f ca="1">_xlfn.XLOOKUP(TabTRADER[[#This Row],[ClickTick]],TabCalc[Ticker],TabCalc[Rev(MinStock)])*(1-Commission)</f>
        <v>-6503.0480000000025</v>
      </c>
      <c r="T18" s="782">
        <f ca="1">_xlfn.XLOOKUP(TabTRADER[[#This Row],[ClickTick]],TabCalc[Ticker],TabCalc[Agiotage])</f>
        <v>1.4375302511891848</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720/720=&gt;0.9% / 0.9%</v>
      </c>
      <c r="V18" s="739" t="str">
        <f ca="1">_xlfn.XLOOKUP(TabTRADER[[#This Row],[ClickTick]],[1]!RTData[Ticker_Symbol],[1]!RTData[Currency])</f>
        <v>EUR</v>
      </c>
      <c r="W18" s="749">
        <f ca="1">_xlfn.XLOOKUP(TabTRADER[[#This Row],[ClickTick]],TabCalc[Ticker],TabCalc[M])</f>
        <v>23.38</v>
      </c>
      <c r="X18" s="1315"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8.6280000000000003E-3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-13/94 K$</v>
      </c>
      <c r="AE18" s="1182"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65"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65"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11490.048000000003</v>
      </c>
      <c r="AH18" s="1165" t="str" cm="1">
        <f t="array" aca="1" ref="AH18" ca="1">_xlfn.IFS(     TabTRADER[[#This Row],[Traps]]=MUp,MIN(TabTRADER[[#This Row],[L_Sn]],TabTRADER[[#This Row],[N]])*(TabTRADER[[#This Row],[M]]-TabTRADER[[#This Row],[L_Sp]])*(1-Commission)*TabTRADER[[#This Row],[Scale]],                                  TRUE,"M= "&amp;TabTRADER[[#This Row],[M]])</f>
        <v>M= 23.38</v>
      </c>
      <c r="AI18" s="1165" t="str" cm="1">
        <f t="array" aca="1" ref="AI18" ca="1">_xlfn.IFS(   TabTRADER[[#This Row],[Traps]]=MUp,TEXT(MIN(TabTRADER[[#This Row],[L_Sn]],TabTRADER[[#This Row],[N]]),"#,#0")&amp;" x "&amp;TEXT(TabTRADER[[#This Row],[L_Sp]],"#,#0.#0"),          TRUE,"")</f>
        <v/>
      </c>
      <c r="AJ18" s="1165"/>
      <c r="AK18" s="1165"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65"/>
      <c r="AM18" s="1165"/>
      <c r="AN18" s="1165"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11490.048000000003</v>
      </c>
      <c r="AO18" s="1174"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0.1976664378860673</v>
      </c>
      <c r="AP18" s="1174"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TabTRADER[[#This Row],[Traps]]=SellMorePercentGain,                     MIN(TabTRADER[[#This Row],[L_Sn]],TabTRADER[[#This Row],[N]])*(TabTRADER[[#This Row],[M]]-TabTRADER[[#This Row],[L_Sp]])*(1-Commission)*TabTRADER[[#This Row],[Scale]],                    TRUE,"")</f>
        <v/>
      </c>
      <c r="AR18" s="1180">
        <f ca="1">_xlfn.XLOOKUP(TabTRADER[[#This Row],[ClickTick]],TabCalc[Ticker],TabCalc[Ann%RevLB])</f>
        <v>-0.45416550571189768</v>
      </c>
      <c r="AS18" s="1266">
        <f ca="1">_xlfn.XLOOKUP(TabTRADER[[#This Row],[ClickTick]],TabCalc[Ticker],TabCalc[Up20])</f>
        <v>0</v>
      </c>
      <c r="AT18" s="310"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5" t="str" cm="1">
        <f t="array" aca="1" ref="AU18" ca="1">_xlfn.IFS(         TabTRADER[[#This Row],[Traps]]=MDown,TabTRADER[[#This Row],[L_Bn]]*TabTRADER[[#This Row],[M]]*(-(TabTRADER[[#This Row],[L_Bp]]+TabTRADER[[#This Row],[M]])/TabTRADER[[#This Row],[M]])*(1-Commission)*TabTRADER[[#This Row],[Scale]],                               TRUE,"")</f>
        <v/>
      </c>
      <c r="AV18" s="1174" t="str" cm="1">
        <f t="array" aca="1" ref="AV18" ca="1">_xlfn.IFS(   TabTRADER[[#This Row],[Traps]]=MUp,TabTRADER[[#This Row],[TakeGain_A]]-Commission,        TabTRADER[[#This Row],[Traps]]=MDown,(TabTRADER[[#This Row],[A]]-TabTRADER[[#This Row],[M]])/TabTRADER[[#This Row],[M]]-Commission,                              TRUE,"")</f>
        <v/>
      </c>
      <c r="AW18" s="825"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-26700.398000000008</v>
      </c>
      <c r="AX18" s="760"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8" s="736"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5" cm="1">
        <f t="array" aca="1" ref="AZ18" ca="1">_xlfn.IFS(TabTRADER[[#This Row],[Traps]]=Sale_Back,"",         TabTRADER[[#This Row],[Traps]]=MDown, (TabTRADER[[#This Row],[M]]-TabTRADER[[#This Row],[A]])/TabTRADER[[#This Row],[A]]*ComFactor,             TRUE, IFERROR((TabTRADER[[#This Row],[M]]-TabTRADER[[#This Row],[A]])/TabTRADER[[#This Row],[A]]*ComFactor,""))</f>
        <v>-0.22196689666638961</v>
      </c>
      <c r="BA18" s="762" cm="1">
        <f t="array" aca="1" ref="BA18" ca="1">_xlfn.IFS(               TabTRADER[[#This Row],[Traps]]=NoStock,(TabTRADER[[#This Row],[L_Sp]]-TabTRADER[[#This Row],[M]])/TabTRADER[[#This Row],[M]]-Commission,             TabTRADER[[#This Row],[A]]&lt;&gt;0,(TabTRADER[[#This Row],[A]]-TabTRADER[[#This Row],[M]])/TabTRADER[[#This Row],[M]]-Commission)</f>
        <v>0.28364893071000868</v>
      </c>
      <c r="BB18" s="324">
        <f ca="1">_xlfn.XLOOKUP(TabTRADER[[#This Row],[ClickTick]],TabCalc[Ticker],TabCalc[L_Sn])</f>
        <v>2000</v>
      </c>
      <c r="BC18" s="728">
        <f ca="1">_xlfn.XLOOKUP(TabTRADER[[#This Row],[ClickTick]],TabCalc[Ticker],TabCalc[L_Sp])</f>
        <v>29.14</v>
      </c>
      <c r="BD18" s="764">
        <f ca="1">-IFERROR((TabTRADER[[#This Row],[M]]-TabTRADER[[#This Row],[L_Sp]])/TabTRADER[[#This Row],[L_Sp]],0)</f>
        <v>0.1976664378860673</v>
      </c>
      <c r="BE18" s="729">
        <f ca="1">TabTRADER[[#This Row],[L_Sn]]*(TabTRADER[[#This Row],[M]]-TabTRADER[[#This Row],[L_Sp]])*(1-Commission)*TabTRADER[[#This Row],[Scale]]</f>
        <v>-11490.048000000003</v>
      </c>
      <c r="BF18" s="692">
        <f ca="1">TabTRADER[[#This Row],[L_Sn]]*(TabTRADER[[#This Row],[Agiotage]]-TabTRADER[[#This Row],[M]])/(TabTRADER[[#This Row],[L_Bn]]*TabTRADER[[#This Row],[M]])</f>
        <v>-0.93851453160012033</v>
      </c>
      <c r="BG18" s="635">
        <f ca="1">IFERROR((TabTRADER[[#This Row],[M]]-TabTRADER[[#This Row],[A]])/TabTRADER[[#This Row],[A]],0)</f>
        <v>-0.22254551500540368</v>
      </c>
      <c r="BH18" s="638" t="str">
        <f ca="1">TEXT(_xlfn.XLOOKUP(TabTRADER[[#This Row],[ClickTick]],TabCalc[Ticker],TabCalc[NAfter]),"#,#0")&amp;" : "&amp;TEXT(_xlfn.XLOOKUP(TabTRADER[[#This Row],[ClickTick]],TabCalc[Ticker],TabCalc[NAfter])*(TabTRADER[[#This Row],[M]]-TabTRADER[[#This Row],[A]])*(1-Commission)*TabTRADER[[#This Row],[Scale]],"#,#0$")</f>
        <v>4,000 : -26,700$</v>
      </c>
      <c r="BI18" s="684">
        <f ca="1">_xlfn.XLOOKUP(TabTRADER[[#This Row],[ClickTick]],TabCalc[[#This Row],[Ticker]],TabCalc[[#This Row],[GL]])*(1-Commission)</f>
        <v>-12812.548275078134</v>
      </c>
      <c r="BJ18" s="684"/>
      <c r="BK18" s="669" t="str">
        <f ca="1">TabTRADER[[#This Row],[ClickTick]]&amp;": "&amp;_xlfn.XLOOKUP(TabTRADER[[#This Row],[ClickTick]],TabCalc[Ticker],TabCalc[Pile?])</f>
        <v>DSY: Pile</v>
      </c>
      <c r="BL18" s="351" t="s">
        <v>1952</v>
      </c>
      <c r="BM18" s="755" t="str" cm="1">
        <f t="array" aca="1" ref="BM18" ca="1">_xlfn.TEXTJOIN("",,INDEX({"M","A","Y"}, _xlfn.SORTBY({1,2,3}, -CHOOSE({1,2,3}, TabTRADER[[#This Row],[M]], TabTRADER[[#This Row],[A]], TabTRADER[[#This Row],[Agiotage]]))))</f>
        <v>AMY</v>
      </c>
      <c r="BN18" s="902"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9" t="e">
        <f ca="1">TabTRADER[[#This Row],[L_Sn]]*TabTRADER[[#This Row],[L_Sp]]+TabTRADER[[#This Row],[SellMore]]*TabTRADER[[#This Row],[M]]</f>
        <v>#N/A</v>
      </c>
      <c r="BP18" s="679" t="e">
        <f ca="1">INDEX(
  INDEX(TabConsolid[], , _xlfn.XMATCH(TabTRADER[[#This Row],[ClickTick]]&amp;1, TabConsolid[#Headers])),
  MATCH(
    -TabTRADER[[#This Row],[M]],
    INDEX(TabConsolid[], , _xlfn.XMATCH(TabTRADER[[#This Row],[ClickTick]]&amp;2, TabConsolid[#Headers])),
    -1
  )
)</f>
        <v>#N/A</v>
      </c>
      <c r="BQ18" s="679"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44" t="e">
        <f ca="1">TabTRADER[[#This Row],[ReBuy]]/(TabTRADER[[#This Row],[L_Sn]]+TabTRADER[[#This Row],[SellMore]])</f>
        <v>#N/A</v>
      </c>
      <c r="BS18" s="687">
        <f ca="1">((_xlfn.XLOOKUP(TabTRADER[[#This Row],[ClickTick]],TabCalc[Ticker],TabCalc[NAfter])+TabTRADER[[#This Row],[L_Sn]])*(TabTRADER[[#This Row],[Agiotage]]-TabTRADER[[#This Row],[M]]))/(TabTRADER[[#This Row],[L_Sn]]*_xlfn.XLOOKUP(TabTRADER[[#This Row],[ClickTick]],TabCalc[Ticker],TabCalc[NAfter]))</f>
        <v>-1.6456852311608112E-2</v>
      </c>
      <c r="BT18" s="687">
        <f ca="1">(TabTRADER[[#This Row],[M]]-TabTRADER[[#This Row],[Agiotage]])/(TabTRADER[[#This Row],[M]]-TabTRADER[[#This Row],[A]])-1</f>
        <v>-4.2786656329937696</v>
      </c>
      <c r="BU18" s="1262">
        <f ca="1">_xlfn.XMATCH(TabTRADER[[#This Row],[ClickTick]]&amp;1, TabConsolid[#Headers])</f>
        <v>47</v>
      </c>
      <c r="BV18" t="str">
        <f ca="1">IF(ABS(TabTRADER[[#This Row],[L_Bp]])&gt;=TabTRADER[[#This Row],[M]],"OK")</f>
        <v>OK</v>
      </c>
    </row>
    <row r="19" spans="1:74" ht="22" hidden="1"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-6,979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-118.68x1600=   -4,935$</v>
      </c>
      <c r="G19" s="225" t="str">
        <f ca="1">IFERROR(TRUNC(_xlfn.XLOOKUP(TabTRADER[[#This Row],[ClickTick]],TabCalc[Ticker],ListLastSalep),2)&amp;"x"&amp;_xlfn.XLOOKUP(TabTRADER[[#This Row],[ClickTick]],TabCalc[Ticker],ListLastSalen)&amp;"=   "&amp;TEXT(-_xlfn.XLOOKUP(TabTRADER[[#This Row],[ClickTick]],TabCalc[Ticker],ListReverseB),"#,#0")&amp;"$","")</f>
        <v>124.33x1600=   -14,680$</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8.0% = 545</v>
      </c>
      <c r="I19" s="226" t="str">
        <f ca="1">IFERROR(TRUNC(TabCalc[[#This Row],[L_S1p]],2)&amp;"x"&amp;TabCalc[[#This Row],[L_S1n]]&amp;"=   "&amp;TEXT(TabCalc[[#This Row],[ReverseB1]],"#,#0"),"")</f>
        <v>123.44x1600=   13,256</v>
      </c>
      <c r="J19" s="295">
        <f ca="1">_xlfn.XLOOKUP(TabTRADER[[#This Row],[ClickTick]],TabCalc[Ticker],ListGravity)</f>
        <v>1.2776258086926318</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46062</v>
      </c>
      <c r="M19" s="323">
        <f ca="1">_xlfn.XLOOKUP(TabTRADER[[#This Row],[ClickTick]],TabCalc[Ticker],TabCalc[Agiotage])</f>
        <v>0.25765225257265678</v>
      </c>
      <c r="N19" s="324" cm="1">
        <f t="array" aca="1" ref="N19" ca="1">_xlfn.XLOOKUP(TabTRADER[[#This Row],[ClickTick]],ListTickers,Tab2RSIConventional[RSIConv20])</f>
        <v>32</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-4.1493257865823203E-2</v>
      </c>
      <c r="S19" s="683">
        <f ca="1">_xlfn.XLOOKUP(TabTRADER[[#This Row],[ClickTick]],TabCalc[Ticker],TabCalc[Rev(MinStock)])*(1-Commission)</f>
        <v>-6960.8545999999988</v>
      </c>
      <c r="T19" s="782">
        <f ca="1">_xlfn.XLOOKUP(TabTRADER[[#This Row],[ClickTick]],TabCalc[Ticker],TabCalc[Agiotage])</f>
        <v>0.25765225257265678</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-2,205/-2,205=&gt;-1.2% / -1.2%</v>
      </c>
      <c r="V19" s="739" t="str">
        <f ca="1">_xlfn.XLOOKUP(TabTRADER[[#This Row],[ClickTick]],[1]!RTData[Ticker_Symbol],[1]!RTData[Currency])</f>
        <v>USD</v>
      </c>
      <c r="W19" s="749">
        <f ca="1">_xlfn.XLOOKUP(TabTRADER[[#This Row],[ClickTick]],TabCalc[Ticker],TabCalc[M])</f>
        <v>115.155</v>
      </c>
      <c r="X19" s="1315"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-1.2054E-2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^31/161 K$</v>
      </c>
      <c r="AE19" s="1182"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65"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65"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14641.831999999995</v>
      </c>
      <c r="AH19" s="1165" t="str" cm="1">
        <f t="array" aca="1" ref="AH19" ca="1">_xlfn.IFS(     TabTRADER[[#This Row],[Traps]]=MUp,MIN(TabTRADER[[#This Row],[L_Sn]],TabTRADER[[#This Row],[N]])*(TabTRADER[[#This Row],[M]]-TabTRADER[[#This Row],[L_Sp]])*(1-Commission)*TabTRADER[[#This Row],[Scale]],                                  TRUE,"M= "&amp;TabTRADER[[#This Row],[M]])</f>
        <v>M= 115.155</v>
      </c>
      <c r="AI19" s="1165" t="str" cm="1">
        <f t="array" aca="1" ref="AI19" ca="1">_xlfn.IFS(   TabTRADER[[#This Row],[Traps]]=MUp,TEXT(MIN(TabTRADER[[#This Row],[L_Sn]],TabTRADER[[#This Row],[N]]),"#,#0")&amp;" x "&amp;TEXT(TabTRADER[[#This Row],[L_Sp]],"#,#0.#0"),          TRUE,"")</f>
        <v/>
      </c>
      <c r="AJ19" s="1165"/>
      <c r="AK19" s="1165"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65"/>
      <c r="AM19" s="1165"/>
      <c r="AN19" s="1165"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14641.831999999995</v>
      </c>
      <c r="AO19" s="1174"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7.3795544116464232E-2</v>
      </c>
      <c r="AP19" s="1174"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TabTRADER[[#This Row],[Traps]]=SellMorePercentGain,                     MIN(TabTRADER[[#This Row],[L_Sn]],TabTRADER[[#This Row],[N]])*(TabTRADER[[#This Row],[M]]-TabTRADER[[#This Row],[L_Sp]])*(1-Commission)*TabTRADER[[#This Row],[Scale]],                    TRUE,"")</f>
        <v/>
      </c>
      <c r="AR19" s="1180">
        <f ca="1">_xlfn.XLOOKUP(TabTRADER[[#This Row],[ClickTick]],TabCalc[Ticker],TabCalc[Ann%RevLB])</f>
        <v>-1.6597303146329281</v>
      </c>
      <c r="AS19" s="1266">
        <f ca="1">_xlfn.XLOOKUP(TabTRADER[[#This Row],[ClickTick]],TabCalc[Ticker],TabCalc[Up20])</f>
        <v>0</v>
      </c>
      <c r="AT19" s="310"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5" t="str" cm="1">
        <f t="array" aca="1" ref="AU19" ca="1">_xlfn.IFS(         TabTRADER[[#This Row],[Traps]]=MDown,TabTRADER[[#This Row],[L_Bn]]*TabTRADER[[#This Row],[M]]*(-(TabTRADER[[#This Row],[L_Bp]]+TabTRADER[[#This Row],[M]])/TabTRADER[[#This Row],[M]])*(1-Commission)*TabTRADER[[#This Row],[Scale]],                               TRUE,"")</f>
        <v/>
      </c>
      <c r="AV19" s="1174" t="str" cm="1">
        <f t="array" aca="1" ref="AV19" ca="1">_xlfn.IFS(   TabTRADER[[#This Row],[Traps]]=MUp,TabTRADER[[#This Row],[TakeGain_A]]-Commission,        TabTRADER[[#This Row],[Traps]]=MDown,(TabTRADER[[#This Row],[A]]-TabTRADER[[#This Row],[M]])/TabTRADER[[#This Row],[M]]-Commission,                              TRUE,"")</f>
        <v/>
      </c>
      <c r="AW19" s="825"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-6009.4679866666738</v>
      </c>
      <c r="AX19" s="760"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9" s="736"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5" cm="1">
        <f t="array" aca="1" ref="AZ19" ca="1">_xlfn.IFS(TabTRADER[[#This Row],[Traps]]=Sale_Back,"",         TabTRADER[[#This Row],[Traps]]=MDown, (TabTRADER[[#This Row],[M]]-TabTRADER[[#This Row],[A]])/TabTRADER[[#This Row],[A]]*ComFactor,             TRUE, IFERROR((TabTRADER[[#This Row],[M]]-TabTRADER[[#This Row],[A]])/TabTRADER[[#This Row],[A]]*ComFactor,""))</f>
        <v>-3.5932739357546303E-2</v>
      </c>
      <c r="BA19" s="762" cm="1">
        <f t="array" aca="1" ref="BA19" ca="1">_xlfn.IFS(               TabTRADER[[#This Row],[Traps]]=NoStock,(TabTRADER[[#This Row],[L_Sp]]-TabTRADER[[#This Row],[M]])/TabTRADER[[#This Row],[M]]-Commission,             TabTRADER[[#This Row],[A]]&lt;&gt;0,(TabTRADER[[#This Row],[A]]-TabTRADER[[#This Row],[M]])/TabTRADER[[#This Row],[M]]-Commission)</f>
        <v>3.4772816348978962E-2</v>
      </c>
      <c r="BB19" s="324">
        <f ca="1">_xlfn.XLOOKUP(TabTRADER[[#This Row],[ClickTick]],TabCalc[Ticker],TabCalc[L_Sn])</f>
        <v>1600</v>
      </c>
      <c r="BC19" s="728">
        <f ca="1">_xlfn.XLOOKUP(TabTRADER[[#This Row],[ClickTick]],TabCalc[Ticker],TabCalc[L_Sp])</f>
        <v>124.33</v>
      </c>
      <c r="BD19" s="764">
        <f ca="1">-IFERROR((TabTRADER[[#This Row],[M]]-TabTRADER[[#This Row],[L_Sp]])/TabTRADER[[#This Row],[L_Sp]],0)</f>
        <v>7.3795544116464232E-2</v>
      </c>
      <c r="BE19" s="729">
        <f ca="1">TabTRADER[[#This Row],[L_Sn]]*(TabTRADER[[#This Row],[M]]-TabTRADER[[#This Row],[L_Sp]])*(1-Commission)*TabTRADER[[#This Row],[Scale]]</f>
        <v>-14641.831999999995</v>
      </c>
      <c r="BF19" s="692">
        <f ca="1">TabTRADER[[#This Row],[L_Sn]]*(TabTRADER[[#This Row],[Agiotage]]-TabTRADER[[#This Row],[M]])/(TabTRADER[[#This Row],[L_Bn]]*TabTRADER[[#This Row],[M]])</f>
        <v>-0.99776256130803997</v>
      </c>
      <c r="BG19" s="635">
        <f ca="1">IFERROR((TabTRADER[[#This Row],[M]]-TabTRADER[[#This Row],[A]])/TabTRADER[[#This Row],[A]],0)</f>
        <v>-3.6026408018394129E-2</v>
      </c>
      <c r="BH19" s="638" t="str">
        <f ca="1">TEXT(_xlfn.XLOOKUP(TabTRADER[[#This Row],[ClickTick]],TabCalc[Ticker],TabCalc[NAfter]),"#,#0")&amp;" : "&amp;TEXT(_xlfn.XLOOKUP(TabTRADER[[#This Row],[ClickTick]],TabCalc[Ticker],TabCalc[NAfter])*(TabTRADER[[#This Row],[M]]-TabTRADER[[#This Row],[A]])*(1-Commission)*TabTRADER[[#This Row],[Scale]],"#,#0$")</f>
        <v>1,400 : -6,009$</v>
      </c>
      <c r="BI19" s="684">
        <f ca="1">_xlfn.XLOOKUP(TabTRADER[[#This Row],[ClickTick]],TabCalc[[#This Row],[Ticker]],TabCalc[[#This Row],[GL]])*(1-Commission)</f>
        <v>30985.826135835556</v>
      </c>
      <c r="BJ19" s="684"/>
      <c r="BK19" s="669" t="str">
        <f ca="1">TabTRADER[[#This Row],[ClickTick]]&amp;": "&amp;_xlfn.XLOOKUP(TabTRADER[[#This Row],[ClickTick]],TabCalc[Ticker],TabCalc[Pile?])</f>
        <v>DVA: Pile</v>
      </c>
      <c r="BL19" s="351" t="s">
        <v>1953</v>
      </c>
      <c r="BM19" s="755" t="str" cm="1">
        <f t="array" aca="1" ref="BM19" ca="1">_xlfn.TEXTJOIN("",,INDEX({"M","A","Y"}, _xlfn.SORTBY({1,2,3}, -CHOOSE({1,2,3}, TabTRADER[[#This Row],[M]], TabTRADER[[#This Row],[A]], TabTRADER[[#This Row],[Agiotage]]))))</f>
        <v>AMY</v>
      </c>
      <c r="BN19" s="902"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9" t="e">
        <f ca="1">TabTRADER[[#This Row],[L_Sn]]*TabTRADER[[#This Row],[L_Sp]]+TabTRADER[[#This Row],[SellMore]]*TabTRADER[[#This Row],[M]]</f>
        <v>#N/A</v>
      </c>
      <c r="BP19" s="679" t="e">
        <f ca="1">INDEX(
  INDEX(TabConsolid[], , _xlfn.XMATCH(TabTRADER[[#This Row],[ClickTick]]&amp;1, TabConsolid[#Headers])),
  MATCH(
    -TabTRADER[[#This Row],[M]],
    INDEX(TabConsolid[], , _xlfn.XMATCH(TabTRADER[[#This Row],[ClickTick]]&amp;2, TabConsolid[#Headers])),
    -1
  )
)</f>
        <v>#N/A</v>
      </c>
      <c r="BQ19" s="679"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1400</v>
      </c>
      <c r="BR19" s="1144" t="e">
        <f ca="1">TabTRADER[[#This Row],[ReBuy]]/(TabTRADER[[#This Row],[L_Sn]]+TabTRADER[[#This Row],[SellMore]])</f>
        <v>#N/A</v>
      </c>
      <c r="BS19" s="687">
        <f ca="1">((_xlfn.XLOOKUP(TabTRADER[[#This Row],[ClickTick]],TabCalc[Ticker],TabCalc[NAfter])+TabTRADER[[#This Row],[L_Sn]])*(TabTRADER[[#This Row],[Agiotage]]-TabTRADER[[#This Row],[M]]))/(TabTRADER[[#This Row],[L_Sn]]*_xlfn.XLOOKUP(TabTRADER[[#This Row],[ClickTick]],TabCalc[Ticker],TabCalc[NAfter]))</f>
        <v>-0.15388037644744734</v>
      </c>
      <c r="BT19" s="687">
        <f ca="1">(TabTRADER[[#This Row],[M]]-TabTRADER[[#This Row],[Agiotage]])/(TabTRADER[[#This Row],[M]]-TabTRADER[[#This Row],[A]])-1</f>
        <v>-27.697548078559493</v>
      </c>
      <c r="BU19" s="1262">
        <f ca="1">_xlfn.XMATCH(TabTRADER[[#This Row],[ClickTick]]&amp;1, TabConsolid[#Headers])</f>
        <v>50</v>
      </c>
      <c r="BV19" t="str">
        <f ca="1">IF(ABS(TabTRADER[[#This Row],[L_Bp]])&gt;=TabTRADER[[#This Row],[M]],"OK")</f>
        <v>OK</v>
      </c>
    </row>
    <row r="20" spans="1:74" ht="22" hidden="1"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-9,480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-19.6%</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-25,830$</v>
      </c>
      <c r="G20" s="225" t="str">
        <f ca="1">IFERROR(TRUNC(_xlfn.XLOOKUP(TabTRADER[[#This Row],[ClickTick]],TabCalc[Ticker],ListLastSalep),2)&amp;"x"&amp;_xlfn.XLOOKUP(TabTRADER[[#This Row],[ClickTick]],TabCalc[Ticker],ListLastSalen)&amp;"=   "&amp;TEXT(-_xlfn.XLOOKUP(TabTRADER[[#This Row],[ClickTick]],TabCalc[Ticker],ListReverseB),"#,#0")&amp;"$","")</f>
        <v>20.32x4000=   -32,840$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67.8% = 609</v>
      </c>
      <c r="I20" s="226" t="str">
        <f ca="1">IFERROR(TRUNC(TabCalc[[#This Row],[L_S1p]],2)&amp;"x"&amp;TabCalc[[#This Row],[L_S1n]]&amp;"=   "&amp;TEXT(TabCalc[[#This Row],[ReverseB1]],"#,#0"),"")</f>
        <v>19.33x4000=   28,884</v>
      </c>
      <c r="J20" s="295">
        <f ca="1">_xlfn.XLOOKUP(TabTRADER[[#This Row],[ClickTick]],TabCalc[Ticker],ListGravity)</f>
        <v>1.1973575557390588</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49784.21</v>
      </c>
      <c r="M20" s="323">
        <f ca="1">_xlfn.XLOOKUP(TabTRADER[[#This Row],[ClickTick]],TabCalc[Ticker],TabCalc[Agiotage])</f>
        <v>0.2292985220081705</v>
      </c>
      <c r="N20" s="324" cm="1">
        <f t="array" aca="1" ref="N20" ca="1">_xlfn.XLOOKUP(TabTRADER[[#This Row],[ClickTick]],ListTickers,Tab2RSIConventional[RSIConv20])</f>
        <v>38</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-0.16367403314917134</v>
      </c>
      <c r="S20" s="683">
        <f ca="1">_xlfn.XLOOKUP(TabTRADER[[#This Row],[ClickTick]],TabCalc[Ticker],TabCalc[Rev(MinStock)])*(1-Commission)</f>
        <v>-9455.3520000000026</v>
      </c>
      <c r="T20" s="782">
        <f ca="1">_xlfn.XLOOKUP(TabTRADER[[#This Row],[ClickTick]],TabCalc[Ticker],TabCalc[Agiotage])</f>
        <v>0.2292985220081705</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-660/-660=&gt;-0.9% / -0.9%</v>
      </c>
      <c r="V20" s="739" t="str">
        <f ca="1">_xlfn.XLOOKUP(TabTRADER[[#This Row],[ClickTick]],[1]!RTData[Ticker_Symbol],[1]!RTData[Currency])</f>
        <v>USD</v>
      </c>
      <c r="W20" s="749">
        <f ca="1">_xlfn.XLOOKUP(TabTRADER[[#This Row],[ClickTick]],TabCalc[Ticker],TabCalc[M])</f>
        <v>12.11</v>
      </c>
      <c r="X20" s="1315"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-9.0019999999999996E-3</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-55/73 K$</v>
      </c>
      <c r="AE20" s="1182"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65"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12.11, -40.4%</v>
      </c>
      <c r="AG20" s="1165"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65" t="str" cm="1">
        <f t="array" aca="1" ref="AH20" ca="1">_xlfn.IFS(     TabTRADER[[#This Row],[Traps]]=MUp,MIN(TabTRADER[[#This Row],[L_Sn]],TabTRADER[[#This Row],[N]])*(TabTRADER[[#This Row],[M]]-TabTRADER[[#This Row],[L_Sp]])*(1-Commission)*TabTRADER[[#This Row],[Scale]],                                  TRUE,"M= "&amp;TabTRADER[[#This Row],[M]])</f>
        <v>M= 12.11</v>
      </c>
      <c r="AI20" s="1165" t="str" cm="1">
        <f t="array" aca="1" ref="AI20" ca="1">_xlfn.IFS(   TabTRADER[[#This Row],[Traps]]=MUp,TEXT(MIN(TabTRADER[[#This Row],[L_Sn]],TabTRADER[[#This Row],[N]]),"#,#0")&amp;" x "&amp;TEXT(TabTRADER[[#This Row],[L_Sp]],"#,#0.#0"),          TRUE,"")</f>
        <v/>
      </c>
      <c r="AJ20" s="1165"/>
      <c r="AK20" s="1165"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9455.3520000000026</v>
      </c>
      <c r="AL20" s="1165"/>
      <c r="AM20" s="1165"/>
      <c r="AN20" s="1165"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72660</v>
      </c>
      <c r="AO20" s="1174"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0.23560044184945558</v>
      </c>
      <c r="AP20" s="1174"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0.19310602807597038</v>
      </c>
      <c r="AQ20" s="825" t="str" cm="1">
        <f t="array" aca="1" ref="AQ20" ca="1">_xlfn.IFS(   TabTRADER[[#This Row],[Traps]]=SellMorePercentGain,                     MIN(TabTRADER[[#This Row],[L_Sn]],TabTRADER[[#This Row],[N]])*(TabTRADER[[#This Row],[M]]-TabTRADER[[#This Row],[L_Sp]])*(1-Commission)*TabTRADER[[#This Row],[Scale]],                    TRUE,"")</f>
        <v/>
      </c>
      <c r="AR20" s="1163">
        <f ca="1">_xlfn.XLOOKUP(TabTRADER[[#This Row],[ClickTick]],TabCalc[Ticker],TabCalc[Ann%RevLB])</f>
        <v>-0.48696406556778254</v>
      </c>
      <c r="AS20" s="1267">
        <f ca="1">_xlfn.XLOOKUP(TabTRADER[[#This Row],[ClickTick]],TabCalc[Ticker],TabCalc[Up20])</f>
        <v>0</v>
      </c>
      <c r="AT20" s="310"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0.19570602807597037</v>
      </c>
      <c r="AU20" s="825" cm="1">
        <f t="array" aca="1" ref="AU20" ca="1">_xlfn.IFS(         TabTRADER[[#This Row],[Traps]]=MDown,TabTRADER[[#This Row],[L_Bn]]*TabTRADER[[#This Row],[M]]*(-(TabTRADER[[#This Row],[L_Bp]]+TabTRADER[[#This Row],[M]])/TabTRADER[[#This Row],[M]])*(1-Commission)*TabTRADER[[#This Row],[Scale]],                               TRUE,"")</f>
        <v>9455.3520000000044</v>
      </c>
      <c r="AV20" s="1174" cm="1">
        <f t="array" aca="1" ref="AV20" ca="1">_xlfn.IFS(   TabTRADER[[#This Row],[Traps]]=MUp,TabTRADER[[#This Row],[TakeGain_A]]-Commission,        TabTRADER[[#This Row],[Traps]]=MDown,(TabTRADER[[#This Row],[A]]-TabTRADER[[#This Row],[M]])/TabTRADER[[#This Row],[M]]-Commission,                              TRUE,"")</f>
        <v>0.30561635012386457</v>
      </c>
      <c r="AW20" s="825"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22336.772999999997</v>
      </c>
      <c r="AX20" s="760"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0" s="736"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-2.37</v>
      </c>
      <c r="AZ20" s="765" cm="1">
        <f t="array" aca="1" ref="AZ20" ca="1">_xlfn.IFS(TabTRADER[[#This Row],[Traps]]=Sale_Back,"",         TabTRADER[[#This Row],[Traps]]=MDown, (TabTRADER[[#This Row],[M]]-TabTRADER[[#This Row],[A]])/TabTRADER[[#This Row],[A]]*ComFactor,             TRUE, IFERROR((TabTRADER[[#This Row],[M]]-TabTRADER[[#This Row],[A]])/TabTRADER[[#This Row],[A]]*ComFactor,""))</f>
        <v>-0.23498788070064699</v>
      </c>
      <c r="BA20" s="762" cm="1">
        <f t="array" aca="1" ref="BA20" ca="1">_xlfn.IFS(               TabTRADER[[#This Row],[Traps]]=NoStock,(TabTRADER[[#This Row],[L_Sp]]-TabTRADER[[#This Row],[M]])/TabTRADER[[#This Row],[M]]-Commission,             TabTRADER[[#This Row],[A]]&lt;&gt;0,(TabTRADER[[#This Row],[A]]-TabTRADER[[#This Row],[M]])/TabTRADER[[#This Row],[M]]-Commission)</f>
        <v>0.30561635012386457</v>
      </c>
      <c r="BB20" s="324">
        <f ca="1">_xlfn.XLOOKUP(TabTRADER[[#This Row],[ClickTick]],TabCalc[Ticker],TabCalc[L_Sn])</f>
        <v>4000</v>
      </c>
      <c r="BC20" s="728">
        <f ca="1">_xlfn.XLOOKUP(TabTRADER[[#This Row],[ClickTick]],TabCalc[Ticker],TabCalc[L_Sp])</f>
        <v>20.32</v>
      </c>
      <c r="BD20" s="764">
        <f ca="1">-IFERROR((TabTRADER[[#This Row],[M]]-TabTRADER[[#This Row],[L_Sp]])/TabTRADER[[#This Row],[L_Sp]],0)</f>
        <v>0.4040354330708662</v>
      </c>
      <c r="BE20" s="729">
        <f ca="1">TabTRADER[[#This Row],[L_Sn]]*(TabTRADER[[#This Row],[M]]-TabTRADER[[#This Row],[L_Sp]])*(1-Commission)*TabTRADER[[#This Row],[Scale]]</f>
        <v>-32754.615999999998</v>
      </c>
      <c r="BF20" s="692">
        <f ca="1">TabTRADER[[#This Row],[L_Sn]]*(TabTRADER[[#This Row],[Agiotage]]-TabTRADER[[#This Row],[M]])/(TabTRADER[[#This Row],[L_Bn]]*TabTRADER[[#This Row],[M]])</f>
        <v>-0.98106535738991163</v>
      </c>
      <c r="BG20" s="635">
        <f ca="1">IFERROR((TabTRADER[[#This Row],[M]]-TabTRADER[[#This Row],[A]])/TabTRADER[[#This Row],[A]],0)</f>
        <v>-0.23560044184945558</v>
      </c>
      <c r="BH20" s="638" t="str">
        <f ca="1">TEXT(_xlfn.XLOOKUP(TabTRADER[[#This Row],[ClickTick]],TabCalc[Ticker],TabCalc[NAfter]),"#,#0")&amp;" : "&amp;TEXT(_xlfn.XLOOKUP(TabTRADER[[#This Row],[ClickTick]],TabCalc[Ticker],TabCalc[NAfter])*(TabTRADER[[#This Row],[M]]-TabTRADER[[#This Row],[A]])*(1-Commission)*TabTRADER[[#This Row],[Scale]],"#,#0$")</f>
        <v>6,000 : -22,337$</v>
      </c>
      <c r="BI20" s="684">
        <f ca="1">_xlfn.XLOOKUP(TabTRADER[[#This Row],[ClickTick]],TabCalc[[#This Row],[Ticker]],TabCalc[[#This Row],[GL]])*(1-Commission)</f>
        <v>-55301.125346186229</v>
      </c>
      <c r="BJ20" s="684"/>
      <c r="BK20" s="669" t="str">
        <f ca="1">TabTRADER[[#This Row],[ClickTick]]&amp;": "&amp;_xlfn.XLOOKUP(TabTRADER[[#This Row],[ClickTick]],TabCalc[Ticker],TabCalc[Pile?])</f>
        <v xml:space="preserve">DXC: </v>
      </c>
      <c r="BL20" s="351" t="s">
        <v>1954</v>
      </c>
      <c r="BM20" s="755" t="str" cm="1">
        <f t="array" aca="1" ref="BM20" ca="1">_xlfn.TEXTJOIN("",,INDEX({"M","A","Y"}, _xlfn.SORTBY({1,2,3}, -CHOOSE({1,2,3}, TabTRADER[[#This Row],[M]], TabTRADER[[#This Row],[A]], TabTRADER[[#This Row],[Agiotage]]))))</f>
        <v>AMY</v>
      </c>
      <c r="BN20" s="902"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0.19570602807597037</v>
      </c>
      <c r="BO20" s="679" t="e">
        <f ca="1">TabTRADER[[#This Row],[L_Sn]]*TabTRADER[[#This Row],[L_Sp]]+TabTRADER[[#This Row],[SellMore]]*TabTRADER[[#This Row],[M]]</f>
        <v>#N/A</v>
      </c>
      <c r="BP20" s="679" t="e">
        <f ca="1">INDEX(
  INDEX(TabConsolid[], , _xlfn.XMATCH(TabTRADER[[#This Row],[ClickTick]]&amp;1, TabConsolid[#Headers])),
  MATCH(
    -TabTRADER[[#This Row],[M]],
    INDEX(TabConsolid[], , _xlfn.XMATCH(TabTRADER[[#This Row],[ClickTick]]&amp;2, TabConsolid[#Headers])),
    -1
  )
)</f>
        <v>#N/A</v>
      </c>
      <c r="BQ20" s="679"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44" t="e">
        <f ca="1">TabTRADER[[#This Row],[ReBuy]]/(TabTRADER[[#This Row],[L_Sn]]+TabTRADER[[#This Row],[SellMore]])</f>
        <v>#N/A</v>
      </c>
      <c r="BS20" s="687">
        <f ca="1">((_xlfn.XLOOKUP(TabTRADER[[#This Row],[ClickTick]],TabCalc[Ticker],TabCalc[NAfter])+TabTRADER[[#This Row],[L_Sn]])*(TabTRADER[[#This Row],[Agiotage]]-TabTRADER[[#This Row],[M]]))/(TabTRADER[[#This Row],[L_Sn]]*_xlfn.XLOOKUP(TabTRADER[[#This Row],[ClickTick]],TabCalc[Ticker],TabCalc[NAfter]))</f>
        <v>-4.9502922824965958E-3</v>
      </c>
      <c r="BT20" s="687">
        <f ca="1">(TabTRADER[[#This Row],[M]]-TabTRADER[[#This Row],[Agiotage]])/(TabTRADER[[#This Row],[M]]-TabTRADER[[#This Row],[A]])-1</f>
        <v>-4.1830412533132826</v>
      </c>
      <c r="BU20" s="1262">
        <f ca="1">_xlfn.XMATCH(TabTRADER[[#This Row],[ClickTick]]&amp;1, TabConsolid[#Headers])</f>
        <v>53</v>
      </c>
      <c r="BV20" t="str">
        <f ca="1">IF(ABS(TabTRADER[[#This Row],[L_Bp]])&gt;=TabTRADER[[#This Row],[M]],"OK")</f>
        <v>OK</v>
      </c>
    </row>
    <row r="21" spans="1:74" ht="22" hidden="1"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-10,693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2,600$</v>
      </c>
      <c r="G21" s="225" t="str">
        <f ca="1">IFERROR(TRUNC(_xlfn.XLOOKUP(TabTRADER[[#This Row],[ClickTick]],TabCalc[Ticker],ListLastSalep),2)&amp;"x"&amp;_xlfn.XLOOKUP(TabTRADER[[#This Row],[ClickTick]],TabCalc[Ticker],ListLastSalen)&amp;"=   "&amp;TEXT(-_xlfn.XLOOKUP(TabTRADER[[#This Row],[ClickTick]],TabCalc[Ticker],ListReverseB),"#,#0")&amp;"$","")</f>
        <v>16.12x3200=   -2,624$</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 = 6,098</v>
      </c>
      <c r="I21" s="226" t="str">
        <f ca="1">IFERROR(TRUNC(TabCalc[[#This Row],[L_S1p]],2)&amp;"x"&amp;TabCalc[[#This Row],[L_S1n]]&amp;"=   "&amp;TEXT(TabCalc[[#This Row],[ReverseB1]],"#,#0"),"")</f>
        <v>15.8x2500=   1,250</v>
      </c>
      <c r="J21" s="295">
        <f ca="1">_xlfn.XLOOKUP(TabTRADER[[#This Row],[ClickTick]],TabCalc[Ticker],ListGravity)</f>
        <v>1.1058555555555554</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3.4286087467618696E-4</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-4.6134663341645787E-2</v>
      </c>
      <c r="S21" s="683">
        <f ca="1">_xlfn.XLOOKUP(TabTRADER[[#This Row],[ClickTick]],TabCalc[Ticker],TabCalc[Rev(MinStock)])*(1-Commission)</f>
        <v>-10665.198199999977</v>
      </c>
      <c r="T21" s="782">
        <f ca="1">_xlfn.XLOOKUP(TabTRADER[[#This Row],[ClickTick]],TabCalc[Ticker],TabCalc[Agiotage])</f>
        <v>3.4286087467618696E-4</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-225/-225=&gt;-0.3% / -0.3%</v>
      </c>
      <c r="V21" s="739" t="str">
        <f ca="1">_xlfn.XLOOKUP(TabTRADER[[#This Row],[ClickTick]],[1]!RTData[Ticker_Symbol],[1]!RTData[Currency])</f>
        <v>EUR</v>
      </c>
      <c r="W21" s="749">
        <f ca="1">_xlfn.XLOOKUP(TabTRADER[[#This Row],[ClickTick]],TabCalc[Ticker],TabCalc[M])</f>
        <v>15.3</v>
      </c>
      <c r="X21" s="1315"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-2.6079999999999996E-3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^1,157/230 K$</v>
      </c>
      <c r="AE21" s="116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65"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 -05.1%</v>
      </c>
      <c r="AG21" s="1165"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65" t="str" cm="1">
        <f t="array" aca="1" ref="AH21" ca="1">_xlfn.IFS(     TabTRADER[[#This Row],[Traps]]=MUp,MIN(TabTRADER[[#This Row],[L_Sn]],TabTRADER[[#This Row],[N]])*(TabTRADER[[#This Row],[M]]-TabTRADER[[#This Row],[L_Sp]])*(1-Commission)*TabTRADER[[#This Row],[Scale]],                                  TRUE,"M= "&amp;TabTRADER[[#This Row],[M]])</f>
        <v>M= 15.3</v>
      </c>
      <c r="AI21" s="1165" t="str" cm="1">
        <f t="array" aca="1" ref="AI21" ca="1">_xlfn.IFS(   TabTRADER[[#This Row],[Traps]]=MUp,TEXT(MIN(TabTRADER[[#This Row],[L_Sn]],TabTRADER[[#This Row],[N]]),"#,#0")&amp;" x "&amp;TEXT(TabTRADER[[#This Row],[L_Sp]],"#,#0.#0"),          TRUE,"")</f>
        <v/>
      </c>
      <c r="AJ21" s="1165"/>
      <c r="AK21" s="1165"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10665.198199999977</v>
      </c>
      <c r="AL21" s="1165"/>
      <c r="AM21" s="1165"/>
      <c r="AN21" s="1165"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229500</v>
      </c>
      <c r="AO21" s="1174"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4.3379309482424411E-2</v>
      </c>
      <c r="AP21" s="1174"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4.5766013071895324E-2</v>
      </c>
      <c r="AQ21" s="825" t="str" cm="1">
        <f t="array" aca="1" ref="AQ21" ca="1">_xlfn.IFS(   TabTRADER[[#This Row],[Traps]]=SellMorePercentGain,                     MIN(TabTRADER[[#This Row],[L_Sn]],TabTRADER[[#This Row],[N]])*(TabTRADER[[#This Row],[M]]-TabTRADER[[#This Row],[L_Sp]])*(1-Commission)*TabTRADER[[#This Row],[Scale]],                    TRUE,"")</f>
        <v/>
      </c>
      <c r="AR21" s="1180">
        <f ca="1">_xlfn.XLOOKUP(TabTRADER[[#This Row],[ClickTick]],TabCalc[Ticker],TabCalc[Ann%RevLB])</f>
        <v>-1.1863199144994632</v>
      </c>
      <c r="AS21" s="1266">
        <f ca="1">_xlfn.XLOOKUP(TabTRADER[[#This Row],[ClickTick]],TabCalc[Ticker],TabCalc[Up20])</f>
        <v>0</v>
      </c>
      <c r="AT21" s="310"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4.8366013071895322E-2</v>
      </c>
      <c r="AU21" s="825" cm="1">
        <f t="array" aca="1" ref="AU21" ca="1">_xlfn.IFS(         TabTRADER[[#This Row],[Traps]]=MDown,TabTRADER[[#This Row],[L_Bn]]*TabTRADER[[#This Row],[M]]*(-(TabTRADER[[#This Row],[L_Bp]]+TabTRADER[[#This Row],[M]])/TabTRADER[[#This Row],[M]])*(1-Commission)*TabTRADER[[#This Row],[Scale]],                               TRUE,"")</f>
        <v>10665.198199999977</v>
      </c>
      <c r="AV21" s="1174" cm="1">
        <f t="array" aca="1" ref="AV21" ca="1">_xlfn.IFS(   TabTRADER[[#This Row],[Traps]]=MUp,TabTRADER[[#This Row],[TakeGain_A]]-Commission,        TabTRADER[[#This Row],[Traps]]=MDown,(TabTRADER[[#This Row],[A]]-TabTRADER[[#This Row],[M]])/TabTRADER[[#This Row],[M]]-Commission,                              TRUE,"")</f>
        <v>4.2746405228758139E-2</v>
      </c>
      <c r="AW21" s="825"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10379.941799999991</v>
      </c>
      <c r="AX21" s="760"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6"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-0.73</v>
      </c>
      <c r="AZ21" s="765" cm="1">
        <f t="array" aca="1" ref="AZ21" ca="1">_xlfn.IFS(TabTRADER[[#This Row],[Traps]]=Sale_Back,"",         TabTRADER[[#This Row],[Traps]]=MDown, (TabTRADER[[#This Row],[M]]-TabTRADER[[#This Row],[A]])/TabTRADER[[#This Row],[A]]*ComFactor,             TRUE, IFERROR((TabTRADER[[#This Row],[M]]-TabTRADER[[#This Row],[A]])/TabTRADER[[#This Row],[A]]*ComFactor,""))</f>
        <v>-4.3266523277770107E-2</v>
      </c>
      <c r="BA21" s="762" cm="1">
        <f t="array" aca="1" ref="BA21" ca="1">_xlfn.IFS(               TabTRADER[[#This Row],[Traps]]=NoStock,(TabTRADER[[#This Row],[L_Sp]]-TabTRADER[[#This Row],[M]])/TabTRADER[[#This Row],[M]]-Commission,             TabTRADER[[#This Row],[A]]&lt;&gt;0,(TabTRADER[[#This Row],[A]]-TabTRADER[[#This Row],[M]])/TabTRADER[[#This Row],[M]]-Commission)</f>
        <v>4.2746405228758139E-2</v>
      </c>
      <c r="BB21" s="324">
        <f ca="1">_xlfn.XLOOKUP(TabTRADER[[#This Row],[ClickTick]],TabCalc[Ticker],TabCalc[L_Sn])</f>
        <v>3200</v>
      </c>
      <c r="BC21" s="728">
        <f ca="1">_xlfn.XLOOKUP(TabTRADER[[#This Row],[ClickTick]],TabCalc[Ticker],TabCalc[L_Sp])</f>
        <v>16.12</v>
      </c>
      <c r="BD21" s="764">
        <f ca="1">-IFERROR((TabTRADER[[#This Row],[M]]-TabTRADER[[#This Row],[L_Sp]])/TabTRADER[[#This Row],[L_Sp]],0)</f>
        <v>5.0868486352357335E-2</v>
      </c>
      <c r="BE21" s="729">
        <f ca="1">TabTRADER[[#This Row],[L_Sn]]*(TabTRADER[[#This Row],[M]]-TabTRADER[[#This Row],[L_Sp]])*(1-Commission)*TabTRADER[[#This Row],[Scale]]</f>
        <v>-2617.1776000000009</v>
      </c>
      <c r="BF21" s="692">
        <f ca="1">TabTRADER[[#This Row],[L_Sn]]*(TabTRADER[[#This Row],[Agiotage]]-TabTRADER[[#This Row],[M]])/(TabTRADER[[#This Row],[L_Bn]]*TabTRADER[[#This Row],[M]])</f>
        <v>-0.22144832460456856</v>
      </c>
      <c r="BG21" s="635">
        <f ca="1">IFERROR((TabTRADER[[#This Row],[M]]-TabTRADER[[#This Row],[A]])/TabTRADER[[#This Row],[A]],0)</f>
        <v>-4.3379309482424411E-2</v>
      </c>
      <c r="BH21" s="638" t="str">
        <f ca="1">TEXT(_xlfn.XLOOKUP(TabTRADER[[#This Row],[ClickTick]],TabCalc[Ticker],TabCalc[NAfter]),"#,#0")&amp;" : "&amp;TEXT(_xlfn.XLOOKUP(TabTRADER[[#This Row],[ClickTick]],TabCalc[Ticker],TabCalc[NAfter])*(TabTRADER[[#This Row],[M]]-TabTRADER[[#This Row],[A]])*(1-Commission)*TabTRADER[[#This Row],[Scale]],"#,#0$")</f>
        <v>15,000 : -10,380$</v>
      </c>
      <c r="BI21" s="684">
        <f ca="1">_xlfn.XLOOKUP(TabTRADER[[#This Row],[ClickTick]],TabCalc[[#This Row],[Ticker]],TabCalc[[#This Row],[GL]])*(1-Commission)</f>
        <v>1154310.3916025397</v>
      </c>
      <c r="BJ21" s="684"/>
      <c r="BK21" s="669" t="str">
        <f ca="1">TabTRADER[[#This Row],[ClickTick]]&amp;": "&amp;_xlfn.XLOOKUP(TabTRADER[[#This Row],[ClickTick]],TabCalc[Ticker],TabCalc[Pile?])</f>
        <v>EOAN: Pile</v>
      </c>
      <c r="BL21" s="351" t="s">
        <v>1955</v>
      </c>
      <c r="BM21" s="755" t="str" cm="1">
        <f t="array" aca="1" ref="BM21" ca="1">_xlfn.TEXTJOIN("",,INDEX({"M","A","Y"}, _xlfn.SORTBY({1,2,3}, -CHOOSE({1,2,3}, TabTRADER[[#This Row],[M]], TabTRADER[[#This Row],[A]], TabTRADER[[#This Row],[Agiotage]]))))</f>
        <v>AMY</v>
      </c>
      <c r="BN21" s="902"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4.8366013071895322E-2</v>
      </c>
      <c r="BO21" s="679" t="e">
        <f ca="1">TabTRADER[[#This Row],[L_Sn]]*TabTRADER[[#This Row],[L_Sp]]+TabTRADER[[#This Row],[SellMore]]*TabTRADER[[#This Row],[M]]</f>
        <v>#N/A</v>
      </c>
      <c r="BP21" s="679" t="e">
        <f ca="1">INDEX(
  INDEX(TabConsolid[], , _xlfn.XMATCH(TabTRADER[[#This Row],[ClickTick]]&amp;1, TabConsolid[#Headers])),
  MATCH(
    -TabTRADER[[#This Row],[M]],
    INDEX(TabConsolid[], , _xlfn.XMATCH(TabTRADER[[#This Row],[ClickTick]]&amp;2, TabConsolid[#Headers])),
    -1
  )
)</f>
        <v>#N/A</v>
      </c>
      <c r="BQ21" s="679"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R21" s="1144" t="e">
        <f ca="1">TabTRADER[[#This Row],[ReBuy]]/(TabTRADER[[#This Row],[L_Sn]]+TabTRADER[[#This Row],[SellMore]])</f>
        <v>#N/A</v>
      </c>
      <c r="BS21" s="687">
        <f ca="1">((_xlfn.XLOOKUP(TabTRADER[[#This Row],[ClickTick]],TabCalc[Ticker],TabCalc[NAfter])+TabTRADER[[#This Row],[L_Sn]])*(TabTRADER[[#This Row],[Agiotage]]-TabTRADER[[#This Row],[M]]))/(TabTRADER[[#This Row],[L_Sn]]*_xlfn.XLOOKUP(TabTRADER[[#This Row],[ClickTick]],TabCalc[Ticker],TabCalc[NAfter]))</f>
        <v>-5.8011199985850189E-3</v>
      </c>
      <c r="BT21" s="687">
        <f ca="1">(TabTRADER[[#This Row],[M]]-TabTRADER[[#This Row],[Agiotage]])/(TabTRADER[[#This Row],[M]]-TabTRADER[[#This Row],[A]])-1</f>
        <v>-23.051970508972808</v>
      </c>
      <c r="BU21" s="1262">
        <f ca="1">_xlfn.XMATCH(TabTRADER[[#This Row],[ClickTick]]&amp;1, TabConsolid[#Headers])</f>
        <v>56</v>
      </c>
      <c r="BV21" t="str">
        <f ca="1">IF(ABS(TabTRADER[[#This Row],[L_Bp]])&gt;=TabTRADER[[#This Row],[M]],"OK")</f>
        <v>OK</v>
      </c>
    </row>
    <row r="22" spans="1:74" ht="22" hidden="1"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71</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15"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82"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65"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65"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65" t="str" cm="1">
        <f t="array" aca="1" ref="AH22" ca="1">_xlfn.IFS(     TabTRADER[[#This Row],[Traps]]=MUp,MIN(TabTRADER[[#This Row],[L_Sn]],TabTRADER[[#This Row],[N]])*(TabTRADER[[#This Row],[M]]-TabTRADER[[#This Row],[L_Sp]])*(1-Commission)*TabTRADER[[#This Row],[Scale]],                                  TRUE,"M= "&amp;TabTRADER[[#This Row],[M]])</f>
        <v>M= 0.2012</v>
      </c>
      <c r="AI22" s="1165" t="str" cm="1">
        <f t="array" aca="1" ref="AI22" ca="1">_xlfn.IFS(   TabTRADER[[#This Row],[Traps]]=MUp,TEXT(MIN(TabTRADER[[#This Row],[L_Sn]],TabTRADER[[#This Row],[N]]),"#,#0")&amp;" x "&amp;TEXT(TabTRADER[[#This Row],[L_Sp]],"#,#0.#0"),          TRUE,"")</f>
        <v/>
      </c>
      <c r="AJ22" s="1165"/>
      <c r="AK22" s="1165"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65"/>
      <c r="AM22" s="1165"/>
      <c r="AN22" s="1165"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74"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74"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TabTRADER[[#This Row],[Traps]]=SellMorePercentGain,                     MIN(TabTRADER[[#This Row],[L_Sn]],TabTRADER[[#This Row],[N]])*(TabTRADER[[#This Row],[M]]-TabTRADER[[#This Row],[L_Sp]])*(1-Commission)*TabTRADER[[#This Row],[Scale]],                    TRUE,"")</f>
        <v/>
      </c>
      <c r="AR22" s="1163">
        <f ca="1">_xlfn.XLOOKUP(TabTRADER[[#This Row],[ClickTick]],TabCalc[Ticker],TabCalc[Ann%RevLB])</f>
        <v>-1.0812529663028001</v>
      </c>
      <c r="AS22" s="1267">
        <f ca="1">_xlfn.XLOOKUP(TabTRADER[[#This Row],[ClickTick]],TabCalc[Ticker],TabCalc[Up20])</f>
        <v>0</v>
      </c>
      <c r="AT22" s="310"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5" cm="1">
        <f t="array" aca="1" ref="AU22" ca="1">_xlfn.IFS(         TabTRADER[[#This Row],[Traps]]=MDown,TabTRADER[[#This Row],[L_Bn]]*TabTRADER[[#This Row],[M]]*(-(TabTRADER[[#This Row],[L_Bp]]+TabTRADER[[#This Row],[M]])/TabTRADER[[#This Row],[M]])*(1-Commission)*TabTRADER[[#This Row],[Scale]],                               TRUE,"")</f>
        <v>18178.21344</v>
      </c>
      <c r="AV22" s="1174" cm="1">
        <f t="array" aca="1" ref="AV22" ca="1">_xlfn.IFS(   TabTRADER[[#This Row],[Traps]]=MUp,TabTRADER[[#This Row],[TakeGain_A]]-Commission,        TabTRADER[[#This Row],[Traps]]=MDown,(TabTRADER[[#This Row],[A]]-TabTRADER[[#This Row],[M]])/TabTRADER[[#This Row],[M]]-Commission,                              TRUE,"")</f>
        <v>9.5683741550695824</v>
      </c>
      <c r="AW22" s="825"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60"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Y22" s="736"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5" cm="1">
        <f t="array" aca="1" ref="AZ22" ca="1">_xlfn.IFS(TabTRADER[[#This Row],[Traps]]=Sale_Back,"",         TabTRADER[[#This Row],[Traps]]=MDown, (TabTRADER[[#This Row],[M]]-TabTRADER[[#This Row],[A]])/TabTRADER[[#This Row],[A]]*ComFactor,             TRUE, IFERROR((TabTRADER[[#This Row],[M]]-TabTRADER[[#This Row],[A]])/TabTRADER[[#This Row],[A]]*ComFactor,""))</f>
        <v>-0.90304729556909646</v>
      </c>
      <c r="BA22" s="762" cm="1">
        <f t="array" aca="1" ref="BA22" ca="1">_xlfn.IFS(               TabTRADER[[#This Row],[Traps]]=NoStock,(TabTRADER[[#This Row],[L_Sp]]-TabTRADER[[#This Row],[M]])/TabTRADER[[#This Row],[M]]-Commission,             TabTRADER[[#This Row],[A]]&lt;&gt;0,(TabTRADER[[#This Row],[A]]-TabTRADER[[#This Row],[M]])/TabTRADER[[#This Row],[M]]-Commission)</f>
        <v>9.5683741550695824</v>
      </c>
      <c r="BB22" s="324">
        <f ca="1">_xlfn.XLOOKUP(TabTRADER[[#This Row],[ClickTick]],TabCalc[Ticker],TabCalc[L_Sn])</f>
        <v>10000</v>
      </c>
      <c r="BC22" s="728">
        <f ca="1">_xlfn.XLOOKUP(TabTRADER[[#This Row],[ClickTick]],TabCalc[Ticker],TabCalc[L_Sp])</f>
        <v>5.77</v>
      </c>
      <c r="BD22" s="764">
        <f ca="1">-IFERROR((TabTRADER[[#This Row],[M]]-TabTRADER[[#This Row],[L_Sp]])/TabTRADER[[#This Row],[L_Sp]],0)</f>
        <v>0.96512998266897743</v>
      </c>
      <c r="BE22" s="729">
        <f ca="1">TabTRADER[[#This Row],[L_Sn]]*(TabTRADER[[#This Row],[M]]-TabTRADER[[#This Row],[L_Sp]])*(1-Commission)*TabTRADER[[#This Row],[Scale]]</f>
        <v>-55543.211199999991</v>
      </c>
      <c r="BF22" s="692">
        <f ca="1">TabTRADER[[#This Row],[L_Sn]]*(TabTRADER[[#This Row],[Agiotage]]-TabTRADER[[#This Row],[M]])/(TabTRADER[[#This Row],[L_Bn]]*TabTRADER[[#This Row],[M]])</f>
        <v>6.8384526267689694</v>
      </c>
      <c r="BG22" s="635">
        <f ca="1">IFERROR((TabTRADER[[#This Row],[M]]-TabTRADER[[#This Row],[A]])/TabTRADER[[#This Row],[A]],0)</f>
        <v>-0.90540133905062814</v>
      </c>
      <c r="BH22" s="638" t="str">
        <f ca="1">TEXT(_xlfn.XLOOKUP(TabTRADER[[#This Row],[ClickTick]],TabCalc[Ticker],TabCalc[NAfter]),"#,#0")&amp;" : "&amp;TEXT(_xlfn.XLOOKUP(TabTRADER[[#This Row],[ClickTick]],TabCalc[Ticker],TabCalc[NAfter])*(TabTRADER[[#This Row],[M]]-TabTRADER[[#This Row],[A]])*(1-Commission)*TabTRADER[[#This Row],[Scale]],"#,#0$")</f>
        <v>30,000 : -57,620$</v>
      </c>
      <c r="BI22" s="684">
        <f ca="1">_xlfn.XLOOKUP(TabTRADER[[#This Row],[ClickTick]],TabCalc[[#This Row],[Ticker]],TabCalc[[#This Row],[GL]])*(1-Commission)</f>
        <v>-363.53894736733685</v>
      </c>
      <c r="BJ22" s="684"/>
      <c r="BK22" s="669" t="str">
        <f ca="1">TabTRADER[[#This Row],[ClickTick]]&amp;": "&amp;_xlfn.XLOOKUP(TabTRADER[[#This Row],[ClickTick]],TabCalc[Ticker],TabCalc[Pile?])</f>
        <v xml:space="preserve">EPIX: </v>
      </c>
      <c r="BL22" s="351" t="s">
        <v>1956</v>
      </c>
      <c r="BM22" s="755" t="str" cm="1">
        <f t="array" aca="1" ref="BM22" ca="1">_xlfn.TEXTJOIN("",,INDEX({"M","A","Y"}, _xlfn.SORTBY({1,2,3}, -CHOOSE({1,2,3}, TabTRADER[[#This Row],[M]], TabTRADER[[#This Row],[A]], TabTRADER[[#This Row],[Agiotage]]))))</f>
        <v>AYM</v>
      </c>
      <c r="BN22" s="902"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9" t="e">
        <f ca="1">TabTRADER[[#This Row],[L_Sn]]*TabTRADER[[#This Row],[L_Sp]]+TabTRADER[[#This Row],[SellMore]]*TabTRADER[[#This Row],[M]]</f>
        <v>#N/A</v>
      </c>
      <c r="BP22" s="679" t="e">
        <f ca="1">INDEX(
  INDEX(TabConsolid[], , _xlfn.XMATCH(TabTRADER[[#This Row],[ClickTick]]&amp;1, TabConsolid[#Headers])),
  MATCH(
    -TabTRADER[[#This Row],[M]],
    INDEX(TabConsolid[], , _xlfn.XMATCH(TabTRADER[[#This Row],[ClickTick]]&amp;2, TabConsolid[#Headers])),
    -1
  )
)</f>
        <v>#N/A</v>
      </c>
      <c r="BQ22" s="679"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44" t="e">
        <f ca="1">TabTRADER[[#This Row],[ReBuy]]/(TabTRADER[[#This Row],[L_Sn]]+TabTRADER[[#This Row],[SellMore]])</f>
        <v>#N/A</v>
      </c>
      <c r="BS22" s="687">
        <f ca="1">((_xlfn.XLOOKUP(TabTRADER[[#This Row],[ClickTick]],TabCalc[Ticker],TabCalc[NAfter])+TabTRADER[[#This Row],[L_Sn]])*(TabTRADER[[#This Row],[Agiotage]]-TabTRADER[[#This Row],[M]]))/(TabTRADER[[#This Row],[L_Sn]]*_xlfn.XLOOKUP(TabTRADER[[#This Row],[ClickTick]],TabCalc[Ticker],TabCalc[NAfter]))</f>
        <v>2.2014346696094667E-4</v>
      </c>
      <c r="BT22" s="687">
        <f ca="1">(TabTRADER[[#This Row],[M]]-TabTRADER[[#This Row],[Agiotage]])/(TabTRADER[[#This Row],[M]]-TabTRADER[[#This Row],[A]])-1</f>
        <v>-0.1426010540655247</v>
      </c>
      <c r="BU22" s="1262">
        <f ca="1">_xlfn.XMATCH(TabTRADER[[#This Row],[ClickTick]]&amp;1, TabConsolid[#Headers])</f>
        <v>59</v>
      </c>
      <c r="BV22" t="str">
        <f ca="1">IF(ABS(TabTRADER[[#This Row],[L_Bp]])&gt;=TabTRADER[[#This Row],[M]],"OK")</f>
        <v>OK</v>
      </c>
    </row>
    <row r="23" spans="1:74" ht="22" hidden="1"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+224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32.5%</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256$</v>
      </c>
      <c r="G23" s="225" t="str">
        <f ca="1">IFERROR(TRUNC(_xlfn.XLOOKUP(TabTRADER[[#This Row],[ClickTick]],TabCalc[Ticker],ListLastSalep),2)&amp;"x"&amp;_xlfn.XLOOKUP(TabTRADER[[#This Row],[ClickTick]],TabCalc[Ticker],ListLastSalen)&amp;"=   "&amp;TEXT(-_xlfn.XLOOKUP(TabTRADER[[#This Row],[ClickTick]],TabCalc[Ticker],ListReverseB),"#,#0")&amp;"$","")</f>
        <v>47.63x990=   21,267$</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-31.1% = 0</v>
      </c>
      <c r="I23" s="226" t="str">
        <f ca="1">IFERROR(TRUNC(TabCalc[[#This Row],[L_S1p]],2)&amp;"x"&amp;TabCalc[[#This Row],[L_S1n]]&amp;"=   "&amp;TEXT(TabCalc[[#This Row],[ReverseB1]],"#,#0"),"")</f>
        <v>46.95x990=   -21,943</v>
      </c>
      <c r="J23" s="295">
        <f ca="1">_xlfn.XLOOKUP(TabTRADER[[#This Row],[ClickTick]],TabCalc[Ticker],ListGravity)</f>
        <v>1.058436663531795</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0.29901271886794123</v>
      </c>
      <c r="N23" s="324" cm="1">
        <f t="array" aca="1" ref="N23" ca="1">_xlfn.XLOOKUP(TabTRADER[[#This Row],[ClickTick]],ListTickers,Tab2RSIConventional[RSIConv20])</f>
        <v>40</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0.48073956637243964</v>
      </c>
      <c r="S23" s="683">
        <f ca="1">_xlfn.XLOOKUP(TabTRADER[[#This Row],[ClickTick]],TabCalc[Ticker],TabCalc[Rev(MinStock)])*(1-Commission)</f>
        <v>223.80658599999992</v>
      </c>
      <c r="T23" s="782">
        <f ca="1">_xlfn.XLOOKUP(TabTRADER[[#This Row],[ClickTick]],TabCalc[Ticker],TabCalc[Agiotage])</f>
        <v>0.29901271886794123</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11/11=&gt;1.7% / 1.7%</v>
      </c>
      <c r="V23" s="739" t="str">
        <f ca="1">_xlfn.XLOOKUP(TabTRADER[[#This Row],[ClickTick]],[1]!RTData[Ticker_Symbol],[1]!RTData[Currency])</f>
        <v>USD</v>
      </c>
      <c r="W23" s="749">
        <f ca="1">_xlfn.XLOOKUP(TabTRADER[[#This Row],[ClickTick]],TabCalc[Ticker],TabCalc[M])</f>
        <v>69.114999999999995</v>
      </c>
      <c r="X23" s="1315"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1.7444000000000001E-2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82"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65"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69.115, 45.1%</v>
      </c>
      <c r="AG23" s="1165"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65" cm="1">
        <f t="array" aca="1" ref="AH23" ca="1">_xlfn.IFS(     TabTRADER[[#This Row],[Traps]]=MUp,MIN(TabTRADER[[#This Row],[L_Sn]],TabTRADER[[#This Row],[N]])*(TabTRADER[[#This Row],[M]]-TabTRADER[[#This Row],[L_Sp]])*(1-Commission)*TabTRADER[[#This Row],[Scale]],                                  TRUE,"M= "&amp;TabTRADER[[#This Row],[M]])</f>
        <v>214.26146799999992</v>
      </c>
      <c r="AI23" s="1165" t="str" cm="1">
        <f t="array" aca="1" ref="AI23" ca="1">_xlfn.IFS(   TabTRADER[[#This Row],[Traps]]=MUp,TEXT(MIN(TabTRADER[[#This Row],[L_Sn]],TabTRADER[[#This Row],[N]]),"#,#0")&amp;" x "&amp;TEXT(TabTRADER[[#This Row],[L_Sp]],"#,#0.#0"),          TRUE,"")</f>
        <v>10 x 47.63</v>
      </c>
      <c r="AJ23" s="1165"/>
      <c r="AK23" s="1165"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214.26146799999992</v>
      </c>
      <c r="AL23" s="1165"/>
      <c r="AM23" s="1165"/>
      <c r="AN23" s="1165"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223.80658599999992</v>
      </c>
      <c r="AO23" s="1174"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0.48073956637243964</v>
      </c>
      <c r="AP23" s="1174"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0.30821530782029943</v>
      </c>
      <c r="AQ23" s="825" cm="1">
        <f t="array" aca="1" ref="AQ23" ca="1">_xlfn.IFS(   TabTRADER[[#This Row],[Traps]]=SellMorePercentGain,                     MIN(TabTRADER[[#This Row],[L_Sn]],TabTRADER[[#This Row],[N]])*(TabTRADER[[#This Row],[M]]-TabTRADER[[#This Row],[L_Sp]])*(1-Commission)*TabTRADER[[#This Row],[Scale]],                    TRUE,"")</f>
        <v>214.26146799999992</v>
      </c>
      <c r="AR23" s="1163">
        <f ca="1">_xlfn.XLOOKUP(TabTRADER[[#This Row],[ClickTick]],TabCalc[Ticker],TabCalc[Ann%RevLB])</f>
        <v>0.36901118101082786</v>
      </c>
      <c r="AS23" s="1267">
        <f ca="1">_xlfn.XLOOKUP(TabTRADER[[#This Row],[ClickTick]],TabCalc[Ticker],TabCalc[Up20])</f>
        <v>0</v>
      </c>
      <c r="AT23" s="310"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5" t="str" cm="1">
        <f t="array" aca="1" ref="AU23" ca="1">_xlfn.IFS(         TabTRADER[[#This Row],[Traps]]=MDown,TabTRADER[[#This Row],[L_Bn]]*TabTRADER[[#This Row],[M]]*(-(TabTRADER[[#This Row],[L_Bp]]+TabTRADER[[#This Row],[M]])/TabTRADER[[#This Row],[M]])*(1-Commission)*TabTRADER[[#This Row],[Scale]],                               TRUE,"")</f>
        <v/>
      </c>
      <c r="AV23" s="1174" cm="1">
        <f t="array" aca="1" ref="AV23" ca="1">_xlfn.IFS(   TabTRADER[[#This Row],[Traps]]=MUp,TabTRADER[[#This Row],[TakeGain_A]]-Commission,        TabTRADER[[#This Row],[Traps]]=MDown,(TabTRADER[[#This Row],[A]]-TabTRADER[[#This Row],[M]])/TabTRADER[[#This Row],[M]]-Commission,                              TRUE,"")</f>
        <v>0.47813956637243965</v>
      </c>
      <c r="AW23" s="825"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331.39926710493603</v>
      </c>
      <c r="AX23" s="760"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23" s="736"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10x22.43</v>
      </c>
      <c r="AZ23" s="765" cm="1">
        <f t="array" aca="1" ref="AZ23" ca="1">_xlfn.IFS(TabTRADER[[#This Row],[Traps]]=Sale_Back,"",         TabTRADER[[#This Row],[Traps]]=MDown, (TabTRADER[[#This Row],[M]]-TabTRADER[[#This Row],[A]])/TabTRADER[[#This Row],[A]]*ComFactor,             TRUE, IFERROR((TabTRADER[[#This Row],[M]]-TabTRADER[[#This Row],[A]])/TabTRADER[[#This Row],[A]]*ComFactor,""))</f>
        <v>0.47948964349987128</v>
      </c>
      <c r="BA23" s="762" cm="1">
        <f t="array" aca="1" ref="BA23" ca="1">_xlfn.IFS(               TabTRADER[[#This Row],[Traps]]=NoStock,(TabTRADER[[#This Row],[L_Sp]]-TabTRADER[[#This Row],[M]])/TabTRADER[[#This Row],[M]]-Commission,             TabTRADER[[#This Row],[A]]&lt;&gt;0,(TabTRADER[[#This Row],[A]]-TabTRADER[[#This Row],[M]])/TabTRADER[[#This Row],[M]]-Commission)</f>
        <v>-0.32726179555812768</v>
      </c>
      <c r="BB23" s="324">
        <f ca="1">_xlfn.XLOOKUP(TabTRADER[[#This Row],[ClickTick]],TabCalc[Ticker],TabCalc[L_Sn])</f>
        <v>990</v>
      </c>
      <c r="BC23" s="728">
        <f ca="1">_xlfn.XLOOKUP(TabTRADER[[#This Row],[ClickTick]],TabCalc[Ticker],TabCalc[L_Sp])</f>
        <v>47.633000000000003</v>
      </c>
      <c r="BD23" s="764">
        <f ca="1">-IFERROR((TabTRADER[[#This Row],[M]]-TabTRADER[[#This Row],[L_Sp]])/TabTRADER[[#This Row],[L_Sp]],0)</f>
        <v>-0.45098985997102831</v>
      </c>
      <c r="BE23" s="729">
        <f ca="1">TabTRADER[[#This Row],[L_Sn]]*(TabTRADER[[#This Row],[M]]-TabTRADER[[#This Row],[L_Sp]])*(1-Commission)*TabTRADER[[#This Row],[Scale]]</f>
        <v>21211.885331999991</v>
      </c>
      <c r="BF23" s="692">
        <f ca="1">TabTRADER[[#This Row],[L_Sn]]*(TabTRADER[[#This Row],[Agiotage]]-TabTRADER[[#This Row],[M]])/(TabTRADER[[#This Row],[L_Bn]]*TabTRADER[[#This Row],[M]])</f>
        <v>-0.99567369284716867</v>
      </c>
      <c r="BG23" s="635">
        <f ca="1">IFERROR((TabTRADER[[#This Row],[M]]-TabTRADER[[#This Row],[A]])/TabTRADER[[#This Row],[A]],0)</f>
        <v>0.48073956637243964</v>
      </c>
      <c r="BH23" s="638" t="str">
        <f ca="1">TEXT(_xlfn.XLOOKUP(TabTRADER[[#This Row],[ClickTick]],TabCalc[Ticker],TabCalc[NAfter]),"#,#0")&amp;" : "&amp;TEXT(_xlfn.XLOOKUP(TabTRADER[[#This Row],[ClickTick]],TabCalc[Ticker],TabCalc[NAfter])*(TabTRADER[[#This Row],[M]]-TabTRADER[[#This Row],[A]])*(1-Commission)*TabTRADER[[#This Row],[Scale]],"#,#0$")</f>
        <v>10 : 224$</v>
      </c>
      <c r="BI23" s="684">
        <f ca="1">_xlfn.XLOOKUP(TabTRADER[[#This Row],[ClickTick]],TabCalc[[#This Row],[Ticker]],TabCalc[[#This Row],[GL]])*(1-Commission)</f>
        <v>14395.3980265672</v>
      </c>
      <c r="BJ23" s="684"/>
      <c r="BK23" s="669" t="str">
        <f ca="1">TabTRADER[[#This Row],[ClickTick]]&amp;": "&amp;_xlfn.XLOOKUP(TabTRADER[[#This Row],[ClickTick]],TabCalc[Ticker],TabCalc[Pile?])</f>
        <v>GM: Pile</v>
      </c>
      <c r="BL23" s="351" t="s">
        <v>1957</v>
      </c>
      <c r="BM23" s="755" t="str" cm="1">
        <f t="array" aca="1" ref="BM23" ca="1">_xlfn.TEXTJOIN("",,INDEX({"M","A","Y"}, _xlfn.SORTBY({1,2,3}, -CHOOSE({1,2,3}, TabTRADER[[#This Row],[M]], TabTRADER[[#This Row],[A]], TabTRADER[[#This Row],[Agiotage]]))))</f>
        <v>MAY</v>
      </c>
      <c r="BN23" s="902"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0.31081530782029942</v>
      </c>
      <c r="BO23" s="679">
        <f ca="1">TabTRADER[[#This Row],[L_Sn]]*TabTRADER[[#This Row],[L_Sp]]+TabTRADER[[#This Row],[SellMore]]*TabTRADER[[#This Row],[M]]</f>
        <v>47847.820000000007</v>
      </c>
      <c r="BP23" s="679">
        <f ca="1">INDEX(
  INDEX(TabConsolid[], , _xlfn.XMATCH(TabTRADER[[#This Row],[ClickTick]]&amp;1, TabConsolid[#Headers])),
  MATCH(
    -TabTRADER[[#This Row],[M]],
    INDEX(TabConsolid[], , _xlfn.XMATCH(TabTRADER[[#This Row],[ClickTick]]&amp;2, TabConsolid[#Headers])),
    -1
  )
)</f>
        <v>10</v>
      </c>
      <c r="BQ23" s="679"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44">
        <f ca="1">TabTRADER[[#This Row],[ReBuy]]/(TabTRADER[[#This Row],[L_Sn]]+TabTRADER[[#This Row],[SellMore]])</f>
        <v>47.847820000000006</v>
      </c>
      <c r="BS23" s="687">
        <f ca="1">((_xlfn.XLOOKUP(TabTRADER[[#This Row],[ClickTick]],TabCalc[Ticker],TabCalc[NAfter])+TabTRADER[[#This Row],[L_Sn]])*(TabTRADER[[#This Row],[Agiotage]]-TabTRADER[[#This Row],[M]]))/(TabTRADER[[#This Row],[L_Sn]]*_xlfn.XLOOKUP(TabTRADER[[#This Row],[ClickTick]],TabCalc[Ticker],TabCalc[NAfter]))</f>
        <v>-6.9511098263769746</v>
      </c>
      <c r="BT23" s="687">
        <f ca="1">(TabTRADER[[#This Row],[M]]-TabTRADER[[#This Row],[Agiotage]])/(TabTRADER[[#This Row],[M]]-TabTRADER[[#This Row],[A]])-1</f>
        <v>2.0668027666621542</v>
      </c>
      <c r="BU23" s="1262">
        <f ca="1">_xlfn.XMATCH(TabTRADER[[#This Row],[ClickTick]]&amp;1, TabConsolid[#Headers])</f>
        <v>62</v>
      </c>
      <c r="BV23" t="b">
        <f ca="1">IF(ABS(TabTRADER[[#This Row],[L_Bp]])&gt;=TabTRADER[[#This Row],[M]],"OK")</f>
        <v>0</v>
      </c>
    </row>
    <row r="24" spans="1:74" ht="22" hidden="1"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-3,411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-9.1%</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1,477</v>
      </c>
      <c r="F24" s="226" t="str">
        <f ca="1">TRUNC(TabCalc[[#This Row],[L_B1p]],2)&amp;"x"&amp;TabCalc[[#This Row],[L_B1n]]&amp;"=   "&amp;TEXT(TabCalc[[#This Row],[ReverseS1]],"#,#0")&amp;"$"</f>
        <v>-24.92x1200=   -5,022$</v>
      </c>
      <c r="G24" s="225" t="str">
        <f ca="1">IFERROR(TRUNC(_xlfn.XLOOKUP(TabTRADER[[#This Row],[ClickTick]],TabCalc[Ticker],ListLastSalep),2)&amp;"x"&amp;_xlfn.XLOOKUP(TabTRADER[[#This Row],[ClickTick]],TabCalc[Ticker],ListLastSalen)&amp;"=   "&amp;TEXT(-_xlfn.XLOOKUP(TabTRADER[[#This Row],[ClickTick]],TabCalc[Ticker],ListReverseB),"#,#0")&amp;"$","")</f>
        <v>24.12x1800=   -6,093$</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16.3% = 1,477</v>
      </c>
      <c r="I24" s="226" t="str">
        <f ca="1">IFERROR(TRUNC(TabCalc[[#This Row],[L_S1p]],2)&amp;"x"&amp;TabCalc[[#This Row],[L_S1n]]&amp;"=   "&amp;TEXT(TabCalc[[#This Row],[ReverseB1]],"#,#0"),"")</f>
        <v>26.07x1200=   6,402</v>
      </c>
      <c r="J24" s="295">
        <f ca="1">_xlfn.XLOOKUP(TabTRADER[[#This Row],[ClickTick]],TabCalc[Ticker],ListGravity)</f>
        <v>1.2786163491680733</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0.19064964394428682</v>
      </c>
      <c r="N24" s="324" cm="1">
        <f t="array" aca="1" ref="N24" ca="1">_xlfn.XLOOKUP(TabTRADER[[#This Row],[ClickTick]],ListTickers,Tab2RSIConventional[RSIConv20])</f>
        <v>26</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-8.3738400353513015E-2</v>
      </c>
      <c r="S24" s="683">
        <f ca="1">_xlfn.XLOOKUP(TabTRADER[[#This Row],[ClickTick]],TabCalc[Ticker],TabCalc[Rev(MinStock)])*(1-Commission)</f>
        <v>-3402.1313999999988</v>
      </c>
      <c r="T24" s="782">
        <f ca="1">_xlfn.XLOOKUP(TabTRADER[[#This Row],[ClickTick]],TabCalc[Ticker],TabCalc[Agiotage])</f>
        <v>0.19064964394428682</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-782/-782=&gt;-0.8% / -0.8%</v>
      </c>
      <c r="V24" s="739" t="str">
        <f ca="1">_xlfn.XLOOKUP(TabTRADER[[#This Row],[ClickTick]],[1]!RTData[Ticker_Symbol],[1]!RTData[Currency])</f>
        <v>USD</v>
      </c>
      <c r="W24" s="749">
        <f ca="1">_xlfn.XLOOKUP(TabTRADER[[#This Row],[ClickTick]],TabCalc[Ticker],TabCalc[M])</f>
        <v>20.734999999999999</v>
      </c>
      <c r="X24" s="1315"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-7.8949999999999992E-3</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^154/191 K$</v>
      </c>
      <c r="AE24" s="1182"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65"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65"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6077.1582000000026</v>
      </c>
      <c r="AH24" s="1165" t="str" cm="1">
        <f t="array" aca="1" ref="AH24" ca="1">_xlfn.IFS(     TabTRADER[[#This Row],[Traps]]=MUp,MIN(TabTRADER[[#This Row],[L_Sn]],TabTRADER[[#This Row],[N]])*(TabTRADER[[#This Row],[M]]-TabTRADER[[#This Row],[L_Sp]])*(1-Commission)*TabTRADER[[#This Row],[Scale]],                                  TRUE,"M= "&amp;TabTRADER[[#This Row],[M]])</f>
        <v>M= 20.735</v>
      </c>
      <c r="AI24" s="1165" t="str" cm="1">
        <f t="array" aca="1" ref="AI24" ca="1">_xlfn.IFS(   TabTRADER[[#This Row],[Traps]]=MUp,TEXT(MIN(TabTRADER[[#This Row],[L_Sn]],TabTRADER[[#This Row],[N]]),"#,#0")&amp;" x "&amp;TEXT(TabTRADER[[#This Row],[L_Sp]],"#,#0.#0"),          TRUE,"")</f>
        <v/>
      </c>
      <c r="AJ24" s="1165"/>
      <c r="AK24" s="1165"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65"/>
      <c r="AM24" s="1165"/>
      <c r="AN24" s="1165"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6077.1582000000026</v>
      </c>
      <c r="AO24" s="1174"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0.14033996683250421</v>
      </c>
      <c r="AP24" s="1174"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TabTRADER[[#This Row],[Traps]]=SellMorePercentGain,                     MIN(TabTRADER[[#This Row],[L_Sn]],TabTRADER[[#This Row],[N]])*(TabTRADER[[#This Row],[M]]-TabTRADER[[#This Row],[L_Sp]])*(1-Commission)*TabTRADER[[#This Row],[Scale]],                    TRUE,"")</f>
        <v/>
      </c>
      <c r="AR24" s="1163">
        <f ca="1">_xlfn.XLOOKUP(TabTRADER[[#This Row],[ClickTick]],TabCalc[Ticker],TabCalc[Ann%RevLB])</f>
        <v>-1.0048608042421563</v>
      </c>
      <c r="AS24" s="1267">
        <f ca="1">_xlfn.XLOOKUP(TabTRADER[[#This Row],[ClickTick]],TabCalc[Ticker],TabCalc[Up20])</f>
        <v>0</v>
      </c>
      <c r="AT24" s="310"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5" t="str" cm="1">
        <f t="array" aca="1" ref="AU24" ca="1">_xlfn.IFS(         TabTRADER[[#This Row],[Traps]]=MDown,TabTRADER[[#This Row],[L_Bn]]*TabTRADER[[#This Row],[M]]*(-(TabTRADER[[#This Row],[L_Bp]]+TabTRADER[[#This Row],[M]])/TabTRADER[[#This Row],[M]])*(1-Commission)*TabTRADER[[#This Row],[Scale]],                               TRUE,"")</f>
        <v/>
      </c>
      <c r="AV24" s="1174" t="str" cm="1">
        <f t="array" aca="1" ref="AV24" ca="1">_xlfn.IFS(   TabTRADER[[#This Row],[Traps]]=MUp,TabTRADER[[#This Row],[TakeGain_A]]-Commission,        TabTRADER[[#This Row],[Traps]]=MDown,(TabTRADER[[#This Row],[A]]-TabTRADER[[#This Row],[M]])/TabTRADER[[#This Row],[M]]-Commission,                              TRUE,"")</f>
        <v/>
      </c>
      <c r="AW24" s="825"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3201.8215631999947</v>
      </c>
      <c r="AX24" s="760"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24" s="736"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5" cm="1">
        <f t="array" aca="1" ref="AZ24" ca="1">_xlfn.IFS(TabTRADER[[#This Row],[Traps]]=Sale_Back,"",         TabTRADER[[#This Row],[Traps]]=MDown, (TabTRADER[[#This Row],[M]]-TabTRADER[[#This Row],[A]])/TabTRADER[[#This Row],[A]]*ComFactor,             TRUE, IFERROR((TabTRADER[[#This Row],[M]]-TabTRADER[[#This Row],[A]])/TabTRADER[[#This Row],[A]]*ComFactor,""))</f>
        <v>1.7071662425563478E-2</v>
      </c>
      <c r="BA24" s="762" cm="1">
        <f t="array" aca="1" ref="BA24" ca="1">_xlfn.IFS(               TabTRADER[[#This Row],[Traps]]=NoStock,(TabTRADER[[#This Row],[L_Sp]]-TabTRADER[[#This Row],[M]])/TabTRADER[[#This Row],[M]]-Commission,             TabTRADER[[#This Row],[A]]&lt;&gt;0,(TabTRADER[[#This Row],[A]]-TabTRADER[[#This Row],[M]])/TabTRADER[[#This Row],[M]]-Commission)</f>
        <v>-1.9428131388851001E-2</v>
      </c>
      <c r="BB24" s="324">
        <f ca="1">_xlfn.XLOOKUP(TabTRADER[[#This Row],[ClickTick]],TabCalc[Ticker],TabCalc[L_Sn])</f>
        <v>1800</v>
      </c>
      <c r="BC24" s="728">
        <f ca="1">_xlfn.XLOOKUP(TabTRADER[[#This Row],[ClickTick]],TabCalc[Ticker],TabCalc[L_Sp])</f>
        <v>24.12</v>
      </c>
      <c r="BD24" s="764">
        <f ca="1">-IFERROR((TabTRADER[[#This Row],[M]]-TabTRADER[[#This Row],[L_Sp]])/TabTRADER[[#This Row],[L_Sp]],0)</f>
        <v>0.14033996683250421</v>
      </c>
      <c r="BE24" s="729">
        <f ca="1">TabTRADER[[#This Row],[L_Sn]]*(TabTRADER[[#This Row],[M]]-TabTRADER[[#This Row],[L_Sp]])*(1-Commission)*TabTRADER[[#This Row],[Scale]]</f>
        <v>-6077.1582000000026</v>
      </c>
      <c r="BF24" s="692">
        <f ca="1">TabTRADER[[#This Row],[L_Sn]]*(TabTRADER[[#This Row],[Agiotage]]-TabTRADER[[#This Row],[M]])/(TabTRADER[[#This Row],[L_Bn]]*TabTRADER[[#This Row],[M]])</f>
        <v>-0.9908054186667814</v>
      </c>
      <c r="BG24" s="635">
        <f ca="1">IFERROR((TabTRADER[[#This Row],[M]]-TabTRADER[[#This Row],[A]])/TabTRADER[[#This Row],[A]],0)</f>
        <v>1.7116164453141649E-2</v>
      </c>
      <c r="BH24" s="638" t="str">
        <f ca="1">TEXT(_xlfn.XLOOKUP(TabTRADER[[#This Row],[ClickTick]],TabCalc[Ticker],TabCalc[NAfter]),"#,#0")&amp;" : "&amp;TEXT(_xlfn.XLOOKUP(TabTRADER[[#This Row],[ClickTick]],TabCalc[Ticker],TabCalc[NAfter])*(TabTRADER[[#This Row],[M]]-TabTRADER[[#This Row],[A]])*(1-Commission)*TabTRADER[[#This Row],[Scale]],"#,#0$")</f>
        <v>9,200 : 3,202$</v>
      </c>
      <c r="BI24" s="684">
        <f ca="1">_xlfn.XLOOKUP(TabTRADER[[#This Row],[ClickTick]],TabCalc[[#This Row],[Ticker]],TabCalc[[#This Row],[GL]])*(1-Commission)</f>
        <v>153481.57247151999</v>
      </c>
      <c r="BJ24" s="684"/>
      <c r="BK24" s="669" t="str">
        <f ca="1">TabTRADER[[#This Row],[ClickTick]]&amp;": "&amp;_xlfn.XLOOKUP(TabTRADER[[#This Row],[ClickTick]],TabCalc[Ticker],TabCalc[Pile?])</f>
        <v xml:space="preserve">HPE: </v>
      </c>
      <c r="BL24" s="351" t="s">
        <v>1958</v>
      </c>
      <c r="BM24" s="755" t="str" cm="1">
        <f t="array" aca="1" ref="BM24" ca="1">_xlfn.TEXTJOIN("",,INDEX({"M","A","Y"}, _xlfn.SORTBY({1,2,3}, -CHOOSE({1,2,3}, TabTRADER[[#This Row],[M]], TabTRADER[[#This Row],[A]], TabTRADER[[#This Row],[Agiotage]]))))</f>
        <v>MAY</v>
      </c>
      <c r="BN24" s="902"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9">
        <f ca="1">TabTRADER[[#This Row],[L_Sn]]*TabTRADER[[#This Row],[L_Sp]]+TabTRADER[[#This Row],[SellMore]]*TabTRADER[[#This Row],[M]]</f>
        <v>126356</v>
      </c>
      <c r="BP24" s="679">
        <f ca="1">INDEX(
  INDEX(TabConsolid[], , _xlfn.XMATCH(TabTRADER[[#This Row],[ClickTick]]&amp;1, TabConsolid[#Headers])),
  MATCH(
    -TabTRADER[[#This Row],[M]],
    INDEX(TabConsolid[], , _xlfn.XMATCH(TabTRADER[[#This Row],[ClickTick]]&amp;2, TabConsolid[#Headers])),
    -1
  )
)</f>
        <v>4000</v>
      </c>
      <c r="BQ24" s="679"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4" s="1144">
        <f ca="1">TabTRADER[[#This Row],[ReBuy]]/(TabTRADER[[#This Row],[L_Sn]]+TabTRADER[[#This Row],[SellMore]])</f>
        <v>21.78551724137931</v>
      </c>
      <c r="BS24" s="687">
        <f ca="1">((_xlfn.XLOOKUP(TabTRADER[[#This Row],[ClickTick]],TabCalc[Ticker],TabCalc[NAfter])+TabTRADER[[#This Row],[L_Sn]])*(TabTRADER[[#This Row],[Agiotage]]-TabTRADER[[#This Row],[M]]))/(TabTRADER[[#This Row],[L_Sn]]*_xlfn.XLOOKUP(TabTRADER[[#This Row],[ClickTick]],TabCalc[Ticker],TabCalc[NAfter]))</f>
        <v>-1.3646609536027345E-2</v>
      </c>
      <c r="BT24" s="687">
        <f ca="1">(TabTRADER[[#This Row],[M]]-TabTRADER[[#This Row],[Agiotage]])/(TabTRADER[[#This Row],[M]]-TabTRADER[[#This Row],[A]])-1</f>
        <v>57.877922674362487</v>
      </c>
      <c r="BU24" s="1262">
        <f ca="1">_xlfn.XMATCH(TabTRADER[[#This Row],[ClickTick]]&amp;1, TabConsolid[#Headers])</f>
        <v>65</v>
      </c>
      <c r="BV24" t="str">
        <f ca="1">IF(ABS(TabTRADER[[#This Row],[L_Bp]])&gt;=TabTRADER[[#This Row],[M]],"OK")</f>
        <v>OK</v>
      </c>
    </row>
    <row r="25" spans="1:74" ht="22" hidden="1"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-4,990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-22.1%</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-12,800$</v>
      </c>
      <c r="G25" s="225" t="str">
        <f ca="1">IFERROR(TRUNC(_xlfn.XLOOKUP(TabTRADER[[#This Row],[ClickTick]],TabCalc[Ticker],ListLastSalep),2)&amp;"x"&amp;_xlfn.XLOOKUP(TabTRADER[[#This Row],[ClickTick]],TabCalc[Ticker],ListLastSalen)&amp;"=   "&amp;TEXT(-_xlfn.XLOOKUP(TabTRADER[[#This Row],[ClickTick]],TabCalc[Ticker],ListReverseB),"#,#0")&amp;"$","")</f>
        <v>28.94x1000=   -6,400$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28.4% = 781</v>
      </c>
      <c r="I25" s="226" t="str">
        <f ca="1">IFERROR(TRUNC(TabCalc[[#This Row],[L_S1p]],2)&amp;"x"&amp;TabCalc[[#This Row],[L_S1n]]&amp;"=   "&amp;TEXT(TabCalc[[#This Row],[ReverseB1]],"#,#0"),"")</f>
        <v>27.08x4000=   18,160</v>
      </c>
      <c r="J25" s="295">
        <f ca="1">_xlfn.XLOOKUP(TabTRADER[[#This Row],[ClickTick]],TabCalc[Ticker],ListGravity)</f>
        <v>1.2547692990239574</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90160</v>
      </c>
      <c r="M25" s="323">
        <f ca="1">_xlfn.XLOOKUP(TabTRADER[[#This Row],[ClickTick]],TabCalc[Ticker],TabCalc[Agiotage])</f>
        <v>0.26374238355573848</v>
      </c>
      <c r="N25" s="324" cm="1">
        <f t="array" aca="1" ref="N25" ca="1">_xlfn.XLOOKUP(TabTRADER[[#This Row],[ClickTick]],ListTickers,Tab2RSIConventional[RSIConv20])</f>
        <v>37</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-0.18125681075190708</v>
      </c>
      <c r="S25" s="683">
        <f ca="1">_xlfn.XLOOKUP(TabTRADER[[#This Row],[ClickTick]],TabCalc[Ticker],TabCalc[Rev(MinStock)])*(1-Commission)</f>
        <v>-4977.0260000000017</v>
      </c>
      <c r="T25" s="782">
        <f ca="1">_xlfn.XLOOKUP(TabTRADER[[#This Row],[ClickTick]],TabCalc[Ticker],TabCalc[Agiotage])</f>
        <v>0.26374238355573848</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-700/-700=&gt;-0.7% / -0.7%</v>
      </c>
      <c r="V25" s="739" t="str">
        <f ca="1">_xlfn.XLOOKUP(TabTRADER[[#This Row],[ClickTick]],[1]!RTData[Ticker_Symbol],[1]!RTData[Currency])</f>
        <v>USD</v>
      </c>
      <c r="W25" s="749">
        <f ca="1">_xlfn.XLOOKUP(TabTRADER[[#This Row],[ClickTick]],TabCalc[Ticker],TabCalc[M])</f>
        <v>22.54</v>
      </c>
      <c r="X25" s="1315"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-7.4860000000000005E-3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^28/113 K$</v>
      </c>
      <c r="AE25" s="116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65"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22.54, -22.1%</v>
      </c>
      <c r="AG25" s="1165"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65" t="str" cm="1">
        <f t="array" aca="1" ref="AH25" ca="1">_xlfn.IFS(     TabTRADER[[#This Row],[Traps]]=MUp,MIN(TabTRADER[[#This Row],[L_Sn]],TabTRADER[[#This Row],[N]])*(TabTRADER[[#This Row],[M]]-TabTRADER[[#This Row],[L_Sp]])*(1-Commission)*TabTRADER[[#This Row],[Scale]],                                  TRUE,"M= "&amp;TabTRADER[[#This Row],[M]])</f>
        <v>M= 22.54</v>
      </c>
      <c r="AI25" s="1165" t="str" cm="1">
        <f t="array" aca="1" ref="AI25" ca="1">_xlfn.IFS(   TabTRADER[[#This Row],[Traps]]=MUp,TEXT(MIN(TabTRADER[[#This Row],[L_Sn]],TabTRADER[[#This Row],[N]]),"#,#0")&amp;" x "&amp;TEXT(TabTRADER[[#This Row],[L_Sp]],"#,#0.#0"),          TRUE,"")</f>
        <v/>
      </c>
      <c r="AJ25" s="1165"/>
      <c r="AK25" s="1165"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4977.0260000000017</v>
      </c>
      <c r="AL25" s="1165"/>
      <c r="AM25" s="1165"/>
      <c r="AN25" s="1165"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112700</v>
      </c>
      <c r="AO25" s="1174"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0.13633228599892713</v>
      </c>
      <c r="AP25" s="1174"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0.21878420585625566</v>
      </c>
      <c r="AQ25" s="825" t="str" cm="1">
        <f t="array" aca="1" ref="AQ25" ca="1">_xlfn.IFS(   TabTRADER[[#This Row],[Traps]]=SellMorePercentGain,                     MIN(TabTRADER[[#This Row],[L_Sn]],TabTRADER[[#This Row],[N]])*(TabTRADER[[#This Row],[M]]-TabTRADER[[#This Row],[L_Sp]])*(1-Commission)*TabTRADER[[#This Row],[Scale]],                    TRUE,"")</f>
        <v/>
      </c>
      <c r="AR25" s="1180">
        <f ca="1">_xlfn.XLOOKUP(TabTRADER[[#This Row],[ClickTick]],TabCalc[Ticker],TabCalc[Ann%RevLB])</f>
        <v>-1.9191897609025457</v>
      </c>
      <c r="AS25" s="1180">
        <f ca="1">_xlfn.XLOOKUP(TabTRADER[[#This Row],[ClickTick]],TabCalc[Ticker],TabCalc[Up20])</f>
        <v>0</v>
      </c>
      <c r="AT25" s="310"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0.22138420585625565</v>
      </c>
      <c r="AU25" s="825" cm="1">
        <f t="array" aca="1" ref="AU25" ca="1">_xlfn.IFS(         TabTRADER[[#This Row],[Traps]]=MDown,TabTRADER[[#This Row],[L_Bn]]*TabTRADER[[#This Row],[M]]*(-(TabTRADER[[#This Row],[L_Bp]]+TabTRADER[[#This Row],[M]])/TabTRADER[[#This Row],[M]])*(1-Commission)*TabTRADER[[#This Row],[Scale]],                               TRUE,"")</f>
        <v>4977.0260000000026</v>
      </c>
      <c r="AV25" s="1174" cm="1">
        <f t="array" aca="1" ref="AV25" ca="1">_xlfn.IFS(   TabTRADER[[#This Row],[Traps]]=MUp,TabTRADER[[#This Row],[TakeGain_A]]-Commission,        TabTRADER[[#This Row],[Traps]]=MDown,(TabTRADER[[#This Row],[A]]-TabTRADER[[#This Row],[M]])/TabTRADER[[#This Row],[M]]-Commission,                              TRUE,"")</f>
        <v>0.15525270629991128</v>
      </c>
      <c r="AW25" s="825"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17743.745999999999</v>
      </c>
      <c r="AX25" s="760"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25" s="736"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-4.99</v>
      </c>
      <c r="AZ25" s="765" cm="1">
        <f t="array" aca="1" ref="AZ25" ca="1">_xlfn.IFS(TabTRADER[[#This Row],[Traps]]=Sale_Back,"",         TabTRADER[[#This Row],[Traps]]=MDown, (TabTRADER[[#This Row],[M]]-TabTRADER[[#This Row],[A]])/TabTRADER[[#This Row],[A]]*ComFactor,             TRUE, IFERROR((TabTRADER[[#This Row],[M]]-TabTRADER[[#This Row],[A]])/TabTRADER[[#This Row],[A]]*ComFactor,""))</f>
        <v>-0.13597782205532991</v>
      </c>
      <c r="BA25" s="762" cm="1">
        <f t="array" aca="1" ref="BA25" ca="1">_xlfn.IFS(               TabTRADER[[#This Row],[Traps]]=NoStock,(TabTRADER[[#This Row],[L_Sp]]-TabTRADER[[#This Row],[M]])/TabTRADER[[#This Row],[M]]-Commission,             TabTRADER[[#This Row],[A]]&lt;&gt;0,(TabTRADER[[#This Row],[A]]-TabTRADER[[#This Row],[M]])/TabTRADER[[#This Row],[M]]-Commission)</f>
        <v>0.15525270629991128</v>
      </c>
      <c r="BB25" s="324">
        <f ca="1">_xlfn.XLOOKUP(TabTRADER[[#This Row],[ClickTick]],TabCalc[Ticker],TabCalc[L_Sn])</f>
        <v>1000</v>
      </c>
      <c r="BC25" s="728">
        <f ca="1">_xlfn.XLOOKUP(TabTRADER[[#This Row],[ClickTick]],TabCalc[Ticker],TabCalc[L_Sp])</f>
        <v>28.94</v>
      </c>
      <c r="BD25" s="764">
        <f ca="1">-IFERROR((TabTRADER[[#This Row],[M]]-TabTRADER[[#This Row],[L_Sp]])/TabTRADER[[#This Row],[L_Sp]],0)</f>
        <v>0.22114720110573607</v>
      </c>
      <c r="BE25" s="729">
        <f ca="1">TabTRADER[[#This Row],[L_Sn]]*(TabTRADER[[#This Row],[M]]-TabTRADER[[#This Row],[L_Sp]])*(1-Commission)*TabTRADER[[#This Row],[Scale]]</f>
        <v>-6383.3600000000015</v>
      </c>
      <c r="BF25" s="692">
        <f ca="1">TabTRADER[[#This Row],[L_Sn]]*(TabTRADER[[#This Row],[Agiotage]]-TabTRADER[[#This Row],[M]])/(TabTRADER[[#This Row],[L_Bn]]*TabTRADER[[#This Row],[M]])</f>
        <v>-0.98829891820959459</v>
      </c>
      <c r="BG25" s="635">
        <f ca="1">IFERROR((TabTRADER[[#This Row],[M]]-TabTRADER[[#This Row],[A]])/TabTRADER[[#This Row],[A]],0)</f>
        <v>-0.13633228599892713</v>
      </c>
      <c r="BH25" s="638" t="str">
        <f ca="1">TEXT(_xlfn.XLOOKUP(TabTRADER[[#This Row],[ClickTick]],TabCalc[Ticker],TabCalc[NAfter]),"#,#0")&amp;" : "&amp;TEXT(_xlfn.XLOOKUP(TabTRADER[[#This Row],[ClickTick]],TabCalc[Ticker],TabCalc[NAfter])*(TabTRADER[[#This Row],[M]]-TabTRADER[[#This Row],[A]])*(1-Commission)*TabTRADER[[#This Row],[Scale]],"#,#0$")</f>
        <v>5,000 : -17,744$</v>
      </c>
      <c r="BI25" s="684">
        <f ca="1">_xlfn.XLOOKUP(TabTRADER[[#This Row],[ClickTick]],TabCalc[[#This Row],[Ticker]],TabCalc[[#This Row],[GL]])*(1-Commission)</f>
        <v>28159.497393153968</v>
      </c>
      <c r="BJ25" s="684"/>
      <c r="BK25" s="669" t="str">
        <f ca="1">TabTRADER[[#This Row],[ClickTick]]&amp;": "&amp;_xlfn.XLOOKUP(TabTRADER[[#This Row],[ClickTick]],TabCalc[Ticker],TabCalc[Pile?])</f>
        <v xml:space="preserve">HPQ: </v>
      </c>
      <c r="BL25" s="351" t="s">
        <v>1963</v>
      </c>
      <c r="BM25" s="755" t="str" cm="1">
        <f t="array" aca="1" ref="BM25" ca="1">_xlfn.TEXTJOIN("",,INDEX({"M","A","Y"}, _xlfn.SORTBY({1,2,3}, -CHOOSE({1,2,3}, TabTRADER[[#This Row],[M]], TabTRADER[[#This Row],[A]], TabTRADER[[#This Row],[Agiotage]]))))</f>
        <v>AMY</v>
      </c>
      <c r="BN25" s="902"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0.22138420585625565</v>
      </c>
      <c r="BO25" s="679" t="e">
        <f ca="1">TabTRADER[[#This Row],[L_Sn]]*TabTRADER[[#This Row],[L_Sp]]+TabTRADER[[#This Row],[SellMore]]*TabTRADER[[#This Row],[M]]</f>
        <v>#N/A</v>
      </c>
      <c r="BP25" s="679" t="e">
        <f ca="1">INDEX(
  INDEX(TabConsolid[], , _xlfn.XMATCH(TabTRADER[[#This Row],[ClickTick]]&amp;1, TabConsolid[#Headers])),
  MATCH(
    -TabTRADER[[#This Row],[M]],
    INDEX(TabConsolid[], , _xlfn.XMATCH(TabTRADER[[#This Row],[ClickTick]]&amp;2, TabConsolid[#Headers])),
    -1
  )
)</f>
        <v>#N/A</v>
      </c>
      <c r="BQ25" s="679"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44" t="e">
        <f ca="1">TabTRADER[[#This Row],[ReBuy]]/(TabTRADER[[#This Row],[L_Sn]]+TabTRADER[[#This Row],[SellMore]])</f>
        <v>#N/A</v>
      </c>
      <c r="BS25" s="687">
        <f ca="1">((_xlfn.XLOOKUP(TabTRADER[[#This Row],[ClickTick]],TabCalc[Ticker],TabCalc[NAfter])+TabTRADER[[#This Row],[L_Sn]])*(TabTRADER[[#This Row],[Agiotage]]-TabTRADER[[#This Row],[M]]))/(TabTRADER[[#This Row],[L_Sn]]*_xlfn.XLOOKUP(TabTRADER[[#This Row],[ClickTick]],TabCalc[Ticker],TabCalc[NAfter]))</f>
        <v>-2.6731509139733114E-2</v>
      </c>
      <c r="BT25" s="687">
        <f ca="1">(TabTRADER[[#This Row],[M]]-TabTRADER[[#This Row],[Agiotage]])/(TabTRADER[[#This Row],[M]]-TabTRADER[[#This Row],[A]])-1</f>
        <v>-7.2608930906251441</v>
      </c>
      <c r="BU25" s="1262">
        <f ca="1">_xlfn.XMATCH(TabTRADER[[#This Row],[ClickTick]]&amp;1, TabConsolid[#Headers])</f>
        <v>68</v>
      </c>
      <c r="BV25" t="str">
        <f ca="1">IF(ABS(TabTRADER[[#This Row],[L_Bp]])&gt;=TabTRADER[[#This Row],[M]],"OK")</f>
        <v>OK</v>
      </c>
    </row>
    <row r="26" spans="1:74" ht="22" hidden="1"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+25,718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34.1%</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3,888/100,000=14,683</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23,148</v>
      </c>
      <c r="F26" s="226" t="str">
        <f ca="1">TRUNC(TabCalc[[#This Row],[L_B1p]],2)&amp;"x"&amp;TabCalc[[#This Row],[L_B1n]]&amp;"=   "&amp;TEXT(TabCalc[[#This Row],[ReverseS1]],"#,#0")&amp;"$"</f>
        <v>-284.47x20000=   18,624$</v>
      </c>
      <c r="G26" s="225" t="str">
        <f ca="1">IFERROR(TRUNC(_xlfn.XLOOKUP(TabTRADER[[#This Row],[ClickTick]],TabCalc[Ticker],ListLastSalep),2)&amp;"x"&amp;_xlfn.XLOOKUP(TabTRADER[[#This Row],[ClickTick]],TabCalc[Ticker],ListLastSalen)&amp;"=   "&amp;TEXT(-_xlfn.XLOOKUP(TabTRADER[[#This Row],[ClickTick]],TabCalc[Ticker],ListReverseB),"#,#0")&amp;"$","")</f>
        <v>399.2x10000=   -2,160$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231</v>
      </c>
      <c r="I26" s="226" t="str">
        <f ca="1">IFERROR(TRUNC(TabCalc[[#This Row],[L_S1p]],2)&amp;"x"&amp;TabCalc[[#This Row],[L_S1n]]&amp;"=   "&amp;TEXT(TabCalc[[#This Row],[ReverseB1]],"#,#0"),"")</f>
        <v>380.01x20000=   482</v>
      </c>
      <c r="J26" s="295">
        <f ca="1">_xlfn.XLOOKUP(TabTRADER[[#This Row],[ClickTick]],TabCalc[Ticker],ListGravity)</f>
        <v>1.2290630296610168</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0.83798052886889074</v>
      </c>
      <c r="N26" s="324" cm="1">
        <f t="array" aca="1" ref="N26" ca="1">_xlfn.XLOOKUP(TabTRADER[[#This Row],[ClickTick]],ListTickers,Tab2RSIConventional[RSIConv20])</f>
        <v>70</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0.51639278428348845</v>
      </c>
      <c r="S26" s="683">
        <f ca="1">_xlfn.XLOOKUP(TabTRADER[[#This Row],[ClickTick]],TabCalc[Ticker],TabCalc[Rev(MinStock)])*(1-Commission)</f>
        <v>25650.734240000005</v>
      </c>
      <c r="T26" s="782">
        <f ca="1">_xlfn.XLOOKUP(TabTRADER[[#This Row],[ClickTick]],TabCalc[Ticker],TabCalc[Agiotage])</f>
        <v>0.83798052886889074</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6,600/6,600=&gt;1.7% / 1.7%</v>
      </c>
      <c r="V26" s="739" t="str">
        <f ca="1">_xlfn.XLOOKUP(TabTRADER[[#This Row],[ClickTick]],[1]!RTData[Ticker_Symbol],[1]!RTData[Currency])</f>
        <v>GBp</v>
      </c>
      <c r="W26" s="749">
        <f ca="1">_xlfn.XLOOKUP(TabTRADER[[#This Row],[ClickTick]],TabCalc[Ticker],TabCalc[M])</f>
        <v>377.6</v>
      </c>
      <c r="X26" s="1315"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273.72197999999997</v>
      </c>
      <c r="AB26" s="817" cm="1">
        <f t="array" aca="1" ref="AB26" ca="1">_xlfn.XLOOKUP(TabTRADER[[#This Row],[ClickTick]],ListTickers,Tab1ChangePercent[Change%19])</f>
        <v>1.6966999999999999E-2</v>
      </c>
      <c r="AC26" s="768">
        <f ca="1">_xlfn.XLOOKUP(TabTRADER[[#This Row],[ClickTick]],TabCalc[Ticker],TabCalc[NAfter])</f>
        <v>100000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^1,148/378 K$</v>
      </c>
      <c r="AE26" s="116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65"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399.20</v>
      </c>
      <c r="AG26" s="1165"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2154.3839999999964</v>
      </c>
      <c r="AH26" s="1165" t="str" cm="1">
        <f t="array" aca="1" ref="AH26" ca="1">_xlfn.IFS(     TabTRADER[[#This Row],[Traps]]=MUp,MIN(TabTRADER[[#This Row],[L_Sn]],TabTRADER[[#This Row],[N]])*(TabTRADER[[#This Row],[M]]-TabTRADER[[#This Row],[L_Sp]])*(1-Commission)*TabTRADER[[#This Row],[Scale]],                                  TRUE,"M= "&amp;TabTRADER[[#This Row],[M]])</f>
        <v>M= 377.6</v>
      </c>
      <c r="AI26" s="1165" t="str" cm="1">
        <f t="array" aca="1" ref="AI26" ca="1">_xlfn.IFS(   TabTRADER[[#This Row],[Traps]]=MUp,TEXT(MIN(TabTRADER[[#This Row],[L_Sn]],TabTRADER[[#This Row],[N]]),"#,#0")&amp;" x "&amp;TEXT(TabTRADER[[#This Row],[L_Sp]],"#,#0.#0"),          TRUE,"")</f>
        <v/>
      </c>
      <c r="AJ26" s="1165"/>
      <c r="AK26" s="1165"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65"/>
      <c r="AM26" s="1165"/>
      <c r="AN26" s="1165"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2154.3839999999964</v>
      </c>
      <c r="AO26" s="1174"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5.4108216432865647E-2</v>
      </c>
      <c r="AP26" s="1174"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TabTRADER[[#This Row],[Traps]]=SellMorePercentGain,                     MIN(TabTRADER[[#This Row],[L_Sn]],TabTRADER[[#This Row],[N]])*(TabTRADER[[#This Row],[M]]-TabTRADER[[#This Row],[L_Sp]])*(1-Commission)*TabTRADER[[#This Row],[Scale]],                    TRUE,"")</f>
        <v/>
      </c>
      <c r="AR26" s="1180">
        <f ca="1">_xlfn.XLOOKUP(TabTRADER[[#This Row],[ClickTick]],TabCalc[Ticker],TabCalc[Ann%RevLB])</f>
        <v>0.80129914802610269</v>
      </c>
      <c r="AS26" s="1266">
        <f ca="1">_xlfn.XLOOKUP(TabTRADER[[#This Row],[ClickTick]],TabCalc[Ticker],TabCalc[Up20])</f>
        <v>0</v>
      </c>
      <c r="AT26" s="310"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5" t="str" cm="1">
        <f t="array" aca="1" ref="AU26" ca="1">_xlfn.IFS(         TabTRADER[[#This Row],[Traps]]=MDown,TabTRADER[[#This Row],[L_Bn]]*TabTRADER[[#This Row],[M]]*(-(TabTRADER[[#This Row],[L_Bp]]+TabTRADER[[#This Row],[M]])/TabTRADER[[#This Row],[M]])*(1-Commission)*TabTRADER[[#This Row],[Scale]],                               TRUE,"")</f>
        <v/>
      </c>
      <c r="AV26" s="1174" t="str" cm="1">
        <f t="array" aca="1" ref="AV26" ca="1">_xlfn.IFS(   TabTRADER[[#This Row],[Traps]]=MUp,TabTRADER[[#This Row],[TakeGain_A]]-Commission,        TabTRADER[[#This Row],[Traps]]=MDown,(TabTRADER[[#This Row],[A]]-TabTRADER[[#This Row],[M]])/TabTRADER[[#This Row],[M]]-Commission,                              TRUE,"")</f>
        <v/>
      </c>
      <c r="AW26" s="825"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103607.93714800006</v>
      </c>
      <c r="AX26" s="760"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26" s="736"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5" cm="1">
        <f t="array" aca="1" ref="AZ26" ca="1">_xlfn.IFS(TabTRADER[[#This Row],[Traps]]=Sale_Back,"",         TabTRADER[[#This Row],[Traps]]=MDown, (TabTRADER[[#This Row],[M]]-TabTRADER[[#This Row],[A]])/TabTRADER[[#This Row],[A]]*ComFactor,             TRUE, IFERROR((TabTRADER[[#This Row],[M]]-TabTRADER[[#This Row],[A]])/TabTRADER[[#This Row],[A]]*ComFactor,""))</f>
        <v>0.37851522609912452</v>
      </c>
      <c r="BA26" s="762" cm="1">
        <f t="array" aca="1" ref="BA26" ca="1">_xlfn.IFS(               TabTRADER[[#This Row],[Traps]]=NoStock,(TabTRADER[[#This Row],[L_Sp]]-TabTRADER[[#This Row],[M]])/TabTRADER[[#This Row],[M]]-Commission,             TabTRADER[[#This Row],[A]]&lt;&gt;0,(TabTRADER[[#This Row],[A]]-TabTRADER[[#This Row],[M]])/TabTRADER[[#This Row],[M]]-Commission)</f>
        <v>-0.27770068855932212</v>
      </c>
      <c r="BB26" s="324">
        <f ca="1">_xlfn.XLOOKUP(TabTRADER[[#This Row],[ClickTick]],TabCalc[Ticker],TabCalc[L_Sn])</f>
        <v>10000</v>
      </c>
      <c r="BC26" s="728">
        <f ca="1">_xlfn.XLOOKUP(TabTRADER[[#This Row],[ClickTick]],TabCalc[Ticker],TabCalc[L_Sp])</f>
        <v>399.2</v>
      </c>
      <c r="BD26" s="764">
        <f ca="1">-IFERROR((TabTRADER[[#This Row],[M]]-TabTRADER[[#This Row],[L_Sp]])/TabTRADER[[#This Row],[L_Sp]],0)</f>
        <v>5.4108216432865647E-2</v>
      </c>
      <c r="BE26" s="729">
        <f ca="1">TabTRADER[[#This Row],[L_Sn]]*(TabTRADER[[#This Row],[M]]-TabTRADER[[#This Row],[L_Sp]])*(1-Commission)*TabTRADER[[#This Row],[Scale]]</f>
        <v>-2154.3839999999964</v>
      </c>
      <c r="BF26" s="692">
        <f ca="1">TabTRADER[[#This Row],[L_Sn]]*(TabTRADER[[#This Row],[Agiotage]]-TabTRADER[[#This Row],[M]])/(TabTRADER[[#This Row],[L_Bn]]*TabTRADER[[#This Row],[M]])</f>
        <v>-0.49889038595223933</v>
      </c>
      <c r="BG26" s="635">
        <f ca="1">IFERROR((TabTRADER[[#This Row],[M]]-TabTRADER[[#This Row],[A]])/TabTRADER[[#This Row],[A]],0)</f>
        <v>0.37950193112003666</v>
      </c>
      <c r="BH26" s="638" t="str">
        <f ca="1">TEXT(_xlfn.XLOOKUP(TabTRADER[[#This Row],[ClickTick]],TabCalc[Ticker],TabCalc[NAfter]),"#,#0")&amp;" : "&amp;TEXT(_xlfn.XLOOKUP(TabTRADER[[#This Row],[ClickTick]],TabCalc[Ticker],TabCalc[NAfter])*(TabTRADER[[#This Row],[M]]-TabTRADER[[#This Row],[A]])*(1-Commission)*TabTRADER[[#This Row],[Scale]],"#,#0$")</f>
        <v>100,000 : 103,608$</v>
      </c>
      <c r="BI26" s="684">
        <f ca="1">_xlfn.XLOOKUP(TabTRADER[[#This Row],[ClickTick]],TabCalc[[#This Row],[Ticker]],TabCalc[[#This Row],[GL]])*(1-Commission)</f>
        <v>1145034.4985274905</v>
      </c>
      <c r="BJ26" s="684"/>
      <c r="BK26" s="669" t="str">
        <f ca="1">TabTRADER[[#This Row],[ClickTick]]&amp;": "&amp;_xlfn.XLOOKUP(TabTRADER[[#This Row],[ClickTick]],TabCalc[Ticker],TabCalc[Pile?])</f>
        <v xml:space="preserve">IAG: </v>
      </c>
      <c r="BL26" s="351" t="s">
        <v>1968</v>
      </c>
      <c r="BM26" s="755" t="str" cm="1">
        <f t="array" aca="1" ref="BM26" ca="1">_xlfn.TEXTJOIN("",,INDEX({"M","A","Y"}, _xlfn.SORTBY({1,2,3}, -CHOOSE({1,2,3}, TabTRADER[[#This Row],[M]], TabTRADER[[#This Row],[A]], TabTRADER[[#This Row],[Agiotage]]))))</f>
        <v>MAY</v>
      </c>
      <c r="BN26" s="902"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9">
        <f ca="1">TabTRADER[[#This Row],[L_Sn]]*TabTRADER[[#This Row],[L_Sp]]+TabTRADER[[#This Row],[SellMore]]*TabTRADER[[#This Row],[M]]</f>
        <v>7768000</v>
      </c>
      <c r="BP26" s="679">
        <f ca="1">INDEX(
  INDEX(TabConsolid[], , _xlfn.XMATCH(TabTRADER[[#This Row],[ClickTick]]&amp;1, TabConsolid[#Headers])),
  MATCH(
    -TabTRADER[[#This Row],[M]],
    INDEX(TabConsolid[], , _xlfn.XMATCH(TabTRADER[[#This Row],[ClickTick]]&amp;2, TabConsolid[#Headers])),
    -1
  )
)</f>
        <v>10000</v>
      </c>
      <c r="BQ26" s="679"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44">
        <f ca="1">TabTRADER[[#This Row],[ReBuy]]/(TabTRADER[[#This Row],[L_Sn]]+TabTRADER[[#This Row],[SellMore]])</f>
        <v>388.4</v>
      </c>
      <c r="BS26" s="687">
        <f ca="1">((_xlfn.XLOOKUP(TabTRADER[[#This Row],[ClickTick]],TabCalc[Ticker],TabCalc[NAfter])+TabTRADER[[#This Row],[L_Sn]])*(TabTRADER[[#This Row],[Agiotage]]-TabTRADER[[#This Row],[M]]))/(TabTRADER[[#This Row],[L_Sn]]*_xlfn.XLOOKUP(TabTRADER[[#This Row],[ClickTick]],TabCalc[Ticker],TabCalc[NAfter]))</f>
        <v>-4.1443822141824425E-2</v>
      </c>
      <c r="BT26" s="687">
        <f ca="1">(TabTRADER[[#This Row],[M]]-TabTRADER[[#This Row],[Agiotage]])/(TabTRADER[[#This Row],[M]]-TabTRADER[[#This Row],[A]])-1</f>
        <v>2.6269657379985771</v>
      </c>
      <c r="BU26" s="1262">
        <f ca="1">_xlfn.XMATCH(TabTRADER[[#This Row],[ClickTick]]&amp;1, TabConsolid[#Headers])</f>
        <v>71</v>
      </c>
      <c r="BV26" t="b">
        <f ca="1">IF(ABS(TabTRADER[[#This Row],[L_Bp]])&gt;=TabTRADER[[#This Row],[M]],"OK")</f>
        <v>0</v>
      </c>
    </row>
    <row r="27" spans="1:74" ht="22" hidden="1"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+7,720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1,295/6,000=87,500</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555$</v>
      </c>
      <c r="G27" s="225" t="str">
        <f ca="1">IFERROR(TRUNC(_xlfn.XLOOKUP(TabTRADER[[#This Row],[ClickTick]],TabCalc[Ticker],ListLastSalep),2)&amp;"x"&amp;_xlfn.XLOOKUP(TabTRADER[[#This Row],[ClickTick]],TabCalc[Ticker],ListLastSalen)&amp;"=   "&amp;TEXT(-_xlfn.XLOOKUP(TabTRADER[[#This Row],[ClickTick]],TabCalc[Ticker],ListReverseB),"#,#0")&amp;"$","")</f>
        <v>64.9x1000=   2,650$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3.9% = 0</v>
      </c>
      <c r="I27" s="226" t="str">
        <f ca="1">IFERROR(TRUNC(TabCalc[[#This Row],[L_S1p]],2)&amp;"x"&amp;TabCalc[[#This Row],[L_S1n]]&amp;"=   "&amp;TEXT(TabCalc[[#This Row],[ReverseB1]],"#,#0"),"")</f>
        <v>71.82x1000=   4,270</v>
      </c>
      <c r="J27" s="295">
        <f ca="1">_xlfn.XLOOKUP(TabTRADER[[#This Row],[ClickTick]],TabCalc[Ticker],ListGravity)</f>
        <v>1.1257653589933383</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67550</v>
      </c>
      <c r="M27" s="323">
        <f ca="1">_xlfn.XLOOKUP(TabTRADER[[#This Row],[ClickTick]],TabCalc[Ticker],TabCalc[Agiotage])</f>
        <v>0.37935129172396009</v>
      </c>
      <c r="N27" s="324" cm="1">
        <f t="array" aca="1" ref="N27" ca="1">_xlfn.XLOOKUP(TabTRADER[[#This Row],[ClickTick]],ListTickers,Tab2RSIConventional[RSIConv20])</f>
        <v>22</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6.0606060606060601E-2</v>
      </c>
      <c r="S27" s="683">
        <f ca="1">_xlfn.XLOOKUP(TabTRADER[[#This Row],[ClickTick]],TabCalc[Ticker],TabCalc[Rev(MinStock)])*(1-Commission)</f>
        <v>7699.927999999999</v>
      </c>
      <c r="T27" s="782">
        <f ca="1">_xlfn.XLOOKUP(TabTRADER[[#This Row],[ClickTick]],TabCalc[Ticker],TabCalc[Agiotage])</f>
        <v>0.37935129172396009</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-60/-60=&gt;0.3% / 0.3%</v>
      </c>
      <c r="V27" s="739" t="str">
        <f ca="1">_xlfn.XLOOKUP(TabTRADER[[#This Row],[ClickTick]],[1]!RTData[Ticker_Symbol],[1]!RTData[Currency])</f>
        <v>USD</v>
      </c>
      <c r="W27" s="749">
        <f ca="1">_xlfn.XLOOKUP(TabTRADER[[#This Row],[ClickTick]],TabCalc[Ticker],TabCalc[M])</f>
        <v>67.55</v>
      </c>
      <c r="X27" s="1315"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2.5230000000000001E-3</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^115/405 K$</v>
      </c>
      <c r="AE27" s="1182"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65"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67.55, 04.1%</v>
      </c>
      <c r="AG27" s="1165"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64.90</v>
      </c>
      <c r="AH27" s="1165" cm="1">
        <f t="array" aca="1" ref="AH27" ca="1">_xlfn.IFS(     TabTRADER[[#This Row],[Traps]]=MUp,MIN(TabTRADER[[#This Row],[L_Sn]],TabTRADER[[#This Row],[N]])*(TabTRADER[[#This Row],[M]]-TabTRADER[[#This Row],[L_Sp]])*(1-Commission)*TabTRADER[[#This Row],[Scale]],                                  TRUE,"M= "&amp;TabTRADER[[#This Row],[M]])</f>
        <v>2643.109999999991</v>
      </c>
      <c r="AI27" s="1165" t="str" cm="1">
        <f t="array" aca="1" ref="AI27" ca="1">_xlfn.IFS(   TabTRADER[[#This Row],[Traps]]=MUp,TEXT(MIN(TabTRADER[[#This Row],[L_Sn]],TabTRADER[[#This Row],[N]]),"#,#0")&amp;" x "&amp;TEXT(TabTRADER[[#This Row],[L_Sp]],"#,#0.#0"),          TRUE,"")</f>
        <v>1,000 x 64.90</v>
      </c>
      <c r="AJ27" s="1165"/>
      <c r="AK27" s="1165"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2643.109999999991</v>
      </c>
      <c r="AL27" s="1165"/>
      <c r="AM27" s="1165"/>
      <c r="AN27" s="1165"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4192.4996571428173</v>
      </c>
      <c r="AO27" s="1174"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1.0479841691135203E-2</v>
      </c>
      <c r="AP27" s="1174"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3.6630199851961386E-2</v>
      </c>
      <c r="AQ27" s="825" cm="1">
        <f t="array" aca="1" ref="AQ27" ca="1">_xlfn.IFS(   TabTRADER[[#This Row],[Traps]]=SellMorePercentGain,                     MIN(TabTRADER[[#This Row],[L_Sn]],TabTRADER[[#This Row],[N]])*(TabTRADER[[#This Row],[M]]-TabTRADER[[#This Row],[L_Sp]])*(1-Commission)*TabTRADER[[#This Row],[Scale]],                    TRUE,"")</f>
        <v>2643.109999999991</v>
      </c>
      <c r="AR27" s="1163">
        <f ca="1">_xlfn.XLOOKUP(TabTRADER[[#This Row],[ClickTick]],TabCalc[Ticker],TabCalc[Ann%RevLB])</f>
        <v>1.4545454545454546</v>
      </c>
      <c r="AS27" s="1267">
        <f ca="1">_xlfn.XLOOKUP(TabTRADER[[#This Row],[ClickTick]],TabCalc[Ticker],TabCalc[Up20])</f>
        <v>0</v>
      </c>
      <c r="AT27" s="310"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5" t="str" cm="1">
        <f t="array" aca="1" ref="AU27" ca="1">_xlfn.IFS(         TabTRADER[[#This Row],[Traps]]=MDown,TabTRADER[[#This Row],[L_Bn]]*TabTRADER[[#This Row],[M]]*(-(TabTRADER[[#This Row],[L_Bp]]+TabTRADER[[#This Row],[M]])/TabTRADER[[#This Row],[M]])*(1-Commission)*TabTRADER[[#This Row],[Scale]],                               TRUE,"")</f>
        <v/>
      </c>
      <c r="AV27" s="1174" cm="1">
        <f t="array" aca="1" ref="AV27" ca="1">_xlfn.IFS(   TabTRADER[[#This Row],[Traps]]=MUp,TabTRADER[[#This Row],[TakeGain_A]]-Commission,        TabTRADER[[#This Row],[Traps]]=MDown,(TabTRADER[[#This Row],[A]]-TabTRADER[[#This Row],[M]])/TabTRADER[[#This Row],[M]]-Commission,                              TRUE,"")</f>
        <v>7.8798416911352032E-3</v>
      </c>
      <c r="AW27" s="760"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4236.4363898398133</v>
      </c>
      <c r="AX27" s="760"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7" s="736"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2,000x0.7</v>
      </c>
      <c r="AZ27" s="765" cm="1">
        <f t="array" aca="1" ref="AZ27" ca="1">_xlfn.IFS(TabTRADER[[#This Row],[Traps]]=Sale_Back,"",         TabTRADER[[#This Row],[Traps]]=MDown, (TabTRADER[[#This Row],[M]]-TabTRADER[[#This Row],[A]])/TabTRADER[[#This Row],[A]]*ComFactor,             TRUE, IFERROR((TabTRADER[[#This Row],[M]]-TabTRADER[[#This Row],[A]])/TabTRADER[[#This Row],[A]]*ComFactor,""))</f>
        <v>1.0452594102738251E-2</v>
      </c>
      <c r="BA27" s="762" cm="1">
        <f t="array" aca="1" ref="BA27" ca="1">_xlfn.IFS(               TabTRADER[[#This Row],[Traps]]=NoStock,(TabTRADER[[#This Row],[L_Sp]]-TabTRADER[[#This Row],[M]])/TabTRADER[[#This Row],[M]]-Commission,             TabTRADER[[#This Row],[A]]&lt;&gt;0,(TabTRADER[[#This Row],[A]]-TabTRADER[[#This Row],[M]])/TabTRADER[[#This Row],[M]]-Commission)</f>
        <v>-1.2971153642804174E-2</v>
      </c>
      <c r="BB27" s="324">
        <f ca="1">_xlfn.XLOOKUP(TabTRADER[[#This Row],[ClickTick]],TabCalc[Ticker],TabCalc[L_Sn])</f>
        <v>1000</v>
      </c>
      <c r="BC27" s="728">
        <f ca="1">_xlfn.XLOOKUP(TabTRADER[[#This Row],[ClickTick]],TabCalc[Ticker],TabCalc[L_Sp])</f>
        <v>64.900000000000006</v>
      </c>
      <c r="BD27" s="764">
        <f ca="1">-IFERROR((TabTRADER[[#This Row],[M]]-TabTRADER[[#This Row],[L_Sp]])/TabTRADER[[#This Row],[L_Sp]],0)</f>
        <v>-4.0832049306625443E-2</v>
      </c>
      <c r="BE27" s="729">
        <f ca="1">TabTRADER[[#This Row],[L_Sn]]*(TabTRADER[[#This Row],[M]]-TabTRADER[[#This Row],[L_Sp]])*(1-Commission)*TabTRADER[[#This Row],[Scale]]</f>
        <v>2643.109999999991</v>
      </c>
      <c r="BF27" s="692">
        <f ca="1">TabTRADER[[#This Row],[L_Sn]]*(TabTRADER[[#This Row],[Agiotage]]-TabTRADER[[#This Row],[M]])/(TabTRADER[[#This Row],[L_Bn]]*TabTRADER[[#This Row],[M]])</f>
        <v>-0.49719207037954127</v>
      </c>
      <c r="BG27" s="635">
        <f ca="1">IFERROR((TabTRADER[[#This Row],[M]]-TabTRADER[[#This Row],[A]])/TabTRADER[[#This Row],[A]],0)</f>
        <v>1.0479841691135203E-2</v>
      </c>
      <c r="BH27" s="638" t="str">
        <f ca="1">TEXT(_xlfn.XLOOKUP(TabTRADER[[#This Row],[ClickTick]],TabCalc[Ticker],TabCalc[NAfter]),"#,#0")&amp;" : "&amp;TEXT(_xlfn.XLOOKUP(TabTRADER[[#This Row],[ClickTick]],TabCalc[Ticker],TabCalc[NAfter])*(TabTRADER[[#This Row],[M]]-TabTRADER[[#This Row],[A]])*(1-Commission)*TabTRADER[[#This Row],[Scale]],"#,#0$")</f>
        <v>6,000 : 4,192$</v>
      </c>
      <c r="BI27" s="684">
        <f ca="1">_xlfn.XLOOKUP(TabTRADER[[#This Row],[ClickTick]],TabCalc[[#This Row],[Ticker]],TabCalc[[#This Row],[GL]])*(1-Commission)</f>
        <v>114485.12152118757</v>
      </c>
      <c r="BJ27" s="684"/>
      <c r="BK27" s="669" t="str">
        <f ca="1">TabTRADER[[#This Row],[ClickTick]]&amp;": "&amp;_xlfn.XLOOKUP(TabTRADER[[#This Row],[ClickTick]],TabCalc[Ticker],TabCalc[Pile?])</f>
        <v>KR: Pile</v>
      </c>
      <c r="BL27" s="351" t="s">
        <v>1969</v>
      </c>
      <c r="BM27" s="755" t="str" cm="1">
        <f t="array" aca="1" ref="BM27" ca="1">_xlfn.TEXTJOIN("",,INDEX({"M","A","Y"}, _xlfn.SORTBY({1,2,3}, -CHOOSE({1,2,3}, TabTRADER[[#This Row],[M]], TabTRADER[[#This Row],[A]], TabTRADER[[#This Row],[Agiotage]]))))</f>
        <v>MAY</v>
      </c>
      <c r="BN27" s="902"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3.9230199851961384E-2</v>
      </c>
      <c r="BO27" s="679">
        <f ca="1">TabTRADER[[#This Row],[L_Sn]]*TabTRADER[[#This Row],[L_Sp]]+TabTRADER[[#This Row],[SellMore]]*TabTRADER[[#This Row],[M]]</f>
        <v>109483</v>
      </c>
      <c r="BP27" s="679">
        <f ca="1">INDEX(
  INDEX(TabConsolid[], , _xlfn.XMATCH(TabTRADER[[#This Row],[ClickTick]]&amp;1, TabConsolid[#Headers])),
  MATCH(
    -TabTRADER[[#This Row],[M]],
    INDEX(TabConsolid[], , _xlfn.XMATCH(TabTRADER[[#This Row],[ClickTick]]&amp;2, TabConsolid[#Headers])),
    -1
  )
)</f>
        <v>660</v>
      </c>
      <c r="BQ27" s="679"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R27" s="1144">
        <f ca="1">TabTRADER[[#This Row],[ReBuy]]/(TabTRADER[[#This Row],[L_Sn]]+TabTRADER[[#This Row],[SellMore]])</f>
        <v>65.953614457831321</v>
      </c>
      <c r="BS27" s="687">
        <f ca="1">((_xlfn.XLOOKUP(TabTRADER[[#This Row],[ClickTick]],TabCalc[Ticker],TabCalc[NAfter])+TabTRADER[[#This Row],[L_Sn]])*(TabTRADER[[#This Row],[Agiotage]]-TabTRADER[[#This Row],[M]]))/(TabTRADER[[#This Row],[L_Sn]]*_xlfn.XLOOKUP(TabTRADER[[#This Row],[ClickTick]],TabCalc[Ticker],TabCalc[NAfter]))</f>
        <v>-7.8365756826322047E-2</v>
      </c>
      <c r="BT27" s="687">
        <f ca="1">(TabTRADER[[#This Row],[M]]-TabTRADER[[#This Row],[Agiotage]])/(TabTRADER[[#This Row],[M]]-TabTRADER[[#This Row],[A]])-1</f>
        <v>94.87980035846995</v>
      </c>
      <c r="BU27" s="1262">
        <f ca="1">_xlfn.XMATCH(TabTRADER[[#This Row],[ClickTick]]&amp;1, TabConsolid[#Headers])</f>
        <v>74</v>
      </c>
      <c r="BV27" t="b">
        <f ca="1">IF(ABS(TabTRADER[[#This Row],[L_Bp]])&gt;=TabTRADER[[#This Row],[M]],"OK")</f>
        <v>0</v>
      </c>
    </row>
    <row r="28" spans="1:74" ht="22" hidden="1"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26.5%</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4,890$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16.2% = 0</v>
      </c>
      <c r="I28" s="226" t="str">
        <f ca="1">IFERROR(TRUNC(TabCalc[[#This Row],[L_S1p]],2)&amp;"x"&amp;TabCalc[[#This Row],[L_S1n]]&amp;"=   "&amp;TEXT(TabCalc[[#This Row],[ReverseB1]],"#,#0"),"")</f>
        <v>4.96x2276=   -11,669</v>
      </c>
      <c r="J28" s="295">
        <f ca="1">_xlfn.XLOOKUP(TabTRADER[[#This Row],[ClickTick]],TabCalc[Ticker],ListGravity)</f>
        <v>1.4866204162537167</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0.23353369276031477</v>
      </c>
      <c r="N28" s="324" cm="1">
        <f t="array" aca="1" ref="N28" ca="1">_xlfn.XLOOKUP(TabTRADER[[#This Row],[ClickTick]],ListTickers,Tab2RSIConventional[RSIConv20])</f>
        <v>50</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0.35983827493261455</v>
      </c>
      <c r="S28" s="683">
        <f ca="1">_xlfn.XLOOKUP(TabTRADER[[#This Row],[ClickTick]],TabCalc[Ticker],TabCalc[Rev(MinStock)])*(1-Commission)</f>
        <v>0</v>
      </c>
      <c r="T28" s="782">
        <f ca="1">_xlfn.XLOOKUP(TabTRADER[[#This Row],[ClickTick]],TabCalc[Ticker],TabCalc[Agiotage])</f>
        <v>0.23353369276031477</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28" s="739" t="str">
        <f ca="1">_xlfn.XLOOKUP(TabTRADER[[#This Row],[ClickTick]],[1]!RTData[Ticker_Symbol],[1]!RTData[Currency])</f>
        <v>USD</v>
      </c>
      <c r="W28" s="749">
        <f ca="1">_xlfn.XLOOKUP(TabTRADER[[#This Row],[ClickTick]],TabCalc[Ticker],TabCalc[M])</f>
        <v>10.09</v>
      </c>
      <c r="X28" s="1315"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1.2036E-2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6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65"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10.09, 19.3%</v>
      </c>
      <c r="AG28" s="1165"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65" t="str" cm="1">
        <f t="array" aca="1" ref="AH28" ca="1">_xlfn.IFS(     TabTRADER[[#This Row],[Traps]]=MUp,MIN(TabTRADER[[#This Row],[L_Sn]],TabTRADER[[#This Row],[N]])*(TabTRADER[[#This Row],[M]]-TabTRADER[[#This Row],[L_Sp]])*(1-Commission)*TabTRADER[[#This Row],[Scale]],                                  TRUE,"M= "&amp;TabTRADER[[#This Row],[M]])</f>
        <v>M= 10.09</v>
      </c>
      <c r="AI28" s="1165" t="str" cm="1">
        <f t="array" aca="1" ref="AI28" ca="1">_xlfn.IFS(   TabTRADER[[#This Row],[Traps]]=MUp,TEXT(MIN(TabTRADER[[#This Row],[L_Sn]],TabTRADER[[#This Row],[N]]),"#,#0")&amp;" x "&amp;TEXT(TabTRADER[[#This Row],[L_Sp]],"#,#0.#0"),          TRUE,"")</f>
        <v/>
      </c>
      <c r="AJ28" s="1165"/>
      <c r="AK28" s="1165"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65"/>
      <c r="AM28" s="1165"/>
      <c r="AN28" s="1165"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74"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74"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TabTRADER[[#This Row],[Traps]]=SellMorePercentGain,                     MIN(TabTRADER[[#This Row],[L_Sn]],TabTRADER[[#This Row],[N]])*(TabTRADER[[#This Row],[M]]-TabTRADER[[#This Row],[L_Sp]])*(1-Commission)*TabTRADER[[#This Row],[Scale]],                    TRUE,"")</f>
        <v/>
      </c>
      <c r="AR28" s="1180">
        <f ca="1">_xlfn.XLOOKUP(TabTRADER[[#This Row],[ClickTick]],TabCalc[Ticker],TabCalc[Ann%RevLB])</f>
        <v>0.38439697025442504</v>
      </c>
      <c r="AS28" s="1266">
        <f ca="1">_xlfn.XLOOKUP(TabTRADER[[#This Row],[ClickTick]],TabCalc[Ticker],TabCalc[Up20])</f>
        <v>0</v>
      </c>
      <c r="AT28" s="310"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5" t="str" cm="1">
        <f t="array" aca="1" ref="AU28" ca="1">_xlfn.IFS(         TabTRADER[[#This Row],[Traps]]=MDown,TabTRADER[[#This Row],[L_Bn]]*TabTRADER[[#This Row],[M]]*(-(TabTRADER[[#This Row],[L_Bp]]+TabTRADER[[#This Row],[M]])/TabTRADER[[#This Row],[M]])*(1-Commission)*TabTRADER[[#This Row],[Scale]],                               TRUE,"")</f>
        <v/>
      </c>
      <c r="AV28" s="1174" t="str" cm="1">
        <f t="array" aca="1" ref="AV28" ca="1">_xlfn.IFS(   TabTRADER[[#This Row],[Traps]]=MUp,TabTRADER[[#This Row],[TakeGain_A]]-Commission,        TabTRADER[[#This Row],[Traps]]=MDown,(TabTRADER[[#This Row],[A]]-TabTRADER[[#This Row],[M]])/TabTRADER[[#This Row],[M]]-Commission,                              TRUE,"")</f>
        <v/>
      </c>
      <c r="AW28" s="825"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60"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-3.2%</v>
      </c>
      <c r="AY28" s="736"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0x10.09</v>
      </c>
      <c r="AZ28" s="765" t="str" cm="1">
        <f t="array" aca="1" ref="AZ28" ca="1">_xlfn.IFS(TabTRADER[[#This Row],[Traps]]=Sale_Back,"",         TabTRADER[[#This Row],[Traps]]=MDown, (TabTRADER[[#This Row],[M]]-TabTRADER[[#This Row],[A]])/TabTRADER[[#This Row],[A]]*ComFactor,             TRUE, IFERROR((TabTRADER[[#This Row],[M]]-TabTRADER[[#This Row],[A]])/TabTRADER[[#This Row],[A]]*ComFactor,""))</f>
        <v/>
      </c>
      <c r="BA28" s="762" cm="1">
        <f t="array" aca="1" ref="BA28" ca="1">_xlfn.IFS(               TabTRADER[[#This Row],[Traps]]=NoStock,(TabTRADER[[#This Row],[L_Sp]]-TabTRADER[[#This Row],[M]])/TabTRADER[[#This Row],[M]]-Commission,             TabTRADER[[#This Row],[A]]&lt;&gt;0,(TabTRADER[[#This Row],[A]]-TabTRADER[[#This Row],[M]])/TabTRADER[[#This Row],[M]]-Commission)</f>
        <v>-0.16414608523290375</v>
      </c>
      <c r="BB28" s="324">
        <f ca="1">_xlfn.XLOOKUP(TabTRADER[[#This Row],[ClickTick]],TabCalc[Ticker],TabCalc[L_Sn])</f>
        <v>3000</v>
      </c>
      <c r="BC28" s="728">
        <f ca="1">_xlfn.XLOOKUP(TabTRADER[[#This Row],[ClickTick]],TabCalc[Ticker],TabCalc[L_Sp])</f>
        <v>8.4600000000000009</v>
      </c>
      <c r="BD28" s="764">
        <f ca="1">-IFERROR((TabTRADER[[#This Row],[M]]-TabTRADER[[#This Row],[L_Sp]])/TabTRADER[[#This Row],[L_Sp]],0)</f>
        <v>-0.19267139479905424</v>
      </c>
      <c r="BE28" s="729">
        <f ca="1">TabTRADER[[#This Row],[L_Sn]]*(TabTRADER[[#This Row],[M]]-TabTRADER[[#This Row],[L_Sp]])*(1-Commission)*TabTRADER[[#This Row],[Scale]]</f>
        <v>4877.2859999999973</v>
      </c>
      <c r="BF28" s="692">
        <f ca="1">TabTRADER[[#This Row],[L_Sn]]*(TabTRADER[[#This Row],[Agiotage]]-TabTRADER[[#This Row],[M]])/(TabTRADER[[#This Row],[L_Bn]]*TabTRADER[[#This Row],[M]])</f>
        <v>-0.97685493629729292</v>
      </c>
      <c r="BG28" s="635">
        <f ca="1">IFERROR((TabTRADER[[#This Row],[M]]-TabTRADER[[#This Row],[A]])/TabTRADER[[#This Row],[A]],0)</f>
        <v>0</v>
      </c>
      <c r="BH28" s="638" t="str">
        <f ca="1">TEXT(_xlfn.XLOOKUP(TabTRADER[[#This Row],[ClickTick]],TabCalc[Ticker],TabCalc[NAfter]),"#,#0")&amp;" : "&amp;TEXT(_xlfn.XLOOKUP(TabTRADER[[#This Row],[ClickTick]],TabCalc[Ticker],TabCalc[NAfter])*(TabTRADER[[#This Row],[M]]-TabTRADER[[#This Row],[A]])*(1-Commission)*TabTRADER[[#This Row],[Scale]],"#,#0$")</f>
        <v>0 : 0$</v>
      </c>
      <c r="BI28" s="684">
        <f ca="1">_xlfn.XLOOKUP(TabTRADER[[#This Row],[ClickTick]],TabCalc[[#This Row],[Ticker]],TabCalc[[#This Row],[GL]])*(1-Commission)</f>
        <v>-16028.876444062746</v>
      </c>
      <c r="BJ28" s="684"/>
      <c r="BK28" s="669" t="str">
        <f ca="1">TabTRADER[[#This Row],[ClickTick]]&amp;": "&amp;_xlfn.XLOOKUP(TabTRADER[[#This Row],[ClickTick]],TabCalc[Ticker],TabCalc[Pile?])</f>
        <v xml:space="preserve">LNSR: </v>
      </c>
      <c r="BL28" s="351" t="s">
        <v>1970</v>
      </c>
      <c r="BM28" s="755" t="str" cm="1">
        <f t="array" aca="1" ref="BM28" ca="1">_xlfn.TEXTJOIN("",,INDEX({"M","A","Y"}, _xlfn.SORTBY({1,2,3}, -CHOOSE({1,2,3}, TabTRADER[[#This Row],[M]], TabTRADER[[#This Row],[A]], TabTRADER[[#This Row],[Agiotage]]))))</f>
        <v>MYA</v>
      </c>
      <c r="BN28" s="902"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9" t="e">
        <f ca="1">TabTRADER[[#This Row],[L_Sn]]*TabTRADER[[#This Row],[L_Sp]]+TabTRADER[[#This Row],[SellMore]]*TabTRADER[[#This Row],[M]]</f>
        <v>#N/A</v>
      </c>
      <c r="BP28" s="679" t="e">
        <f ca="1">INDEX(
  INDEX(TabConsolid[], , _xlfn.XMATCH(TabTRADER[[#This Row],[ClickTick]]&amp;1, TabConsolid[#Headers])),
  MATCH(
    -TabTRADER[[#This Row],[M]],
    INDEX(TabConsolid[], , _xlfn.XMATCH(TabTRADER[[#This Row],[ClickTick]]&amp;2, TabConsolid[#Headers])),
    -1
  )
)</f>
        <v>#N/A</v>
      </c>
      <c r="BQ28" s="679"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44" t="e">
        <f ca="1">TabTRADER[[#This Row],[ReBuy]]/(TabTRADER[[#This Row],[L_Sn]]+TabTRADER[[#This Row],[SellMore]])</f>
        <v>#N/A</v>
      </c>
      <c r="BS28" s="687" t="e">
        <f ca="1">((_xlfn.XLOOKUP(TabTRADER[[#This Row],[ClickTick]],TabCalc[Ticker],TabCalc[NAfter])+TabTRADER[[#This Row],[L_Sn]])*(TabTRADER[[#This Row],[Agiotage]]-TabTRADER[[#This Row],[M]]))/(TabTRADER[[#This Row],[L_Sn]]*_xlfn.XLOOKUP(TabTRADER[[#This Row],[ClickTick]],TabCalc[Ticker],TabCalc[NAfter]))</f>
        <v>#DIV/0!</v>
      </c>
      <c r="BT28" s="687">
        <f ca="1">(TabTRADER[[#This Row],[M]]-TabTRADER[[#This Row],[Agiotage]])/(TabTRADER[[#This Row],[M]]-TabTRADER[[#This Row],[A]])-1</f>
        <v>-2.314506370270708E-2</v>
      </c>
      <c r="BU28" s="1262">
        <f ca="1">_xlfn.XMATCH(TabTRADER[[#This Row],[ClickTick]]&amp;1, TabConsolid[#Headers])</f>
        <v>77</v>
      </c>
      <c r="BV28" t="b">
        <f ca="1">IF(ABS(TabTRADER[[#This Row],[L_Bp]])&gt;=TabTRADER[[#This Row],[M]],"OK")</f>
        <v>0</v>
      </c>
    </row>
    <row r="29" spans="1:74" ht="22" hidden="1"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+24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32.6%</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45$</v>
      </c>
      <c r="G29" s="225" t="str">
        <f ca="1">IFERROR(TRUNC(_xlfn.XLOOKUP(TabTRADER[[#This Row],[ClickTick]],TabCalc[Ticker],ListLastSalep),2)&amp;"x"&amp;_xlfn.XLOOKUP(TabTRADER[[#This Row],[ClickTick]],TabCalc[Ticker],ListLastSalen)&amp;"=   "&amp;TEXT(-_xlfn.XLOOKUP(TabTRADER[[#This Row],[ClickTick]],TabCalc[Ticker],ListReverseB),"#,#0")&amp;"$","")</f>
        <v>6.8x990=   708$</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29" s="226" t="str">
        <f ca="1">IFERROR(TRUNC(TabCalc[[#This Row],[L_S1p]],2)&amp;"x"&amp;TabCalc[[#This Row],[L_S1n]]&amp;"=   "&amp;TEXT(TabCalc[[#This Row],[ReverseB1]],"#,#0"),"")</f>
        <v>5.56x1000=   -1,955</v>
      </c>
      <c r="J29" s="295">
        <f ca="1">_xlfn.XLOOKUP(TabTRADER[[#This Row],[ClickTick]],TabCalc[Ticker],ListGravity)</f>
        <v>0.79281437125748511</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0.20229302989454986</v>
      </c>
      <c r="N29" s="324" cm="1">
        <f t="array" aca="1" ref="N29" ca="1">_xlfn.XLOOKUP(TabTRADER[[#This Row],[ClickTick]],ListTickers,Tab2RSIConventional[RSIConv20])</f>
        <v>46</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0.48274569382238619</v>
      </c>
      <c r="S29" s="683">
        <f ca="1">_xlfn.XLOOKUP(TabTRADER[[#This Row],[ClickTick]],TabCalc[Ticker],TabCalc[Rev(MinStock)])*(1-Commission)</f>
        <v>24.403385799999999</v>
      </c>
      <c r="T29" s="782">
        <f ca="1">_xlfn.XLOOKUP(TabTRADER[[#This Row],[ClickTick]],TabCalc[Ticker],TabCalc[Agiotage])</f>
        <v>0.20229302989454986</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-2/-2=&gt;-1.4% / -1.4%</v>
      </c>
      <c r="V29" s="739" t="str">
        <f ca="1">_xlfn.XLOOKUP(TabTRADER[[#This Row],[ClickTick]],[1]!RTData[Ticker_Symbol],[1]!RTData[Currency])</f>
        <v>USD</v>
      </c>
      <c r="W29" s="749">
        <f ca="1">_xlfn.XLOOKUP(TabTRADER[[#This Row],[ClickTick]],TabCalc[Ticker],TabCalc[M])</f>
        <v>7.5149999999999997</v>
      </c>
      <c r="X29" s="1315"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-1.3779999999999999E-2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82"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65"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7.515, 10.5%</v>
      </c>
      <c r="AG29" s="1165"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65" cm="1">
        <f t="array" aca="1" ref="AH29" ca="1">_xlfn.IFS(     TabTRADER[[#This Row],[Traps]]=MUp,MIN(TabTRADER[[#This Row],[L_Sn]],TabTRADER[[#This Row],[N]])*(TabTRADER[[#This Row],[M]]-TabTRADER[[#This Row],[L_Sp]])*(1-Commission)*TabTRADER[[#This Row],[Scale]],                                  TRUE,"M= "&amp;TabTRADER[[#This Row],[M]])</f>
        <v>7.131409999999998</v>
      </c>
      <c r="AI29" s="1165" t="str" cm="1">
        <f t="array" aca="1" ref="AI29" ca="1">_xlfn.IFS(   TabTRADER[[#This Row],[Traps]]=MUp,TEXT(MIN(TabTRADER[[#This Row],[L_Sn]],TabTRADER[[#This Row],[N]]),"#,#0")&amp;" x "&amp;TEXT(TabTRADER[[#This Row],[L_Sp]],"#,#0.#0"),          TRUE,"")</f>
        <v>10 x 6.80</v>
      </c>
      <c r="AJ29" s="1165"/>
      <c r="AK29" s="1165"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7.131409999999998</v>
      </c>
      <c r="AL29" s="1165"/>
      <c r="AM29" s="1165"/>
      <c r="AN29" s="1165"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24.403385799999999</v>
      </c>
      <c r="AO29" s="1174"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0.48274569382238619</v>
      </c>
      <c r="AP29" s="1174"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9.2543047238855605E-2</v>
      </c>
      <c r="AQ29" s="825" cm="1">
        <f t="array" aca="1" ref="AQ29" ca="1">_xlfn.IFS(   TabTRADER[[#This Row],[Traps]]=SellMorePercentGain,                     MIN(TabTRADER[[#This Row],[L_Sn]],TabTRADER[[#This Row],[N]])*(TabTRADER[[#This Row],[M]]-TabTRADER[[#This Row],[L_Sp]])*(1-Commission)*TabTRADER[[#This Row],[Scale]],                    TRUE,"")</f>
        <v>7.131409999999998</v>
      </c>
      <c r="AR29" s="1163">
        <f ca="1">_xlfn.XLOOKUP(TabTRADER[[#This Row],[ClickTick]],TabCalc[Ticker],TabCalc[Ann%RevLB])</f>
        <v>0.58712314113533448</v>
      </c>
      <c r="AS29" s="1267">
        <f ca="1">_xlfn.XLOOKUP(TabTRADER[[#This Row],[ClickTick]],TabCalc[Ticker],TabCalc[Up20])</f>
        <v>0</v>
      </c>
      <c r="AT29" s="1175"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5" t="str" cm="1">
        <f t="array" aca="1" ref="AU29" ca="1">_xlfn.IFS(         TabTRADER[[#This Row],[Traps]]=MDown,TabTRADER[[#This Row],[L_Bn]]*TabTRADER[[#This Row],[M]]*(-(TabTRADER[[#This Row],[L_Bp]]+TabTRADER[[#This Row],[M]])/TabTRADER[[#This Row],[M]])*(1-Commission)*TabTRADER[[#This Row],[Scale]],                               TRUE,"")</f>
        <v/>
      </c>
      <c r="AV29" s="1174" cm="1">
        <f t="array" aca="1" ref="AV29" ca="1">_xlfn.IFS(   TabTRADER[[#This Row],[Traps]]=MUp,TabTRADER[[#This Row],[TakeGain_A]]-Commission,        TabTRADER[[#This Row],[Traps]]=MDown,(TabTRADER[[#This Row],[A]]-TabTRADER[[#This Row],[M]])/TabTRADER[[#This Row],[M]]-Commission,                              TRUE,"")</f>
        <v>0.4801456938223862</v>
      </c>
      <c r="AW29" s="825"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36.184015209636357</v>
      </c>
      <c r="AX29" s="760"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29" s="736"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10x2.44</v>
      </c>
      <c r="AZ29" s="765" cm="1">
        <f t="array" aca="1" ref="AZ29" ca="1">_xlfn.IFS(TabTRADER[[#This Row],[Traps]]=Sale_Back,"",         TabTRADER[[#This Row],[Traps]]=MDown, (TabTRADER[[#This Row],[M]]-TabTRADER[[#This Row],[A]])/TabTRADER[[#This Row],[A]]*ComFactor,             TRUE, IFERROR((TabTRADER[[#This Row],[M]]-TabTRADER[[#This Row],[A]])/TabTRADER[[#This Row],[A]]*ComFactor,""))</f>
        <v>0.48149055501844795</v>
      </c>
      <c r="BA29" s="762" cm="1">
        <f t="array" aca="1" ref="BA29" ca="1">_xlfn.IFS(               TabTRADER[[#This Row],[Traps]]=NoStock,(TabTRADER[[#This Row],[L_Sp]]-TabTRADER[[#This Row],[M]])/TabTRADER[[#This Row],[M]]-Commission,             TabTRADER[[#This Row],[A]]&lt;&gt;0,(TabTRADER[[#This Row],[A]]-TabTRADER[[#This Row],[M]])/TabTRADER[[#This Row],[M]]-Commission)</f>
        <v>-0.32817551563539588</v>
      </c>
      <c r="BB29" s="324">
        <f ca="1">_xlfn.XLOOKUP(TabTRADER[[#This Row],[ClickTick]],TabCalc[Ticker],TabCalc[L_Sn])</f>
        <v>990</v>
      </c>
      <c r="BC29" s="728">
        <f ca="1">_xlfn.XLOOKUP(TabTRADER[[#This Row],[ClickTick]],TabCalc[Ticker],TabCalc[L_Sp])</f>
        <v>6.8</v>
      </c>
      <c r="BD29" s="764">
        <f ca="1">-IFERROR((TabTRADER[[#This Row],[M]]-TabTRADER[[#This Row],[L_Sp]])/TabTRADER[[#This Row],[L_Sp]],0)</f>
        <v>-0.1051470588235294</v>
      </c>
      <c r="BE29" s="729">
        <f ca="1">TabTRADER[[#This Row],[L_Sn]]*(TabTRADER[[#This Row],[M]]-TabTRADER[[#This Row],[L_Sp]])*(1-Commission)*TabTRADER[[#This Row],[Scale]]</f>
        <v>706.00958999999989</v>
      </c>
      <c r="BF29" s="692">
        <f ca="1">TabTRADER[[#This Row],[L_Sn]]*(TabTRADER[[#This Row],[Agiotage]]-TabTRADER[[#This Row],[M]])/(TabTRADER[[#This Row],[L_Bn]]*TabTRADER[[#This Row],[M]])</f>
        <v>-0.4816753094081434</v>
      </c>
      <c r="BG29" s="635">
        <f ca="1">IFERROR((TabTRADER[[#This Row],[M]]-TabTRADER[[#This Row],[A]])/TabTRADER[[#This Row],[A]],0)</f>
        <v>0.48274569382238619</v>
      </c>
      <c r="BH29" s="638" t="str">
        <f ca="1">TEXT(_xlfn.XLOOKUP(TabTRADER[[#This Row],[ClickTick]],TabCalc[Ticker],TabCalc[NAfter]),"#,#0")&amp;" : "&amp;TEXT(_xlfn.XLOOKUP(TabTRADER[[#This Row],[ClickTick]],TabCalc[Ticker],TabCalc[NAfter])*(TabTRADER[[#This Row],[M]]-TabTRADER[[#This Row],[A]])*(1-Commission)*TabTRADER[[#This Row],[Scale]],"#,#0$")</f>
        <v>10 : 24$</v>
      </c>
      <c r="BI29" s="684">
        <f ca="1">_xlfn.XLOOKUP(TabTRADER[[#This Row],[ClickTick]],TabCalc[[#This Row],[Ticker]],TabCalc[[#This Row],[GL]])*(1-Commission)</f>
        <v>14765.560417529998</v>
      </c>
      <c r="BJ29" s="684"/>
      <c r="BK29" s="669" t="str">
        <f ca="1">TabTRADER[[#This Row],[ClickTick]]&amp;": "&amp;_xlfn.XLOOKUP(TabTRADER[[#This Row],[ClickTick]],TabCalc[Ticker],TabCalc[Pile?])</f>
        <v xml:space="preserve">LUMN: </v>
      </c>
      <c r="BL29" s="351" t="s">
        <v>1971</v>
      </c>
      <c r="BM29" s="755" t="str" cm="1">
        <f t="array" aca="1" ref="BM29" ca="1">_xlfn.TEXTJOIN("",,INDEX({"M","A","Y"}, _xlfn.SORTBY({1,2,3}, -CHOOSE({1,2,3}, TabTRADER[[#This Row],[M]], TabTRADER[[#This Row],[A]], TabTRADER[[#This Row],[Agiotage]]))))</f>
        <v>MAY</v>
      </c>
      <c r="BN29" s="902"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9.514304723885561E-2</v>
      </c>
      <c r="BO29" s="679">
        <f ca="1">TabTRADER[[#This Row],[L_Sn]]*TabTRADER[[#This Row],[L_Sp]]+TabTRADER[[#This Row],[SellMore]]*TabTRADER[[#This Row],[M]]</f>
        <v>6807.15</v>
      </c>
      <c r="BP29" s="679">
        <f ca="1">INDEX(
  INDEX(TabConsolid[], , _xlfn.XMATCH(TabTRADER[[#This Row],[ClickTick]]&amp;1, TabConsolid[#Headers])),
  MATCH(
    -TabTRADER[[#This Row],[M]],
    INDEX(TabConsolid[], , _xlfn.XMATCH(TabTRADER[[#This Row],[ClickTick]]&amp;2, TabConsolid[#Headers])),
    -1
  )
)</f>
        <v>10</v>
      </c>
      <c r="BQ29" s="679"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44">
        <f ca="1">TabTRADER[[#This Row],[ReBuy]]/(TabTRADER[[#This Row],[L_Sn]]+TabTRADER[[#This Row],[SellMore]])</f>
        <v>6.80715</v>
      </c>
      <c r="BS29" s="687">
        <f ca="1">((_xlfn.XLOOKUP(TabTRADER[[#This Row],[ClickTick]],TabCalc[Ticker],TabCalc[NAfter])+TabTRADER[[#This Row],[L_Sn]])*(TabTRADER[[#This Row],[Agiotage]]-TabTRADER[[#This Row],[M]]))/(TabTRADER[[#This Row],[L_Sn]]*_xlfn.XLOOKUP(TabTRADER[[#This Row],[ClickTick]],TabCalc[Ticker],TabCalc[NAfter]))</f>
        <v>-0.73865726970762113</v>
      </c>
      <c r="BT29" s="687">
        <f ca="1">(TabTRADER[[#This Row],[M]]-TabTRADER[[#This Row],[Agiotage]])/(TabTRADER[[#This Row],[M]]-TabTRADER[[#This Row],[A]])-1</f>
        <v>1.9888040912680141</v>
      </c>
      <c r="BU29" s="1262">
        <f ca="1">_xlfn.XMATCH(TabTRADER[[#This Row],[ClickTick]]&amp;1, TabConsolid[#Headers])</f>
        <v>80</v>
      </c>
      <c r="BV29" t="b">
        <f ca="1">IF(ABS(TabTRADER[[#This Row],[L_Bp]])&gt;=TabTRADER[[#This Row],[M]],"OK")</f>
        <v>0</v>
      </c>
    </row>
    <row r="30" spans="1:74" ht="22" hidden="1"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-51,210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-70.3%</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-22,850$</v>
      </c>
      <c r="G30" s="225" t="str">
        <f ca="1">IFERROR(TRUNC(_xlfn.XLOOKUP(TabTRADER[[#This Row],[ClickTick]],TabCalc[Ticker],ListLastSalep),2)&amp;"x"&amp;_xlfn.XLOOKUP(TabTRADER[[#This Row],[ClickTick]],TabCalc[Ticker],ListLastSalen)&amp;"=   "&amp;TEXT(-_xlfn.XLOOKUP(TabTRADER[[#This Row],[ClickTick]],TabCalc[Ticker],ListReverseB),"#,#0")&amp;"$","")</f>
        <v>88.24x1500=   -95,940$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263.4% = 78</v>
      </c>
      <c r="I30" s="226" t="str">
        <f ca="1">IFERROR(TRUNC(TabCalc[[#This Row],[L_S1p]],2)&amp;"x"&amp;TabCalc[[#This Row],[L_S1n]]&amp;"=   "&amp;TEXT(TabCalc[[#This Row],[ReverseB1]],"#,#0"),"")</f>
        <v>125.31x2800=   282,884</v>
      </c>
      <c r="J30" s="295">
        <f ca="1">_xlfn.XLOOKUP(TabTRADER[[#This Row],[ClickTick]],TabCalc[Ticker],ListGravity)</f>
        <v>1.6598023064250409</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286504</v>
      </c>
      <c r="M30" s="323">
        <f ca="1">_xlfn.XLOOKUP(TabTRADER[[#This Row],[ClickTick]],TabCalc[Ticker],TabCalc[Agiotage])</f>
        <v>0.28173453881169197</v>
      </c>
      <c r="N30" s="324" cm="1">
        <f t="array" aca="1" ref="N30" ca="1">_xlfn.XLOOKUP(TabTRADER[[#This Row],[ClickTick]],ListTickers,Tab2RSIConventional[RSIConv20])</f>
        <v>37</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-0.41281741233373637</v>
      </c>
      <c r="S30" s="683">
        <f ca="1">_xlfn.XLOOKUP(TabTRADER[[#This Row],[ClickTick]],TabCalc[Ticker],TabCalc[Rev(MinStock)])*(1-Commission)</f>
        <v>-51076.853999999999</v>
      </c>
      <c r="T30" s="782">
        <f ca="1">_xlfn.XLOOKUP(TabTRADER[[#This Row],[ClickTick]],TabCalc[Ticker],TabCalc[Agiotage])</f>
        <v>0.28173453881169197</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-8,040/-8,040=&gt;-2.6% / -2.6%</v>
      </c>
      <c r="V30" s="739" t="str">
        <f ca="1">_xlfn.XLOOKUP(TabTRADER[[#This Row],[ClickTick]],[1]!RTData[Ticker_Symbol],[1]!RTData[Currency])</f>
        <v>USD</v>
      </c>
      <c r="W30" s="749">
        <f ca="1">_xlfn.XLOOKUP(TabTRADER[[#This Row],[ClickTick]],TabCalc[Ticker],TabCalc[M])</f>
        <v>24.28</v>
      </c>
      <c r="X30" s="1315"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-2.5682E-2</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-525/291 K$</v>
      </c>
      <c r="AE30" s="1182"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65"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24.28, -72.5%</v>
      </c>
      <c r="AG30" s="1165"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65" t="str" cm="1">
        <f t="array" aca="1" ref="AH30" ca="1">_xlfn.IFS(     TabTRADER[[#This Row],[Traps]]=MUp,MIN(TabTRADER[[#This Row],[L_Sn]],TabTRADER[[#This Row],[N]])*(TabTRADER[[#This Row],[M]]-TabTRADER[[#This Row],[L_Sp]])*(1-Commission)*TabTRADER[[#This Row],[Scale]],                                  TRUE,"M= "&amp;TabTRADER[[#This Row],[M]])</f>
        <v>M= 24.28</v>
      </c>
      <c r="AI30" s="1165" t="str" cm="1">
        <f t="array" aca="1" ref="AI30" ca="1">_xlfn.IFS(   TabTRADER[[#This Row],[Traps]]=MUp,TEXT(MIN(TabTRADER[[#This Row],[L_Sn]],TabTRADER[[#This Row],[N]]),"#,#0")&amp;" x "&amp;TEXT(TabTRADER[[#This Row],[L_Sp]],"#,#0.#0"),          TRUE,"")</f>
        <v/>
      </c>
      <c r="AJ30" s="1165"/>
      <c r="AK30" s="1165"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51076.853999999999</v>
      </c>
      <c r="AL30" s="1165"/>
      <c r="AM30" s="1165"/>
      <c r="AN30" s="1165"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291360</v>
      </c>
      <c r="AO30" s="1174"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0.66110843873951131</v>
      </c>
      <c r="AP30" s="1174"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0.70044777594728169</v>
      </c>
      <c r="AQ30" s="825" t="str" cm="1">
        <f t="array" aca="1" ref="AQ30" ca="1">_xlfn.IFS(   TabTRADER[[#This Row],[Traps]]=SellMorePercentGain,                     MIN(TabTRADER[[#This Row],[L_Sn]],TabTRADER[[#This Row],[N]])*(TabTRADER[[#This Row],[M]]-TabTRADER[[#This Row],[L_Sp]])*(1-Commission)*TabTRADER[[#This Row],[Scale]],                    TRUE,"")</f>
        <v/>
      </c>
      <c r="AR30" s="1163">
        <f ca="1">_xlfn.XLOOKUP(TabTRADER[[#This Row],[ClickTick]],TabCalc[Ticker],TabCalc[Ann%RevLB])</f>
        <v>-0.5054907089800853</v>
      </c>
      <c r="AS30" s="1267">
        <f ca="1">_xlfn.XLOOKUP(TabTRADER[[#This Row],[ClickTick]],TabCalc[Ticker],TabCalc[Up20])</f>
        <v>0</v>
      </c>
      <c r="AT30" s="1175"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0.70304777594728174</v>
      </c>
      <c r="AU30" s="825" cm="1">
        <f t="array" aca="1" ref="AU30" ca="1">_xlfn.IFS(         TabTRADER[[#This Row],[Traps]]=MDown,TabTRADER[[#This Row],[L_Bn]]*TabTRADER[[#This Row],[M]]*(-(TabTRADER[[#This Row],[L_Bp]]+TabTRADER[[#This Row],[M]])/TabTRADER[[#This Row],[M]])*(1-Commission)*TabTRADER[[#This Row],[Scale]],                               TRUE,"")</f>
        <v>51076.853999999999</v>
      </c>
      <c r="AV30" s="1174" cm="1">
        <f t="array" aca="1" ref="AV30" ca="1">_xlfn.IFS(   TabTRADER[[#This Row],[Traps]]=MUp,TabTRADER[[#This Row],[TakeGain_A]]-Commission,        TabTRADER[[#This Row],[Traps]]=MDown,(TabTRADER[[#This Row],[A]]-TabTRADER[[#This Row],[M]])/TabTRADER[[#This Row],[M]]-Commission,                              TRUE,"")</f>
        <v>1.9481964030752332</v>
      </c>
      <c r="AW30" s="825"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566906.24149599986</v>
      </c>
      <c r="AX30" s="760"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30" s="736"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-17.07</v>
      </c>
      <c r="AZ30" s="765" cm="1">
        <f t="array" aca="1" ref="AZ30" ca="1">_xlfn.IFS(TabTRADER[[#This Row],[Traps]]=Sale_Back,"",         TabTRADER[[#This Row],[Traps]]=MDown, (TabTRADER[[#This Row],[M]]-TabTRADER[[#This Row],[A]])/TabTRADER[[#This Row],[A]]*ComFactor,             TRUE, IFERROR((TabTRADER[[#This Row],[M]]-TabTRADER[[#This Row],[A]])/TabTRADER[[#This Row],[A]]*ComFactor,""))</f>
        <v>-0.65938955679878852</v>
      </c>
      <c r="BA30" s="762" cm="1">
        <f t="array" aca="1" ref="BA30" ca="1">_xlfn.IFS(               TabTRADER[[#This Row],[Traps]]=NoStock,(TabTRADER[[#This Row],[L_Sp]]-TabTRADER[[#This Row],[M]])/TabTRADER[[#This Row],[M]]-Commission,             TabTRADER[[#This Row],[A]]&lt;&gt;0,(TabTRADER[[#This Row],[A]]-TabTRADER[[#This Row],[M]])/TabTRADER[[#This Row],[M]]-Commission)</f>
        <v>1.9481964030752332</v>
      </c>
      <c r="BB30" s="324">
        <f ca="1">_xlfn.XLOOKUP(TabTRADER[[#This Row],[ClickTick]],TabCalc[Ticker],TabCalc[L_Sn])</f>
        <v>1500</v>
      </c>
      <c r="BC30" s="728">
        <f ca="1">_xlfn.XLOOKUP(TabTRADER[[#This Row],[ClickTick]],TabCalc[Ticker],TabCalc[L_Sp])</f>
        <v>88.24</v>
      </c>
      <c r="BD30" s="764">
        <f ca="1">-IFERROR((TabTRADER[[#This Row],[M]]-TabTRADER[[#This Row],[L_Sp]])/TabTRADER[[#This Row],[L_Sp]],0)</f>
        <v>0.72484134179510418</v>
      </c>
      <c r="BE30" s="729">
        <f ca="1">TabTRADER[[#This Row],[L_Sn]]*(TabTRADER[[#This Row],[M]]-TabTRADER[[#This Row],[L_Sp]])*(1-Commission)*TabTRADER[[#This Row],[Scale]]</f>
        <v>-95690.555999999982</v>
      </c>
      <c r="BF30" s="692">
        <f ca="1">TabTRADER[[#This Row],[L_Sn]]*(TabTRADER[[#This Row],[Agiotage]]-TabTRADER[[#This Row],[M]])/(TabTRADER[[#This Row],[L_Bn]]*TabTRADER[[#This Row],[M]])</f>
        <v>-0.49419821789926505</v>
      </c>
      <c r="BG30" s="635">
        <f ca="1">IFERROR((TabTRADER[[#This Row],[M]]-TabTRADER[[#This Row],[A]])/TabTRADER[[#This Row],[A]],0)</f>
        <v>-0.66110843873951131</v>
      </c>
      <c r="BH30" s="638" t="str">
        <f ca="1">TEXT(_xlfn.XLOOKUP(TabTRADER[[#This Row],[ClickTick]],TabCalc[Ticker],TabCalc[NAfter]),"#,#0")&amp;" : "&amp;TEXT(_xlfn.XLOOKUP(TabTRADER[[#This Row],[ClickTick]],TabCalc[Ticker],TabCalc[NAfter])*(TabTRADER[[#This Row],[M]]-TabTRADER[[#This Row],[A]])*(1-Commission)*TabTRADER[[#This Row],[Scale]],"#,#0$")</f>
        <v>12,000 : -566,906$</v>
      </c>
      <c r="BI30" s="684">
        <f ca="1">_xlfn.XLOOKUP(TabTRADER[[#This Row],[ClickTick]],TabCalc[[#This Row],[Ticker]],TabCalc[[#This Row],[GL]])*(1-Commission)</f>
        <v>-523349.57516108279</v>
      </c>
      <c r="BJ30" s="684"/>
      <c r="BK30" s="669" t="str">
        <f ca="1">TabTRADER[[#This Row],[ClickTick]]&amp;": "&amp;_xlfn.XLOOKUP(TabTRADER[[#This Row],[ClickTick]],TabCalc[Ticker],TabCalc[Pile?])</f>
        <v>MRNA: Pile</v>
      </c>
      <c r="BL30" s="351" t="s">
        <v>1976</v>
      </c>
      <c r="BM30" s="755" t="str" cm="1">
        <f t="array" aca="1" ref="BM30" ca="1">_xlfn.TEXTJOIN("",,INDEX({"M","A","Y"}, _xlfn.SORTBY({1,2,3}, -CHOOSE({1,2,3}, TabTRADER[[#This Row],[M]], TabTRADER[[#This Row],[A]], TabTRADER[[#This Row],[Agiotage]]))))</f>
        <v>AMY</v>
      </c>
      <c r="BN30" s="902"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0.70304777594728174</v>
      </c>
      <c r="BO30" s="679" t="e">
        <f ca="1">TabTRADER[[#This Row],[L_Sn]]*TabTRADER[[#This Row],[L_Sp]]+TabTRADER[[#This Row],[SellMore]]*TabTRADER[[#This Row],[M]]</f>
        <v>#N/A</v>
      </c>
      <c r="BP30" s="679" t="e">
        <f ca="1">INDEX(
  INDEX(TabConsolid[], , _xlfn.XMATCH(TabTRADER[[#This Row],[ClickTick]]&amp;1, TabConsolid[#Headers])),
  MATCH(
    -TabTRADER[[#This Row],[M]],
    INDEX(TabConsolid[], , _xlfn.XMATCH(TabTRADER[[#This Row],[ClickTick]]&amp;2, TabConsolid[#Headers])),
    -1
  )
)</f>
        <v>#N/A</v>
      </c>
      <c r="BQ30" s="679"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44" t="e">
        <f ca="1">TabTRADER[[#This Row],[ReBuy]]/(TabTRADER[[#This Row],[L_Sn]]+TabTRADER[[#This Row],[SellMore]])</f>
        <v>#N/A</v>
      </c>
      <c r="BS30" s="687">
        <f ca="1">((_xlfn.XLOOKUP(TabTRADER[[#This Row],[ClickTick]],TabCalc[Ticker],TabCalc[NAfter])+TabTRADER[[#This Row],[L_Sn]])*(TabTRADER[[#This Row],[Agiotage]]-TabTRADER[[#This Row],[M]]))/(TabTRADER[[#This Row],[L_Sn]]*_xlfn.XLOOKUP(TabTRADER[[#This Row],[ClickTick]],TabCalc[Ticker],TabCalc[NAfter]))</f>
        <v>-1.7998699095891232E-2</v>
      </c>
      <c r="BT30" s="687">
        <f ca="1">(TabTRADER[[#This Row],[M]]-TabTRADER[[#This Row],[Agiotage]])/(TabTRADER[[#This Row],[M]]-TabTRADER[[#This Row],[A]])-1</f>
        <v>-1.5066630398951029</v>
      </c>
      <c r="BU30" s="1262">
        <f ca="1">_xlfn.XMATCH(TabTRADER[[#This Row],[ClickTick]]&amp;1, TabConsolid[#Headers])</f>
        <v>83</v>
      </c>
      <c r="BV30" t="str">
        <f ca="1">IF(ABS(TabTRADER[[#This Row],[L_Bp]])&gt;=TabTRADER[[#This Row],[M]],"OK")</f>
        <v>OK</v>
      </c>
    </row>
    <row r="31" spans="1:74" ht="22" hidden="1"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-4,086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134</v>
      </c>
      <c r="F31" s="226" t="str">
        <f ca="1">TRUNC(TabCalc[[#This Row],[L_B1p]],2)&amp;"x"&amp;TabCalc[[#This Row],[L_B1n]]&amp;"=   "&amp;TEXT(TabCalc[[#This Row],[ReverseS1]],"#,#0")&amp;"$"</f>
        <v>-378.43x150=   16,224$</v>
      </c>
      <c r="G31" s="225" t="str">
        <f ca="1">IFERROR(TRUNC(_xlfn.XLOOKUP(TabTRADER[[#This Row],[ClickTick]],TabCalc[Ticker],ListLastSalep),2)&amp;"x"&amp;_xlfn.XLOOKUP(TabTRADER[[#This Row],[ClickTick]],TabCalc[Ticker],ListLastSalen)&amp;"=   "&amp;TEXT(-_xlfn.XLOOKUP(TabTRADER[[#This Row],[ClickTick]],TabCalc[Ticker],ListReverseB),"#,#0")&amp;"$","")</f>
        <v>523.92x150=   -5,600$</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134</v>
      </c>
      <c r="I31" s="226" t="str">
        <f ca="1">IFERROR(TRUNC(TabCalc[[#This Row],[L_S1p]],2)&amp;"x"&amp;TabCalc[[#This Row],[L_S1n]]&amp;"=   "&amp;TEXT(TabCalc[[#This Row],[ReverseB1]],"#,#0"),"")</f>
        <v>515.24x200=   5,731</v>
      </c>
      <c r="J31" s="295">
        <f ca="1">_xlfn.XLOOKUP(TabTRADER[[#This Row],[ClickTick]],TabCalc[Ticker],ListGravity)</f>
        <v>1.2869696459031217</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0.3615117522740065</v>
      </c>
      <c r="N31" s="324" cm="1">
        <f t="array" aca="1" ref="N31" ca="1">_xlfn.XLOOKUP(TabTRADER[[#This Row],[ClickTick]],ListTickers,Tab2RSIConventional[RSIConv20])</f>
        <v>46</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-5.3013642644454517E-2</v>
      </c>
      <c r="S31" s="683">
        <f ca="1">_xlfn.XLOOKUP(TabTRADER[[#This Row],[ClickTick]],TabCalc[Ticker],TabCalc[Rev(MinStock)])*(1-Commission)</f>
        <v>-4075.3764000000097</v>
      </c>
      <c r="T31" s="782">
        <f ca="1">_xlfn.XLOOKUP(TabTRADER[[#This Row],[ClickTick]],TabCalc[Ticker],TabCalc[Agiotage])</f>
        <v>0.3615117522740065</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-28,126/-28,126=&gt;-1.5% / -1.5%</v>
      </c>
      <c r="V31" s="739" t="str">
        <f ca="1">_xlfn.XLOOKUP(TabTRADER[[#This Row],[ClickTick]],[1]!RTData[Ticker_Symbol],[1]!RTData[Currency])</f>
        <v>USD</v>
      </c>
      <c r="W31" s="749">
        <f ca="1">_xlfn.XLOOKUP(TabTRADER[[#This Row],[ClickTick]],TabCalc[Ticker],TabCalc[M])</f>
        <v>486.59</v>
      </c>
      <c r="X31" s="1315"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-1.4581E-2</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^3,839/4,769 K$</v>
      </c>
      <c r="AE31" s="1182"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65"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486.59, -07.1%</v>
      </c>
      <c r="AG31" s="1165"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65" t="str" cm="1">
        <f t="array" aca="1" ref="AH31" ca="1">_xlfn.IFS(     TabTRADER[[#This Row],[Traps]]=MUp,MIN(TabTRADER[[#This Row],[L_Sn]],TabTRADER[[#This Row],[N]])*(TabTRADER[[#This Row],[M]]-TabTRADER[[#This Row],[L_Sp]])*(1-Commission)*TabTRADER[[#This Row],[Scale]],                                  TRUE,"M= "&amp;TabTRADER[[#This Row],[M]])</f>
        <v>M= 486.59</v>
      </c>
      <c r="AI31" s="1165" t="str" cm="1">
        <f t="array" aca="1" ref="AI31" ca="1">_xlfn.IFS(   TabTRADER[[#This Row],[Traps]]=MUp,TEXT(MIN(TabTRADER[[#This Row],[L_Sn]],TabTRADER[[#This Row],[N]]),"#,#0")&amp;" x "&amp;TEXT(TabTRADER[[#This Row],[L_Sp]],"#,#0.#0"),          TRUE,"")</f>
        <v/>
      </c>
      <c r="AJ31" s="1165"/>
      <c r="AK31" s="1165"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4075.3764000000097</v>
      </c>
      <c r="AL31" s="1165"/>
      <c r="AM31" s="1165"/>
      <c r="AN31" s="1165"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4768582</v>
      </c>
      <c r="AO31" s="1174"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-0.4569392562255164</v>
      </c>
      <c r="AP31" s="1174"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5.3381421730820749E-2</v>
      </c>
      <c r="AQ31" s="825" t="str" cm="1">
        <f t="array" aca="1" ref="AQ31" ca="1">_xlfn.IFS(   TabTRADER[[#This Row],[Traps]]=SellMorePercentGain,                     MIN(TabTRADER[[#This Row],[L_Sn]],TabTRADER[[#This Row],[N]])*(TabTRADER[[#This Row],[M]]-TabTRADER[[#This Row],[L_Sp]])*(1-Commission)*TabTRADER[[#This Row],[Scale]],                    TRUE,"")</f>
        <v/>
      </c>
      <c r="AR31" s="1313">
        <f ca="1">_xlfn.XLOOKUP(TabTRADER[[#This Row],[ClickTick]],TabCalc[Ticker],TabCalc[Ann%RevLB])</f>
        <v>-0.51580841491901697</v>
      </c>
      <c r="AS31" s="1267">
        <f ca="1">_xlfn.XLOOKUP(TabTRADER[[#This Row],[ClickTick]],TabCalc[Ticker],TabCalc[Up20])</f>
        <v>0</v>
      </c>
      <c r="AT31" s="1175"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5.5981421730820748E-2</v>
      </c>
      <c r="AU31" s="825" cm="1">
        <f t="array" aca="1" ref="AU31" ca="1">_xlfn.IFS(         TabTRADER[[#This Row],[Traps]]=MDown,TabTRADER[[#This Row],[L_Bn]]*TabTRADER[[#This Row],[M]]*(-(TabTRADER[[#This Row],[L_Bp]]+TabTRADER[[#This Row],[M]])/TabTRADER[[#This Row],[M]])*(1-Commission)*TabTRADER[[#This Row],[Scale]],                               TRUE,"")</f>
        <v>4075.3764000000097</v>
      </c>
      <c r="AV31" s="1174" cm="1">
        <f t="array" aca="1" ref="AV31" ca="1">_xlfn.IFS(   TabTRADER[[#This Row],[Traps]]=MUp,TabTRADER[[#This Row],[TakeGain_A]]-Commission,        TabTRADER[[#This Row],[Traps]]=MDown,(TabTRADER[[#This Row],[A]]-TabTRADER[[#This Row],[M]])/TabTRADER[[#This Row],[M]]-Commission,                              TRUE,"")</f>
        <v>-0.3162295863214683</v>
      </c>
      <c r="AW31" s="825"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-1491679.9221599998</v>
      </c>
      <c r="AX31" s="760"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1" s="736"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-27.24</v>
      </c>
      <c r="AZ31" s="765" cm="1">
        <f t="array" aca="1" ref="AZ31" ca="1">_xlfn.IFS(TabTRADER[[#This Row],[Traps]]=Sale_Back,"",         TabTRADER[[#This Row],[Traps]]=MDown, (TabTRADER[[#This Row],[M]]-TabTRADER[[#This Row],[A]])/TabTRADER[[#This Row],[A]]*ComFactor,             TRUE, IFERROR((TabTRADER[[#This Row],[M]]-TabTRADER[[#This Row],[A]])/TabTRADER[[#This Row],[A]]*ComFactor,""))</f>
        <v>0.45575121415933001</v>
      </c>
      <c r="BA31" s="762" cm="1">
        <f t="array" aca="1" ref="BA31" ca="1">_xlfn.IFS(               TabTRADER[[#This Row],[Traps]]=NoStock,(TabTRADER[[#This Row],[L_Sp]]-TabTRADER[[#This Row],[M]])/TabTRADER[[#This Row],[M]]-Commission,             TabTRADER[[#This Row],[A]]&lt;&gt;0,(TabTRADER[[#This Row],[A]]-TabTRADER[[#This Row],[M]])/TabTRADER[[#This Row],[M]]-Commission)</f>
        <v>-0.3162295863214683</v>
      </c>
      <c r="BB31" s="324">
        <f ca="1">_xlfn.XLOOKUP(TabTRADER[[#This Row],[ClickTick]],TabCalc[Ticker],TabCalc[L_Sn])</f>
        <v>150</v>
      </c>
      <c r="BC31" s="728">
        <f ca="1">_xlfn.XLOOKUP(TabTRADER[[#This Row],[ClickTick]],TabCalc[Ticker],TabCalc[L_Sp])</f>
        <v>523.91999999999996</v>
      </c>
      <c r="BD31" s="764">
        <f ca="1">-IFERROR((TabTRADER[[#This Row],[M]]-TabTRADER[[#This Row],[L_Sp]])/TabTRADER[[#This Row],[L_Sp]],0)</f>
        <v>7.125133608184453E-2</v>
      </c>
      <c r="BE31" s="729">
        <f ca="1">TabTRADER[[#This Row],[L_Sn]]*(TabTRADER[[#This Row],[M]]-TabTRADER[[#This Row],[L_Sp]])*(1-Commission)*TabTRADER[[#This Row],[Scale]]</f>
        <v>-5584.9412999999968</v>
      </c>
      <c r="BF31" s="692">
        <f ca="1">TabTRADER[[#This Row],[L_Sn]]*(TabTRADER[[#This Row],[Agiotage]]-TabTRADER[[#This Row],[M]])/(TabTRADER[[#This Row],[L_Bn]]*TabTRADER[[#This Row],[M]])</f>
        <v>-0.99925705059233838</v>
      </c>
      <c r="BG31" s="635">
        <f ca="1">IFERROR((TabTRADER[[#This Row],[M]]-TabTRADER[[#This Row],[A]])/TabTRADER[[#This Row],[A]],0)</f>
        <v>0.4569392562255164</v>
      </c>
      <c r="BH31" s="638" t="str">
        <f ca="1">TEXT(_xlfn.XLOOKUP(TabTRADER[[#This Row],[ClickTick]],TabCalc[Ticker],TabCalc[NAfter]),"#,#0")&amp;" : "&amp;TEXT(_xlfn.XLOOKUP(TabTRADER[[#This Row],[ClickTick]],TabCalc[Ticker],TabCalc[NAfter])*(TabTRADER[[#This Row],[M]]-TabTRADER[[#This Row],[A]])*(1-Commission)*TabTRADER[[#This Row],[Scale]],"#,#0$")</f>
        <v>9,800 : 1,491,680$</v>
      </c>
      <c r="BI31" s="684">
        <f ca="1">_xlfn.XLOOKUP(TabTRADER[[#This Row],[ClickTick]],TabCalc[[#This Row],[Ticker]],TabCalc[[#This Row],[GL]])*(1-Commission)</f>
        <v>3829373.3508992936</v>
      </c>
      <c r="BJ31" s="684"/>
      <c r="BK31" s="669" t="str">
        <f ca="1">TabTRADER[[#This Row],[ClickTick]]&amp;": "&amp;_xlfn.XLOOKUP(TabTRADER[[#This Row],[ClickTick]],TabCalc[Ticker],TabCalc[Pile?])</f>
        <v xml:space="preserve">MSFT: </v>
      </c>
      <c r="BL31" s="351" t="s">
        <v>1981</v>
      </c>
      <c r="BM31" s="755" t="str" cm="1">
        <f t="array" aca="1" ref="BM31" ca="1">_xlfn.TEXTJOIN("",,INDEX({"M","A","Y"}, _xlfn.SORTBY({1,2,3}, -CHOOSE({1,2,3}, TabTRADER[[#This Row],[M]], TabTRADER[[#This Row],[A]], TabTRADER[[#This Row],[Agiotage]]))))</f>
        <v>MAY</v>
      </c>
      <c r="BN31" s="902"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5.5981421730820748E-2</v>
      </c>
      <c r="BO31" s="679">
        <f ca="1">TabTRADER[[#This Row],[L_Sn]]*TabTRADER[[#This Row],[L_Sp]]+TabTRADER[[#This Row],[SellMore]]*TabTRADER[[#This Row],[M]]</f>
        <v>1051768</v>
      </c>
      <c r="BP31" s="679">
        <f ca="1">INDEX(
  INDEX(TabConsolid[], , _xlfn.XMATCH(TabTRADER[[#This Row],[ClickTick]]&amp;1, TabConsolid[#Headers])),
  MATCH(
    -TabTRADER[[#This Row],[M]],
    INDEX(TabConsolid[], , _xlfn.XMATCH(TabTRADER[[#This Row],[ClickTick]]&amp;2, TabConsolid[#Headers])),
    -1
  )
)</f>
        <v>2000</v>
      </c>
      <c r="BQ31" s="679"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R31" s="1144">
        <f ca="1">TabTRADER[[#This Row],[ReBuy]]/(TabTRADER[[#This Row],[L_Sn]]+TabTRADER[[#This Row],[SellMore]])</f>
        <v>489.19441860465116</v>
      </c>
      <c r="BS31" s="687">
        <f ca="1">((_xlfn.XLOOKUP(TabTRADER[[#This Row],[ClickTick]],TabCalc[Ticker],TabCalc[NAfter])+TabTRADER[[#This Row],[L_Sn]])*(TabTRADER[[#This Row],[Agiotage]]-TabTRADER[[#This Row],[M]]))/(TabTRADER[[#This Row],[L_Sn]]*_xlfn.XLOOKUP(TabTRADER[[#This Row],[ClickTick]],TabCalc[Ticker],TabCalc[NAfter]))</f>
        <v>-3.2911384068468528</v>
      </c>
      <c r="BT31" s="687">
        <f ca="1">(TabTRADER[[#This Row],[M]]-TabTRADER[[#This Row],[Agiotage]])/(TabTRADER[[#This Row],[M]]-TabTRADER[[#This Row],[A]])-1</f>
        <v>2.1861058209224766</v>
      </c>
      <c r="BU31" s="1262">
        <f ca="1">_xlfn.XMATCH(TabTRADER[[#This Row],[ClickTick]]&amp;1, TabConsolid[#Headers])</f>
        <v>86</v>
      </c>
      <c r="BV31" t="str">
        <f ca="1">IF(ABS(TabTRADER[[#This Row],[L_Bp]])&gt;=TabTRADER[[#This Row],[M]],"OK")</f>
        <v>OK</v>
      </c>
    </row>
    <row r="32" spans="1:74" ht="22" hidden="1"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+14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16.2%</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12$</v>
      </c>
      <c r="G32" s="225" t="str">
        <f ca="1">IFERROR(TRUNC(_xlfn.XLOOKUP(TabTRADER[[#This Row],[ClickTick]],TabCalc[Ticker],ListLastSalep),2)&amp;"x"&amp;_xlfn.XLOOKUP(TabTRADER[[#This Row],[ClickTick]],TabCalc[Ticker],ListLastSalen)&amp;"=   "&amp;TEXT(-_xlfn.XLOOKUP(TabTRADER[[#This Row],[ClickTick]],TabCalc[Ticker],ListReverseB),"#,#0")&amp;"$","")</f>
        <v>81.87x399=   1,133$</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32" s="226" t="str">
        <f ca="1">IFERROR(TRUNC(TabCalc[[#This Row],[L_S1p]],2)&amp;"x"&amp;TabCalc[[#This Row],[L_S1n]]&amp;"=   "&amp;TEXT(TabCalc[[#This Row],[ReverseB1]],"#,#0"),"")</f>
        <v>84.7x300=   -1</v>
      </c>
      <c r="J32" s="295">
        <f ca="1">_xlfn.XLOOKUP(TabTRADER[[#This Row],[ClickTick]],TabCalc[Ticker],ListGravity)</f>
        <v>1.0742533349073309</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0.3830959332564437</v>
      </c>
      <c r="N32" s="324" cm="1">
        <f t="array" aca="1" ref="N32" ca="1">_xlfn.XLOOKUP(TabTRADER[[#This Row],[ClickTick]],ListTickers,Tab2RSIConventional[RSIConv20])</f>
        <v>44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0.19309114733270027</v>
      </c>
      <c r="S32" s="683">
        <f ca="1">_xlfn.XLOOKUP(TabTRADER[[#This Row],[ClickTick]],TabCalc[Ticker],TabCalc[Rev(MinStock)])*(1-Commission)</f>
        <v>13.673912151799989</v>
      </c>
      <c r="T32" s="782">
        <f ca="1">_xlfn.XLOOKUP(TabTRADER[[#This Row],[ClickTick]],TabCalc[Ticker],TabCalc[Agiotage])</f>
        <v>0.3830959332564437</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32" s="739" t="str">
        <f ca="1">_xlfn.XLOOKUP(TabTRADER[[#This Row],[ClickTick]],[1]!RTData[Ticker_Symbol],[1]!RTData[Currency])</f>
        <v>USD</v>
      </c>
      <c r="W32" s="749">
        <f ca="1">_xlfn.XLOOKUP(TabTRADER[[#This Row],[ClickTick]],TabCalc[Ticker],TabCalc[M])</f>
        <v>84.71</v>
      </c>
      <c r="X32" s="1315"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8.2699999999999994E-4</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82"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65"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84.71, 03.5%</v>
      </c>
      <c r="AG32" s="1165"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65" cm="1">
        <f t="array" aca="1" ref="AH32" ca="1">_xlfn.IFS(     TabTRADER[[#This Row],[Traps]]=MUp,MIN(TabTRADER[[#This Row],[L_Sn]],TabTRADER[[#This Row],[N]])*(TabTRADER[[#This Row],[M]]-TabTRADER[[#This Row],[L_Sp]])*(1-Commission)*TabTRADER[[#This Row],[Scale]],                                  TRUE,"M= "&amp;TabTRADER[[#This Row],[M]])</f>
        <v>2.8326159999999891</v>
      </c>
      <c r="AI32" s="1165" t="str" cm="1">
        <f t="array" aca="1" ref="AI32" ca="1">_xlfn.IFS(   TabTRADER[[#This Row],[Traps]]=MUp,TEXT(MIN(TabTRADER[[#This Row],[L_Sn]],TabTRADER[[#This Row],[N]]),"#,#0")&amp;" x "&amp;TEXT(TabTRADER[[#This Row],[L_Sp]],"#,#0.#0"),          TRUE,"")</f>
        <v>1 x 81.87</v>
      </c>
      <c r="AJ32" s="1165"/>
      <c r="AK32" s="1165"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2.8326159999999891</v>
      </c>
      <c r="AL32" s="1165"/>
      <c r="AM32" s="1165"/>
      <c r="AN32" s="1165"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13.673912151799989</v>
      </c>
      <c r="AO32" s="1174"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0.19309114733270027</v>
      </c>
      <c r="AP32" s="1174"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3.092614803447042E-2</v>
      </c>
      <c r="AQ32" s="825" cm="1">
        <f t="array" aca="1" ref="AQ32" ca="1">_xlfn.IFS(   TabTRADER[[#This Row],[Traps]]=SellMorePercentGain,                     MIN(TabTRADER[[#This Row],[L_Sn]],TabTRADER[[#This Row],[N]])*(TabTRADER[[#This Row],[M]]-TabTRADER[[#This Row],[L_Sp]])*(1-Commission)*TabTRADER[[#This Row],[Scale]],                    TRUE,"")</f>
        <v>2.8326159999999891</v>
      </c>
      <c r="AR32" s="1163">
        <f ca="1">_xlfn.XLOOKUP(TabTRADER[[#This Row],[ClickTick]],TabCalc[Ticker],TabCalc[Ann%RevLB])</f>
        <v>0.99304018628245849</v>
      </c>
      <c r="AS32" s="1267">
        <f ca="1">_xlfn.XLOOKUP(TabTRADER[[#This Row],[ClickTick]],TabCalc[Ticker],TabCalc[Up20])</f>
        <v>0</v>
      </c>
      <c r="AT32" s="1175"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5" t="str" cm="1">
        <f t="array" aca="1" ref="AU32" ca="1">_xlfn.IFS(         TabTRADER[[#This Row],[Traps]]=MDown,TabTRADER[[#This Row],[L_Bn]]*TabTRADER[[#This Row],[M]]*(-(TabTRADER[[#This Row],[L_Bp]]+TabTRADER[[#This Row],[M]])/TabTRADER[[#This Row],[M]])*(1-Commission)*TabTRADER[[#This Row],[Scale]],                               TRUE,"")</f>
        <v/>
      </c>
      <c r="AV32" s="1174" cm="1">
        <f t="array" aca="1" ref="AV32" ca="1">_xlfn.IFS(   TabTRADER[[#This Row],[Traps]]=MUp,TabTRADER[[#This Row],[TakeGain_A]]-Commission,        TabTRADER[[#This Row],[Traps]]=MDown,(TabTRADER[[#This Row],[A]]-TabTRADER[[#This Row],[M]])/TabTRADER[[#This Row],[M]]-Commission,                              TRUE,"")</f>
        <v>0.19049114733270028</v>
      </c>
      <c r="AW32" s="760"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16.314223537717602</v>
      </c>
      <c r="AX32" s="760"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32" s="736"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1x13.7</v>
      </c>
      <c r="AZ32" s="765" cm="1">
        <f t="array" aca="1" ref="AZ32" ca="1">_xlfn.IFS(TabTRADER[[#This Row],[Traps]]=Sale_Back,"",         TabTRADER[[#This Row],[Traps]]=MDown, (TabTRADER[[#This Row],[M]]-TabTRADER[[#This Row],[A]])/TabTRADER[[#This Row],[A]]*ComFactor,             TRUE, IFERROR((TabTRADER[[#This Row],[M]]-TabTRADER[[#This Row],[A]])/TabTRADER[[#This Row],[A]]*ComFactor,""))</f>
        <v>0.19258911034963525</v>
      </c>
      <c r="BA32" s="762" cm="1">
        <f t="array" aca="1" ref="BA32" ca="1">_xlfn.IFS(               TabTRADER[[#This Row],[Traps]]=NoStock,(TabTRADER[[#This Row],[L_Sp]]-TabTRADER[[#This Row],[M]])/TabTRADER[[#This Row],[M]]-Commission,             TabTRADER[[#This Row],[A]]&lt;&gt;0,(TabTRADER[[#This Row],[A]]-TabTRADER[[#This Row],[M]])/TabTRADER[[#This Row],[M]]-Commission)</f>
        <v>-0.1644410695313421</v>
      </c>
      <c r="BB32" s="324">
        <f ca="1">_xlfn.XLOOKUP(TabTRADER[[#This Row],[ClickTick]],TabCalc[Ticker],TabCalc[L_Sn])</f>
        <v>399</v>
      </c>
      <c r="BC32" s="728">
        <f ca="1">_xlfn.XLOOKUP(TabTRADER[[#This Row],[ClickTick]],TabCalc[Ticker],TabCalc[L_Sp])</f>
        <v>81.87</v>
      </c>
      <c r="BD32" s="764">
        <f ca="1">-IFERROR((TabTRADER[[#This Row],[M]]-TabTRADER[[#This Row],[L_Sp]])/TabTRADER[[#This Row],[L_Sp]],0)</f>
        <v>-3.4689141321607289E-2</v>
      </c>
      <c r="BE32" s="729">
        <f ca="1">TabTRADER[[#This Row],[L_Sn]]*(TabTRADER[[#This Row],[M]]-TabTRADER[[#This Row],[L_Sp]])*(1-Commission)*TabTRADER[[#This Row],[Scale]]</f>
        <v>1130.2137839999957</v>
      </c>
      <c r="BF32" s="692">
        <f ca="1">TabTRADER[[#This Row],[L_Sn]]*(TabTRADER[[#This Row],[Agiotage]]-TabTRADER[[#This Row],[M]])/(TabTRADER[[#This Row],[L_Bn]]*TabTRADER[[#This Row],[M]])</f>
        <v>-9.9298886561889621E-2</v>
      </c>
      <c r="BG32" s="635">
        <f ca="1">IFERROR((TabTRADER[[#This Row],[M]]-TabTRADER[[#This Row],[A]])/TabTRADER[[#This Row],[A]],0)</f>
        <v>0.19309114733270027</v>
      </c>
      <c r="BH32" s="638" t="str">
        <f ca="1">TEXT(_xlfn.XLOOKUP(TabTRADER[[#This Row],[ClickTick]],TabCalc[Ticker],TabCalc[NAfter]),"#,#0")&amp;" : "&amp;TEXT(_xlfn.XLOOKUP(TabTRADER[[#This Row],[ClickTick]],TabCalc[Ticker],TabCalc[NAfter])*(TabTRADER[[#This Row],[M]]-TabTRADER[[#This Row],[A]])*(1-Commission)*TabTRADER[[#This Row],[Scale]],"#,#0$")</f>
        <v>1 : 14$</v>
      </c>
      <c r="BI32" s="684">
        <f ca="1">_xlfn.XLOOKUP(TabTRADER[[#This Row],[ClickTick]],TabCalc[[#This Row],[Ticker]],TabCalc[[#This Row],[GL]])*(1-Commission)</f>
        <v>66717.971633772031</v>
      </c>
      <c r="BJ32" s="684"/>
      <c r="BK32" s="669" t="str">
        <f ca="1">TabTRADER[[#This Row],[ClickTick]]&amp;": "&amp;_xlfn.XLOOKUP(TabTRADER[[#This Row],[ClickTick]],TabCalc[Ticker],TabCalc[Pile?])</f>
        <v xml:space="preserve">NEE: </v>
      </c>
      <c r="BL32" s="351" t="s">
        <v>1986</v>
      </c>
      <c r="BM32" s="755" t="str" cm="1">
        <f t="array" aca="1" ref="BM32" ca="1">_xlfn.TEXTJOIN("",,INDEX({"M","A","Y"}, _xlfn.SORTBY({1,2,3}, -CHOOSE({1,2,3}, TabTRADER[[#This Row],[M]], TabTRADER[[#This Row],[A]], TabTRADER[[#This Row],[Agiotage]]))))</f>
        <v>MAY</v>
      </c>
      <c r="BN32" s="902"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3.3526148034470418E-2</v>
      </c>
      <c r="BO32" s="679">
        <f ca="1">TabTRADER[[#This Row],[L_Sn]]*TabTRADER[[#This Row],[L_Sp]]+TabTRADER[[#This Row],[SellMore]]*TabTRADER[[#This Row],[M]]</f>
        <v>66550.13</v>
      </c>
      <c r="BP32" s="679">
        <f ca="1">INDEX(
  INDEX(TabConsolid[], , _xlfn.XMATCH(TabTRADER[[#This Row],[ClickTick]]&amp;1, TabConsolid[#Headers])),
  MATCH(
    -TabTRADER[[#This Row],[M]],
    INDEX(TabConsolid[], , _xlfn.XMATCH(TabTRADER[[#This Row],[ClickTick]]&amp;2, TabConsolid[#Headers])),
    -1
  )
)</f>
        <v>400</v>
      </c>
      <c r="BQ32" s="679"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44">
        <f ca="1">TabTRADER[[#This Row],[ReBuy]]/(TabTRADER[[#This Row],[L_Sn]]+TabTRADER[[#This Row],[SellMore]])</f>
        <v>83.291777221526914</v>
      </c>
      <c r="BS32" s="687">
        <f ca="1">((_xlfn.XLOOKUP(TabTRADER[[#This Row],[ClickTick]],TabCalc[Ticker],TabCalc[NAfter])+TabTRADER[[#This Row],[L_Sn]])*(TabTRADER[[#This Row],[Agiotage]]-TabTRADER[[#This Row],[M]]))/(TabTRADER[[#This Row],[L_Sn]]*_xlfn.XLOOKUP(TabTRADER[[#This Row],[ClickTick]],TabCalc[Ticker],TabCalc[NAfter]))</f>
        <v>-84.538249690970986</v>
      </c>
      <c r="BT32" s="687">
        <f ca="1">(TabTRADER[[#This Row],[M]]-TabTRADER[[#This Row],[Agiotage]])/(TabTRADER[[#This Row],[M]]-TabTRADER[[#This Row],[A]])-1</f>
        <v>5.1509576178678582</v>
      </c>
      <c r="BU32" s="1262">
        <f ca="1">_xlfn.XMATCH(TabTRADER[[#This Row],[ClickTick]]&amp;1, TabConsolid[#Headers])</f>
        <v>89</v>
      </c>
      <c r="BV32" t="b">
        <f ca="1">IF(ABS(TabTRADER[[#This Row],[L_Bp]])&gt;=TabTRADER[[#This Row],[M]],"OK")</f>
        <v>0</v>
      </c>
    </row>
    <row r="33" spans="1:74" ht="22" hidden="1"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+17,430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9.9%</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574/20,000=50,255</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7,715$</v>
      </c>
      <c r="G33" s="225" t="str">
        <f ca="1">IFERROR(TRUNC(_xlfn.XLOOKUP(TabTRADER[[#This Row],[ClickTick]],TabCalc[Ticker],ListLastSalep),2)&amp;"x"&amp;_xlfn.XLOOKUP(TabTRADER[[#This Row],[ClickTick]],TabCalc[Ticker],ListLastSalen)&amp;"=   "&amp;TEXT(-_xlfn.XLOOKUP(TabTRADER[[#This Row],[ClickTick]],TabCalc[Ticker],ListReverseB),"#,#0")&amp;"$","")</f>
        <v>81.47x2000=   12,250$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0</v>
      </c>
      <c r="I33" s="226" t="str">
        <f ca="1">IFERROR(TRUNC(TabCalc[[#This Row],[L_S1p]],2)&amp;"x"&amp;TabCalc[[#This Row],[L_S1n]]&amp;"=   "&amp;TEXT(TabCalc[[#This Row],[ReverseB1]],"#,#0"),"")</f>
        <v>94.22x1000=   6,625</v>
      </c>
      <c r="J33" s="295">
        <f ca="1">_xlfn.XLOOKUP(TabTRADER[[#This Row],[ClickTick]],TabCalc[Ticker],ListGravity)</f>
        <v>1.1728409155773731</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437975</v>
      </c>
      <c r="M33" s="323">
        <f ca="1">_xlfn.XLOOKUP(TabTRADER[[#This Row],[ClickTick]],TabCalc[Ticker],TabCalc[Agiotage])</f>
        <v>0.25524794759567165</v>
      </c>
      <c r="N33" s="324" cm="1">
        <f t="array" aca="1" ref="N33" ca="1">_xlfn.XLOOKUP(TabTRADER[[#This Row],[ClickTick]],ListTickers,Tab2RSIConventional[RSIConv20])</f>
        <v>5</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0.11048427991886414</v>
      </c>
      <c r="S33" s="683">
        <f ca="1">_xlfn.XLOOKUP(TabTRADER[[#This Row],[ClickTick]],TabCalc[Ticker],TabCalc[Rev(MinStock)])*(1-Commission)</f>
        <v>17384.682000000008</v>
      </c>
      <c r="T33" s="782">
        <f ca="1">_xlfn.XLOOKUP(TabTRADER[[#This Row],[ClickTick]],TabCalc[Ticker],TabCalc[Agiotage])</f>
        <v>0.25524794759567165</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-10,900/-10,900=&gt;1.1% / 1.1%</v>
      </c>
      <c r="V33" s="739" t="str">
        <f ca="1">_xlfn.XLOOKUP(TabTRADER[[#This Row],[ClickTick]],[1]!RTData[Ticker_Symbol],[1]!RTData[Currency])</f>
        <v>USD</v>
      </c>
      <c r="W33" s="749">
        <f ca="1">_xlfn.XLOOKUP(TabTRADER[[#This Row],[ClickTick]],TabCalc[Ticker],TabCalc[M])</f>
        <v>87.594999999999999</v>
      </c>
      <c r="X33" s="1315"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1.149E-2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^1,265/1,752 K$</v>
      </c>
      <c r="AE33" s="1182"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65"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87.595, 07.5%</v>
      </c>
      <c r="AG33" s="1165"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65" cm="1">
        <f t="array" aca="1" ref="AH33" ca="1">_xlfn.IFS(     TabTRADER[[#This Row],[Traps]]=MUp,MIN(TabTRADER[[#This Row],[L_Sn]],TabTRADER[[#This Row],[N]])*(TabTRADER[[#This Row],[M]]-TabTRADER[[#This Row],[L_Sp]])*(1-Commission)*TabTRADER[[#This Row],[Scale]],                                  TRUE,"M= "&amp;TabTRADER[[#This Row],[M]])</f>
        <v>12218.15</v>
      </c>
      <c r="AI33" s="1165" t="str" cm="1">
        <f t="array" aca="1" ref="AI33" ca="1">_xlfn.IFS(   TabTRADER[[#This Row],[Traps]]=MUp,TEXT(MIN(TabTRADER[[#This Row],[L_Sn]],TabTRADER[[#This Row],[N]]),"#,#0")&amp;" x "&amp;TEXT(TabTRADER[[#This Row],[L_Sp]],"#,#0.#0"),          TRUE,"")</f>
        <v>2,000 x 81.47</v>
      </c>
      <c r="AJ33" s="1165"/>
      <c r="AK33" s="1165"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12218.15</v>
      </c>
      <c r="AL33" s="1165"/>
      <c r="AM33" s="1165"/>
      <c r="AN33" s="1165"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502837.12543400005</v>
      </c>
      <c r="AO33" s="1174"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0.40404493331684188</v>
      </c>
      <c r="AP33" s="1174"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6.7324082424795928E-2</v>
      </c>
      <c r="AQ33" s="825" cm="1">
        <f t="array" aca="1" ref="AQ33" ca="1">_xlfn.IFS(   TabTRADER[[#This Row],[Traps]]=SellMorePercentGain,                     MIN(TabTRADER[[#This Row],[L_Sn]],TabTRADER[[#This Row],[N]])*(TabTRADER[[#This Row],[M]]-TabTRADER[[#This Row],[L_Sp]])*(1-Commission)*TabTRADER[[#This Row],[Scale]],                    TRUE,"")</f>
        <v>12218.15</v>
      </c>
      <c r="AR33" s="1314">
        <f ca="1">_xlfn.XLOOKUP(TabTRADER[[#This Row],[ClickTick]],TabCalc[Ticker],TabCalc[Ann%RevLB])</f>
        <v>2.6516227180527392</v>
      </c>
      <c r="AS33" s="1266">
        <f ca="1">_xlfn.XLOOKUP(TabTRADER[[#This Row],[ClickTick]],TabCalc[Ticker],TabCalc[Up20])</f>
        <v>0</v>
      </c>
      <c r="AT33" s="1175"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5" t="str" cm="1">
        <f t="array" aca="1" ref="AU33" ca="1">_xlfn.IFS(         TabTRADER[[#This Row],[Traps]]=MDown,TabTRADER[[#This Row],[L_Bn]]*TabTRADER[[#This Row],[M]]*(-(TabTRADER[[#This Row],[L_Bp]]+TabTRADER[[#This Row],[M]])/TabTRADER[[#This Row],[M]])*(1-Commission)*TabTRADER[[#This Row],[Scale]],                               TRUE,"")</f>
        <v/>
      </c>
      <c r="AV33" s="1174" cm="1">
        <f t="array" aca="1" ref="AV33" ca="1">_xlfn.IFS(   TabTRADER[[#This Row],[Traps]]=MUp,TabTRADER[[#This Row],[TakeGain_A]]-Commission,        TabTRADER[[#This Row],[Traps]]=MDown,(TabTRADER[[#This Row],[A]]-TabTRADER[[#This Row],[M]])/TabTRADER[[#This Row],[M]]-Commission,                              TRUE,"")</f>
        <v>0.40144493331684189</v>
      </c>
      <c r="AW33" s="825"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706005.91824921314</v>
      </c>
      <c r="AX33" s="760"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33" s="736"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2,000x25.2</v>
      </c>
      <c r="AZ33" s="765" cm="1">
        <f t="array" aca="1" ref="AZ33" ca="1">_xlfn.IFS(TabTRADER[[#This Row],[Traps]]=Sale_Back,"",         TabTRADER[[#This Row],[Traps]]=MDown, (TabTRADER[[#This Row],[M]]-TabTRADER[[#This Row],[A]])/TabTRADER[[#This Row],[A]]*ComFactor,             TRUE, IFERROR((TabTRADER[[#This Row],[M]]-TabTRADER[[#This Row],[A]])/TabTRADER[[#This Row],[A]]*ComFactor,""))</f>
        <v>0.40299441649021805</v>
      </c>
      <c r="BA33" s="762" cm="1">
        <f t="array" aca="1" ref="BA33" ca="1">_xlfn.IFS(               TabTRADER[[#This Row],[Traps]]=NoStock,(TabTRADER[[#This Row],[L_Sp]]-TabTRADER[[#This Row],[M]])/TabTRADER[[#This Row],[M]]-Commission,             TabTRADER[[#This Row],[A]]&lt;&gt;0,(TabTRADER[[#This Row],[A]]-TabTRADER[[#This Row],[M]])/TabTRADER[[#This Row],[M]]-Commission)</f>
        <v>-0.29037208173982537</v>
      </c>
      <c r="BB33" s="324">
        <f ca="1">_xlfn.XLOOKUP(TabTRADER[[#This Row],[ClickTick]],TabCalc[Ticker],TabCalc[L_Sn])</f>
        <v>2000</v>
      </c>
      <c r="BC33" s="728">
        <f ca="1">_xlfn.XLOOKUP(TabTRADER[[#This Row],[ClickTick]],TabCalc[Ticker],TabCalc[L_Sp])</f>
        <v>81.47</v>
      </c>
      <c r="BD33" s="764">
        <f ca="1">-IFERROR((TabTRADER[[#This Row],[M]]-TabTRADER[[#This Row],[L_Sp]])/TabTRADER[[#This Row],[L_Sp]],0)</f>
        <v>-7.5181048238615447E-2</v>
      </c>
      <c r="BE33" s="729">
        <f ca="1">TabTRADER[[#This Row],[L_Sn]]*(TabTRADER[[#This Row],[M]]-TabTRADER[[#This Row],[L_Sp]])*(1-Commission)*TabTRADER[[#This Row],[Scale]]</f>
        <v>12218.15</v>
      </c>
      <c r="BF33" s="692">
        <f ca="1">TabTRADER[[#This Row],[L_Sn]]*(TabTRADER[[#This Row],[Agiotage]]-TabTRADER[[#This Row],[M]])/(TabTRADER[[#This Row],[L_Bn]]*TabTRADER[[#This Row],[M]])</f>
        <v>-0.99708604432221382</v>
      </c>
      <c r="BG33" s="635">
        <f ca="1">IFERROR((TabTRADER[[#This Row],[M]]-TabTRADER[[#This Row],[A]])/TabTRADER[[#This Row],[A]],0)</f>
        <v>0.40404493331684188</v>
      </c>
      <c r="BH33" s="638" t="str">
        <f ca="1">TEXT(_xlfn.XLOOKUP(TabTRADER[[#This Row],[ClickTick]],TabCalc[Ticker],TabCalc[NAfter]),"#,#0")&amp;" : "&amp;TEXT(_xlfn.XLOOKUP(TabTRADER[[#This Row],[ClickTick]],TabCalc[Ticker],TabCalc[NAfter])*(TabTRADER[[#This Row],[M]]-TabTRADER[[#This Row],[A]])*(1-Commission)*TabTRADER[[#This Row],[Scale]],"#,#0$")</f>
        <v>20,000 : 502,837$</v>
      </c>
      <c r="BI33" s="684">
        <f ca="1">_xlfn.XLOOKUP(TabTRADER[[#This Row],[ClickTick]],TabCalc[[#This Row],[Ticker]],TabCalc[[#This Row],[GL]])*(1-Commission)</f>
        <v>1261220.1483590731</v>
      </c>
      <c r="BJ33" s="684"/>
      <c r="BK33" s="669" t="str">
        <f ca="1">TabTRADER[[#This Row],[ClickTick]]&amp;": "&amp;_xlfn.XLOOKUP(TabTRADER[[#This Row],[ClickTick]],TabCalc[Ticker],TabCalc[Pile?])</f>
        <v xml:space="preserve">NEM: </v>
      </c>
      <c r="BL33" s="351" t="s">
        <v>1991</v>
      </c>
      <c r="BM33" s="755" t="str" cm="1">
        <f t="array" aca="1" ref="BM33" ca="1">_xlfn.TEXTJOIN("",,INDEX({"M","A","Y"}, _xlfn.SORTBY({1,2,3}, -CHOOSE({1,2,3}, TabTRADER[[#This Row],[M]], TabTRADER[[#This Row],[A]], TabTRADER[[#This Row],[Agiotage]]))))</f>
        <v>MAY</v>
      </c>
      <c r="BN33" s="902"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6.9924082424795933E-2</v>
      </c>
      <c r="BO33" s="679">
        <f ca="1">TabTRADER[[#This Row],[L_Sn]]*TabTRADER[[#This Row],[L_Sp]]+TabTRADER[[#This Row],[SellMore]]*TabTRADER[[#This Row],[M]]</f>
        <v>338130</v>
      </c>
      <c r="BP33" s="679">
        <f ca="1">INDEX(
  INDEX(TabConsolid[], , _xlfn.XMATCH(TabTRADER[[#This Row],[ClickTick]]&amp;1, TabConsolid[#Headers])),
  MATCH(
    -TabTRADER[[#This Row],[M]],
    INDEX(TabConsolid[], , _xlfn.XMATCH(TabTRADER[[#This Row],[ClickTick]]&amp;2, TabConsolid[#Headers])),
    -1
  )
)</f>
        <v>2000</v>
      </c>
      <c r="BQ33" s="679"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44">
        <f ca="1">TabTRADER[[#This Row],[ReBuy]]/(TabTRADER[[#This Row],[L_Sn]]+TabTRADER[[#This Row],[SellMore]])</f>
        <v>84.532499999999999</v>
      </c>
      <c r="BS33" s="687">
        <f ca="1">((_xlfn.XLOOKUP(TabTRADER[[#This Row],[ClickTick]],TabCalc[Ticker],TabCalc[NAfter])+TabTRADER[[#This Row],[L_Sn]])*(TabTRADER[[#This Row],[Agiotage]]-TabTRADER[[#This Row],[M]]))/(TabTRADER[[#This Row],[L_Sn]]*_xlfn.XLOOKUP(TabTRADER[[#This Row],[ClickTick]],TabCalc[Ticker],TabCalc[NAfter]))</f>
        <v>-4.8036863628822382E-2</v>
      </c>
      <c r="BT33" s="687">
        <f ca="1">(TabTRADER[[#This Row],[M]]-TabTRADER[[#This Row],[Agiotage]])/(TabTRADER[[#This Row],[M]]-TabTRADER[[#This Row],[A]])-1</f>
        <v>2.4648463405274974</v>
      </c>
      <c r="BU33" s="1262">
        <f ca="1">_xlfn.XMATCH(TabTRADER[[#This Row],[ClickTick]]&amp;1, TabConsolid[#Headers])</f>
        <v>92</v>
      </c>
      <c r="BV33" t="b">
        <f ca="1">IF(ABS(TabTRADER[[#This Row],[L_Bp]])&gt;=TabTRADER[[#This Row],[M]],"OK")</f>
        <v>0</v>
      </c>
    </row>
    <row r="34" spans="1:74"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-109.68x5000=    +460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-110.35x5000=   -2,880$</v>
      </c>
      <c r="G34" s="225" t="str">
        <f ca="1">IFERROR(TRUNC(_xlfn.XLOOKUP(TabTRADER[[#This Row],[ClickTick]],TabCalc[Ticker],ListLastSalep),2)&amp;"x"&amp;_xlfn.XLOOKUP(TabTRADER[[#This Row],[ClickTick]],TabCalc[Ticker],ListLastSalen)&amp;"=   "&amp;TEXT(-_xlfn.XLOOKUP(TabTRADER[[#This Row],[ClickTick]],TabCalc[Ticker],ListReverseB),"#,#0")&amp;"$","")</f>
        <v>123.35x1000=   -13,576$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12.4% = 368</v>
      </c>
      <c r="I34" s="226" t="str">
        <f ca="1">IFERROR(TRUNC(TabCalc[[#This Row],[L_S1p]],2)&amp;"x"&amp;TabCalc[[#This Row],[L_S1n]]&amp;"=   "&amp;TEXT(TabCalc[[#This Row],[ReverseB1]],"#,#0"),"")</f>
        <v>123.53x1000=   13,753</v>
      </c>
      <c r="J34" s="295">
        <f ca="1">_xlfn.XLOOKUP(TabTRADER[[#This Row],[ClickTick]],TabCalc[Ticker],ListGravity)</f>
        <v>12.272937693568956</v>
      </c>
      <c r="K34" s="322" cm="1">
        <f t="array" aca="1" ref="K34" ca="1">IF(_xlfn.XLOOKUP(TabTRADER[[#This Row],[ClickTick]],TabTRADER[ClickTick],ListExtra_n)&gt;0,_xlfn.XLOOKUP(TabTRADER[[#This Row],[ClickTick]],TabTRADER[ClickTick],ListExtra_n),"")</f>
        <v>26000</v>
      </c>
      <c r="L34" s="320">
        <f ca="1">IF(_xlfn.XLOOKUP(TabTRADER[[#This Row],[ClickTick]],TabCalc[Ticker],ListExtra_n)&gt;0,_xlfn.XLOOKUP(TabTRADER[[#This Row],[ClickTick]],TabCalc[Ticker],ListExtra_n)*TabTRADER[[#This Row],[M]]*_xlfn.XLOOKUP(TabTRADER[[#This Row],[ClickTick]],TabCalc[Ticker],ListScale),"")</f>
        <v>2854280</v>
      </c>
      <c r="M34" s="323">
        <f ca="1">_xlfn.XLOOKUP(TabTRADER[[#This Row],[ClickTick]],TabCalc[Ticker],TabCalc[Agiotage])</f>
        <v>0.31860468043048967</v>
      </c>
      <c r="N34" s="324" cm="1">
        <f t="array" aca="1" ref="N34" ca="1">_xlfn.XLOOKUP(TabTRADER[[#This Row],[ClickTick]],ListTickers,Tab2RSIConventional[RSIConv20])</f>
        <v>11</v>
      </c>
      <c r="O34" s="703" t="str">
        <f ca="1">TEXT(_xlfn.XLOOKUP(TabTRADER[[#This Row],[ClickTick]],TabCalc[Ticker],TabCalc[Nbegin]),"#,#0")&amp;": "&amp;_xlfn.XLOOKUP(TabTRADER[[#This Row],[ClickTick]],TabCalc[Ticker],TabCalc[Pile?])</f>
        <v xml:space="preserve">4,000: </v>
      </c>
      <c r="P34" s="734">
        <f ca="1">_xlfn.XLOOKUP(TabTRADER[[#This Row],[ClickTick]],TabCalc[Ticker],TabCalc[L_Bn])</f>
        <v>5000</v>
      </c>
      <c r="Q34" s="728">
        <f ca="1">_xlfn.XLOOKUP(TabTRADER[[#This Row],[ClickTick]],TabCalc[Ticker],TabCalc[L_Bp])</f>
        <v>-109.68800000000002</v>
      </c>
      <c r="R34" s="764">
        <f ca="1">(TabTRADER[[#This Row],[M]]+TabTRADER[[#This Row],[L_Bp]])/ABS(TabTRADER[[#This Row],[L_Bp]])</f>
        <v>8.3874261541813622E-4</v>
      </c>
      <c r="S34" s="683">
        <f ca="1">_xlfn.XLOOKUP(TabTRADER[[#This Row],[ClickTick]],TabCalc[Ticker],TabCalc[Rev(MinStock)])*(1-Commission)</f>
        <v>458.80399999992289</v>
      </c>
      <c r="T34" s="782">
        <f ca="1">_xlfn.XLOOKUP(TabTRADER[[#This Row],[ClickTick]],TabCalc[Ticker],TabCalc[Agiotage])</f>
        <v>0.31860468043048967</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-91,200/-91,200=&gt;-3.8% / -3.8%</v>
      </c>
      <c r="V34" s="739" t="str">
        <f ca="1">_xlfn.XLOOKUP(TabTRADER[[#This Row],[ClickTick]],[1]!RTData[Ticker_Symbol],[1]!RTData[Currency])</f>
        <v>USD</v>
      </c>
      <c r="W34" s="749">
        <f ca="1">_xlfn.XLOOKUP(TabTRADER[[#This Row],[ClickTick]],TabCalc[Ticker],TabCalc[M])</f>
        <v>109.78</v>
      </c>
      <c r="X34" s="1315"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112.8935</v>
      </c>
      <c r="AB34" s="817" cm="1">
        <f t="array" aca="1" ref="AB34" ca="1">_xlfn.XLOOKUP(TabTRADER[[#This Row],[ClickTick]],ListTickers,Tab1ChangePercent[Change%19])</f>
        <v>-3.7776999999999998E-2</v>
      </c>
      <c r="AC34" s="768">
        <f ca="1">_xlfn.XLOOKUP(TabTRADER[[#This Row],[ClickTick]],TabCalc[Ticker],TabCalc[NAfter])</f>
        <v>30000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^1,445/3,293 K$</v>
      </c>
      <c r="AE34" s="1182"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65"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-109.69</v>
      </c>
      <c r="AG34" s="1165"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458.80399999992289</v>
      </c>
      <c r="AH34" s="1165" t="str" cm="1">
        <f t="array" aca="1" ref="AH34" ca="1">_xlfn.IFS(     TabTRADER[[#This Row],[Traps]]=MUp,MIN(TabTRADER[[#This Row],[L_Sn]],TabTRADER[[#This Row],[N]])*(TabTRADER[[#This Row],[M]]-TabTRADER[[#This Row],[L_Sp]])*(1-Commission)*TabTRADER[[#This Row],[Scale]],                                  TRUE,"M= "&amp;TabTRADER[[#This Row],[M]])</f>
        <v>M= 109.78</v>
      </c>
      <c r="AI34" s="1165" t="str" cm="1">
        <f t="array" aca="1" ref="AI34" ca="1">_xlfn.IFS(   TabTRADER[[#This Row],[Traps]]=MUp,TEXT(MIN(TabTRADER[[#This Row],[L_Sn]],TabTRADER[[#This Row],[N]]),"#,#0")&amp;" x "&amp;TEXT(TabTRADER[[#This Row],[L_Sp]],"#,#0.#0"),          TRUE,"")</f>
        <v/>
      </c>
      <c r="AJ34" s="1165"/>
      <c r="AK34" s="1165"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65"/>
      <c r="AM34" s="1165"/>
      <c r="AN34" s="1165"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458.80399999992289</v>
      </c>
      <c r="AO34" s="1174"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8.3874261541813622E-4</v>
      </c>
      <c r="AP34" s="1174"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5" t="str" cm="1">
        <f t="array" aca="1" ref="AQ34" ca="1">_xlfn.IFS(   TabTRADER[[#This Row],[Traps]]=SellMorePercentGain,                     MIN(TabTRADER[[#This Row],[L_Sn]],TabTRADER[[#This Row],[N]])*(TabTRADER[[#This Row],[M]]-TabTRADER[[#This Row],[L_Sp]])*(1-Commission)*TabTRADER[[#This Row],[Scale]],                    TRUE,"")</f>
        <v/>
      </c>
      <c r="AR34" s="1163">
        <f ca="1">_xlfn.XLOOKUP(TabTRADER[[#This Row],[ClickTick]],TabCalc[Ticker],TabCalc[Ann%RevLB])</f>
        <v>1.1613359290404962E-2</v>
      </c>
      <c r="AS34" s="1267">
        <f ca="1">_xlfn.XLOOKUP(TabTRADER[[#This Row],[ClickTick]],TabCalc[Ticker],TabCalc[Up20])</f>
        <v>0</v>
      </c>
      <c r="AT34" s="1175"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5" t="str" cm="1">
        <f t="array" aca="1" ref="AU34" ca="1">_xlfn.IFS(         TabTRADER[[#This Row],[Traps]]=MDown,TabTRADER[[#This Row],[L_Bn]]*TabTRADER[[#This Row],[M]]*(-(TabTRADER[[#This Row],[L_Bp]]+TabTRADER[[#This Row],[M]])/TabTRADER[[#This Row],[M]])*(1-Commission)*TabTRADER[[#This Row],[Scale]],                               TRUE,"")</f>
        <v/>
      </c>
      <c r="AV34" s="1174" t="str" cm="1">
        <f t="array" aca="1" ref="AV34" ca="1">_xlfn.IFS(   TabTRADER[[#This Row],[Traps]]=MUp,TabTRADER[[#This Row],[TakeGain_A]]-Commission,        TabTRADER[[#This Row],[Traps]]=MDown,(TabTRADER[[#This Row],[A]]-TabTRADER[[#This Row],[M]])/TabTRADER[[#This Row],[M]]-Commission,                              TRUE,"")</f>
        <v/>
      </c>
      <c r="AW34" s="825"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-90592.819760748011</v>
      </c>
      <c r="AX34" s="760"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-2.5%</v>
      </c>
      <c r="AY34" s="736"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5" t="str" cm="1">
        <f t="array" aca="1" ref="AZ34" ca="1">_xlfn.IFS(TabTRADER[[#This Row],[Traps]]=Sale_Back,"",         TabTRADER[[#This Row],[Traps]]=MDown, (TabTRADER[[#This Row],[M]]-TabTRADER[[#This Row],[A]])/TabTRADER[[#This Row],[A]]*ComFactor,             TRUE, IFERROR((TabTRADER[[#This Row],[M]]-TabTRADER[[#This Row],[A]])/TabTRADER[[#This Row],[A]]*ComFactor,""))</f>
        <v/>
      </c>
      <c r="BA34" s="762" cm="1">
        <f t="array" aca="1" ref="BA34" ca="1">_xlfn.IFS(               TabTRADER[[#This Row],[Traps]]=NoStock,(TabTRADER[[#This Row],[L_Sp]]-TabTRADER[[#This Row],[M]])/TabTRADER[[#This Row],[M]]-Commission,             TabTRADER[[#This Row],[A]]&lt;&gt;0,(TabTRADER[[#This Row],[A]]-TabTRADER[[#This Row],[M]])/TabTRADER[[#This Row],[M]]-Commission)</f>
        <v>2.5761267990526526E-2</v>
      </c>
      <c r="BB34" s="324">
        <f ca="1">_xlfn.XLOOKUP(TabTRADER[[#This Row],[ClickTick]],TabCalc[Ticker],TabCalc[L_Sn])</f>
        <v>1000</v>
      </c>
      <c r="BC34" s="728">
        <f ca="1">_xlfn.XLOOKUP(TabTRADER[[#This Row],[ClickTick]],TabCalc[Ticker],TabCalc[L_Sp])</f>
        <v>123.35599999999999</v>
      </c>
      <c r="BD34" s="764">
        <f ca="1">-IFERROR((TabTRADER[[#This Row],[M]]-TabTRADER[[#This Row],[L_Sp]])/TabTRADER[[#This Row],[L_Sp]],0)</f>
        <v>0.11005544926878298</v>
      </c>
      <c r="BE34" s="729">
        <f ca="1">TabTRADER[[#This Row],[L_Sn]]*(TabTRADER[[#This Row],[M]]-TabTRADER[[#This Row],[L_Sp]])*(1-Commission)*TabTRADER[[#This Row],[Scale]]</f>
        <v>-13540.702399999993</v>
      </c>
      <c r="BF34" s="692">
        <f ca="1">TabTRADER[[#This Row],[L_Sn]]*(TabTRADER[[#This Row],[Agiotage]]-TabTRADER[[#This Row],[M]])/(TabTRADER[[#This Row],[L_Bn]]*TabTRADER[[#This Row],[M]])</f>
        <v>-0.19941955787861088</v>
      </c>
      <c r="BG34" s="635">
        <f ca="1">IFERROR((TabTRADER[[#This Row],[M]]-TabTRADER[[#This Row],[A]])/TabTRADER[[#This Row],[A]],0)</f>
        <v>-2.7579090027326655E-2</v>
      </c>
      <c r="BH34" s="638" t="str">
        <f ca="1">TEXT(_xlfn.XLOOKUP(TabTRADER[[#This Row],[ClickTick]],TabCalc[Ticker],TabCalc[NAfter]),"#,#0")&amp;" : "&amp;TEXT(_xlfn.XLOOKUP(TabTRADER[[#This Row],[ClickTick]],TabCalc[Ticker],TabCalc[NAfter])*(TabTRADER[[#This Row],[M]]-TabTRADER[[#This Row],[A]])*(1-Commission)*TabTRADER[[#This Row],[Scale]],"#,#0$")</f>
        <v>30,000 : -93,162$</v>
      </c>
      <c r="BI34" s="684">
        <f ca="1">_xlfn.XLOOKUP(TabTRADER[[#This Row],[ClickTick]],TabCalc[[#This Row],[Ticker]],TabCalc[[#This Row],[GL]])*(1-Commission)</f>
        <v>1441237.9784640276</v>
      </c>
      <c r="BJ34" s="684"/>
      <c r="BK34" s="669" t="str">
        <f ca="1">TabTRADER[[#This Row],[ClickTick]]&amp;": "&amp;_xlfn.XLOOKUP(TabTRADER[[#This Row],[ClickTick]],TabCalc[Ticker],TabCalc[Pile?])</f>
        <v xml:space="preserve">NFLX: </v>
      </c>
      <c r="BL34" s="351" t="s">
        <v>1992</v>
      </c>
      <c r="BM34" s="755" t="str" cm="1">
        <f t="array" aca="1" ref="BM34" ca="1">_xlfn.TEXTJOIN("",,INDEX({"M","A","Y"}, _xlfn.SORTBY({1,2,3}, -CHOOSE({1,2,3}, TabTRADER[[#This Row],[M]], TabTRADER[[#This Row],[A]], TabTRADER[[#This Row],[Agiotage]]))))</f>
        <v>AMY</v>
      </c>
      <c r="BN34" s="902"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9" t="e">
        <f ca="1">TabTRADER[[#This Row],[L_Sn]]*TabTRADER[[#This Row],[L_Sp]]+TabTRADER[[#This Row],[SellMore]]*TabTRADER[[#This Row],[M]]</f>
        <v>#N/A</v>
      </c>
      <c r="BP34" s="679" t="e">
        <f ca="1">INDEX(
  INDEX(TabConsolid[], , _xlfn.XMATCH(TabTRADER[[#This Row],[ClickTick]]&amp;1, TabConsolid[#Headers])),
  MATCH(
    -TabTRADER[[#This Row],[M]],
    INDEX(TabConsolid[], , _xlfn.XMATCH(TabTRADER[[#This Row],[ClickTick]]&amp;2, TabConsolid[#Headers])),
    -1
  )
)</f>
        <v>#N/A</v>
      </c>
      <c r="BQ34" s="679"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34" s="1144" t="e">
        <f ca="1">TabTRADER[[#This Row],[ReBuy]]/(TabTRADER[[#This Row],[L_Sn]]+TabTRADER[[#This Row],[SellMore]])</f>
        <v>#N/A</v>
      </c>
      <c r="BS34" s="687">
        <f ca="1">((_xlfn.XLOOKUP(TabTRADER[[#This Row],[ClickTick]],TabCalc[Ticker],TabCalc[NAfter])+TabTRADER[[#This Row],[L_Sn]])*(TabTRADER[[#This Row],[Agiotage]]-TabTRADER[[#This Row],[M]]))/(TabTRADER[[#This Row],[L_Sn]]*_xlfn.XLOOKUP(TabTRADER[[#This Row],[ClickTick]],TabCalc[Ticker],TabCalc[NAfter]))</f>
        <v>-0.11311010849688849</v>
      </c>
      <c r="BT34" s="687">
        <f ca="1">(TabTRADER[[#This Row],[M]]-TabTRADER[[#This Row],[Agiotage]])/(TabTRADER[[#This Row],[M]]-TabTRADER[[#This Row],[A]])-1</f>
        <v>-36.157024351877126</v>
      </c>
      <c r="BU34" s="1262">
        <f ca="1">_xlfn.XMATCH(TabTRADER[[#This Row],[ClickTick]]&amp;1, TabConsolid[#Headers])</f>
        <v>95</v>
      </c>
      <c r="BV34" t="b">
        <f ca="1">IF(ABS(TabTRADER[[#This Row],[L_Bp]])&gt;=TabTRADER[[#This Row],[M]],"OK")</f>
        <v>0</v>
      </c>
    </row>
    <row r="35" spans="1:74" ht="22" hidden="1"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-2,100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-29.6%</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-8,175$</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14.78923943661972</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0.41464384557603706</v>
      </c>
      <c r="N35" s="324" cm="1">
        <f t="array" aca="1" ref="N35" ca="1">_xlfn.XLOOKUP(TabTRADER[[#This Row],[ClickTick]],ListTickers,Tab2RSIConventional[RSIConv20])</f>
        <v>57</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-0.22826086956521738</v>
      </c>
      <c r="S35" s="683">
        <f ca="1">_xlfn.XLOOKUP(TabTRADER[[#This Row],[ClickTick]],TabCalc[Ticker],TabCalc[Rev(MinStock)])*(1-Commission)</f>
        <v>-2094.3305459999992</v>
      </c>
      <c r="T35" s="782">
        <f ca="1">_xlfn.XLOOKUP(TabTRADER[[#This Row],[ClickTick]],TabCalc[Ticker],TabCalc[Agiotage])</f>
        <v>0.41464384557603706</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-3,000/-3,000=&gt;-4.9% / -4.9%</v>
      </c>
      <c r="V35" s="739" t="str">
        <f ca="1">_xlfn.XLOOKUP(TabTRADER[[#This Row],[ClickTick]],[1]!RTData[Ticker_Symbol],[1]!RTData[Currency])</f>
        <v>USD</v>
      </c>
      <c r="W35" s="749">
        <f ca="1">_xlfn.XLOOKUP(TabTRADER[[#This Row],[ClickTick]],TabCalc[Ticker],TabCalc[M])</f>
        <v>2.13</v>
      </c>
      <c r="X35" s="1315"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-4.9107000000000005E-2</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-198/64 K$</v>
      </c>
      <c r="AE35" s="1182"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65"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65"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65" t="str" cm="1">
        <f t="array" aca="1" ref="AH35" ca="1">_xlfn.IFS(     TabTRADER[[#This Row],[Traps]]=MUp,MIN(TabTRADER[[#This Row],[L_Sn]],TabTRADER[[#This Row],[N]])*(TabTRADER[[#This Row],[M]]-TabTRADER[[#This Row],[L_Sp]])*(1-Commission)*TabTRADER[[#This Row],[Scale]],                                  TRUE,"M= "&amp;TabTRADER[[#This Row],[M]])</f>
        <v>M= 2.13</v>
      </c>
      <c r="AI35" s="1165" t="str" cm="1">
        <f t="array" aca="1" ref="AI35" ca="1">_xlfn.IFS(   TabTRADER[[#This Row],[Traps]]=MUp,TEXT(MIN(TabTRADER[[#This Row],[L_Sn]],TabTRADER[[#This Row],[N]]),"#,#0")&amp;" x "&amp;TEXT(TabTRADER[[#This Row],[L_Sp]],"#,#0.#0"),          TRUE,"")</f>
        <v/>
      </c>
      <c r="AJ35" s="1165"/>
      <c r="AK35" s="1165"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2094.3305459999992</v>
      </c>
      <c r="AL35" s="1165"/>
      <c r="AM35" s="1165"/>
      <c r="AN35" s="1165"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63900</v>
      </c>
      <c r="AO35" s="1174"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0.77424682722637073</v>
      </c>
      <c r="AP35" s="1174"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0.29317464788732389</v>
      </c>
      <c r="AQ35" s="825" t="str" cm="1">
        <f t="array" aca="1" ref="AQ35" ca="1">_xlfn.IFS(   TabTRADER[[#This Row],[Traps]]=SellMorePercentGain,                     MIN(TabTRADER[[#This Row],[L_Sn]],TabTRADER[[#This Row],[N]])*(TabTRADER[[#This Row],[M]]-TabTRADER[[#This Row],[L_Sp]])*(1-Commission)*TabTRADER[[#This Row],[Scale]],                    TRUE,"")</f>
        <v/>
      </c>
      <c r="AR35" s="1180">
        <f ca="1">_xlfn.XLOOKUP(TabTRADER[[#This Row],[ClickTick]],TabCalc[Ticker],TabCalc[Ann%RevLB])</f>
        <v>-10.271739130434781</v>
      </c>
      <c r="AS35" s="1266">
        <f ca="1">_xlfn.XLOOKUP(TabTRADER[[#This Row],[ClickTick]],TabCalc[Ticker],TabCalc[Up20])</f>
        <v>0</v>
      </c>
      <c r="AT35" s="1175"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0.29577464788732388</v>
      </c>
      <c r="AU35" s="825" cm="1">
        <f t="array" aca="1" ref="AU35" ca="1">_xlfn.IFS(         TabTRADER[[#This Row],[Traps]]=MDown,TabTRADER[[#This Row],[L_Bn]]*TabTRADER[[#This Row],[M]]*(-(TabTRADER[[#This Row],[L_Bp]]+TabTRADER[[#This Row],[M]])/TabTRADER[[#This Row],[M]])*(1-Commission)*TabTRADER[[#This Row],[Scale]],                               TRUE,"")</f>
        <v>2094.3305459999992</v>
      </c>
      <c r="AV35" s="1174" cm="1">
        <f t="array" aca="1" ref="AV35" ca="1">_xlfn.IFS(   TabTRADER[[#This Row],[Traps]]=MUp,TabTRADER[[#This Row],[TakeGain_A]]-Commission,        TabTRADER[[#This Row],[Traps]]=MDown,(TabTRADER[[#This Row],[A]]-TabTRADER[[#This Row],[M]])/TabTRADER[[#This Row],[M]]-Commission,                              TRUE,"")</f>
        <v>3.4270165928207588</v>
      </c>
      <c r="AW35" s="760"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218582.70378051524</v>
      </c>
      <c r="AX35" s="760"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35" s="736"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-0.63</v>
      </c>
      <c r="AZ35" s="765" cm="1">
        <f t="array" aca="1" ref="AZ35" ca="1">_xlfn.IFS(TabTRADER[[#This Row],[Traps]]=Sale_Back,"",         TabTRADER[[#This Row],[Traps]]=MDown, (TabTRADER[[#This Row],[M]]-TabTRADER[[#This Row],[A]])/TabTRADER[[#This Row],[A]]*ComFactor,             TRUE, IFERROR((TabTRADER[[#This Row],[M]]-TabTRADER[[#This Row],[A]])/TabTRADER[[#This Row],[A]]*ComFactor,""))</f>
        <v>-0.77223378547558208</v>
      </c>
      <c r="BA35" s="762" cm="1">
        <f t="array" aca="1" ref="BA35" ca="1">_xlfn.IFS(               TabTRADER[[#This Row],[Traps]]=NoStock,(TabTRADER[[#This Row],[L_Sp]]-TabTRADER[[#This Row],[M]])/TabTRADER[[#This Row],[M]]-Commission,             TabTRADER[[#This Row],[A]]&lt;&gt;0,(TabTRADER[[#This Row],[A]]-TabTRADER[[#This Row],[M]])/TabTRADER[[#This Row],[M]]-Commission)</f>
        <v>3.4270165928207588</v>
      </c>
      <c r="BB35" s="324">
        <f ca="1">_xlfn.XLOOKUP(TabTRADER[[#This Row],[ClickTick]],TabCalc[Ticker],TabCalc[L_Sn])</f>
        <v>0</v>
      </c>
      <c r="BC35" s="728">
        <f ca="1">_xlfn.XLOOKUP(TabTRADER[[#This Row],[ClickTick]],TabCalc[Ticker],TabCalc[L_Sp])</f>
        <v>0</v>
      </c>
      <c r="BD35" s="764">
        <f ca="1">-IFERROR((TabTRADER[[#This Row],[M]]-TabTRADER[[#This Row],[L_Sp]])/TabTRADER[[#This Row],[L_Sp]],0)</f>
        <v>0</v>
      </c>
      <c r="BE35" s="729">
        <f ca="1">TabTRADER[[#This Row],[L_Sn]]*(TabTRADER[[#This Row],[M]]-TabTRADER[[#This Row],[L_Sp]])*(1-Commission)*TabTRADER[[#This Row],[Scale]]</f>
        <v>0</v>
      </c>
      <c r="BF35" s="692">
        <f ca="1">TabTRADER[[#This Row],[L_Sn]]*(TabTRADER[[#This Row],[Agiotage]]-TabTRADER[[#This Row],[M]])/(TabTRADER[[#This Row],[L_Bn]]*TabTRADER[[#This Row],[M]])</f>
        <v>0</v>
      </c>
      <c r="BG35" s="635">
        <f ca="1">IFERROR((TabTRADER[[#This Row],[M]]-TabTRADER[[#This Row],[A]])/TabTRADER[[#This Row],[A]],0)</f>
        <v>-0.77424682722637073</v>
      </c>
      <c r="BH35" s="638" t="str">
        <f ca="1">TEXT(_xlfn.XLOOKUP(TabTRADER[[#This Row],[ClickTick]],TabCalc[Ticker],TabCalc[NAfter]),"#,#0")&amp;" : "&amp;TEXT(_xlfn.XLOOKUP(TabTRADER[[#This Row],[ClickTick]],TabCalc[Ticker],TabCalc[NAfter])*(TabTRADER[[#This Row],[M]]-TabTRADER[[#This Row],[A]])*(1-Commission)*TabTRADER[[#This Row],[Scale]],"#,#0$")</f>
        <v>30,000 : -218,583$</v>
      </c>
      <c r="BI35" s="684">
        <f ca="1">_xlfn.XLOOKUP(TabTRADER[[#This Row],[ClickTick]],TabCalc[[#This Row],[Ticker]],TabCalc[[#This Row],[GL]])*(1-Commission)</f>
        <v>-197234.53249793485</v>
      </c>
      <c r="BJ35" s="684"/>
      <c r="BK35" s="669" t="str">
        <f ca="1">TabTRADER[[#This Row],[ClickTick]]&amp;": "&amp;_xlfn.XLOOKUP(TabTRADER[[#This Row],[ClickTick]],TabCalc[Ticker],TabCalc[Pile?])</f>
        <v>NOTE: Pile</v>
      </c>
      <c r="BL35" s="351" t="s">
        <v>1993</v>
      </c>
      <c r="BM35" s="755" t="str" cm="1">
        <f t="array" aca="1" ref="BM35" ca="1">_xlfn.TEXTJOIN("",,INDEX({"M","A","Y"}, _xlfn.SORTBY({1,2,3}, -CHOOSE({1,2,3}, TabTRADER[[#This Row],[M]], TabTRADER[[#This Row],[A]], TabTRADER[[#This Row],[Agiotage]]))))</f>
        <v>AMY</v>
      </c>
      <c r="BN35" s="902"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0.29577464788732388</v>
      </c>
      <c r="BO35" s="679" t="e">
        <f ca="1">TabTRADER[[#This Row],[L_Sn]]*TabTRADER[[#This Row],[L_Sp]]+TabTRADER[[#This Row],[SellMore]]*TabTRADER[[#This Row],[M]]</f>
        <v>#N/A</v>
      </c>
      <c r="BP35" s="679" t="e">
        <f ca="1">INDEX(
  INDEX(TabConsolid[], , _xlfn.XMATCH(TabTRADER[[#This Row],[ClickTick]]&amp;1, TabConsolid[#Headers])),
  MATCH(
    -TabTRADER[[#This Row],[M]],
    INDEX(TabConsolid[], , _xlfn.XMATCH(TabTRADER[[#This Row],[ClickTick]]&amp;2, TabConsolid[#Headers])),
    -1
  )
)</f>
        <v>#N/A</v>
      </c>
      <c r="BQ35" s="679"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35" s="1144" t="e">
        <f ca="1">TabTRADER[[#This Row],[ReBuy]]/(TabTRADER[[#This Row],[L_Sn]]+TabTRADER[[#This Row],[SellMore]])</f>
        <v>#N/A</v>
      </c>
      <c r="BS35" s="687" t="e">
        <f ca="1">((_xlfn.XLOOKUP(TabTRADER[[#This Row],[ClickTick]],TabCalc[Ticker],TabCalc[NAfter])+TabTRADER[[#This Row],[L_Sn]])*(TabTRADER[[#This Row],[Agiotage]]-TabTRADER[[#This Row],[M]]))/(TabTRADER[[#This Row],[L_Sn]]*_xlfn.XLOOKUP(TabTRADER[[#This Row],[ClickTick]],TabCalc[Ticker],TabCalc[NAfter]))</f>
        <v>#DIV/0!</v>
      </c>
      <c r="BT35" s="687">
        <f ca="1">(TabTRADER[[#This Row],[M]]-TabTRADER[[#This Row],[Agiotage]])/(TabTRADER[[#This Row],[M]]-TabTRADER[[#This Row],[A]])-1</f>
        <v>-1.2348167808566066</v>
      </c>
      <c r="BU35" s="1262">
        <f ca="1">_xlfn.XMATCH(TabTRADER[[#This Row],[ClickTick]]&amp;1, TabConsolid[#Headers])</f>
        <v>98</v>
      </c>
      <c r="BV35" t="str">
        <f ca="1">IF(ABS(TabTRADER[[#This Row],[L_Bp]])&gt;=TabTRADER[[#This Row],[M]],"OK")</f>
        <v>OK</v>
      </c>
    </row>
    <row r="36" spans="1:74" ht="22" hidden="1"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+4,155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13,774</v>
      </c>
      <c r="F36" s="226" t="str">
        <f ca="1">TRUNC(TabCalc[[#This Row],[L_B1p]],2)&amp;"x"&amp;TabCalc[[#This Row],[L_B1n]]&amp;"=   "&amp;TEXT(TabCalc[[#This Row],[ReverseS1]],"#,#0")&amp;"$"</f>
        <v>-27.53x1000=   10,960$</v>
      </c>
      <c r="G36" s="225" t="str">
        <f ca="1">IFERROR(TRUNC(_xlfn.XLOOKUP(TabTRADER[[#This Row],[ClickTick]],TabCalc[Ticker],ListLastSalep),2)&amp;"x"&amp;_xlfn.XLOOKUP(TabTRADER[[#This Row],[ClickTick]],TabCalc[Ticker],ListLastSalen)&amp;"=   "&amp;TEXT(-_xlfn.XLOOKUP(TabTRADER[[#This Row],[ClickTick]],TabCalc[Ticker],ListReverseB),"#,#0")&amp;"$","")</f>
        <v>38.85x2000=   -726$</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13,774</v>
      </c>
      <c r="I36" s="226" t="str">
        <f ca="1">IFERROR(TRUNC(TabCalc[[#This Row],[L_S1p]],2)&amp;"x"&amp;TabCalc[[#This Row],[L_S1n]]&amp;"=   "&amp;TEXT(TabCalc[[#This Row],[ReverseB1]],"#,#0"),"")</f>
        <v>39.3x500=   405</v>
      </c>
      <c r="J36" s="295">
        <f ca="1">_xlfn.XLOOKUP(TabTRADER[[#This Row],[ClickTick]],TabCalc[Ticker],ListGravity)</f>
        <v>1.2178487918939984</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0.41100608779237424</v>
      </c>
      <c r="N36" s="324" cm="1">
        <f t="array" aca="1" ref="N36" ca="1">_xlfn.XLOOKUP(TabTRADER[[#This Row],[ClickTick]],ListTickers,Tab2RSIConventional[RSIConv20])</f>
        <v>47</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7.7547592385218453E-2</v>
      </c>
      <c r="S36" s="683">
        <f ca="1">_xlfn.XLOOKUP(TabTRADER[[#This Row],[ClickTick]],TabCalc[Ticker],TabCalc[Rev(MinStock)])*(1-Commission)</f>
        <v>4144.1970000000047</v>
      </c>
      <c r="T36" s="782">
        <f ca="1">_xlfn.XLOOKUP(TabTRADER[[#This Row],[ClickTick]],TabCalc[Ticker],TabCalc[Agiotage])</f>
        <v>0.41100608779237424</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-740/-740=&gt;1.1% / 1.1%</v>
      </c>
      <c r="V36" s="739" t="str">
        <f ca="1">_xlfn.XLOOKUP(TabTRADER[[#This Row],[ClickTick]],[1]!RTData[Ticker_Symbol],[1]!RTData[Currency])</f>
        <v>USD</v>
      </c>
      <c r="W36" s="749">
        <f ca="1">_xlfn.XLOOKUP(TabTRADER[[#This Row],[ClickTick]],TabCalc[Ticker],TabCalc[M])</f>
        <v>38.49</v>
      </c>
      <c r="X36" s="1315"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1.1032E-2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^87/77 K$</v>
      </c>
      <c r="AE36" s="1182"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65"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38.85</v>
      </c>
      <c r="AG36" s="1165"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724.11239999999907</v>
      </c>
      <c r="AH36" s="1165" t="str" cm="1">
        <f t="array" aca="1" ref="AH36" ca="1">_xlfn.IFS(     TabTRADER[[#This Row],[Traps]]=MUp,MIN(TabTRADER[[#This Row],[L_Sn]],TabTRADER[[#This Row],[N]])*(TabTRADER[[#This Row],[M]]-TabTRADER[[#This Row],[L_Sp]])*(1-Commission)*TabTRADER[[#This Row],[Scale]],                                  TRUE,"M= "&amp;TabTRADER[[#This Row],[M]])</f>
        <v>M= 38.49</v>
      </c>
      <c r="AI36" s="1165" t="str" cm="1">
        <f t="array" aca="1" ref="AI36" ca="1">_xlfn.IFS(   TabTRADER[[#This Row],[Traps]]=MUp,TEXT(MIN(TabTRADER[[#This Row],[L_Sn]],TabTRADER[[#This Row],[N]]),"#,#0")&amp;" x "&amp;TEXT(TabTRADER[[#This Row],[L_Sp]],"#,#0.#0"),          TRUE,"")</f>
        <v/>
      </c>
      <c r="AJ36" s="1165"/>
      <c r="AK36" s="1165"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65"/>
      <c r="AM36" s="1165"/>
      <c r="AN36" s="1165"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724.11239999999907</v>
      </c>
      <c r="AO36" s="1174"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9.3429078835611037E-3</v>
      </c>
      <c r="AP36" s="1174"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5" t="str" cm="1">
        <f t="array" aca="1" ref="AQ36" ca="1">_xlfn.IFS(   TabTRADER[[#This Row],[Traps]]=SellMorePercentGain,                     MIN(TabTRADER[[#This Row],[L_Sn]],TabTRADER[[#This Row],[N]])*(TabTRADER[[#This Row],[M]]-TabTRADER[[#This Row],[L_Sp]])*(1-Commission)*TabTRADER[[#This Row],[Scale]],                    TRUE,"")</f>
        <v/>
      </c>
      <c r="AR36" s="1266">
        <f ca="1">_xlfn.XLOOKUP(TabTRADER[[#This Row],[ClickTick]],TabCalc[Ticker],TabCalc[Ann%RevLB])</f>
        <v>0.96265976754064286</v>
      </c>
      <c r="AS36" s="1266">
        <f ca="1">_xlfn.XLOOKUP(TabTRADER[[#This Row],[ClickTick]],TabCalc[Ticker],TabCalc[Up20])</f>
        <v>0</v>
      </c>
      <c r="AT36" s="1175"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5" t="str" cm="1">
        <f t="array" aca="1" ref="AU36" ca="1">_xlfn.IFS(         TabTRADER[[#This Row],[Traps]]=MDown,TabTRADER[[#This Row],[L_Bn]]*TabTRADER[[#This Row],[M]]*(-(TabTRADER[[#This Row],[L_Bp]]+TabTRADER[[#This Row],[M]])/TabTRADER[[#This Row],[M]])*(1-Commission)*TabTRADER[[#This Row],[Scale]],                               TRUE,"")</f>
        <v/>
      </c>
      <c r="AV36" s="1174" t="str" cm="1">
        <f t="array" aca="1" ref="AV36" ca="1">_xlfn.IFS(   TabTRADER[[#This Row],[Traps]]=MUp,TabTRADER[[#This Row],[TakeGain_A]]-Commission,        TabTRADER[[#This Row],[Traps]]=MDown,(TabTRADER[[#This Row],[A]]-TabTRADER[[#This Row],[M]])/TabTRADER[[#This Row],[M]]-Commission,                              TRUE,"")</f>
        <v/>
      </c>
      <c r="AW36" s="825"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18426.965</v>
      </c>
      <c r="AX36" s="760"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36" s="736"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5" cm="1">
        <f t="array" aca="1" ref="AZ36" ca="1">_xlfn.IFS(TabTRADER[[#This Row],[Traps]]=Sale_Back,"",         TabTRADER[[#This Row],[Traps]]=MDown, (TabTRADER[[#This Row],[M]]-TabTRADER[[#This Row],[A]])/TabTRADER[[#This Row],[A]]*ComFactor,             TRUE, IFERROR((TabTRADER[[#This Row],[M]]-TabTRADER[[#This Row],[A]])/TabTRADER[[#This Row],[A]]*ComFactor,""))</f>
        <v>0.31496393470643536</v>
      </c>
      <c r="BA36" s="762" cm="1">
        <f t="array" aca="1" ref="BA36" ca="1">_xlfn.IFS(               TabTRADER[[#This Row],[Traps]]=NoStock,(TabTRADER[[#This Row],[L_Sp]]-TabTRADER[[#This Row],[M]])/TabTRADER[[#This Row],[M]]-Commission,             TabTRADER[[#This Row],[A]]&lt;&gt;0,(TabTRADER[[#This Row],[A]]-TabTRADER[[#This Row],[M]])/TabTRADER[[#This Row],[M]]-Commission)</f>
        <v>-0.24259740192257728</v>
      </c>
      <c r="BB36" s="324">
        <f ca="1">_xlfn.XLOOKUP(TabTRADER[[#This Row],[ClickTick]],TabCalc[Ticker],TabCalc[L_Sn])</f>
        <v>2000</v>
      </c>
      <c r="BC36" s="728">
        <f ca="1">_xlfn.XLOOKUP(TabTRADER[[#This Row],[ClickTick]],TabCalc[Ticker],TabCalc[L_Sp])</f>
        <v>38.853000000000002</v>
      </c>
      <c r="BD36" s="764">
        <f ca="1">-IFERROR((TabTRADER[[#This Row],[M]]-TabTRADER[[#This Row],[L_Sp]])/TabTRADER[[#This Row],[L_Sp]],0)</f>
        <v>9.3429078835611037E-3</v>
      </c>
      <c r="BE36" s="729">
        <f ca="1">TabTRADER[[#This Row],[L_Sn]]*(TabTRADER[[#This Row],[M]]-TabTRADER[[#This Row],[L_Sp]])*(1-Commission)*TabTRADER[[#This Row],[Scale]]</f>
        <v>-724.11239999999907</v>
      </c>
      <c r="BF36" s="692">
        <f ca="1">TabTRADER[[#This Row],[L_Sn]]*(TabTRADER[[#This Row],[Agiotage]]-TabTRADER[[#This Row],[M]])/(TabTRADER[[#This Row],[L_Bn]]*TabTRADER[[#This Row],[M]])</f>
        <v>-1.3190956581694859</v>
      </c>
      <c r="BG36" s="635">
        <f ca="1">IFERROR((TabTRADER[[#This Row],[M]]-TabTRADER[[#This Row],[A]])/TabTRADER[[#This Row],[A]],0)</f>
        <v>0.31578497564310742</v>
      </c>
      <c r="BH36" s="638" t="str">
        <f ca="1">TEXT(_xlfn.XLOOKUP(TabTRADER[[#This Row],[ClickTick]],TabCalc[Ticker],TabCalc[NAfter]),"#,#0")&amp;" : "&amp;TEXT(_xlfn.XLOOKUP(TabTRADER[[#This Row],[ClickTick]],TabCalc[Ticker],TabCalc[NAfter])*(TabTRADER[[#This Row],[M]]-TabTRADER[[#This Row],[A]])*(1-Commission)*TabTRADER[[#This Row],[Scale]],"#,#0$")</f>
        <v>2,000 : 18,427$</v>
      </c>
      <c r="BI36" s="684">
        <f ca="1">_xlfn.XLOOKUP(TabTRADER[[#This Row],[ClickTick]],TabCalc[[#This Row],[Ticker]],TabCalc[[#This Row],[GL]])*(1-Commission)</f>
        <v>87043.703651201984</v>
      </c>
      <c r="BJ36" s="684"/>
      <c r="BK36" s="669" t="str">
        <f ca="1">TabTRADER[[#This Row],[ClickTick]]&amp;": "&amp;_xlfn.XLOOKUP(TabTRADER[[#This Row],[ClickTick]],TabCalc[Ticker],TabCalc[Pile?])</f>
        <v xml:space="preserve">PAAS: </v>
      </c>
      <c r="BL36" s="351" t="s">
        <v>1994</v>
      </c>
      <c r="BM36" s="755" t="str" cm="1">
        <f t="array" aca="1" ref="BM36" ca="1">_xlfn.TEXTJOIN("",,INDEX({"M","A","Y"}, _xlfn.SORTBY({1,2,3}, -CHOOSE({1,2,3}, TabTRADER[[#This Row],[M]], TabTRADER[[#This Row],[A]], TabTRADER[[#This Row],[Agiotage]]))))</f>
        <v>MAY</v>
      </c>
      <c r="BN36" s="902"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9">
        <f ca="1">TabTRADER[[#This Row],[L_Sn]]*TabTRADER[[#This Row],[L_Sp]]+TabTRADER[[#This Row],[SellMore]]*TabTRADER[[#This Row],[M]]</f>
        <v>135441</v>
      </c>
      <c r="BP36" s="679">
        <f ca="1">INDEX(
  INDEX(TabConsolid[], , _xlfn.XMATCH(TabTRADER[[#This Row],[ClickTick]]&amp;1, TabConsolid[#Headers])),
  MATCH(
    -TabTRADER[[#This Row],[M]],
    INDEX(TabConsolid[], , _xlfn.XMATCH(TabTRADER[[#This Row],[ClickTick]]&amp;2, TabConsolid[#Headers])),
    -1
  )
)</f>
        <v>1500</v>
      </c>
      <c r="BQ36" s="679"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44">
        <f ca="1">TabTRADER[[#This Row],[ReBuy]]/(TabTRADER[[#This Row],[L_Sn]]+TabTRADER[[#This Row],[SellMore]])</f>
        <v>38.697428571428574</v>
      </c>
      <c r="BS36" s="687">
        <f ca="1">((_xlfn.XLOOKUP(TabTRADER[[#This Row],[ClickTick]],TabCalc[Ticker],TabCalc[NAfter])+TabTRADER[[#This Row],[L_Sn]])*(TabTRADER[[#This Row],[Agiotage]]-TabTRADER[[#This Row],[M]]))/(TabTRADER[[#This Row],[L_Sn]]*_xlfn.XLOOKUP(TabTRADER[[#This Row],[ClickTick]],TabCalc[Ticker],TabCalc[NAfter]))</f>
        <v>-3.8078993912207634E-2</v>
      </c>
      <c r="BT36" s="687">
        <f ca="1">(TabTRADER[[#This Row],[M]]-TabTRADER[[#This Row],[Agiotage]])/(TabTRADER[[#This Row],[M]]-TabTRADER[[#This Row],[A]])-1</f>
        <v>3.1222185561253184</v>
      </c>
      <c r="BU36" s="1262">
        <f ca="1">_xlfn.XMATCH(TabTRADER[[#This Row],[ClickTick]]&amp;1, TabConsolid[#Headers])</f>
        <v>101</v>
      </c>
      <c r="BV36" t="b">
        <f ca="1">IF(ABS(TabTRADER[[#This Row],[L_Bp]])&gt;=TabTRADER[[#This Row],[M]],"OK")</f>
        <v>0</v>
      </c>
    </row>
    <row r="37" spans="1:74" hidden="1"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+3,200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13.4%</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-470$</v>
      </c>
      <c r="G37" s="225" t="str">
        <f ca="1">IFERROR(TRUNC(_xlfn.XLOOKUP(TabTRADER[[#This Row],[ClickTick]],TabCalc[Ticker],ListLastSalep),2)&amp;"x"&amp;_xlfn.XLOOKUP(TabTRADER[[#This Row],[ClickTick]],TabCalc[Ticker],ListLastSalen)&amp;"=   "&amp;TEXT(-_xlfn.XLOOKUP(TabTRADER[[#This Row],[ClickTick]],TabCalc[Ticker],ListReverseB),"#,#0")&amp;"$","")</f>
        <v>5.61x2000=   760$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37" s="226" t="str">
        <f ca="1">IFERROR(TRUNC(TabCalc[[#This Row],[L_S1p]],2)&amp;"x"&amp;TabCalc[[#This Row],[L_S1n]]&amp;"=   "&amp;TEXT(TabCalc[[#This Row],[ReverseB1]],"#,#0"),"")</f>
        <v>6.93x2000=   1,880</v>
      </c>
      <c r="J37" s="295">
        <f ca="1">_xlfn.XLOOKUP(TabTRADER[[#This Row],[ClickTick]],TabCalc[Ticker],ListGravity)</f>
        <v>2.020033388981636</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0.23560663703229079</v>
      </c>
      <c r="N37" s="324" cm="1">
        <f t="array" aca="1" ref="N37" ca="1">_xlfn.XLOOKUP(TabTRADER[[#This Row],[ClickTick]],ListTickers,Tab2RSIConventional[RSIConv20])</f>
        <v>25</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0.15414258188824659</v>
      </c>
      <c r="S37" s="683">
        <f ca="1">_xlfn.XLOOKUP(TabTRADER[[#This Row],[ClickTick]],TabCalc[Ticker],TabCalc[Rev(MinStock)])*(1-Commission)</f>
        <v>3191.6799999999989</v>
      </c>
      <c r="T37" s="782">
        <f ca="1">_xlfn.XLOOKUP(TabTRADER[[#This Row],[ClickTick]],TabCalc[Ticker],TabCalc[Agiotage])</f>
        <v>0.23560663703229079</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-1,040/-1,040=&gt;-3.9% / -3.9%</v>
      </c>
      <c r="V37" s="739" t="str">
        <f ca="1">_xlfn.XLOOKUP(TabTRADER[[#This Row],[ClickTick]],[1]!RTData[Ticker_Symbol],[1]!RTData[Currency])</f>
        <v>USD</v>
      </c>
      <c r="W37" s="749">
        <f ca="1">_xlfn.XLOOKUP(TabTRADER[[#This Row],[ClickTick]],TabCalc[Ticker],TabCalc[M])</f>
        <v>5.99</v>
      </c>
      <c r="X37" s="1315"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-3.8523000000000002E-2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^4/24 K$</v>
      </c>
      <c r="AE37" s="1182"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65"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5.99, 06.8%</v>
      </c>
      <c r="AG37" s="1165"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65" cm="1">
        <f t="array" aca="1" ref="AH37" ca="1">_xlfn.IFS(     TabTRADER[[#This Row],[Traps]]=MUp,MIN(TabTRADER[[#This Row],[L_Sn]],TabTRADER[[#This Row],[N]])*(TabTRADER[[#This Row],[M]]-TabTRADER[[#This Row],[L_Sp]])*(1-Commission)*TabTRADER[[#This Row],[Scale]],                                  TRUE,"M= "&amp;TabTRADER[[#This Row],[M]])</f>
        <v>758.02399999999977</v>
      </c>
      <c r="AI37" s="1165" t="str" cm="1">
        <f t="array" aca="1" ref="AI37" ca="1">_xlfn.IFS(   TabTRADER[[#This Row],[Traps]]=MUp,TEXT(MIN(TabTRADER[[#This Row],[L_Sn]],TabTRADER[[#This Row],[N]]),"#,#0")&amp;" x "&amp;TEXT(TabTRADER[[#This Row],[L_Sp]],"#,#0.#0"),          TRUE,"")</f>
        <v>2,000 x 5.61</v>
      </c>
      <c r="AJ37" s="1165"/>
      <c r="AK37" s="1165"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758.02399999999977</v>
      </c>
      <c r="AL37" s="1165"/>
      <c r="AM37" s="1165"/>
      <c r="AN37" s="1165"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3191.6799999999989</v>
      </c>
      <c r="AO37" s="1174"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0.15414258188824659</v>
      </c>
      <c r="AP37" s="1174"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6.0839065108514175E-2</v>
      </c>
      <c r="AQ37" s="825" cm="1">
        <f t="array" aca="1" ref="AQ37" ca="1">_xlfn.IFS(   TabTRADER[[#This Row],[Traps]]=SellMorePercentGain,                     MIN(TabTRADER[[#This Row],[L_Sn]],TabTRADER[[#This Row],[N]])*(TabTRADER[[#This Row],[M]]-TabTRADER[[#This Row],[L_Sp]])*(1-Commission)*TabTRADER[[#This Row],[Scale]],                    TRUE,"")</f>
        <v>758.02399999999977</v>
      </c>
      <c r="AR37" s="1163">
        <f ca="1">_xlfn.XLOOKUP(TabTRADER[[#This Row],[ClickTick]],TabCalc[Ticker],TabCalc[Ann%RevLB])</f>
        <v>0.99091659785301378</v>
      </c>
      <c r="AS37" s="1267">
        <f ca="1">_xlfn.XLOOKUP(TabTRADER[[#This Row],[ClickTick]],TabCalc[Ticker],TabCalc[Up20])</f>
        <v>0</v>
      </c>
      <c r="AT37" s="1175"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5" t="str" cm="1">
        <f t="array" aca="1" ref="AU37" ca="1">_xlfn.IFS(         TabTRADER[[#This Row],[Traps]]=MDown,TabTRADER[[#This Row],[L_Bn]]*TabTRADER[[#This Row],[M]]*(-(TabTRADER[[#This Row],[L_Bp]]+TabTRADER[[#This Row],[M]])/TabTRADER[[#This Row],[M]])*(1-Commission)*TabTRADER[[#This Row],[Scale]],                               TRUE,"")</f>
        <v/>
      </c>
      <c r="AV37" s="1174" cm="1">
        <f t="array" aca="1" ref="AV37" ca="1">_xlfn.IFS(   TabTRADER[[#This Row],[Traps]]=MUp,TabTRADER[[#This Row],[TakeGain_A]]-Commission,        TabTRADER[[#This Row],[Traps]]=MDown,(TabTRADER[[#This Row],[A]]-TabTRADER[[#This Row],[M]])/TabTRADER[[#This Row],[M]]-Commission,                              TRUE,"")</f>
        <v>0.1515425818882466</v>
      </c>
      <c r="AW37" s="825"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3683.6537957610781</v>
      </c>
      <c r="AX37" s="760"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Y37" s="736"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4,000x0.8</v>
      </c>
      <c r="AZ37" s="765" cm="1">
        <f t="array" aca="1" ref="AZ37" ca="1">_xlfn.IFS(TabTRADER[[#This Row],[Traps]]=Sale_Back,"",         TabTRADER[[#This Row],[Traps]]=MDown, (TabTRADER[[#This Row],[M]]-TabTRADER[[#This Row],[A]])/TabTRADER[[#This Row],[A]]*ComFactor,             TRUE, IFERROR((TabTRADER[[#This Row],[M]]-TabTRADER[[#This Row],[A]])/TabTRADER[[#This Row],[A]]*ComFactor,""))</f>
        <v>0.15374181117533714</v>
      </c>
      <c r="BA37" s="762" cm="1">
        <f t="array" aca="1" ref="BA37" ca="1">_xlfn.IFS(               TabTRADER[[#This Row],[Traps]]=NoStock,(TabTRADER[[#This Row],[L_Sp]]-TabTRADER[[#This Row],[M]])/TabTRADER[[#This Row],[M]]-Commission,             TabTRADER[[#This Row],[A]]&lt;&gt;0,(TabTRADER[[#This Row],[A]]-TabTRADER[[#This Row],[M]])/TabTRADER[[#This Row],[M]]-Commission)</f>
        <v>-0.13615592654424036</v>
      </c>
      <c r="BB37" s="324">
        <f ca="1">_xlfn.XLOOKUP(TabTRADER[[#This Row],[ClickTick]],TabCalc[Ticker],TabCalc[L_Sn])</f>
        <v>2000</v>
      </c>
      <c r="BC37" s="728">
        <f ca="1">_xlfn.XLOOKUP(TabTRADER[[#This Row],[ClickTick]],TabCalc[Ticker],TabCalc[L_Sp])</f>
        <v>5.61</v>
      </c>
      <c r="BD37" s="764">
        <f ca="1">-IFERROR((TabTRADER[[#This Row],[M]]-TabTRADER[[#This Row],[L_Sp]])/TabTRADER[[#This Row],[L_Sp]],0)</f>
        <v>-6.7736185383244191E-2</v>
      </c>
      <c r="BE37" s="729">
        <f ca="1">TabTRADER[[#This Row],[L_Sn]]*(TabTRADER[[#This Row],[M]]-TabTRADER[[#This Row],[L_Sp]])*(1-Commission)*TabTRADER[[#This Row],[Scale]]</f>
        <v>758.02399999999977</v>
      </c>
      <c r="BF37" s="692">
        <f ca="1">TabTRADER[[#This Row],[L_Sn]]*(TabTRADER[[#This Row],[Agiotage]]-TabTRADER[[#This Row],[M]])/(TabTRADER[[#This Row],[L_Bn]]*TabTRADER[[#This Row],[M]])</f>
        <v>-0.48033333580698745</v>
      </c>
      <c r="BG37" s="635">
        <f ca="1">IFERROR((TabTRADER[[#This Row],[M]]-TabTRADER[[#This Row],[A]])/TabTRADER[[#This Row],[A]],0)</f>
        <v>0.15414258188824659</v>
      </c>
      <c r="BH37" s="638" t="str">
        <f ca="1">TEXT(_xlfn.XLOOKUP(TabTRADER[[#This Row],[ClickTick]],TabCalc[Ticker],TabCalc[NAfter]),"#,#0")&amp;" : "&amp;TEXT(_xlfn.XLOOKUP(TabTRADER[[#This Row],[ClickTick]],TabCalc[Ticker],TabCalc[NAfter])*(TabTRADER[[#This Row],[M]]-TabTRADER[[#This Row],[A]])*(1-Commission)*TabTRADER[[#This Row],[Scale]],"#,#0$")</f>
        <v>4,000 : 3,192$</v>
      </c>
      <c r="BI37" s="684">
        <f ca="1">_xlfn.XLOOKUP(TabTRADER[[#This Row],[ClickTick]],TabCalc[[#This Row],[Ticker]],TabCalc[[#This Row],[GL]])*(1-Commission)</f>
        <v>4363.0816045112251</v>
      </c>
      <c r="BJ37" s="684"/>
      <c r="BK37" s="669" t="str">
        <f ca="1">TabTRADER[[#This Row],[ClickTick]]&amp;": "&amp;_xlfn.XLOOKUP(TabTRADER[[#This Row],[ClickTick]],TabCalc[Ticker],TabCalc[Pile?])</f>
        <v xml:space="preserve">PROF: </v>
      </c>
      <c r="BL37" s="351" t="s">
        <v>1995</v>
      </c>
      <c r="BM37" s="755" t="str" cm="1">
        <f t="array" aca="1" ref="BM37" ca="1">_xlfn.TEXTJOIN("",,INDEX({"M","A","Y"}, _xlfn.SORTBY({1,2,3}, -CHOOSE({1,2,3}, TabTRADER[[#This Row],[M]], TabTRADER[[#This Row],[A]], TabTRADER[[#This Row],[Agiotage]]))))</f>
        <v>MAY</v>
      </c>
      <c r="BN37" s="902"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6.3439065108514173E-2</v>
      </c>
      <c r="BO37" s="679">
        <f ca="1">TabTRADER[[#This Row],[L_Sn]]*TabTRADER[[#This Row],[L_Sp]]+TabTRADER[[#This Row],[SellMore]]*TabTRADER[[#This Row],[M]]</f>
        <v>35180</v>
      </c>
      <c r="BP37" s="679">
        <f ca="1">INDEX(
  INDEX(TabConsolid[], , _xlfn.XMATCH(TabTRADER[[#This Row],[ClickTick]]&amp;1, TabConsolid[#Headers])),
  MATCH(
    -TabTRADER[[#This Row],[M]],
    INDEX(TabConsolid[], , _xlfn.XMATCH(TabTRADER[[#This Row],[ClickTick]]&amp;2, TabConsolid[#Headers])),
    -1
  )
)</f>
        <v>4000</v>
      </c>
      <c r="BQ37" s="679"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44">
        <f ca="1">TabTRADER[[#This Row],[ReBuy]]/(TabTRADER[[#This Row],[L_Sn]]+TabTRADER[[#This Row],[SellMore]])</f>
        <v>5.8633333333333333</v>
      </c>
      <c r="BS37" s="687">
        <f ca="1">((_xlfn.XLOOKUP(TabTRADER[[#This Row],[ClickTick]],TabCalc[Ticker],TabCalc[NAfter])+TabTRADER[[#This Row],[L_Sn]])*(TabTRADER[[#This Row],[Agiotage]]-TabTRADER[[#This Row],[M]]))/(TabTRADER[[#This Row],[L_Sn]]*_xlfn.XLOOKUP(TabTRADER[[#This Row],[ClickTick]],TabCalc[Ticker],TabCalc[NAfter]))</f>
        <v>-4.3157950222257827E-3</v>
      </c>
      <c r="BT37" s="687">
        <f ca="1">(TabTRADER[[#This Row],[M]]-TabTRADER[[#This Row],[Agiotage]])/(TabTRADER[[#This Row],[M]]-TabTRADER[[#This Row],[A]])-1</f>
        <v>6.1929917037096383</v>
      </c>
      <c r="BU37" s="1262">
        <f ca="1">_xlfn.XMATCH(TabTRADER[[#This Row],[ClickTick]]&amp;1, TabConsolid[#Headers])</f>
        <v>104</v>
      </c>
      <c r="BV37" t="b">
        <f ca="1">IF(ABS(TabTRADER[[#This Row],[L_Bp]])&gt;=TabTRADER[[#This Row],[M]],"OK")</f>
        <v>0</v>
      </c>
    </row>
    <row r="38" spans="1:74" hidden="1"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-1,986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-19.0%</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-2,339$</v>
      </c>
      <c r="G38" s="225" t="str">
        <f ca="1">IFERROR(TRUNC(_xlfn.XLOOKUP(TabTRADER[[#This Row],[ClickTick]],TabCalc[Ticker],ListLastSalep),2)&amp;"x"&amp;_xlfn.XLOOKUP(TabTRADER[[#This Row],[ClickTick]],TabCalc[Ticker],ListLastSalen)&amp;"=   "&amp;TEXT(-_xlfn.XLOOKUP(TabTRADER[[#This Row],[ClickTick]],TabCalc[Ticker],ListReverseB),"#,#0")&amp;"$","")</f>
        <v>9.07x2500=   -12,214$</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116.8% = 1,023</v>
      </c>
      <c r="I38" s="226" t="str">
        <f ca="1">IFERROR(TRUNC(TabCalc[[#This Row],[L_S1p]],2)&amp;"x"&amp;TabCalc[[#This Row],[L_S1n]]&amp;"=   "&amp;TEXT(TabCalc[[#This Row],[ReverseB1]],"#,#0"),"")</f>
        <v>7.4x2500=   8,039</v>
      </c>
      <c r="J38" s="295">
        <f ca="1">_xlfn.XLOOKUP(TabTRADER[[#This Row],[ClickTick]],TabCalc[Ticker],ListGravity)</f>
        <v>1.5852523659305993</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10461</v>
      </c>
      <c r="M38" s="323">
        <f ca="1">_xlfn.XLOOKUP(TabTRADER[[#This Row],[ClickTick]],TabCalc[Ticker],TabCalc[Agiotage])</f>
        <v>0.27700442895846106</v>
      </c>
      <c r="N38" s="324" cm="1">
        <f t="array" aca="1" ref="N38" ca="1">_xlfn.XLOOKUP(TabTRADER[[#This Row],[ClickTick]],ListTickers,Tab2RSIConventional[RSIConv20])</f>
        <v>44</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-0.15957339974693208</v>
      </c>
      <c r="S38" s="683">
        <f ca="1">_xlfn.XLOOKUP(TabTRADER[[#This Row],[ClickTick]],TabCalc[Ticker],TabCalc[Rev(MinStock)])*(1-Commission)</f>
        <v>-1981.0857500000004</v>
      </c>
      <c r="T38" s="782">
        <f ca="1">_xlfn.XLOOKUP(TabTRADER[[#This Row],[ClickTick]],TabCalc[Ticker],TabCalc[Agiotage])</f>
        <v>0.27700442895846106</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-5,016/-5,016=&gt;-2.5% / -2.5%</v>
      </c>
      <c r="V38" s="739" t="str">
        <f ca="1">_xlfn.XLOOKUP(TabTRADER[[#This Row],[ClickTick]],[1]!RTData[Ticker_Symbol],[1]!RTData[Currency])</f>
        <v>USD</v>
      </c>
      <c r="W38" s="749">
        <f ca="1">_xlfn.XLOOKUP(TabTRADER[[#This Row],[ClickTick]],TabCalc[Ticker],TabCalc[M])</f>
        <v>4.1844000000000001</v>
      </c>
      <c r="X38" s="1315"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-2.4615000000000001E-2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-70/199 K$</v>
      </c>
      <c r="AE38" s="116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65"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4.1844, -53.9%</v>
      </c>
      <c r="AG38" s="1165"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65" t="str" cm="1">
        <f t="array" aca="1" ref="AH38" ca="1">_xlfn.IFS(     TabTRADER[[#This Row],[Traps]]=MUp,MIN(TabTRADER[[#This Row],[L_Sn]],TabTRADER[[#This Row],[N]])*(TabTRADER[[#This Row],[M]]-TabTRADER[[#This Row],[L_Sp]])*(1-Commission)*TabTRADER[[#This Row],[Scale]],                                  TRUE,"M= "&amp;TabTRADER[[#This Row],[M]])</f>
        <v>M= 4.1844</v>
      </c>
      <c r="AI38" s="1165" t="str" cm="1">
        <f t="array" aca="1" ref="AI38" ca="1">_xlfn.IFS(   TabTRADER[[#This Row],[Traps]]=MUp,TEXT(MIN(TabTRADER[[#This Row],[L_Sn]],TabTRADER[[#This Row],[N]]),"#,#0")&amp;" x "&amp;TEXT(TabTRADER[[#This Row],[L_Sp]],"#,#0.#0"),          TRUE,"")</f>
        <v/>
      </c>
      <c r="AJ38" s="1165"/>
      <c r="AK38" s="1165"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1981.0857500000004</v>
      </c>
      <c r="AL38" s="1165"/>
      <c r="AM38" s="1165"/>
      <c r="AN38" s="1165"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198759</v>
      </c>
      <c r="AO38" s="1174"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0.26912598831091161</v>
      </c>
      <c r="AP38" s="1174"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0.18727190517158976</v>
      </c>
      <c r="AQ38" s="825" t="str" cm="1">
        <f t="array" aca="1" ref="AQ38" ca="1">_xlfn.IFS(   TabTRADER[[#This Row],[Traps]]=SellMorePercentGain,                     MIN(TabTRADER[[#This Row],[L_Sn]],TabTRADER[[#This Row],[N]])*(TabTRADER[[#This Row],[M]]-TabTRADER[[#This Row],[L_Sp]])*(1-Commission)*TabTRADER[[#This Row],[Scale]],                    TRUE,"")</f>
        <v/>
      </c>
      <c r="AR38" s="1163">
        <f ca="1">_xlfn.XLOOKUP(TabTRADER[[#This Row],[ClickTick]],TabCalc[Ticker],TabCalc[Ann%RevLB])</f>
        <v>-8.2066319869850783</v>
      </c>
      <c r="AS38" s="1267">
        <f ca="1">_xlfn.XLOOKUP(TabTRADER[[#This Row],[ClickTick]],TabCalc[Ticker],TabCalc[Up20])</f>
        <v>0</v>
      </c>
      <c r="AT38" s="1175"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0.18987190517158975</v>
      </c>
      <c r="AU38" s="825" cm="1">
        <f t="array" aca="1" ref="AU38" ca="1">_xlfn.IFS(         TabTRADER[[#This Row],[Traps]]=MDown,TabTRADER[[#This Row],[L_Bn]]*TabTRADER[[#This Row],[M]]*(-(TabTRADER[[#This Row],[L_Bp]]+TabTRADER[[#This Row],[M]])/TabTRADER[[#This Row],[M]])*(1-Commission)*TabTRADER[[#This Row],[Scale]],                               TRUE,"")</f>
        <v>1981.0857500000004</v>
      </c>
      <c r="AV38" s="1174" cm="1">
        <f t="array" aca="1" ref="AV38" ca="1">_xlfn.IFS(   TabTRADER[[#This Row],[Traps]]=MUp,TabTRADER[[#This Row],[TakeGain_A]]-Commission,        TabTRADER[[#This Row],[Traps]]=MDown,(TabTRADER[[#This Row],[A]]-TabTRADER[[#This Row],[M]])/TabTRADER[[#This Row],[M]]-Commission,                              TRUE,"")</f>
        <v>0.36562487050667908</v>
      </c>
      <c r="AW38" s="825"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72997.718218740731</v>
      </c>
      <c r="AX38" s="760"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38" s="736"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-0.79</v>
      </c>
      <c r="AZ38" s="765" cm="1">
        <f t="array" aca="1" ref="AZ38" ca="1">_xlfn.IFS(TabTRADER[[#This Row],[Traps]]=Sale_Back,"",         TabTRADER[[#This Row],[Traps]]=MDown, (TabTRADER[[#This Row],[M]]-TabTRADER[[#This Row],[A]])/TabTRADER[[#This Row],[A]]*ComFactor,             TRUE, IFERROR((TabTRADER[[#This Row],[M]]-TabTRADER[[#This Row],[A]])/TabTRADER[[#This Row],[A]]*ComFactor,""))</f>
        <v>-0.26842626074130321</v>
      </c>
      <c r="BA38" s="762" cm="1">
        <f t="array" aca="1" ref="BA38" ca="1">_xlfn.IFS(               TabTRADER[[#This Row],[Traps]]=NoStock,(TabTRADER[[#This Row],[L_Sp]]-TabTRADER[[#This Row],[M]])/TabTRADER[[#This Row],[M]]-Commission,             TabTRADER[[#This Row],[A]]&lt;&gt;0,(TabTRADER[[#This Row],[A]]-TabTRADER[[#This Row],[M]])/TabTRADER[[#This Row],[M]]-Commission)</f>
        <v>0.36562487050667908</v>
      </c>
      <c r="BB38" s="324">
        <f ca="1">_xlfn.XLOOKUP(TabTRADER[[#This Row],[ClickTick]],TabCalc[Ticker],TabCalc[L_Sn])</f>
        <v>2500</v>
      </c>
      <c r="BC38" s="728">
        <f ca="1">_xlfn.XLOOKUP(TabTRADER[[#This Row],[ClickTick]],TabCalc[Ticker],TabCalc[L_Sp])</f>
        <v>9.07</v>
      </c>
      <c r="BD38" s="764">
        <f ca="1">-IFERROR((TabTRADER[[#This Row],[M]]-TabTRADER[[#This Row],[L_Sp]])/TabTRADER[[#This Row],[L_Sp]],0)</f>
        <v>0.53865490628445423</v>
      </c>
      <c r="BE38" s="729">
        <f ca="1">TabTRADER[[#This Row],[L_Sn]]*(TabTRADER[[#This Row],[M]]-TabTRADER[[#This Row],[L_Sp]])*(1-Commission)*TabTRADER[[#This Row],[Scale]]</f>
        <v>-12182.2436</v>
      </c>
      <c r="BF38" s="692">
        <f ca="1">TabTRADER[[#This Row],[L_Sn]]*(TabTRADER[[#This Row],[Agiotage]]-TabTRADER[[#This Row],[M]])/(TabTRADER[[#This Row],[L_Bn]]*TabTRADER[[#This Row],[M]])</f>
        <v>-0.93380068135014327</v>
      </c>
      <c r="BG38" s="635">
        <f ca="1">IFERROR((TabTRADER[[#This Row],[M]]-TabTRADER[[#This Row],[A]])/TabTRADER[[#This Row],[A]],0)</f>
        <v>-0.26912598831091161</v>
      </c>
      <c r="BH38" s="638" t="str">
        <f ca="1">TEXT(_xlfn.XLOOKUP(TabTRADER[[#This Row],[ClickTick]],TabCalc[Ticker],TabCalc[NAfter]),"#,#0")&amp;" : "&amp;TEXT(_xlfn.XLOOKUP(TabTRADER[[#This Row],[ClickTick]],TabCalc[Ticker],TabCalc[NAfter])*(TabTRADER[[#This Row],[M]]-TabTRADER[[#This Row],[A]])*(1-Commission)*TabTRADER[[#This Row],[Scale]],"#,#0$")</f>
        <v>47,500 : -72,998$</v>
      </c>
      <c r="BI38" s="684">
        <f ca="1">_xlfn.XLOOKUP(TabTRADER[[#This Row],[ClickTick]],TabCalc[[#This Row],[Ticker]],TabCalc[[#This Row],[GL]])*(1-Commission)</f>
        <v>-70001.153335982366</v>
      </c>
      <c r="BJ38" s="684"/>
      <c r="BK38" s="669" t="str">
        <f ca="1">TabTRADER[[#This Row],[ClickTick]]&amp;": "&amp;_xlfn.XLOOKUP(TabTRADER[[#This Row],[ClickTick]],TabCalc[Ticker],TabCalc[Pile?])</f>
        <v xml:space="preserve">POET: </v>
      </c>
      <c r="BL38" s="351" t="s">
        <v>1996</v>
      </c>
      <c r="BM38" s="755" t="str" cm="1">
        <f t="array" aca="1" ref="BM38" ca="1">_xlfn.TEXTJOIN("",,INDEX({"M","A","Y"}, _xlfn.SORTBY({1,2,3}, -CHOOSE({1,2,3}, TabTRADER[[#This Row],[M]], TabTRADER[[#This Row],[A]], TabTRADER[[#This Row],[Agiotage]]))))</f>
        <v>AMY</v>
      </c>
      <c r="BN38" s="902"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0.18987190517158975</v>
      </c>
      <c r="BO38" s="679" t="e">
        <f ca="1">TabTRADER[[#This Row],[L_Sn]]*TabTRADER[[#This Row],[L_Sp]]+TabTRADER[[#This Row],[SellMore]]*TabTRADER[[#This Row],[M]]</f>
        <v>#N/A</v>
      </c>
      <c r="BP38" s="679" t="e">
        <f ca="1">INDEX(
  INDEX(TabConsolid[], , _xlfn.XMATCH(TabTRADER[[#This Row],[ClickTick]]&amp;1, TabConsolid[#Headers])),
  MATCH(
    -TabTRADER[[#This Row],[M]],
    INDEX(TabConsolid[], , _xlfn.XMATCH(TabTRADER[[#This Row],[ClickTick]]&amp;2, TabConsolid[#Headers])),
    -1
  )
)</f>
        <v>#N/A</v>
      </c>
      <c r="BQ38" s="679"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R38" s="1144" t="e">
        <f ca="1">TabTRADER[[#This Row],[ReBuy]]/(TabTRADER[[#This Row],[L_Sn]]+TabTRADER[[#This Row],[SellMore]])</f>
        <v>#N/A</v>
      </c>
      <c r="BS38" s="687">
        <f ca="1">((_xlfn.XLOOKUP(TabTRADER[[#This Row],[ClickTick]],TabCalc[Ticker],TabCalc[NAfter])+TabTRADER[[#This Row],[L_Sn]])*(TabTRADER[[#This Row],[Agiotage]]-TabTRADER[[#This Row],[M]]))/(TabTRADER[[#This Row],[L_Sn]]*_xlfn.XLOOKUP(TabTRADER[[#This Row],[ClickTick]],TabCalc[Ticker],TabCalc[NAfter]))</f>
        <v>-1.6452191878069638E-3</v>
      </c>
      <c r="BT38" s="687">
        <f ca="1">(TabTRADER[[#This Row],[M]]-TabTRADER[[#This Row],[Agiotage]])/(TabTRADER[[#This Row],[M]]-TabTRADER[[#This Row],[A]])-1</f>
        <v>-3.5359522295852241</v>
      </c>
      <c r="BU38" s="1262">
        <f ca="1">_xlfn.XMATCH(TabTRADER[[#This Row],[ClickTick]]&amp;1, TabConsolid[#Headers])</f>
        <v>107</v>
      </c>
      <c r="BV38" t="str">
        <f ca="1">IF(ABS(TabTRADER[[#This Row],[L_Bp]])&gt;=TabTRADER[[#This Row],[M]],"OK")</f>
        <v>OK</v>
      </c>
    </row>
    <row r="39" spans="1:74" hidden="1"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-3,319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-86.0%</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-623$</v>
      </c>
      <c r="G39" s="225" t="str">
        <f ca="1">IFERROR(TRUNC(_xlfn.XLOOKUP(TabTRADER[[#This Row],[ClickTick]],TabCalc[Ticker],ListLastSalep),2)&amp;"x"&amp;_xlfn.XLOOKUP(TabTRADER[[#This Row],[ClickTick]],TabCalc[Ticker],ListLastSalen)&amp;"=   "&amp;TEXT(-_xlfn.XLOOKUP(TabTRADER[[#This Row],[ClickTick]],TabCalc[Ticker],ListReverseB),"#,#0")&amp;"$","")</f>
        <v>1.54x3006=   -2,697$</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139.5% = 5,574</v>
      </c>
      <c r="I39" s="226" t="str">
        <f ca="1">IFERROR(TRUNC(TabCalc[[#This Row],[L_S1p]],2)&amp;"x"&amp;TabCalc[[#This Row],[L_S1n]]&amp;"=   "&amp;TEXT(TabCalc[[#This Row],[ReverseB1]],"#,#0"),"")</f>
        <v>1.39x3006=   2,246</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4500.3</v>
      </c>
      <c r="M39" s="323">
        <f ca="1">_xlfn.XLOOKUP(TabTRADER[[#This Row],[ClickTick]],TabCalc[Ticker],TabCalc[Agiotage])</f>
        <v>0.11316280361962217</v>
      </c>
      <c r="N39" s="324" cm="1">
        <f t="array" aca="1" ref="N39" ca="1">_xlfn.XLOOKUP(TabTRADER[[#This Row],[ClickTick]],ListTickers,Tab2RSIConventional[RSIConv20])</f>
        <v>64</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-0.4622333751568381</v>
      </c>
      <c r="S39" s="683">
        <f ca="1">_xlfn.XLOOKUP(TabTRADER[[#This Row],[ClickTick]],TabCalc[Ticker],TabCalc[Rev(MinStock)])*(1-Commission)</f>
        <v>-3310.2864194399995</v>
      </c>
      <c r="T39" s="782">
        <f ca="1">_xlfn.XLOOKUP(TabTRADER[[#This Row],[ClickTick]],TabCalc[Ticker],TabCalc[Agiotage])</f>
        <v>0.11316280361962217</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-239/-239=&gt;-3.2% / -3.2%</v>
      </c>
      <c r="V39" s="739" t="str">
        <f ca="1">_xlfn.XLOOKUP(TabTRADER[[#This Row],[ClickTick]],[1]!RTData[Ticker_Symbol],[1]!RTData[Currency])</f>
        <v>USD</v>
      </c>
      <c r="W39" s="749">
        <f ca="1">_xlfn.XLOOKUP(TabTRADER[[#This Row],[ClickTick]],TabCalc[Ticker],TabCalc[M])</f>
        <v>0.64290000000000003</v>
      </c>
      <c r="X39" s="1315"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-3.2069E-2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82"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65"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0.6429, -58.3%</v>
      </c>
      <c r="AG39" s="1165"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65" t="str" cm="1">
        <f t="array" aca="1" ref="AH39" ca="1">_xlfn.IFS(     TabTRADER[[#This Row],[Traps]]=MUp,MIN(TabTRADER[[#This Row],[L_Sn]],TabTRADER[[#This Row],[N]])*(TabTRADER[[#This Row],[M]]-TabTRADER[[#This Row],[L_Sp]])*(1-Commission)*TabTRADER[[#This Row],[Scale]],                                  TRUE,"M= "&amp;TabTRADER[[#This Row],[M]])</f>
        <v>M= 0.6429</v>
      </c>
      <c r="AI39" s="1165" t="str" cm="1">
        <f t="array" aca="1" ref="AI39" ca="1">_xlfn.IFS(   TabTRADER[[#This Row],[Traps]]=MUp,TEXT(MIN(TabTRADER[[#This Row],[L_Sn]],TabTRADER[[#This Row],[N]]),"#,#0")&amp;" x "&amp;TEXT(TabTRADER[[#This Row],[L_Sp]],"#,#0.#0"),          TRUE,"")</f>
        <v/>
      </c>
      <c r="AJ39" s="1165"/>
      <c r="AK39" s="1165"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3310.2864194399995</v>
      </c>
      <c r="AL39" s="1165"/>
      <c r="AM39" s="1165"/>
      <c r="AN39" s="1165"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6429</v>
      </c>
      <c r="AO39" s="1174"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0.39709662214497016</v>
      </c>
      <c r="AP39" s="1174"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0.856942697153523</v>
      </c>
      <c r="AQ39" s="825" t="str" cm="1">
        <f t="array" aca="1" ref="AQ39" ca="1">_xlfn.IFS(   TabTRADER[[#This Row],[Traps]]=SellMorePercentGain,                     MIN(TabTRADER[[#This Row],[L_Sn]],TabTRADER[[#This Row],[N]])*(TabTRADER[[#This Row],[M]]-TabTRADER[[#This Row],[L_Sp]])*(1-Commission)*TabTRADER[[#This Row],[Scale]],                    TRUE,"")</f>
        <v/>
      </c>
      <c r="AR39" s="1163">
        <f ca="1">_xlfn.XLOOKUP(TabTRADER[[#This Row],[ClickTick]],TabCalc[Ticker],TabCalc[Ann%RevLB])</f>
        <v>-0.55283725932379313</v>
      </c>
      <c r="AS39" s="1267">
        <f ca="1">_xlfn.XLOOKUP(TabTRADER[[#This Row],[ClickTick]],TabCalc[Ticker],TabCalc[Up20])</f>
        <v>0</v>
      </c>
      <c r="AT39" s="1175"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0.85954269715352305</v>
      </c>
      <c r="AU39" s="825" cm="1">
        <f t="array" aca="1" ref="AU39" ca="1">_xlfn.IFS(         TabTRADER[[#This Row],[Traps]]=MDown,TabTRADER[[#This Row],[L_Bn]]*TabTRADER[[#This Row],[M]]*(-(TabTRADER[[#This Row],[L_Bp]]+TabTRADER[[#This Row],[M]])/TabTRADER[[#This Row],[M]])*(1-Commission)*TabTRADER[[#This Row],[Scale]],                               TRUE,"")</f>
        <v>3310.2864194399995</v>
      </c>
      <c r="AV39" s="1174" cm="1">
        <f t="array" aca="1" ref="AV39" ca="1">_xlfn.IFS(   TabTRADER[[#This Row],[Traps]]=MUp,TabTRADER[[#This Row],[TakeGain_A]]-Commission,        TabTRADER[[#This Row],[Traps]]=MDown,(TabTRADER[[#This Row],[A]]-TabTRADER[[#This Row],[M]])/TabTRADER[[#This Row],[M]]-Commission,                              TRUE,"")</f>
        <v>0.65604056618447637</v>
      </c>
      <c r="AW39" s="825"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4223.3907594799994</v>
      </c>
      <c r="AX39" s="760"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9" s="736"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-0.55000000000000004</v>
      </c>
      <c r="AZ39" s="765" cm="1">
        <f t="array" aca="1" ref="AZ39" ca="1">_xlfn.IFS(TabTRADER[[#This Row],[Traps]]=Sale_Back,"",         TabTRADER[[#This Row],[Traps]]=MDown, (TabTRADER[[#This Row],[M]]-TabTRADER[[#This Row],[A]])/TabTRADER[[#This Row],[A]]*ComFactor,             TRUE, IFERROR((TabTRADER[[#This Row],[M]]-TabTRADER[[#This Row],[A]])/TabTRADER[[#This Row],[A]]*ComFactor,""))</f>
        <v>-0.39606417092739321</v>
      </c>
      <c r="BA39" s="762" cm="1">
        <f t="array" aca="1" ref="BA39" ca="1">_xlfn.IFS(               TabTRADER[[#This Row],[Traps]]=NoStock,(TabTRADER[[#This Row],[L_Sp]]-TabTRADER[[#This Row],[M]])/TabTRADER[[#This Row],[M]]-Commission,             TabTRADER[[#This Row],[A]]&lt;&gt;0,(TabTRADER[[#This Row],[A]]-TabTRADER[[#This Row],[M]])/TabTRADER[[#This Row],[M]]-Commission)</f>
        <v>0.65604056618447637</v>
      </c>
      <c r="BB39" s="324">
        <f ca="1">_xlfn.XLOOKUP(TabTRADER[[#This Row],[ClickTick]],TabCalc[Ticker],TabCalc[L_Sn])</f>
        <v>3006</v>
      </c>
      <c r="BC39" s="728">
        <f ca="1">_xlfn.XLOOKUP(TabTRADER[[#This Row],[ClickTick]],TabCalc[Ticker],TabCalc[L_Sp])</f>
        <v>1.54</v>
      </c>
      <c r="BD39" s="764">
        <f ca="1">-IFERROR((TabTRADER[[#This Row],[M]]-TabTRADER[[#This Row],[L_Sp]])/TabTRADER[[#This Row],[L_Sp]],0)</f>
        <v>0.58253246753246757</v>
      </c>
      <c r="BE39" s="729">
        <f ca="1">TabTRADER[[#This Row],[L_Sn]]*(TabTRADER[[#This Row],[M]]-TabTRADER[[#This Row],[L_Sp]])*(1-Commission)*TabTRADER[[#This Row],[Scale]]</f>
        <v>-2689.6712252399998</v>
      </c>
      <c r="BF39" s="692">
        <f ca="1">TabTRADER[[#This Row],[L_Sn]]*(TabTRADER[[#This Row],[Agiotage]]-TabTRADER[[#This Row],[M]])/(TabTRADER[[#This Row],[L_Bn]]*TabTRADER[[#This Row],[M]])</f>
        <v>-0.41240193215801041</v>
      </c>
      <c r="BG39" s="635">
        <f ca="1">IFERROR((TabTRADER[[#This Row],[M]]-TabTRADER[[#This Row],[A]])/TabTRADER[[#This Row],[A]],0)</f>
        <v>-0.39709662214497016</v>
      </c>
      <c r="BH39" s="638" t="str">
        <f ca="1">TEXT(_xlfn.XLOOKUP(TabTRADER[[#This Row],[ClickTick]],TabCalc[Ticker],TabCalc[NAfter]),"#,#0")&amp;" : "&amp;TEXT(_xlfn.XLOOKUP(TabTRADER[[#This Row],[ClickTick]],TabCalc[Ticker],TabCalc[NAfter])*(TabTRADER[[#This Row],[M]]-TabTRADER[[#This Row],[A]])*(1-Commission)*TabTRADER[[#This Row],[Scale]],"#,#0$")</f>
        <v>10,000 : -4,223$</v>
      </c>
      <c r="BI39" s="684">
        <f ca="1">_xlfn.XLOOKUP(TabTRADER[[#This Row],[ClickTick]],TabCalc[[#This Row],[Ticker]],TabCalc[[#This Row],[GL]])*(1-Commission)</f>
        <v>-8114.4322513933157</v>
      </c>
      <c r="BJ39" s="684"/>
      <c r="BK39" s="669" t="str">
        <f ca="1">TabTRADER[[#This Row],[ClickTick]]&amp;": "&amp;_xlfn.XLOOKUP(TabTRADER[[#This Row],[ClickTick]],TabCalc[Ticker],TabCalc[Pile?])</f>
        <v>PW: Pile</v>
      </c>
      <c r="BL39" s="351" t="s">
        <v>1997</v>
      </c>
      <c r="BM39" s="755" t="str" cm="1">
        <f t="array" aca="1" ref="BM39" ca="1">_xlfn.TEXTJOIN("",,INDEX({"M","A","Y"}, _xlfn.SORTBY({1,2,3}, -CHOOSE({1,2,3}, TabTRADER[[#This Row],[M]], TabTRADER[[#This Row],[A]], TabTRADER[[#This Row],[Agiotage]]))))</f>
        <v>AMY</v>
      </c>
      <c r="BN39" s="902"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0.85954269715352305</v>
      </c>
      <c r="BO39" s="679" t="e">
        <f ca="1">TabTRADER[[#This Row],[L_Sn]]*TabTRADER[[#This Row],[L_Sp]]+TabTRADER[[#This Row],[SellMore]]*TabTRADER[[#This Row],[M]]</f>
        <v>#N/A</v>
      </c>
      <c r="BP39" s="679" t="e">
        <f ca="1">INDEX(
  INDEX(TabConsolid[], , _xlfn.XMATCH(TabTRADER[[#This Row],[ClickTick]]&amp;1, TabConsolid[#Headers])),
  MATCH(
    -TabTRADER[[#This Row],[M]],
    INDEX(TabConsolid[], , _xlfn.XMATCH(TabTRADER[[#This Row],[ClickTick]]&amp;2, TabConsolid[#Headers])),
    -1
  )
)</f>
        <v>#N/A</v>
      </c>
      <c r="BQ39" s="679"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R39" s="1144" t="e">
        <f ca="1">TabTRADER[[#This Row],[ReBuy]]/(TabTRADER[[#This Row],[L_Sn]]+TabTRADER[[#This Row],[SellMore]])</f>
        <v>#N/A</v>
      </c>
      <c r="BS39" s="687">
        <f ca="1">((_xlfn.XLOOKUP(TabTRADER[[#This Row],[ClickTick]],TabCalc[Ticker],TabCalc[NAfter])+TabTRADER[[#This Row],[L_Sn]])*(TabTRADER[[#This Row],[Agiotage]]-TabTRADER[[#This Row],[M]]))/(TabTRADER[[#This Row],[L_Sn]]*_xlfn.XLOOKUP(TabTRADER[[#This Row],[ClickTick]],TabCalc[Ticker],TabCalc[NAfter]))</f>
        <v>-2.2920033187369244E-4</v>
      </c>
      <c r="BT39" s="687">
        <f ca="1">(TabTRADER[[#This Row],[M]]-TabTRADER[[#This Row],[Agiotage]])/(TabTRADER[[#This Row],[M]]-TabTRADER[[#This Row],[A]])-1</f>
        <v>-2.2510324281119622</v>
      </c>
      <c r="BU39" s="1262">
        <f ca="1">_xlfn.XMATCH(TabTRADER[[#This Row],[ClickTick]]&amp;1, TabConsolid[#Headers])</f>
        <v>110</v>
      </c>
      <c r="BV39" t="str">
        <f ca="1">IF(ABS(TabTRADER[[#This Row],[L_Bp]])&gt;=TabTRADER[[#This Row],[M]],"OK")</f>
        <v>OK</v>
      </c>
    </row>
    <row r="40" spans="1:74" hidden="1"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+13,870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32.9%</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360/1,000=15,213</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13,655$</v>
      </c>
      <c r="G40" s="225" t="str">
        <f ca="1">IFERROR(TRUNC(_xlfn.XLOOKUP(TabTRADER[[#This Row],[ClickTick]],TabCalc[Ticker],ListLastSalep),2)&amp;"x"&amp;_xlfn.XLOOKUP(TabTRADER[[#This Row],[ClickTick]],TabCalc[Ticker],ListLastSalen)&amp;"=   "&amp;TEXT(-_xlfn.XLOOKUP(TabTRADER[[#This Row],[ClickTick]],TabCalc[Ticker],ListReverseB),"#,#0")&amp;"$","")</f>
        <v>37.21x2000=   9,980$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-11.8% = 0</v>
      </c>
      <c r="I40" s="226" t="str">
        <f ca="1">IFERROR(TRUNC(TabCalc[[#This Row],[L_S1p]],2)&amp;"x"&amp;TabCalc[[#This Row],[L_S1n]]&amp;"=   "&amp;TEXT(TabCalc[[#This Row],[ReverseB1]],"#,#0"),"")</f>
        <v>29.92x2000=   -24,560</v>
      </c>
      <c r="J40" s="295">
        <f ca="1">_xlfn.XLOOKUP(TabTRADER[[#This Row],[ClickTick]],TabCalc[Ticker],ListGravity)</f>
        <v>0.90837274881516572</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0.84475008589206868</v>
      </c>
      <c r="N40" s="324" cm="1">
        <f t="array" aca="1" ref="N40" ca="1">_xlfn.XLOOKUP(TabTRADER[[#This Row],[ClickTick]],ListTickers,Tab2RSIConventional[RSIConv20])</f>
        <v>46</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0.48958701023649859</v>
      </c>
      <c r="S40" s="683">
        <f ca="1">_xlfn.XLOOKUP(TabTRADER[[#This Row],[ClickTick]],TabCalc[Ticker],TabCalc[Rev(MinStock)])*(1-Commission)</f>
        <v>13833.938000000004</v>
      </c>
      <c r="T40" s="782">
        <f ca="1">_xlfn.XLOOKUP(TabTRADER[[#This Row],[ClickTick]],TabCalc[Ticker],TabCalc[Agiotage])</f>
        <v>0.84475008589206868</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-3,900/-3,900=&gt;-8.7% / -8.7%</v>
      </c>
      <c r="V40" s="739" t="str">
        <f ca="1">_xlfn.XLOOKUP(TabTRADER[[#This Row],[ClickTick]],[1]!RTData[Ticker_Symbol],[1]!RTData[Currency])</f>
        <v>USD</v>
      </c>
      <c r="W40" s="749">
        <f ca="1">_xlfn.XLOOKUP(TabTRADER[[#This Row],[ClickTick]],TabCalc[Ticker],TabCalc[M])</f>
        <v>42.2</v>
      </c>
      <c r="X40" s="1315"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28.33</v>
      </c>
      <c r="AB40" s="817" cm="1">
        <f t="array" aca="1" ref="AB40" ca="1">_xlfn.XLOOKUP(TabTRADER[[#This Row],[ClickTick]],ListTickers,Tab1ChangePercent[Change%19])</f>
        <v>-8.6974999999999997E-2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^152/42 K$</v>
      </c>
      <c r="AE40" s="1182"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65"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42.2, 13.4%</v>
      </c>
      <c r="AG40" s="1165"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37.21</v>
      </c>
      <c r="AH40" s="1165" cm="1">
        <f t="array" aca="1" ref="AH40" ca="1">_xlfn.IFS(     TabTRADER[[#This Row],[Traps]]=MUp,MIN(TabTRADER[[#This Row],[L_Sn]],TabTRADER[[#This Row],[N]])*(TabTRADER[[#This Row],[M]]-TabTRADER[[#This Row],[L_Sp]])*(1-Commission)*TabTRADER[[#This Row],[Scale]],                                  TRUE,"M= "&amp;TabTRADER[[#This Row],[M]])</f>
        <v>4977.0260000000017</v>
      </c>
      <c r="AI40" s="1165" t="str" cm="1">
        <f t="array" aca="1" ref="AI40" ca="1">_xlfn.IFS(   TabTRADER[[#This Row],[Traps]]=MUp,TEXT(MIN(TabTRADER[[#This Row],[L_Sn]],TabTRADER[[#This Row],[N]]),"#,#0")&amp;" x "&amp;TEXT(TabTRADER[[#This Row],[L_Sp]],"#,#0.#0"),          TRUE,"")</f>
        <v>1,000 x 37.21</v>
      </c>
      <c r="AJ40" s="1165"/>
      <c r="AK40" s="1165"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4977.0260000000017</v>
      </c>
      <c r="AL40" s="1165"/>
      <c r="AM40" s="1165"/>
      <c r="AN40" s="1165"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13833.938000000004</v>
      </c>
      <c r="AO40" s="1174"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0.48958701023649859</v>
      </c>
      <c r="AP40" s="1174"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0.11564644549763037</v>
      </c>
      <c r="AQ40" s="825" cm="1">
        <f t="array" aca="1" ref="AQ40" ca="1">_xlfn.IFS(   TabTRADER[[#This Row],[Traps]]=SellMorePercentGain,                     MIN(TabTRADER[[#This Row],[L_Sn]],TabTRADER[[#This Row],[N]])*(TabTRADER[[#This Row],[M]]-TabTRADER[[#This Row],[L_Sp]])*(1-Commission)*TabTRADER[[#This Row],[Scale]],                    TRUE,"")</f>
        <v>4977.0260000000017</v>
      </c>
      <c r="AR40" s="1163">
        <f ca="1">_xlfn.XLOOKUP(TabTRADER[[#This Row],[ClickTick]],TabCalc[Ticker],TabCalc[Ann%RevLB])</f>
        <v>11.750088245675967</v>
      </c>
      <c r="AS40" s="1163">
        <f ca="1">_xlfn.XLOOKUP(TabTRADER[[#This Row],[ClickTick]],TabCalc[Ticker],TabCalc[Up20])</f>
        <v>0</v>
      </c>
      <c r="AT40" s="1175"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0" s="825" t="str" cm="1">
        <f t="array" aca="1" ref="AU40" ca="1">_xlfn.IFS(         TabTRADER[[#This Row],[Traps]]=MDown,TabTRADER[[#This Row],[L_Bn]]*TabTRADER[[#This Row],[M]]*(-(TabTRADER[[#This Row],[L_Bp]]+TabTRADER[[#This Row],[M]])/TabTRADER[[#This Row],[M]])*(1-Commission)*TabTRADER[[#This Row],[Scale]],                               TRUE,"")</f>
        <v/>
      </c>
      <c r="AV40" s="1174" cm="1">
        <f t="array" aca="1" ref="AV40" ca="1">_xlfn.IFS(   TabTRADER[[#This Row],[Traps]]=MUp,TabTRADER[[#This Row],[TakeGain_A]]-Commission,        TabTRADER[[#This Row],[Traps]]=MDown,(TabTRADER[[#This Row],[A]]-TabTRADER[[#This Row],[M]])/TabTRADER[[#This Row],[M]]-Commission,                              TRUE,"")</f>
        <v>0.4869870102364986</v>
      </c>
      <c r="AW40" s="825"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20606.854345217089</v>
      </c>
      <c r="AX40" s="760"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40" s="736"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1,000x13.87</v>
      </c>
      <c r="AZ40" s="765" cm="1">
        <f t="array" aca="1" ref="AZ40" ca="1">_xlfn.IFS(TabTRADER[[#This Row],[Traps]]=Sale_Back,"",         TabTRADER[[#This Row],[Traps]]=MDown, (TabTRADER[[#This Row],[M]]-TabTRADER[[#This Row],[A]])/TabTRADER[[#This Row],[A]]*ComFactor,             TRUE, IFERROR((TabTRADER[[#This Row],[M]]-TabTRADER[[#This Row],[A]])/TabTRADER[[#This Row],[A]]*ComFactor,""))</f>
        <v>0.48831408400988369</v>
      </c>
      <c r="BA40" s="762" cm="1">
        <f t="array" aca="1" ref="BA40" ca="1">_xlfn.IFS(               TabTRADER[[#This Row],[Traps]]=NoStock,(TabTRADER[[#This Row],[L_Sp]]-TabTRADER[[#This Row],[M]])/TabTRADER[[#This Row],[M]]-Commission,             TabTRADER[[#This Row],[A]]&lt;&gt;0,(TabTRADER[[#This Row],[A]]-TabTRADER[[#This Row],[M]])/TabTRADER[[#This Row],[M]]-Commission)</f>
        <v>-0.3312729857819906</v>
      </c>
      <c r="BB40" s="324">
        <f ca="1">_xlfn.XLOOKUP(TabTRADER[[#This Row],[ClickTick]],TabCalc[Ticker],TabCalc[L_Sn])</f>
        <v>2000</v>
      </c>
      <c r="BC40" s="728">
        <f ca="1">_xlfn.XLOOKUP(TabTRADER[[#This Row],[ClickTick]],TabCalc[Ticker],TabCalc[L_Sp])</f>
        <v>37.21</v>
      </c>
      <c r="BD40" s="764">
        <f ca="1">-IFERROR((TabTRADER[[#This Row],[M]]-TabTRADER[[#This Row],[L_Sp]])/TabTRADER[[#This Row],[L_Sp]],0)</f>
        <v>-0.13410373555495839</v>
      </c>
      <c r="BE40" s="729">
        <f ca="1">TabTRADER[[#This Row],[L_Sn]]*(TabTRADER[[#This Row],[M]]-TabTRADER[[#This Row],[L_Sp]])*(1-Commission)*TabTRADER[[#This Row],[Scale]]</f>
        <v>9954.0520000000033</v>
      </c>
      <c r="BF40" s="692">
        <f ca="1">TabTRADER[[#This Row],[L_Sn]]*(TabTRADER[[#This Row],[Agiotage]]-TabTRADER[[#This Row],[M]])/(TabTRADER[[#This Row],[L_Bn]]*TabTRADER[[#This Row],[M]])</f>
        <v>-1.9599644509055896</v>
      </c>
      <c r="BG40" s="635">
        <f ca="1">IFERROR((TabTRADER[[#This Row],[M]]-TabTRADER[[#This Row],[A]])/TabTRADER[[#This Row],[A]],0)</f>
        <v>0.48958701023649859</v>
      </c>
      <c r="BH40" s="638" t="str">
        <f ca="1">TEXT(_xlfn.XLOOKUP(TabTRADER[[#This Row],[ClickTick]],TabCalc[Ticker],TabCalc[NAfter]),"#,#0")&amp;" : "&amp;TEXT(_xlfn.XLOOKUP(TabTRADER[[#This Row],[ClickTick]],TabCalc[Ticker],TabCalc[NAfter])*(TabTRADER[[#This Row],[M]]-TabTRADER[[#This Row],[A]])*(1-Commission)*TabTRADER[[#This Row],[Scale]],"#,#0$")</f>
        <v>1,000 : 13,834$</v>
      </c>
      <c r="BI40" s="684">
        <f ca="1">_xlfn.XLOOKUP(TabTRADER[[#This Row],[ClickTick]],TabCalc[[#This Row],[Ticker]],TabCalc[[#This Row],[GL]])*(1-Commission)</f>
        <v>152056.32115675291</v>
      </c>
      <c r="BJ40" s="684"/>
      <c r="BK40" s="669" t="str">
        <f ca="1">TabTRADER[[#This Row],[ClickTick]]&amp;": "&amp;_xlfn.XLOOKUP(TabTRADER[[#This Row],[ClickTick]],TabCalc[Ticker],TabCalc[Pile?])</f>
        <v xml:space="preserve">RIGL: </v>
      </c>
      <c r="BL40" s="351" t="s">
        <v>1998</v>
      </c>
      <c r="BM40" s="755" t="str" cm="1">
        <f t="array" aca="1" ref="BM40" ca="1">_xlfn.TEXTJOIN("",,INDEX({"M","A","Y"}, _xlfn.SORTBY({1,2,3}, -CHOOSE({1,2,3}, TabTRADER[[#This Row],[M]], TabTRADER[[#This Row],[A]], TabTRADER[[#This Row],[Agiotage]]))))</f>
        <v>MAY</v>
      </c>
      <c r="BN40" s="902"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0.11824644549763037</v>
      </c>
      <c r="BO40" s="679">
        <f ca="1">TabTRADER[[#This Row],[L_Sn]]*TabTRADER[[#This Row],[L_Sp]]+TabTRADER[[#This Row],[SellMore]]*TabTRADER[[#This Row],[M]]</f>
        <v>116620</v>
      </c>
      <c r="BP40" s="679">
        <f ca="1">INDEX(
  INDEX(TabConsolid[], , _xlfn.XMATCH(TabTRADER[[#This Row],[ClickTick]]&amp;1, TabConsolid[#Headers])),
  MATCH(
    -TabTRADER[[#This Row],[M]],
    INDEX(TabConsolid[], , _xlfn.XMATCH(TabTRADER[[#This Row],[ClickTick]]&amp;2, TabConsolid[#Headers])),
    -1
  )
)</f>
        <v>1000</v>
      </c>
      <c r="BQ40" s="679"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44">
        <f ca="1">TabTRADER[[#This Row],[ReBuy]]/(TabTRADER[[#This Row],[L_Sn]]+TabTRADER[[#This Row],[SellMore]])</f>
        <v>38.873333333333335</v>
      </c>
      <c r="BS40" s="687">
        <f ca="1">((_xlfn.XLOOKUP(TabTRADER[[#This Row],[ClickTick]],TabCalc[Ticker],TabCalc[NAfter])+TabTRADER[[#This Row],[L_Sn]])*(TabTRADER[[#This Row],[Agiotage]]-TabTRADER[[#This Row],[M]]))/(TabTRADER[[#This Row],[L_Sn]]*_xlfn.XLOOKUP(TabTRADER[[#This Row],[ClickTick]],TabCalc[Ticker],TabCalc[NAfter]))</f>
        <v>-6.2032874871161901E-2</v>
      </c>
      <c r="BT40" s="687">
        <f ca="1">(TabTRADER[[#This Row],[M]]-TabTRADER[[#This Row],[Agiotage]])/(TabTRADER[[#This Row],[M]]-TabTRADER[[#This Row],[A]])-1</f>
        <v>1.9816330147157841</v>
      </c>
      <c r="BU40" s="1262">
        <f ca="1">_xlfn.XMATCH(TabTRADER[[#This Row],[ClickTick]]&amp;1, TabConsolid[#Headers])</f>
        <v>113</v>
      </c>
      <c r="BV40" t="b">
        <f ca="1">IF(ABS(TabTRADER[[#This Row],[L_Bp]])&gt;=TabTRADER[[#This Row],[M]],"OK")</f>
        <v>0</v>
      </c>
    </row>
    <row r="41" spans="1:74" hidden="1"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+768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725$</v>
      </c>
      <c r="G41" s="225" t="str">
        <f ca="1">IFERROR(TRUNC(_xlfn.XLOOKUP(TabTRADER[[#This Row],[ClickTick]],TabCalc[Ticker],ListLastSalep),2)&amp;"x"&amp;_xlfn.XLOOKUP(TabTRADER[[#This Row],[ClickTick]],TabCalc[Ticker],ListLastSalen)&amp;"=   "&amp;TEXT(-_xlfn.XLOOKUP(TabTRADER[[#This Row],[ClickTick]],TabCalc[Ticker],ListReverseB),"#,#0")&amp;"$","")</f>
        <v>33.36x3200=   33,184$</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-23.7% = 0</v>
      </c>
      <c r="I41" s="226" t="str">
        <f ca="1">IFERROR(TRUNC(TabCalc[[#This Row],[L_S1p]],2)&amp;"x"&amp;TabCalc[[#This Row],[L_S1n]]&amp;"=   "&amp;TEXT(TabCalc[[#This Row],[ReverseB1]],"#,#0"),"")</f>
        <v>32.24x1500=   -17,235</v>
      </c>
      <c r="J41" s="295">
        <f ca="1">_xlfn.XLOOKUP(TabTRADER[[#This Row],[ClickTick]],TabCalc[Ticker],ListGravity)</f>
        <v>1.0232577178138578</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5.5391708193498089E-3</v>
      </c>
      <c r="N41" s="324" cm="1">
        <f t="array" aca="1" ref="N41" ca="1">_xlfn.XLOOKUP(TabTRADER[[#This Row],[ClickTick]],ListTickers,Tab2RSIConventional[RSIConv20])</f>
        <v>21</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0.54141698977793429</v>
      </c>
      <c r="S41" s="683">
        <f ca="1">_xlfn.XLOOKUP(TabTRADER[[#This Row],[ClickTick]],TabCalc[Ticker],TabCalc[Rev(MinStock)])*(1-Commission)</f>
        <v>766.00319999999977</v>
      </c>
      <c r="T41" s="782">
        <f ca="1">_xlfn.XLOOKUP(TabTRADER[[#This Row],[ClickTick]],TabCalc[Ticker],TabCalc[Agiotage])</f>
        <v>5.5391708193498089E-3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-62/-62=&gt;-2.1% / -2.1%</v>
      </c>
      <c r="V41" s="739" t="str">
        <f ca="1">_xlfn.XLOOKUP(TabTRADER[[#This Row],[ClickTick]],[1]!RTData[Ticker_Symbol],[1]!RTData[Currency])</f>
        <v>EUR</v>
      </c>
      <c r="W41" s="749">
        <f ca="1">_xlfn.XLOOKUP(TabTRADER[[#This Row],[ClickTick]],TabCalc[Ticker],TabCalc[M])</f>
        <v>43.73</v>
      </c>
      <c r="X41" s="1315"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-2.1042999999999999E-2</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6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65"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43.73, 31.1%</v>
      </c>
      <c r="AG41" s="1165"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65" cm="1">
        <f t="array" aca="1" ref="AH41" ca="1">_xlfn.IFS(     TabTRADER[[#This Row],[Traps]]=MUp,MIN(TabTRADER[[#This Row],[L_Sn]],TabTRADER[[#This Row],[N]])*(TabTRADER[[#This Row],[M]]-TabTRADER[[#This Row],[L_Sp]])*(1-Commission)*TabTRADER[[#This Row],[Scale]],                                  TRUE,"M= "&amp;TabTRADER[[#This Row],[M]])</f>
        <v>517.15189999999984</v>
      </c>
      <c r="AI41" s="1165" t="str" cm="1">
        <f t="array" aca="1" ref="AI41" ca="1">_xlfn.IFS(   TabTRADER[[#This Row],[Traps]]=MUp,TEXT(MIN(TabTRADER[[#This Row],[L_Sn]],TabTRADER[[#This Row],[N]]),"#,#0")&amp;" x "&amp;TEXT(TabTRADER[[#This Row],[L_Sp]],"#,#0.#0"),          TRUE,"")</f>
        <v>50 x 33.36</v>
      </c>
      <c r="AJ41" s="1165"/>
      <c r="AK41" s="1165"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517.15189999999984</v>
      </c>
      <c r="AL41" s="1165"/>
      <c r="AM41" s="1165"/>
      <c r="AN41" s="1165"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766.00319999999977</v>
      </c>
      <c r="AO41" s="1174"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0.54141698977793429</v>
      </c>
      <c r="AP41" s="1174"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0.23453697690372738</v>
      </c>
      <c r="AQ41" s="825" cm="1">
        <f t="array" aca="1" ref="AQ41" ca="1">_xlfn.IFS(   TabTRADER[[#This Row],[Traps]]=SellMorePercentGain,                     MIN(TabTRADER[[#This Row],[L_Sn]],TabTRADER[[#This Row],[N]])*(TabTRADER[[#This Row],[M]]-TabTRADER[[#This Row],[L_Sp]])*(1-Commission)*TabTRADER[[#This Row],[Scale]],                    TRUE,"")</f>
        <v>517.15189999999984</v>
      </c>
      <c r="AR41" s="1180">
        <f ca="1">_xlfn.XLOOKUP(TabTRADER[[#This Row],[ClickTick]],TabCalc[Ticker],TabCalc[Ann%RevLB])</f>
        <v>0.70876405934565945</v>
      </c>
      <c r="AS41" s="1266">
        <f ca="1">_xlfn.XLOOKUP(TabTRADER[[#This Row],[ClickTick]],TabCalc[Ticker],TabCalc[Up20])</f>
        <v>0</v>
      </c>
      <c r="AT41" s="1175"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5" t="str" cm="1">
        <f t="array" aca="1" ref="AU41" ca="1">_xlfn.IFS(         TabTRADER[[#This Row],[Traps]]=MDown,TabTRADER[[#This Row],[L_Bn]]*TabTRADER[[#This Row],[M]]*(-(TabTRADER[[#This Row],[L_Bp]]+TabTRADER[[#This Row],[M]])/TabTRADER[[#This Row],[M]])*(1-Commission)*TabTRADER[[#This Row],[Scale]],                               TRUE,"")</f>
        <v/>
      </c>
      <c r="AV41" s="1174" cm="1">
        <f t="array" aca="1" ref="AV41" ca="1">_xlfn.IFS(   TabTRADER[[#This Row],[Traps]]=MUp,TabTRADER[[#This Row],[TakeGain_A]]-Commission,        TabTRADER[[#This Row],[Traps]]=MDown,(TabTRADER[[#This Row],[A]]-TabTRADER[[#This Row],[M]])/TabTRADER[[#This Row],[M]]-Commission,                              TRUE,"")</f>
        <v>0.53881698977793424</v>
      </c>
      <c r="AW41" s="825"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1180.7303467042645</v>
      </c>
      <c r="AX41" s="760"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41" s="736"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50x15.36</v>
      </c>
      <c r="AZ41" s="765" cm="1">
        <f t="array" aca="1" ref="AZ41" ca="1">_xlfn.IFS(TabTRADER[[#This Row],[Traps]]=Sale_Back,"",         TabTRADER[[#This Row],[Traps]]=MDown, (TabTRADER[[#This Row],[M]]-TabTRADER[[#This Row],[A]])/TabTRADER[[#This Row],[A]]*ComFactor,             TRUE, IFERROR((TabTRADER[[#This Row],[M]]-TabTRADER[[#This Row],[A]])/TabTRADER[[#This Row],[A]]*ComFactor,""))</f>
        <v>0.54000930560451166</v>
      </c>
      <c r="BA41" s="762" cm="1">
        <f t="array" aca="1" ref="BA41" ca="1">_xlfn.IFS(               TabTRADER[[#This Row],[Traps]]=NoStock,(TabTRADER[[#This Row],[L_Sp]]-TabTRADER[[#This Row],[M]])/TabTRADER[[#This Row],[M]]-Commission,             TabTRADER[[#This Row],[A]]&lt;&gt;0,(TabTRADER[[#This Row],[A]]-TabTRADER[[#This Row],[M]])/TabTRADER[[#This Row],[M]]-Commission)</f>
        <v>-0.35384628401554991</v>
      </c>
      <c r="BB41" s="324">
        <f ca="1">_xlfn.XLOOKUP(TabTRADER[[#This Row],[ClickTick]],TabCalc[Ticker],TabCalc[L_Sn])</f>
        <v>3200</v>
      </c>
      <c r="BC41" s="728">
        <f ca="1">_xlfn.XLOOKUP(TabTRADER[[#This Row],[ClickTick]],TabCalc[Ticker],TabCalc[L_Sp])</f>
        <v>33.36</v>
      </c>
      <c r="BD41" s="764">
        <f ca="1">-IFERROR((TabTRADER[[#This Row],[M]]-TabTRADER[[#This Row],[L_Sp]])/TabTRADER[[#This Row],[L_Sp]],0)</f>
        <v>-0.31085131894484408</v>
      </c>
      <c r="BE41" s="729">
        <f ca="1">TabTRADER[[#This Row],[L_Sn]]*(TabTRADER[[#This Row],[M]]-TabTRADER[[#This Row],[L_Sp]])*(1-Commission)*TabTRADER[[#This Row],[Scale]]</f>
        <v>33097.72159999999</v>
      </c>
      <c r="BF41" s="692">
        <f ca="1">TabTRADER[[#This Row],[L_Sn]]*(TabTRADER[[#This Row],[Agiotage]]-TabTRADER[[#This Row],[M]])/(TabTRADER[[#This Row],[L_Bn]]*TabTRADER[[#This Row],[M]])</f>
        <v>-0.79989866598089465</v>
      </c>
      <c r="BG41" s="635">
        <f ca="1">IFERROR((TabTRADER[[#This Row],[M]]-TabTRADER[[#This Row],[A]])/TabTRADER[[#This Row],[A]],0)</f>
        <v>0.54141698977793429</v>
      </c>
      <c r="BH41" s="638" t="str">
        <f ca="1">TEXT(_xlfn.XLOOKUP(TabTRADER[[#This Row],[ClickTick]],TabCalc[Ticker],TabCalc[NAfter]),"#,#0")&amp;" : "&amp;TEXT(_xlfn.XLOOKUP(TabTRADER[[#This Row],[ClickTick]],TabCalc[Ticker],TabCalc[NAfter])*(TabTRADER[[#This Row],[M]]-TabTRADER[[#This Row],[A]])*(1-Commission)*TabTRADER[[#This Row],[Scale]],"#,#0$")</f>
        <v>50 : 766$</v>
      </c>
      <c r="BI41" s="684">
        <f ca="1">_xlfn.XLOOKUP(TabTRADER[[#This Row],[ClickTick]],TabCalc[[#This Row],[Ticker]],TabCalc[[#This Row],[GL]])*(1-Commission)</f>
        <v>36308.266739277016</v>
      </c>
      <c r="BJ41" s="684"/>
      <c r="BK41" s="669" t="str">
        <f ca="1">TabTRADER[[#This Row],[ClickTick]]&amp;": "&amp;_xlfn.XLOOKUP(TabTRADER[[#This Row],[ClickTick]],TabCalc[Ticker],TabCalc[Pile?])</f>
        <v>RWE: Pile</v>
      </c>
      <c r="BL41" s="351" t="s">
        <v>1999</v>
      </c>
      <c r="BM41" s="755" t="str" cm="1">
        <f t="array" aca="1" ref="BM41" ca="1">_xlfn.TEXTJOIN("",,INDEX({"M","A","Y"}, _xlfn.SORTBY({1,2,3}, -CHOOSE({1,2,3}, TabTRADER[[#This Row],[M]], TabTRADER[[#This Row],[A]], TabTRADER[[#This Row],[Agiotage]]))))</f>
        <v>MAY</v>
      </c>
      <c r="BN41" s="902"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0.23713697690372737</v>
      </c>
      <c r="BO41" s="679">
        <f ca="1">TabTRADER[[#This Row],[L_Sn]]*TabTRADER[[#This Row],[L_Sp]]+TabTRADER[[#This Row],[SellMore]]*TabTRADER[[#This Row],[M]]</f>
        <v>108938.5</v>
      </c>
      <c r="BP41" s="679">
        <f ca="1">INDEX(
  INDEX(TabConsolid[], , _xlfn.XMATCH(TabTRADER[[#This Row],[ClickTick]]&amp;1, TabConsolid[#Headers])),
  MATCH(
    -TabTRADER[[#This Row],[M]],
    INDEX(TabConsolid[], , _xlfn.XMATCH(TabTRADER[[#This Row],[ClickTick]]&amp;2, TabConsolid[#Headers])),
    -1
  )
)</f>
        <v>50</v>
      </c>
      <c r="BQ41" s="679"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44">
        <f ca="1">TabTRADER[[#This Row],[ReBuy]]/(TabTRADER[[#This Row],[L_Sn]]+TabTRADER[[#This Row],[SellMore]])</f>
        <v>33.51953846153846</v>
      </c>
      <c r="BS41" s="687">
        <f ca="1">((_xlfn.XLOOKUP(TabTRADER[[#This Row],[ClickTick]],TabCalc[Ticker],TabCalc[NAfter])+TabTRADER[[#This Row],[L_Sn]])*(TabTRADER[[#This Row],[Agiotage]]-TabTRADER[[#This Row],[M]]))/(TabTRADER[[#This Row],[L_Sn]]*_xlfn.XLOOKUP(TabTRADER[[#This Row],[ClickTick]],TabCalc[Ticker],TabCalc[NAfter]))</f>
        <v>-0.88815311059273194</v>
      </c>
      <c r="BT41" s="687">
        <f ca="1">(TabTRADER[[#This Row],[M]]-TabTRADER[[#This Row],[Agiotage]])/(TabTRADER[[#This Row],[M]]-TabTRADER[[#This Row],[A]])-1</f>
        <v>1.8466445852331161</v>
      </c>
      <c r="BU41" s="1262">
        <f ca="1">_xlfn.XMATCH(TabTRADER[[#This Row],[ClickTick]]&amp;1, TabConsolid[#Headers])</f>
        <v>116</v>
      </c>
      <c r="BV41" t="b">
        <f ca="1">IF(ABS(TabTRADER[[#This Row],[L_Bp]])&gt;=TabTRADER[[#This Row],[M]],"OK")</f>
        <v>0</v>
      </c>
    </row>
    <row r="42" spans="1:74" hidden="1"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-13,425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-13.1%</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-22,050$</v>
      </c>
      <c r="G42" s="225" t="str">
        <f ca="1">IFERROR(TRUNC(_xlfn.XLOOKUP(TabTRADER[[#This Row],[ClickTick]],TabCalc[Ticker],ListLastSalep),2)&amp;"x"&amp;_xlfn.XLOOKUP(TabTRADER[[#This Row],[ClickTick]],TabCalc[Ticker],ListLastSalen)&amp;"=   "&amp;TEXT(-_xlfn.XLOOKUP(TabTRADER[[#This Row],[ClickTick]],TabCalc[Ticker],ListReverseB),"#,#0")&amp;"$","")</f>
        <v>237.8x200=   -6,460$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15.7% = 155</v>
      </c>
      <c r="I42" s="226" t="str">
        <f ca="1">IFERROR(TRUNC(TabCalc[[#This Row],[L_S1p]],2)&amp;"x"&amp;TabCalc[[#This Row],[L_S1n]]&amp;"=   "&amp;TEXT(TabCalc[[#This Row],[ReverseB1]],"#,#0"),"")</f>
        <v>265.05x500=   29,775</v>
      </c>
      <c r="J42" s="295">
        <f ca="1">_xlfn.XLOOKUP(TabTRADER[[#This Row],[ClickTick]],TabCalc[Ticker],ListGravity)</f>
        <v>1.4047046228710462</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472650</v>
      </c>
      <c r="M42" s="323">
        <f ca="1">_xlfn.XLOOKUP(TabTRADER[[#This Row],[ClickTick]],TabCalc[Ticker],TabCalc[Agiotage])</f>
        <v>0.93717056647786734</v>
      </c>
      <c r="N42" s="324" cm="1">
        <f t="array" aca="1" ref="N42" ca="1">_xlfn.XLOOKUP(TabTRADER[[#This Row],[ClickTick]],ListTickers,Tab2RSIConventional[RSIConv20])</f>
        <v>19</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-0.1155584247901872</v>
      </c>
      <c r="S42" s="683">
        <f ca="1">_xlfn.XLOOKUP(TabTRADER[[#This Row],[ClickTick]],TabCalc[Ticker],TabCalc[Rev(MinStock)])*(1-Commission)</f>
        <v>-13390.094999999996</v>
      </c>
      <c r="T42" s="782">
        <f ca="1">_xlfn.XLOOKUP(TabTRADER[[#This Row],[ClickTick]],TabCalc[Ticker],TabCalc[Agiotage])</f>
        <v>0.93717056647786734</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1,140/1,140=&gt;0.1% / 0.1%</v>
      </c>
      <c r="V42" s="739" t="str">
        <f ca="1">_xlfn.XLOOKUP(TabTRADER[[#This Row],[ClickTick]],[1]!RTData[Ticker_Symbol],[1]!RTData[Currency])</f>
        <v>EUR</v>
      </c>
      <c r="W42" s="749">
        <f ca="1">_xlfn.XLOOKUP(TabTRADER[[#This Row],[ClickTick]],TabCalc[Ticker],TabCalc[M])</f>
        <v>205.5</v>
      </c>
      <c r="X42" s="1315"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7.3050000000000003E-4</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-52/781 K$</v>
      </c>
      <c r="AE42" s="1182"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65"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65"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6443.2040000000015</v>
      </c>
      <c r="AH42" s="1165" t="str" cm="1">
        <f t="array" aca="1" ref="AH42" ca="1">_xlfn.IFS(     TabTRADER[[#This Row],[Traps]]=MUp,MIN(TabTRADER[[#This Row],[L_Sn]],TabTRADER[[#This Row],[N]])*(TabTRADER[[#This Row],[M]]-TabTRADER[[#This Row],[L_Sp]])*(1-Commission)*TabTRADER[[#This Row],[Scale]],                                  TRUE,"M= "&amp;TabTRADER[[#This Row],[M]])</f>
        <v>M= 205.5</v>
      </c>
      <c r="AI42" s="1165" t="str" cm="1">
        <f t="array" aca="1" ref="AI42" ca="1">_xlfn.IFS(   TabTRADER[[#This Row],[Traps]]=MUp,TEXT(MIN(TabTRADER[[#This Row],[L_Sn]],TabTRADER[[#This Row],[N]]),"#,#0")&amp;" x "&amp;TEXT(TabTRADER[[#This Row],[L_Sp]],"#,#0.#0"),          TRUE,"")</f>
        <v/>
      </c>
      <c r="AJ42" s="1165"/>
      <c r="AK42" s="1165"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65"/>
      <c r="AM42" s="1165"/>
      <c r="AN42" s="1165"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6443.2040000000015</v>
      </c>
      <c r="AO42" s="1174"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0.13582842724978977</v>
      </c>
      <c r="AP42" s="1174"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TabTRADER[[#This Row],[Traps]]=SellMorePercentGain,                     MIN(TabTRADER[[#This Row],[L_Sn]],TabTRADER[[#This Row],[N]])*(TabTRADER[[#This Row],[M]]-TabTRADER[[#This Row],[L_Sp]])*(1-Commission)*TabTRADER[[#This Row],[Scale]],                    TRUE,"")</f>
        <v/>
      </c>
      <c r="AR42" s="1180">
        <f ca="1">_xlfn.XLOOKUP(TabTRADER[[#This Row],[ClickTick]],TabCalc[Ticker],TabCalc[Ann%RevLB])</f>
        <v>-0.86668818592640395</v>
      </c>
      <c r="AS42" s="1266">
        <f ca="1">_xlfn.XLOOKUP(TabTRADER[[#This Row],[ClickTick]],TabCalc[Ticker],TabCalc[Up20])</f>
        <v>0</v>
      </c>
      <c r="AT42" s="1175"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5" t="str" cm="1">
        <f t="array" aca="1" ref="AU42" ca="1">_xlfn.IFS(         TabTRADER[[#This Row],[Traps]]=MDown,TabTRADER[[#This Row],[L_Bn]]*TabTRADER[[#This Row],[M]]*(-(TabTRADER[[#This Row],[L_Bp]]+TabTRADER[[#This Row],[M]])/TabTRADER[[#This Row],[M]])*(1-Commission)*TabTRADER[[#This Row],[Scale]],                               TRUE,"")</f>
        <v/>
      </c>
      <c r="AV42" s="1174" t="str" cm="1">
        <f t="array" aca="1" ref="AV42" ca="1">_xlfn.IFS(   TabTRADER[[#This Row],[Traps]]=MUp,TabTRADER[[#This Row],[TakeGain_A]]-Commission,        TabTRADER[[#This Row],[Traps]]=MDown,(TabTRADER[[#This Row],[A]]-TabTRADER[[#This Row],[M]])/TabTRADER[[#This Row],[M]]-Commission,                              TRUE,"")</f>
        <v/>
      </c>
      <c r="AW42" s="760"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-132779.32382999992</v>
      </c>
      <c r="AX42" s="760"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42" s="736"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5" cm="1">
        <f t="array" aca="1" ref="AZ42" ca="1">_xlfn.IFS(TabTRADER[[#This Row],[Traps]]=Sale_Back,"",         TabTRADER[[#This Row],[Traps]]=MDown, (TabTRADER[[#This Row],[M]]-TabTRADER[[#This Row],[A]])/TabTRADER[[#This Row],[A]]*ComFactor,             TRUE, IFERROR((TabTRADER[[#This Row],[M]]-TabTRADER[[#This Row],[A]])/TabTRADER[[#This Row],[A]]*ComFactor,""))</f>
        <v>-0.14526873822824071</v>
      </c>
      <c r="BA42" s="762" cm="1">
        <f t="array" aca="1" ref="BA42" ca="1">_xlfn.IFS(               TabTRADER[[#This Row],[Traps]]=NoStock,(TabTRADER[[#This Row],[L_Sp]]-TabTRADER[[#This Row],[M]])/TabTRADER[[#This Row],[M]]-Commission,             TabTRADER[[#This Row],[A]]&lt;&gt;0,(TabTRADER[[#This Row],[A]]-TabTRADER[[#This Row],[M]])/TabTRADER[[#This Row],[M]]-Commission)</f>
        <v>0.1678769496734536</v>
      </c>
      <c r="BB42" s="324">
        <f ca="1">_xlfn.XLOOKUP(TabTRADER[[#This Row],[ClickTick]],TabCalc[Ticker],TabCalc[L_Sn])</f>
        <v>200</v>
      </c>
      <c r="BC42" s="728">
        <f ca="1">_xlfn.XLOOKUP(TabTRADER[[#This Row],[ClickTick]],TabCalc[Ticker],TabCalc[L_Sp])</f>
        <v>237.8</v>
      </c>
      <c r="BD42" s="764">
        <f ca="1">-IFERROR((TabTRADER[[#This Row],[M]]-TabTRADER[[#This Row],[L_Sp]])/TabTRADER[[#This Row],[L_Sp]],0)</f>
        <v>0.13582842724978977</v>
      </c>
      <c r="BE42" s="729">
        <f ca="1">TabTRADER[[#This Row],[L_Sn]]*(TabTRADER[[#This Row],[M]]-TabTRADER[[#This Row],[L_Sp]])*(1-Commission)*TabTRADER[[#This Row],[Scale]]</f>
        <v>-6443.2040000000015</v>
      </c>
      <c r="BF42" s="692">
        <f ca="1">TabTRADER[[#This Row],[L_Sn]]*(TabTRADER[[#This Row],[Agiotage]]-TabTRADER[[#This Row],[M]])/(TabTRADER[[#This Row],[L_Bn]]*TabTRADER[[#This Row],[M]])</f>
        <v>-0.39817582371488491</v>
      </c>
      <c r="BG42" s="635">
        <f ca="1">IFERROR((TabTRADER[[#This Row],[M]]-TabTRADER[[#This Row],[A]])/TabTRADER[[#This Row],[A]],0)</f>
        <v>-0.14564742152420365</v>
      </c>
      <c r="BH42" s="638" t="str">
        <f ca="1">TEXT(_xlfn.XLOOKUP(TabTRADER[[#This Row],[ClickTick]],TabCalc[Ticker],TabCalc[NAfter]),"#,#0")&amp;" : "&amp;TEXT(_xlfn.XLOOKUP(TabTRADER[[#This Row],[ClickTick]],TabCalc[Ticker],TabCalc[NAfter])*(TabTRADER[[#This Row],[M]]-TabTRADER[[#This Row],[A]])*(1-Commission)*TabTRADER[[#This Row],[Scale]],"#,#0$")</f>
        <v>3,800 : -132,779$</v>
      </c>
      <c r="BI42" s="684">
        <f ca="1">_xlfn.XLOOKUP(TabTRADER[[#This Row],[ClickTick]],TabCalc[[#This Row],[Ticker]],TabCalc[[#This Row],[GL]])*(1-Commission)</f>
        <v>-51515.826361671207</v>
      </c>
      <c r="BJ42" s="684"/>
      <c r="BK42" s="669" t="str">
        <f ca="1">TabTRADER[[#This Row],[ClickTick]]&amp;": "&amp;_xlfn.XLOOKUP(TabTRADER[[#This Row],[ClickTick]],TabCalc[Ticker],TabCalc[Pile?])</f>
        <v>SAP: Pile</v>
      </c>
      <c r="BL42" s="351" t="s">
        <v>2000</v>
      </c>
      <c r="BM42" s="755" t="str" cm="1">
        <f t="array" aca="1" ref="BM42" ca="1">_xlfn.TEXTJOIN("",,INDEX({"M","A","Y"}, _xlfn.SORTBY({1,2,3}, -CHOOSE({1,2,3}, TabTRADER[[#This Row],[M]], TabTRADER[[#This Row],[A]], TabTRADER[[#This Row],[Agiotage]]))))</f>
        <v>AMY</v>
      </c>
      <c r="BN42" s="902"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9" t="e">
        <f ca="1">TabTRADER[[#This Row],[L_Sn]]*TabTRADER[[#This Row],[L_Sp]]+TabTRADER[[#This Row],[SellMore]]*TabTRADER[[#This Row],[M]]</f>
        <v>#N/A</v>
      </c>
      <c r="BP42" s="679" t="e">
        <f ca="1">INDEX(
  INDEX(TabConsolid[], , _xlfn.XMATCH(TabTRADER[[#This Row],[ClickTick]]&amp;1, TabConsolid[#Headers])),
  MATCH(
    -TabTRADER[[#This Row],[M]],
    INDEX(TabConsolid[], , _xlfn.XMATCH(TabTRADER[[#This Row],[ClickTick]]&amp;2, TabConsolid[#Headers])),
    -1
  )
)</f>
        <v>#N/A</v>
      </c>
      <c r="BQ42" s="679"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44" t="e">
        <f ca="1">TabTRADER[[#This Row],[ReBuy]]/(TabTRADER[[#This Row],[L_Sn]]+TabTRADER[[#This Row],[SellMore]])</f>
        <v>#N/A</v>
      </c>
      <c r="BS42" s="687">
        <f ca="1">((_xlfn.XLOOKUP(TabTRADER[[#This Row],[ClickTick]],TabCalc[Ticker],TabCalc[NAfter])+TabTRADER[[#This Row],[L_Sn]])*(TabTRADER[[#This Row],[Agiotage]]-TabTRADER[[#This Row],[M]]))/(TabTRADER[[#This Row],[L_Sn]]*_xlfn.XLOOKUP(TabTRADER[[#This Row],[ClickTick]],TabCalc[Ticker],TabCalc[NAfter]))</f>
        <v>-1.0766464707027481</v>
      </c>
      <c r="BT42" s="687">
        <f ca="1">(TabTRADER[[#This Row],[M]]-TabTRADER[[#This Row],[Agiotage]])/(TabTRADER[[#This Row],[M]]-TabTRADER[[#This Row],[A]])-1</f>
        <v>-6.839144595172332</v>
      </c>
      <c r="BU42" s="1262">
        <f ca="1">_xlfn.XMATCH(TabTRADER[[#This Row],[ClickTick]]&amp;1, TabConsolid[#Headers])</f>
        <v>119</v>
      </c>
      <c r="BV42" t="str">
        <f ca="1">IF(ABS(TabTRADER[[#This Row],[L_Bp]])&gt;=TabTRADER[[#This Row],[M]],"OK")</f>
        <v>OK</v>
      </c>
    </row>
    <row r="43" spans="1:74" hidden="1"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-2,594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-6.9%</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-3,707$</v>
      </c>
      <c r="G43" s="225" t="str">
        <f ca="1">IFERROR(TRUNC(_xlfn.XLOOKUP(TabTRADER[[#This Row],[ClickTick]],TabCalc[Ticker],ListLastSalep),2)&amp;"x"&amp;_xlfn.XLOOKUP(TabTRADER[[#This Row],[ClickTick]],TabCalc[Ticker],ListLastSalen)&amp;"=   "&amp;TEXT(-_xlfn.XLOOKUP(TabTRADER[[#This Row],[ClickTick]],TabCalc[Ticker],ListReverseB),"#,#0")&amp;"$","")</f>
        <v>16.54x632=   -1,470$</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16.4% = 2,150</v>
      </c>
      <c r="I43" s="226" t="str">
        <f ca="1">IFERROR(TRUNC(TabCalc[[#This Row],[L_S1p]],2)&amp;"x"&amp;TabCalc[[#This Row],[L_S1n]]&amp;"=   "&amp;TEXT(TabCalc[[#This Row],[ReverseB1]],"#,#0"),"")</f>
        <v>21.02x1000=   6,807</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177681.25</v>
      </c>
      <c r="M43" s="323">
        <f ca="1">_xlfn.XLOOKUP(TabTRADER[[#This Row],[ClickTick]],TabCalc[Ticker],TabCalc[Agiotage])</f>
        <v>1.5859329791151559E-2</v>
      </c>
      <c r="N43" s="324" cm="1">
        <f t="array" aca="1" ref="N43" ca="1">_xlfn.XLOOKUP(TabTRADER[[#This Row],[ClickTick]],ListTickers,Tab2RSIConventional[RSIConv20])</f>
        <v>13</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-6.4835526315789482E-2</v>
      </c>
      <c r="S43" s="683">
        <f ca="1">_xlfn.XLOOKUP(TabTRADER[[#This Row],[ClickTick]],TabCalc[Ticker],TabCalc[Rev(MinStock)])*(1-Commission)</f>
        <v>-2587.0920264000001</v>
      </c>
      <c r="T43" s="782">
        <f ca="1">_xlfn.XLOOKUP(TabTRADER[[#This Row],[ClickTick]],TabCalc[Ticker],TabCalc[Agiotage])</f>
        <v>1.5859329791151559E-2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-12,888/-12,888=&gt;-0.8% / -0.8%</v>
      </c>
      <c r="V43" s="739" t="str">
        <f ca="1">_xlfn.XLOOKUP(TabTRADER[[#This Row],[ClickTick]],[1]!RTData[Ticker_Symbol],[1]!RTData[Currency])</f>
        <v>USD</v>
      </c>
      <c r="W43" s="749">
        <f ca="1">_xlfn.XLOOKUP(TabTRADER[[#This Row],[ClickTick]],TabCalc[Ticker],TabCalc[M])</f>
        <v>14.214499999999999</v>
      </c>
      <c r="X43" s="1315"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-8.0600000000000012E-3</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^47/355 K$</v>
      </c>
      <c r="AE43" s="1182"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65"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14.2145, -14.1%</v>
      </c>
      <c r="AG43" s="1165"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65" t="str" cm="1">
        <f t="array" aca="1" ref="AH43" ca="1">_xlfn.IFS(     TabTRADER[[#This Row],[Traps]]=MUp,MIN(TabTRADER[[#This Row],[L_Sn]],TabTRADER[[#This Row],[N]])*(TabTRADER[[#This Row],[M]]-TabTRADER[[#This Row],[L_Sp]])*(1-Commission)*TabTRADER[[#This Row],[Scale]],                                  TRUE,"M= "&amp;TabTRADER[[#This Row],[M]])</f>
        <v>M= 14.2145</v>
      </c>
      <c r="AI43" s="1165" t="str" cm="1">
        <f t="array" aca="1" ref="AI43" ca="1">_xlfn.IFS(   TabTRADER[[#This Row],[Traps]]=MUp,TEXT(MIN(TabTRADER[[#This Row],[L_Sn]],TabTRADER[[#This Row],[N]]),"#,#0")&amp;" x "&amp;TEXT(TabTRADER[[#This Row],[L_Sp]],"#,#0.#0"),          TRUE,"")</f>
        <v/>
      </c>
      <c r="AJ43" s="1165"/>
      <c r="AK43" s="1165"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2587.0920264000001</v>
      </c>
      <c r="AL43" s="1165"/>
      <c r="AM43" s="1165"/>
      <c r="AN43" s="1165"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355362.5</v>
      </c>
      <c r="AO43" s="1174"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0.15465028516554918</v>
      </c>
      <c r="AP43" s="1174"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6.6730613106335088E-2</v>
      </c>
      <c r="AQ43" s="825" t="str" cm="1">
        <f t="array" aca="1" ref="AQ43" ca="1">_xlfn.IFS(   TabTRADER[[#This Row],[Traps]]=SellMorePercentGain,                     MIN(TabTRADER[[#This Row],[L_Sn]],TabTRADER[[#This Row],[N]])*(TabTRADER[[#This Row],[M]]-TabTRADER[[#This Row],[L_Sp]])*(1-Commission)*TabTRADER[[#This Row],[Scale]],                    TRUE,"")</f>
        <v/>
      </c>
      <c r="AR43" s="1163">
        <f ca="1">_xlfn.XLOOKUP(TabTRADER[[#This Row],[ClickTick]],TabCalc[Ticker],TabCalc[Ann%RevLB])</f>
        <v>-1.111466165413534</v>
      </c>
      <c r="AS43" s="1267">
        <f ca="1">_xlfn.XLOOKUP(TabTRADER[[#This Row],[ClickTick]],TabCalc[Ticker],TabCalc[Up20])</f>
        <v>0</v>
      </c>
      <c r="AT43" s="1175"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6.9330613106335093E-2</v>
      </c>
      <c r="AU43" s="825" cm="1">
        <f t="array" aca="1" ref="AU43" ca="1">_xlfn.IFS(         TabTRADER[[#This Row],[Traps]]=MDown,TabTRADER[[#This Row],[L_Bn]]*TabTRADER[[#This Row],[M]]*(-(TabTRADER[[#This Row],[L_Bp]]+TabTRADER[[#This Row],[M]])/TabTRADER[[#This Row],[M]])*(1-Commission)*TabTRADER[[#This Row],[Scale]],                               TRUE,"")</f>
        <v>2587.0920264000001</v>
      </c>
      <c r="AV43" s="1174" cm="1">
        <f t="array" aca="1" ref="AV43" ca="1">_xlfn.IFS(   TabTRADER[[#This Row],[Traps]]=MUp,TabTRADER[[#This Row],[TakeGain_A]]-Commission,        TabTRADER[[#This Row],[Traps]]=MDown,(TabTRADER[[#This Row],[A]]-TabTRADER[[#This Row],[M]])/TabTRADER[[#This Row],[M]]-Commission,                              TRUE,"")</f>
        <v>0.18034237574307946</v>
      </c>
      <c r="AW43" s="760"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64841.831764000068</v>
      </c>
      <c r="AX43" s="760"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Y43" s="736"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-0.98</v>
      </c>
      <c r="AZ43" s="765" cm="1">
        <f t="array" aca="1" ref="AZ43" ca="1">_xlfn.IFS(TabTRADER[[#This Row],[Traps]]=Sale_Back,"",         TabTRADER[[#This Row],[Traps]]=MDown, (TabTRADER[[#This Row],[M]]-TabTRADER[[#This Row],[A]])/TabTRADER[[#This Row],[A]]*ComFactor,             TRUE, IFERROR((TabTRADER[[#This Row],[M]]-TabTRADER[[#This Row],[A]])/TabTRADER[[#This Row],[A]]*ComFactor,""))</f>
        <v>-0.15424819442411875</v>
      </c>
      <c r="BA43" s="762" cm="1">
        <f t="array" aca="1" ref="BA43" ca="1">_xlfn.IFS(               TabTRADER[[#This Row],[Traps]]=NoStock,(TabTRADER[[#This Row],[L_Sp]]-TabTRADER[[#This Row],[M]])/TabTRADER[[#This Row],[M]]-Commission,             TabTRADER[[#This Row],[A]]&lt;&gt;0,(TabTRADER[[#This Row],[A]]-TabTRADER[[#This Row],[M]])/TabTRADER[[#This Row],[M]]-Commission)</f>
        <v>0.18034237574307946</v>
      </c>
      <c r="BB43" s="324">
        <f ca="1">_xlfn.XLOOKUP(TabTRADER[[#This Row],[ClickTick]],TabCalc[Ticker],TabCalc[L_Sn])</f>
        <v>632</v>
      </c>
      <c r="BC43" s="728">
        <f ca="1">_xlfn.XLOOKUP(TabTRADER[[#This Row],[ClickTick]],TabCalc[Ticker],TabCalc[L_Sp])</f>
        <v>16.54</v>
      </c>
      <c r="BD43" s="764">
        <f ca="1">-IFERROR((TabTRADER[[#This Row],[M]]-TabTRADER[[#This Row],[L_Sp]])/TabTRADER[[#This Row],[L_Sp]],0)</f>
        <v>0.14059854897218863</v>
      </c>
      <c r="BE43" s="729">
        <f ca="1">TabTRADER[[#This Row],[L_Sn]]*(TabTRADER[[#This Row],[M]]-TabTRADER[[#This Row],[L_Sp]])*(1-Commission)*TabTRADER[[#This Row],[Scale]]</f>
        <v>-1465.8947383999998</v>
      </c>
      <c r="BF43" s="692">
        <f ca="1">TabTRADER[[#This Row],[L_Sn]]*(TabTRADER[[#This Row],[Agiotage]]-TabTRADER[[#This Row],[M]])/(TabTRADER[[#This Row],[L_Bn]]*TabTRADER[[#This Row],[M]])</f>
        <v>-0.23985367331605478</v>
      </c>
      <c r="BG43" s="635">
        <f ca="1">IFERROR((TabTRADER[[#This Row],[M]]-TabTRADER[[#This Row],[A]])/TabTRADER[[#This Row],[A]],0)</f>
        <v>-0.15465028516554918</v>
      </c>
      <c r="BH43" s="638" t="str">
        <f ca="1">TEXT(_xlfn.XLOOKUP(TabTRADER[[#This Row],[ClickTick]],TabCalc[Ticker],TabCalc[NAfter]),"#,#0")&amp;" : "&amp;TEXT(_xlfn.XLOOKUP(TabTRADER[[#This Row],[ClickTick]],TabCalc[Ticker],TabCalc[NAfter])*(TabTRADER[[#This Row],[M]]-TabTRADER[[#This Row],[A]])*(1-Commission)*TabTRADER[[#This Row],[Scale]],"#,#0$")</f>
        <v>25,000 : -64,842$</v>
      </c>
      <c r="BI43" s="684">
        <f ca="1">_xlfn.XLOOKUP(TabTRADER[[#This Row],[ClickTick]],TabCalc[[#This Row],[Ticker]],TabCalc[[#This Row],[GL]])*(1-Commission)</f>
        <v>47163.308215572761</v>
      </c>
      <c r="BJ43" s="684"/>
      <c r="BK43" s="669" t="str">
        <f ca="1">TabTRADER[[#This Row],[ClickTick]]&amp;": "&amp;_xlfn.XLOOKUP(TabTRADER[[#This Row],[ClickTick]],TabCalc[Ticker],TabCalc[Pile?])</f>
        <v xml:space="preserve">SHECY: </v>
      </c>
      <c r="BL43" s="351" t="s">
        <v>2001</v>
      </c>
      <c r="BM43" s="755" t="str" cm="1">
        <f t="array" aca="1" ref="BM43" ca="1">_xlfn.TEXTJOIN("",,INDEX({"M","A","Y"}, _xlfn.SORTBY({1,2,3}, -CHOOSE({1,2,3}, TabTRADER[[#This Row],[M]], TabTRADER[[#This Row],[A]], TabTRADER[[#This Row],[Agiotage]]))))</f>
        <v>AMY</v>
      </c>
      <c r="BN43" s="902"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6.9330613106335093E-2</v>
      </c>
      <c r="BO43" s="679" t="e">
        <f ca="1">TabTRADER[[#This Row],[L_Sn]]*TabTRADER[[#This Row],[L_Sp]]+TabTRADER[[#This Row],[SellMore]]*TabTRADER[[#This Row],[M]]</f>
        <v>#N/A</v>
      </c>
      <c r="BP43" s="679" t="e">
        <f ca="1">INDEX(
  INDEX(TabConsolid[], , _xlfn.XMATCH(TabTRADER[[#This Row],[ClickTick]]&amp;1, TabConsolid[#Headers])),
  MATCH(
    -TabTRADER[[#This Row],[M]],
    INDEX(TabConsolid[], , _xlfn.XMATCH(TabTRADER[[#This Row],[ClickTick]]&amp;2, TabConsolid[#Headers])),
    -1
  )
)</f>
        <v>#N/A</v>
      </c>
      <c r="BQ43" s="679"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44" t="e">
        <f ca="1">TabTRADER[[#This Row],[ReBuy]]/(TabTRADER[[#This Row],[L_Sn]]+TabTRADER[[#This Row],[SellMore]])</f>
        <v>#N/A</v>
      </c>
      <c r="BS43" s="687">
        <f ca="1">((_xlfn.XLOOKUP(TabTRADER[[#This Row],[ClickTick]],TabCalc[Ticker],TabCalc[NAfter])+TabTRADER[[#This Row],[L_Sn]])*(TabTRADER[[#This Row],[Agiotage]]-TabTRADER[[#This Row],[M]]))/(TabTRADER[[#This Row],[L_Sn]]*_xlfn.XLOOKUP(TabTRADER[[#This Row],[ClickTick]],TabCalc[Ticker],TabCalc[NAfter]))</f>
        <v>-2.3034149218910959E-2</v>
      </c>
      <c r="BT43" s="687">
        <f ca="1">(TabTRADER[[#This Row],[M]]-TabTRADER[[#This Row],[Agiotage]])/(TabTRADER[[#This Row],[M]]-TabTRADER[[#This Row],[A]])-1</f>
        <v>-6.4601033851147456</v>
      </c>
      <c r="BU43" s="1262">
        <f ca="1">_xlfn.XMATCH(TabTRADER[[#This Row],[ClickTick]]&amp;1, TabConsolid[#Headers])</f>
        <v>122</v>
      </c>
      <c r="BV43" t="str">
        <f ca="1">IF(ABS(TabTRADER[[#This Row],[L_Bp]])&gt;=TabTRADER[[#This Row],[M]],"OK")</f>
        <v>OK</v>
      </c>
    </row>
    <row r="44" spans="1:74" hidden="1"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-2,400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-9.5%</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-2,666$</v>
      </c>
      <c r="G44" s="225" t="str">
        <f ca="1">IFERROR(TRUNC(_xlfn.XLOOKUP(TabTRADER[[#This Row],[ClickTick]],TabCalc[Ticker],ListLastSalep),2)&amp;"x"&amp;_xlfn.XLOOKUP(TabTRADER[[#This Row],[ClickTick]],TabCalc[Ticker],ListLastSalen)&amp;"=   "&amp;TEXT(-_xlfn.XLOOKUP(TabTRADER[[#This Row],[ClickTick]],TabCalc[Ticker],ListReverseB),"#,#0")&amp;"$","")</f>
        <v>12.76x3000=   -12,953$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51.1% = 1,158</v>
      </c>
      <c r="I44" s="226" t="str">
        <f ca="1">IFERROR(TRUNC(TabCalc[[#This Row],[L_S1p]],2)&amp;"x"&amp;TabCalc[[#This Row],[L_S1n]]&amp;"=   "&amp;TEXT(TabCalc[[#This Row],[ReverseB1]],"#,#0"),"")</f>
        <v>10.36x4000=   7,640</v>
      </c>
      <c r="J44" s="295">
        <f ca="1">_xlfn.XLOOKUP(TabTRADER[[#This Row],[ClickTick]],TabCalc[Ticker],ListGravity)</f>
        <v>1.5779088757396451</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0.19927042419481539</v>
      </c>
      <c r="N44" s="324" cm="1">
        <f t="array" aca="1" ref="N44" ca="1">_xlfn.XLOOKUP(TabTRADER[[#This Row],[ClickTick]],ListTickers,Tab2RSIConventional[RSIConv20])</f>
        <v>35</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-8.6486486486486561E-2</v>
      </c>
      <c r="S44" s="683">
        <f ca="1">_xlfn.XLOOKUP(TabTRADER[[#This Row],[ClickTick]],TabCalc[Ticker],TabCalc[Rev(MinStock)])*(1-Commission)</f>
        <v>-2393.760000000002</v>
      </c>
      <c r="T44" s="782">
        <f ca="1">_xlfn.XLOOKUP(TabTRADER[[#This Row],[ClickTick]],TabCalc[Ticker],TabCalc[Agiotage])</f>
        <v>0.19927042419481539</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-800/-800=&gt;-0.6% / -0.6%</v>
      </c>
      <c r="V44" s="739" t="str">
        <f ca="1">_xlfn.XLOOKUP(TabTRADER[[#This Row],[ClickTick]],[1]!RTData[Ticker_Symbol],[1]!RTData[Currency])</f>
        <v>USD</v>
      </c>
      <c r="W44" s="749">
        <f ca="1">_xlfn.XLOOKUP(TabTRADER[[#This Row],[ClickTick]],TabCalc[Ticker],TabCalc[M])</f>
        <v>8.4499999999999993</v>
      </c>
      <c r="X44" s="1315"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-5.8819999999999992E-3</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-724/135 K$</v>
      </c>
      <c r="AE44" s="116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65"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65"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12918.923140260002</v>
      </c>
      <c r="AH44" s="1165" t="str" cm="1">
        <f t="array" aca="1" ref="AH44" ca="1">_xlfn.IFS(     TabTRADER[[#This Row],[Traps]]=MUp,MIN(TabTRADER[[#This Row],[L_Sn]],TabTRADER[[#This Row],[N]])*(TabTRADER[[#This Row],[M]]-TabTRADER[[#This Row],[L_Sp]])*(1-Commission)*TabTRADER[[#This Row],[Scale]],                                  TRUE,"M= "&amp;TabTRADER[[#This Row],[M]])</f>
        <v>M= 8.45</v>
      </c>
      <c r="AI44" s="1165" t="str" cm="1">
        <f t="array" aca="1" ref="AI44" ca="1">_xlfn.IFS(   TabTRADER[[#This Row],[Traps]]=MUp,TEXT(MIN(TabTRADER[[#This Row],[L_Sn]],TabTRADER[[#This Row],[N]]),"#,#0")&amp;" x "&amp;TEXT(TabTRADER[[#This Row],[L_Sp]],"#,#0.#0"),          TRUE,"")</f>
        <v/>
      </c>
      <c r="AJ44" s="1165"/>
      <c r="AK44" s="1165"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65"/>
      <c r="AM44" s="1165"/>
      <c r="AN44" s="1165"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12918.923140260002</v>
      </c>
      <c r="AO44" s="1174"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0.3381650314552147</v>
      </c>
      <c r="AP44" s="1174"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TabTRADER[[#This Row],[Traps]]=SellMorePercentGain,                     MIN(TabTRADER[[#This Row],[L_Sn]],TabTRADER[[#This Row],[N]])*(TabTRADER[[#This Row],[M]]-TabTRADER[[#This Row],[L_Sp]])*(1-Commission)*TabTRADER[[#This Row],[Scale]],                    TRUE,"")</f>
        <v/>
      </c>
      <c r="AR44" s="1163">
        <f ca="1">_xlfn.XLOOKUP(TabTRADER[[#This Row],[ClickTick]],TabCalc[Ticker],TabCalc[Ann%RevLB])</f>
        <v>-9.8528908655491021E-2</v>
      </c>
      <c r="AS44" s="1267">
        <f ca="1">_xlfn.XLOOKUP(TabTRADER[[#This Row],[ClickTick]],TabCalc[Ticker],TabCalc[Up20])</f>
        <v>0.45454545454545453</v>
      </c>
      <c r="AT44" s="1175"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5" t="str" cm="1">
        <f t="array" aca="1" ref="AU44" ca="1">_xlfn.IFS(         TabTRADER[[#This Row],[Traps]]=MDown,TabTRADER[[#This Row],[L_Bn]]*TabTRADER[[#This Row],[M]]*(-(TabTRADER[[#This Row],[L_Bp]]+TabTRADER[[#This Row],[M]])/TabTRADER[[#This Row],[M]])*(1-Commission)*TabTRADER[[#This Row],[Scale]],                               TRUE,"")</f>
        <v/>
      </c>
      <c r="AV44" s="1174" t="str" cm="1">
        <f t="array" aca="1" ref="AV44" ca="1">_xlfn.IFS(   TabTRADER[[#This Row],[Traps]]=MUp,TabTRADER[[#This Row],[TakeGain_A]]-Commission,        TabTRADER[[#This Row],[Traps]]=MDown,(TabTRADER[[#This Row],[A]]-TabTRADER[[#This Row],[M]])/TabTRADER[[#This Row],[M]]-Commission,                              TRUE,"")</f>
        <v/>
      </c>
      <c r="AW44" s="760"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-331082.830686</v>
      </c>
      <c r="AX44" s="760"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44" s="736"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5" cm="1">
        <f t="array" aca="1" ref="AZ44" ca="1">_xlfn.IFS(TabTRADER[[#This Row],[Traps]]=Sale_Back,"",         TabTRADER[[#This Row],[Traps]]=MDown, (TabTRADER[[#This Row],[M]]-TabTRADER[[#This Row],[A]])/TabTRADER[[#This Row],[A]]*ComFactor,             TRUE, IFERROR((TabTRADER[[#This Row],[M]]-TabTRADER[[#This Row],[A]])/TabTRADER[[#This Row],[A]]*ComFactor,""))</f>
        <v>-0.70873540316495132</v>
      </c>
      <c r="BA44" s="762" cm="1">
        <f t="array" aca="1" ref="BA44" ca="1">_xlfn.IFS(               TabTRADER[[#This Row],[Traps]]=NoStock,(TabTRADER[[#This Row],[L_Sp]]-TabTRADER[[#This Row],[M]])/TabTRADER[[#This Row],[M]]-Commission,             TabTRADER[[#This Row],[A]]&lt;&gt;0,(TabTRADER[[#This Row],[A]]-TabTRADER[[#This Row],[M]])/TabTRADER[[#This Row],[M]]-Commission)</f>
        <v>2.452621079881657</v>
      </c>
      <c r="BB44" s="324">
        <f ca="1">_xlfn.XLOOKUP(TabTRADER[[#This Row],[ClickTick]],TabCalc[Ticker],TabCalc[L_Sn])</f>
        <v>3000</v>
      </c>
      <c r="BC44" s="728">
        <f ca="1">_xlfn.XLOOKUP(TabTRADER[[#This Row],[ClickTick]],TabCalc[Ticker],TabCalc[L_Sp])</f>
        <v>12.7675333</v>
      </c>
      <c r="BD44" s="764">
        <f ca="1">-IFERROR((TabTRADER[[#This Row],[M]]-TabTRADER[[#This Row],[L_Sp]])/TabTRADER[[#This Row],[L_Sp]],0)</f>
        <v>0.3381650314552147</v>
      </c>
      <c r="BE44" s="729">
        <f ca="1">TabTRADER[[#This Row],[L_Sn]]*(TabTRADER[[#This Row],[M]]-TabTRADER[[#This Row],[L_Sp]])*(1-Commission)*TabTRADER[[#This Row],[Scale]]</f>
        <v>-12918.923140260002</v>
      </c>
      <c r="BF44" s="692">
        <f ca="1">TabTRADER[[#This Row],[L_Sn]]*(TabTRADER[[#This Row],[Agiotage]]-TabTRADER[[#This Row],[M]])/(TabTRADER[[#This Row],[L_Bn]]*TabTRADER[[#This Row],[M]])</f>
        <v>-0.97641770127872018</v>
      </c>
      <c r="BG44" s="635">
        <f ca="1">IFERROR((TabTRADER[[#This Row],[M]]-TabTRADER[[#This Row],[A]])/TabTRADER[[#This Row],[A]],0)</f>
        <v>-0.71058291875371105</v>
      </c>
      <c r="BH44" s="638" t="str">
        <f ca="1">TEXT(_xlfn.XLOOKUP(TabTRADER[[#This Row],[ClickTick]],TabCalc[Ticker],TabCalc[NAfter]),"#,#0")&amp;" : "&amp;TEXT(_xlfn.XLOOKUP(TabTRADER[[#This Row],[ClickTick]],TabCalc[Ticker],TabCalc[NAfter])*(TabTRADER[[#This Row],[M]]-TabTRADER[[#This Row],[A]])*(1-Commission)*TabTRADER[[#This Row],[Scale]],"#,#0$")</f>
        <v>16,000 : -331,083$</v>
      </c>
      <c r="BI44" s="684">
        <f ca="1">_xlfn.XLOOKUP(TabTRADER[[#This Row],[ClickTick]],TabCalc[[#This Row],[Ticker]],TabCalc[[#This Row],[GL]])*(1-Commission)</f>
        <v>-722020.6560435961</v>
      </c>
      <c r="BJ44" s="684"/>
      <c r="BK44" s="669" t="str">
        <f ca="1">TabTRADER[[#This Row],[ClickTick]]&amp;": "&amp;_xlfn.XLOOKUP(TabTRADER[[#This Row],[ClickTick]],TabCalc[Ticker],TabCalc[Pile?])</f>
        <v xml:space="preserve">SSYS: </v>
      </c>
      <c r="BL44" s="351" t="s">
        <v>2002</v>
      </c>
      <c r="BM44" s="755" t="str" cm="1">
        <f t="array" aca="1" ref="BM44" ca="1">_xlfn.TEXTJOIN("",,INDEX({"M","A","Y"}, _xlfn.SORTBY({1,2,3}, -CHOOSE({1,2,3}, TabTRADER[[#This Row],[M]], TabTRADER[[#This Row],[A]], TabTRADER[[#This Row],[Agiotage]]))))</f>
        <v>AMY</v>
      </c>
      <c r="BN44" s="902"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9" t="e">
        <f ca="1">TabTRADER[[#This Row],[L_Sn]]*TabTRADER[[#This Row],[L_Sp]]+TabTRADER[[#This Row],[SellMore]]*TabTRADER[[#This Row],[M]]</f>
        <v>#N/A</v>
      </c>
      <c r="BP44" s="679" t="e">
        <f ca="1">INDEX(
  INDEX(TabConsolid[], , _xlfn.XMATCH(TabTRADER[[#This Row],[ClickTick]]&amp;1, TabConsolid[#Headers])),
  MATCH(
    -TabTRADER[[#This Row],[M]],
    INDEX(TabConsolid[], , _xlfn.XMATCH(TabTRADER[[#This Row],[ClickTick]]&amp;2, TabConsolid[#Headers])),
    -1
  )
)</f>
        <v>#N/A</v>
      </c>
      <c r="BQ44" s="679"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44" t="e">
        <f ca="1">TabTRADER[[#This Row],[ReBuy]]/(TabTRADER[[#This Row],[L_Sn]]+TabTRADER[[#This Row],[SellMore]])</f>
        <v>#N/A</v>
      </c>
      <c r="BS44" s="687">
        <f ca="1">((_xlfn.XLOOKUP(TabTRADER[[#This Row],[ClickTick]],TabCalc[Ticker],TabCalc[NAfter])+TabTRADER[[#This Row],[L_Sn]])*(TabTRADER[[#This Row],[Agiotage]]-TabTRADER[[#This Row],[M]]))/(TabTRADER[[#This Row],[L_Sn]]*_xlfn.XLOOKUP(TabTRADER[[#This Row],[ClickTick]],TabCalc[Ticker],TabCalc[NAfter]))</f>
        <v>-3.2659137904228861E-3</v>
      </c>
      <c r="BT44" s="687">
        <f ca="1">(TabTRADER[[#This Row],[M]]-TabTRADER[[#This Row],[Agiotage]])/(TabTRADER[[#This Row],[M]]-TabTRADER[[#This Row],[A]])-1</f>
        <v>-1.3976903380634806</v>
      </c>
      <c r="BU44" s="1262">
        <f ca="1">_xlfn.XMATCH(TabTRADER[[#This Row],[ClickTick]]&amp;1, TabConsolid[#Headers])</f>
        <v>125</v>
      </c>
      <c r="BV44" t="str">
        <f ca="1">IF(ABS(TabTRADER[[#This Row],[L_Bp]])&gt;=TabTRADER[[#This Row],[M]],"OK")</f>
        <v>OK</v>
      </c>
    </row>
    <row r="45" spans="1:74" hidden="1"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+66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197</v>
      </c>
      <c r="F45" s="226" t="str">
        <f ca="1">TRUNC(TabCalc[[#This Row],[L_B1p]],2)&amp;"x"&amp;TabCalc[[#This Row],[L_B1n]]&amp;"=   "&amp;TEXT(TabCalc[[#This Row],[ReverseS1]],"#,#0")&amp;"$"</f>
        <v>-382.16x100=   20$</v>
      </c>
      <c r="G45" s="225" t="str">
        <f ca="1">IFERROR(TRUNC(_xlfn.XLOOKUP(TabTRADER[[#This Row],[ClickTick]],TabCalc[Ticker],ListLastSalep),2)&amp;"x"&amp;_xlfn.XLOOKUP(TabTRADER[[#This Row],[ClickTick]],TabCalc[Ticker],ListLastSalen)&amp;"=   "&amp;TEXT(-_xlfn.XLOOKUP(TabTRADER[[#This Row],[ClickTick]],TabCalc[Ticker],ListReverseB),"#,#0")&amp;"$","")</f>
        <v>427.54x9=   -229$</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197</v>
      </c>
      <c r="I45" s="226" t="str">
        <f ca="1">IFERROR(TRUNC(TabCalc[[#This Row],[L_S1p]],2)&amp;"x"&amp;TabCalc[[#This Row],[L_S1n]]&amp;"=   "&amp;TEXT(TabCalc[[#This Row],[ReverseB1]],"#,#0"),"")</f>
        <v>333.93x390=   -26,590</v>
      </c>
      <c r="J45" s="295">
        <f ca="1">_xlfn.XLOOKUP(TabTRADER[[#This Row],[ClickTick]],TabCalc[Ticker],ListGravity)</f>
        <v>0.97316169704807143</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0.48129913738814045</v>
      </c>
      <c r="N45" s="324" cm="1">
        <f t="array" aca="1" ref="N45" ca="1">_xlfn.XLOOKUP(TabTRADER[[#This Row],[ClickTick]],ListTickers,Tab2RSIConventional[RSIConv20])</f>
        <v>33</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0.19494220082612709</v>
      </c>
      <c r="S45" s="683">
        <f ca="1">_xlfn.XLOOKUP(TabTRADER[[#This Row],[ClickTick]],TabCalc[Ticker],TabCalc[Rev(MinStock)])*(1-Commission)</f>
        <v>65.429440000000014</v>
      </c>
      <c r="T45" s="782">
        <f ca="1">_xlfn.XLOOKUP(TabTRADER[[#This Row],[ClickTick]],TabCalc[Ticker],TabCalc[Agiotage])</f>
        <v>0.48129913738814045</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-4/-4=&gt;0.2% / 0.2%</v>
      </c>
      <c r="V45" s="739" t="str">
        <f ca="1">_xlfn.XLOOKUP(TabTRADER[[#This Row],[ClickTick]],[1]!RTData[Ticker_Symbol],[1]!RTData[Currency])</f>
        <v>USD</v>
      </c>
      <c r="W45" s="749">
        <f ca="1">_xlfn.XLOOKUP(TabTRADER[[#This Row],[ClickTick]],TabCalc[Ticker],TabCalc[M])</f>
        <v>402.11</v>
      </c>
      <c r="X45" s="1315"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2.1429999999999999E-3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82"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65"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 x 427.54</v>
      </c>
      <c r="AG45" s="1165"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228.27493800000005</v>
      </c>
      <c r="AH45" s="1165" t="str" cm="1">
        <f t="array" aca="1" ref="AH45" ca="1">_xlfn.IFS(     TabTRADER[[#This Row],[Traps]]=MUp,MIN(TabTRADER[[#This Row],[L_Sn]],TabTRADER[[#This Row],[N]])*(TabTRADER[[#This Row],[M]]-TabTRADER[[#This Row],[L_Sp]])*(1-Commission)*TabTRADER[[#This Row],[Scale]],                                  TRUE,"M= "&amp;TabTRADER[[#This Row],[M]])</f>
        <v>M= 402.11</v>
      </c>
      <c r="AI45" s="1165" t="str" cm="1">
        <f t="array" aca="1" ref="AI45" ca="1">_xlfn.IFS(   TabTRADER[[#This Row],[Traps]]=MUp,TEXT(MIN(TabTRADER[[#This Row],[L_Sn]],TabTRADER[[#This Row],[N]]),"#,#0")&amp;" x "&amp;TEXT(TabTRADER[[#This Row],[L_Sp]],"#,#0.#0"),          TRUE,"")</f>
        <v/>
      </c>
      <c r="AJ45" s="1165"/>
      <c r="AK45" s="1165" t="str"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5" s="1165"/>
      <c r="AM45" s="1165"/>
      <c r="AN45" s="1165"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228.27493800000005</v>
      </c>
      <c r="AO45" s="1174"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5.9479814754175062E-2</v>
      </c>
      <c r="AP45" s="1174" t="str"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5" s="825" t="str" cm="1">
        <f t="array" aca="1" ref="AQ45" ca="1">_xlfn.IFS(   TabTRADER[[#This Row],[Traps]]=SellMorePercentGain,                     MIN(TabTRADER[[#This Row],[L_Sn]],TabTRADER[[#This Row],[N]])*(TabTRADER[[#This Row],[M]]-TabTRADER[[#This Row],[L_Sp]])*(1-Commission)*TabTRADER[[#This Row],[Scale]],                    TRUE,"")</f>
        <v/>
      </c>
      <c r="AR45" s="1180">
        <f ca="1">_xlfn.XLOOKUP(TabTRADER[[#This Row],[ClickTick]],TabCalc[Ticker],TabCalc[Ann%RevLB])</f>
        <v>0.25063997249073483</v>
      </c>
      <c r="AS45" s="1266">
        <f ca="1">_xlfn.XLOOKUP(TabTRADER[[#This Row],[ClickTick]],TabCalc[Ticker],TabCalc[Up20])</f>
        <v>0</v>
      </c>
      <c r="AT45" s="1175"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5" t="str" cm="1">
        <f t="array" aca="1" ref="AU45" ca="1">_xlfn.IFS(         TabTRADER[[#This Row],[Traps]]=MDown,TabTRADER[[#This Row],[L_Bn]]*TabTRADER[[#This Row],[M]]*(-(TabTRADER[[#This Row],[L_Bp]]+TabTRADER[[#This Row],[M]])/TabTRADER[[#This Row],[M]])*(1-Commission)*TabTRADER[[#This Row],[Scale]],                               TRUE,"")</f>
        <v/>
      </c>
      <c r="AV45" s="1174" t="str" cm="1">
        <f t="array" aca="1" ref="AV45" ca="1">_xlfn.IFS(   TabTRADER[[#This Row],[Traps]]=MUp,TabTRADER[[#This Row],[TakeGain_A]]-Commission,        TabTRADER[[#This Row],[Traps]]=MDown,(TabTRADER[[#This Row],[A]]-TabTRADER[[#This Row],[M]])/TabTRADER[[#This Row],[M]]-Commission,                              TRUE,"")</f>
        <v/>
      </c>
      <c r="AW45" s="760"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65.429440000000014</v>
      </c>
      <c r="AX45" s="760"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45" s="736"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5" s="765" cm="1">
        <f t="array" aca="1" ref="AZ45" ca="1">_xlfn.IFS(TabTRADER[[#This Row],[Traps]]=Sale_Back,"",         TabTRADER[[#This Row],[Traps]]=MDown, (TabTRADER[[#This Row],[M]]-TabTRADER[[#This Row],[A]])/TabTRADER[[#This Row],[A]]*ComFactor,             TRUE, IFERROR((TabTRADER[[#This Row],[M]]-TabTRADER[[#This Row],[A]])/TabTRADER[[#This Row],[A]]*ComFactor,""))</f>
        <v>0.19443535110397916</v>
      </c>
      <c r="BA45" s="762" cm="1">
        <f t="array" aca="1" ref="BA45" ca="1">_xlfn.IFS(               TabTRADER[[#This Row],[Traps]]=NoStock,(TabTRADER[[#This Row],[L_Sp]]-TabTRADER[[#This Row],[M]])/TabTRADER[[#This Row],[M]]-Commission,             TabTRADER[[#This Row],[A]]&lt;&gt;0,(TabTRADER[[#This Row],[A]]-TabTRADER[[#This Row],[M]])/TabTRADER[[#This Row],[M]]-Commission)</f>
        <v>-0.16573943945686509</v>
      </c>
      <c r="BB45" s="324">
        <f ca="1">_xlfn.XLOOKUP(TabTRADER[[#This Row],[ClickTick]],TabCalc[Ticker],TabCalc[L_Sn])</f>
        <v>9</v>
      </c>
      <c r="BC45" s="728">
        <f ca="1">_xlfn.XLOOKUP(TabTRADER[[#This Row],[ClickTick]],TabCalc[Ticker],TabCalc[L_Sp])</f>
        <v>427.54</v>
      </c>
      <c r="BD45" s="764">
        <f ca="1">-IFERROR((TabTRADER[[#This Row],[M]]-TabTRADER[[#This Row],[L_Sp]])/TabTRADER[[#This Row],[L_Sp]],0)</f>
        <v>5.9479814754175062E-2</v>
      </c>
      <c r="BE45" s="729">
        <f ca="1">TabTRADER[[#This Row],[L_Sn]]*(TabTRADER[[#This Row],[M]]-TabTRADER[[#This Row],[L_Sp]])*(1-Commission)*TabTRADER[[#This Row],[Scale]]</f>
        <v>-228.27493800000005</v>
      </c>
      <c r="BF45" s="692">
        <f ca="1">TabTRADER[[#This Row],[L_Sn]]*(TabTRADER[[#This Row],[Agiotage]]-TabTRADER[[#This Row],[M]])/(TabTRADER[[#This Row],[L_Bn]]*TabTRADER[[#This Row],[M]])</f>
        <v>-2.2473068984628006E-2</v>
      </c>
      <c r="BG45" s="635">
        <f ca="1">IFERROR((TabTRADER[[#This Row],[M]]-TabTRADER[[#This Row],[A]])/TabTRADER[[#This Row],[A]],0)</f>
        <v>0.19494220082612709</v>
      </c>
      <c r="BH45" s="638" t="str">
        <f ca="1">TEXT(_xlfn.XLOOKUP(TabTRADER[[#This Row],[ClickTick]],TabCalc[Ticker],TabCalc[NAfter]),"#,#0")&amp;" : "&amp;TEXT(_xlfn.XLOOKUP(TabTRADER[[#This Row],[ClickTick]],TabCalc[Ticker],TabCalc[NAfter])*(TabTRADER[[#This Row],[M]]-TabTRADER[[#This Row],[A]])*(1-Commission)*TabTRADER[[#This Row],[Scale]],"#,#0$")</f>
        <v>1 : 65$</v>
      </c>
      <c r="BI45" s="684">
        <f ca="1">_xlfn.XLOOKUP(TabTRADER[[#This Row],[ClickTick]],TabCalc[[#This Row],[Ticker]],TabCalc[[#This Row],[GL]])*(1-Commission)</f>
        <v>87625.192100125976</v>
      </c>
      <c r="BJ45" s="684"/>
      <c r="BK45" s="669" t="str">
        <f ca="1">TabTRADER[[#This Row],[ClickTick]]&amp;": "&amp;_xlfn.XLOOKUP(TabTRADER[[#This Row],[ClickTick]],TabCalc[Ticker],TabCalc[Pile?])</f>
        <v>TSLA: Pile</v>
      </c>
      <c r="BL45" s="351" t="s">
        <v>2007</v>
      </c>
      <c r="BM45" s="755" t="str" cm="1">
        <f t="array" aca="1" ref="BM45" ca="1">_xlfn.TEXTJOIN("",,INDEX({"M","A","Y"}, _xlfn.SORTBY({1,2,3}, -CHOOSE({1,2,3}, TabTRADER[[#This Row],[M]], TabTRADER[[#This Row],[A]], TabTRADER[[#This Row],[Agiotage]]))))</f>
        <v>MAY</v>
      </c>
      <c r="BN45" s="902" t="str"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5" s="679">
        <f ca="1">TabTRADER[[#This Row],[L_Sn]]*TabTRADER[[#This Row],[L_Sp]]+TabTRADER[[#This Row],[SellMore]]*TabTRADER[[#This Row],[M]]</f>
        <v>4249.97</v>
      </c>
      <c r="BP45" s="679">
        <f ca="1">INDEX(
  INDEX(TabConsolid[], , _xlfn.XMATCH(TabTRADER[[#This Row],[ClickTick]]&amp;1, TabConsolid[#Headers])),
  MATCH(
    -TabTRADER[[#This Row],[M]],
    INDEX(TabConsolid[], , _xlfn.XMATCH(TabTRADER[[#This Row],[ClickTick]]&amp;2, TabConsolid[#Headers])),
    -1
  )
)</f>
        <v>1</v>
      </c>
      <c r="BQ45" s="679"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44">
        <f ca="1">TabTRADER[[#This Row],[ReBuy]]/(TabTRADER[[#This Row],[L_Sn]]+TabTRADER[[#This Row],[SellMore]])</f>
        <v>424.99700000000001</v>
      </c>
      <c r="BS45" s="687">
        <f ca="1">((_xlfn.XLOOKUP(TabTRADER[[#This Row],[ClickTick]],TabCalc[Ticker],TabCalc[NAfter])+TabTRADER[[#This Row],[L_Sn]])*(TabTRADER[[#This Row],[Agiotage]]-TabTRADER[[#This Row],[M]]))/(TabTRADER[[#This Row],[L_Sn]]*_xlfn.XLOOKUP(TabTRADER[[#This Row],[ClickTick]],TabCalc[Ticker],TabCalc[NAfter]))</f>
        <v>-446.25411206956875</v>
      </c>
      <c r="BT45" s="687">
        <f ca="1">(TabTRADER[[#This Row],[M]]-TabTRADER[[#This Row],[Agiotage]])/(TabTRADER[[#This Row],[M]]-TabTRADER[[#This Row],[A]])-1</f>
        <v>5.1223887326617641</v>
      </c>
      <c r="BU45" s="1262">
        <f ca="1">_xlfn.XMATCH(TabTRADER[[#This Row],[ClickTick]]&amp;1, TabConsolid[#Headers])</f>
        <v>128</v>
      </c>
      <c r="BV45" t="b">
        <f ca="1">IF(ABS(TabTRADER[[#This Row],[L_Bp]])&gt;=TabTRADER[[#This Row],[M]],"OK")</f>
        <v>0</v>
      </c>
    </row>
    <row r="46" spans="1:74" hidden="1"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-5,530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534</v>
      </c>
      <c r="F46" s="226" t="str">
        <f ca="1">TRUNC(TabCalc[[#This Row],[L_B1p]],2)&amp;"x"&amp;TabCalc[[#This Row],[L_B1n]]&amp;"=   "&amp;TEXT(TabCalc[[#This Row],[ReverseS1]],"#,#0")&amp;"$"</f>
        <v>-235.25x1000=   44,240$</v>
      </c>
      <c r="G46" s="225" t="str">
        <f ca="1">IFERROR(TRUNC(_xlfn.XLOOKUP(TabTRADER[[#This Row],[ClickTick]],TabCalc[Ticker],ListLastSalep),2)&amp;"x"&amp;_xlfn.XLOOKUP(TabTRADER[[#This Row],[ClickTick]],TabCalc[Ticker],ListLastSalen)&amp;"=   "&amp;TEXT(-_xlfn.XLOOKUP(TabTRADER[[#This Row],[ClickTick]],TabCalc[Ticker],ListReverseB),"#,#0")&amp;"$","")</f>
        <v>288.85x300=   -2,808$</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534</v>
      </c>
      <c r="I46" s="226" t="str">
        <f ca="1">IFERROR(TRUNC(TabCalc[[#This Row],[L_S1p]],2)&amp;"x"&amp;TabCalc[[#This Row],[L_S1n]]&amp;"=   "&amp;TEXT(TabCalc[[#This Row],[ReverseB1]],"#,#0"),"")</f>
        <v>296.4x500=   8,455</v>
      </c>
      <c r="J46" s="295">
        <f ca="1">_xlfn.XLOOKUP(TabTRADER[[#This Row],[ClickTick]],TabCalc[Ticker],ListGravity)</f>
        <v>1.2000317721564278</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698725</v>
      </c>
      <c r="M46" s="323">
        <f ca="1">_xlfn.XLOOKUP(TabTRADER[[#This Row],[ClickTick]],TabCalc[Ticker],TabCalc[Agiotage])</f>
        <v>0.40744502227916013</v>
      </c>
      <c r="N46" s="324" cm="1">
        <f t="array" aca="1" ref="N46" ca="1">_xlfn.XLOOKUP(TabTRADER[[#This Row],[ClickTick]],ListTickers,Tab2RSIConventional[RSIConv20])</f>
        <v>21</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-2.4135613341363871E-2</v>
      </c>
      <c r="S46" s="683">
        <f ca="1">_xlfn.XLOOKUP(TabTRADER[[#This Row],[ClickTick]],TabCalc[Ticker],TabCalc[Rev(MinStock)])*(1-Commission)</f>
        <v>-5515.6219999999721</v>
      </c>
      <c r="T46" s="782">
        <f ca="1">_xlfn.XLOOKUP(TabTRADER[[#This Row],[ClickTick]],TabCalc[Ticker],TabCalc[Agiotage])</f>
        <v>0.40744502227916013</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10,710/10,710=&gt;0.6% / 0.6%</v>
      </c>
      <c r="V46" s="739" t="str">
        <f ca="1">_xlfn.XLOOKUP(TabTRADER[[#This Row],[ClickTick]],[1]!RTData[Ticker_Symbol],[1]!RTData[Currency])</f>
        <v>USD</v>
      </c>
      <c r="W46" s="749">
        <f ca="1">_xlfn.XLOOKUP(TabTRADER[[#This Row],[ClickTick]],TabCalc[Ticker],TabCalc[M])</f>
        <v>279.49</v>
      </c>
      <c r="X46" s="1315"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5.6849999999999999E-3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^871/1,258 K$</v>
      </c>
      <c r="AE46" s="1182"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65"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288.85</v>
      </c>
      <c r="AG46" s="1165"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2800.6992000000041</v>
      </c>
      <c r="AH46" s="1165" t="str" cm="1">
        <f t="array" aca="1" ref="AH46" ca="1">_xlfn.IFS(     TabTRADER[[#This Row],[Traps]]=MUp,MIN(TabTRADER[[#This Row],[L_Sn]],TabTRADER[[#This Row],[N]])*(TabTRADER[[#This Row],[M]]-TabTRADER[[#This Row],[L_Sp]])*(1-Commission)*TabTRADER[[#This Row],[Scale]],                                  TRUE,"M= "&amp;TabTRADER[[#This Row],[M]])</f>
        <v>M= 279.49</v>
      </c>
      <c r="AI46" s="1165" t="str" cm="1">
        <f t="array" aca="1" ref="AI46" ca="1">_xlfn.IFS(   TabTRADER[[#This Row],[Traps]]=MUp,TEXT(MIN(TabTRADER[[#This Row],[L_Sn]],TabTRADER[[#This Row],[N]]),"#,#0")&amp;" x "&amp;TEXT(TabTRADER[[#This Row],[L_Sp]],"#,#0.#0"),          TRUE,"")</f>
        <v/>
      </c>
      <c r="AJ46" s="1165"/>
      <c r="AK46" s="1165" t="str"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6" s="1165"/>
      <c r="AM46" s="1165"/>
      <c r="AN46" s="1165"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2800.6992000000041</v>
      </c>
      <c r="AO46" s="1174"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3.2404362125670806E-2</v>
      </c>
      <c r="AP46" s="1174" t="str"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6" s="825" t="str" cm="1">
        <f t="array" aca="1" ref="AQ46" ca="1">_xlfn.IFS(   TabTRADER[[#This Row],[Traps]]=SellMorePercentGain,                     MIN(TabTRADER[[#This Row],[L_Sn]],TabTRADER[[#This Row],[N]])*(TabTRADER[[#This Row],[M]]-TabTRADER[[#This Row],[L_Sp]])*(1-Commission)*TabTRADER[[#This Row],[Scale]],                    TRUE,"")</f>
        <v/>
      </c>
      <c r="AR46" s="1314">
        <f ca="1">_xlfn.XLOOKUP(TabTRADER[[#This Row],[ClickTick]],TabCalc[Ticker],TabCalc[Ann%RevLB])</f>
        <v>-0.31031502867467836</v>
      </c>
      <c r="AS46" s="1266">
        <f ca="1">_xlfn.XLOOKUP(TabTRADER[[#This Row],[ClickTick]],TabCalc[Ticker],TabCalc[Up20])</f>
        <v>0</v>
      </c>
      <c r="AT46" s="1175"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5" t="str" cm="1">
        <f t="array" aca="1" ref="AU46" ca="1">_xlfn.IFS(         TabTRADER[[#This Row],[Traps]]=MDown,TabTRADER[[#This Row],[L_Bn]]*TabTRADER[[#This Row],[M]]*(-(TabTRADER[[#This Row],[L_Bp]]+TabTRADER[[#This Row],[M]])/TabTRADER[[#This Row],[M]])*(1-Commission)*TabTRADER[[#This Row],[Scale]],                               TRUE,"")</f>
        <v/>
      </c>
      <c r="AV46" s="1174" t="str" cm="1">
        <f t="array" aca="1" ref="AV46" ca="1">_xlfn.IFS(   TabTRADER[[#This Row],[Traps]]=MUp,TabTRADER[[#This Row],[TakeGain_A]]-Commission,        TabTRADER[[#This Row],[Traps]]=MDown,(TabTRADER[[#This Row],[A]]-TabTRADER[[#This Row],[M]])/TabTRADER[[#This Row],[M]]-Commission,                              TRUE,"")</f>
        <v/>
      </c>
      <c r="AW46" s="760"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339033.53434462514</v>
      </c>
      <c r="AX46" s="760"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6" s="736"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6" s="765" cm="1">
        <f t="array" aca="1" ref="AZ46" ca="1">_xlfn.IFS(TabTRADER[[#This Row],[Traps]]=Sale_Back,"",         TabTRADER[[#This Row],[Traps]]=MDown, (TabTRADER[[#This Row],[M]]-TabTRADER[[#This Row],[A]])/TabTRADER[[#This Row],[A]]*ComFactor,             TRUE, IFERROR((TabTRADER[[#This Row],[M]]-TabTRADER[[#This Row],[A]])/TabTRADER[[#This Row],[A]]*ComFactor,""))</f>
        <v>0.36940301281201365</v>
      </c>
      <c r="BA46" s="762" cm="1">
        <f t="array" aca="1" ref="BA46" ca="1">_xlfn.IFS(               TabTRADER[[#This Row],[Traps]]=NoStock,(TabTRADER[[#This Row],[L_Sp]]-TabTRADER[[#This Row],[M]])/TabTRADER[[#This Row],[M]]-Commission,             TabTRADER[[#This Row],[A]]&lt;&gt;0,(TabTRADER[[#This Row],[A]]-TabTRADER[[#This Row],[M]])/TabTRADER[[#This Row],[M]]-Commission)</f>
        <v>-0.27286792401636323</v>
      </c>
      <c r="BB46" s="324">
        <f ca="1">_xlfn.XLOOKUP(TabTRADER[[#This Row],[ClickTick]],TabCalc[Ticker],TabCalc[L_Sn])</f>
        <v>300</v>
      </c>
      <c r="BC46" s="728">
        <f ca="1">_xlfn.XLOOKUP(TabTRADER[[#This Row],[ClickTick]],TabCalc[Ticker],TabCalc[L_Sp])</f>
        <v>288.85000000000002</v>
      </c>
      <c r="BD46" s="764">
        <f ca="1">-IFERROR((TabTRADER[[#This Row],[M]]-TabTRADER[[#This Row],[L_Sp]])/TabTRADER[[#This Row],[L_Sp]],0)</f>
        <v>3.2404362125670806E-2</v>
      </c>
      <c r="BE46" s="729">
        <f ca="1">TabTRADER[[#This Row],[L_Sn]]*(TabTRADER[[#This Row],[M]]-TabTRADER[[#This Row],[L_Sp]])*(1-Commission)*TabTRADER[[#This Row],[Scale]]</f>
        <v>-2800.6992000000041</v>
      </c>
      <c r="BF46" s="692">
        <f ca="1">TabTRADER[[#This Row],[L_Sn]]*(TabTRADER[[#This Row],[Agiotage]]-TabTRADER[[#This Row],[M]])/(TabTRADER[[#This Row],[L_Bn]]*TabTRADER[[#This Row],[M]])</f>
        <v>-0.37445331896184236</v>
      </c>
      <c r="BG46" s="635">
        <f ca="1">IFERROR((TabTRADER[[#This Row],[M]]-TabTRADER[[#This Row],[A]])/TabTRADER[[#This Row],[A]],0)</f>
        <v>0.37036596431924368</v>
      </c>
      <c r="BH46" s="638" t="str">
        <f ca="1">TEXT(_xlfn.XLOOKUP(TabTRADER[[#This Row],[ClickTick]],TabCalc[Ticker],TabCalc[NAfter]),"#,#0")&amp;" : "&amp;TEXT(_xlfn.XLOOKUP(TabTRADER[[#This Row],[ClickTick]],TabCalc[Ticker],TabCalc[NAfter])*(TabTRADER[[#This Row],[M]]-TabTRADER[[#This Row],[A]])*(1-Commission)*TabTRADER[[#This Row],[Scale]],"#,#0$")</f>
        <v>4,500 : 339,034$</v>
      </c>
      <c r="BI46" s="684">
        <f ca="1">_xlfn.XLOOKUP(TabTRADER[[#This Row],[ClickTick]],TabCalc[[#This Row],[Ticker]],TabCalc[[#This Row],[GL]])*(1-Commission)</f>
        <v>868279.94646328723</v>
      </c>
      <c r="BJ46" s="684"/>
      <c r="BK46" s="669" t="str">
        <f ca="1">TabTRADER[[#This Row],[ClickTick]]&amp;": "&amp;_xlfn.XLOOKUP(TabTRADER[[#This Row],[ClickTick]],TabCalc[Ticker],TabCalc[Pile?])</f>
        <v xml:space="preserve">TSM: </v>
      </c>
      <c r="BL46" s="351" t="s">
        <v>2008</v>
      </c>
      <c r="BM46" s="755" t="str" cm="1">
        <f t="array" aca="1" ref="BM46" ca="1">_xlfn.TEXTJOIN("",,INDEX({"M","A","Y"}, _xlfn.SORTBY({1,2,3}, -CHOOSE({1,2,3}, TabTRADER[[#This Row],[M]], TabTRADER[[#This Row],[A]], TabTRADER[[#This Row],[Agiotage]]))))</f>
        <v>MAY</v>
      </c>
      <c r="BN46" s="902" t="str"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6" s="679">
        <f ca="1">TabTRADER[[#This Row],[L_Sn]]*TabTRADER[[#This Row],[L_Sp]]+TabTRADER[[#This Row],[SellMore]]*TabTRADER[[#This Row],[M]]</f>
        <v>226400</v>
      </c>
      <c r="BP46" s="679">
        <f ca="1">INDEX(
  INDEX(TabConsolid[], , _xlfn.XMATCH(TabTRADER[[#This Row],[ClickTick]]&amp;1, TabConsolid[#Headers])),
  MATCH(
    -TabTRADER[[#This Row],[M]],
    INDEX(TabConsolid[], , _xlfn.XMATCH(TabTRADER[[#This Row],[ClickTick]]&amp;2, TabConsolid[#Headers])),
    -1
  )
)</f>
        <v>500</v>
      </c>
      <c r="BQ46" s="679"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44">
        <f ca="1">TabTRADER[[#This Row],[ReBuy]]/(TabTRADER[[#This Row],[L_Sn]]+TabTRADER[[#This Row],[SellMore]])</f>
        <v>283</v>
      </c>
      <c r="BS46" s="687">
        <f ca="1">((_xlfn.XLOOKUP(TabTRADER[[#This Row],[ClickTick]],TabCalc[Ticker],TabCalc[NAfter])+TabTRADER[[#This Row],[L_Sn]])*(TabTRADER[[#This Row],[Agiotage]]-TabTRADER[[#This Row],[M]]))/(TabTRADER[[#This Row],[L_Sn]]*_xlfn.XLOOKUP(TabTRADER[[#This Row],[ClickTick]],TabCalc[Ticker],TabCalc[NAfter]))</f>
        <v>-0.99229352880967414</v>
      </c>
      <c r="BT46" s="687">
        <f ca="1">(TabTRADER[[#This Row],[M]]-TabTRADER[[#This Row],[Agiotage]])/(TabTRADER[[#This Row],[M]]-TabTRADER[[#This Row],[A]])-1</f>
        <v>2.6946381540925666</v>
      </c>
      <c r="BU46" s="1262">
        <f ca="1">_xlfn.XMATCH(TabTRADER[[#This Row],[ClickTick]]&amp;1, TabConsolid[#Headers])</f>
        <v>131</v>
      </c>
      <c r="BV46" t="str">
        <f ca="1">IF(ABS(TabTRADER[[#This Row],[L_Bp]])&gt;=TabTRADER[[#This Row],[M]],"OK")</f>
        <v>OK</v>
      </c>
    </row>
    <row r="47" spans="1:74" hidden="1"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-2,447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-23.1%</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-4,338$</v>
      </c>
      <c r="G47" s="225" t="str">
        <f ca="1">IFERROR(TRUNC(_xlfn.XLOOKUP(TabTRADER[[#This Row],[ClickTick]],TabCalc[Ticker],ListLastSalep),2)&amp;"x"&amp;_xlfn.XLOOKUP(TabTRADER[[#This Row],[ClickTick]],TabCalc[Ticker],ListLastSalen)&amp;"=   "&amp;TEXT(-_xlfn.XLOOKUP(TabTRADER[[#This Row],[ClickTick]],TabCalc[Ticker],ListReverseB),"#,#0")&amp;"$","")</f>
        <v>44.29x350=   -4,917$</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46.4% = 356</v>
      </c>
      <c r="I47" s="226" t="str">
        <f ca="1">IFERROR(TRUNC(TabCalc[[#This Row],[L_S1p]],2)&amp;"x"&amp;TabCalc[[#This Row],[L_S1n]]&amp;"=   "&amp;TEXT(TabCalc[[#This Row],[ReverseB1]],"#,#0"),"")</f>
        <v>43.37x2500=   32,800</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69575</v>
      </c>
      <c r="M47" s="323">
        <f ca="1">_xlfn.XLOOKUP(TabTRADER[[#This Row],[ClickTick]],TabCalc[Ticker],TabCalc[Agiotage])</f>
        <v>1.1235955056179776E-3</v>
      </c>
      <c r="N47" s="324" cm="1">
        <f t="array" aca="1" ref="N47" ca="1">_xlfn.XLOOKUP(TabTRADER[[#This Row],[ClickTick]],ListTickers,Tab2RSIConventional[RSIConv20])</f>
        <v>65</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-0.18771666483175659</v>
      </c>
      <c r="S47" s="683">
        <f ca="1">_xlfn.XLOOKUP(TabTRADER[[#This Row],[ClickTick]],TabCalc[Ticker],TabCalc[Rev(MinStock)])*(1-Commission)</f>
        <v>-2440.3834629999988</v>
      </c>
      <c r="T47" s="782">
        <f ca="1">_xlfn.XLOOKUP(TabTRADER[[#This Row],[ClickTick]],TabCalc[Ticker],TabCalc[Agiotage])</f>
        <v>1.1235955056179776E-3</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2,100/2,100=&gt;-0.7% / -0.7%</v>
      </c>
      <c r="V47" s="739" t="str">
        <f ca="1">_xlfn.XLOOKUP(TabTRADER[[#This Row],[ClickTick]],[1]!RTData[Ticker_Symbol],[1]!RTData[Currency])</f>
        <v>EUR</v>
      </c>
      <c r="W47" s="749">
        <f ca="1">_xlfn.XLOOKUP(TabTRADER[[#This Row],[ClickTick]],TabCalc[Ticker],TabCalc[M])</f>
        <v>30.25</v>
      </c>
      <c r="X47" s="1315"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-6.5680000000000009E-3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-199/91 K$</v>
      </c>
      <c r="AE47" s="1182"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65"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30.25, -31.7%</v>
      </c>
      <c r="AG47" s="1165"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65" t="str" cm="1">
        <f t="array" aca="1" ref="AH47" ca="1">_xlfn.IFS(     TabTRADER[[#This Row],[Traps]]=MUp,MIN(TabTRADER[[#This Row],[L_Sn]],TabTRADER[[#This Row],[N]])*(TabTRADER[[#This Row],[M]]-TabTRADER[[#This Row],[L_Sp]])*(1-Commission)*TabTRADER[[#This Row],[Scale]],                                  TRUE,"M= "&amp;TabTRADER[[#This Row],[M]])</f>
        <v>M= 30.25</v>
      </c>
      <c r="AI47" s="1165" t="str" cm="1">
        <f t="array" aca="1" ref="AI47" ca="1">_xlfn.IFS(   TabTRADER[[#This Row],[Traps]]=MUp,TEXT(MIN(TabTRADER[[#This Row],[L_Sn]],TabTRADER[[#This Row],[N]]),"#,#0")&amp;" x "&amp;TEXT(TabTRADER[[#This Row],[L_Sp]],"#,#0.#0"),          TRUE,"")</f>
        <v/>
      </c>
      <c r="AJ47" s="1165"/>
      <c r="AK47" s="1165"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2440.3834629999988</v>
      </c>
      <c r="AL47" s="1165"/>
      <c r="AM47" s="1165"/>
      <c r="AN47" s="1165"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90750</v>
      </c>
      <c r="AO47" s="1174"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0.27282517635491904</v>
      </c>
      <c r="AP47" s="1174"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0.22849752066115692</v>
      </c>
      <c r="AQ47" s="825" t="str" cm="1">
        <f t="array" aca="1" ref="AQ47" ca="1">_xlfn.IFS(   TabTRADER[[#This Row],[Traps]]=SellMorePercentGain,                     MIN(TabTRADER[[#This Row],[L_Sn]],TabTRADER[[#This Row],[N]])*(TabTRADER[[#This Row],[M]]-TabTRADER[[#This Row],[L_Sp]])*(1-Commission)*TabTRADER[[#This Row],[Scale]],                    TRUE,"")</f>
        <v/>
      </c>
      <c r="AR47" s="1163">
        <f ca="1">_xlfn.XLOOKUP(TabTRADER[[#This Row],[ClickTick]],TabCalc[Ticker],TabCalc[Ann%RevLB])</f>
        <v>-0.54498386564058365</v>
      </c>
      <c r="AS47" s="1267">
        <f ca="1">_xlfn.XLOOKUP(TabTRADER[[#This Row],[ClickTick]],TabCalc[Ticker],TabCalc[Up20])</f>
        <v>0</v>
      </c>
      <c r="AT47" s="1175"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0.23109752066115691</v>
      </c>
      <c r="AU47" s="825" cm="1">
        <f t="array" aca="1" ref="AU47" ca="1">_xlfn.IFS(         TabTRADER[[#This Row],[Traps]]=MDown,TabTRADER[[#This Row],[L_Bn]]*TabTRADER[[#This Row],[M]]*(-(TabTRADER[[#This Row],[L_Bp]]+TabTRADER[[#This Row],[M]])/TabTRADER[[#This Row],[M]])*(1-Commission)*TabTRADER[[#This Row],[Scale]],                               TRUE,"")</f>
        <v>2440.3834629999988</v>
      </c>
      <c r="AV47" s="1174" cm="1">
        <f t="array" aca="1" ref="AV47" ca="1">_xlfn.IFS(   TabTRADER[[#This Row],[Traps]]=MUp,TabTRADER[[#This Row],[TakeGain_A]]-Commission,        TabTRADER[[#This Row],[Traps]]=MDown,(TabTRADER[[#This Row],[A]]-TabTRADER[[#This Row],[M]])/TabTRADER[[#This Row],[M]]-Commission,                              TRUE,"")</f>
        <v>0.37258512396694221</v>
      </c>
      <c r="AW47" s="760"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33959.525070000003</v>
      </c>
      <c r="AX47" s="760"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7" s="736"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-6.99</v>
      </c>
      <c r="AZ47" s="765" cm="1">
        <f t="array" aca="1" ref="AZ47" ca="1">_xlfn.IFS(TabTRADER[[#This Row],[Traps]]=Sale_Back,"",         TabTRADER[[#This Row],[Traps]]=MDown, (TabTRADER[[#This Row],[M]]-TabTRADER[[#This Row],[A]])/TabTRADER[[#This Row],[A]]*ComFactor,             TRUE, IFERROR((TabTRADER[[#This Row],[M]]-TabTRADER[[#This Row],[A]])/TabTRADER[[#This Row],[A]]*ComFactor,""))</f>
        <v>-0.27211583089639624</v>
      </c>
      <c r="BA47" s="762" cm="1">
        <f t="array" aca="1" ref="BA47" ca="1">_xlfn.IFS(               TabTRADER[[#This Row],[Traps]]=NoStock,(TabTRADER[[#This Row],[L_Sp]]-TabTRADER[[#This Row],[M]])/TabTRADER[[#This Row],[M]]-Commission,             TabTRADER[[#This Row],[A]]&lt;&gt;0,(TabTRADER[[#This Row],[A]]-TabTRADER[[#This Row],[M]])/TabTRADER[[#This Row],[M]]-Commission)</f>
        <v>0.37258512396694221</v>
      </c>
      <c r="BB47" s="324">
        <f ca="1">_xlfn.XLOOKUP(TabTRADER[[#This Row],[ClickTick]],TabCalc[Ticker],TabCalc[L_Sn])</f>
        <v>350</v>
      </c>
      <c r="BC47" s="728">
        <f ca="1">_xlfn.XLOOKUP(TabTRADER[[#This Row],[ClickTick]],TabCalc[Ticker],TabCalc[L_Sp])</f>
        <v>44.298769999999998</v>
      </c>
      <c r="BD47" s="764">
        <f ca="1">-IFERROR((TabTRADER[[#This Row],[M]]-TabTRADER[[#This Row],[L_Sp]])/TabTRADER[[#This Row],[L_Sp]],0)</f>
        <v>0.31713679634897307</v>
      </c>
      <c r="BE47" s="729">
        <f ca="1">TabTRADER[[#This Row],[L_Sn]]*(TabTRADER[[#This Row],[M]]-TabTRADER[[#This Row],[L_Sp]])*(1-Commission)*TabTRADER[[#This Row],[Scale]]</f>
        <v>-4904.2851192999988</v>
      </c>
      <c r="BF47" s="692">
        <f ca="1">TabTRADER[[#This Row],[L_Sn]]*(TabTRADER[[#This Row],[Agiotage]]-TabTRADER[[#This Row],[M]])/(TabTRADER[[#This Row],[L_Bn]]*TabTRADER[[#This Row],[M]])</f>
        <v>-0.99996285634692172</v>
      </c>
      <c r="BG47" s="635">
        <f ca="1">IFERROR((TabTRADER[[#This Row],[M]]-TabTRADER[[#This Row],[A]])/TabTRADER[[#This Row],[A]],0)</f>
        <v>-0.27282517635491904</v>
      </c>
      <c r="BH47" s="638" t="str">
        <f ca="1">TEXT(_xlfn.XLOOKUP(TabTRADER[[#This Row],[ClickTick]],TabCalc[Ticker],TabCalc[NAfter]),"#,#0")&amp;" : "&amp;TEXT(_xlfn.XLOOKUP(TabTRADER[[#This Row],[ClickTick]],TabCalc[Ticker],TabCalc[NAfter])*(TabTRADER[[#This Row],[M]]-TabTRADER[[#This Row],[A]])*(1-Commission)*TabTRADER[[#This Row],[Scale]],"#,#0$")</f>
        <v>3,000 : -33,960$</v>
      </c>
      <c r="BI47" s="684">
        <f ca="1">_xlfn.XLOOKUP(TabTRADER[[#This Row],[ClickTick]],TabCalc[[#This Row],[Ticker]],TabCalc[[#This Row],[GL]])*(1-Commission)</f>
        <v>-198901.52665836181</v>
      </c>
      <c r="BJ47" s="684"/>
      <c r="BK47" s="669" t="str">
        <f ca="1">TabTRADER[[#This Row],[ClickTick]]&amp;": "&amp;_xlfn.XLOOKUP(TabTRADER[[#This Row],[ClickTick]],TabCalc[Ticker],TabCalc[Pile?])</f>
        <v>UN0: Pile</v>
      </c>
      <c r="BL47" s="351" t="s">
        <v>2009</v>
      </c>
      <c r="BM47" s="755" t="str" cm="1">
        <f t="array" aca="1" ref="BM47" ca="1">_xlfn.TEXTJOIN("",,INDEX({"M","A","Y"}, _xlfn.SORTBY({1,2,3}, -CHOOSE({1,2,3}, TabTRADER[[#This Row],[M]], TabTRADER[[#This Row],[A]], TabTRADER[[#This Row],[Agiotage]]))))</f>
        <v>AMY</v>
      </c>
      <c r="BN47" s="902"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0.23109752066115691</v>
      </c>
      <c r="BO47" s="679" t="e">
        <f ca="1">TabTRADER[[#This Row],[L_Sn]]*TabTRADER[[#This Row],[L_Sp]]+TabTRADER[[#This Row],[SellMore]]*TabTRADER[[#This Row],[M]]</f>
        <v>#N/A</v>
      </c>
      <c r="BP47" s="679" t="e">
        <f ca="1">INDEX(
  INDEX(TabConsolid[], , _xlfn.XMATCH(TabTRADER[[#This Row],[ClickTick]]&amp;1, TabConsolid[#Headers])),
  MATCH(
    -TabTRADER[[#This Row],[M]],
    INDEX(TabConsolid[], , _xlfn.XMATCH(TabTRADER[[#This Row],[ClickTick]]&amp;2, TabConsolid[#Headers])),
    -1
  )
)</f>
        <v>#N/A</v>
      </c>
      <c r="BQ47" s="679"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44" t="e">
        <f ca="1">TabTRADER[[#This Row],[ReBuy]]/(TabTRADER[[#This Row],[L_Sn]]+TabTRADER[[#This Row],[SellMore]])</f>
        <v>#N/A</v>
      </c>
      <c r="BS47" s="687">
        <f ca="1">((_xlfn.XLOOKUP(TabTRADER[[#This Row],[ClickTick]],TabCalc[Ticker],TabCalc[NAfter])+TabTRADER[[#This Row],[L_Sn]])*(TabTRADER[[#This Row],[Agiotage]]-TabTRADER[[#This Row],[M]]))/(TabTRADER[[#This Row],[L_Sn]]*_xlfn.XLOOKUP(TabTRADER[[#This Row],[ClickTick]],TabCalc[Ticker],TabCalc[NAfter]))</f>
        <v>-9.6508319957196359E-2</v>
      </c>
      <c r="BT47" s="687">
        <f ca="1">(TabTRADER[[#This Row],[M]]-TabTRADER[[#This Row],[Agiotage]])/(TabTRADER[[#This Row],[M]]-TabTRADER[[#This Row],[A]])-1</f>
        <v>-3.6652518782568499</v>
      </c>
      <c r="BU47" s="1262">
        <f ca="1">_xlfn.XMATCH(TabTRADER[[#This Row],[ClickTick]]&amp;1, TabConsolid[#Headers])</f>
        <v>134</v>
      </c>
      <c r="BV47" t="str">
        <f ca="1">IF(ABS(TabTRADER[[#This Row],[L_Bp]])&gt;=TabTRADER[[#This Row],[M]],"OK")</f>
        <v>OK</v>
      </c>
    </row>
    <row r="48" spans="1:74" hidden="1"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-24,490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-57.2%</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1.2548131868131869</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30965.025000000001</v>
      </c>
      <c r="M48" s="323">
        <f ca="1">_xlfn.XLOOKUP(TabTRADER[[#This Row],[ClickTick]],TabCalc[Ticker],TabCalc[Agiotage])</f>
        <v>0.26303192443508255</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-0.36397849462365595</v>
      </c>
      <c r="S48" s="683">
        <f ca="1">_xlfn.XLOOKUP(TabTRADER[[#This Row],[ClickTick]],TabCalc[Ticker],TabCalc[Rev(MinStock)])*(1-Commission)</f>
        <v>-24426.799765000003</v>
      </c>
      <c r="T48" s="782">
        <f ca="1">_xlfn.XLOOKUP(TabTRADER[[#This Row],[ClickTick]],TabCalc[Ticker],TabCalc[Agiotage])</f>
        <v>0.26303192443508255</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-1,917/-1,917=&gt;-3.8% / -3.8%</v>
      </c>
      <c r="V48" s="739" t="str">
        <f ca="1">_xlfn.XLOOKUP(TabTRADER[[#This Row],[ClickTick]],[1]!RTData[Ticker_Symbol],[1]!RTData[Currency])</f>
        <v>USD</v>
      </c>
      <c r="W48" s="749">
        <f ca="1">_xlfn.XLOOKUP(TabTRADER[[#This Row],[ClickTick]],TabCalc[Ticker],TabCalc[M])</f>
        <v>5.915</v>
      </c>
      <c r="X48" s="1315"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-3.8211000000000002E-2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-25/43 K$</v>
      </c>
      <c r="AE48" s="1182"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65"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65"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65" t="str" cm="1">
        <f t="array" aca="1" ref="AH48" ca="1">_xlfn.IFS(     TabTRADER[[#This Row],[Traps]]=MUp,MIN(TabTRADER[[#This Row],[L_Sn]],TabTRADER[[#This Row],[N]])*(TabTRADER[[#This Row],[M]]-TabTRADER[[#This Row],[L_Sp]])*(1-Commission)*TabTRADER[[#This Row],[Scale]],                                  TRUE,"M= "&amp;TabTRADER[[#This Row],[M]])</f>
        <v>M= 5.915</v>
      </c>
      <c r="AI48" s="1165" t="str" cm="1">
        <f t="array" aca="1" ref="AI48" ca="1">_xlfn.IFS(   TabTRADER[[#This Row],[Traps]]=MUp,TEXT(MIN(TabTRADER[[#This Row],[L_Sn]],TabTRADER[[#This Row],[N]]),"#,#0")&amp;" x "&amp;TEXT(TabTRADER[[#This Row],[L_Sp]],"#,#0.#0"),          TRUE,"")</f>
        <v/>
      </c>
      <c r="AJ48" s="1165"/>
      <c r="AK48" s="1165"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24426.799765000003</v>
      </c>
      <c r="AL48" s="1165"/>
      <c r="AM48" s="1165"/>
      <c r="AN48" s="1165"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42795.025000000001</v>
      </c>
      <c r="AO48" s="1174"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0.36397849462365595</v>
      </c>
      <c r="AP48" s="1174"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0.56967387996618768</v>
      </c>
      <c r="AQ48" s="825" t="str" cm="1">
        <f t="array" aca="1" ref="AQ48" ca="1">_xlfn.IFS(   TabTRADER[[#This Row],[Traps]]=SellMorePercentGain,                     MIN(TabTRADER[[#This Row],[L_Sn]],TabTRADER[[#This Row],[N]])*(TabTRADER[[#This Row],[M]]-TabTRADER[[#This Row],[L_Sp]])*(1-Commission)*TabTRADER[[#This Row],[Scale]],                    TRUE,"")</f>
        <v/>
      </c>
      <c r="AR48" s="1163">
        <f ca="1">_xlfn.XLOOKUP(TabTRADER[[#This Row],[ClickTick]],TabCalc[Ticker],TabCalc[Ann%RevLB])</f>
        <v>-1.2361533779671334</v>
      </c>
      <c r="AS48" s="1267">
        <f ca="1">_xlfn.XLOOKUP(TabTRADER[[#This Row],[ClickTick]],TabCalc[Ticker],TabCalc[Up20])</f>
        <v>0</v>
      </c>
      <c r="AT48" s="1175"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0.57227387996618773</v>
      </c>
      <c r="AU48" s="825" cm="1">
        <f t="array" aca="1" ref="AU48" ca="1">_xlfn.IFS(         TabTRADER[[#This Row],[Traps]]=MDown,TabTRADER[[#This Row],[L_Bn]]*TabTRADER[[#This Row],[M]]*(-(TabTRADER[[#This Row],[L_Bp]]+TabTRADER[[#This Row],[M]])/TabTRADER[[#This Row],[M]])*(1-Commission)*TabTRADER[[#This Row],[Scale]],                               TRUE,"")</f>
        <v>24426.799765</v>
      </c>
      <c r="AV48" s="1174" cm="1">
        <f t="array" aca="1" ref="AV48" ca="1">_xlfn.IFS(   TabTRADER[[#This Row],[Traps]]=MUp,TabTRADER[[#This Row],[TakeGain_A]]-Commission,        TabTRADER[[#This Row],[Traps]]=MDown,(TabTRADER[[#This Row],[A]]-TabTRADER[[#This Row],[M]])/TabTRADER[[#This Row],[M]]-Commission,                              TRUE,"")</f>
        <v>0.56967387996618768</v>
      </c>
      <c r="AW48" s="825"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24426.799765000003</v>
      </c>
      <c r="AX48" s="760"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6"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-3.38</v>
      </c>
      <c r="AZ48" s="765" cm="1">
        <f t="array" aca="1" ref="AZ48" ca="1">_xlfn.IFS(TabTRADER[[#This Row],[Traps]]=Sale_Back,"",         TabTRADER[[#This Row],[Traps]]=MDown, (TabTRADER[[#This Row],[M]]-TabTRADER[[#This Row],[A]])/TabTRADER[[#This Row],[A]]*ComFactor,             TRUE, IFERROR((TabTRADER[[#This Row],[M]]-TabTRADER[[#This Row],[A]])/TabTRADER[[#This Row],[A]]*ComFactor,""))</f>
        <v>-0.36303215053763443</v>
      </c>
      <c r="BA48" s="762" cm="1">
        <f t="array" aca="1" ref="BA48" ca="1">_xlfn.IFS(               TabTRADER[[#This Row],[Traps]]=NoStock,(TabTRADER[[#This Row],[L_Sp]]-TabTRADER[[#This Row],[M]])/TabTRADER[[#This Row],[M]]-Commission,             TabTRADER[[#This Row],[A]]&lt;&gt;0,(TabTRADER[[#This Row],[A]]-TabTRADER[[#This Row],[M]])/TabTRADER[[#This Row],[M]]-Commission)</f>
        <v>0.56967387996618768</v>
      </c>
      <c r="BB48" s="324">
        <f ca="1">_xlfn.XLOOKUP(TabTRADER[[#This Row],[ClickTick]],TabCalc[Ticker],TabCalc[L_Sn])</f>
        <v>0</v>
      </c>
      <c r="BC48" s="728">
        <f ca="1">_xlfn.XLOOKUP(TabTRADER[[#This Row],[ClickTick]],TabCalc[Ticker],TabCalc[L_Sp])</f>
        <v>0</v>
      </c>
      <c r="BD48" s="764">
        <f ca="1">-IFERROR((TabTRADER[[#This Row],[M]]-TabTRADER[[#This Row],[L_Sp]])/TabTRADER[[#This Row],[L_Sp]],0)</f>
        <v>0</v>
      </c>
      <c r="BE48" s="729">
        <f ca="1">TabTRADER[[#This Row],[L_Sn]]*(TabTRADER[[#This Row],[M]]-TabTRADER[[#This Row],[L_Sp]])*(1-Commission)*TabTRADER[[#This Row],[Scale]]</f>
        <v>0</v>
      </c>
      <c r="BF48" s="692">
        <f ca="1">TabTRADER[[#This Row],[L_Sn]]*(TabTRADER[[#This Row],[Agiotage]]-TabTRADER[[#This Row],[M]])/(TabTRADER[[#This Row],[L_Bn]]*TabTRADER[[#This Row],[M]])</f>
        <v>0</v>
      </c>
      <c r="BG48" s="635">
        <f ca="1">IFERROR((TabTRADER[[#This Row],[M]]-TabTRADER[[#This Row],[A]])/TabTRADER[[#This Row],[A]],0)</f>
        <v>-0.36397849462365595</v>
      </c>
      <c r="BH48" s="638" t="str">
        <f ca="1">TEXT(_xlfn.XLOOKUP(TabTRADER[[#This Row],[ClickTick]],TabCalc[Ticker],TabCalc[NAfter]),"#,#0")&amp;" : "&amp;TEXT(_xlfn.XLOOKUP(TabTRADER[[#This Row],[ClickTick]],TabCalc[Ticker],TabCalc[NAfter])*(TabTRADER[[#This Row],[M]]-TabTRADER[[#This Row],[A]])*(1-Commission)*TabTRADER[[#This Row],[Scale]],"#,#0$")</f>
        <v>7,235 : -24,427$</v>
      </c>
      <c r="BI48" s="684">
        <f ca="1">_xlfn.XLOOKUP(TabTRADER[[#This Row],[ClickTick]],TabCalc[[#This Row],[Ticker]],TabCalc[[#This Row],[GL]])*(1-Commission)</f>
        <v>-24712.264985650992</v>
      </c>
      <c r="BJ48" s="684"/>
      <c r="BK48" s="669" t="str">
        <f ca="1">TabTRADER[[#This Row],[ClickTick]]&amp;": "&amp;_xlfn.XLOOKUP(TabTRADER[[#This Row],[ClickTick]],TabCalc[Ticker],TabCalc[Pile?])</f>
        <v xml:space="preserve">UNIT: </v>
      </c>
      <c r="BL48" s="351" t="s">
        <v>2014</v>
      </c>
      <c r="BM48" s="755" t="str" cm="1">
        <f t="array" aca="1" ref="BM48" ca="1">_xlfn.TEXTJOIN("",,INDEX({"M","A","Y"}, _xlfn.SORTBY({1,2,3}, -CHOOSE({1,2,3}, TabTRADER[[#This Row],[M]], TabTRADER[[#This Row],[A]], TabTRADER[[#This Row],[Agiotage]]))))</f>
        <v>AMY</v>
      </c>
      <c r="BN48" s="902"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0.57227387996618773</v>
      </c>
      <c r="BO48" s="679" t="e">
        <f ca="1">TabTRADER[[#This Row],[L_Sn]]*TabTRADER[[#This Row],[L_Sp]]+TabTRADER[[#This Row],[SellMore]]*TabTRADER[[#This Row],[M]]</f>
        <v>#N/A</v>
      </c>
      <c r="BP48" s="679" t="e">
        <f ca="1">INDEX(
  INDEX(TabConsolid[], , _xlfn.XMATCH(TabTRADER[[#This Row],[ClickTick]]&amp;1, TabConsolid[#Headers])),
  MATCH(
    -TabTRADER[[#This Row],[M]],
    INDEX(TabConsolid[], , _xlfn.XMATCH(TabTRADER[[#This Row],[ClickTick]]&amp;2, TabConsolid[#Headers])),
    -1
  )
)</f>
        <v>#N/A</v>
      </c>
      <c r="BQ48" s="679"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44" t="e">
        <f ca="1">TabTRADER[[#This Row],[ReBuy]]/(TabTRADER[[#This Row],[L_Sn]]+TabTRADER[[#This Row],[SellMore]])</f>
        <v>#N/A</v>
      </c>
      <c r="BS48" s="687" t="e">
        <f ca="1">((_xlfn.XLOOKUP(TabTRADER[[#This Row],[ClickTick]],TabCalc[Ticker],TabCalc[NAfter])+TabTRADER[[#This Row],[L_Sn]])*(TabTRADER[[#This Row],[Agiotage]]-TabTRADER[[#This Row],[M]]))/(TabTRADER[[#This Row],[L_Sn]]*_xlfn.XLOOKUP(TabTRADER[[#This Row],[ClickTick]],TabCalc[Ticker],TabCalc[NAfter]))</f>
        <v>#DIV/0!</v>
      </c>
      <c r="BT48" s="687">
        <f ca="1">(TabTRADER[[#This Row],[M]]-TabTRADER[[#This Row],[Agiotage]])/(TabTRADER[[#This Row],[M]]-TabTRADER[[#This Row],[A]])-1</f>
        <v>-2.6697099189261202</v>
      </c>
      <c r="BU48" s="1262">
        <f ca="1">_xlfn.XMATCH(TabTRADER[[#This Row],[ClickTick]]&amp;1, TabConsolid[#Headers])</f>
        <v>137</v>
      </c>
      <c r="BV48" t="str">
        <f ca="1">IF(ABS(TabTRADER[[#This Row],[L_Bp]])&gt;=TabTRADER[[#This Row],[M]],"OK")</f>
        <v>OK</v>
      </c>
    </row>
    <row r="49" spans="1:74"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+7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2,410</v>
      </c>
      <c r="F49" s="226" t="str">
        <f ca="1">TRUNC(TabCalc[[#This Row],[L_B1p]],2)&amp;"x"&amp;TabCalc[[#This Row],[L_B1n]]&amp;"=   "&amp;TEXT(TabCalc[[#This Row],[ReverseS1]],"#,#0")&amp;"$"</f>
        <v>-24.15x3000=   11,565$</v>
      </c>
      <c r="G49" s="225" t="str">
        <f ca="1">IFERROR(TRUNC(_xlfn.XLOOKUP(TabTRADER[[#This Row],[ClickTick]],TabCalc[Ticker],ListLastSalep),2)&amp;"x"&amp;_xlfn.XLOOKUP(TabTRADER[[#This Row],[ClickTick]],TabCalc[Ticker],ListLastSalen)&amp;"=   "&amp;TEXT(-_xlfn.XLOOKUP(TabTRADER[[#This Row],[ClickTick]],TabCalc[Ticker],ListReverseB),"#,#0")&amp;"$","")</f>
        <v>30.08x500=   -1,038$</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2,410</v>
      </c>
      <c r="I49" s="226" t="str">
        <f ca="1">IFERROR(TRUNC(TabCalc[[#This Row],[L_S1p]],2)&amp;"x"&amp;TabCalc[[#This Row],[L_S1n]]&amp;"=   "&amp;TEXT(TabCalc[[#This Row],[ReverseB1]],"#,#0"),"")</f>
        <v>25.39x3000=   -7,845</v>
      </c>
      <c r="J49" s="295">
        <f ca="1">_xlfn.XLOOKUP(TabTRADER[[#This Row],[ClickTick]],TabCalc[Ticker],ListGravity)</f>
        <v>1.2140689162649527</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1.0111510489342732E-2</v>
      </c>
      <c r="N49" s="324" cm="1">
        <f t="array" aca="1" ref="N49" ca="1">_xlfn.XLOOKUP(TabTRADER[[#This Row],[ClickTick]],ListTickers,Tab2RSIConventional[RSIConv20])</f>
        <v>55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1.7857142857139304E-4</v>
      </c>
      <c r="S49" s="683">
        <f ca="1">_xlfn.XLOOKUP(TabTRADER[[#This Row],[ClickTick]],TabCalc[Ticker],TabCalc[Rev(MinStock)])*(1-Commission)</f>
        <v>7.4804999999985116</v>
      </c>
      <c r="T49" s="782">
        <f ca="1">_xlfn.XLOOKUP(TabTRADER[[#This Row],[ClickTick]],TabCalc[Ticker],TabCalc[Agiotage])</f>
        <v>1.0111510489342732E-2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-165/-165=&gt;1.4% / 1.4%</v>
      </c>
      <c r="V49" s="739" t="str">
        <f ca="1">_xlfn.XLOOKUP(TabTRADER[[#This Row],[ClickTick]],[1]!RTData[Ticker_Symbol],[1]!RTData[Currency])</f>
        <v>USD</v>
      </c>
      <c r="W49" s="749">
        <f ca="1">_xlfn.XLOOKUP(TabTRADER[[#This Row],[ClickTick]],TabCalc[Ticker],TabCalc[M])</f>
        <v>28.004999999999999</v>
      </c>
      <c r="X49" s="1315"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1.4306000000000001E-2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^96/84 K$</v>
      </c>
      <c r="AE49" s="116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65"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65"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7.4804999999985116</v>
      </c>
      <c r="AH49" s="1165" t="str" cm="1">
        <f t="array" aca="1" ref="AH49" ca="1">_xlfn.IFS(     TabTRADER[[#This Row],[Traps]]=MUp,MIN(TabTRADER[[#This Row],[L_Sn]],TabTRADER[[#This Row],[N]])*(TabTRADER[[#This Row],[M]]-TabTRADER[[#This Row],[L_Sp]])*(1-Commission)*TabTRADER[[#This Row],[Scale]],                                  TRUE,"M= "&amp;TabTRADER[[#This Row],[M]])</f>
        <v>M= 28.005</v>
      </c>
      <c r="AI49" s="1165" t="str" cm="1">
        <f t="array" aca="1" ref="AI49" ca="1">_xlfn.IFS(   TabTRADER[[#This Row],[Traps]]=MUp,TEXT(MIN(TabTRADER[[#This Row],[L_Sn]],TabTRADER[[#This Row],[N]]),"#,#0")&amp;" x "&amp;TEXT(TabTRADER[[#This Row],[L_Sp]],"#,#0.#0"),          TRUE,"")</f>
        <v/>
      </c>
      <c r="AJ49" s="1165"/>
      <c r="AK49" s="1165"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65"/>
      <c r="AM49" s="1165"/>
      <c r="AN49" s="1165"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7.4804999999985116</v>
      </c>
      <c r="AO49" s="1174"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1.7857142857139304E-4</v>
      </c>
      <c r="AP49" s="1174"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5" t="str" cm="1">
        <f t="array" aca="1" ref="AQ49" ca="1">_xlfn.IFS(   TabTRADER[[#This Row],[Traps]]=SellMorePercentGain,                     MIN(TabTRADER[[#This Row],[L_Sn]],TabTRADER[[#This Row],[N]])*(TabTRADER[[#This Row],[M]]-TabTRADER[[#This Row],[L_Sp]])*(1-Commission)*TabTRADER[[#This Row],[Scale]],                    TRUE,"")</f>
        <v/>
      </c>
      <c r="AR49" s="1163">
        <f ca="1">_xlfn.XLOOKUP(TabTRADER[[#This Row],[ClickTick]],TabCalc[Ticker],TabCalc[Ann%RevLB])</f>
        <v>3.0612244897953089E-3</v>
      </c>
      <c r="AS49" s="1267">
        <f ca="1">_xlfn.XLOOKUP(TabTRADER[[#This Row],[ClickTick]],TabCalc[Ticker],TabCalc[Up20])</f>
        <v>0</v>
      </c>
      <c r="AT49" s="1175"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5" t="str" cm="1">
        <f t="array" aca="1" ref="AU49" ca="1">_xlfn.IFS(         TabTRADER[[#This Row],[Traps]]=MDown,TabTRADER[[#This Row],[L_Bn]]*TabTRADER[[#This Row],[M]]*(-(TabTRADER[[#This Row],[L_Bp]]+TabTRADER[[#This Row],[M]])/TabTRADER[[#This Row],[M]])*(1-Commission)*TabTRADER[[#This Row],[Scale]],                               TRUE,"")</f>
        <v/>
      </c>
      <c r="AV49" s="1174" t="str" cm="1">
        <f t="array" aca="1" ref="AV49" ca="1">_xlfn.IFS(   TabTRADER[[#This Row],[Traps]]=MUp,TabTRADER[[#This Row],[TakeGain_A]]-Commission,        TabTRADER[[#This Row],[Traps]]=MDown,(TabTRADER[[#This Row],[A]]-TabTRADER[[#This Row],[M]])/TabTRADER[[#This Row],[M]]-Commission,                              TRUE,"")</f>
        <v/>
      </c>
      <c r="AW49" s="825"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6202.3916674976008</v>
      </c>
      <c r="AX49" s="760"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9" s="736"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5" t="str" cm="1">
        <f t="array" aca="1" ref="AZ49" ca="1">_xlfn.IFS(TabTRADER[[#This Row],[Traps]]=Sale_Back,"",         TabTRADER[[#This Row],[Traps]]=MDown, (TabTRADER[[#This Row],[M]]-TabTRADER[[#This Row],[A]])/TabTRADER[[#This Row],[A]]*ComFactor,             TRUE, IFERROR((TabTRADER[[#This Row],[M]]-TabTRADER[[#This Row],[A]])/TabTRADER[[#This Row],[A]]*ComFactor,""))</f>
        <v/>
      </c>
      <c r="BA49" s="762" cm="1">
        <f t="array" aca="1" ref="BA49" ca="1">_xlfn.IFS(               TabTRADER[[#This Row],[Traps]]=NoStock,(TabTRADER[[#This Row],[L_Sp]]-TabTRADER[[#This Row],[M]])/TabTRADER[[#This Row],[M]]-Commission,             TabTRADER[[#This Row],[A]]&lt;&gt;0,(TabTRADER[[#This Row],[A]]-TabTRADER[[#This Row],[M]])/TabTRADER[[#This Row],[M]]-Commission)</f>
        <v>-7.1516264952687023E-2</v>
      </c>
      <c r="BB49" s="324">
        <f ca="1">_xlfn.XLOOKUP(TabTRADER[[#This Row],[ClickTick]],TabCalc[Ticker],TabCalc[L_Sn])</f>
        <v>500</v>
      </c>
      <c r="BC49" s="728">
        <f ca="1">_xlfn.XLOOKUP(TabTRADER[[#This Row],[ClickTick]],TabCalc[Ticker],TabCalc[L_Sp])</f>
        <v>30.08</v>
      </c>
      <c r="BD49" s="764">
        <f ca="1">-IFERROR((TabTRADER[[#This Row],[M]]-TabTRADER[[#This Row],[L_Sp]])/TabTRADER[[#This Row],[L_Sp]],0)</f>
        <v>6.8982712765957424E-2</v>
      </c>
      <c r="BE49" s="729">
        <f ca="1">TabTRADER[[#This Row],[L_Sn]]*(TabTRADER[[#This Row],[M]]-TabTRADER[[#This Row],[L_Sp]])*(1-Commission)*TabTRADER[[#This Row],[Scale]]</f>
        <v>-1034.8024999999996</v>
      </c>
      <c r="BF49" s="692">
        <f ca="1">TabTRADER[[#This Row],[L_Sn]]*(TabTRADER[[#This Row],[Agiotage]]-TabTRADER[[#This Row],[M]])/(TabTRADER[[#This Row],[L_Bn]]*TabTRADER[[#This Row],[M]])</f>
        <v>-0.33321297970018038</v>
      </c>
      <c r="BG49" s="635">
        <f ca="1">IFERROR((TabTRADER[[#This Row],[M]]-TabTRADER[[#This Row],[A]])/TabTRADER[[#This Row],[A]],0)</f>
        <v>7.4017257909875345E-2</v>
      </c>
      <c r="BH49" s="638" t="str">
        <f ca="1">TEXT(_xlfn.XLOOKUP(TabTRADER[[#This Row],[ClickTick]],TabCalc[Ticker],TabCalc[NAfter]),"#,#0")&amp;" : "&amp;TEXT(_xlfn.XLOOKUP(TabTRADER[[#This Row],[ClickTick]],TabCalc[Ticker],TabCalc[NAfter])*(TabTRADER[[#This Row],[M]]-TabTRADER[[#This Row],[A]])*(1-Commission)*TabTRADER[[#This Row],[Scale]],"#,#0$")</f>
        <v>3,000 : 5,775$</v>
      </c>
      <c r="BI49" s="684">
        <f ca="1">_xlfn.XLOOKUP(TabTRADER[[#This Row],[ClickTick]],TabCalc[[#This Row],[Ticker]],TabCalc[[#This Row],[GL]])*(1-Commission)</f>
        <v>95474.979521938789</v>
      </c>
      <c r="BJ49" s="684"/>
      <c r="BK49" s="669" t="str">
        <f ca="1">TabTRADER[[#This Row],[ClickTick]]&amp;": "&amp;_xlfn.XLOOKUP(TabTRADER[[#This Row],[ClickTick]],TabCalc[Ticker],TabCalc[Pile?])</f>
        <v xml:space="preserve">VLVLY: </v>
      </c>
      <c r="BL49" s="351" t="s">
        <v>2015</v>
      </c>
      <c r="BM49" s="755" t="str" cm="1">
        <f t="array" aca="1" ref="BM49" ca="1">_xlfn.TEXTJOIN("",,INDEX({"M","A","Y"}, _xlfn.SORTBY({1,2,3}, -CHOOSE({1,2,3}, TabTRADER[[#This Row],[M]], TabTRADER[[#This Row],[A]], TabTRADER[[#This Row],[Agiotage]]))))</f>
        <v>MAY</v>
      </c>
      <c r="BN49" s="902"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9">
        <f ca="1">TabTRADER[[#This Row],[L_Sn]]*TabTRADER[[#This Row],[L_Sp]]+TabTRADER[[#This Row],[SellMore]]*TabTRADER[[#This Row],[M]]</f>
        <v>57047.5</v>
      </c>
      <c r="BP49" s="679">
        <f ca="1">INDEX(
  INDEX(TabConsolid[], , _xlfn.XMATCH(TabTRADER[[#This Row],[ClickTick]]&amp;1, TabConsolid[#Headers])),
  MATCH(
    -TabTRADER[[#This Row],[M]],
    INDEX(TabConsolid[], , _xlfn.XMATCH(TabTRADER[[#This Row],[ClickTick]]&amp;2, TabConsolid[#Headers])),
    -1
  )
)</f>
        <v>1500</v>
      </c>
      <c r="BQ49" s="679"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44">
        <f ca="1">TabTRADER[[#This Row],[ReBuy]]/(TabTRADER[[#This Row],[L_Sn]]+TabTRADER[[#This Row],[SellMore]])</f>
        <v>28.52375</v>
      </c>
      <c r="BS49" s="687">
        <f ca="1">((_xlfn.XLOOKUP(TabTRADER[[#This Row],[ClickTick]],TabCalc[Ticker],TabCalc[NAfter])+TabTRADER[[#This Row],[L_Sn]])*(TabTRADER[[#This Row],[Agiotage]]-TabTRADER[[#This Row],[M]]))/(TabTRADER[[#This Row],[L_Sn]]*_xlfn.XLOOKUP(TabTRADER[[#This Row],[ClickTick]],TabCalc[Ticker],TabCalc[NAfter]))</f>
        <v>-6.5321406475524868E-2</v>
      </c>
      <c r="BT49" s="687">
        <f ca="1">(TabTRADER[[#This Row],[M]]-TabTRADER[[#This Row],[Agiotage]])/(TabTRADER[[#This Row],[M]]-TabTRADER[[#This Row],[A]])-1</f>
        <v>13.505123569694643</v>
      </c>
      <c r="BU49" s="1262">
        <f ca="1">_xlfn.XMATCH(TabTRADER[[#This Row],[ClickTick]]&amp;1, TabConsolid[#Headers])</f>
        <v>143</v>
      </c>
      <c r="BV49" t="b">
        <f ca="1">IF(ABS(TabTRADER[[#This Row],[L_Bp]])&gt;=TabTRADER[[#This Row],[M]],"OK")</f>
        <v>0</v>
      </c>
    </row>
    <row r="50" spans="1:74" hidden="1"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+1,500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6" t="str">
        <f ca="1">TRUNC(TabCalc[[#This Row],[L_B1p]],2)&amp;"x"&amp;TabCalc[[#This Row],[L_B1n]]&amp;"=   "&amp;TEXT(TabCalc[[#This Row],[ReverseS1]],"#,#0")&amp;"$"</f>
        <v>-58.8x2000=   800$</v>
      </c>
      <c r="G50" s="225" t="str">
        <f ca="1">IFERROR(TRUNC(_xlfn.XLOOKUP(TabTRADER[[#This Row],[ClickTick]],TabCalc[Ticker],ListLastSalep),2)&amp;"x"&amp;_xlfn.XLOOKUP(TabTRADER[[#This Row],[ClickTick]],TabCalc[Ticker],ListLastSalen)&amp;"=   "&amp;TEXT(-_xlfn.XLOOKUP(TabTRADER[[#This Row],[ClickTick]],TabCalc[Ticker],ListReverseB),"#,#0")&amp;"$","")</f>
        <v>60.4x800=   -960$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 = 4,167</v>
      </c>
      <c r="I50" s="226" t="str">
        <f ca="1">IFERROR(TRUNC(TabCalc[[#This Row],[L_S1p]],2)&amp;"x"&amp;TabCalc[[#This Row],[L_S1n]]&amp;"=   "&amp;TEXT(TabCalc[[#This Row],[ReverseB1]],"#,#0"),"")</f>
        <v>61.2x979=   1,958</v>
      </c>
      <c r="J50" s="295">
        <f ca="1">_xlfn.XLOOKUP(TabTRADER[[#This Row],[ClickTick]],TabCalc[Ticker],ListGravity)</f>
        <v>1.0388513513513513</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1.2246027397260273</v>
      </c>
      <c r="N50" s="324" cm="1">
        <f t="array" aca="1" ref="N50" ca="1">_xlfn.XLOOKUP(TabTRADER[[#This Row],[ClickTick]],ListTickers,Tab2RSIConventional[RSIConv20])</f>
        <v>63</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1.2831479897348161E-2</v>
      </c>
      <c r="S50" s="683">
        <f ca="1">_xlfn.XLOOKUP(TabTRADER[[#This Row],[ClickTick]],TabCalc[Ticker],TabCalc[Rev(MinStock)])*(1-Commission)</f>
        <v>1496.1</v>
      </c>
      <c r="T50" s="782">
        <f ca="1">_xlfn.XLOOKUP(TabTRADER[[#This Row],[ClickTick]],TabCalc[Ticker],TabCalc[Agiotage])</f>
        <v>1.2246027397260273</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15,360/15,360=&gt;0.7% / 0.7%</v>
      </c>
      <c r="V50" s="739" t="str">
        <f ca="1">_xlfn.XLOOKUP(TabTRADER[[#This Row],[ClickTick]],[1]!RTData[Ticker_Symbol],[1]!RTData[Currency])</f>
        <v>CHF</v>
      </c>
      <c r="W50" s="749">
        <f ca="1">_xlfn.XLOOKUP(TabTRADER[[#This Row],[ClickTick]],TabCalc[Ticker],TabCalc[M])</f>
        <v>59.2</v>
      </c>
      <c r="X50" s="1315"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6.803E-3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^134/1,137 K$</v>
      </c>
      <c r="AE50" s="116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65"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800 x 60.40</v>
      </c>
      <c r="AG50" s="1165"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957.50399999999661</v>
      </c>
      <c r="AH50" s="1165" t="str" cm="1">
        <f t="array" aca="1" ref="AH50" ca="1">_xlfn.IFS(     TabTRADER[[#This Row],[Traps]]=MUp,MIN(TabTRADER[[#This Row],[L_Sn]],TabTRADER[[#This Row],[N]])*(TabTRADER[[#This Row],[M]]-TabTRADER[[#This Row],[L_Sp]])*(1-Commission)*TabTRADER[[#This Row],[Scale]],                                  TRUE,"M= "&amp;TabTRADER[[#This Row],[M]])</f>
        <v>M= 59.2</v>
      </c>
      <c r="AI50" s="1165" t="str" cm="1">
        <f t="array" aca="1" ref="AI50" ca="1">_xlfn.IFS(   TabTRADER[[#This Row],[Traps]]=MUp,TEXT(MIN(TabTRADER[[#This Row],[L_Sn]],TabTRADER[[#This Row],[N]]),"#,#0")&amp;" x "&amp;TEXT(TabTRADER[[#This Row],[L_Sp]],"#,#0.#0"),          TRUE,"")</f>
        <v/>
      </c>
      <c r="AJ50" s="1165"/>
      <c r="AK50" s="1165"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65"/>
      <c r="AM50" s="1165"/>
      <c r="AN50" s="1165"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957.50399999999661</v>
      </c>
      <c r="AO50" s="1174"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1.9867549668874104E-2</v>
      </c>
      <c r="AP50" s="1174"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5" t="str" cm="1">
        <f t="array" aca="1" ref="AQ50" ca="1">_xlfn.IFS(   TabTRADER[[#This Row],[Traps]]=SellMorePercentGain,                     MIN(TabTRADER[[#This Row],[L_Sn]],TabTRADER[[#This Row],[N]])*(TabTRADER[[#This Row],[M]]-TabTRADER[[#This Row],[L_Sp]])*(1-Commission)*TabTRADER[[#This Row],[Scale]],                    TRUE,"")</f>
        <v/>
      </c>
      <c r="AR50" s="1180">
        <f ca="1">_xlfn.XLOOKUP(TabTRADER[[#This Row],[ClickTick]],TabCalc[Ticker],TabCalc[Ann%RevLB])</f>
        <v>0.3849443969204448</v>
      </c>
      <c r="AS50" s="1267">
        <f ca="1">_xlfn.XLOOKUP(TabTRADER[[#This Row],[ClickTick]],TabCalc[Ticker],TabCalc[Up20])</f>
        <v>0</v>
      </c>
      <c r="AT50" s="1175"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5" t="str" cm="1">
        <f t="array" aca="1" ref="AU50" ca="1">_xlfn.IFS(         TabTRADER[[#This Row],[Traps]]=MDown,TabTRADER[[#This Row],[L_Bn]]*TabTRADER[[#This Row],[M]]*(-(TabTRADER[[#This Row],[L_Bp]]+TabTRADER[[#This Row],[M]])/TabTRADER[[#This Row],[M]])*(1-Commission)*TabTRADER[[#This Row],[Scale]],                               TRUE,"")</f>
        <v/>
      </c>
      <c r="AV50" s="1174" t="str" cm="1">
        <f t="array" aca="1" ref="AV50" ca="1">_xlfn.IFS(   TabTRADER[[#This Row],[Traps]]=MUp,TabTRADER[[#This Row],[TakeGain_A]]-Commission,        TabTRADER[[#This Row],[Traps]]=MDown,(TabTRADER[[#This Row],[A]]-TabTRADER[[#This Row],[M]])/TabTRADER[[#This Row],[M]]-Commission,                              TRUE,"")</f>
        <v/>
      </c>
      <c r="AW50" s="760"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-6053.5530666665582</v>
      </c>
      <c r="AX50" s="760"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50" s="736"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5" cm="1">
        <f t="array" aca="1" ref="AZ50" ca="1">_xlfn.IFS(TabTRADER[[#This Row],[Traps]]=Sale_Back,"",         TabTRADER[[#This Row],[Traps]]=MDown, (TabTRADER[[#This Row],[M]]-TabTRADER[[#This Row],[A]])/TabTRADER[[#This Row],[A]]*ComFactor,             TRUE, IFERROR((TabTRADER[[#This Row],[M]]-TabTRADER[[#This Row],[A]])/TabTRADER[[#This Row],[A]]*ComFactor,""))</f>
        <v>-5.2975440823678915E-3</v>
      </c>
      <c r="BA50" s="762" cm="1">
        <f t="array" aca="1" ref="BA50" ca="1">_xlfn.IFS(               TabTRADER[[#This Row],[Traps]]=NoStock,(TabTRADER[[#This Row],[L_Sp]]-TabTRADER[[#This Row],[M]])/TabTRADER[[#This Row],[M]]-Commission,             TabTRADER[[#This Row],[A]]&lt;&gt;0,(TabTRADER[[#This Row],[A]]-TabTRADER[[#This Row],[M]])/TabTRADER[[#This Row],[M]]-Commission)</f>
        <v>2.7397147147146189E-3</v>
      </c>
      <c r="BB50" s="324">
        <f ca="1">_xlfn.XLOOKUP(TabTRADER[[#This Row],[ClickTick]],TabCalc[Ticker],TabCalc[L_Sn])</f>
        <v>800</v>
      </c>
      <c r="BC50" s="728">
        <f ca="1">_xlfn.XLOOKUP(TabTRADER[[#This Row],[ClickTick]],TabCalc[Ticker],TabCalc[L_Sp])</f>
        <v>60.4</v>
      </c>
      <c r="BD50" s="764">
        <f ca="1">-IFERROR((TabTRADER[[#This Row],[M]]-TabTRADER[[#This Row],[L_Sp]])/TabTRADER[[#This Row],[L_Sp]],0)</f>
        <v>1.9867549668874104E-2</v>
      </c>
      <c r="BE50" s="729">
        <f ca="1">TabTRADER[[#This Row],[L_Sn]]*(TabTRADER[[#This Row],[M]]-TabTRADER[[#This Row],[L_Sp]])*(1-Commission)*TabTRADER[[#This Row],[Scale]]</f>
        <v>-957.50399999999661</v>
      </c>
      <c r="BF50" s="692">
        <f ca="1">TabTRADER[[#This Row],[L_Sn]]*(TabTRADER[[#This Row],[Agiotage]]-TabTRADER[[#This Row],[M]])/(TabTRADER[[#This Row],[L_Bn]]*TabTRADER[[#This Row],[M]])</f>
        <v>-0.39172565716401336</v>
      </c>
      <c r="BG50" s="635">
        <f ca="1">IFERROR((TabTRADER[[#This Row],[M]]-TabTRADER[[#This Row],[A]])/TabTRADER[[#This Row],[A]],0)</f>
        <v>-5.3113536017323961E-3</v>
      </c>
      <c r="BH50" s="638" t="str">
        <f ca="1">TEXT(_xlfn.XLOOKUP(TabTRADER[[#This Row],[ClickTick]],TabCalc[Ticker],TabCalc[NAfter]),"#,#0")&amp;" : "&amp;TEXT(_xlfn.XLOOKUP(TabTRADER[[#This Row],[ClickTick]],TabCalc[Ticker],TabCalc[NAfter])*(TabTRADER[[#This Row],[M]]-TabTRADER[[#This Row],[A]])*(1-Commission)*TabTRADER[[#This Row],[Scale]],"#,#0$")</f>
        <v>19,200 : -6,054$</v>
      </c>
      <c r="BI50" s="684">
        <f ca="1">_xlfn.XLOOKUP(TabTRADER[[#This Row],[ClickTick]],TabCalc[[#This Row],[Ticker]],TabCalc[[#This Row],[GL]])*(1-Commission)</f>
        <v>133568.20659406442</v>
      </c>
      <c r="BJ50" s="684"/>
      <c r="BK50" s="669" t="str">
        <f ca="1">TabTRADER[[#This Row],[ClickTick]]&amp;": "&amp;_xlfn.XLOOKUP(TabTRADER[[#This Row],[ClickTick]],TabCalc[Ticker],TabCalc[Pile?])</f>
        <v xml:space="preserve">VONN: </v>
      </c>
      <c r="BL50" s="351" t="s">
        <v>2016</v>
      </c>
      <c r="BM50" s="755" t="str" cm="1">
        <f t="array" aca="1" ref="BM50" ca="1">_xlfn.TEXTJOIN("",,INDEX({"M","A","Y"}, _xlfn.SORTBY({1,2,3}, -CHOOSE({1,2,3}, TabTRADER[[#This Row],[M]], TabTRADER[[#This Row],[A]], TabTRADER[[#This Row],[Agiotage]]))))</f>
        <v>AMY</v>
      </c>
      <c r="BN50" s="902"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9" t="e">
        <f ca="1">TabTRADER[[#This Row],[L_Sn]]*TabTRADER[[#This Row],[L_Sp]]+TabTRADER[[#This Row],[SellMore]]*TabTRADER[[#This Row],[M]]</f>
        <v>#N/A</v>
      </c>
      <c r="BP50" s="679" t="e">
        <f ca="1">INDEX(
  INDEX(TabConsolid[], , _xlfn.XMATCH(TabTRADER[[#This Row],[ClickTick]]&amp;1, TabConsolid[#Headers])),
  MATCH(
    -TabTRADER[[#This Row],[M]],
    INDEX(TabConsolid[], , _xlfn.XMATCH(TabTRADER[[#This Row],[ClickTick]]&amp;2, TabConsolid[#Headers])),
    -1
  )
)</f>
        <v>#N/A</v>
      </c>
      <c r="BQ50" s="679"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0" s="1144" t="e">
        <f ca="1">TabTRADER[[#This Row],[ReBuy]]/(TabTRADER[[#This Row],[L_Sn]]+TabTRADER[[#This Row],[SellMore]])</f>
        <v>#N/A</v>
      </c>
      <c r="BS50" s="687">
        <f ca="1">((_xlfn.XLOOKUP(TabTRADER[[#This Row],[ClickTick]],TabCalc[Ticker],TabCalc[NAfter])+TabTRADER[[#This Row],[L_Sn]])*(TabTRADER[[#This Row],[Agiotage]]-TabTRADER[[#This Row],[M]]))/(TabTRADER[[#This Row],[L_Sn]]*_xlfn.XLOOKUP(TabTRADER[[#This Row],[ClickTick]],TabCalc[Ticker],TabCalc[NAfter]))</f>
        <v>-7.5488798515981725E-2</v>
      </c>
      <c r="BT50" s="687">
        <f ca="1">(TabTRADER[[#This Row],[M]]-TabTRADER[[#This Row],[Agiotage]])/(TabTRADER[[#This Row],[M]]-TabTRADER[[#This Row],[A]])-1</f>
        <v>-184.40195969858527</v>
      </c>
      <c r="BU50" s="1262">
        <f ca="1">_xlfn.XMATCH(TabTRADER[[#This Row],[ClickTick]]&amp;1, TabConsolid[#Headers])</f>
        <v>146</v>
      </c>
      <c r="BV50" t="b">
        <f ca="1">IF(ABS(TabTRADER[[#This Row],[L_Bp]])&gt;=TabTRADER[[#This Row],[M]],"OK")</f>
        <v>0</v>
      </c>
    </row>
    <row r="51" spans="1:74" hidden="1"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+5,425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10.3%</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4,608/5,000=48,594</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11,575$</v>
      </c>
      <c r="G51" s="225" t="str">
        <f ca="1">IFERROR(TRUNC(_xlfn.XLOOKUP(TabTRADER[[#This Row],[ClickTick]],TabCalc[Ticker],ListLastSalep),2)&amp;"x"&amp;_xlfn.XLOOKUP(TabTRADER[[#This Row],[ClickTick]],TabCalc[Ticker],ListLastSalen)&amp;"=   "&amp;TEXT(-_xlfn.XLOOKUP(TabTRADER[[#This Row],[ClickTick]],TabCalc[Ticker],ListReverseB),"#,#0")&amp;"$","")</f>
        <v>10.07x5000=   2,375$</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51" s="226" t="str">
        <f ca="1">IFERROR(TRUNC(TabCalc[[#This Row],[L_S1p]],2)&amp;"x"&amp;TabCalc[[#This Row],[L_S1n]]&amp;"=   "&amp;TEXT(TabCalc[[#This Row],[ReverseB1]],"#,#0"),"")</f>
        <v>10.58x5000=   175</v>
      </c>
      <c r="J51" s="295">
        <f ca="1">_xlfn.XLOOKUP(TabTRADER[[#This Row],[ClickTick]],TabCalc[Ticker],ListGravity)</f>
        <v>1.1379800853485065</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0.24387796432297706</v>
      </c>
      <c r="N51" s="324" cm="1">
        <f t="array" aca="1" ref="N51" ca="1">_xlfn.XLOOKUP(TabTRADER[[#This Row],[ClickTick]],ListTickers,Tab2RSIConventional[RSIConv20])</f>
        <v>31</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0.11469344608879482</v>
      </c>
      <c r="S51" s="683">
        <f ca="1">_xlfn.XLOOKUP(TabTRADER[[#This Row],[ClickTick]],TabCalc[Ticker],TabCalc[Rev(MinStock)])*(1-Commission)</f>
        <v>5410.894999999995</v>
      </c>
      <c r="T51" s="782">
        <f ca="1">_xlfn.XLOOKUP(TabTRADER[[#This Row],[ClickTick]],TabCalc[Ticker],TabCalc[Agiotage])</f>
        <v>0.24387796432297706</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-675/-675=&gt;-1.5% / -1.5%</v>
      </c>
      <c r="V51" s="739" t="str">
        <f ca="1">_xlfn.XLOOKUP(TabTRADER[[#This Row],[ClickTick]],[1]!RTData[Ticker_Symbol],[1]!RTData[Currency])</f>
        <v>USD</v>
      </c>
      <c r="W51" s="749">
        <f ca="1">_xlfn.XLOOKUP(TabTRADER[[#This Row],[ClickTick]],TabCalc[Ticker],TabCalc[M])</f>
        <v>10.545</v>
      </c>
      <c r="X51" s="1315"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-1.5406E-2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-81/53 K$</v>
      </c>
      <c r="AE51" s="1182"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65"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10.545, 04.7%</v>
      </c>
      <c r="AG51" s="1165"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65" cm="1">
        <f t="array" aca="1" ref="AH51" ca="1">_xlfn.IFS(     TabTRADER[[#This Row],[Traps]]=MUp,MIN(TabTRADER[[#This Row],[L_Sn]],TabTRADER[[#This Row],[N]])*(TabTRADER[[#This Row],[M]]-TabTRADER[[#This Row],[L_Sp]])*(1-Commission)*TabTRADER[[#This Row],[Scale]],                                  TRUE,"M= "&amp;TabTRADER[[#This Row],[M]])</f>
        <v>2368.824999999998</v>
      </c>
      <c r="AI51" s="1165" t="str" cm="1">
        <f t="array" aca="1" ref="AI51" ca="1">_xlfn.IFS(   TabTRADER[[#This Row],[Traps]]=MUp,TEXT(MIN(TabTRADER[[#This Row],[L_Sn]],TabTRADER[[#This Row],[N]]),"#,#0")&amp;" x "&amp;TEXT(TabTRADER[[#This Row],[L_Sp]],"#,#0.#0"),          TRUE,"")</f>
        <v>5,000 x 10.07</v>
      </c>
      <c r="AJ51" s="1165"/>
      <c r="AK51" s="1165"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2368.824999999998</v>
      </c>
      <c r="AL51" s="1165"/>
      <c r="AM51" s="1165"/>
      <c r="AN51" s="1165"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5410.894999999995</v>
      </c>
      <c r="AO51" s="1174"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0.11469344608879482</v>
      </c>
      <c r="AP51" s="1174"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4.244504504504501E-2</v>
      </c>
      <c r="AQ51" s="825" cm="1">
        <f t="array" aca="1" ref="AQ51" ca="1">_xlfn.IFS(   TabTRADER[[#This Row],[Traps]]=SellMorePercentGain,                     MIN(TabTRADER[[#This Row],[L_Sn]],TabTRADER[[#This Row],[N]])*(TabTRADER[[#This Row],[M]]-TabTRADER[[#This Row],[L_Sp]])*(1-Commission)*TabTRADER[[#This Row],[Scale]],                    TRUE,"")</f>
        <v>2368.824999999998</v>
      </c>
      <c r="AR51" s="1163">
        <f ca="1">_xlfn.XLOOKUP(TabTRADER[[#This Row],[ClickTick]],TabCalc[Ticker],TabCalc[Ann%RevLB])</f>
        <v>0.7507207380357479</v>
      </c>
      <c r="AS51" s="1267">
        <f ca="1">_xlfn.XLOOKUP(TabTRADER[[#This Row],[ClickTick]],TabCalc[Ticker],TabCalc[Up20])</f>
        <v>0</v>
      </c>
      <c r="AT51" s="1175"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5" t="str" cm="1">
        <f t="array" aca="1" ref="AU51" ca="1">_xlfn.IFS(         TabTRADER[[#This Row],[Traps]]=MDown,TabTRADER[[#This Row],[L_Bn]]*TabTRADER[[#This Row],[M]]*(-(TabTRADER[[#This Row],[L_Bp]]+TabTRADER[[#This Row],[M]])/TabTRADER[[#This Row],[M]])*(1-Commission)*TabTRADER[[#This Row],[Scale]],                               TRUE,"")</f>
        <v/>
      </c>
      <c r="AV51" s="1174" cm="1">
        <f t="array" aca="1" ref="AV51" ca="1">_xlfn.IFS(   TabTRADER[[#This Row],[Traps]]=MUp,TabTRADER[[#This Row],[TakeGain_A]]-Commission,        TabTRADER[[#This Row],[Traps]]=MDown,(TabTRADER[[#This Row],[A]]-TabTRADER[[#This Row],[M]])/TabTRADER[[#This Row],[M]]-Commission,                              TRUE,"")</f>
        <v>0.11209344608879482</v>
      </c>
      <c r="AW51" s="825"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6031.489193974624</v>
      </c>
      <c r="AX51" s="760"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51" s="736"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5,000x1.08</v>
      </c>
      <c r="AZ51" s="765" cm="1">
        <f t="array" aca="1" ref="AZ51" ca="1">_xlfn.IFS(TabTRADER[[#This Row],[Traps]]=Sale_Back,"",         TabTRADER[[#This Row],[Traps]]=MDown, (TabTRADER[[#This Row],[M]]-TabTRADER[[#This Row],[A]])/TabTRADER[[#This Row],[A]]*ComFactor,             TRUE, IFERROR((TabTRADER[[#This Row],[M]]-TabTRADER[[#This Row],[A]])/TabTRADER[[#This Row],[A]]*ComFactor,""))</f>
        <v>0.11439524312896396</v>
      </c>
      <c r="BA51" s="762" cm="1">
        <f t="array" aca="1" ref="BA51" ca="1">_xlfn.IFS(               TabTRADER[[#This Row],[Traps]]=NoStock,(TabTRADER[[#This Row],[L_Sp]]-TabTRADER[[#This Row],[M]])/TabTRADER[[#This Row],[M]]-Commission,             TabTRADER[[#This Row],[A]]&lt;&gt;0,(TabTRADER[[#This Row],[A]]-TabTRADER[[#This Row],[M]])/TabTRADER[[#This Row],[M]]-Commission)</f>
        <v>-0.1054923660502607</v>
      </c>
      <c r="BB51" s="324">
        <f ca="1">_xlfn.XLOOKUP(TabTRADER[[#This Row],[ClickTick]],TabCalc[Ticker],TabCalc[L_Sn])</f>
        <v>5000</v>
      </c>
      <c r="BC51" s="728">
        <f ca="1">_xlfn.XLOOKUP(TabTRADER[[#This Row],[ClickTick]],TabCalc[Ticker],TabCalc[L_Sp])</f>
        <v>10.07</v>
      </c>
      <c r="BD51" s="764">
        <f ca="1">-IFERROR((TabTRADER[[#This Row],[M]]-TabTRADER[[#This Row],[L_Sp]])/TabTRADER[[#This Row],[L_Sp]],0)</f>
        <v>-4.7169811320754679E-2</v>
      </c>
      <c r="BE51" s="729">
        <f ca="1">TabTRADER[[#This Row],[L_Sn]]*(TabTRADER[[#This Row],[M]]-TabTRADER[[#This Row],[L_Sp]])*(1-Commission)*TabTRADER[[#This Row],[Scale]]</f>
        <v>2368.824999999998</v>
      </c>
      <c r="BF51" s="692">
        <f ca="1">TabTRADER[[#This Row],[L_Sn]]*(TabTRADER[[#This Row],[Agiotage]]-TabTRADER[[#This Row],[M]])/(TabTRADER[[#This Row],[L_Bn]]*TabTRADER[[#This Row],[M]])</f>
        <v>-0.97687264444542665</v>
      </c>
      <c r="BG51" s="635">
        <f ca="1">IFERROR((TabTRADER[[#This Row],[M]]-TabTRADER[[#This Row],[A]])/TabTRADER[[#This Row],[A]],0)</f>
        <v>0.11469344608879482</v>
      </c>
      <c r="BH51" s="638" t="str">
        <f ca="1">TEXT(_xlfn.XLOOKUP(TabTRADER[[#This Row],[ClickTick]],TabCalc[Ticker],TabCalc[NAfter]),"#,#0")&amp;" : "&amp;TEXT(_xlfn.XLOOKUP(TabTRADER[[#This Row],[ClickTick]],TabCalc[Ticker],TabCalc[NAfter])*(TabTRADER[[#This Row],[M]]-TabTRADER[[#This Row],[A]])*(1-Commission)*TabTRADER[[#This Row],[Scale]],"#,#0$")</f>
        <v>5,000 : 5,411$</v>
      </c>
      <c r="BI51" s="684">
        <f ca="1">_xlfn.XLOOKUP(TabTRADER[[#This Row],[ClickTick]],TabCalc[[#This Row],[Ticker]],TabCalc[[#This Row],[GL]])*(1-Commission)</f>
        <v>-80591.864201897915</v>
      </c>
      <c r="BJ51" s="684"/>
      <c r="BK51" s="669" t="str">
        <f ca="1">TabTRADER[[#This Row],[ClickTick]]&amp;": "&amp;_xlfn.XLOOKUP(TabTRADER[[#This Row],[ClickTick]],TabCalc[Ticker],TabCalc[Pile?])</f>
        <v xml:space="preserve">VTRS: </v>
      </c>
      <c r="BL51" s="351" t="s">
        <v>2017</v>
      </c>
      <c r="BM51" s="755" t="str" cm="1">
        <f t="array" aca="1" ref="BM51" ca="1">_xlfn.TEXTJOIN("",,INDEX({"M","A","Y"}, _xlfn.SORTBY({1,2,3}, -CHOOSE({1,2,3}, TabTRADER[[#This Row],[M]], TabTRADER[[#This Row],[A]], TabTRADER[[#This Row],[Agiotage]]))))</f>
        <v>MAY</v>
      </c>
      <c r="BN51" s="902"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4.5045045045045008E-2</v>
      </c>
      <c r="BO51" s="679">
        <f ca="1">TabTRADER[[#This Row],[L_Sn]]*TabTRADER[[#This Row],[L_Sp]]+TabTRADER[[#This Row],[SellMore]]*TabTRADER[[#This Row],[M]]</f>
        <v>103075</v>
      </c>
      <c r="BP51" s="679">
        <f ca="1">INDEX(
  INDEX(TabConsolid[], , _xlfn.XMATCH(TabTRADER[[#This Row],[ClickTick]]&amp;1, TabConsolid[#Headers])),
  MATCH(
    -TabTRADER[[#This Row],[M]],
    INDEX(TabConsolid[], , _xlfn.XMATCH(TabTRADER[[#This Row],[ClickTick]]&amp;2, TabConsolid[#Headers])),
    -1
  )
)</f>
        <v>5000</v>
      </c>
      <c r="BQ51" s="679"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44">
        <f ca="1">TabTRADER[[#This Row],[ReBuy]]/(TabTRADER[[#This Row],[L_Sn]]+TabTRADER[[#This Row],[SellMore]])</f>
        <v>10.307499999999999</v>
      </c>
      <c r="BS51" s="687">
        <f ca="1">((_xlfn.XLOOKUP(TabTRADER[[#This Row],[ClickTick]],TabCalc[Ticker],TabCalc[NAfter])+TabTRADER[[#This Row],[L_Sn]])*(TabTRADER[[#This Row],[Agiotage]]-TabTRADER[[#This Row],[M]]))/(TabTRADER[[#This Row],[L_Sn]]*_xlfn.XLOOKUP(TabTRADER[[#This Row],[ClickTick]],TabCalc[Ticker],TabCalc[NAfter]))</f>
        <v>-4.1204488142708093E-3</v>
      </c>
      <c r="BT51" s="687">
        <f ca="1">(TabTRADER[[#This Row],[M]]-TabTRADER[[#This Row],[Agiotage]])/(TabTRADER[[#This Row],[M]]-TabTRADER[[#This Row],[A]])-1</f>
        <v>8.4941216918682318</v>
      </c>
      <c r="BU51" s="1262">
        <f ca="1">_xlfn.XMATCH(TabTRADER[[#This Row],[ClickTick]]&amp;1, TabConsolid[#Headers])</f>
        <v>149</v>
      </c>
      <c r="BV51" t="b">
        <f ca="1">IF(ABS(TabTRADER[[#This Row],[L_Bp]])&gt;=TabTRADER[[#This Row],[M]],"OK")</f>
        <v>0</v>
      </c>
    </row>
    <row r="52" spans="1:74" hidden="1"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15"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82"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65"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65"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65" cm="1">
        <f t="array" aca="1" ref="AH52" ca="1">_xlfn.IFS(     TabTRADER[[#This Row],[Traps]]=MUp,MIN(TabTRADER[[#This Row],[L_Sn]],TabTRADER[[#This Row],[N]])*(TabTRADER[[#This Row],[M]]-TabTRADER[[#This Row],[L_Sp]])*(1-Commission)*TabTRADER[[#This Row],[Scale]],                                  TRUE,"M= "&amp;TabTRADER[[#This Row],[M]])</f>
        <v>2181.0145800000032</v>
      </c>
      <c r="AI52" s="1165" t="str" cm="1">
        <f t="array" aca="1" ref="AI52" ca="1">_xlfn.IFS(   TabTRADER[[#This Row],[Traps]]=MUp,TEXT(MIN(TabTRADER[[#This Row],[L_Sn]],TabTRADER[[#This Row],[N]]),"#,#0")&amp;" x "&amp;TEXT(TabTRADER[[#This Row],[L_Sp]],"#,#0.#0"),          TRUE,"")</f>
        <v>3,000 x 11.25</v>
      </c>
      <c r="AJ52" s="1165"/>
      <c r="AK52" s="1165"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65"/>
      <c r="AM52" s="1165"/>
      <c r="AN52" s="1165"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74"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74"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TabTRADER[[#This Row],[Traps]]=SellMorePercentGain,                     MIN(TabTRADER[[#This Row],[L_Sn]],TabTRADER[[#This Row],[N]])*(TabTRADER[[#This Row],[M]]-TabTRADER[[#This Row],[L_Sp]])*(1-Commission)*TabTRADER[[#This Row],[Scale]],                    TRUE,"")</f>
        <v>2181.0145800000032</v>
      </c>
      <c r="AR52" s="1163">
        <f ca="1">_xlfn.XLOOKUP(TabTRADER[[#This Row],[ClickTick]],TabCalc[Ticker],TabCalc[Ann%RevLB])</f>
        <v>0.2402518008040925</v>
      </c>
      <c r="AS52" s="1267">
        <f ca="1">_xlfn.XLOOKUP(TabTRADER[[#This Row],[ClickTick]],TabCalc[Ticker],TabCalc[Up20])</f>
        <v>0</v>
      </c>
      <c r="AT52" s="1175"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5" t="str" cm="1">
        <f t="array" aca="1" ref="AU52" ca="1">_xlfn.IFS(         TabTRADER[[#This Row],[Traps]]=MDown,TabTRADER[[#This Row],[L_Bn]]*TabTRADER[[#This Row],[M]]*(-(TabTRADER[[#This Row],[L_Bp]]+TabTRADER[[#This Row],[M]])/TabTRADER[[#This Row],[M]])*(1-Commission)*TabTRADER[[#This Row],[Scale]],                               TRUE,"")</f>
        <v/>
      </c>
      <c r="AV52" s="1174" cm="1">
        <f t="array" aca="1" ref="AV52" ca="1">_xlfn.IFS(   TabTRADER[[#This Row],[Traps]]=MUp,TabTRADER[[#This Row],[TakeGain_A]]-Commission,        TabTRADER[[#This Row],[Traps]]=MDown,(TabTRADER[[#This Row],[A]]-TabTRADER[[#This Row],[M]])/TabTRADER[[#This Row],[M]]-Commission,                              TRUE,"")</f>
        <v>0.18826670841658463</v>
      </c>
      <c r="AW52" s="760"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60"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6"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5" cm="1">
        <f t="array" aca="1" ref="AZ52" ca="1">_xlfn.IFS(TabTRADER[[#This Row],[Traps]]=Sale_Back,"",         TabTRADER[[#This Row],[Traps]]=MDown, (TabTRADER[[#This Row],[M]]-TabTRADER[[#This Row],[A]])/TabTRADER[[#This Row],[A]]*ComFactor,             TRUE, IFERROR((TabTRADER[[#This Row],[M]]-TabTRADER[[#This Row],[A]])/TabTRADER[[#This Row],[A]]*ComFactor,""))</f>
        <v>0.19037045497470151</v>
      </c>
      <c r="BA52" s="762" cm="1">
        <f t="array" aca="1" ref="BA52" ca="1">_xlfn.IFS(               TabTRADER[[#This Row],[Traps]]=NoStock,(TabTRADER[[#This Row],[L_Sp]]-TabTRADER[[#This Row],[M]])/TabTRADER[[#This Row],[M]]-Commission,             TabTRADER[[#This Row],[A]]&lt;&gt;0,(TabTRADER[[#This Row],[A]]-TabTRADER[[#This Row],[M]])/TabTRADER[[#This Row],[M]]-Commission)</f>
        <v>-0.16287545909849746</v>
      </c>
      <c r="BB52" s="324">
        <f ca="1">_xlfn.XLOOKUP(TabTRADER[[#This Row],[ClickTick]],TabCalc[Ticker],TabCalc[L_Sn])</f>
        <v>4000</v>
      </c>
      <c r="BC52" s="728">
        <f ca="1">_xlfn.XLOOKUP(TabTRADER[[#This Row],[ClickTick]],TabCalc[Ticker],TabCalc[L_Sp])</f>
        <v>11.251099999999999</v>
      </c>
      <c r="BD52" s="764">
        <f ca="1">-IFERROR((TabTRADER[[#This Row],[M]]-TabTRADER[[#This Row],[L_Sp]])/TabTRADER[[#This Row],[L_Sp]],0)</f>
        <v>-6.478477659962148E-2</v>
      </c>
      <c r="BE52" s="729">
        <f ca="1">TabTRADER[[#This Row],[L_Sn]]*(TabTRADER[[#This Row],[M]]-TabTRADER[[#This Row],[L_Sp]])*(1-Commission)*TabTRADER[[#This Row],[Scale]]</f>
        <v>2908.0194400000046</v>
      </c>
      <c r="BF52" s="692">
        <f ca="1">TabTRADER[[#This Row],[L_Sn]]*(TabTRADER[[#This Row],[Agiotage]]-TabTRADER[[#This Row],[M]])/(TabTRADER[[#This Row],[L_Bn]]*TabTRADER[[#This Row],[M]])</f>
        <v>0.15441291211435451</v>
      </c>
      <c r="BG52" s="635">
        <f ca="1">IFERROR((TabTRADER[[#This Row],[M]]-TabTRADER[[#This Row],[A]])/TabTRADER[[#This Row],[A]],0)</f>
        <v>0.19086670841658462</v>
      </c>
      <c r="BH52" s="638" t="str">
        <f ca="1">TEXT(_xlfn.XLOOKUP(TabTRADER[[#This Row],[ClickTick]],TabCalc[Ticker],TabCalc[NAfter]),"#,#0")&amp;" : "&amp;TEXT(_xlfn.XLOOKUP(TabTRADER[[#This Row],[ClickTick]],TabCalc[Ticker],TabCalc[NAfter])*(TabTRADER[[#This Row],[M]]-TabTRADER[[#This Row],[A]])*(1-Commission)*TabTRADER[[#This Row],[Scale]],"#,#0$")</f>
        <v>3,000 : 5,745$</v>
      </c>
      <c r="BI52" s="684">
        <f ca="1">_xlfn.XLOOKUP(TabTRADER[[#This Row],[ClickTick]],TabCalc[[#This Row],[Ticker]],TabCalc[[#This Row],[GL]])*(1-Commission)</f>
        <v>-21848.010657736202</v>
      </c>
      <c r="BJ52" s="684"/>
      <c r="BK52" s="669" t="str">
        <f ca="1">TabTRADER[[#This Row],[ClickTick]]&amp;": "&amp;_xlfn.XLOOKUP(TabTRADER[[#This Row],[ClickTick]],TabCalc[Ticker],TabCalc[Pile?])</f>
        <v xml:space="preserve">WBA: </v>
      </c>
      <c r="BL52" s="351" t="s">
        <v>2018</v>
      </c>
      <c r="BM52" s="755" t="str" cm="1">
        <f t="array" aca="1" ref="BM52" ca="1">_xlfn.TEXTJOIN("",,INDEX({"M","A","Y"}, _xlfn.SORTBY({1,2,3}, -CHOOSE({1,2,3}, TabTRADER[[#This Row],[M]], TabTRADER[[#This Row],[A]], TabTRADER[[#This Row],[Agiotage]]))))</f>
        <v>YMA</v>
      </c>
      <c r="BN52" s="902"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9">
        <f ca="1">TabTRADER[[#This Row],[L_Sn]]*TabTRADER[[#This Row],[L_Sp]]+TabTRADER[[#This Row],[SellMore]]*TabTRADER[[#This Row],[M]]</f>
        <v>80944.399999999994</v>
      </c>
      <c r="BP52" s="679">
        <f ca="1">INDEX(
  INDEX(TabConsolid[], , _xlfn.XMATCH(TabTRADER[[#This Row],[ClickTick]]&amp;1, TabConsolid[#Headers])),
  MATCH(
    -TabTRADER[[#This Row],[M]],
    INDEX(TabConsolid[], , _xlfn.XMATCH(TabTRADER[[#This Row],[ClickTick]]&amp;2, TabConsolid[#Headers])),
    -1
  )
)</f>
        <v>3000</v>
      </c>
      <c r="BQ52" s="679"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44">
        <f ca="1">TabTRADER[[#This Row],[ReBuy]]/(TabTRADER[[#This Row],[L_Sn]]+TabTRADER[[#This Row],[SellMore]])</f>
        <v>11.563485714285713</v>
      </c>
      <c r="BS52" s="687">
        <f ca="1">((_xlfn.XLOOKUP(TabTRADER[[#This Row],[ClickTick]],TabCalc[Ticker],TabCalc[NAfter])+TabTRADER[[#This Row],[L_Sn]])*(TabTRADER[[#This Row],[Agiotage]]-TabTRADER[[#This Row],[M]]))/(TabTRADER[[#This Row],[L_Sn]]*_xlfn.XLOOKUP(TabTRADER[[#This Row],[ClickTick]],TabCalc[Ticker],TabCalc[NAfter]))</f>
        <v>1.753519463841948E-3</v>
      </c>
      <c r="BT52" s="687">
        <f ca="1">(TabTRADER[[#This Row],[M]]-TabTRADER[[#This Row],[Agiotage]])/(TabTRADER[[#This Row],[M]]-TabTRADER[[#This Row],[A]])-1</f>
        <v>-2.56556083880329</v>
      </c>
      <c r="BU52" s="1262">
        <f ca="1">_xlfn.XMATCH(TabTRADER[[#This Row],[ClickTick]]&amp;1, TabConsolid[#Headers])</f>
        <v>152</v>
      </c>
      <c r="BV52" t="b">
        <f ca="1">IF(ABS(TabTRADER[[#This Row],[L_Bp]])&gt;=TabTRADER[[#This Row],[M]],"OK")</f>
        <v>0</v>
      </c>
    </row>
    <row r="53" spans="1:74"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+27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5,745$</v>
      </c>
      <c r="G53" s="225" t="str">
        <f ca="1">IFERROR(TRUNC(_xlfn.XLOOKUP(TabTRADER[[#This Row],[ClickTick]],TabCalc[Ticker],ListLastSalep),2)&amp;"x"&amp;_xlfn.XLOOKUP(TabTRADER[[#This Row],[ClickTick]],TabCalc[Ticker],ListLastSalen)&amp;"=   "&amp;TEXT(-_xlfn.XLOOKUP(TabTRADER[[#This Row],[ClickTick]],TabCalc[Ticker],ListReverseB),"#,#0")&amp;"$","")</f>
        <v>107.37x1800=   18,378$</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8.7% = 0</v>
      </c>
      <c r="I53" s="226" t="str">
        <f ca="1">IFERROR(TRUNC(TabCalc[[#This Row],[L_S1p]],2)&amp;"x"&amp;TabCalc[[#This Row],[L_S1n]]&amp;"=   "&amp;TEXT(TabCalc[[#This Row],[ReverseB1]],"#,#0"),"")</f>
        <v>114.13x1800=   -6,210</v>
      </c>
      <c r="J53" s="295">
        <f ca="1">_xlfn.XLOOKUP(TabTRADER[[#This Row],[ClickTick]],TabCalc[Ticker],ListGravity)</f>
        <v>1.0790950841979929</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35274</v>
      </c>
      <c r="M53" s="323">
        <f ca="1">_xlfn.XLOOKUP(TabTRADER[[#This Row],[ClickTick]],TabCalc[Ticker],TabCalc[Agiotage])</f>
        <v>0.38161593020093482</v>
      </c>
      <c r="N53" s="324" cm="1">
        <f t="array" aca="1" ref="N53" ca="1">_xlfn.XLOOKUP(TabTRADER[[#This Row],[ClickTick]],ListTickers,Tab2RSIConventional[RSIConv20])</f>
        <v>71</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7.6602264022472902E-4</v>
      </c>
      <c r="S53" s="683">
        <f ca="1">_xlfn.XLOOKUP(TabTRADER[[#This Row],[ClickTick]],TabCalc[Ticker],TabCalc[Rev(MinStock)])*(1-Commission)</f>
        <v>26.92980000000102</v>
      </c>
      <c r="T53" s="782">
        <f ca="1">_xlfn.XLOOKUP(TabTRADER[[#This Row],[ClickTick]],TabCalc[Ticker],TabCalc[Agiotage])</f>
        <v>0.38161593020093482</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325/325=&gt;-1.2% / -1.2%</v>
      </c>
      <c r="V53" s="739" t="str">
        <f ca="1">_xlfn.XLOOKUP(TabTRADER[[#This Row],[ClickTick]],[1]!RTData[Ticker_Symbol],[1]!RTData[Currency])</f>
        <v>USD</v>
      </c>
      <c r="W53" s="749">
        <f ca="1">_xlfn.XLOOKUP(TabTRADER[[#This Row],[ClickTick]],TabCalc[Ticker],TabCalc[M])</f>
        <v>117.58</v>
      </c>
      <c r="X53" s="1315"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-1.2182E-2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53" s="1182"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53" s="1165"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-117.49</v>
      </c>
      <c r="AG53" s="1165"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26.92980000000102</v>
      </c>
      <c r="AH53" s="1165" t="str" cm="1">
        <f t="array" aca="1" ref="AH53" ca="1">_xlfn.IFS(     TabTRADER[[#This Row],[Traps]]=MUp,MIN(TabTRADER[[#This Row],[L_Sn]],TabTRADER[[#This Row],[N]])*(TabTRADER[[#This Row],[M]]-TabTRADER[[#This Row],[L_Sp]])*(1-Commission)*TabTRADER[[#This Row],[Scale]],                                  TRUE,"M= "&amp;TabTRADER[[#This Row],[M]])</f>
        <v>M= 117.58</v>
      </c>
      <c r="AI53" s="1165" t="str" cm="1">
        <f t="array" aca="1" ref="AI53" ca="1">_xlfn.IFS(   TabTRADER[[#This Row],[Traps]]=MUp,TEXT(MIN(TabTRADER[[#This Row],[L_Sn]],TabTRADER[[#This Row],[N]]),"#,#0")&amp;" x "&amp;TEXT(TabTRADER[[#This Row],[L_Sp]],"#,#0.#0"),          TRUE,"")</f>
        <v/>
      </c>
      <c r="AJ53" s="1165"/>
      <c r="AK53" s="1165" t="str"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3" s="1165"/>
      <c r="AM53" s="1165"/>
      <c r="AN53" s="1165"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26.92980000000102</v>
      </c>
      <c r="AO53" s="1174"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7.6602264022472902E-4</v>
      </c>
      <c r="AP53" s="1174" t="str"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3" s="825" t="str" cm="1">
        <f t="array" aca="1" ref="AQ53" ca="1">_xlfn.IFS(   TabTRADER[[#This Row],[Traps]]=SellMorePercentGain,                     MIN(TabTRADER[[#This Row],[L_Sn]],TabTRADER[[#This Row],[N]])*(TabTRADER[[#This Row],[M]]-TabTRADER[[#This Row],[L_Sp]])*(1-Commission)*TabTRADER[[#This Row],[Scale]],                    TRUE,"")</f>
        <v/>
      </c>
      <c r="AR53" s="1163">
        <f ca="1">_xlfn.XLOOKUP(TabTRADER[[#This Row],[ClickTick]],TabCalc[Ticker],TabCalc[Ann%RevLB])</f>
        <v>5.1068176014981929E-3</v>
      </c>
      <c r="AS53" s="1267">
        <f ca="1">_xlfn.XLOOKUP(TabTRADER[[#This Row],[ClickTick]],TabCalc[Ticker],TabCalc[Up20])</f>
        <v>0</v>
      </c>
      <c r="AT53" s="1175" t="str"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3" s="825" t="str" cm="1">
        <f t="array" aca="1" ref="AU53" ca="1">_xlfn.IFS(         TabTRADER[[#This Row],[Traps]]=MDown,TabTRADER[[#This Row],[L_Bn]]*TabTRADER[[#This Row],[M]]*(-(TabTRADER[[#This Row],[L_Bp]]+TabTRADER[[#This Row],[M]])/TabTRADER[[#This Row],[M]])*(1-Commission)*TabTRADER[[#This Row],[Scale]],                               TRUE,"")</f>
        <v/>
      </c>
      <c r="AV53" s="1174" t="str" cm="1">
        <f t="array" aca="1" ref="AV53" ca="1">_xlfn.IFS(   TabTRADER[[#This Row],[Traps]]=MUp,TabTRADER[[#This Row],[TakeGain_A]]-Commission,        TabTRADER[[#This Row],[Traps]]=MDown,(TabTRADER[[#This Row],[A]]-TabTRADER[[#This Row],[M]])/TabTRADER[[#This Row],[M]]-Commission,                              TRUE,"")</f>
        <v/>
      </c>
      <c r="AW53" s="825"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2414.4401744443412</v>
      </c>
      <c r="AX53" s="760"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53" s="736" t="str"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53" s="765" t="str" cm="1">
        <f t="array" aca="1" ref="AZ53" ca="1">_xlfn.IFS(TabTRADER[[#This Row],[Traps]]=Sale_Back,"",         TabTRADER[[#This Row],[Traps]]=MDown, (TabTRADER[[#This Row],[M]]-TabTRADER[[#This Row],[A]])/TabTRADER[[#This Row],[A]]*ComFactor,             TRUE, IFERROR((TabTRADER[[#This Row],[M]]-TabTRADER[[#This Row],[A]])/TabTRADER[[#This Row],[A]]*ComFactor,""))</f>
        <v/>
      </c>
      <c r="BA53" s="762" cm="1">
        <f t="array" aca="1" ref="BA53" ca="1">_xlfn.IFS(               TabTRADER[[#This Row],[Traps]]=NoStock,(TabTRADER[[#This Row],[L_Sp]]-TabTRADER[[#This Row],[M]])/TabTRADER[[#This Row],[M]]-Commission,             TabTRADER[[#This Row],[A]]&lt;&gt;0,(TabTRADER[[#This Row],[A]]-TabTRADER[[#This Row],[M]])/TabTRADER[[#This Row],[M]]-Commission)</f>
        <v>-4.2147542098996356E-2</v>
      </c>
      <c r="BB53" s="324">
        <f ca="1">_xlfn.XLOOKUP(TabTRADER[[#This Row],[ClickTick]],TabCalc[Ticker],TabCalc[L_Sn])</f>
        <v>1800</v>
      </c>
      <c r="BC53" s="728">
        <f ca="1">_xlfn.XLOOKUP(TabTRADER[[#This Row],[ClickTick]],TabCalc[Ticker],TabCalc[L_Sp])</f>
        <v>107.37</v>
      </c>
      <c r="BD53" s="764">
        <f ca="1">-IFERROR((TabTRADER[[#This Row],[M]]-TabTRADER[[#This Row],[L_Sp]])/TabTRADER[[#This Row],[L_Sp]],0)</f>
        <v>-9.5091738846977678E-2</v>
      </c>
      <c r="BE53" s="729">
        <f ca="1">TabTRADER[[#This Row],[L_Sn]]*(TabTRADER[[#This Row],[M]]-TabTRADER[[#This Row],[L_Sp]])*(1-Commission)*TabTRADER[[#This Row],[Scale]]</f>
        <v>18330.217199999988</v>
      </c>
      <c r="BF53" s="692">
        <f ca="1">TabTRADER[[#This Row],[L_Sn]]*(TabTRADER[[#This Row],[Agiotage]]-TabTRADER[[#This Row],[M]])/(TabTRADER[[#This Row],[L_Bn]]*TabTRADER[[#This Row],[M]])</f>
        <v>-5.9805264876577171</v>
      </c>
      <c r="BG53" s="635">
        <f ca="1">IFERROR((TabTRADER[[#This Row],[M]]-TabTRADER[[#This Row],[A]])/TabTRADER[[#This Row],[A]],0)</f>
        <v>4.1175949703355981E-2</v>
      </c>
      <c r="BH53" s="638" t="str">
        <f ca="1">TEXT(_xlfn.XLOOKUP(TabTRADER[[#This Row],[ClickTick]],TabCalc[Ticker],TabCalc[NAfter]),"#,#0")&amp;" : "&amp;TEXT(_xlfn.XLOOKUP(TabTRADER[[#This Row],[ClickTick]],TabCalc[Ticker],TabCalc[NAfter])*(TabTRADER[[#This Row],[M]]-TabTRADER[[#This Row],[A]])*(1-Commission)*TabTRADER[[#This Row],[Scale]],"#,#0$")</f>
        <v>500 : 2,319$</v>
      </c>
      <c r="BI53" s="684">
        <f ca="1">_xlfn.XLOOKUP(TabTRADER[[#This Row],[ClickTick]],TabCalc[[#This Row],[Ticker]],TabCalc[[#This Row],[GL]])*(1-Commission)</f>
        <v>10214.115731684007</v>
      </c>
      <c r="BJ53" s="684"/>
      <c r="BK53" s="669" t="str">
        <f ca="1">TabTRADER[[#This Row],[ClickTick]]&amp;": "&amp;_xlfn.XLOOKUP(TabTRADER[[#This Row],[ClickTick]],TabCalc[Ticker],TabCalc[Pile?])</f>
        <v xml:space="preserve">XOM: </v>
      </c>
      <c r="BL53" s="351" t="s">
        <v>2019</v>
      </c>
      <c r="BM53" s="755" t="str" cm="1">
        <f t="array" aca="1" ref="BM53" ca="1">_xlfn.TEXTJOIN("",,INDEX({"M","A","Y"}, _xlfn.SORTBY({1,2,3}, -CHOOSE({1,2,3}, TabTRADER[[#This Row],[M]], TabTRADER[[#This Row],[A]], TabTRADER[[#This Row],[Agiotage]]))))</f>
        <v>MAY</v>
      </c>
      <c r="BN53" s="902" t="str"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3" s="679">
        <f ca="1">TabTRADER[[#This Row],[L_Sn]]*TabTRADER[[#This Row],[L_Sp]]+TabTRADER[[#This Row],[SellMore]]*TabTRADER[[#This Row],[M]]</f>
        <v>228540</v>
      </c>
      <c r="BP53" s="679">
        <f ca="1">INDEX(
  INDEX(TabConsolid[], , _xlfn.XMATCH(TabTRADER[[#This Row],[ClickTick]]&amp;1, TabConsolid[#Headers])),
  MATCH(
    -TabTRADER[[#This Row],[M]],
    INDEX(TabConsolid[], , _xlfn.XMATCH(TabTRADER[[#This Row],[ClickTick]]&amp;2, TabConsolid[#Headers])),
    -1
  )
)</f>
        <v>300</v>
      </c>
      <c r="BQ53" s="679"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44">
        <f ca="1">TabTRADER[[#This Row],[ReBuy]]/(TabTRADER[[#This Row],[L_Sn]]+TabTRADER[[#This Row],[SellMore]])</f>
        <v>108.82857142857142</v>
      </c>
      <c r="BS53" s="687">
        <f ca="1">((_xlfn.XLOOKUP(TabTRADER[[#This Row],[ClickTick]],TabCalc[Ticker],TabCalc[NAfter])+TabTRADER[[#This Row],[L_Sn]])*(TabTRADER[[#This Row],[Agiotage]]-TabTRADER[[#This Row],[M]]))/(TabTRADER[[#This Row],[L_Sn]]*_xlfn.XLOOKUP(TabTRADER[[#This Row],[ClickTick]],TabCalc[Ticker],TabCalc[NAfter]))</f>
        <v>-0.29950698151170874</v>
      </c>
      <c r="BT53" s="687">
        <f ca="1">(TabTRADER[[#This Row],[M]]-TabTRADER[[#This Row],[Agiotage]])/(TabTRADER[[#This Row],[M]]-TabTRADER[[#This Row],[A]])-1</f>
        <v>24.203953563397693</v>
      </c>
      <c r="BU53" s="1262">
        <f ca="1">_xlfn.XMATCH(TabTRADER[[#This Row],[ClickTick]]&amp;1, TabConsolid[#Headers])</f>
        <v>155</v>
      </c>
      <c r="BV53" t="b">
        <f ca="1">IF(ABS(TabTRADER[[#This Row],[L_Bp]])&gt;=TabTRADER[[#This Row],[M]],"OK")</f>
        <v>0</v>
      </c>
    </row>
    <row r="54" spans="1:74" hidden="1"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-4,850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-17.0%</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-17,598$</v>
      </c>
      <c r="G54" s="225" t="str">
        <f ca="1">IFERROR(TRUNC(_xlfn.XLOOKUP(TabTRADER[[#This Row],[ClickTick]],TabCalc[Ticker],ListLastSalep),2)&amp;"x"&amp;_xlfn.XLOOKUP(TabTRADER[[#This Row],[ClickTick]],TabCalc[Ticker],ListLastSalen)&amp;"=   "&amp;TEXT(-_xlfn.XLOOKUP(TabTRADER[[#This Row],[ClickTick]],TabCalc[Ticker],ListReverseB),"#,#0")&amp;"$","")</f>
        <v>10.55x7200=   -34,992$</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85.4% = 1,029</v>
      </c>
      <c r="I54" s="226" t="str">
        <f ca="1">IFERROR(TRUNC(TabCalc[[#This Row],[L_S1p]],2)&amp;"x"&amp;TabCalc[[#This Row],[L_S1n]]&amp;"=   "&amp;TEXT(TabCalc[[#This Row],[ReverseB1]],"#,#0"),"")</f>
        <v>8.63x3000=   8,820</v>
      </c>
      <c r="J54" s="295">
        <f ca="1">_xlfn.XLOOKUP(TabTRADER[[#This Row],[ClickTick]],TabCalc[Ticker],ListGravity)</f>
        <v>2.0035149384885762</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52348</v>
      </c>
      <c r="M54" s="323">
        <f ca="1">_xlfn.XLOOKUP(TabTRADER[[#This Row],[ClickTick]],TabCalc[Ticker],TabCalc[Agiotage])</f>
        <v>0.4082525686653613</v>
      </c>
      <c r="N54" s="324" cm="1">
        <f t="array" aca="1" ref="N54" ca="1">_xlfn.XLOOKUP(TabTRADER[[#This Row],[ClickTick]],ListTickers,Tab2RSIConventional[RSIConv20])</f>
        <v>34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-0.14564564564564561</v>
      </c>
      <c r="S54" s="683">
        <f ca="1">_xlfn.XLOOKUP(TabTRADER[[#This Row],[ClickTick]],TabCalc[Ticker],TabCalc[Rev(MinStock)])*(1-Commission)</f>
        <v>-4837.3899999999985</v>
      </c>
      <c r="T54" s="782">
        <f ca="1">_xlfn.XLOOKUP(TabTRADER[[#This Row],[ClickTick]],TabCalc[Ticker],TabCalc[Agiotage])</f>
        <v>0.4082525686653613</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-1,300/-1,300=&gt;-2.2% / -2.2%</v>
      </c>
      <c r="V54" s="739" t="str">
        <f ca="1">_xlfn.XLOOKUP(TabTRADER[[#This Row],[ClickTick]],[1]!RTData[Ticker_Symbol],[1]!RTData[Currency])</f>
        <v>USD</v>
      </c>
      <c r="W54" s="749">
        <f ca="1">_xlfn.XLOOKUP(TabTRADER[[#This Row],[ClickTick]],TabCalc[Ticker],TabCalc[M])</f>
        <v>5.69</v>
      </c>
      <c r="X54" s="1315"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-2.2336999999999999E-2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-66/57 K$</v>
      </c>
      <c r="AE54" s="1182"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65"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5.69, -46.1%</v>
      </c>
      <c r="AG54" s="1165"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65" t="str" cm="1">
        <f t="array" aca="1" ref="AH54" ca="1">_xlfn.IFS(     TabTRADER[[#This Row],[Traps]]=MUp,MIN(TabTRADER[[#This Row],[L_Sn]],TabTRADER[[#This Row],[N]])*(TabTRADER[[#This Row],[M]]-TabTRADER[[#This Row],[L_Sp]])*(1-Commission)*TabTRADER[[#This Row],[Scale]],                                  TRUE,"M= "&amp;TabTRADER[[#This Row],[M]])</f>
        <v>M= 5.69</v>
      </c>
      <c r="AI54" s="1165" t="str" cm="1">
        <f t="array" aca="1" ref="AI54" ca="1">_xlfn.IFS(   TabTRADER[[#This Row],[Traps]]=MUp,TEXT(MIN(TabTRADER[[#This Row],[L_Sn]],TabTRADER[[#This Row],[N]]),"#,#0")&amp;" x "&amp;TEXT(TabTRADER[[#This Row],[L_Sp]],"#,#0.#0"),          TRUE,"")</f>
        <v/>
      </c>
      <c r="AJ54" s="1165"/>
      <c r="AK54" s="1165"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4837.3899999999985</v>
      </c>
      <c r="AL54" s="1165"/>
      <c r="AM54" s="1165"/>
      <c r="AN54" s="1165"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56900.000000000007</v>
      </c>
      <c r="AO54" s="1174"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0.31170464992500113</v>
      </c>
      <c r="AP54" s="1174"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0.16787451669595777</v>
      </c>
      <c r="AQ54" s="825" t="str" cm="1">
        <f t="array" aca="1" ref="AQ54" ca="1">_xlfn.IFS(   TabTRADER[[#This Row],[Traps]]=SellMorePercentGain,                     MIN(TabTRADER[[#This Row],[L_Sn]],TabTRADER[[#This Row],[N]])*(TabTRADER[[#This Row],[M]]-TabTRADER[[#This Row],[L_Sp]])*(1-Commission)*TabTRADER[[#This Row],[Scale]],                    TRUE,"")</f>
        <v/>
      </c>
      <c r="AR54" s="1163">
        <f ca="1">_xlfn.XLOOKUP(TabTRADER[[#This Row],[ClickTick]],TabCalc[Ticker],TabCalc[Ann%RevLB])</f>
        <v>-1.278839815425181</v>
      </c>
      <c r="AS54" s="1267">
        <f ca="1">_xlfn.XLOOKUP(TabTRADER[[#This Row],[ClickTick]],TabCalc[Ticker],TabCalc[Up20])</f>
        <v>0</v>
      </c>
      <c r="AT54" s="1175"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0.17047451669595776</v>
      </c>
      <c r="AU54" s="825" cm="1">
        <f t="array" aca="1" ref="AU54" ca="1">_xlfn.IFS(         TabTRADER[[#This Row],[Traps]]=MDown,TabTRADER[[#This Row],[L_Bn]]*TabTRADER[[#This Row],[M]]*(-(TabTRADER[[#This Row],[L_Bp]]+TabTRADER[[#This Row],[M]])/TabTRADER[[#This Row],[M]])*(1-Commission)*TabTRADER[[#This Row],[Scale]],                               TRUE,"")</f>
        <v>4837.3899999999985</v>
      </c>
      <c r="AV54" s="1174" cm="1">
        <f t="array" aca="1" ref="AV54" ca="1">_xlfn.IFS(   TabTRADER[[#This Row],[Traps]]=MUp,TabTRADER[[#This Row],[TakeGain_A]]-Commission,        TabTRADER[[#This Row],[Traps]]=MDown,(TabTRADER[[#This Row],[A]]-TabTRADER[[#This Row],[M]])/TabTRADER[[#This Row],[M]]-Commission,                              TRUE,"")</f>
        <v>0.45026467486818972</v>
      </c>
      <c r="AW54" s="825"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25701.003199999996</v>
      </c>
      <c r="AX54" s="760"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54" s="736"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-0.97</v>
      </c>
      <c r="AZ54" s="765" cm="1">
        <f t="array" aca="1" ref="AZ54" ca="1">_xlfn.IFS(TabTRADER[[#This Row],[Traps]]=Sale_Back,"",         TabTRADER[[#This Row],[Traps]]=MDown, (TabTRADER[[#This Row],[M]]-TabTRADER[[#This Row],[A]])/TabTRADER[[#This Row],[A]]*ComFactor,             TRUE, IFERROR((TabTRADER[[#This Row],[M]]-TabTRADER[[#This Row],[A]])/TabTRADER[[#This Row],[A]]*ComFactor,""))</f>
        <v>-0.31089421783519611</v>
      </c>
      <c r="BA54" s="762" cm="1">
        <f t="array" aca="1" ref="BA54" ca="1">_xlfn.IFS(               TabTRADER[[#This Row],[Traps]]=NoStock,(TabTRADER[[#This Row],[L_Sp]]-TabTRADER[[#This Row],[M]])/TabTRADER[[#This Row],[M]]-Commission,             TabTRADER[[#This Row],[A]]&lt;&gt;0,(TabTRADER[[#This Row],[A]]-TabTRADER[[#This Row],[M]])/TabTRADER[[#This Row],[M]]-Commission)</f>
        <v>0.45026467486818972</v>
      </c>
      <c r="BB54" s="324">
        <f ca="1">_xlfn.XLOOKUP(TabTRADER[[#This Row],[ClickTick]],TabCalc[Ticker],TabCalc[L_Sn])</f>
        <v>7200</v>
      </c>
      <c r="BC54" s="728">
        <f ca="1">_xlfn.XLOOKUP(TabTRADER[[#This Row],[ClickTick]],TabCalc[Ticker],TabCalc[L_Sp])</f>
        <v>10.55</v>
      </c>
      <c r="BD54" s="764">
        <f ca="1">-IFERROR((TabTRADER[[#This Row],[M]]-TabTRADER[[#This Row],[L_Sp]])/TabTRADER[[#This Row],[L_Sp]],0)</f>
        <v>0.46066350710900472</v>
      </c>
      <c r="BE54" s="729">
        <f ca="1">TabTRADER[[#This Row],[L_Sn]]*(TabTRADER[[#This Row],[M]]-TabTRADER[[#This Row],[L_Sp]])*(1-Commission)*TabTRADER[[#This Row],[Scale]]</f>
        <v>-34901.020799999998</v>
      </c>
      <c r="BF54" s="692">
        <f ca="1">TabTRADER[[#This Row],[L_Sn]]*(TabTRADER[[#This Row],[Agiotage]]-TabTRADER[[#This Row],[M]])/(TabTRADER[[#This Row],[L_Bn]]*TabTRADER[[#This Row],[M]])</f>
        <v>-1.3366812480003303</v>
      </c>
      <c r="BG54" s="635">
        <f ca="1">IFERROR((TabTRADER[[#This Row],[M]]-TabTRADER[[#This Row],[A]])/TabTRADER[[#This Row],[A]],0)</f>
        <v>-0.31170464992500113</v>
      </c>
      <c r="BH54" s="638" t="str">
        <f ca="1">TEXT(_xlfn.XLOOKUP(TabTRADER[[#This Row],[ClickTick]],TabCalc[Ticker],TabCalc[NAfter]),"#,#0")&amp;" : "&amp;TEXT(_xlfn.XLOOKUP(TabTRADER[[#This Row],[ClickTick]],TabCalc[Ticker],TabCalc[NAfter])*(TabTRADER[[#This Row],[M]]-TabTRADER[[#This Row],[A]])*(1-Commission)*TabTRADER[[#This Row],[Scale]],"#,#0$")</f>
        <v>10,000 : -25,701$</v>
      </c>
      <c r="BI54" s="684">
        <f ca="1">_xlfn.XLOOKUP(TabTRADER[[#This Row],[ClickTick]],TabCalc[[#This Row],[Ticker]],TabCalc[[#This Row],[GL]])*(1-Commission)</f>
        <v>-65885.297319341174</v>
      </c>
      <c r="BJ54" s="684"/>
      <c r="BK54" s="669" t="str">
        <f ca="1">TabTRADER[[#This Row],[ClickTick]]&amp;": "&amp;_xlfn.XLOOKUP(TabTRADER[[#This Row],[ClickTick]],TabCalc[Ticker],TabCalc[Pile?])</f>
        <v>XPER: Pile</v>
      </c>
      <c r="BL54" s="351" t="s">
        <v>2020</v>
      </c>
      <c r="BM54" s="755" t="str" cm="1">
        <f t="array" aca="1" ref="BM54" ca="1">_xlfn.TEXTJOIN("",,INDEX({"M","A","Y"}, _xlfn.SORTBY({1,2,3}, -CHOOSE({1,2,3}, TabTRADER[[#This Row],[M]], TabTRADER[[#This Row],[A]], TabTRADER[[#This Row],[Agiotage]]))))</f>
        <v>AMY</v>
      </c>
      <c r="BN54" s="902"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0.17047451669595776</v>
      </c>
      <c r="BO54" s="679" t="e">
        <f ca="1">TabTRADER[[#This Row],[L_Sn]]*TabTRADER[[#This Row],[L_Sp]]+TabTRADER[[#This Row],[SellMore]]*TabTRADER[[#This Row],[M]]</f>
        <v>#N/A</v>
      </c>
      <c r="BP54" s="679" t="e">
        <f ca="1">INDEX(
  INDEX(TabConsolid[], , _xlfn.XMATCH(TabTRADER[[#This Row],[ClickTick]]&amp;1, TabConsolid[#Headers])),
  MATCH(
    -TabTRADER[[#This Row],[M]],
    INDEX(TabConsolid[], , _xlfn.XMATCH(TabTRADER[[#This Row],[ClickTick]]&amp;2, TabConsolid[#Headers])),
    -1
  )
)</f>
        <v>#N/A</v>
      </c>
      <c r="BQ54" s="679"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44" t="e">
        <f ca="1">TabTRADER[[#This Row],[ReBuy]]/(TabTRADER[[#This Row],[L_Sn]]+TabTRADER[[#This Row],[SellMore]])</f>
        <v>#N/A</v>
      </c>
      <c r="BS54" s="687">
        <f ca="1">((_xlfn.XLOOKUP(TabTRADER[[#This Row],[ClickTick]],TabCalc[Ticker],TabCalc[NAfter])+TabTRADER[[#This Row],[L_Sn]])*(TabTRADER[[#This Row],[Agiotage]]-TabTRADER[[#This Row],[M]]))/(TabTRADER[[#This Row],[L_Sn]]*_xlfn.XLOOKUP(TabTRADER[[#This Row],[ClickTick]],TabCalc[Ticker],TabCalc[NAfter]))</f>
        <v>-1.2617507752632749E-3</v>
      </c>
      <c r="BT54" s="687">
        <f ca="1">(TabTRADER[[#This Row],[M]]-TabTRADER[[#This Row],[Agiotage]])/(TabTRADER[[#This Row],[M]]-TabTRADER[[#This Row],[A]])-1</f>
        <v>-3.0497312291736418</v>
      </c>
      <c r="BU54" s="1262">
        <f ca="1">_xlfn.XMATCH(TabTRADER[[#This Row],[ClickTick]]&amp;1, TabConsolid[#Headers])</f>
        <v>158</v>
      </c>
      <c r="BV54" t="str">
        <f ca="1">IF(ABS(TabTRADER[[#This Row],[L_Bp]])&gt;=TabTRADER[[#This Row],[M]],"OK")</f>
        <v>OK</v>
      </c>
    </row>
    <row r="55" spans="1:74" hidden="1"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-5,406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-39.3%</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-6,440$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2.2286773255813959</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75658.671999999991</v>
      </c>
      <c r="M55" s="323">
        <f ca="1">_xlfn.XLOOKUP(TabTRADER[[#This Row],[ClickTick]],TabCalc[Ticker],TabCalc[Agiotage])</f>
        <v>0.55366568914956016</v>
      </c>
      <c r="N55" s="324" cm="1">
        <f t="array" aca="1" ref="N55" ca="1">_xlfn.XLOOKUP(TabTRADER[[#This Row],[ClickTick]],ListTickers,Tab2RSIConventional[RSIConv20])</f>
        <v>36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-0.2820518707088121</v>
      </c>
      <c r="S55" s="683">
        <f ca="1">_xlfn.XLOOKUP(TabTRADER[[#This Row],[ClickTick]],TabCalc[Ticker],TabCalc[Rev(MinStock)])*(1-Commission)</f>
        <v>-5391.675102000002</v>
      </c>
      <c r="T55" s="782">
        <f ca="1">_xlfn.XLOOKUP(TabTRADER[[#This Row],[ClickTick]],TabCalc[Ticker],TabCalc[Agiotage])</f>
        <v>0.55366568914956016</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3,030/3,030=&gt;1.2% / 1.2%</v>
      </c>
      <c r="V55" s="739" t="str">
        <f ca="1">_xlfn.XLOOKUP(TabTRADER[[#This Row],[ClickTick]],[1]!RTData[Ticker_Symbol],[1]!RTData[Currency])</f>
        <v>EUR</v>
      </c>
      <c r="W55" s="749">
        <f ca="1">_xlfn.XLOOKUP(TabTRADER[[#This Row],[ClickTick]],TabCalc[Ticker],TabCalc[M])</f>
        <v>0.68799999999999994</v>
      </c>
      <c r="X55" s="1315"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1.1765000000000001E-2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-294/347 K$</v>
      </c>
      <c r="AE55" s="1182"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65"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65"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65" t="str" cm="1">
        <f t="array" aca="1" ref="AH55" ca="1">_xlfn.IFS(     TabTRADER[[#This Row],[Traps]]=MUp,MIN(TabTRADER[[#This Row],[L_Sn]],TabTRADER[[#This Row],[N]])*(TabTRADER[[#This Row],[M]]-TabTRADER[[#This Row],[L_Sp]])*(1-Commission)*TabTRADER[[#This Row],[Scale]],                                  TRUE,"M= "&amp;TabTRADER[[#This Row],[M]])</f>
        <v>M= 0.688</v>
      </c>
      <c r="AI55" s="1165" t="str" cm="1">
        <f t="array" aca="1" ref="AI55" ca="1">_xlfn.IFS(   TabTRADER[[#This Row],[Traps]]=MUp,TEXT(MIN(TabTRADER[[#This Row],[L_Sn]],TabTRADER[[#This Row],[N]]),"#,#0")&amp;" x "&amp;TEXT(TabTRADER[[#This Row],[L_Sp]],"#,#0.#0"),          TRUE,"")</f>
        <v/>
      </c>
      <c r="AJ55" s="1165"/>
      <c r="AK55" s="1165"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5391.675102000002</v>
      </c>
      <c r="AL55" s="1165"/>
      <c r="AM55" s="1165"/>
      <c r="AN55" s="1165"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347440</v>
      </c>
      <c r="AO55" s="1174"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0.45578554969610918</v>
      </c>
      <c r="AP55" s="1174"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0.39025828488372111</v>
      </c>
      <c r="AQ55" s="825" t="str" cm="1">
        <f t="array" aca="1" ref="AQ55" ca="1">_xlfn.IFS(   TabTRADER[[#This Row],[Traps]]=SellMorePercentGain,                     MIN(TabTRADER[[#This Row],[L_Sn]],TabTRADER[[#This Row],[N]])*(TabTRADER[[#This Row],[M]]-TabTRADER[[#This Row],[L_Sp]])*(1-Commission)*TabTRADER[[#This Row],[Scale]],                    TRUE,"")</f>
        <v/>
      </c>
      <c r="AR55" s="1163">
        <f ca="1">_xlfn.XLOOKUP(TabTRADER[[#This Row],[ClickTick]],TabCalc[Ticker],TabCalc[Ann%RevLB])</f>
        <v>-0.86049723267095213</v>
      </c>
      <c r="AS55" s="1267">
        <f ca="1">_xlfn.XLOOKUP(TabTRADER[[#This Row],[ClickTick]],TabCalc[Ticker],TabCalc[Up20])</f>
        <v>0</v>
      </c>
      <c r="AT55" s="1175"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0.3928582848837211</v>
      </c>
      <c r="AU55" s="825" cm="1">
        <f t="array" aca="1" ref="AU55" ca="1">_xlfn.IFS(         TabTRADER[[#This Row],[Traps]]=MDown,TabTRADER[[#This Row],[L_Bn]]*TabTRADER[[#This Row],[M]]*(-(TabTRADER[[#This Row],[L_Bp]]+TabTRADER[[#This Row],[M]])/TabTRADER[[#This Row],[M]])*(1-Commission)*TabTRADER[[#This Row],[Scale]],                               TRUE,"")</f>
        <v>5391.6751020000011</v>
      </c>
      <c r="AV55" s="1174" cm="1">
        <f t="array" aca="1" ref="AV55" ca="1">_xlfn.IFS(   TabTRADER[[#This Row],[Traps]]=MUp,TabTRADER[[#This Row],[TakeGain_A]]-Commission,        TabTRADER[[#This Row],[Traps]]=MDown,(TabTRADER[[#This Row],[A]]-TabTRADER[[#This Row],[M]])/TabTRADER[[#This Row],[M]]-Commission,                              TRUE,"")</f>
        <v>0.83491092871862782</v>
      </c>
      <c r="AW55" s="825"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290228.23660160764</v>
      </c>
      <c r="AX55" s="760"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55" s="736"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Z55" s="765" cm="1">
        <f t="array" aca="1" ref="AZ55" ca="1">_xlfn.IFS(TabTRADER[[#This Row],[Traps]]=Sale_Back,"",         TabTRADER[[#This Row],[Traps]]=MDown, (TabTRADER[[#This Row],[M]]-TabTRADER[[#This Row],[A]])/TabTRADER[[#This Row],[A]]*ComFactor,             TRUE, IFERROR((TabTRADER[[#This Row],[M]]-TabTRADER[[#This Row],[A]])/TabTRADER[[#This Row],[A]]*ComFactor,""))</f>
        <v>-0.45460050726689927</v>
      </c>
      <c r="BA55" s="762" cm="1">
        <f t="array" aca="1" ref="BA55" ca="1">_xlfn.IFS(               TabTRADER[[#This Row],[Traps]]=NoStock,(TabTRADER[[#This Row],[L_Sp]]-TabTRADER[[#This Row],[M]])/TabTRADER[[#This Row],[M]]-Commission,             TabTRADER[[#This Row],[A]]&lt;&gt;0,(TabTRADER[[#This Row],[A]]-TabTRADER[[#This Row],[M]])/TabTRADER[[#This Row],[M]]-Commission)</f>
        <v>0.83491092871862782</v>
      </c>
      <c r="BB55" s="324">
        <f ca="1">_xlfn.XLOOKUP(TabTRADER[[#This Row],[ClickTick]],TabCalc[Ticker],TabCalc[L_Sn])</f>
        <v>0</v>
      </c>
      <c r="BC55" s="728">
        <f ca="1">_xlfn.XLOOKUP(TabTRADER[[#This Row],[ClickTick]],TabCalc[Ticker],TabCalc[L_Sp])</f>
        <v>0</v>
      </c>
      <c r="BD55" s="764">
        <f ca="1">-IFERROR((TabTRADER[[#This Row],[M]]-TabTRADER[[#This Row],[L_Sp]])/TabTRADER[[#This Row],[L_Sp]],0)</f>
        <v>0</v>
      </c>
      <c r="BE55" s="729">
        <f ca="1">TabTRADER[[#This Row],[L_Sn]]*(TabTRADER[[#This Row],[M]]-TabTRADER[[#This Row],[L_Sp]])*(1-Commission)*TabTRADER[[#This Row],[Scale]]</f>
        <v>0</v>
      </c>
      <c r="BF55" s="692">
        <f ca="1">TabTRADER[[#This Row],[L_Sn]]*(TabTRADER[[#This Row],[Agiotage]]-TabTRADER[[#This Row],[M]])/(TabTRADER[[#This Row],[L_Bn]]*TabTRADER[[#This Row],[M]])</f>
        <v>0</v>
      </c>
      <c r="BG55" s="635">
        <f ca="1">IFERROR((TabTRADER[[#This Row],[M]]-TabTRADER[[#This Row],[A]])/TabTRADER[[#This Row],[A]],0)</f>
        <v>-0.45578554969610918</v>
      </c>
      <c r="BH55" s="638" t="str">
        <f ca="1">TEXT(_xlfn.XLOOKUP(TabTRADER[[#This Row],[ClickTick]],TabCalc[Ticker],TabCalc[NAfter]),"#,#0")&amp;" : "&amp;TEXT(_xlfn.XLOOKUP(TabTRADER[[#This Row],[ClickTick]],TabCalc[Ticker],TabCalc[NAfter])*(TabTRADER[[#This Row],[M]]-TabTRADER[[#This Row],[A]])*(1-Commission)*TabTRADER[[#This Row],[Scale]],"#,#0$")</f>
        <v>505,000 : -290,228$</v>
      </c>
      <c r="BI55" s="684">
        <f ca="1">_xlfn.XLOOKUP(TabTRADER[[#This Row],[ClickTick]],TabCalc[[#This Row],[Ticker]],TabCalc[[#This Row],[GL]])*(1-Commission)</f>
        <v>-292784.82062797179</v>
      </c>
      <c r="BJ55" s="684"/>
      <c r="BK55" s="669" t="str">
        <f ca="1">TabTRADER[[#This Row],[ClickTick]]&amp;": "&amp;_xlfn.XLOOKUP(TabTRADER[[#This Row],[ClickTick]],TabCalc[Ticker],TabCalc[Pile?])</f>
        <v>MVEALDNE: Pile</v>
      </c>
      <c r="BL55" s="351" t="s">
        <v>2021</v>
      </c>
      <c r="BM55" s="755" t="str" cm="1">
        <f t="array" aca="1" ref="BM55" ca="1">_xlfn.TEXTJOIN("",,INDEX({"M","A","Y"}, _xlfn.SORTBY({1,2,3}, -CHOOSE({1,2,3}, TabTRADER[[#This Row],[M]], TabTRADER[[#This Row],[A]], TabTRADER[[#This Row],[Agiotage]]))))</f>
        <v>AMY</v>
      </c>
      <c r="BN55" s="902"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0.3928582848837211</v>
      </c>
      <c r="BO55" s="679" t="e">
        <f ca="1">TabTRADER[[#This Row],[L_Sn]]*TabTRADER[[#This Row],[L_Sp]]+TabTRADER[[#This Row],[SellMore]]*TabTRADER[[#This Row],[M]]</f>
        <v>#N/A</v>
      </c>
      <c r="BP55" s="679" t="e">
        <f ca="1">INDEX(
  INDEX(TabConsolid[], , _xlfn.XMATCH(TabTRADER[[#This Row],[ClickTick]]&amp;1, TabConsolid[#Headers])),
  MATCH(
    -TabTRADER[[#This Row],[M]],
    INDEX(TabConsolid[], , _xlfn.XMATCH(TabTRADER[[#This Row],[ClickTick]]&amp;2, TabConsolid[#Headers])),
    -1
  )
)</f>
        <v>#N/A</v>
      </c>
      <c r="BQ55" s="679"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44" t="e">
        <f ca="1">TabTRADER[[#This Row],[ReBuy]]/(TabTRADER[[#This Row],[L_Sn]]+TabTRADER[[#This Row],[SellMore]])</f>
        <v>#N/A</v>
      </c>
      <c r="BS55" s="687" t="e">
        <f ca="1">((_xlfn.XLOOKUP(TabTRADER[[#This Row],[ClickTick]],TabCalc[Ticker],TabCalc[NAfter])+TabTRADER[[#This Row],[L_Sn]])*(TabTRADER[[#This Row],[Agiotage]]-TabTRADER[[#This Row],[M]]))/(TabTRADER[[#This Row],[L_Sn]]*_xlfn.XLOOKUP(TabTRADER[[#This Row],[ClickTick]],TabCalc[Ticker],TabCalc[NAfter]))</f>
        <v>#DIV/0!</v>
      </c>
      <c r="BT55" s="687">
        <f ca="1">(TabTRADER[[#This Row],[M]]-TabTRADER[[#This Row],[Agiotage]])/(TabTRADER[[#This Row],[M]]-TabTRADER[[#This Row],[A]])-1</f>
        <v>-1.2331352966258924</v>
      </c>
      <c r="BU55" s="1262">
        <f ca="1">_xlfn.XMATCH(TabTRADER[[#This Row],[ClickTick]]&amp;1, TabConsolid[#Headers])</f>
        <v>161</v>
      </c>
      <c r="BV55" t="str">
        <f ca="1">IF(ABS(TabTRADER[[#This Row],[L_Bp]])&gt;=TabTRADER[[#This Row],[M]],"OK")</f>
        <v>OK</v>
      </c>
    </row>
    <row r="56" spans="1:74" hidden="1"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-4,050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-19.8%</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-5,820$</v>
      </c>
      <c r="G56" s="225" t="str">
        <f ca="1">IFERROR(TRUNC(_xlfn.XLOOKUP(TabTRADER[[#This Row],[ClickTick]],TabCalc[Ticker],ListLastSalep),2)&amp;"x"&amp;_xlfn.XLOOKUP(TabTRADER[[#This Row],[ClickTick]],TabCalc[Ticker],ListLastSalen)&amp;"=   "&amp;TEXT(-_xlfn.XLOOKUP(TabTRADER[[#This Row],[ClickTick]],TabCalc[Ticker],ListReverseB),"#,#0")&amp;"$","")</f>
        <v>3.52x5000=   -7,375$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72.1% = 3,390</v>
      </c>
      <c r="I56" s="226" t="str">
        <f ca="1">IFERROR(TRUNC(TabCalc[[#This Row],[L_S1p]],2)&amp;"x"&amp;TabCalc[[#This Row],[L_S1n]]&amp;"=   "&amp;TEXT(TabCalc[[#This Row],[ReverseB1]],"#,#0"),"")</f>
        <v>3.96x5000=   9,576</v>
      </c>
      <c r="J56" s="295">
        <f ca="1">_xlfn.XLOOKUP(TabTRADER[[#This Row],[ClickTick]],TabCalc[Ticker],ListGravity)</f>
        <v>1.5892420537897312</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0.20013259900261549</v>
      </c>
      <c r="N56" s="324" cm="1">
        <f t="array" aca="1" ref="N56" ca="1">_xlfn.XLOOKUP(TabTRADER[[#This Row],[ClickTick]],ListTickers,Tab2RSIConventional[RSIConv20])</f>
        <v>12</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-0.16530612244897969</v>
      </c>
      <c r="S56" s="683">
        <f ca="1">_xlfn.XLOOKUP(TabTRADER[[#This Row],[ClickTick]],TabCalc[Ticker],TabCalc[Rev(MinStock)])*(1-Commission)</f>
        <v>-4039.4700000000021</v>
      </c>
      <c r="T56" s="782">
        <f ca="1">_xlfn.XLOOKUP(TabTRADER[[#This Row],[ClickTick]],TabCalc[Ticker],TabCalc[Agiotage])</f>
        <v>0.20013259900261549</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-550/-550=&gt;-1.7% / -1.7%</v>
      </c>
      <c r="V56" s="739" t="str">
        <f ca="1">_xlfn.XLOOKUP(TabTRADER[[#This Row],[ClickTick]],[1]!RTData[Ticker_Symbol],[1]!RTData[Currency])</f>
        <v>USD</v>
      </c>
      <c r="W56" s="749">
        <f ca="1">_xlfn.XLOOKUP(TabTRADER[[#This Row],[ClickTick]],TabCalc[Ticker],TabCalc[M])</f>
        <v>2.0449999999999999</v>
      </c>
      <c r="X56" s="1315"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-1.6827000000000002E-2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^7/20 K$</v>
      </c>
      <c r="AE56" s="116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65"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65"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7355.8249999999998</v>
      </c>
      <c r="AH56" s="1165" t="str" cm="1">
        <f t="array" aca="1" ref="AH56" ca="1">_xlfn.IFS(     TabTRADER[[#This Row],[Traps]]=MUp,MIN(TabTRADER[[#This Row],[L_Sn]],TabTRADER[[#This Row],[N]])*(TabTRADER[[#This Row],[M]]-TabTRADER[[#This Row],[L_Sp]])*(1-Commission)*TabTRADER[[#This Row],[Scale]],                                  TRUE,"M= "&amp;TabTRADER[[#This Row],[M]])</f>
        <v>M= 2.045</v>
      </c>
      <c r="AI56" s="1165" t="str" cm="1">
        <f t="array" aca="1" ref="AI56" ca="1">_xlfn.IFS(   TabTRADER[[#This Row],[Traps]]=MUp,TEXT(MIN(TabTRADER[[#This Row],[L_Sn]],TabTRADER[[#This Row],[N]]),"#,#0")&amp;" x "&amp;TEXT(TabTRADER[[#This Row],[L_Sp]],"#,#0.#0"),          TRUE,"")</f>
        <v/>
      </c>
      <c r="AJ56" s="1165"/>
      <c r="AK56" s="1165"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65"/>
      <c r="AM56" s="1165"/>
      <c r="AN56" s="1165"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7355.8249999999998</v>
      </c>
      <c r="AO56" s="1174"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0.41903409090909094</v>
      </c>
      <c r="AP56" s="1174"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TabTRADER[[#This Row],[Traps]]=SellMorePercentGain,                     MIN(TabTRADER[[#This Row],[L_Sn]],TabTRADER[[#This Row],[N]])*(TabTRADER[[#This Row],[M]]-TabTRADER[[#This Row],[L_Sp]])*(1-Commission)*TabTRADER[[#This Row],[Scale]],                    TRUE,"")</f>
        <v/>
      </c>
      <c r="AR56" s="1163">
        <f ca="1">_xlfn.XLOOKUP(TabTRADER[[#This Row],[ClickTick]],TabCalc[Ticker],TabCalc[Ann%RevLB])</f>
        <v>-0.1377551020408164</v>
      </c>
      <c r="AS56" s="1267">
        <f ca="1">_xlfn.XLOOKUP(TabTRADER[[#This Row],[ClickTick]],TabCalc[Ticker],TabCalc[Up20])</f>
        <v>0</v>
      </c>
      <c r="AT56" s="1175"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5" t="str" cm="1">
        <f t="array" aca="1" ref="AU56" ca="1">_xlfn.IFS(         TabTRADER[[#This Row],[Traps]]=MDown,TabTRADER[[#This Row],[L_Bn]]*TabTRADER[[#This Row],[M]]*(-(TabTRADER[[#This Row],[L_Bp]]+TabTRADER[[#This Row],[M]])/TabTRADER[[#This Row],[M]])*(1-Commission)*TabTRADER[[#This Row],[Scale]],                               TRUE,"")</f>
        <v/>
      </c>
      <c r="AV56" s="1174" t="str" cm="1">
        <f t="array" aca="1" ref="AV56" ca="1">_xlfn.IFS(   TabTRADER[[#This Row],[Traps]]=MUp,TabTRADER[[#This Row],[TakeGain_A]]-Commission,        TabTRADER[[#This Row],[Traps]]=MDown,(TabTRADER[[#This Row],[A]]-TabTRADER[[#This Row],[M]])/TabTRADER[[#This Row],[M]]-Commission,                              TRUE,"")</f>
        <v/>
      </c>
      <c r="AW56" s="825"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-4039.4700000000021</v>
      </c>
      <c r="AX56" s="760"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56" s="736"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5" cm="1">
        <f t="array" aca="1" ref="AZ56" ca="1">_xlfn.IFS(TabTRADER[[#This Row],[Traps]]=Sale_Back,"",         TabTRADER[[#This Row],[Traps]]=MDown, (TabTRADER[[#This Row],[M]]-TabTRADER[[#This Row],[A]])/TabTRADER[[#This Row],[A]]*ComFactor,             TRUE, IFERROR((TabTRADER[[#This Row],[M]]-TabTRADER[[#This Row],[A]])/TabTRADER[[#This Row],[A]]*ComFactor,""))</f>
        <v>-0.16487632653061232</v>
      </c>
      <c r="BA56" s="762" cm="1">
        <f t="array" aca="1" ref="BA56" ca="1">_xlfn.IFS(               TabTRADER[[#This Row],[Traps]]=NoStock,(TabTRADER[[#This Row],[L_Sp]]-TabTRADER[[#This Row],[M]])/TabTRADER[[#This Row],[M]]-Commission,             TabTRADER[[#This Row],[A]]&lt;&gt;0,(TabTRADER[[#This Row],[A]]-TabTRADER[[#This Row],[M]])/TabTRADER[[#This Row],[M]]-Commission)</f>
        <v>0.19544400977995124</v>
      </c>
      <c r="BB56" s="324">
        <f ca="1">_xlfn.XLOOKUP(TabTRADER[[#This Row],[ClickTick]],TabCalc[Ticker],TabCalc[L_Sn])</f>
        <v>5000</v>
      </c>
      <c r="BC56" s="728">
        <f ca="1">_xlfn.XLOOKUP(TabTRADER[[#This Row],[ClickTick]],TabCalc[Ticker],TabCalc[L_Sp])</f>
        <v>3.52</v>
      </c>
      <c r="BD56" s="764">
        <f ca="1">-IFERROR((TabTRADER[[#This Row],[M]]-TabTRADER[[#This Row],[L_Sp]])/TabTRADER[[#This Row],[L_Sp]],0)</f>
        <v>0.41903409090909094</v>
      </c>
      <c r="BE56" s="729">
        <f ca="1">TabTRADER[[#This Row],[L_Sn]]*(TabTRADER[[#This Row],[M]]-TabTRADER[[#This Row],[L_Sp]])*(1-Commission)*TabTRADER[[#This Row],[Scale]]</f>
        <v>-7355.8249999999998</v>
      </c>
      <c r="BF56" s="692">
        <f ca="1">TabTRADER[[#This Row],[L_Sn]]*(TabTRADER[[#This Row],[Agiotage]]-TabTRADER[[#This Row],[M]])/(TabTRADER[[#This Row],[L_Bn]]*TabTRADER[[#This Row],[M]])</f>
        <v>-0.45106782420473951</v>
      </c>
      <c r="BG56" s="635">
        <f ca="1">IFERROR((TabTRADER[[#This Row],[M]]-TabTRADER[[#This Row],[A]])/TabTRADER[[#This Row],[A]],0)</f>
        <v>-0.16530612244897969</v>
      </c>
      <c r="BH56" s="638" t="str">
        <f ca="1">TEXT(_xlfn.XLOOKUP(TabTRADER[[#This Row],[ClickTick]],TabCalc[Ticker],TabCalc[NAfter]),"#,#0")&amp;" : "&amp;TEXT(_xlfn.XLOOKUP(TabTRADER[[#This Row],[ClickTick]],TabCalc[Ticker],TabCalc[NAfter])*(TabTRADER[[#This Row],[M]]-TabTRADER[[#This Row],[A]])*(1-Commission)*TabTRADER[[#This Row],[Scale]],"#,#0$")</f>
        <v>10,000 : -4,039$</v>
      </c>
      <c r="BI56" s="684">
        <f ca="1">_xlfn.XLOOKUP(TabTRADER[[#This Row],[ClickTick]],TabCalc[[#This Row],[Ticker]],TabCalc[[#This Row],[GL]])*(1-Commission)</f>
        <v>7354.3010515945953</v>
      </c>
      <c r="BJ56" s="684"/>
      <c r="BK56" s="669" t="str">
        <f ca="1">TabTRADER[[#This Row],[ClickTick]]&amp;": "&amp;_xlfn.XLOOKUP(TabTRADER[[#This Row],[ClickTick]],TabCalc[Ticker],TabCalc[Pile?])</f>
        <v xml:space="preserve">MVEDDD: </v>
      </c>
      <c r="BL56" s="351" t="s">
        <v>2022</v>
      </c>
      <c r="BM56" s="755" t="str" cm="1">
        <f t="array" aca="1" ref="BM56" ca="1">_xlfn.TEXTJOIN("",,INDEX({"M","A","Y"}, _xlfn.SORTBY({1,2,3}, -CHOOSE({1,2,3}, TabTRADER[[#This Row],[M]], TabTRADER[[#This Row],[A]], TabTRADER[[#This Row],[Agiotage]]))))</f>
        <v>AMY</v>
      </c>
      <c r="BN56" s="902"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9" t="e">
        <f ca="1">TabTRADER[[#This Row],[L_Sn]]*TabTRADER[[#This Row],[L_Sp]]+TabTRADER[[#This Row],[SellMore]]*TabTRADER[[#This Row],[M]]</f>
        <v>#N/A</v>
      </c>
      <c r="BP56" s="679" t="e">
        <f ca="1">INDEX(
  INDEX(TabConsolid[], , _xlfn.XMATCH(TabTRADER[[#This Row],[ClickTick]]&amp;1, TabConsolid[#Headers])),
  MATCH(
    -TabTRADER[[#This Row],[M]],
    INDEX(TabConsolid[], , _xlfn.XMATCH(TabTRADER[[#This Row],[ClickTick]]&amp;2, TabConsolid[#Headers])),
    -1
  )
)</f>
        <v>#N/A</v>
      </c>
      <c r="BQ56" s="679"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44" t="e">
        <f ca="1">TabTRADER[[#This Row],[ReBuy]]/(TabTRADER[[#This Row],[L_Sn]]+TabTRADER[[#This Row],[SellMore]])</f>
        <v>#N/A</v>
      </c>
      <c r="BS56" s="687">
        <f ca="1">((_xlfn.XLOOKUP(TabTRADER[[#This Row],[ClickTick]],TabCalc[Ticker],TabCalc[NAfter])+TabTRADER[[#This Row],[L_Sn]])*(TabTRADER[[#This Row],[Agiotage]]-TabTRADER[[#This Row],[M]]))/(TabTRADER[[#This Row],[L_Sn]]*_xlfn.XLOOKUP(TabTRADER[[#This Row],[ClickTick]],TabCalc[Ticker],TabCalc[NAfter]))</f>
        <v>-5.5346022029921537E-4</v>
      </c>
      <c r="BT56" s="687">
        <f ca="1">(TabTRADER[[#This Row],[M]]-TabTRADER[[#This Row],[Agiotage]])/(TabTRADER[[#This Row],[M]]-TabTRADER[[#This Row],[A]])-1</f>
        <v>-5.555228150610823</v>
      </c>
      <c r="BU56" s="1262">
        <f ca="1">_xlfn.XMATCH(TabTRADER[[#This Row],[ClickTick]]&amp;1, TabConsolid[#Headers])</f>
        <v>164</v>
      </c>
      <c r="BV56" t="str">
        <f ca="1">IF(ABS(TabTRADER[[#This Row],[L_Bp]])&gt;=TabTRADER[[#This Row],[M]],"OK")</f>
        <v>OK</v>
      </c>
    </row>
    <row r="57" spans="1:74" hidden="1"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-10,260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-29.3%</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-3,990$</v>
      </c>
      <c r="G57" s="225" t="str">
        <f ca="1">IFERROR(TRUNC(_xlfn.XLOOKUP(TabTRADER[[#This Row],[ClickTick]],TabCalc[Ticker],ListLastSalep),2)&amp;"x"&amp;_xlfn.XLOOKUP(TabTRADER[[#This Row],[ClickTick]],TabCalc[Ticker],ListLastSalen)&amp;"=   "&amp;TEXT(-_xlfn.XLOOKUP(TabTRADER[[#This Row],[ClickTick]],TabCalc[Ticker],ListReverseB),"#,#0")&amp;"$","")</f>
        <v>40.01x1000=   -16,630$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71.1% = 301</v>
      </c>
      <c r="I57" s="226" t="str">
        <f ca="1">IFERROR(TRUNC(TabCalc[[#This Row],[L_S1p]],2)&amp;"x"&amp;TabCalc[[#This Row],[L_S1n]]&amp;"=   "&amp;TEXT(TabCalc[[#This Row],[ReverseB1]],"#,#0"),"")</f>
        <v>40.59x1000=   17,215</v>
      </c>
      <c r="J57" s="295">
        <f ca="1">_xlfn.XLOOKUP(TabTRADER[[#This Row],[ClickTick]],TabCalc[Ticker],ListGravity)</f>
        <v>1.363463644140291</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233800</v>
      </c>
      <c r="M57" s="323">
        <f ca="1">_xlfn.XLOOKUP(TabTRADER[[#This Row],[ClickTick]],TabCalc[Ticker],TabCalc[Agiotage])</f>
        <v>1.4375302511891848</v>
      </c>
      <c r="N57" s="324" cm="1">
        <f t="array" aca="1" ref="N57" ca="1">_xlfn.XLOOKUP(TabTRADER[[#This Row],[ClickTick]],ListTickers,Tab2RSIConventional[RSIConv20])</f>
        <v>4</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-0.22634017207147586</v>
      </c>
      <c r="S57" s="683">
        <f ca="1">_xlfn.XLOOKUP(TabTRADER[[#This Row],[ClickTick]],TabCalc[Ticker],TabCalc[Rev(MinStock)])*(1-Commission)</f>
        <v>-10233.323999999999</v>
      </c>
      <c r="T57" s="782">
        <f ca="1">_xlfn.XLOOKUP(TabTRADER[[#This Row],[ClickTick]],TabCalc[Ticker],TabCalc[Agiotage])</f>
        <v>1.4375302511891848</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2,160/2,160=&gt;0.9% / 0.9%</v>
      </c>
      <c r="V57" s="739" t="str">
        <f ca="1">_xlfn.XLOOKUP(TabTRADER[[#This Row],[ClickTick]],[1]!RTData[Ticker_Symbol],[1]!RTData[Currency])</f>
        <v>EUR</v>
      </c>
      <c r="W57" s="749">
        <f ca="1">_xlfn.XLOOKUP(TabTRADER[[#This Row],[ClickTick]],TabCalc[Ticker],TabCalc[M])</f>
        <v>23.38</v>
      </c>
      <c r="X57" s="1315"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8.6280000000000003E-3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-121/281 K$</v>
      </c>
      <c r="AE57" s="1182"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65"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23.38, -41.6%</v>
      </c>
      <c r="AG57" s="1165"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65" t="str" cm="1">
        <f t="array" aca="1" ref="AH57" ca="1">_xlfn.IFS(     TabTRADER[[#This Row],[Traps]]=MUp,MIN(TabTRADER[[#This Row],[L_Sn]],TabTRADER[[#This Row],[N]])*(TabTRADER[[#This Row],[M]]-TabTRADER[[#This Row],[L_Sp]])*(1-Commission)*TabTRADER[[#This Row],[Scale]],                                  TRUE,"M= "&amp;TabTRADER[[#This Row],[M]])</f>
        <v>M= 23.38</v>
      </c>
      <c r="AI57" s="1165" t="str" cm="1">
        <f t="array" aca="1" ref="AI57" ca="1">_xlfn.IFS(   TabTRADER[[#This Row],[Traps]]=MUp,TEXT(MIN(TabTRADER[[#This Row],[L_Sn]],TabTRADER[[#This Row],[N]]),"#,#0")&amp;" x "&amp;TEXT(TabTRADER[[#This Row],[L_Sp]],"#,#0.#0"),          TRUE,"")</f>
        <v/>
      </c>
      <c r="AJ57" s="1165"/>
      <c r="AK57" s="1165"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10233.323999999999</v>
      </c>
      <c r="AL57" s="1165"/>
      <c r="AM57" s="1165"/>
      <c r="AN57" s="1165"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280560</v>
      </c>
      <c r="AO57" s="1174"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0.30494240059457461</v>
      </c>
      <c r="AP57" s="1174"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0.28995774165953808</v>
      </c>
      <c r="AQ57" s="825" t="str" cm="1">
        <f t="array" aca="1" ref="AQ57" ca="1">_xlfn.IFS(   TabTRADER[[#This Row],[Traps]]=SellMorePercentGain,                     MIN(TabTRADER[[#This Row],[L_Sn]],TabTRADER[[#This Row],[N]])*(TabTRADER[[#This Row],[M]]-TabTRADER[[#This Row],[L_Sp]])*(1-Commission)*TabTRADER[[#This Row],[Scale]],                    TRUE,"")</f>
        <v/>
      </c>
      <c r="AR57" s="1163">
        <f ca="1">_xlfn.XLOOKUP(TabTRADER[[#This Row],[ClickTick]],TabCalc[Ticker],TabCalc[Ann%RevLB])</f>
        <v>-0.55809905442281715</v>
      </c>
      <c r="AS57" s="1267">
        <f ca="1">_xlfn.XLOOKUP(TabTRADER[[#This Row],[ClickTick]],TabCalc[Ticker],TabCalc[Up20])</f>
        <v>0</v>
      </c>
      <c r="AT57" s="1175"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0.29255774165953807</v>
      </c>
      <c r="AU57" s="825" cm="1">
        <f t="array" aca="1" ref="AU57" ca="1">_xlfn.IFS(         TabTRADER[[#This Row],[Traps]]=MDown,TabTRADER[[#This Row],[L_Bn]]*TabTRADER[[#This Row],[M]]*(-(TabTRADER[[#This Row],[L_Bp]]+TabTRADER[[#This Row],[M]])/TabTRADER[[#This Row],[M]])*(1-Commission)*TabTRADER[[#This Row],[Scale]],                               TRUE,"")</f>
        <v>10233.323999999999</v>
      </c>
      <c r="AV57" s="1174" cm="1">
        <f t="array" aca="1" ref="AV57" ca="1">_xlfn.IFS(   TabTRADER[[#This Row],[Traps]]=MUp,TabTRADER[[#This Row],[TakeGain_A]]-Commission,        TabTRADER[[#This Row],[Traps]]=MDown,(TabTRADER[[#This Row],[A]]-TabTRADER[[#This Row],[M]])/TabTRADER[[#This Row],[M]]-Commission,                              TRUE,"")</f>
        <v>0.43612968349016273</v>
      </c>
      <c r="AW57" s="760"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122769.96600000004</v>
      </c>
      <c r="AX57" s="760"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57" s="736"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-6.84</v>
      </c>
      <c r="AZ57" s="765" cm="1">
        <f t="array" aca="1" ref="AZ57" ca="1">_xlfn.IFS(TabTRADER[[#This Row],[Traps]]=Sale_Back,"",         TabTRADER[[#This Row],[Traps]]=MDown, (TabTRADER[[#This Row],[M]]-TabTRADER[[#This Row],[A]])/TabTRADER[[#This Row],[A]]*ComFactor,             TRUE, IFERROR((TabTRADER[[#This Row],[M]]-TabTRADER[[#This Row],[A]])/TabTRADER[[#This Row],[A]]*ComFactor,""))</f>
        <v>-0.30414955035302871</v>
      </c>
      <c r="BA57" s="762" cm="1">
        <f t="array" aca="1" ref="BA57" ca="1">_xlfn.IFS(               TabTRADER[[#This Row],[Traps]]=NoStock,(TabTRADER[[#This Row],[L_Sp]]-TabTRADER[[#This Row],[M]])/TabTRADER[[#This Row],[M]]-Commission,             TabTRADER[[#This Row],[A]]&lt;&gt;0,(TabTRADER[[#This Row],[A]]-TabTRADER[[#This Row],[M]])/TabTRADER[[#This Row],[M]]-Commission)</f>
        <v>0.43612968349016273</v>
      </c>
      <c r="BB57" s="324">
        <f ca="1">_xlfn.XLOOKUP(TabTRADER[[#This Row],[ClickTick]],TabCalc[Ticker],TabCalc[L_Sn])</f>
        <v>1000</v>
      </c>
      <c r="BC57" s="728">
        <f ca="1">_xlfn.XLOOKUP(TabTRADER[[#This Row],[ClickTick]],TabCalc[Ticker],TabCalc[L_Sp])</f>
        <v>40.01</v>
      </c>
      <c r="BD57" s="764">
        <f ca="1">-IFERROR((TabTRADER[[#This Row],[M]]-TabTRADER[[#This Row],[L_Sp]])/TabTRADER[[#This Row],[L_Sp]],0)</f>
        <v>0.41564608847788054</v>
      </c>
      <c r="BE57" s="729">
        <f ca="1">TabTRADER[[#This Row],[L_Sn]]*(TabTRADER[[#This Row],[M]]-TabTRADER[[#This Row],[L_Sp]])*(1-Commission)*TabTRADER[[#This Row],[Scale]]</f>
        <v>-16586.761999999999</v>
      </c>
      <c r="BF57" s="692">
        <f ca="1">TabTRADER[[#This Row],[L_Sn]]*(TabTRADER[[#This Row],[Agiotage]]-TabTRADER[[#This Row],[M]])/(TabTRADER[[#This Row],[L_Bn]]*TabTRADER[[#This Row],[M]])</f>
        <v>-0.62567635440008029</v>
      </c>
      <c r="BG57" s="635">
        <f ca="1">IFERROR((TabTRADER[[#This Row],[M]]-TabTRADER[[#This Row],[A]])/TabTRADER[[#This Row],[A]],0)</f>
        <v>-0.30494240059457461</v>
      </c>
      <c r="BH57" s="638" t="str">
        <f ca="1">TEXT(_xlfn.XLOOKUP(TabTRADER[[#This Row],[ClickTick]],TabCalc[Ticker],TabCalc[NAfter]),"#,#0")&amp;" : "&amp;TEXT(_xlfn.XLOOKUP(TabTRADER[[#This Row],[ClickTick]],TabCalc[Ticker],TabCalc[NAfter])*(TabTRADER[[#This Row],[M]]-TabTRADER[[#This Row],[A]])*(1-Commission)*TabTRADER[[#This Row],[Scale]],"#,#0$")</f>
        <v>12,000 : -122,770$</v>
      </c>
      <c r="BI57" s="684">
        <f ca="1">_xlfn.XLOOKUP(TabTRADER[[#This Row],[ClickTick]],TabCalc[[#This Row],[Ticker]],TabCalc[[#This Row],[GL]])*(1-Commission)</f>
        <v>-120441.71047400302</v>
      </c>
      <c r="BJ57" s="684"/>
      <c r="BK57" s="669" t="str">
        <f ca="1">TabTRADER[[#This Row],[ClickTick]]&amp;": "&amp;_xlfn.XLOOKUP(TabTRADER[[#This Row],[ClickTick]],TabCalc[Ticker],TabCalc[Pile?])</f>
        <v>MVEDSY: Pile</v>
      </c>
      <c r="BL57" s="351" t="s">
        <v>2023</v>
      </c>
      <c r="BM57" s="755" t="str" cm="1">
        <f t="array" aca="1" ref="BM57" ca="1">_xlfn.TEXTJOIN("",,INDEX({"M","A","Y"}, _xlfn.SORTBY({1,2,3}, -CHOOSE({1,2,3}, TabTRADER[[#This Row],[M]], TabTRADER[[#This Row],[A]], TabTRADER[[#This Row],[Agiotage]]))))</f>
        <v>AMY</v>
      </c>
      <c r="BN57" s="902"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0.29255774165953807</v>
      </c>
      <c r="BO57" s="679" t="e">
        <f ca="1">TabTRADER[[#This Row],[L_Sn]]*TabTRADER[[#This Row],[L_Sp]]+TabTRADER[[#This Row],[SellMore]]*TabTRADER[[#This Row],[M]]</f>
        <v>#N/A</v>
      </c>
      <c r="BP57" s="679" t="e">
        <f ca="1">INDEX(
  INDEX(TabConsolid[], , _xlfn.XMATCH(TabTRADER[[#This Row],[ClickTick]]&amp;1, TabConsolid[#Headers])),
  MATCH(
    -TabTRADER[[#This Row],[M]],
    INDEX(TabConsolid[], , _xlfn.XMATCH(TabTRADER[[#This Row],[ClickTick]]&amp;2, TabConsolid[#Headers])),
    -1
  )
)</f>
        <v>#N/A</v>
      </c>
      <c r="BQ57" s="679"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44" t="e">
        <f ca="1">TabTRADER[[#This Row],[ReBuy]]/(TabTRADER[[#This Row],[L_Sn]]+TabTRADER[[#This Row],[SellMore]])</f>
        <v>#N/A</v>
      </c>
      <c r="BS57" s="687">
        <f ca="1">((_xlfn.XLOOKUP(TabTRADER[[#This Row],[ClickTick]],TabCalc[Ticker],TabCalc[NAfter])+TabTRADER[[#This Row],[L_Sn]])*(TabTRADER[[#This Row],[Agiotage]]-TabTRADER[[#This Row],[M]]))/(TabTRADER[[#This Row],[L_Sn]]*_xlfn.XLOOKUP(TabTRADER[[#This Row],[ClickTick]],TabCalc[Ticker],TabCalc[NAfter]))</f>
        <v>-2.3771008894545049E-2</v>
      </c>
      <c r="BT57" s="687">
        <f ca="1">(TabTRADER[[#This Row],[M]]-TabTRADER[[#This Row],[Agiotage]])/(TabTRADER[[#This Row],[M]]-TabTRADER[[#This Row],[A]])-1</f>
        <v>-3.13916351438565</v>
      </c>
      <c r="BU57" s="1262">
        <f ca="1">_xlfn.XMATCH(TabTRADER[[#This Row],[ClickTick]]&amp;1, TabConsolid[#Headers])</f>
        <v>167</v>
      </c>
      <c r="BV57" t="str">
        <f ca="1">IF(ABS(TabTRADER[[#This Row],[L_Bp]])&gt;=TabTRADER[[#This Row],[M]],"OK")</f>
        <v>OK</v>
      </c>
    </row>
    <row r="58" spans="1:74" hidden="1"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27.7%</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46$</v>
      </c>
      <c r="G58" s="225" t="str">
        <f ca="1">IFERROR(TRUNC(_xlfn.XLOOKUP(TabTRADER[[#This Row],[ClickTick]],TabCalc[Ticker],ListLastSalep),2)&amp;"x"&amp;_xlfn.XLOOKUP(TabTRADER[[#This Row],[ClickTick]],TabCalc[Ticker],ListLastSalen)&amp;"=   "&amp;TEXT(-_xlfn.XLOOKUP(TabTRADER[[#This Row],[ClickTick]],TabCalc[Ticker],ListReverseB),"#,#0")&amp;"$","")</f>
        <v>12.56x2990=   8,193$</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-17.9% = 0</v>
      </c>
      <c r="I58" s="226" t="str">
        <f ca="1">IFERROR(TRUNC(TabCalc[[#This Row],[L_S1p]],2)&amp;"x"&amp;TabCalc[[#This Row],[L_S1n]]&amp;"=   "&amp;TEXT(TabCalc[[#This Row],[ReverseB1]],"#,#0"),"")</f>
        <v>11.65x3000=   -10,946</v>
      </c>
      <c r="J58" s="295">
        <f ca="1">_xlfn.XLOOKUP(TabTRADER[[#This Row],[ClickTick]],TabCalc[Ticker],ListGravity)</f>
        <v>1.1058555555555554</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3.4286087467618696E-4</v>
      </c>
      <c r="N58" s="324" cm="1">
        <f t="array" aca="1" ref="N58" ca="1">_xlfn.XLOOKUP(TabTRADER[[#This Row],[ClickTick]],ListTickers,Tab2RSIConventional[RSIConv20])</f>
        <v>38</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0.3833634719710669</v>
      </c>
      <c r="S58" s="683">
        <f ca="1">_xlfn.XLOOKUP(TabTRADER[[#This Row],[ClickTick]],TabCalc[Ticker],TabCalc[Rev(MinStock)])*(1-Commission)</f>
        <v>42.289760000000001</v>
      </c>
      <c r="T58" s="782">
        <f ca="1">_xlfn.XLOOKUP(TabTRADER[[#This Row],[ClickTick]],TabCalc[Ticker],TabCalc[Agiotage])</f>
        <v>3.4286087467618696E-4</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58" s="739" t="str">
        <f ca="1">_xlfn.XLOOKUP(TabTRADER[[#This Row],[ClickTick]],[1]!RTData[Ticker_Symbol],[1]!RTData[Currency])</f>
        <v>EUR</v>
      </c>
      <c r="W58" s="749">
        <f ca="1">_xlfn.XLOOKUP(TabTRADER[[#This Row],[ClickTick]],TabCalc[Ticker],TabCalc[M])</f>
        <v>15.3</v>
      </c>
      <c r="X58" s="1315"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-2.6079999999999996E-3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6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65"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 21.8%</v>
      </c>
      <c r="AG58" s="1165"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65" cm="1">
        <f t="array" aca="1" ref="AH58" ca="1">_xlfn.IFS(     TabTRADER[[#This Row],[Traps]]=MUp,MIN(TabTRADER[[#This Row],[L_Sn]],TabTRADER[[#This Row],[N]])*(TabTRADER[[#This Row],[M]]-TabTRADER[[#This Row],[L_Sp]])*(1-Commission)*TabTRADER[[#This Row],[Scale]],                                  TRUE,"M= "&amp;TabTRADER[[#This Row],[M]])</f>
        <v>27.328760000000003</v>
      </c>
      <c r="AI58" s="1165" t="str" cm="1">
        <f t="array" aca="1" ref="AI58" ca="1">_xlfn.IFS(   TabTRADER[[#This Row],[Traps]]=MUp,TEXT(MIN(TabTRADER[[#This Row],[L_Sn]],TabTRADER[[#This Row],[N]]),"#,#0")&amp;" x "&amp;TEXT(TabTRADER[[#This Row],[L_Sp]],"#,#0.#0"),          TRUE,"")</f>
        <v>10 x 12.56</v>
      </c>
      <c r="AJ58" s="1165"/>
      <c r="AK58" s="1165"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27.328760000000003</v>
      </c>
      <c r="AL58" s="1165"/>
      <c r="AM58" s="1165"/>
      <c r="AN58" s="1165"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42.289760000000001</v>
      </c>
      <c r="AO58" s="1174"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0.3833634719710669</v>
      </c>
      <c r="AP58" s="1174"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0.17648496732026145</v>
      </c>
      <c r="AQ58" s="825" cm="1">
        <f t="array" aca="1" ref="AQ58" ca="1">_xlfn.IFS(   TabTRADER[[#This Row],[Traps]]=SellMorePercentGain,                     MIN(TabTRADER[[#This Row],[L_Sn]],TabTRADER[[#This Row],[N]])*(TabTRADER[[#This Row],[M]]-TabTRADER[[#This Row],[L_Sp]])*(1-Commission)*TabTRADER[[#This Row],[Scale]],                    TRUE,"")</f>
        <v>27.328760000000003</v>
      </c>
      <c r="AR58" s="1163">
        <f ca="1">_xlfn.XLOOKUP(TabTRADER[[#This Row],[ClickTick]],TabCalc[Ticker],TabCalc[Ann%RevLB])</f>
        <v>0.45698956923703338</v>
      </c>
      <c r="AS58" s="1163">
        <f ca="1">_xlfn.XLOOKUP(TabTRADER[[#This Row],[ClickTick]],TabCalc[Ticker],TabCalc[Up20])</f>
        <v>0</v>
      </c>
      <c r="AT58" s="1175"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5" t="str" cm="1">
        <f t="array" aca="1" ref="AU58" ca="1">_xlfn.IFS(         TabTRADER[[#This Row],[Traps]]=MDown,TabTRADER[[#This Row],[L_Bn]]*TabTRADER[[#This Row],[M]]*(-(TabTRADER[[#This Row],[L_Bp]]+TabTRADER[[#This Row],[M]])/TabTRADER[[#This Row],[M]])*(1-Commission)*TabTRADER[[#This Row],[Scale]],                               TRUE,"")</f>
        <v/>
      </c>
      <c r="AV58" s="1174" cm="1">
        <f t="array" aca="1" ref="AV58" ca="1">_xlfn.IFS(   TabTRADER[[#This Row],[Traps]]=MUp,TabTRADER[[#This Row],[TakeGain_A]]-Commission,        TabTRADER[[#This Row],[Traps]]=MDown,(TabTRADER[[#This Row],[A]]-TabTRADER[[#This Row],[M]])/TabTRADER[[#This Row],[M]]-Commission,                              TRUE,"")</f>
        <v>0.38076347197106691</v>
      </c>
      <c r="AW58" s="825"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58.502109222423144</v>
      </c>
      <c r="AX58" s="760"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8" s="736"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10x4.24</v>
      </c>
      <c r="AZ58" s="765" cm="1">
        <f t="array" aca="1" ref="AZ58" ca="1">_xlfn.IFS(TabTRADER[[#This Row],[Traps]]=Sale_Back,"",         TabTRADER[[#This Row],[Traps]]=MDown, (TabTRADER[[#This Row],[M]]-TabTRADER[[#This Row],[A]])/TabTRADER[[#This Row],[A]]*ComFactor,             TRUE, IFERROR((TabTRADER[[#This Row],[M]]-TabTRADER[[#This Row],[A]])/TabTRADER[[#This Row],[A]]*ComFactor,""))</f>
        <v>0.38236672694394214</v>
      </c>
      <c r="BA58" s="762" cm="1">
        <f t="array" aca="1" ref="BA58" ca="1">_xlfn.IFS(               TabTRADER[[#This Row],[Traps]]=NoStock,(TabTRADER[[#This Row],[L_Sp]]-TabTRADER[[#This Row],[M]])/TabTRADER[[#This Row],[M]]-Commission,             TabTRADER[[#This Row],[A]]&lt;&gt;0,(TabTRADER[[#This Row],[A]]-TabTRADER[[#This Row],[M]])/TabTRADER[[#This Row],[M]]-Commission)</f>
        <v>-0.27972418300653595</v>
      </c>
      <c r="BB58" s="324">
        <f ca="1">_xlfn.XLOOKUP(TabTRADER[[#This Row],[ClickTick]],TabCalc[Ticker],TabCalc[L_Sn])</f>
        <v>2990</v>
      </c>
      <c r="BC58" s="728">
        <f ca="1">_xlfn.XLOOKUP(TabTRADER[[#This Row],[ClickTick]],TabCalc[Ticker],TabCalc[L_Sp])</f>
        <v>12.56</v>
      </c>
      <c r="BD58" s="764">
        <f ca="1">-IFERROR((TabTRADER[[#This Row],[M]]-TabTRADER[[#This Row],[L_Sp]])/TabTRADER[[#This Row],[L_Sp]],0)</f>
        <v>-0.21815286624203822</v>
      </c>
      <c r="BE58" s="729">
        <f ca="1">TabTRADER[[#This Row],[L_Sn]]*(TabTRADER[[#This Row],[M]]-TabTRADER[[#This Row],[L_Sp]])*(1-Commission)*TabTRADER[[#This Row],[Scale]]</f>
        <v>8171.2992400000003</v>
      </c>
      <c r="BF58" s="692">
        <f ca="1">TabTRADER[[#This Row],[L_Sn]]*(TabTRADER[[#This Row],[Agiotage]]-TabTRADER[[#This Row],[M]])/(TabTRADER[[#This Row],[L_Bn]]*TabTRADER[[#This Row],[M]])</f>
        <v>-0.49832216607826491</v>
      </c>
      <c r="BG58" s="635">
        <f ca="1">IFERROR((TabTRADER[[#This Row],[M]]-TabTRADER[[#This Row],[A]])/TabTRADER[[#This Row],[A]],0)</f>
        <v>0.3833634719710669</v>
      </c>
      <c r="BH58" s="638" t="str">
        <f ca="1">TEXT(_xlfn.XLOOKUP(TabTRADER[[#This Row],[ClickTick]],TabCalc[Ticker],TabCalc[NAfter]),"#,#0")&amp;" : "&amp;TEXT(_xlfn.XLOOKUP(TabTRADER[[#This Row],[ClickTick]],TabCalc[Ticker],TabCalc[NAfter])*(TabTRADER[[#This Row],[M]]-TabTRADER[[#This Row],[A]])*(1-Commission)*TabTRADER[[#This Row],[Scale]],"#,#0$")</f>
        <v>10 : 42$</v>
      </c>
      <c r="BI58" s="684">
        <f ca="1">_xlfn.XLOOKUP(TabTRADER[[#This Row],[ClickTick]],TabCalc[[#This Row],[Ticker]],TabCalc[[#This Row],[GL]])*(1-Commission)</f>
        <v>18111.969025457416</v>
      </c>
      <c r="BJ58" s="684"/>
      <c r="BK58" s="669" t="str">
        <f ca="1">TabTRADER[[#This Row],[ClickTick]]&amp;": "&amp;_xlfn.XLOOKUP(TabTRADER[[#This Row],[ClickTick]],TabCalc[Ticker],TabCalc[Pile?])</f>
        <v>MVEEOAN: Pile</v>
      </c>
      <c r="BL58" s="351" t="s">
        <v>2024</v>
      </c>
      <c r="BM58" s="755" t="str" cm="1">
        <f t="array" aca="1" ref="BM58" ca="1">_xlfn.TEXTJOIN("",,INDEX({"M","A","Y"}, _xlfn.SORTBY({1,2,3}, -CHOOSE({1,2,3}, TabTRADER[[#This Row],[M]], TabTRADER[[#This Row],[A]], TabTRADER[[#This Row],[Agiotage]]))))</f>
        <v>MAY</v>
      </c>
      <c r="BN58" s="902"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0.17908496732026144</v>
      </c>
      <c r="BO58" s="679">
        <f ca="1">TabTRADER[[#This Row],[L_Sn]]*TabTRADER[[#This Row],[L_Sp]]+TabTRADER[[#This Row],[SellMore]]*TabTRADER[[#This Row],[M]]</f>
        <v>37707.4</v>
      </c>
      <c r="BP58" s="679">
        <f ca="1">INDEX(
  INDEX(TabConsolid[], , _xlfn.XMATCH(TabTRADER[[#This Row],[ClickTick]]&amp;1, TabConsolid[#Headers])),
  MATCH(
    -TabTRADER[[#This Row],[M]],
    INDEX(TabConsolid[], , _xlfn.XMATCH(TabTRADER[[#This Row],[ClickTick]]&amp;2, TabConsolid[#Headers])),
    -1
  )
)</f>
        <v>10</v>
      </c>
      <c r="BQ58" s="679"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44">
        <f ca="1">TabTRADER[[#This Row],[ReBuy]]/(TabTRADER[[#This Row],[L_Sn]]+TabTRADER[[#This Row],[SellMore]])</f>
        <v>12.569133333333333</v>
      </c>
      <c r="BS58" s="687">
        <f ca="1">((_xlfn.XLOOKUP(TabTRADER[[#This Row],[ClickTick]],TabCalc[Ticker],TabCalc[NAfter])+TabTRADER[[#This Row],[L_Sn]])*(TabTRADER[[#This Row],[Agiotage]]-TabTRADER[[#This Row],[M]]))/(TabTRADER[[#This Row],[L_Sn]]*_xlfn.XLOOKUP(TabTRADER[[#This Row],[ClickTick]],TabCalc[Ticker],TabCalc[NAfter]))</f>
        <v>-1.5350826560995308</v>
      </c>
      <c r="BT58" s="687">
        <f ca="1">(TabTRADER[[#This Row],[M]]-TabTRADER[[#This Row],[Agiotage]])/(TabTRADER[[#This Row],[M]]-TabTRADER[[#This Row],[A]])-1</f>
        <v>2.6084097026238973</v>
      </c>
      <c r="BU58" s="1262">
        <f ca="1">_xlfn.XMATCH(TabTRADER[[#This Row],[ClickTick]]&amp;1, TabConsolid[#Headers])</f>
        <v>170</v>
      </c>
      <c r="BV58" t="b">
        <f ca="1">IF(ABS(TabTRADER[[#This Row],[L_Bp]])&gt;=TabTRADER[[#This Row],[M]],"OK")</f>
        <v>0</v>
      </c>
    </row>
    <row r="59" spans="1:74" hidden="1"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+26,064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20.1%</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1,535/36,000=24,890</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7,256$</v>
      </c>
      <c r="G59" s="225" t="str">
        <f ca="1">IFERROR(TRUNC(_xlfn.XLOOKUP(TabTRADER[[#This Row],[ClickTick]],TabCalc[Ticker],ListLastSalep),2)&amp;"x"&amp;_xlfn.XLOOKUP(TabTRADER[[#This Row],[ClickTick]],TabCalc[Ticker],ListLastSalen)&amp;"=   "&amp;TEXT(-_xlfn.XLOOKUP(TabTRADER[[#This Row],[ClickTick]],TabCalc[Ticker],ListReverseB),"#,#0")&amp;"$","")</f>
        <v>15.12x4000=   4,392$</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59" s="226" t="str">
        <f ca="1">IFERROR(TRUNC(TabCalc[[#This Row],[L_S1p]],2)&amp;"x"&amp;TabCalc[[#This Row],[L_S1n]]&amp;"=   "&amp;TEXT(TabCalc[[#This Row],[ReverseB1]],"#,#0"),"")</f>
        <v>14.44x8000=   -14,224</v>
      </c>
      <c r="J59" s="295">
        <f ca="1">_xlfn.XLOOKUP(TabTRADER[[#This Row],[ClickTick]],TabCalc[Ticker],ListGravity)</f>
        <v>0.99412566284375392</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421668</v>
      </c>
      <c r="M59" s="323">
        <f ca="1">_xlfn.XLOOKUP(TabTRADER[[#This Row],[ClickTick]],TabCalc[Ticker],TabCalc[Agiotage])</f>
        <v>0.92243783340360397</v>
      </c>
      <c r="N59" s="324" cm="1">
        <f t="array" aca="1" ref="N59" ca="1">_xlfn.XLOOKUP(TabTRADER[[#This Row],[ClickTick]],ListTickers,Tab2RSIConventional[RSIConv20])</f>
        <v>82</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0.25138888888888883</v>
      </c>
      <c r="S59" s="683">
        <f ca="1">_xlfn.XLOOKUP(TabTRADER[[#This Row],[ClickTick]],TabCalc[Ticker],TabCalc[Rev(MinStock)])*(1-Commission)</f>
        <v>25996.233599999992</v>
      </c>
      <c r="T59" s="782">
        <f ca="1">_xlfn.XLOOKUP(TabTRADER[[#This Row],[ClickTick]],TabCalc[Ticker],TabCalc[Agiotage])</f>
        <v>0.92243783340360397</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-5,832/-5,832=&gt;-0.7% / -0.7%</v>
      </c>
      <c r="V59" s="739" t="str">
        <f ca="1">_xlfn.XLOOKUP(TabTRADER[[#This Row],[ClickTick]],[1]!RTData[Ticker_Symbol],[1]!RTData[Currency])</f>
        <v>EUR</v>
      </c>
      <c r="W59" s="749">
        <f ca="1">_xlfn.XLOOKUP(TabTRADER[[#This Row],[ClickTick]],TabCalc[Ticker],TabCalc[M])</f>
        <v>16.218</v>
      </c>
      <c r="X59" s="1315"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-6.8589999999999996E-3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^82/584 K$</v>
      </c>
      <c r="AE59" s="116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65"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16.218, 07.3%</v>
      </c>
      <c r="AG59" s="1165"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65" cm="1">
        <f t="array" aca="1" ref="AH59" ca="1">_xlfn.IFS(     TabTRADER[[#This Row],[Traps]]=MUp,MIN(TabTRADER[[#This Row],[L_Sn]],TabTRADER[[#This Row],[N]])*(TabTRADER[[#This Row],[M]]-TabTRADER[[#This Row],[L_Sp]])*(1-Commission)*TabTRADER[[#This Row],[Scale]],                                  TRUE,"M= "&amp;TabTRADER[[#This Row],[M]])</f>
        <v>4380.5808000000025</v>
      </c>
      <c r="AI59" s="1165" t="str" cm="1">
        <f t="array" aca="1" ref="AI59" ca="1">_xlfn.IFS(   TabTRADER[[#This Row],[Traps]]=MUp,TEXT(MIN(TabTRADER[[#This Row],[L_Sn]],TabTRADER[[#This Row],[N]]),"#,#0")&amp;" x "&amp;TEXT(TabTRADER[[#This Row],[L_Sp]],"#,#0.#0"),          TRUE,"")</f>
        <v>4,000 x 15.12</v>
      </c>
      <c r="AJ59" s="1165"/>
      <c r="AK59" s="1165"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4380.5808000000025</v>
      </c>
      <c r="AL59" s="1165"/>
      <c r="AM59" s="1165"/>
      <c r="AN59" s="1165"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100160.10488000001</v>
      </c>
      <c r="AO59" s="1174"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0.20772782973554632</v>
      </c>
      <c r="AP59" s="1174"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6.5102552719200929E-2</v>
      </c>
      <c r="AQ59" s="825" cm="1">
        <f t="array" aca="1" ref="AQ59" ca="1">_xlfn.IFS(   TabTRADER[[#This Row],[Traps]]=SellMorePercentGain,                     MIN(TabTRADER[[#This Row],[L_Sn]],TabTRADER[[#This Row],[N]])*(TabTRADER[[#This Row],[M]]-TabTRADER[[#This Row],[L_Sp]])*(1-Commission)*TabTRADER[[#This Row],[Scale]],                    TRUE,"")</f>
        <v>4380.5808000000025</v>
      </c>
      <c r="AR59" s="1163">
        <f ca="1">_xlfn.XLOOKUP(TabTRADER[[#This Row],[ClickTick]],TabCalc[Ticker],TabCalc[Ann%RevLB])</f>
        <v>0.52312138728323687</v>
      </c>
      <c r="AS59" s="1163">
        <f ca="1">_xlfn.XLOOKUP(TabTRADER[[#This Row],[ClickTick]],TabCalc[Ticker],TabCalc[Up20])</f>
        <v>0</v>
      </c>
      <c r="AT59" s="1175"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59" s="825" t="str" cm="1">
        <f t="array" aca="1" ref="AU59" ca="1">_xlfn.IFS(         TabTRADER[[#This Row],[Traps]]=MDown,TabTRADER[[#This Row],[L_Bn]]*TabTRADER[[#This Row],[M]]*(-(TabTRADER[[#This Row],[L_Bp]]+TabTRADER[[#This Row],[M]])/TabTRADER[[#This Row],[M]])*(1-Commission)*TabTRADER[[#This Row],[Scale]],                               TRUE,"")</f>
        <v/>
      </c>
      <c r="AV59" s="1174" cm="1">
        <f t="array" aca="1" ref="AV59" ca="1">_xlfn.IFS(   TabTRADER[[#This Row],[Traps]]=MUp,TabTRADER[[#This Row],[TakeGain_A]]-Commission,        TabTRADER[[#This Row],[Traps]]=MDown,(TabTRADER[[#This Row],[A]]-TabTRADER[[#This Row],[M]])/TabTRADER[[#This Row],[M]]-Commission,                              TRUE,"")</f>
        <v>0.20512782973554633</v>
      </c>
      <c r="AW59" s="760"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120966.1460928071</v>
      </c>
      <c r="AX59" s="760"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59" s="736"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8,000x2.78</v>
      </c>
      <c r="AZ59" s="765" cm="1">
        <f t="array" aca="1" ref="AZ59" ca="1">_xlfn.IFS(TabTRADER[[#This Row],[Traps]]=Sale_Back,"",         TabTRADER[[#This Row],[Traps]]=MDown, (TabTRADER[[#This Row],[M]]-TabTRADER[[#This Row],[A]])/TabTRADER[[#This Row],[A]]*ComFactor,             TRUE, IFERROR((TabTRADER[[#This Row],[M]]-TabTRADER[[#This Row],[A]])/TabTRADER[[#This Row],[A]]*ComFactor,""))</f>
        <v>0.2071877373782339</v>
      </c>
      <c r="BA59" s="762" cm="1">
        <f t="array" aca="1" ref="BA59" ca="1">_xlfn.IFS(               TabTRADER[[#This Row],[Traps]]=NoStock,(TabTRADER[[#This Row],[L_Sp]]-TabTRADER[[#This Row],[M]])/TabTRADER[[#This Row],[M]]-Commission,             TabTRADER[[#This Row],[A]]&lt;&gt;0,(TabTRADER[[#This Row],[A]]-TabTRADER[[#This Row],[M]])/TabTRADER[[#This Row],[M]]-Commission)</f>
        <v>-0.17459887641989011</v>
      </c>
      <c r="BB59" s="324">
        <f ca="1">_xlfn.XLOOKUP(TabTRADER[[#This Row],[ClickTick]],TabCalc[Ticker],TabCalc[L_Sn])</f>
        <v>4000</v>
      </c>
      <c r="BC59" s="728">
        <f ca="1">_xlfn.XLOOKUP(TabTRADER[[#This Row],[ClickTick]],TabCalc[Ticker],TabCalc[L_Sp])</f>
        <v>15.12</v>
      </c>
      <c r="BD59" s="764">
        <f ca="1">-IFERROR((TabTRADER[[#This Row],[M]]-TabTRADER[[#This Row],[L_Sp]])/TabTRADER[[#This Row],[L_Sp]],0)</f>
        <v>-7.2619047619047666E-2</v>
      </c>
      <c r="BE59" s="729">
        <f ca="1">TabTRADER[[#This Row],[L_Sn]]*(TabTRADER[[#This Row],[M]]-TabTRADER[[#This Row],[L_Sp]])*(1-Commission)*TabTRADER[[#This Row],[Scale]]</f>
        <v>4380.5808000000025</v>
      </c>
      <c r="BF59" s="692">
        <f ca="1">TabTRADER[[#This Row],[L_Sn]]*(TabTRADER[[#This Row],[Agiotage]]-TabTRADER[[#This Row],[M]])/(TabTRADER[[#This Row],[L_Bn]]*TabTRADER[[#This Row],[M]])</f>
        <v>-0.47156129506093214</v>
      </c>
      <c r="BG59" s="635">
        <f ca="1">IFERROR((TabTRADER[[#This Row],[M]]-TabTRADER[[#This Row],[A]])/TabTRADER[[#This Row],[A]],0)</f>
        <v>0.20772782973554632</v>
      </c>
      <c r="BH59" s="638" t="str">
        <f ca="1">TEXT(_xlfn.XLOOKUP(TabTRADER[[#This Row],[ClickTick]],TabCalc[Ticker],TabCalc[NAfter]),"#,#0")&amp;" : "&amp;TEXT(_xlfn.XLOOKUP(TabTRADER[[#This Row],[ClickTick]],TabCalc[Ticker],TabCalc[NAfter])*(TabTRADER[[#This Row],[M]]-TabTRADER[[#This Row],[A]])*(1-Commission)*TabTRADER[[#This Row],[Scale]],"#,#0$")</f>
        <v>36,000 : 100,160$</v>
      </c>
      <c r="BI59" s="684">
        <f ca="1">_xlfn.XLOOKUP(TabTRADER[[#This Row],[ClickTick]],TabCalc[[#This Row],[Ticker]],TabCalc[[#This Row],[GL]])*(1-Commission)</f>
        <v>81950.087568420713</v>
      </c>
      <c r="BJ59" s="684"/>
      <c r="BK59" s="669" t="str">
        <f ca="1">TabTRADER[[#This Row],[ClickTick]]&amp;": "&amp;_xlfn.XLOOKUP(TabTRADER[[#This Row],[ClickTick]],TabCalc[Ticker],TabCalc[Pile?])</f>
        <v xml:space="preserve">MVEENI: </v>
      </c>
      <c r="BL59" s="351" t="s">
        <v>2029</v>
      </c>
      <c r="BM59" s="755" t="str" cm="1">
        <f t="array" aca="1" ref="BM59" ca="1">_xlfn.TEXTJOIN("",,INDEX({"M","A","Y"}, _xlfn.SORTBY({1,2,3}, -CHOOSE({1,2,3}, TabTRADER[[#This Row],[M]], TabTRADER[[#This Row],[A]], TabTRADER[[#This Row],[Agiotage]]))))</f>
        <v>MAY</v>
      </c>
      <c r="BN59" s="902"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6.7702552719200934E-2</v>
      </c>
      <c r="BO59" s="679">
        <f ca="1">TabTRADER[[#This Row],[L_Sn]]*TabTRADER[[#This Row],[L_Sp]]+TabTRADER[[#This Row],[SellMore]]*TabTRADER[[#This Row],[M]]</f>
        <v>92916</v>
      </c>
      <c r="BP59" s="679">
        <f ca="1">INDEX(
  INDEX(TabConsolid[], , _xlfn.XMATCH(TabTRADER[[#This Row],[ClickTick]]&amp;1, TabConsolid[#Headers])),
  MATCH(
    -TabTRADER[[#This Row],[M]],
    INDEX(TabConsolid[], , _xlfn.XMATCH(TabTRADER[[#This Row],[ClickTick]]&amp;2, TabConsolid[#Headers])),
    -1
  )
)</f>
        <v>2000</v>
      </c>
      <c r="BQ59" s="679"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44">
        <f ca="1">TabTRADER[[#This Row],[ReBuy]]/(TabTRADER[[#This Row],[L_Sn]]+TabTRADER[[#This Row],[SellMore]])</f>
        <v>15.486000000000001</v>
      </c>
      <c r="BS59" s="687">
        <f ca="1">((_xlfn.XLOOKUP(TabTRADER[[#This Row],[ClickTick]],TabCalc[Ticker],TabCalc[NAfter])+TabTRADER[[#This Row],[L_Sn]])*(TabTRADER[[#This Row],[Agiotage]]-TabTRADER[[#This Row],[M]]))/(TabTRADER[[#This Row],[L_Sn]]*_xlfn.XLOOKUP(TabTRADER[[#This Row],[ClickTick]],TabCalc[Ticker],TabCalc[NAfter]))</f>
        <v>-4.2487672684989987E-3</v>
      </c>
      <c r="BT59" s="687">
        <f ca="1">(TabTRADER[[#This Row],[M]]-TabTRADER[[#This Row],[Agiotage]])/(TabTRADER[[#This Row],[M]]-TabTRADER[[#This Row],[A]])-1</f>
        <v>4.4833066921872096</v>
      </c>
      <c r="BU59" s="1262">
        <f ca="1">_xlfn.XMATCH(TabTRADER[[#This Row],[ClickTick]]&amp;1, TabConsolid[#Headers])</f>
        <v>173</v>
      </c>
      <c r="BV59" t="b">
        <f ca="1">IF(ABS(TabTRADER[[#This Row],[L_Bp]])&gt;=TabTRADER[[#This Row],[M]],"OK")</f>
        <v>0</v>
      </c>
    </row>
    <row r="60" spans="1:74" hidden="1"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15"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82"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65"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65"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65" t="str" cm="1">
        <f t="array" aca="1" ref="AH60" ca="1">_xlfn.IFS(     TabTRADER[[#This Row],[Traps]]=MUp,MIN(TabTRADER[[#This Row],[L_Sn]],TabTRADER[[#This Row],[N]])*(TabTRADER[[#This Row],[M]]-TabTRADER[[#This Row],[L_Sp]])*(1-Commission)*TabTRADER[[#This Row],[Scale]],                                  TRUE,"M= "&amp;TabTRADER[[#This Row],[M]])</f>
        <v>M= 0.2012</v>
      </c>
      <c r="AI60" s="1165" t="str" cm="1">
        <f t="array" aca="1" ref="AI60" ca="1">_xlfn.IFS(   TabTRADER[[#This Row],[Traps]]=MUp,TEXT(MIN(TabTRADER[[#This Row],[L_Sn]],TabTRADER[[#This Row],[N]]),"#,#0")&amp;" x "&amp;TEXT(TabTRADER[[#This Row],[L_Sp]],"#,#0.#0"),          TRUE,"")</f>
        <v/>
      </c>
      <c r="AJ60" s="1165"/>
      <c r="AK60" s="1165"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65"/>
      <c r="AM60" s="1165"/>
      <c r="AN60" s="1165"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74"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74"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TabTRADER[[#This Row],[Traps]]=SellMorePercentGain,                     MIN(TabTRADER[[#This Row],[L_Sn]],TabTRADER[[#This Row],[N]])*(TabTRADER[[#This Row],[M]]-TabTRADER[[#This Row],[L_Sp]])*(1-Commission)*TabTRADER[[#This Row],[Scale]],                    TRUE,"")</f>
        <v/>
      </c>
      <c r="AR60" s="1163">
        <f ca="1">_xlfn.XLOOKUP(TabTRADER[[#This Row],[ClickTick]],TabCalc[Ticker],TabCalc[Ann%RevLB])</f>
        <v>-1.0596279069767442</v>
      </c>
      <c r="AS60" s="1267">
        <f ca="1">_xlfn.XLOOKUP(TabTRADER[[#This Row],[ClickTick]],TabCalc[Ticker],TabCalc[Up20])</f>
        <v>0</v>
      </c>
      <c r="AT60" s="1175"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5" cm="1">
        <f t="array" aca="1" ref="AU60" ca="1">_xlfn.IFS(         TabTRADER[[#This Row],[Traps]]=MDown,TabTRADER[[#This Row],[L_Bn]]*TabTRADER[[#This Row],[M]]*(-(TabTRADER[[#This Row],[L_Bp]]+TabTRADER[[#This Row],[M]])/TabTRADER[[#This Row],[M]])*(1-Commission)*TabTRADER[[#This Row],[Scale]],                               TRUE,"")</f>
        <v>15148.511199999999</v>
      </c>
      <c r="AV60" s="1174" cm="1">
        <f t="array" aca="1" ref="AV60" ca="1">_xlfn.IFS(   TabTRADER[[#This Row],[Traps]]=MUp,TabTRADER[[#This Row],[TakeGain_A]]-Commission,        TabTRADER[[#This Row],[Traps]]=MDown,(TabTRADER[[#This Row],[A]]-TabTRADER[[#This Row],[M]])/TabTRADER[[#This Row],[M]]-Commission,                              TRUE,"")</f>
        <v>11.861879787939033</v>
      </c>
      <c r="AW60" s="760"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60"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60" s="736"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5" cm="1">
        <f t="array" aca="1" ref="AZ60" ca="1">_xlfn.IFS(TabTRADER[[#This Row],[Traps]]=Sale_Back,"",         TabTRADER[[#This Row],[Traps]]=MDown, (TabTRADER[[#This Row],[M]]-TabTRADER[[#This Row],[A]])/TabTRADER[[#This Row],[A]]*ComFactor,             TRUE, IFERROR((TabTRADER[[#This Row],[M]]-TabTRADER[[#This Row],[A]])/TabTRADER[[#This Row],[A]]*ComFactor,""))</f>
        <v>-0.91986868770122332</v>
      </c>
      <c r="BA60" s="762" cm="1">
        <f t="array" aca="1" ref="BA60" ca="1">_xlfn.IFS(               TabTRADER[[#This Row],[Traps]]=NoStock,(TabTRADER[[#This Row],[L_Sp]]-TabTRADER[[#This Row],[M]])/TabTRADER[[#This Row],[M]]-Commission,             TabTRADER[[#This Row],[A]]&lt;&gt;0,(TabTRADER[[#This Row],[A]]-TabTRADER[[#This Row],[M]])/TabTRADER[[#This Row],[M]]-Commission)</f>
        <v>11.861879787939033</v>
      </c>
      <c r="BB60" s="324">
        <f ca="1">_xlfn.XLOOKUP(TabTRADER[[#This Row],[ClickTick]],TabCalc[Ticker],TabCalc[L_Sn])</f>
        <v>0</v>
      </c>
      <c r="BC60" s="728">
        <f ca="1">_xlfn.XLOOKUP(TabTRADER[[#This Row],[ClickTick]],TabCalc[Ticker],TabCalc[L_Sp])</f>
        <v>0</v>
      </c>
      <c r="BD60" s="764">
        <f ca="1">-IFERROR((TabTRADER[[#This Row],[M]]-TabTRADER[[#This Row],[L_Sp]])/TabTRADER[[#This Row],[L_Sp]],0)</f>
        <v>0</v>
      </c>
      <c r="BE60" s="729">
        <f ca="1">TabTRADER[[#This Row],[L_Sn]]*(TabTRADER[[#This Row],[M]]-TabTRADER[[#This Row],[L_Sp]])*(1-Commission)*TabTRADER[[#This Row],[Scale]]</f>
        <v>0</v>
      </c>
      <c r="BF60" s="692">
        <f ca="1">TabTRADER[[#This Row],[L_Sn]]*(TabTRADER[[#This Row],[Agiotage]]-TabTRADER[[#This Row],[M]])/(TabTRADER[[#This Row],[L_Bn]]*TabTRADER[[#This Row],[M]])</f>
        <v>0</v>
      </c>
      <c r="BG60" s="635">
        <f ca="1">IFERROR((TabTRADER[[#This Row],[M]]-TabTRADER[[#This Row],[A]])/TabTRADER[[#This Row],[A]],0)</f>
        <v>-0.92226658081133284</v>
      </c>
      <c r="BH60" s="638" t="str">
        <f ca="1">TEXT(_xlfn.XLOOKUP(TabTRADER[[#This Row],[ClickTick]],TabCalc[Ticker],TabCalc[NAfter]),"#,#0")&amp;" : "&amp;TEXT(_xlfn.XLOOKUP(TabTRADER[[#This Row],[ClickTick]],TabCalc[Ticker],TabCalc[NAfter])*(TabTRADER[[#This Row],[M]]-TabTRADER[[#This Row],[A]])*(1-Commission)*TabTRADER[[#This Row],[Scale]],"#,#0$")</f>
        <v>12,000 : -28,571$</v>
      </c>
      <c r="BI60" s="684">
        <f ca="1">_xlfn.XLOOKUP(TabTRADER[[#This Row],[ClickTick]],TabCalc[[#This Row],[Ticker]],TabCalc[[#This Row],[GL]])*(1-Commission)</f>
        <v>-28657.928593055996</v>
      </c>
      <c r="BJ60" s="684"/>
      <c r="BK60" s="669" t="str">
        <f ca="1">TabTRADER[[#This Row],[ClickTick]]&amp;": "&amp;_xlfn.XLOOKUP(TabTRADER[[#This Row],[ClickTick]],TabCalc[Ticker],TabCalc[Pile?])</f>
        <v>MVEEPIX: Pile</v>
      </c>
      <c r="BL60" s="351" t="s">
        <v>2030</v>
      </c>
      <c r="BM60" s="755" t="str" cm="1">
        <f t="array" aca="1" ref="BM60" ca="1">_xlfn.TEXTJOIN("",,INDEX({"M","A","Y"}, _xlfn.SORTBY({1,2,3}, -CHOOSE({1,2,3}, TabTRADER[[#This Row],[M]], TabTRADER[[#This Row],[A]], TabTRADER[[#This Row],[Agiotage]]))))</f>
        <v>AYM</v>
      </c>
      <c r="BN60" s="902"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9" t="e">
        <f ca="1">TabTRADER[[#This Row],[L_Sn]]*TabTRADER[[#This Row],[L_Sp]]+TabTRADER[[#This Row],[SellMore]]*TabTRADER[[#This Row],[M]]</f>
        <v>#N/A</v>
      </c>
      <c r="BP60" s="679" t="e">
        <f ca="1">INDEX(
  INDEX(TabConsolid[], , _xlfn.XMATCH(TabTRADER[[#This Row],[ClickTick]]&amp;1, TabConsolid[#Headers])),
  MATCH(
    -TabTRADER[[#This Row],[M]],
    INDEX(TabConsolid[], , _xlfn.XMATCH(TabTRADER[[#This Row],[ClickTick]]&amp;2, TabConsolid[#Headers])),
    -1
  )
)</f>
        <v>#N/A</v>
      </c>
      <c r="BQ60" s="679"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44" t="e">
        <f ca="1">TabTRADER[[#This Row],[ReBuy]]/(TabTRADER[[#This Row],[L_Sn]]+TabTRADER[[#This Row],[SellMore]])</f>
        <v>#N/A</v>
      </c>
      <c r="BS60" s="687" t="e">
        <f ca="1">((_xlfn.XLOOKUP(TabTRADER[[#This Row],[ClickTick]],TabCalc[Ticker],TabCalc[NAfter])+TabTRADER[[#This Row],[L_Sn]])*(TabTRADER[[#This Row],[Agiotage]]-TabTRADER[[#This Row],[M]]))/(TabTRADER[[#This Row],[L_Sn]]*_xlfn.XLOOKUP(TabTRADER[[#This Row],[ClickTick]],TabCalc[Ticker],TabCalc[NAfter]))</f>
        <v>#DIV/0!</v>
      </c>
      <c r="BT60" s="687">
        <f ca="1">(TabTRADER[[#This Row],[M]]-TabTRADER[[#This Row],[Agiotage]])/(TabTRADER[[#This Row],[M]]-TabTRADER[[#This Row],[A]])-1</f>
        <v>-0.30834361903799523</v>
      </c>
      <c r="BU60" s="1262">
        <f ca="1">_xlfn.XMATCH(TabTRADER[[#This Row],[ClickTick]]&amp;1, TabConsolid[#Headers])</f>
        <v>176</v>
      </c>
      <c r="BV60" t="str">
        <f ca="1">IF(ABS(TabTRADER[[#This Row],[L_Bp]])&gt;=TabTRADER[[#This Row],[M]],"OK")</f>
        <v>OK</v>
      </c>
    </row>
    <row r="61" spans="1:74"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+2,800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4.9%</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4,280$</v>
      </c>
      <c r="G61" s="225" t="str">
        <f ca="1">IFERROR(TRUNC(_xlfn.XLOOKUP(TabTRADER[[#This Row],[ClickTick]],TabCalc[Ticker],ListLastSalep),2)&amp;"x"&amp;_xlfn.XLOOKUP(TabTRADER[[#This Row],[ClickTick]],TabCalc[Ticker],ListLastSalen)&amp;"=   "&amp;TEXT(-_xlfn.XLOOKUP(TabTRADER[[#This Row],[ClickTick]],TabCalc[Ticker],ListReverseB),"#,#0")&amp;"$","")</f>
        <v>47.47x1000=   9,350$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61" s="226" t="str">
        <f ca="1">IFERROR(TRUNC(TabCalc[[#This Row],[L_S1p]],2)&amp;"x"&amp;TabCalc[[#This Row],[L_S1n]]&amp;"=   "&amp;TEXT(TabCalc[[#This Row],[ReverseB1]],"#,#0"),"")</f>
        <v>45.76x1000=   -11,060</v>
      </c>
      <c r="J61" s="295">
        <f ca="1">_xlfn.XLOOKUP(TabTRADER[[#This Row],[ClickTick]],TabCalc[Ticker],ListGravity)</f>
        <v>1.1384391059486096</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1.1777482661130008</v>
      </c>
      <c r="N61" s="324" cm="1">
        <f t="array" aca="1" ref="N61" ca="1">_xlfn.XLOOKUP(TabTRADER[[#This Row],[ClickTick]],ListTickers,Tab2RSIConventional[RSIConv20])</f>
        <v>36</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5.1832654572380545E-2</v>
      </c>
      <c r="S61" s="683">
        <f ca="1">_xlfn.XLOOKUP(TabTRADER[[#This Row],[ClickTick]],TabCalc[Ticker],TabCalc[Rev(MinStock)])*(1-Commission)</f>
        <v>2792.7199999999971</v>
      </c>
      <c r="T61" s="782">
        <f ca="1">_xlfn.XLOOKUP(TabTRADER[[#This Row],[ClickTick]],TabCalc[Ticker],TabCalc[Agiotage])</f>
        <v>1.1777482661130008</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2,800/2,800=&gt;0.6% / 0.6%</v>
      </c>
      <c r="V61" s="739" t="str">
        <f ca="1">_xlfn.XLOOKUP(TabTRADER[[#This Row],[ClickTick]],[1]!RTData[Ticker_Symbol],[1]!RTData[Currency])</f>
        <v>EUR</v>
      </c>
      <c r="W61" s="749">
        <f ca="1">_xlfn.XLOOKUP(TabTRADER[[#This Row],[ClickTick]],TabCalc[Ticker],TabCalc[M])</f>
        <v>56.82</v>
      </c>
      <c r="X61" s="1315"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6.0200000000000002E-3</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^99/398 K$</v>
      </c>
      <c r="AE61" s="1182"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65"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65"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2792.7199999999971</v>
      </c>
      <c r="AH61" s="1165" t="str" cm="1">
        <f t="array" aca="1" ref="AH61" ca="1">_xlfn.IFS(     TabTRADER[[#This Row],[Traps]]=MUp,MIN(TabTRADER[[#This Row],[L_Sn]],TabTRADER[[#This Row],[N]])*(TabTRADER[[#This Row],[M]]-TabTRADER[[#This Row],[L_Sp]])*(1-Commission)*TabTRADER[[#This Row],[Scale]],                                  TRUE,"M= "&amp;TabTRADER[[#This Row],[M]])</f>
        <v>M= 56.82</v>
      </c>
      <c r="AI61" s="1165" t="str" cm="1">
        <f t="array" aca="1" ref="AI61" ca="1">_xlfn.IFS(   TabTRADER[[#This Row],[Traps]]=MUp,TEXT(MIN(TabTRADER[[#This Row],[L_Sn]],TabTRADER[[#This Row],[N]]),"#,#0")&amp;" x "&amp;TEXT(TabTRADER[[#This Row],[L_Sp]],"#,#0.#0"),          TRUE,"")</f>
        <v/>
      </c>
      <c r="AJ61" s="1165"/>
      <c r="AK61" s="1165"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65"/>
      <c r="AM61" s="1165"/>
      <c r="AN61" s="1165"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2792.7199999999971</v>
      </c>
      <c r="AO61" s="1174"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5.1832654572380545E-2</v>
      </c>
      <c r="AP61" s="1174"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TabTRADER[[#This Row],[Traps]]=SellMorePercentGain,                     MIN(TabTRADER[[#This Row],[L_Sn]],TabTRADER[[#This Row],[N]])*(TabTRADER[[#This Row],[M]]-TabTRADER[[#This Row],[L_Sp]])*(1-Commission)*TabTRADER[[#This Row],[Scale]],                    TRUE,"")</f>
        <v/>
      </c>
      <c r="AR61" s="1180">
        <f ca="1">_xlfn.XLOOKUP(TabTRADER[[#This Row],[ClickTick]],TabCalc[Ticker],TabCalc[Ann%RevLB])</f>
        <v>0.5654471407896059</v>
      </c>
      <c r="AS61" s="1266">
        <f ca="1">_xlfn.XLOOKUP(TabTRADER[[#This Row],[ClickTick]],TabCalc[Ticker],TabCalc[Up20])</f>
        <v>0</v>
      </c>
      <c r="AT61" s="1175"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5" t="str" cm="1">
        <f t="array" aca="1" ref="AU61" ca="1">_xlfn.IFS(         TabTRADER[[#This Row],[Traps]]=MDown,TabTRADER[[#This Row],[L_Bn]]*TabTRADER[[#This Row],[M]]*(-(TabTRADER[[#This Row],[L_Bp]]+TabTRADER[[#This Row],[M]])/TabTRADER[[#This Row],[M]])*(1-Commission)*TabTRADER[[#This Row],[Scale]],                               TRUE,"")</f>
        <v/>
      </c>
      <c r="AV61" s="1174" t="str" cm="1">
        <f t="array" aca="1" ref="AV61" ca="1">_xlfn.IFS(   TabTRADER[[#This Row],[Traps]]=MUp,TabTRADER[[#This Row],[TakeGain_A]]-Commission,        TabTRADER[[#This Row],[Traps]]=MDown,(TabTRADER[[#This Row],[A]]-TabTRADER[[#This Row],[M]])/TabTRADER[[#This Row],[M]]-Commission,                              TRUE,"")</f>
        <v/>
      </c>
      <c r="AW61" s="825"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8262.4784953224334</v>
      </c>
      <c r="AX61" s="760"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1" s="736"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5" t="str" cm="1">
        <f t="array" aca="1" ref="AZ61" ca="1">_xlfn.IFS(TabTRADER[[#This Row],[Traps]]=Sale_Back,"",         TabTRADER[[#This Row],[Traps]]=MDown, (TabTRADER[[#This Row],[M]]-TabTRADER[[#This Row],[A]])/TabTRADER[[#This Row],[A]]*ComFactor,             TRUE, IFERROR((TabTRADER[[#This Row],[M]]-TabTRADER[[#This Row],[A]])/TabTRADER[[#This Row],[A]]*ComFactor,""))</f>
        <v/>
      </c>
      <c r="BA61" s="762" cm="1">
        <f t="array" aca="1" ref="BA61" ca="1">_xlfn.IFS(               TabTRADER[[#This Row],[Traps]]=NoStock,(TabTRADER[[#This Row],[L_Sp]]-TabTRADER[[#This Row],[M]])/TabTRADER[[#This Row],[M]]-Commission,             TabTRADER[[#This Row],[A]]&lt;&gt;0,(TabTRADER[[#This Row],[A]]-TabTRADER[[#This Row],[M]])/TabTRADER[[#This Row],[M]]-Commission)</f>
        <v>-2.3002775682606752E-2</v>
      </c>
      <c r="BB61" s="324">
        <f ca="1">_xlfn.XLOOKUP(TabTRADER[[#This Row],[ClickTick]],TabCalc[Ticker],TabCalc[L_Sn])</f>
        <v>1000</v>
      </c>
      <c r="BC61" s="728">
        <f ca="1">_xlfn.XLOOKUP(TabTRADER[[#This Row],[ClickTick]],TabCalc[Ticker],TabCalc[L_Sp])</f>
        <v>47.47</v>
      </c>
      <c r="BD61" s="764">
        <f ca="1">-IFERROR((TabTRADER[[#This Row],[M]]-TabTRADER[[#This Row],[L_Sp]])/TabTRADER[[#This Row],[L_Sp]],0)</f>
        <v>-0.19696650516115444</v>
      </c>
      <c r="BE61" s="729">
        <f ca="1">TabTRADER[[#This Row],[L_Sn]]*(TabTRADER[[#This Row],[M]]-TabTRADER[[#This Row],[L_Sp]])*(1-Commission)*TabTRADER[[#This Row],[Scale]]</f>
        <v>9325.69</v>
      </c>
      <c r="BF61" s="692">
        <f ca="1">TabTRADER[[#This Row],[L_Sn]]*(TabTRADER[[#This Row],[Agiotage]]-TabTRADER[[#This Row],[M]])/(TabTRADER[[#This Row],[L_Bn]]*TabTRADER[[#This Row],[M]])</f>
        <v>-0.97927229380300951</v>
      </c>
      <c r="BG61" s="635">
        <f ca="1">IFERROR((TabTRADER[[#This Row],[M]]-TabTRADER[[#This Row],[A]])/TabTRADER[[#This Row],[A]],0)</f>
        <v>2.0827718960539005E-2</v>
      </c>
      <c r="BH61" s="638" t="str">
        <f ca="1">TEXT(_xlfn.XLOOKUP(TabTRADER[[#This Row],[ClickTick]],TabCalc[Ticker],TabCalc[NAfter]),"#,#0")&amp;" : "&amp;TEXT(_xlfn.XLOOKUP(TabTRADER[[#This Row],[ClickTick]],TabCalc[Ticker],TabCalc[NAfter])*(TabTRADER[[#This Row],[M]]-TabTRADER[[#This Row],[A]])*(1-Commission)*TabTRADER[[#This Row],[Scale]],"#,#0$")</f>
        <v>7,000 : 8,094$</v>
      </c>
      <c r="BI61" s="684">
        <f ca="1">_xlfn.XLOOKUP(TabTRADER[[#This Row],[ClickTick]],TabCalc[[#This Row],[Ticker]],TabCalc[[#This Row],[GL]])*(1-Commission)</f>
        <v>99085.495677222003</v>
      </c>
      <c r="BJ61" s="684"/>
      <c r="BK61" s="669" t="str">
        <f ca="1">TabTRADER[[#This Row],[ClickTick]]&amp;": "&amp;_xlfn.XLOOKUP(TabTRADER[[#This Row],[ClickTick]],TabCalc[Ticker],TabCalc[Pile?])</f>
        <v>MVEGLE: Pile</v>
      </c>
      <c r="BL61" s="351" t="s">
        <v>2031</v>
      </c>
      <c r="BM61" s="755" t="str" cm="1">
        <f t="array" aca="1" ref="BM61" ca="1">_xlfn.TEXTJOIN("",,INDEX({"M","A","Y"}, _xlfn.SORTBY({1,2,3}, -CHOOSE({1,2,3}, TabTRADER[[#This Row],[M]], TabTRADER[[#This Row],[A]], TabTRADER[[#This Row],[Agiotage]]))))</f>
        <v>MAY</v>
      </c>
      <c r="BN61" s="902"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9">
        <f ca="1">TabTRADER[[#This Row],[L_Sn]]*TabTRADER[[#This Row],[L_Sp]]+TabTRADER[[#This Row],[SellMore]]*TabTRADER[[#This Row],[M]]</f>
        <v>161110</v>
      </c>
      <c r="BP61" s="679">
        <f ca="1">INDEX(
  INDEX(TabConsolid[], , _xlfn.XMATCH(TabTRADER[[#This Row],[ClickTick]]&amp;1, TabConsolid[#Headers])),
  MATCH(
    -TabTRADER[[#This Row],[M]],
    INDEX(TabConsolid[], , _xlfn.XMATCH(TabTRADER[[#This Row],[ClickTick]]&amp;2, TabConsolid[#Headers])),
    -1
  )
)</f>
        <v>2000</v>
      </c>
      <c r="BQ61" s="679"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1" s="1144">
        <f ca="1">TabTRADER[[#This Row],[ReBuy]]/(TabTRADER[[#This Row],[L_Sn]]+TabTRADER[[#This Row],[SellMore]])</f>
        <v>53.703333333333333</v>
      </c>
      <c r="BS61" s="687">
        <f ca="1">((_xlfn.XLOOKUP(TabTRADER[[#This Row],[ClickTick]],TabCalc[Ticker],TabCalc[NAfter])+TabTRADER[[#This Row],[L_Sn]])*(TabTRADER[[#This Row],[Agiotage]]-TabTRADER[[#This Row],[M]]))/(TabTRADER[[#This Row],[L_Sn]]*_xlfn.XLOOKUP(TabTRADER[[#This Row],[ClickTick]],TabCalc[Ticker],TabCalc[NAfter]))</f>
        <v>-6.3591144838728006E-2</v>
      </c>
      <c r="BT61" s="687">
        <f ca="1">(TabTRADER[[#This Row],[M]]-TabTRADER[[#This Row],[Agiotage]])/(TabTRADER[[#This Row],[M]]-TabTRADER[[#This Row],[A]])-1</f>
        <v>46.997013202367043</v>
      </c>
      <c r="BU61" s="1262">
        <f ca="1">_xlfn.XMATCH(TabTRADER[[#This Row],[ClickTick]]&amp;1, TabConsolid[#Headers])</f>
        <v>179</v>
      </c>
      <c r="BV61" t="b">
        <f ca="1">IF(ABS(TabTRADER[[#This Row],[L_Bp]])&gt;=TabTRADER[[#This Row],[M]],"OK")</f>
        <v>0</v>
      </c>
    </row>
    <row r="62" spans="1:74" hidden="1"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-1,710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3,540$</v>
      </c>
      <c r="G62" s="225" t="str">
        <f ca="1">IFERROR(TRUNC(_xlfn.XLOOKUP(TabTRADER[[#This Row],[ClickTick]],TabCalc[Ticker],ListLastSalep),2)&amp;"x"&amp;_xlfn.XLOOKUP(TabTRADER[[#This Row],[ClickTick]],TabCalc[Ticker],ListLastSalen)&amp;"=   "&amp;TEXT(-_xlfn.XLOOKUP(TabTRADER[[#This Row],[ClickTick]],TabCalc[Ticker],ListReverseB),"#,#0")&amp;"$","")</f>
        <v>13.74x1200=   42$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62" s="226" t="str">
        <f ca="1">IFERROR(TRUNC(TabCalc[[#This Row],[L_S1p]],2)&amp;"x"&amp;TabCalc[[#This Row],[L_S1n]]&amp;"=   "&amp;TEXT(TabCalc[[#This Row],[ReverseB1]],"#,#0"),"")</f>
        <v>13.93x2000=   300</v>
      </c>
      <c r="J62" s="295">
        <f ca="1">_xlfn.XLOOKUP(TabTRADER[[#This Row],[ClickTick]],TabCalc[Ticker],ListGravity)</f>
        <v>1.1119172714078376</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172250</v>
      </c>
      <c r="M62" s="323">
        <f ca="1">_xlfn.XLOOKUP(TabTRADER[[#This Row],[ClickTick]],TabCalc[Ticker],TabCalc[Agiotage])</f>
        <v>1.2898279166741773</v>
      </c>
      <c r="N62" s="324" cm="1">
        <f t="array" aca="1" ref="N62" ca="1">_xlfn.XLOOKUP(TabTRADER[[#This Row],[ClickTick]],ListTickers,Tab2RSIConventional[RSIConv20])</f>
        <v>34</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-3.972125435540072E-2</v>
      </c>
      <c r="S62" s="683">
        <f ca="1">_xlfn.XLOOKUP(TabTRADER[[#This Row],[ClickTick]],TabCalc[Ticker],TabCalc[Rev(MinStock)])*(1-Commission)</f>
        <v>-1705.5540000000008</v>
      </c>
      <c r="T62" s="782">
        <f ca="1">_xlfn.XLOOKUP(TabTRADER[[#This Row],[ClickTick]],TabCalc[Ticker],TabCalc[Agiotage])</f>
        <v>1.2898279166741773</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-4,257/-4,257=&gt;-1.3% / -1.3%</v>
      </c>
      <c r="V62" s="739" t="str">
        <f ca="1">_xlfn.XLOOKUP(TabTRADER[[#This Row],[ClickTick]],[1]!RTData[Ticker_Symbol],[1]!RTData[Currency])</f>
        <v>EUR</v>
      </c>
      <c r="W62" s="749">
        <f ca="1">_xlfn.XLOOKUP(TabTRADER[[#This Row],[ClickTick]],TabCalc[Ticker],TabCalc[M])</f>
        <v>13.78</v>
      </c>
      <c r="X62" s="1315"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-1.2894000000000001E-2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^93/273 K$</v>
      </c>
      <c r="AE62" s="116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65"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13.78, 00.3%</v>
      </c>
      <c r="AG62" s="1165"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65" cm="1">
        <f t="array" aca="1" ref="AH62" ca="1">_xlfn.IFS(     TabTRADER[[#This Row],[Traps]]=MUp,MIN(TabTRADER[[#This Row],[L_Sn]],TabTRADER[[#This Row],[N]])*(TabTRADER[[#This Row],[M]]-TabTRADER[[#This Row],[L_Sp]])*(1-Commission)*TabTRADER[[#This Row],[Scale]],                                  TRUE,"M= "&amp;TabTRADER[[#This Row],[M]])</f>
        <v>41.890800000000169</v>
      </c>
      <c r="AI62" s="1165" t="str" cm="1">
        <f t="array" aca="1" ref="AI62" ca="1">_xlfn.IFS(   TabTRADER[[#This Row],[Traps]]=MUp,TEXT(MIN(TabTRADER[[#This Row],[L_Sn]],TabTRADER[[#This Row],[N]]),"#,#0")&amp;" x "&amp;TEXT(TabTRADER[[#This Row],[L_Sp]],"#,#0.#0"),          TRUE,"")</f>
        <v>1,200 x 13.75</v>
      </c>
      <c r="AJ62" s="1165"/>
      <c r="AK62" s="1165"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41.890800000000169</v>
      </c>
      <c r="AL62" s="1165"/>
      <c r="AM62" s="1165"/>
      <c r="AN62" s="1165"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32884.277999999977</v>
      </c>
      <c r="AO62" s="1174"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0.13744715975887331</v>
      </c>
      <c r="AP62" s="1174"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-6.0087082728581698E-5</v>
      </c>
      <c r="AQ62" s="825" cm="1">
        <f t="array" aca="1" ref="AQ62" ca="1">_xlfn.IFS(   TabTRADER[[#This Row],[Traps]]=SellMorePercentGain,                     MIN(TabTRADER[[#This Row],[L_Sn]],TabTRADER[[#This Row],[N]])*(TabTRADER[[#This Row],[M]]-TabTRADER[[#This Row],[L_Sp]])*(1-Commission)*TabTRADER[[#This Row],[Scale]],                    TRUE,"")</f>
        <v>41.890800000000169</v>
      </c>
      <c r="AR62" s="1163">
        <f ca="1">_xlfn.XLOOKUP(TabTRADER[[#This Row],[ClickTick]],TabCalc[Ticker],TabCalc[Ann%RevLB])</f>
        <v>-0.14895470383275269</v>
      </c>
      <c r="AS62" s="1267">
        <f ca="1">_xlfn.XLOOKUP(TabTRADER[[#This Row],[ClickTick]],TabCalc[Ticker],TabCalc[Up20])</f>
        <v>0</v>
      </c>
      <c r="AT62" s="1175"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5" t="str" cm="1">
        <f t="array" aca="1" ref="AU62" ca="1">_xlfn.IFS(         TabTRADER[[#This Row],[Traps]]=MDown,TabTRADER[[#This Row],[L_Bn]]*TabTRADER[[#This Row],[M]]*(-(TabTRADER[[#This Row],[L_Bp]]+TabTRADER[[#This Row],[M]])/TabTRADER[[#This Row],[M]])*(1-Commission)*TabTRADER[[#This Row],[Scale]],                               TRUE,"")</f>
        <v/>
      </c>
      <c r="AV62" s="1174" cm="1">
        <f t="array" aca="1" ref="AV62" ca="1">_xlfn.IFS(   TabTRADER[[#This Row],[Traps]]=MUp,TabTRADER[[#This Row],[TakeGain_A]]-Commission,        TabTRADER[[#This Row],[Traps]]=MDown,(TabTRADER[[#This Row],[A]]-TabTRADER[[#This Row],[M]])/TabTRADER[[#This Row],[M]]-Commission,                              TRUE,"")</f>
        <v>0.13484715975887332</v>
      </c>
      <c r="AW62" s="760"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37404.128611821179</v>
      </c>
      <c r="AX62" s="760"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62" s="736"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3,000x1.66</v>
      </c>
      <c r="AZ62" s="765" cm="1">
        <f t="array" aca="1" ref="AZ62" ca="1">_xlfn.IFS(TabTRADER[[#This Row],[Traps]]=Sale_Back,"",         TabTRADER[[#This Row],[Traps]]=MDown, (TabTRADER[[#This Row],[M]]-TabTRADER[[#This Row],[A]])/TabTRADER[[#This Row],[A]]*ComFactor,             TRUE, IFERROR((TabTRADER[[#This Row],[M]]-TabTRADER[[#This Row],[A]])/TabTRADER[[#This Row],[A]]*ComFactor,""))</f>
        <v>0.13708979714350022</v>
      </c>
      <c r="BA62" s="762" cm="1">
        <f t="array" aca="1" ref="BA62" ca="1">_xlfn.IFS(               TabTRADER[[#This Row],[Traps]]=NoStock,(TabTRADER[[#This Row],[L_Sp]]-TabTRADER[[#This Row],[M]])/TabTRADER[[#This Row],[M]]-Commission,             TabTRADER[[#This Row],[A]]&lt;&gt;0,(TabTRADER[[#This Row],[A]]-TabTRADER[[#This Row],[M]])/TabTRADER[[#This Row],[M]]-Commission)</f>
        <v>-0.12343828121563964</v>
      </c>
      <c r="BB62" s="324">
        <f ca="1">_xlfn.XLOOKUP(TabTRADER[[#This Row],[ClickTick]],TabCalc[Ticker],TabCalc[L_Sn])</f>
        <v>1200</v>
      </c>
      <c r="BC62" s="728">
        <f ca="1">_xlfn.XLOOKUP(TabTRADER[[#This Row],[ClickTick]],TabCalc[Ticker],TabCalc[L_Sp])</f>
        <v>13.744999999999999</v>
      </c>
      <c r="BD62" s="764">
        <f ca="1">-IFERROR((TabTRADER[[#This Row],[M]]-TabTRADER[[#This Row],[L_Sp]])/TabTRADER[[#This Row],[L_Sp]],0)</f>
        <v>-2.5463805020007379E-3</v>
      </c>
      <c r="BE62" s="729">
        <f ca="1">TabTRADER[[#This Row],[L_Sn]]*(TabTRADER[[#This Row],[M]]-TabTRADER[[#This Row],[L_Sp]])*(1-Commission)*TabTRADER[[#This Row],[Scale]]</f>
        <v>41.890800000000169</v>
      </c>
      <c r="BF62" s="692">
        <f ca="1">TabTRADER[[#This Row],[L_Sn]]*(TabTRADER[[#This Row],[Agiotage]]-TabTRADER[[#This Row],[M]])/(TabTRADER[[#This Row],[L_Bn]]*TabTRADER[[#This Row],[M]])</f>
        <v>-0.36255942186722273</v>
      </c>
      <c r="BG62" s="635">
        <f ca="1">IFERROR((TabTRADER[[#This Row],[M]]-TabTRADER[[#This Row],[A]])/TabTRADER[[#This Row],[A]],0)</f>
        <v>0.13744715975887331</v>
      </c>
      <c r="BH62" s="638" t="str">
        <f ca="1">TEXT(_xlfn.XLOOKUP(TabTRADER[[#This Row],[ClickTick]],TabCalc[Ticker],TabCalc[NAfter]),"#,#0")&amp;" : "&amp;TEXT(_xlfn.XLOOKUP(TabTRADER[[#This Row],[ClickTick]],TabCalc[Ticker],TabCalc[NAfter])*(TabTRADER[[#This Row],[M]]-TabTRADER[[#This Row],[A]])*(1-Commission)*TabTRADER[[#This Row],[Scale]],"#,#0$")</f>
        <v>19,800 : 32,884$</v>
      </c>
      <c r="BI62" s="684">
        <f ca="1">_xlfn.XLOOKUP(TabTRADER[[#This Row],[ClickTick]],TabCalc[[#This Row],[Ticker]],TabCalc[[#This Row],[GL]])*(1-Commission)</f>
        <v>93055.311426582019</v>
      </c>
      <c r="BJ62" s="684"/>
      <c r="BK62" s="669" t="str">
        <f ca="1">TabTRADER[[#This Row],[ClickTick]]&amp;": "&amp;_xlfn.XLOOKUP(TabTRADER[[#This Row],[ClickTick]],TabCalc[Ticker],TabCalc[Pile?])</f>
        <v xml:space="preserve">MVEORA: </v>
      </c>
      <c r="BL62" s="351" t="s">
        <v>2032</v>
      </c>
      <c r="BM62" s="755" t="str" cm="1">
        <f t="array" aca="1" ref="BM62" ca="1">_xlfn.TEXTJOIN("",,INDEX({"M","A","Y"}, _xlfn.SORTBY({1,2,3}, -CHOOSE({1,2,3}, TabTRADER[[#This Row],[M]], TabTRADER[[#This Row],[A]], TabTRADER[[#This Row],[Agiotage]]))))</f>
        <v>MAY</v>
      </c>
      <c r="BN62" s="902"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2.5399129172714182E-3</v>
      </c>
      <c r="BO62" s="679">
        <f ca="1">TabTRADER[[#This Row],[L_Sn]]*TabTRADER[[#This Row],[L_Sp]]+TabTRADER[[#This Row],[SellMore]]*TabTRADER[[#This Row],[M]]</f>
        <v>99174</v>
      </c>
      <c r="BP62" s="679">
        <f ca="1">INDEX(
  INDEX(TabConsolid[], , _xlfn.XMATCH(TabTRADER[[#This Row],[ClickTick]]&amp;1, TabConsolid[#Headers])),
  MATCH(
    -TabTRADER[[#This Row],[M]],
    INDEX(TabConsolid[], , _xlfn.XMATCH(TabTRADER[[#This Row],[ClickTick]]&amp;2, TabConsolid[#Headers])),
    -1
  )
)</f>
        <v>6000</v>
      </c>
      <c r="BQ62" s="679"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44">
        <f ca="1">TabTRADER[[#This Row],[ReBuy]]/(TabTRADER[[#This Row],[L_Sn]]+TabTRADER[[#This Row],[SellMore]])</f>
        <v>13.774166666666666</v>
      </c>
      <c r="BS62" s="687">
        <f ca="1">((_xlfn.XLOOKUP(TabTRADER[[#This Row],[ClickTick]],TabCalc[Ticker],TabCalc[NAfter])+TabTRADER[[#This Row],[L_Sn]])*(TabTRADER[[#This Row],[Agiotage]]-TabTRADER[[#This Row],[M]]))/(TabTRADER[[#This Row],[L_Sn]]*_xlfn.XLOOKUP(TabTRADER[[#This Row],[ClickTick]],TabCalc[Ticker],TabCalc[NAfter]))</f>
        <v>-1.1039293507989994E-2</v>
      </c>
      <c r="BT62" s="687">
        <f ca="1">(TabTRADER[[#This Row],[M]]-TabTRADER[[#This Row],[Agiotage]])/(TabTRADER[[#This Row],[M]]-TabTRADER[[#This Row],[A]])-1</f>
        <v>6.5009222702411718</v>
      </c>
      <c r="BU62" s="1262">
        <f ca="1">_xlfn.XMATCH(TabTRADER[[#This Row],[ClickTick]]&amp;1, TabConsolid[#Headers])</f>
        <v>182</v>
      </c>
      <c r="BV62" t="str">
        <f ca="1">IF(ABS(TabTRADER[[#This Row],[L_Bp]])&gt;=TabTRADER[[#This Row],[M]],"OK")</f>
        <v>OK</v>
      </c>
    </row>
    <row r="63" spans="1:74" hidden="1"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+11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24.3%</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16$</v>
      </c>
      <c r="G63" s="225" t="str">
        <f ca="1">IFERROR(TRUNC(_xlfn.XLOOKUP(TabTRADER[[#This Row],[ClickTick]],TabCalc[Ticker],ListLastSalep),2)&amp;"x"&amp;_xlfn.XLOOKUP(TabTRADER[[#This Row],[ClickTick]],TabCalc[Ticker],ListLastSalen)&amp;"=   "&amp;TEXT(-_xlfn.XLOOKUP(TabTRADER[[#This Row],[ClickTick]],TabCalc[Ticker],ListReverseB),"#,#0")&amp;"$","")</f>
        <v>33.36x3999=   41,470$</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-23.7% = 0</v>
      </c>
      <c r="I63" s="226" t="str">
        <f ca="1">IFERROR(TRUNC(TabCalc[[#This Row],[L_S1p]],2)&amp;"x"&amp;TabCalc[[#This Row],[L_S1n]]&amp;"=   "&amp;TEXT(TabCalc[[#This Row],[ReverseB1]],"#,#0"),"")</f>
        <v>29.29x4000=   -57,760</v>
      </c>
      <c r="J63" s="295">
        <f ca="1">_xlfn.XLOOKUP(TabTRADER[[#This Row],[ClickTick]],TabCalc[Ticker],ListGravity)</f>
        <v>1.0232577178138578</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5.5391708193498089E-3</v>
      </c>
      <c r="N63" s="324" cm="1">
        <f t="array" aca="1" ref="N63" ca="1">_xlfn.XLOOKUP(TabTRADER[[#This Row],[ClickTick]],ListTickers,Tab2RSIConventional[RSIConv20])</f>
        <v>46</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0.32134763559450064</v>
      </c>
      <c r="S63" s="683">
        <f ca="1">_xlfn.XLOOKUP(TabTRADER[[#This Row],[ClickTick]],TabCalc[Ticker],TabCalc[Rev(MinStock)])*(1-Commission)</f>
        <v>10.607348999999997</v>
      </c>
      <c r="T63" s="782">
        <f ca="1">_xlfn.XLOOKUP(TabTRADER[[#This Row],[ClickTick]],TabCalc[Ticker],TabCalc[Agiotage])</f>
        <v>5.5391708193498089E-3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-1/-1=&gt;-2.1% / -2.1%</v>
      </c>
      <c r="V63" s="739" t="str">
        <f ca="1">_xlfn.XLOOKUP(TabTRADER[[#This Row],[ClickTick]],[1]!RTData[Ticker_Symbol],[1]!RTData[Currency])</f>
        <v>EUR</v>
      </c>
      <c r="W63" s="749">
        <f ca="1">_xlfn.XLOOKUP(TabTRADER[[#This Row],[ClickTick]],TabCalc[Ticker],TabCalc[M])</f>
        <v>43.73</v>
      </c>
      <c r="X63" s="1315"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-2.1042999999999999E-2</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6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65"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43.73, 31.1%</v>
      </c>
      <c r="AG63" s="1165"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65" cm="1">
        <f t="array" aca="1" ref="AH63" ca="1">_xlfn.IFS(     TabTRADER[[#This Row],[Traps]]=MUp,MIN(TabTRADER[[#This Row],[L_Sn]],TabTRADER[[#This Row],[N]])*(TabTRADER[[#This Row],[M]]-TabTRADER[[#This Row],[L_Sp]])*(1-Commission)*TabTRADER[[#This Row],[Scale]],                                  TRUE,"M= "&amp;TabTRADER[[#This Row],[M]])</f>
        <v>10.343037999999996</v>
      </c>
      <c r="AI63" s="1165" t="str" cm="1">
        <f t="array" aca="1" ref="AI63" ca="1">_xlfn.IFS(   TabTRADER[[#This Row],[Traps]]=MUp,TEXT(MIN(TabTRADER[[#This Row],[L_Sn]],TabTRADER[[#This Row],[N]]),"#,#0")&amp;" x "&amp;TEXT(TabTRADER[[#This Row],[L_Sp]],"#,#0.#0"),          TRUE,"")</f>
        <v>1 x 33.36</v>
      </c>
      <c r="AJ63" s="1165"/>
      <c r="AK63" s="1165"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10.343037999999996</v>
      </c>
      <c r="AL63" s="1165"/>
      <c r="AM63" s="1165"/>
      <c r="AN63" s="1165"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10.607348999999997</v>
      </c>
      <c r="AO63" s="1174"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0.32134763559450064</v>
      </c>
      <c r="AP63" s="1174"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0.23453697690372738</v>
      </c>
      <c r="AQ63" s="825" cm="1">
        <f t="array" aca="1" ref="AQ63" ca="1">_xlfn.IFS(   TabTRADER[[#This Row],[Traps]]=SellMorePercentGain,                     MIN(TabTRADER[[#This Row],[L_Sn]],TabTRADER[[#This Row],[N]])*(TabTRADER[[#This Row],[M]]-TabTRADER[[#This Row],[L_Sp]])*(1-Commission)*TabTRADER[[#This Row],[Scale]],                    TRUE,"")</f>
        <v>10.343037999999996</v>
      </c>
      <c r="AR63" s="1163">
        <f ca="1">_xlfn.XLOOKUP(TabTRADER[[#This Row],[ClickTick]],TabCalc[Ticker],TabCalc[Ann%RevLB])</f>
        <v>0.57554800404985196</v>
      </c>
      <c r="AS63" s="1163">
        <f ca="1">_xlfn.XLOOKUP(TabTRADER[[#This Row],[ClickTick]],TabCalc[Ticker],TabCalc[Up20])</f>
        <v>0</v>
      </c>
      <c r="AT63" s="1175"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5" t="str" cm="1">
        <f t="array" aca="1" ref="AU63" ca="1">_xlfn.IFS(         TabTRADER[[#This Row],[Traps]]=MDown,TabTRADER[[#This Row],[L_Bn]]*TabTRADER[[#This Row],[M]]*(-(TabTRADER[[#This Row],[L_Bp]]+TabTRADER[[#This Row],[M]])/TabTRADER[[#This Row],[M]])*(1-Commission)*TabTRADER[[#This Row],[Scale]],                               TRUE,"")</f>
        <v/>
      </c>
      <c r="AV63" s="1174" cm="1">
        <f t="array" aca="1" ref="AV63" ca="1">_xlfn.IFS(   TabTRADER[[#This Row],[Traps]]=MUp,TabTRADER[[#This Row],[TakeGain_A]]-Commission,        TabTRADER[[#This Row],[Traps]]=MDown,(TabTRADER[[#This Row],[A]]-TabTRADER[[#This Row],[M]])/TabTRADER[[#This Row],[M]]-Commission,                              TRUE,"")</f>
        <v>0.31874763559450064</v>
      </c>
      <c r="AW63" s="760"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14.015995521075688</v>
      </c>
      <c r="AX63" s="760"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3" s="736"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1x10.63</v>
      </c>
      <c r="AZ63" s="765" cm="1">
        <f t="array" aca="1" ref="AZ63" ca="1">_xlfn.IFS(TabTRADER[[#This Row],[Traps]]=Sale_Back,"",         TabTRADER[[#This Row],[Traps]]=MDown, (TabTRADER[[#This Row],[M]]-TabTRADER[[#This Row],[A]])/TabTRADER[[#This Row],[A]]*ComFactor,             TRUE, IFERROR((TabTRADER[[#This Row],[M]]-TabTRADER[[#This Row],[A]])/TabTRADER[[#This Row],[A]]*ComFactor,""))</f>
        <v>0.32051213174195492</v>
      </c>
      <c r="BA63" s="762" cm="1">
        <f t="array" aca="1" ref="BA63" ca="1">_xlfn.IFS(               TabTRADER[[#This Row],[Traps]]=NoStock,(TabTRADER[[#This Row],[L_Sp]]-TabTRADER[[#This Row],[M]])/TabTRADER[[#This Row],[M]]-Commission,             TabTRADER[[#This Row],[A]]&lt;&gt;0,(TabTRADER[[#This Row],[A]]-TabTRADER[[#This Row],[M]])/TabTRADER[[#This Row],[M]]-Commission)</f>
        <v>-0.24579689000686025</v>
      </c>
      <c r="BB63" s="324">
        <f ca="1">_xlfn.XLOOKUP(TabTRADER[[#This Row],[ClickTick]],TabCalc[Ticker],TabCalc[L_Sn])</f>
        <v>3999</v>
      </c>
      <c r="BC63" s="728">
        <f ca="1">_xlfn.XLOOKUP(TabTRADER[[#This Row],[ClickTick]],TabCalc[Ticker],TabCalc[L_Sp])</f>
        <v>33.36</v>
      </c>
      <c r="BD63" s="764">
        <f ca="1">-IFERROR((TabTRADER[[#This Row],[M]]-TabTRADER[[#This Row],[L_Sp]])/TabTRADER[[#This Row],[L_Sp]],0)</f>
        <v>-0.31085131894484408</v>
      </c>
      <c r="BE63" s="729">
        <f ca="1">TabTRADER[[#This Row],[L_Sn]]*(TabTRADER[[#This Row],[M]]-TabTRADER[[#This Row],[L_Sp]])*(1-Commission)*TabTRADER[[#This Row],[Scale]]</f>
        <v>41361.808961999988</v>
      </c>
      <c r="BF63" s="692">
        <f ca="1">TabTRADER[[#This Row],[L_Sn]]*(TabTRADER[[#This Row],[Agiotage]]-TabTRADER[[#This Row],[M]])/(TabTRADER[[#This Row],[L_Bn]]*TabTRADER[[#This Row],[M]])</f>
        <v>-1.3328311521906655</v>
      </c>
      <c r="BG63" s="635">
        <f ca="1">IFERROR((TabTRADER[[#This Row],[M]]-TabTRADER[[#This Row],[A]])/TabTRADER[[#This Row],[A]],0)</f>
        <v>0.32134763559450064</v>
      </c>
      <c r="BH63" s="638" t="str">
        <f ca="1">TEXT(_xlfn.XLOOKUP(TabTRADER[[#This Row],[ClickTick]],TabCalc[Ticker],TabCalc[NAfter]),"#,#0")&amp;" : "&amp;TEXT(_xlfn.XLOOKUP(TabTRADER[[#This Row],[ClickTick]],TabCalc[Ticker],TabCalc[NAfter])*(TabTRADER[[#This Row],[M]]-TabTRADER[[#This Row],[A]])*(1-Commission)*TabTRADER[[#This Row],[Scale]],"#,#0$")</f>
        <v>1 : 11$</v>
      </c>
      <c r="BI63" s="684">
        <f ca="1">_xlfn.XLOOKUP(TabTRADER[[#This Row],[ClickTick]],TabCalc[[#This Row],[Ticker]],TabCalc[[#This Row],[GL]])*(1-Commission)</f>
        <v>37558.389297268383</v>
      </c>
      <c r="BJ63" s="684"/>
      <c r="BK63" s="669" t="str">
        <f ca="1">TabTRADER[[#This Row],[ClickTick]]&amp;": "&amp;_xlfn.XLOOKUP(TabTRADER[[#This Row],[ClickTick]],TabCalc[Ticker],TabCalc[Pile?])</f>
        <v>MVERWE: Pile</v>
      </c>
      <c r="BL63" s="351" t="s">
        <v>2033</v>
      </c>
      <c r="BM63" s="755" t="str" cm="1">
        <f t="array" aca="1" ref="BM63" ca="1">_xlfn.TEXTJOIN("",,INDEX({"M","A","Y"}, _xlfn.SORTBY({1,2,3}, -CHOOSE({1,2,3}, TabTRADER[[#This Row],[M]], TabTRADER[[#This Row],[A]], TabTRADER[[#This Row],[Agiotage]]))))</f>
        <v>MAY</v>
      </c>
      <c r="BN63" s="902"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0.23713697690372737</v>
      </c>
      <c r="BO63" s="679">
        <f ca="1">TabTRADER[[#This Row],[L_Sn]]*TabTRADER[[#This Row],[L_Sp]]+TabTRADER[[#This Row],[SellMore]]*TabTRADER[[#This Row],[M]]</f>
        <v>133450.37</v>
      </c>
      <c r="BP63" s="679">
        <f ca="1">INDEX(
  INDEX(TabConsolid[], , _xlfn.XMATCH(TabTRADER[[#This Row],[ClickTick]]&amp;1, TabConsolid[#Headers])),
  MATCH(
    -TabTRADER[[#This Row],[M]],
    INDEX(TabConsolid[], , _xlfn.XMATCH(TabTRADER[[#This Row],[ClickTick]]&amp;2, TabConsolid[#Headers])),
    -1
  )
)</f>
        <v>1</v>
      </c>
      <c r="BQ63" s="679"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44">
        <f ca="1">TabTRADER[[#This Row],[ReBuy]]/(TabTRADER[[#This Row],[L_Sn]]+TabTRADER[[#This Row],[SellMore]])</f>
        <v>33.362592499999998</v>
      </c>
      <c r="BS63" s="687">
        <f ca="1">((_xlfn.XLOOKUP(TabTRADER[[#This Row],[ClickTick]],TabCalc[Ticker],TabCalc[NAfter])+TabTRADER[[#This Row],[L_Sn]])*(TabTRADER[[#This Row],[Agiotage]]-TabTRADER[[#This Row],[M]]))/(TabTRADER[[#This Row],[L_Sn]]*_xlfn.XLOOKUP(TabTRADER[[#This Row],[ClickTick]],TabCalc[Ticker],TabCalc[NAfter]))</f>
        <v>-43.735394677850117</v>
      </c>
      <c r="BT63" s="687">
        <f ca="1">(TabTRADER[[#This Row],[M]]-TabTRADER[[#This Row],[Agiotage]])/(TabTRADER[[#This Row],[M]]-TabTRADER[[#This Row],[A]])-1</f>
        <v>3.1113738438345706</v>
      </c>
      <c r="BU63" s="1262">
        <f ca="1">_xlfn.XMATCH(TabTRADER[[#This Row],[ClickTick]]&amp;1, TabConsolid[#Headers])</f>
        <v>185</v>
      </c>
      <c r="BV63" t="b">
        <f ca="1">IF(ABS(TabTRADER[[#This Row],[L_Bp]])&gt;=TabTRADER[[#This Row],[M]],"OK")</f>
        <v>0</v>
      </c>
    </row>
    <row r="64" spans="1:74" hidden="1"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-9,080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-22.1%</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-10,820$</v>
      </c>
      <c r="G64" s="225" t="str">
        <f ca="1">IFERROR(TRUNC(_xlfn.XLOOKUP(TabTRADER[[#This Row],[ClickTick]],TabCalc[Ticker],ListLastSalep),2)&amp;"x"&amp;_xlfn.XLOOKUP(TabTRADER[[#This Row],[ClickTick]],TabCalc[Ticker],ListLastSalen)&amp;"=   "&amp;TEXT(-_xlfn.XLOOKUP(TabTRADER[[#This Row],[ClickTick]],TabCalc[Ticker],ListReverseB),"#,#0")&amp;"$","")</f>
        <v>267.48x500=   -30,990$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30.2% = 81</v>
      </c>
      <c r="I64" s="226" t="str">
        <f ca="1">IFERROR(TRUNC(TabCalc[[#This Row],[L_S1p]],2)&amp;"x"&amp;TabCalc[[#This Row],[L_S1n]]&amp;"=   "&amp;TEXT(TabCalc[[#This Row],[ReverseB1]],"#,#0"),"")</f>
        <v>263.8x500=   29,150</v>
      </c>
      <c r="J64" s="295">
        <f ca="1">_xlfn.XLOOKUP(TabTRADER[[#This Row],[ClickTick]],TabCalc[Ticker],ListGravity)</f>
        <v>1.4047046228710462</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0.93717056647786734</v>
      </c>
      <c r="N64" s="324" cm="1">
        <f t="array" aca="1" ref="N64" ca="1">_xlfn.XLOOKUP(TabTRADER[[#This Row],[ClickTick]],ListTickers,Tab2RSIConventional[RSIConv20])</f>
        <v>21</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-0.18094858509366282</v>
      </c>
      <c r="S64" s="683">
        <f ca="1">_xlfn.XLOOKUP(TabTRADER[[#This Row],[ClickTick]],TabCalc[Ticker],TabCalc[Rev(MinStock)])*(1-Commission)</f>
        <v>-9056.3920000000016</v>
      </c>
      <c r="T64" s="782">
        <f ca="1">_xlfn.XLOOKUP(TabTRADER[[#This Row],[ClickTick]],TabCalc[Ticker],TabCalc[Agiotage])</f>
        <v>0.93717056647786734</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120/120=&gt;0.1% / 0.1%</v>
      </c>
      <c r="V64" s="739" t="str">
        <f ca="1">_xlfn.XLOOKUP(TabTRADER[[#This Row],[ClickTick]],[1]!RTData[Ticker_Symbol],[1]!RTData[Currency])</f>
        <v>EUR</v>
      </c>
      <c r="W64" s="749">
        <f ca="1">_xlfn.XLOOKUP(TabTRADER[[#This Row],[ClickTick]],TabCalc[Ticker],TabCalc[M])</f>
        <v>205.5</v>
      </c>
      <c r="X64" s="1315"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7.3050000000000003E-4</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^46/82 K$</v>
      </c>
      <c r="AE64" s="1182"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65"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205.5, -23.2%</v>
      </c>
      <c r="AG64" s="1165"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65" t="str" cm="1">
        <f t="array" aca="1" ref="AH64" ca="1">_xlfn.IFS(     TabTRADER[[#This Row],[Traps]]=MUp,MIN(TabTRADER[[#This Row],[L_Sn]],TabTRADER[[#This Row],[N]])*(TabTRADER[[#This Row],[M]]-TabTRADER[[#This Row],[L_Sp]])*(1-Commission)*TabTRADER[[#This Row],[Scale]],                                  TRUE,"M= "&amp;TabTRADER[[#This Row],[M]])</f>
        <v>M= 205.5</v>
      </c>
      <c r="AI64" s="1165" t="str" cm="1">
        <f t="array" aca="1" ref="AI64" ca="1">_xlfn.IFS(   TabTRADER[[#This Row],[Traps]]=MUp,TEXT(MIN(TabTRADER[[#This Row],[L_Sn]],TabTRADER[[#This Row],[N]]),"#,#0")&amp;" x "&amp;TEXT(TabTRADER[[#This Row],[L_Sp]],"#,#0.#0"),          TRUE,"")</f>
        <v/>
      </c>
      <c r="AJ64" s="1165"/>
      <c r="AK64" s="1165"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9056.3920000000016</v>
      </c>
      <c r="AL64" s="1165"/>
      <c r="AM64" s="1165"/>
      <c r="AN64" s="1165"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82405.5</v>
      </c>
      <c r="AO64" s="1174"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0.19496696458716287</v>
      </c>
      <c r="AP64" s="1174"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0.21832457420924578</v>
      </c>
      <c r="AQ64" s="825" t="str" cm="1">
        <f t="array" aca="1" ref="AQ64" ca="1">_xlfn.IFS(   TabTRADER[[#This Row],[Traps]]=SellMorePercentGain,                     MIN(TabTRADER[[#This Row],[L_Sn]],TabTRADER[[#This Row],[N]])*(TabTRADER[[#This Row],[M]]-TabTRADER[[#This Row],[L_Sp]])*(1-Commission)*TabTRADER[[#This Row],[Scale]],                    TRUE,"")</f>
        <v/>
      </c>
      <c r="AR64" s="1163">
        <f ca="1">_xlfn.XLOOKUP(TabTRADER[[#This Row],[ClickTick]],TabCalc[Ticker],TabCalc[Ann%RevLB])</f>
        <v>-0.54740748431696318</v>
      </c>
      <c r="AS64" s="1267">
        <f ca="1">_xlfn.XLOOKUP(TabTRADER[[#This Row],[ClickTick]],TabCalc[Ticker],TabCalc[Up20])</f>
        <v>0</v>
      </c>
      <c r="AT64" s="1175"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0.22092457420924577</v>
      </c>
      <c r="AU64" s="825" cm="1">
        <f t="array" aca="1" ref="AU64" ca="1">_xlfn.IFS(         TabTRADER[[#This Row],[Traps]]=MDown,TabTRADER[[#This Row],[L_Bn]]*TabTRADER[[#This Row],[M]]*(-(TabTRADER[[#This Row],[L_Bp]]+TabTRADER[[#This Row],[M]])/TabTRADER[[#This Row],[M]])*(1-Commission)*TabTRADER[[#This Row],[Scale]],                               TRUE,"")</f>
        <v>9056.3920000000016</v>
      </c>
      <c r="AV64" s="1174" cm="1">
        <f t="array" aca="1" ref="AV64" ca="1">_xlfn.IFS(   TabTRADER[[#This Row],[Traps]]=MUp,TabTRADER[[#This Row],[TakeGain_A]]-Commission,        TabTRADER[[#This Row],[Traps]]=MDown,(TabTRADER[[#This Row],[A]]-TabTRADER[[#This Row],[M]])/TabTRADER[[#This Row],[M]]-Commission,                              TRUE,"")</f>
        <v>0.23958504832808492</v>
      </c>
      <c r="AW64" s="760"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19905.490812</v>
      </c>
      <c r="AX64" s="760"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64" s="736"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-45.4</v>
      </c>
      <c r="AZ64" s="765" cm="1">
        <f t="array" aca="1" ref="AZ64" ca="1">_xlfn.IFS(TabTRADER[[#This Row],[Traps]]=Sale_Back,"",         TabTRADER[[#This Row],[Traps]]=MDown, (TabTRADER[[#This Row],[M]]-TabTRADER[[#This Row],[A]])/TabTRADER[[#This Row],[A]]*ComFactor,             TRUE, IFERROR((TabTRADER[[#This Row],[M]]-TabTRADER[[#This Row],[A]])/TabTRADER[[#This Row],[A]]*ComFactor,""))</f>
        <v>-0.19446005047923623</v>
      </c>
      <c r="BA64" s="762" cm="1">
        <f t="array" aca="1" ref="BA64" ca="1">_xlfn.IFS(               TabTRADER[[#This Row],[Traps]]=NoStock,(TabTRADER[[#This Row],[L_Sp]]-TabTRADER[[#This Row],[M]])/TabTRADER[[#This Row],[M]]-Commission,             TabTRADER[[#This Row],[A]]&lt;&gt;0,(TabTRADER[[#This Row],[A]]-TabTRADER[[#This Row],[M]])/TabTRADER[[#This Row],[M]]-Commission)</f>
        <v>0.23958504832808492</v>
      </c>
      <c r="BB64" s="324">
        <f ca="1">_xlfn.XLOOKUP(TabTRADER[[#This Row],[ClickTick]],TabCalc[Ticker],TabCalc[L_Sn])</f>
        <v>500</v>
      </c>
      <c r="BC64" s="728">
        <f ca="1">_xlfn.XLOOKUP(TabTRADER[[#This Row],[ClickTick]],TabCalc[Ticker],TabCalc[L_Sp])</f>
        <v>267.48</v>
      </c>
      <c r="BD64" s="764">
        <f ca="1">-IFERROR((TabTRADER[[#This Row],[M]]-TabTRADER[[#This Row],[L_Sp]])/TabTRADER[[#This Row],[L_Sp]],0)</f>
        <v>0.23171825930910728</v>
      </c>
      <c r="BE64" s="729">
        <f ca="1">TabTRADER[[#This Row],[L_Sn]]*(TabTRADER[[#This Row],[M]]-TabTRADER[[#This Row],[L_Sp]])*(1-Commission)*TabTRADER[[#This Row],[Scale]]</f>
        <v>-30909.426000000007</v>
      </c>
      <c r="BF64" s="692">
        <f ca="1">TabTRADER[[#This Row],[L_Sn]]*(TabTRADER[[#This Row],[Agiotage]]-TabTRADER[[#This Row],[M]])/(TabTRADER[[#This Row],[L_Bn]]*TabTRADER[[#This Row],[M]])</f>
        <v>-2.4885988982180307</v>
      </c>
      <c r="BG64" s="635">
        <f ca="1">IFERROR((TabTRADER[[#This Row],[M]]-TabTRADER[[#This Row],[A]])/TabTRADER[[#This Row],[A]],0)</f>
        <v>-0.19496696458716287</v>
      </c>
      <c r="BH64" s="638" t="str">
        <f ca="1">TEXT(_xlfn.XLOOKUP(TabTRADER[[#This Row],[ClickTick]],TabCalc[Ticker],TabCalc[NAfter]),"#,#0")&amp;" : "&amp;TEXT(_xlfn.XLOOKUP(TabTRADER[[#This Row],[ClickTick]],TabCalc[Ticker],TabCalc[NAfter])*(TabTRADER[[#This Row],[M]]-TabTRADER[[#This Row],[A]])*(1-Commission)*TabTRADER[[#This Row],[Scale]],"#,#0$")</f>
        <v>401 : -19,905$</v>
      </c>
      <c r="BI64" s="684">
        <f ca="1">_xlfn.XLOOKUP(TabTRADER[[#This Row],[ClickTick]],TabCalc[[#This Row],[Ticker]],TabCalc[[#This Row],[GL]])*(1-Commission)</f>
        <v>45770.930219573806</v>
      </c>
      <c r="BJ64" s="684"/>
      <c r="BK64" s="669" t="str">
        <f ca="1">TabTRADER[[#This Row],[ClickTick]]&amp;": "&amp;_xlfn.XLOOKUP(TabTRADER[[#This Row],[ClickTick]],TabCalc[Ticker],TabCalc[Pile?])</f>
        <v>MVESAP: Pile</v>
      </c>
      <c r="BL64" s="351" t="s">
        <v>2034</v>
      </c>
      <c r="BM64" s="755" t="str" cm="1">
        <f t="array" aca="1" ref="BM64" ca="1">_xlfn.TEXTJOIN("",,INDEX({"M","A","Y"}, _xlfn.SORTBY({1,2,3}, -CHOOSE({1,2,3}, TabTRADER[[#This Row],[M]], TabTRADER[[#This Row],[A]], TabTRADER[[#This Row],[Agiotage]]))))</f>
        <v>AMY</v>
      </c>
      <c r="BN64" s="902"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0.22092457420924577</v>
      </c>
      <c r="BO64" s="679" t="e">
        <f ca="1">TabTRADER[[#This Row],[L_Sn]]*TabTRADER[[#This Row],[L_Sp]]+TabTRADER[[#This Row],[SellMore]]*TabTRADER[[#This Row],[M]]</f>
        <v>#N/A</v>
      </c>
      <c r="BP64" s="679" t="e">
        <f ca="1">INDEX(
  INDEX(TabConsolid[], , _xlfn.XMATCH(TabTRADER[[#This Row],[ClickTick]]&amp;1, TabConsolid[#Headers])),
  MATCH(
    -TabTRADER[[#This Row],[M]],
    INDEX(TabConsolid[], , _xlfn.XMATCH(TabTRADER[[#This Row],[ClickTick]]&amp;2, TabConsolid[#Headers])),
    -1
  )
)</f>
        <v>#N/A</v>
      </c>
      <c r="BQ64" s="679"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44" t="e">
        <f ca="1">TabTRADER[[#This Row],[ReBuy]]/(TabTRADER[[#This Row],[L_Sn]]+TabTRADER[[#This Row],[SellMore]])</f>
        <v>#N/A</v>
      </c>
      <c r="BS64" s="687">
        <f ca="1">((_xlfn.XLOOKUP(TabTRADER[[#This Row],[ClickTick]],TabCalc[Ticker],TabCalc[NAfter])+TabTRADER[[#This Row],[L_Sn]])*(TabTRADER[[#This Row],[Agiotage]]-TabTRADER[[#This Row],[M]]))/(TabTRADER[[#This Row],[L_Sn]]*_xlfn.XLOOKUP(TabTRADER[[#This Row],[ClickTick]],TabCalc[Ticker],TabCalc[NAfter]))</f>
        <v>-0.91925740309029147</v>
      </c>
      <c r="BT64" s="687">
        <f ca="1">(TabTRADER[[#This Row],[M]]-TabTRADER[[#This Row],[Agiotage]])/(TabTRADER[[#This Row],[M]]-TabTRADER[[#This Row],[A]])-1</f>
        <v>-5.1102436593802576</v>
      </c>
      <c r="BU64" s="1262">
        <f ca="1">_xlfn.XMATCH(TabTRADER[[#This Row],[ClickTick]]&amp;1, TabConsolid[#Headers])</f>
        <v>188</v>
      </c>
      <c r="BV64" t="str">
        <f ca="1">IF(ABS(TabTRADER[[#This Row],[L_Bp]])&gt;=TabTRADER[[#This Row],[M]],"OK")</f>
        <v>OK</v>
      </c>
    </row>
    <row r="65" spans="1:74" hidden="1"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-280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-23.7%</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-69$</v>
      </c>
      <c r="G65" s="225" t="str">
        <f ca="1">IFERROR(TRUNC(_xlfn.XLOOKUP(TabTRADER[[#This Row],[ClickTick]],TabCalc[Ticker],ListLastSalep),2)&amp;"x"&amp;_xlfn.XLOOKUP(TabTRADER[[#This Row],[ClickTick]],TabCalc[Ticker],ListLastSalen)&amp;"=   "&amp;TEXT(-_xlfn.XLOOKUP(TabTRADER[[#This Row],[ClickTick]],TabCalc[Ticker],ListReverseB),"#,#0")&amp;"$","")</f>
        <v>45.93x488=   -7,652$</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51.8% = 319</v>
      </c>
      <c r="I65" s="226" t="str">
        <f ca="1">IFERROR(TRUNC(TabCalc[[#This Row],[L_S1p]],2)&amp;"x"&amp;TabCalc[[#This Row],[L_S1n]]&amp;"=   "&amp;TEXT(TabCalc[[#This Row],[ReverseB1]],"#,#0"),"")</f>
        <v>51.5x490=   10,413</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15578.75</v>
      </c>
      <c r="M65" s="323">
        <f ca="1">_xlfn.XLOOKUP(TabTRADER[[#This Row],[ClickTick]],TabCalc[Ticker],TabCalc[Agiotage])</f>
        <v>1.1235955056179776E-3</v>
      </c>
      <c r="N65" s="324" cm="1">
        <f t="array" aca="1" ref="N65" ca="1">_xlfn.XLOOKUP(TabTRADER[[#This Row],[ClickTick]],ListTickers,Tab2RSIConventional[RSIConv20])</f>
        <v>21</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-0.1917167668670674</v>
      </c>
      <c r="S65" s="683">
        <f ca="1">_xlfn.XLOOKUP(TabTRADER[[#This Row],[ClickTick]],TabCalc[Ticker],TabCalc[Rev(MinStock)])*(1-Commission)</f>
        <v>-279.09745499999985</v>
      </c>
      <c r="T65" s="782">
        <f ca="1">_xlfn.XLOOKUP(TabTRADER[[#This Row],[ClickTick]],TabCalc[Ticker],TabCalc[Agiotage])</f>
        <v>1.1235955056179776E-3</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392/392=&gt;-0.7% / -0.7%</v>
      </c>
      <c r="V65" s="739" t="str">
        <f ca="1">_xlfn.XLOOKUP(TabTRADER[[#This Row],[ClickTick]],[1]!RTData[Ticker_Symbol],[1]!RTData[Currency])</f>
        <v>EUR</v>
      </c>
      <c r="W65" s="749">
        <f ca="1">_xlfn.XLOOKUP(TabTRADER[[#This Row],[ClickTick]],TabCalc[Ticker],TabCalc[M])</f>
        <v>30.25</v>
      </c>
      <c r="X65" s="1315"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-6.5680000000000009E-3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182"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65"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30.25, -34.1%</v>
      </c>
      <c r="AG65" s="1165"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65" t="str" cm="1">
        <f t="array" aca="1" ref="AH65" ca="1">_xlfn.IFS(     TabTRADER[[#This Row],[Traps]]=MUp,MIN(TabTRADER[[#This Row],[L_Sn]],TabTRADER[[#This Row],[N]])*(TabTRADER[[#This Row],[M]]-TabTRADER[[#This Row],[L_Sp]])*(1-Commission)*TabTRADER[[#This Row],[Scale]],                                  TRUE,"M= "&amp;TabTRADER[[#This Row],[M]])</f>
        <v>M= 30.25</v>
      </c>
      <c r="AI65" s="1165" t="str" cm="1">
        <f t="array" aca="1" ref="AI65" ca="1">_xlfn.IFS(   TabTRADER[[#This Row],[Traps]]=MUp,TEXT(MIN(TabTRADER[[#This Row],[L_Sn]],TabTRADER[[#This Row],[N]]),"#,#0")&amp;" x "&amp;TEXT(TabTRADER[[#This Row],[L_Sp]],"#,#0.#0"),          TRUE,"")</f>
        <v/>
      </c>
      <c r="AJ65" s="1165"/>
      <c r="AK65" s="1165"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279.09745499999985</v>
      </c>
      <c r="AL65" s="1165"/>
      <c r="AM65" s="1165"/>
      <c r="AN65" s="1165"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16940</v>
      </c>
      <c r="AO65" s="1174"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0.27874242312316028</v>
      </c>
      <c r="AP65" s="1174"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0.23459008264462802</v>
      </c>
      <c r="AQ65" s="825" t="str" cm="1">
        <f t="array" aca="1" ref="AQ65" ca="1">_xlfn.IFS(   TabTRADER[[#This Row],[Traps]]=SellMorePercentGain,                     MIN(TabTRADER[[#This Row],[L_Sn]],TabTRADER[[#This Row],[N]])*(TabTRADER[[#This Row],[M]]-TabTRADER[[#This Row],[L_Sp]])*(1-Commission)*TabTRADER[[#This Row],[Scale]],                    TRUE,"")</f>
        <v/>
      </c>
      <c r="AR65" s="1163">
        <f ca="1">_xlfn.XLOOKUP(TabTRADER[[#This Row],[ClickTick]],TabCalc[Ticker],TabCalc[Ann%RevLB])</f>
        <v>-0.5565970650979376</v>
      </c>
      <c r="AS65" s="1267">
        <f ca="1">_xlfn.XLOOKUP(TabTRADER[[#This Row],[ClickTick]],TabCalc[Ticker],TabCalc[Up20])</f>
        <v>0</v>
      </c>
      <c r="AT65" s="1175"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0.23719008264462801</v>
      </c>
      <c r="AU65" s="825" cm="1">
        <f t="array" aca="1" ref="AU65" ca="1">_xlfn.IFS(         TabTRADER[[#This Row],[Traps]]=MDown,TabTRADER[[#This Row],[L_Bn]]*TabTRADER[[#This Row],[M]]*(-(TabTRADER[[#This Row],[L_Bp]]+TabTRADER[[#This Row],[M]])/TabTRADER[[#This Row],[M]])*(1-Commission)*TabTRADER[[#This Row],[Scale]],                               TRUE,"")</f>
        <v>279.09745499999985</v>
      </c>
      <c r="AV65" s="1174" cm="1">
        <f t="array" aca="1" ref="AV65" ca="1">_xlfn.IFS(   TabTRADER[[#This Row],[Traps]]=MUp,TabTRADER[[#This Row],[TakeGain_A]]-Commission,        TabTRADER[[#This Row],[Traps]]=MDown,(TabTRADER[[#This Row],[A]]-TabTRADER[[#This Row],[M]])/TabTRADER[[#This Row],[M]]-Commission,                              TRUE,"")</f>
        <v>0.38386723730814643</v>
      </c>
      <c r="AW65" s="825"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6529.7334370000008</v>
      </c>
      <c r="AX65" s="760"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65" s="736"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-7.17</v>
      </c>
      <c r="AZ65" s="765" cm="1">
        <f t="array" aca="1" ref="AZ65" ca="1">_xlfn.IFS(TabTRADER[[#This Row],[Traps]]=Sale_Back,"",         TabTRADER[[#This Row],[Traps]]=MDown, (TabTRADER[[#This Row],[M]]-TabTRADER[[#This Row],[A]])/TabTRADER[[#This Row],[A]]*ComFactor,             TRUE, IFERROR((TabTRADER[[#This Row],[M]]-TabTRADER[[#This Row],[A]])/TabTRADER[[#This Row],[A]]*ComFactor,""))</f>
        <v>-0.27801769282304006</v>
      </c>
      <c r="BA65" s="762" cm="1">
        <f t="array" aca="1" ref="BA65" ca="1">_xlfn.IFS(               TabTRADER[[#This Row],[Traps]]=NoStock,(TabTRADER[[#This Row],[L_Sp]]-TabTRADER[[#This Row],[M]])/TabTRADER[[#This Row],[M]]-Commission,             TabTRADER[[#This Row],[A]]&lt;&gt;0,(TabTRADER[[#This Row],[A]]-TabTRADER[[#This Row],[M]])/TabTRADER[[#This Row],[M]]-Commission)</f>
        <v>0.38386723730814643</v>
      </c>
      <c r="BB65" s="324">
        <f ca="1">_xlfn.XLOOKUP(TabTRADER[[#This Row],[ClickTick]],TabCalc[Ticker],TabCalc[L_Sn])</f>
        <v>488</v>
      </c>
      <c r="BC65" s="728">
        <f ca="1">_xlfn.XLOOKUP(TabTRADER[[#This Row],[ClickTick]],TabCalc[Ticker],TabCalc[L_Sp])</f>
        <v>45.93</v>
      </c>
      <c r="BD65" s="764">
        <f ca="1">-IFERROR((TabTRADER[[#This Row],[M]]-TabTRADER[[#This Row],[L_Sp]])/TabTRADER[[#This Row],[L_Sp]],0)</f>
        <v>0.34138907032440668</v>
      </c>
      <c r="BE65" s="729">
        <f ca="1">TabTRADER[[#This Row],[L_Sn]]*(TabTRADER[[#This Row],[M]]-TabTRADER[[#This Row],[L_Sp]])*(1-Commission)*TabTRADER[[#This Row],[Scale]]</f>
        <v>-7631.9452160000001</v>
      </c>
      <c r="BF65" s="692">
        <f ca="1">TabTRADER[[#This Row],[L_Sn]]*(TabTRADER[[#This Row],[Agiotage]]-TabTRADER[[#This Row],[M]])/(TabTRADER[[#This Row],[L_Bn]]*TabTRADER[[#This Row],[M]])</f>
        <v>-12.512355740956354</v>
      </c>
      <c r="BG65" s="635">
        <f ca="1">IFERROR((TabTRADER[[#This Row],[M]]-TabTRADER[[#This Row],[A]])/TabTRADER[[#This Row],[A]],0)</f>
        <v>-0.27874242312316028</v>
      </c>
      <c r="BH65" s="638" t="str">
        <f ca="1">TEXT(_xlfn.XLOOKUP(TabTRADER[[#This Row],[ClickTick]],TabCalc[Ticker],TabCalc[NAfter]),"#,#0")&amp;" : "&amp;TEXT(_xlfn.XLOOKUP(TabTRADER[[#This Row],[ClickTick]],TabCalc[Ticker],TabCalc[NAfter])*(TabTRADER[[#This Row],[M]]-TabTRADER[[#This Row],[A]])*(1-Commission)*TabTRADER[[#This Row],[Scale]],"#,#0$")</f>
        <v>560 : -6,530$</v>
      </c>
      <c r="BI65" s="684">
        <f ca="1">_xlfn.XLOOKUP(TabTRADER[[#This Row],[ClickTick]],TabCalc[[#This Row],[Ticker]],TabCalc[[#This Row],[GL]])*(1-Commission)</f>
        <v>-67.450609161462197</v>
      </c>
      <c r="BJ65" s="684"/>
      <c r="BK65" s="669" t="str">
        <f ca="1">TabTRADER[[#This Row],[ClickTick]]&amp;": "&amp;_xlfn.XLOOKUP(TabTRADER[[#This Row],[ClickTick]],TabCalc[Ticker],TabCalc[Pile?])</f>
        <v xml:space="preserve">MVEUN0: </v>
      </c>
      <c r="BL65" s="351" t="s">
        <v>2035</v>
      </c>
      <c r="BM65" s="755" t="str" cm="1">
        <f t="array" aca="1" ref="BM65" ca="1">_xlfn.TEXTJOIN("",,INDEX({"M","A","Y"}, _xlfn.SORTBY({1,2,3}, -CHOOSE({1,2,3}, TabTRADER[[#This Row],[M]], TabTRADER[[#This Row],[A]], TabTRADER[[#This Row],[Agiotage]]))))</f>
        <v>AMY</v>
      </c>
      <c r="BN65" s="902"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0.23719008264462801</v>
      </c>
      <c r="BO65" s="679" t="e">
        <f ca="1">TabTRADER[[#This Row],[L_Sn]]*TabTRADER[[#This Row],[L_Sp]]+TabTRADER[[#This Row],[SellMore]]*TabTRADER[[#This Row],[M]]</f>
        <v>#N/A</v>
      </c>
      <c r="BP65" s="679" t="e">
        <f ca="1">INDEX(
  INDEX(TabConsolid[], , _xlfn.XMATCH(TabTRADER[[#This Row],[ClickTick]]&amp;1, TabConsolid[#Headers])),
  MATCH(
    -TabTRADER[[#This Row],[M]],
    INDEX(TabConsolid[], , _xlfn.XMATCH(TabTRADER[[#This Row],[ClickTick]]&amp;2, TabConsolid[#Headers])),
    -1
  )
)</f>
        <v>#N/A</v>
      </c>
      <c r="BQ65" s="679"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44" t="e">
        <f ca="1">TabTRADER[[#This Row],[ReBuy]]/(TabTRADER[[#This Row],[L_Sn]]+TabTRADER[[#This Row],[SellMore]])</f>
        <v>#N/A</v>
      </c>
      <c r="BS65" s="687">
        <f ca="1">((_xlfn.XLOOKUP(TabTRADER[[#This Row],[ClickTick]],TabCalc[Ticker],TabCalc[NAfter])+TabTRADER[[#This Row],[L_Sn]])*(TabTRADER[[#This Row],[Agiotage]]-TabTRADER[[#This Row],[M]]))/(TabTRADER[[#This Row],[L_Sn]]*_xlfn.XLOOKUP(TabTRADER[[#This Row],[ClickTick]],TabCalc[Ticker],TabCalc[NAfter]))</f>
        <v>-0.11600125319053758</v>
      </c>
      <c r="BT65" s="687">
        <f ca="1">(TabTRADER[[#This Row],[M]]-TabTRADER[[#This Row],[Agiotage]])/(TabTRADER[[#This Row],[M]]-TabTRADER[[#This Row],[A]])-1</f>
        <v>-3.5874453506381179</v>
      </c>
      <c r="BU65" s="1262">
        <f ca="1">_xlfn.XMATCH(TabTRADER[[#This Row],[ClickTick]]&amp;1, TabConsolid[#Headers])</f>
        <v>191</v>
      </c>
      <c r="BV65" t="str">
        <f ca="1">IF(ABS(TabTRADER[[#This Row],[L_Bp]])&gt;=TabTRADER[[#This Row],[M]],"OK")</f>
        <v>OK</v>
      </c>
    </row>
    <row r="66" spans="1:74" hidden="1"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+20,657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26.4%</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70/350=18,955</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22,778$</v>
      </c>
      <c r="G66" s="225" t="str">
        <f ca="1">IFERROR(TRUNC(_xlfn.XLOOKUP(TabTRADER[[#This Row],[ClickTick]],TabCalc[Ticker],ListLastSalep),2)&amp;"x"&amp;_xlfn.XLOOKUP(TabTRADER[[#This Row],[ClickTick]],TabCalc[Ticker],ListLastSalen)&amp;"=   "&amp;TEXT(-_xlfn.XLOOKUP(TabTRADER[[#This Row],[ClickTick]],TabCalc[Ticker],ListReverseB),"#,#0")&amp;"$","")</f>
        <v>260x150=   1,505$</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66" s="226" t="str">
        <f ca="1">IFERROR(TRUNC(TabCalc[[#This Row],[L_S1p]],2)&amp;"x"&amp;TabCalc[[#This Row],[L_S1n]]&amp;"=   "&amp;TEXT(TabCalc[[#This Row],[ReverseB1]],"#,#0"),"")</f>
        <v>230.21x300=   -11,946</v>
      </c>
      <c r="J66" s="295">
        <f ca="1">_xlfn.XLOOKUP(TabTRADER[[#This Row],[ClickTick]],TabCalc[Ticker],ListGravity)</f>
        <v>1.0237046624449135</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0.30565067320598954</v>
      </c>
      <c r="N66" s="324" cm="1">
        <f t="array" aca="1" ref="N66" ca="1">_xlfn.XLOOKUP(TabTRADER[[#This Row],[ClickTick]],ListTickers,Tab2RSIConventional[RSIConv20])</f>
        <v>59</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0.35829979879275631</v>
      </c>
      <c r="S66" s="683">
        <f ca="1">_xlfn.XLOOKUP(TabTRADER[[#This Row],[ClickTick]],TabCalc[Ticker],TabCalc[Rev(MinStock)])*(1-Commission)</f>
        <v>20602.992579999987</v>
      </c>
      <c r="T66" s="782">
        <f ca="1">_xlfn.XLOOKUP(TabTRADER[[#This Row],[ClickTick]],TabCalc[Ticker],TabCalc[Agiotage])</f>
        <v>0.30565067320598954</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1,585/1,585=&gt;1.0% / 1.0%</v>
      </c>
      <c r="V66" s="739" t="str">
        <f ca="1">_xlfn.XLOOKUP(TabTRADER[[#This Row],[ClickTick]],[1]!RTData[Ticker_Symbol],[1]!RTData[Currency])</f>
        <v>USD</v>
      </c>
      <c r="W66" s="749">
        <f ca="1">_xlfn.XLOOKUP(TabTRADER[[#This Row],[ClickTick]],TabCalc[Ticker],TabCalc[M])</f>
        <v>270.02999999999997</v>
      </c>
      <c r="X66" s="1315"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9.6839999999999999E-3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^127/95 K$</v>
      </c>
      <c r="AE66" s="1182"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65"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270.03, 03.9%</v>
      </c>
      <c r="AG66" s="1165"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65" cm="1">
        <f t="array" aca="1" ref="AH66" ca="1">_xlfn.IFS(     TabTRADER[[#This Row],[Traps]]=MUp,MIN(TabTRADER[[#This Row],[L_Sn]],TabTRADER[[#This Row],[N]])*(TabTRADER[[#This Row],[M]]-TabTRADER[[#This Row],[L_Sp]])*(1-Commission)*TabTRADER[[#This Row],[Scale]],                                  TRUE,"M= "&amp;TabTRADER[[#This Row],[M]])</f>
        <v>1500.5882999999958</v>
      </c>
      <c r="AI66" s="1165" t="str" cm="1">
        <f t="array" aca="1" ref="AI66" ca="1">_xlfn.IFS(   TabTRADER[[#This Row],[Traps]]=MUp,TEXT(MIN(TabTRADER[[#This Row],[L_Sn]],TabTRADER[[#This Row],[N]]),"#,#0")&amp;" x "&amp;TEXT(TabTRADER[[#This Row],[L_Sp]],"#,#0.#0"),          TRUE,"")</f>
        <v>150 x 260.0</v>
      </c>
      <c r="AJ66" s="1165"/>
      <c r="AK66" s="1165"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1500.5882999999958</v>
      </c>
      <c r="AL66" s="1165"/>
      <c r="AM66" s="1165"/>
      <c r="AN66" s="1165"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24497.680793919993</v>
      </c>
      <c r="AO66" s="1174"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0.35113518601145954</v>
      </c>
      <c r="AP66" s="1174"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3.4544021034699751E-2</v>
      </c>
      <c r="AQ66" s="825" cm="1">
        <f t="array" aca="1" ref="AQ66" ca="1">_xlfn.IFS(   TabTRADER[[#This Row],[Traps]]=SellMorePercentGain,                     MIN(TabTRADER[[#This Row],[L_Sn]],TabTRADER[[#This Row],[N]])*(TabTRADER[[#This Row],[M]]-TabTRADER[[#This Row],[L_Sp]])*(1-Commission)*TabTRADER[[#This Row],[Scale]],                    TRUE,"")</f>
        <v>1500.5882999999958</v>
      </c>
      <c r="AR66" s="1163">
        <f ca="1">_xlfn.XLOOKUP(TabTRADER[[#This Row],[ClickTick]],TabCalc[Ticker],TabCalc[Ann%RevLB])</f>
        <v>0.80116725195895822</v>
      </c>
      <c r="AS66" s="1267">
        <f ca="1">_xlfn.XLOOKUP(TabTRADER[[#This Row],[ClickTick]],TabCalc[Ticker],TabCalc[Up20])</f>
        <v>0</v>
      </c>
      <c r="AT66" s="1175"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5" t="str" cm="1">
        <f t="array" aca="1" ref="AU66" ca="1">_xlfn.IFS(         TabTRADER[[#This Row],[Traps]]=MDown,TabTRADER[[#This Row],[L_Bn]]*TabTRADER[[#This Row],[M]]*(-(TabTRADER[[#This Row],[L_Bp]]+TabTRADER[[#This Row],[M]])/TabTRADER[[#This Row],[M]])*(1-Commission)*TabTRADER[[#This Row],[Scale]],                               TRUE,"")</f>
        <v/>
      </c>
      <c r="AV66" s="1174" cm="1">
        <f t="array" aca="1" ref="AV66" ca="1">_xlfn.IFS(   TabTRADER[[#This Row],[Traps]]=MUp,TabTRADER[[#This Row],[TakeGain_A]]-Commission,        TabTRADER[[#This Row],[Traps]]=MDown,(TabTRADER[[#This Row],[A]]-TabTRADER[[#This Row],[M]])/TabTRADER[[#This Row],[M]]-Commission,                              TRUE,"")</f>
        <v>0.34853518601145955</v>
      </c>
      <c r="AW66" s="825"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33099.678496342443</v>
      </c>
      <c r="AX66" s="760"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6"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290x70.17</v>
      </c>
      <c r="AZ66" s="765" cm="1">
        <f t="array" aca="1" ref="AZ66" ca="1">_xlfn.IFS(TabTRADER[[#This Row],[Traps]]=Sale_Back,"",         TabTRADER[[#This Row],[Traps]]=MDown, (TabTRADER[[#This Row],[M]]-TabTRADER[[#This Row],[A]])/TabTRADER[[#This Row],[A]]*ComFactor,             TRUE, IFERROR((TabTRADER[[#This Row],[M]]-TabTRADER[[#This Row],[A]])/TabTRADER[[#This Row],[A]]*ComFactor,""))</f>
        <v>0.35022223452782975</v>
      </c>
      <c r="BA66" s="762" cm="1">
        <f t="array" aca="1" ref="BA66" ca="1">_xlfn.IFS(               TabTRADER[[#This Row],[Traps]]=NoStock,(TabTRADER[[#This Row],[L_Sp]]-TabTRADER[[#This Row],[M]])/TabTRADER[[#This Row],[M]]-Commission,             TabTRADER[[#This Row],[A]]&lt;&gt;0,(TabTRADER[[#This Row],[A]]-TabTRADER[[#This Row],[M]])/TabTRADER[[#This Row],[M]]-Commission)</f>
        <v>-0.26248160892175998</v>
      </c>
      <c r="BB66" s="324">
        <f ca="1">_xlfn.XLOOKUP(TabTRADER[[#This Row],[ClickTick]],TabCalc[Ticker],TabCalc[L_Sn])</f>
        <v>150</v>
      </c>
      <c r="BC66" s="728">
        <f ca="1">_xlfn.XLOOKUP(TabTRADER[[#This Row],[ClickTick]],TabCalc[Ticker],TabCalc[L_Sp])</f>
        <v>260</v>
      </c>
      <c r="BD66" s="764">
        <f ca="1">-IFERROR((TabTRADER[[#This Row],[M]]-TabTRADER[[#This Row],[L_Sp]])/TabTRADER[[#This Row],[L_Sp]],0)</f>
        <v>-3.8576923076922974E-2</v>
      </c>
      <c r="BE66" s="729">
        <f ca="1">TabTRADER[[#This Row],[L_Sn]]*(TabTRADER[[#This Row],[M]]-TabTRADER[[#This Row],[L_Sp]])*(1-Commission)*TabTRADER[[#This Row],[Scale]]</f>
        <v>1500.5882999999958</v>
      </c>
      <c r="BF66" s="692">
        <f ca="1">TabTRADER[[#This Row],[L_Sn]]*(TabTRADER[[#This Row],[Agiotage]]-TabTRADER[[#This Row],[M]])/(TabTRADER[[#This Row],[L_Bn]]*TabTRADER[[#This Row],[M]])</f>
        <v>-0.51665590667472583</v>
      </c>
      <c r="BG66" s="635">
        <f ca="1">IFERROR((TabTRADER[[#This Row],[M]]-TabTRADER[[#This Row],[A]])/TabTRADER[[#This Row],[A]],0)</f>
        <v>0.35113518601145954</v>
      </c>
      <c r="BH66" s="638" t="str">
        <f ca="1">TEXT(_xlfn.XLOOKUP(TabTRADER[[#This Row],[ClickTick]],TabCalc[Ticker],TabCalc[NAfter]),"#,#0")&amp;" : "&amp;TEXT(_xlfn.XLOOKUP(TabTRADER[[#This Row],[ClickTick]],TabCalc[Ticker],TabCalc[NAfter])*(TabTRADER[[#This Row],[M]]-TabTRADER[[#This Row],[A]])*(1-Commission)*TabTRADER[[#This Row],[Scale]],"#,#0$")</f>
        <v>350 : 24,498$</v>
      </c>
      <c r="BI66" s="684">
        <f ca="1">_xlfn.XLOOKUP(TabTRADER[[#This Row],[ClickTick]],TabCalc[[#This Row],[Ticker]],TabCalc[[#This Row],[GL]])*(1-Commission)</f>
        <v>126574.30422026155</v>
      </c>
      <c r="BJ66" s="684"/>
      <c r="BK66" s="669" t="str">
        <f ca="1">TabTRADER[[#This Row],[ClickTick]]&amp;": "&amp;_xlfn.XLOOKUP(TabTRADER[[#This Row],[ClickTick]],TabCalc[Ticker],TabCalc[Pile?])</f>
        <v xml:space="preserve">SAFAAPL: </v>
      </c>
      <c r="BL66" s="351" t="s">
        <v>2036</v>
      </c>
      <c r="BM66" s="755" t="str" cm="1">
        <f t="array" aca="1" ref="BM66" ca="1">_xlfn.TEXTJOIN("",,INDEX({"M","A","Y"}, _xlfn.SORTBY({1,2,3}, -CHOOSE({1,2,3}, TabTRADER[[#This Row],[M]], TabTRADER[[#This Row],[A]], TabTRADER[[#This Row],[Agiotage]]))))</f>
        <v>MAY</v>
      </c>
      <c r="BN66" s="902"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3.7144021034699749E-2</v>
      </c>
      <c r="BO66" s="679">
        <f ca="1">TabTRADER[[#This Row],[L_Sn]]*TabTRADER[[#This Row],[L_Sp]]+TabTRADER[[#This Row],[SellMore]]*TabTRADER[[#This Row],[M]]</f>
        <v>55201.8</v>
      </c>
      <c r="BP66" s="679">
        <f ca="1">INDEX(
  INDEX(TabConsolid[], , _xlfn.XMATCH(TabTRADER[[#This Row],[ClickTick]]&amp;1, TabConsolid[#Headers])),
  MATCH(
    -TabTRADER[[#This Row],[M]],
    INDEX(TabConsolid[], , _xlfn.XMATCH(TabTRADER[[#This Row],[ClickTick]]&amp;2, TabConsolid[#Headers])),
    -1
  )
)</f>
        <v>60</v>
      </c>
      <c r="BQ66" s="679"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44">
        <f ca="1">TabTRADER[[#This Row],[ReBuy]]/(TabTRADER[[#This Row],[L_Sn]]+TabTRADER[[#This Row],[SellMore]])</f>
        <v>262.86571428571432</v>
      </c>
      <c r="BS66" s="687">
        <f ca="1">((_xlfn.XLOOKUP(TabTRADER[[#This Row],[ClickTick]],TabCalc[Ticker],TabCalc[NAfter])+TabTRADER[[#This Row],[L_Sn]])*(TabTRADER[[#This Row],[Agiotage]]-TabTRADER[[#This Row],[M]]))/(TabTRADER[[#This Row],[L_Sn]]*_xlfn.XLOOKUP(TabTRADER[[#This Row],[ClickTick]],TabCalc[Ticker],TabCalc[NAfter]))</f>
        <v>-2.5688033269218473</v>
      </c>
      <c r="BT66" s="687">
        <f ca="1">(TabTRADER[[#This Row],[M]]-TabTRADER[[#This Row],[Agiotage]])/(TabTRADER[[#This Row],[M]]-TabTRADER[[#This Row],[A]])-1</f>
        <v>2.8435504935577134</v>
      </c>
      <c r="BU66" s="1262">
        <f ca="1">_xlfn.XMATCH(TabTRADER[[#This Row],[ClickTick]]&amp;1, TabConsolid[#Headers])</f>
        <v>194</v>
      </c>
      <c r="BV66" t="b">
        <f ca="1">IF(ABS(TabTRADER[[#This Row],[L_Bp]])&gt;=TabTRADER[[#This Row],[M]],"OK")</f>
        <v>0</v>
      </c>
    </row>
    <row r="67" spans="1:74" hidden="1"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+3,966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10,684</v>
      </c>
      <c r="F67" s="226" t="str">
        <f ca="1">TRUNC(TabCalc[[#This Row],[L_B1p]],2)&amp;"x"&amp;TabCalc[[#This Row],[L_B1n]]&amp;"=   "&amp;TEXT(TabCalc[[#This Row],[ReverseS1]],"#,#0")&amp;"$"</f>
        <v>-193.49x250=   6,923$</v>
      </c>
      <c r="G67" s="225" t="str">
        <f ca="1">IFERROR(TRUNC(_xlfn.XLOOKUP(TabTRADER[[#This Row],[ClickTick]],TabCalc[Ticker],ListLastSalep),2)&amp;"x"&amp;_xlfn.XLOOKUP(TabTRADER[[#This Row],[ClickTick]],TabCalc[Ticker],ListLastSalen)&amp;"=   "&amp;TEXT(-_xlfn.XLOOKUP(TabTRADER[[#This Row],[ClickTick]],TabCalc[Ticker],ListReverseB),"#,#0")&amp;"$","")</f>
        <v>221.65x500=   -234$</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10,684</v>
      </c>
      <c r="I67" s="226" t="str">
        <f ca="1">IFERROR(TRUNC(TabCalc[[#This Row],[L_S1p]],2)&amp;"x"&amp;TabCalc[[#This Row],[L_S1n]]&amp;"=   "&amp;TEXT(TabCalc[[#This Row],[ReverseB1]],"#,#0"),"")</f>
        <v>232.72x500=   5,769</v>
      </c>
      <c r="J67" s="295">
        <f ca="1">_xlfn.XLOOKUP(TabTRADER[[#This Row],[ClickTick]],TabCalc[Ticker],ListGravity)</f>
        <v>1.3040125326654068</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0.55227376593669197</v>
      </c>
      <c r="N67" s="324" cm="1">
        <f t="array" aca="1" ref="N67" ca="1">_xlfn.XLOOKUP(TabTRADER[[#This Row],[ClickTick]],ListTickers,Tab2RSIConventional[RSIConv20])</f>
        <v>24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3.7195779601406742E-2</v>
      </c>
      <c r="S67" s="683">
        <f ca="1">_xlfn.XLOOKUP(TabTRADER[[#This Row],[ClickTick]],TabCalc[Ticker],TabCalc[Rev(MinStock)])*(1-Commission)</f>
        <v>3955.6883999999941</v>
      </c>
      <c r="T67" s="782">
        <f ca="1">_xlfn.XLOOKUP(TabTRADER[[#This Row],[ClickTick]],TabCalc[Ticker],TabCalc[Agiotage])</f>
        <v>0.55227376593669197</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-3,612/-3,612=&gt;-0.6% / -0.6%</v>
      </c>
      <c r="V67" s="739" t="str">
        <f ca="1">_xlfn.XLOOKUP(TabTRADER[[#This Row],[ClickTick]],[1]!RTData[Ticker_Symbol],[1]!RTData[Currency])</f>
        <v>USD</v>
      </c>
      <c r="W67" s="749">
        <f ca="1">_xlfn.XLOOKUP(TabTRADER[[#This Row],[ClickTick]],TabCalc[Ticker],TabCalc[M])</f>
        <v>221.18199999999999</v>
      </c>
      <c r="X67" s="1315"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-6.1470000000000006E-3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^159/332 K$</v>
      </c>
      <c r="AE67" s="1182"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7" s="1165"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221.65</v>
      </c>
      <c r="AG67" s="1165"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233.39160000000882</v>
      </c>
      <c r="AH67" s="1165" t="str" cm="1">
        <f t="array" aca="1" ref="AH67" ca="1">_xlfn.IFS(     TabTRADER[[#This Row],[Traps]]=MUp,MIN(TabTRADER[[#This Row],[L_Sn]],TabTRADER[[#This Row],[N]])*(TabTRADER[[#This Row],[M]]-TabTRADER[[#This Row],[L_Sp]])*(1-Commission)*TabTRADER[[#This Row],[Scale]],                                  TRUE,"M= "&amp;TabTRADER[[#This Row],[M]])</f>
        <v>M= 221.182</v>
      </c>
      <c r="AI67" s="1165" t="str" cm="1">
        <f t="array" aca="1" ref="AI67" ca="1">_xlfn.IFS(   TabTRADER[[#This Row],[Traps]]=MUp,TEXT(MIN(TabTRADER[[#This Row],[L_Sn]],TabTRADER[[#This Row],[N]]),"#,#0")&amp;" x "&amp;TEXT(TabTRADER[[#This Row],[L_Sp]],"#,#0.#0"),          TRUE,"")</f>
        <v/>
      </c>
      <c r="AJ67" s="1165"/>
      <c r="AK67" s="1165" t="str"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7" s="1165"/>
      <c r="AM67" s="1165"/>
      <c r="AN67" s="1165"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233.39160000000882</v>
      </c>
      <c r="AO67" s="1174"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2.1114369501467074E-3</v>
      </c>
      <c r="AP67" s="1174" t="str"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7" s="825" t="str" cm="1">
        <f t="array" aca="1" ref="AQ67" ca="1">_xlfn.IFS(   TabTRADER[[#This Row],[Traps]]=SellMorePercentGain,                     MIN(TabTRADER[[#This Row],[L_Sn]],TabTRADER[[#This Row],[N]])*(TabTRADER[[#This Row],[M]]-TabTRADER[[#This Row],[L_Sp]])*(1-Commission)*TabTRADER[[#This Row],[Scale]],                    TRUE,"")</f>
        <v/>
      </c>
      <c r="AR67" s="1163">
        <f ca="1">_xlfn.XLOOKUP(TabTRADER[[#This Row],[ClickTick]],TabCalc[Ticker],TabCalc[Ann%RevLB])</f>
        <v>8.3170687307493329E-2</v>
      </c>
      <c r="AS67" s="1267">
        <f ca="1">_xlfn.XLOOKUP(TabTRADER[[#This Row],[ClickTick]],TabCalc[Ticker],TabCalc[Up20])</f>
        <v>0</v>
      </c>
      <c r="AT67" s="1175"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5" t="str" cm="1">
        <f t="array" aca="1" ref="AU67" ca="1">_xlfn.IFS(         TabTRADER[[#This Row],[Traps]]=MDown,TabTRADER[[#This Row],[L_Bn]]*TabTRADER[[#This Row],[M]]*(-(TabTRADER[[#This Row],[L_Bp]]+TabTRADER[[#This Row],[M]])/TabTRADER[[#This Row],[M]])*(1-Commission)*TabTRADER[[#This Row],[Scale]],                               TRUE,"")</f>
        <v/>
      </c>
      <c r="AV67" s="1174" t="str" cm="1">
        <f t="array" aca="1" ref="AV67" ca="1">_xlfn.IFS(   TabTRADER[[#This Row],[Traps]]=MUp,TabTRADER[[#This Row],[TakeGain_A]]-Commission,        TabTRADER[[#This Row],[Traps]]=MDown,(TabTRADER[[#This Row],[A]]-TabTRADER[[#This Row],[M]])/TabTRADER[[#This Row],[M]]-Commission,                              TRUE,"")</f>
        <v/>
      </c>
      <c r="AW67" s="760"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24658.7202</v>
      </c>
      <c r="AX67" s="760"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67" s="736"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7" s="765" cm="1">
        <f t="array" aca="1" ref="AZ67" ca="1">_xlfn.IFS(TabTRADER[[#This Row],[Traps]]=Sale_Back,"",         TabTRADER[[#This Row],[Traps]]=MDown, (TabTRADER[[#This Row],[M]]-TabTRADER[[#This Row],[A]])/TabTRADER[[#This Row],[A]]*ComFactor,             TRUE, IFERROR((TabTRADER[[#This Row],[M]]-TabTRADER[[#This Row],[A]])/TabTRADER[[#This Row],[A]]*ComFactor,""))</f>
        <v>8.0308484611626763E-2</v>
      </c>
      <c r="BA67" s="762" cm="1">
        <f t="array" aca="1" ref="BA67" ca="1">_xlfn.IFS(               TabTRADER[[#This Row],[Traps]]=NoStock,(TabTRADER[[#This Row],[L_Sp]]-TabTRADER[[#This Row],[M]])/TabTRADER[[#This Row],[M]]-Commission,             TabTRADER[[#This Row],[A]]&lt;&gt;0,(TabTRADER[[#This Row],[A]]-TabTRADER[[#This Row],[M]])/TabTRADER[[#This Row],[M]]-Commission)</f>
        <v>-7.7117817905616198E-2</v>
      </c>
      <c r="BB67" s="324">
        <f ca="1">_xlfn.XLOOKUP(TabTRADER[[#This Row],[ClickTick]],TabCalc[Ticker],TabCalc[L_Sn])</f>
        <v>500</v>
      </c>
      <c r="BC67" s="728">
        <f ca="1">_xlfn.XLOOKUP(TabTRADER[[#This Row],[ClickTick]],TabCalc[Ticker],TabCalc[L_Sp])</f>
        <v>221.65</v>
      </c>
      <c r="BD67" s="764">
        <f ca="1">-IFERROR((TabTRADER[[#This Row],[M]]-TabTRADER[[#This Row],[L_Sp]])/TabTRADER[[#This Row],[L_Sp]],0)</f>
        <v>2.1114369501467074E-3</v>
      </c>
      <c r="BE67" s="729">
        <f ca="1">TabTRADER[[#This Row],[L_Sn]]*(TabTRADER[[#This Row],[M]]-TabTRADER[[#This Row],[L_Sp]])*(1-Commission)*TabTRADER[[#This Row],[Scale]]</f>
        <v>-233.39160000000882</v>
      </c>
      <c r="BF67" s="692">
        <f ca="1">TabTRADER[[#This Row],[L_Sn]]*(TabTRADER[[#This Row],[Agiotage]]-TabTRADER[[#This Row],[M]])/(TabTRADER[[#This Row],[L_Bn]]*TabTRADER[[#This Row],[M]])</f>
        <v>-0.99750307997062737</v>
      </c>
      <c r="BG67" s="635">
        <f ca="1">IFERROR((TabTRADER[[#This Row],[M]]-TabTRADER[[#This Row],[A]])/TabTRADER[[#This Row],[A]],0)</f>
        <v>8.0517830972154369E-2</v>
      </c>
      <c r="BH67" s="638" t="str">
        <f ca="1">TEXT(_xlfn.XLOOKUP(TabTRADER[[#This Row],[ClickTick]],TabCalc[Ticker],TabCalc[NAfter]),"#,#0")&amp;" : "&amp;TEXT(_xlfn.XLOOKUP(TabTRADER[[#This Row],[ClickTick]],TabCalc[Ticker],TabCalc[NAfter])*(TabTRADER[[#This Row],[M]]-TabTRADER[[#This Row],[A]])*(1-Commission)*TabTRADER[[#This Row],[Scale]],"#,#0$")</f>
        <v>1,500 : 24,659$</v>
      </c>
      <c r="BI67" s="684">
        <f ca="1">_xlfn.XLOOKUP(TabTRADER[[#This Row],[ClickTick]],TabCalc[[#This Row],[Ticker]],TabCalc[[#This Row],[GL]])*(1-Commission)</f>
        <v>158400.02454731482</v>
      </c>
      <c r="BJ67" s="684"/>
      <c r="BK67" s="669" t="str">
        <f ca="1">TabTRADER[[#This Row],[ClickTick]]&amp;": "&amp;_xlfn.XLOOKUP(TabTRADER[[#This Row],[ClickTick]],TabCalc[Ticker],TabCalc[Pile?])</f>
        <v xml:space="preserve">SAFAMZN: </v>
      </c>
      <c r="BL67" s="351" t="s">
        <v>2037</v>
      </c>
      <c r="BM67" s="755" t="str" cm="1">
        <f t="array" aca="1" ref="BM67" ca="1">_xlfn.TEXTJOIN("",,INDEX({"M","A","Y"}, _xlfn.SORTBY({1,2,3}, -CHOOSE({1,2,3}, TabTRADER[[#This Row],[M]], TabTRADER[[#This Row],[A]], TabTRADER[[#This Row],[Agiotage]]))))</f>
        <v>MAY</v>
      </c>
      <c r="BN67" s="902" t="str"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7" s="679">
        <f ca="1">TabTRADER[[#This Row],[L_Sn]]*TabTRADER[[#This Row],[L_Sp]]+TabTRADER[[#This Row],[SellMore]]*TabTRADER[[#This Row],[M]]</f>
        <v>221416</v>
      </c>
      <c r="BP67" s="679">
        <f ca="1">INDEX(
  INDEX(TabConsolid[], , _xlfn.XMATCH(TabTRADER[[#This Row],[ClickTick]]&amp;1, TabConsolid[#Headers])),
  MATCH(
    -TabTRADER[[#This Row],[M]],
    INDEX(TabConsolid[], , _xlfn.XMATCH(TabTRADER[[#This Row],[ClickTick]]&amp;2, TabConsolid[#Headers])),
    -1
  )
)</f>
        <v>500</v>
      </c>
      <c r="BQ67" s="679"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7" s="1144">
        <f ca="1">TabTRADER[[#This Row],[ReBuy]]/(TabTRADER[[#This Row],[L_Sn]]+TabTRADER[[#This Row],[SellMore]])</f>
        <v>221.416</v>
      </c>
      <c r="BS67" s="687">
        <f ca="1">((_xlfn.XLOOKUP(TabTRADER[[#This Row],[ClickTick]],TabCalc[Ticker],TabCalc[NAfter])+TabTRADER[[#This Row],[L_Sn]])*(TabTRADER[[#This Row],[Agiotage]]-TabTRADER[[#This Row],[M]]))/(TabTRADER[[#This Row],[L_Sn]]*_xlfn.XLOOKUP(TabTRADER[[#This Row],[ClickTick]],TabCalc[Ticker],TabCalc[NAfter]))</f>
        <v>-0.58834593662416879</v>
      </c>
      <c r="BT67" s="687">
        <f ca="1">(TabTRADER[[#This Row],[M]]-TabTRADER[[#This Row],[Agiotage]])/(TabTRADER[[#This Row],[M]]-TabTRADER[[#This Row],[A]])-1</f>
        <v>12.386101579545159</v>
      </c>
      <c r="BU67" s="1262">
        <f ca="1">_xlfn.XMATCH(TabTRADER[[#This Row],[ClickTick]]&amp;1, TabConsolid[#Headers])</f>
        <v>197</v>
      </c>
      <c r="BV67" t="b">
        <f ca="1">IF(ABS(TabTRADER[[#This Row],[L_Bp]])&gt;=TabTRADER[[#This Row],[M]],"OK")</f>
        <v>0</v>
      </c>
    </row>
    <row r="68" spans="1:74" hidden="1"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+20,404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32.9%</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17/250=15,208</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11,255$</v>
      </c>
      <c r="G68" s="225" t="str">
        <f ca="1">IFERROR(TRUNC(_xlfn.XLOOKUP(TabTRADER[[#This Row],[ClickTick]],TabCalc[Ticker],ListLastSalep),2)&amp;"x"&amp;_xlfn.XLOOKUP(TabTRADER[[#This Row],[ClickTick]],TabCalc[Ticker],ListLastSalen)&amp;"=   "&amp;TEXT(-_xlfn.XLOOKUP(TabTRADER[[#This Row],[ClickTick]],TabCalc[Ticker],ListReverseB),"#,#0")&amp;"$","")</f>
        <v>660.2x54=   12,226$</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-25.5% = 0</v>
      </c>
      <c r="I68" s="226" t="str">
        <f ca="1">IFERROR(TRUNC(TabCalc[[#This Row],[L_S1p]],2)&amp;"x"&amp;TabCalc[[#This Row],[L_S1n]]&amp;"=   "&amp;TEXT(TabCalc[[#This Row],[ReverseB1]],"#,#0"),"")</f>
        <v>606.66x66=   -18,476</v>
      </c>
      <c r="J68" s="295">
        <f ca="1">_xlfn.XLOOKUP(TabTRADER[[#This Row],[ClickTick]],TabCalc[Ticker],ListGravity)</f>
        <v>1.0623767877284007</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79794</v>
      </c>
      <c r="M68" s="323">
        <f ca="1">_xlfn.XLOOKUP(TabTRADER[[#This Row],[ClickTick]],TabCalc[Ticker],TabCalc[Agiotage])</f>
        <v>1.0213644846396783</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0.48980860681218596</v>
      </c>
      <c r="S68" s="683">
        <f ca="1">_xlfn.XLOOKUP(TabTRADER[[#This Row],[ClickTick]],TabCalc[Ticker],TabCalc[Rev(MinStock)])*(1-Commission)</f>
        <v>20351.248819999997</v>
      </c>
      <c r="T68" s="782">
        <f ca="1">_xlfn.XLOOKUP(TabTRADER[[#This Row],[ClickTick]],TabCalc[Ticker],TabCalc[Agiotage])</f>
        <v>1.0213644846396783</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6,375/6,375=&gt;2.4% / 2.4%</v>
      </c>
      <c r="V68" s="739" t="str">
        <f ca="1">_xlfn.XLOOKUP(TabTRADER[[#This Row],[ClickTick]],[1]!RTData[Ticker_Symbol],[1]!RTData[Currency])</f>
        <v>EUR</v>
      </c>
      <c r="W68" s="749">
        <f ca="1">_xlfn.XLOOKUP(TabTRADER[[#This Row],[ClickTick]],TabCalc[Ticker],TabCalc[M])</f>
        <v>886.6</v>
      </c>
      <c r="X68" s="1315"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2.4260999999999998E-2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^180/222 K$</v>
      </c>
      <c r="AE68" s="1182"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65"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886.6, 34.3%</v>
      </c>
      <c r="AG68" s="1165"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65" cm="1">
        <f t="array" aca="1" ref="AH68" ca="1">_xlfn.IFS(     TabTRADER[[#This Row],[Traps]]=MUp,MIN(TabTRADER[[#This Row],[L_Sn]],TabTRADER[[#This Row],[N]])*(TabTRADER[[#This Row],[M]]-TabTRADER[[#This Row],[L_Sp]])*(1-Commission)*TabTRADER[[#This Row],[Scale]],                                  TRUE,"M= "&amp;TabTRADER[[#This Row],[M]])</f>
        <v>12193.813439999998</v>
      </c>
      <c r="AI68" s="1165" t="str" cm="1">
        <f t="array" aca="1" ref="AI68" ca="1">_xlfn.IFS(   TabTRADER[[#This Row],[Traps]]=MUp,TEXT(MIN(TabTRADER[[#This Row],[L_Sn]],TabTRADER[[#This Row],[N]]),"#,#0")&amp;" x "&amp;TEXT(TabTRADER[[#This Row],[L_Sp]],"#,#0.#0"),          TRUE,"")</f>
        <v>54 x 660.20</v>
      </c>
      <c r="AJ68" s="1165"/>
      <c r="AK68" s="1165"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12193.813439999998</v>
      </c>
      <c r="AL68" s="1165"/>
      <c r="AM68" s="1165"/>
      <c r="AN68" s="1165"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57905.814418799993</v>
      </c>
      <c r="AO68" s="1174"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0.35488485165872191</v>
      </c>
      <c r="AP68" s="1174"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0.25275754568012632</v>
      </c>
      <c r="AQ68" s="825" cm="1">
        <f t="array" aca="1" ref="AQ68" ca="1">_xlfn.IFS(   TabTRADER[[#This Row],[Traps]]=SellMorePercentGain,                     MIN(TabTRADER[[#This Row],[L_Sn]],TabTRADER[[#This Row],[N]])*(TabTRADER[[#This Row],[M]]-TabTRADER[[#This Row],[L_Sp]])*(1-Commission)*TabTRADER[[#This Row],[Scale]],                    TRUE,"")</f>
        <v>12193.813439999998</v>
      </c>
      <c r="AR68" s="1180">
        <f ca="1">_xlfn.XLOOKUP(TabTRADER[[#This Row],[ClickTick]],TabCalc[Ticker],TabCalc[Ann%RevLB])</f>
        <v>1.6793437947846375</v>
      </c>
      <c r="AS68" s="1163">
        <f ca="1">_xlfn.XLOOKUP(TabTRADER[[#This Row],[ClickTick]],TabCalc[Ticker],TabCalc[Up20])</f>
        <v>0</v>
      </c>
      <c r="AT68" s="1175"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5" t="str" cm="1">
        <f t="array" aca="1" ref="AU68" ca="1">_xlfn.IFS(         TabTRADER[[#This Row],[Traps]]=MDown,TabTRADER[[#This Row],[L_Bn]]*TabTRADER[[#This Row],[M]]*(-(TabTRADER[[#This Row],[L_Bp]]+TabTRADER[[#This Row],[M]])/TabTRADER[[#This Row],[M]])*(1-Commission)*TabTRADER[[#This Row],[Scale]],                               TRUE,"")</f>
        <v/>
      </c>
      <c r="AV68" s="1174" cm="1">
        <f t="array" aca="1" ref="AV68" ca="1">_xlfn.IFS(   TabTRADER[[#This Row],[Traps]]=MUp,TabTRADER[[#This Row],[TakeGain_A]]-Commission,        TabTRADER[[#This Row],[Traps]]=MDown,(TabTRADER[[#This Row],[A]]-TabTRADER[[#This Row],[M]])/TabTRADER[[#This Row],[M]]-Commission,                              TRUE,"")</f>
        <v>0.35228485165872192</v>
      </c>
      <c r="AW68" s="825"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78455.710778993307</v>
      </c>
      <c r="AX68" s="760"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68" s="736"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70x232.22</v>
      </c>
      <c r="AZ68" s="765" cm="1">
        <f t="array" aca="1" ref="AZ68" ca="1">_xlfn.IFS(TabTRADER[[#This Row],[Traps]]=Sale_Back,"",         TabTRADER[[#This Row],[Traps]]=MDown, (TabTRADER[[#This Row],[M]]-TabTRADER[[#This Row],[A]])/TabTRADER[[#This Row],[A]]*ComFactor,             TRUE, IFERROR((TabTRADER[[#This Row],[M]]-TabTRADER[[#This Row],[A]])/TabTRADER[[#This Row],[A]]*ComFactor,""))</f>
        <v>0.3539621510444092</v>
      </c>
      <c r="BA68" s="762" cm="1">
        <f t="array" aca="1" ref="BA68" ca="1">_xlfn.IFS(               TabTRADER[[#This Row],[Traps]]=NoStock,(TabTRADER[[#This Row],[L_Sp]]-TabTRADER[[#This Row],[M]])/TabTRADER[[#This Row],[M]]-Commission,             TabTRADER[[#This Row],[A]]&lt;&gt;0,(TabTRADER[[#This Row],[A]]-TabTRADER[[#This Row],[M]])/TabTRADER[[#This Row],[M]]-Commission)</f>
        <v>-0.26452989848860814</v>
      </c>
      <c r="BB68" s="324">
        <f ca="1">_xlfn.XLOOKUP(TabTRADER[[#This Row],[ClickTick]],TabCalc[Ticker],TabCalc[L_Sn])</f>
        <v>54</v>
      </c>
      <c r="BC68" s="728">
        <f ca="1">_xlfn.XLOOKUP(TabTRADER[[#This Row],[ClickTick]],TabCalc[Ticker],TabCalc[L_Sp])</f>
        <v>660.2</v>
      </c>
      <c r="BD68" s="764">
        <f ca="1">-IFERROR((TabTRADER[[#This Row],[M]]-TabTRADER[[#This Row],[L_Sp]])/TabTRADER[[#This Row],[L_Sp]],0)</f>
        <v>-0.34292638594365338</v>
      </c>
      <c r="BE68" s="729">
        <f ca="1">TabTRADER[[#This Row],[L_Sn]]*(TabTRADER[[#This Row],[M]]-TabTRADER[[#This Row],[L_Sp]])*(1-Commission)*TabTRADER[[#This Row],[Scale]]</f>
        <v>12193.813439999998</v>
      </c>
      <c r="BF68" s="692">
        <f ca="1">TabTRADER[[#This Row],[L_Sn]]*(TabTRADER[[#This Row],[Agiotage]]-TabTRADER[[#This Row],[M]])/(TabTRADER[[#This Row],[L_Bn]]*TabTRADER[[#This Row],[M]])</f>
        <v>-0.77053988459652378</v>
      </c>
      <c r="BG68" s="635">
        <f ca="1">IFERROR((TabTRADER[[#This Row],[M]]-TabTRADER[[#This Row],[A]])/TabTRADER[[#This Row],[A]],0)</f>
        <v>0.35488485165872191</v>
      </c>
      <c r="BH68" s="638" t="str">
        <f ca="1">TEXT(_xlfn.XLOOKUP(TabTRADER[[#This Row],[ClickTick]],TabCalc[Ticker],TabCalc[NAfter]),"#,#0")&amp;" : "&amp;TEXT(_xlfn.XLOOKUP(TabTRADER[[#This Row],[ClickTick]],TabCalc[Ticker],TabCalc[NAfter])*(TabTRADER[[#This Row],[M]]-TabTRADER[[#This Row],[A]])*(1-Commission)*TabTRADER[[#This Row],[Scale]],"#,#0$")</f>
        <v>250 : 57,906$</v>
      </c>
      <c r="BI68" s="684">
        <f ca="1">_xlfn.XLOOKUP(TabTRADER[[#This Row],[ClickTick]],TabCalc[[#This Row],[Ticker]],TabCalc[[#This Row],[GL]])*(1-Commission)</f>
        <v>179054.75651842789</v>
      </c>
      <c r="BJ68" s="684"/>
      <c r="BK68" s="669" t="str">
        <f ca="1">TabTRADER[[#This Row],[ClickTick]]&amp;": "&amp;_xlfn.XLOOKUP(TabTRADER[[#This Row],[ClickTick]],TabCalc[Ticker],TabCalc[Pile?])</f>
        <v xml:space="preserve">SAFASML: </v>
      </c>
      <c r="BL68" s="351" t="s">
        <v>2038</v>
      </c>
      <c r="BM68" s="755" t="str" cm="1">
        <f t="array" aca="1" ref="BM68" ca="1">_xlfn.TEXTJOIN("",,INDEX({"M","A","Y"}, _xlfn.SORTBY({1,2,3}, -CHOOSE({1,2,3}, TabTRADER[[#This Row],[M]], TabTRADER[[#This Row],[A]], TabTRADER[[#This Row],[Agiotage]]))))</f>
        <v>MAY</v>
      </c>
      <c r="BN68" s="902"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0.25535754568012631</v>
      </c>
      <c r="BO68" s="679">
        <f ca="1">TabTRADER[[#This Row],[L_Sn]]*TabTRADER[[#This Row],[L_Sp]]+TabTRADER[[#This Row],[SellMore]]*TabTRADER[[#This Row],[M]]</f>
        <v>150908.79999999999</v>
      </c>
      <c r="BP68" s="679">
        <f ca="1">INDEX(
  INDEX(TabConsolid[], , _xlfn.XMATCH(TabTRADER[[#This Row],[ClickTick]]&amp;1, TabConsolid[#Headers])),
  MATCH(
    -TabTRADER[[#This Row],[M]],
    INDEX(TabConsolid[], , _xlfn.XMATCH(TabTRADER[[#This Row],[ClickTick]]&amp;2, TabConsolid[#Headers])),
    -1
  )
)</f>
        <v>130</v>
      </c>
      <c r="BQ68" s="679"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44">
        <f ca="1">TabTRADER[[#This Row],[ReBuy]]/(TabTRADER[[#This Row],[L_Sn]]+TabTRADER[[#This Row],[SellMore]])</f>
        <v>820.15652173913043</v>
      </c>
      <c r="BS68" s="687">
        <f ca="1">((_xlfn.XLOOKUP(TabTRADER[[#This Row],[ClickTick]],TabCalc[Ticker],TabCalc[NAfter])+TabTRADER[[#This Row],[L_Sn]])*(TabTRADER[[#This Row],[Agiotage]]-TabTRADER[[#This Row],[M]]))/(TabTRADER[[#This Row],[L_Sn]]*_xlfn.XLOOKUP(TabTRADER[[#This Row],[ClickTick]],TabCalc[Ticker],TabCalc[NAfter]))</f>
        <v>-19.941918903457005</v>
      </c>
      <c r="BT68" s="687">
        <f ca="1">(TabTRADER[[#This Row],[M]]-TabTRADER[[#This Row],[Agiotage]])/(TabTRADER[[#This Row],[M]]-TabTRADER[[#This Row],[A]])-1</f>
        <v>2.8134172704781593</v>
      </c>
      <c r="BU68" s="1262">
        <f ca="1">_xlfn.XMATCH(TabTRADER[[#This Row],[ClickTick]]&amp;1, TabConsolid[#Headers])</f>
        <v>200</v>
      </c>
      <c r="BV68" t="b">
        <f ca="1">IF(ABS(TabTRADER[[#This Row],[L_Bp]])&gt;=TabTRADER[[#This Row],[M]],"OK")</f>
        <v>0</v>
      </c>
    </row>
    <row r="69" spans="1:74" hidden="1"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+2,436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-16,158$</v>
      </c>
      <c r="G69" s="225" t="str">
        <f ca="1">IFERROR(TRUNC(_xlfn.XLOOKUP(TabTRADER[[#This Row],[ClickTick]],TabCalc[Ticker],ListLastSalep),2)&amp;"x"&amp;_xlfn.XLOOKUP(TabTRADER[[#This Row],[ClickTick]],TabCalc[Ticker],ListLastSalen)&amp;"=   "&amp;TEXT(-_xlfn.XLOOKUP(TabTRADER[[#This Row],[ClickTick]],TabCalc[Ticker],ListReverseB),"#,#0")&amp;"$","")</f>
        <v>3.16x11000=   -12,265$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54.5% = 4,484</v>
      </c>
      <c r="I69" s="226" t="str">
        <f ca="1">IFERROR(TRUNC(TabCalc[[#This Row],[L_S1p]],2)&amp;"x"&amp;TabCalc[[#This Row],[L_S1n]]&amp;"=   "&amp;TEXT(TabCalc[[#This Row],[ReverseB1]],"#,#0"),"")</f>
        <v>4.48x5000=   12,180</v>
      </c>
      <c r="J69" s="295">
        <f ca="1">_xlfn.XLOOKUP(TabTRADER[[#This Row],[ClickTick]],TabCalc[Ticker],ListGravity)</f>
        <v>1.5892420537897312</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223211.75</v>
      </c>
      <c r="M69" s="323">
        <f ca="1">_xlfn.XLOOKUP(TabTRADER[[#This Row],[ClickTick]],TabCalc[Ticker],TabCalc[Agiotage])</f>
        <v>0.20013259900261549</v>
      </c>
      <c r="N69" s="324" cm="1">
        <f t="array" aca="1" ref="N69" ca="1">_xlfn.XLOOKUP(TabTRADER[[#This Row],[ClickTick]],ListTickers,Tab2RSIConventional[RSIConv20])</f>
        <v>12</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6.013478486262306E-2</v>
      </c>
      <c r="S69" s="683">
        <f ca="1">_xlfn.XLOOKUP(TabTRADER[[#This Row],[ClickTick]],TabCalc[Ticker],TabCalc[Rev(MinStock)])*(1-Commission)</f>
        <v>2429.6663999999978</v>
      </c>
      <c r="T69" s="782">
        <f ca="1">_xlfn.XLOOKUP(TabTRADER[[#This Row],[ClickTick]],TabCalc[Ticker],TabCalc[Agiotage])</f>
        <v>0.20013259900261549</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-6,050/-6,050=&gt;-1.7% / -1.7%</v>
      </c>
      <c r="V69" s="739" t="str">
        <f ca="1">_xlfn.XLOOKUP(TabTRADER[[#This Row],[ClickTick]],[1]!RTData[Ticker_Symbol],[1]!RTData[Currency])</f>
        <v>USD</v>
      </c>
      <c r="W69" s="749">
        <f ca="1">_xlfn.XLOOKUP(TabTRADER[[#This Row],[ClickTick]],TabCalc[Ticker],TabCalc[M])</f>
        <v>2.0449999999999999</v>
      </c>
      <c r="X69" s="1315"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-1.6827000000000002E-2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-159/225 K$</v>
      </c>
      <c r="AE69" s="116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65"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65"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12233.111000000001</v>
      </c>
      <c r="AH69" s="1165" t="str" cm="1">
        <f t="array" aca="1" ref="AH69" ca="1">_xlfn.IFS(     TabTRADER[[#This Row],[Traps]]=MUp,MIN(TabTRADER[[#This Row],[L_Sn]],TabTRADER[[#This Row],[N]])*(TabTRADER[[#This Row],[M]]-TabTRADER[[#This Row],[L_Sp]])*(1-Commission)*TabTRADER[[#This Row],[Scale]],                                  TRUE,"M= "&amp;TabTRADER[[#This Row],[M]])</f>
        <v>M= 2.045</v>
      </c>
      <c r="AI69" s="1165" t="str" cm="1">
        <f t="array" aca="1" ref="AI69" ca="1">_xlfn.IFS(   TabTRADER[[#This Row],[Traps]]=MUp,TEXT(MIN(TabTRADER[[#This Row],[L_Sn]],TabTRADER[[#This Row],[N]]),"#,#0")&amp;" x "&amp;TEXT(TabTRADER[[#This Row],[L_Sp]],"#,#0.#0"),          TRUE,"")</f>
        <v/>
      </c>
      <c r="AJ69" s="1165"/>
      <c r="AK69" s="1165"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65"/>
      <c r="AM69" s="1165"/>
      <c r="AN69" s="1165"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12233.111000000001</v>
      </c>
      <c r="AO69" s="1174"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0.35284810126582283</v>
      </c>
      <c r="AP69" s="1174"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TabTRADER[[#This Row],[Traps]]=SellMorePercentGain,                     MIN(TabTRADER[[#This Row],[L_Sn]],TabTRADER[[#This Row],[N]])*(TabTRADER[[#This Row],[M]]-TabTRADER[[#This Row],[L_Sp]])*(1-Commission)*TabTRADER[[#This Row],[Scale]],                    TRUE,"")</f>
        <v/>
      </c>
      <c r="AR69" s="1163">
        <f ca="1">_xlfn.XLOOKUP(TabTRADER[[#This Row],[ClickTick]],TabCalc[Ticker],TabCalc[Ann%RevLB])</f>
        <v>0.1139395923712858</v>
      </c>
      <c r="AS69" s="1267">
        <f ca="1">_xlfn.XLOOKUP(TabTRADER[[#This Row],[ClickTick]],TabCalc[Ticker],TabCalc[Up20])</f>
        <v>0</v>
      </c>
      <c r="AT69" s="1175"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5" t="str" cm="1">
        <f t="array" aca="1" ref="AU69" ca="1">_xlfn.IFS(         TabTRADER[[#This Row],[Traps]]=MDown,TabTRADER[[#This Row],[L_Bn]]*TabTRADER[[#This Row],[M]]*(-(TabTRADER[[#This Row],[L_Bp]]+TabTRADER[[#This Row],[M]])/TabTRADER[[#This Row],[M]])*(1-Commission)*TabTRADER[[#This Row],[Scale]],                               TRUE,"")</f>
        <v/>
      </c>
      <c r="AV69" s="1174" t="str" cm="1">
        <f t="array" aca="1" ref="AV69" ca="1">_xlfn.IFS(   TabTRADER[[#This Row],[Traps]]=MUp,TabTRADER[[#This Row],[TakeGain_A]]-Commission,        TabTRADER[[#This Row],[Traps]]=MDown,(TabTRADER[[#This Row],[A]]-TabTRADER[[#This Row],[M]])/TabTRADER[[#This Row],[M]]-Commission,                              TRUE,"")</f>
        <v/>
      </c>
      <c r="AW69" s="825"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-135847.37610000002</v>
      </c>
      <c r="AX69" s="760"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69" s="736"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5" cm="1">
        <f t="array" aca="1" ref="AZ69" ca="1">_xlfn.IFS(TabTRADER[[#This Row],[Traps]]=Sale_Back,"",         TabTRADER[[#This Row],[Traps]]=MDown, (TabTRADER[[#This Row],[M]]-TabTRADER[[#This Row],[A]])/TabTRADER[[#This Row],[A]]*ComFactor,             TRUE, IFERROR((TabTRADER[[#This Row],[M]]-TabTRADER[[#This Row],[A]])/TabTRADER[[#This Row],[A]]*ComFactor,""))</f>
        <v>-0.37615066281048259</v>
      </c>
      <c r="BA69" s="762" cm="1">
        <f t="array" aca="1" ref="BA69" ca="1">_xlfn.IFS(               TabTRADER[[#This Row],[Traps]]=NoStock,(TabTRADER[[#This Row],[L_Sp]]-TabTRADER[[#This Row],[M]])/TabTRADER[[#This Row],[M]]-Commission,             TabTRADER[[#This Row],[A]]&lt;&gt;0,(TabTRADER[[#This Row],[A]]-TabTRADER[[#This Row],[M]])/TabTRADER[[#This Row],[M]]-Commission)</f>
        <v>0.60287454989997791</v>
      </c>
      <c r="BB69" s="324">
        <f ca="1">_xlfn.XLOOKUP(TabTRADER[[#This Row],[ClickTick]],TabCalc[Ticker],TabCalc[L_Sn])</f>
        <v>11000</v>
      </c>
      <c r="BC69" s="728">
        <f ca="1">_xlfn.XLOOKUP(TabTRADER[[#This Row],[ClickTick]],TabCalc[Ticker],TabCalc[L_Sp])</f>
        <v>3.16</v>
      </c>
      <c r="BD69" s="764">
        <f ca="1">-IFERROR((TabTRADER[[#This Row],[M]]-TabTRADER[[#This Row],[L_Sp]])/TabTRADER[[#This Row],[L_Sp]],0)</f>
        <v>0.35284810126582283</v>
      </c>
      <c r="BE69" s="729">
        <f ca="1">TabTRADER[[#This Row],[L_Sn]]*(TabTRADER[[#This Row],[M]]-TabTRADER[[#This Row],[L_Sp]])*(1-Commission)*TabTRADER[[#This Row],[Scale]]</f>
        <v>-12233.111000000001</v>
      </c>
      <c r="BF69" s="692">
        <f ca="1">TabTRADER[[#This Row],[L_Sn]]*(TabTRADER[[#This Row],[Agiotage]]-TabTRADER[[#This Row],[M]])/(TabTRADER[[#This Row],[L_Bn]]*TabTRADER[[#This Row],[M]])</f>
        <v>-0.47254724440496515</v>
      </c>
      <c r="BG69" s="635">
        <f ca="1">IFERROR((TabTRADER[[#This Row],[M]]-TabTRADER[[#This Row],[A]])/TabTRADER[[#This Row],[A]],0)</f>
        <v>-0.37713120394072852</v>
      </c>
      <c r="BH69" s="638" t="str">
        <f ca="1">TEXT(_xlfn.XLOOKUP(TabTRADER[[#This Row],[ClickTick]],TabCalc[Ticker],TabCalc[NAfter]),"#,#0")&amp;" : "&amp;TEXT(_xlfn.XLOOKUP(TabTRADER[[#This Row],[ClickTick]],TabCalc[Ticker],TabCalc[NAfter])*(TabTRADER[[#This Row],[M]]-TabTRADER[[#This Row],[A]])*(1-Commission)*TabTRADER[[#This Row],[Scale]],"#,#0$")</f>
        <v>110,000 : -135,847$</v>
      </c>
      <c r="BI69" s="684">
        <f ca="1">_xlfn.XLOOKUP(TabTRADER[[#This Row],[ClickTick]],TabCalc[[#This Row],[Ticker]],TabCalc[[#This Row],[GL]])*(1-Commission)</f>
        <v>-158293.55649126077</v>
      </c>
      <c r="BJ69" s="684"/>
      <c r="BK69" s="669" t="str">
        <f ca="1">TabTRADER[[#This Row],[ClickTick]]&amp;": "&amp;_xlfn.XLOOKUP(TabTRADER[[#This Row],[ClickTick]],TabCalc[Ticker],TabCalc[Pile?])</f>
        <v>SAFDDD: Pile</v>
      </c>
      <c r="BL69" s="351" t="s">
        <v>2039</v>
      </c>
      <c r="BM69" s="755" t="str" cm="1">
        <f t="array" aca="1" ref="BM69" ca="1">_xlfn.TEXTJOIN("",,INDEX({"M","A","Y"}, _xlfn.SORTBY({1,2,3}, -CHOOSE({1,2,3}, TabTRADER[[#This Row],[M]], TabTRADER[[#This Row],[A]], TabTRADER[[#This Row],[Agiotage]]))))</f>
        <v>AMY</v>
      </c>
      <c r="BN69" s="902"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9" t="e">
        <f ca="1">TabTRADER[[#This Row],[L_Sn]]*TabTRADER[[#This Row],[L_Sp]]+TabTRADER[[#This Row],[SellMore]]*TabTRADER[[#This Row],[M]]</f>
        <v>#N/A</v>
      </c>
      <c r="BP69" s="679" t="e">
        <f ca="1">INDEX(
  INDEX(TabConsolid[], , _xlfn.XMATCH(TabTRADER[[#This Row],[ClickTick]]&amp;1, TabConsolid[#Headers])),
  MATCH(
    -TabTRADER[[#This Row],[M]],
    INDEX(TabConsolid[], , _xlfn.XMATCH(TabTRADER[[#This Row],[ClickTick]]&amp;2, TabConsolid[#Headers])),
    -1
  )
)</f>
        <v>#N/A</v>
      </c>
      <c r="BQ69" s="679"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44" t="e">
        <f ca="1">TabTRADER[[#This Row],[ReBuy]]/(TabTRADER[[#This Row],[L_Sn]]+TabTRADER[[#This Row],[SellMore]])</f>
        <v>#N/A</v>
      </c>
      <c r="BS69" s="687">
        <f ca="1">((_xlfn.XLOOKUP(TabTRADER[[#This Row],[ClickTick]],TabCalc[Ticker],TabCalc[NAfter])+TabTRADER[[#This Row],[L_Sn]])*(TabTRADER[[#This Row],[Agiotage]]-TabTRADER[[#This Row],[M]]))/(TabTRADER[[#This Row],[L_Sn]]*_xlfn.XLOOKUP(TabTRADER[[#This Row],[ClickTick]],TabCalc[Ticker],TabCalc[NAfter]))</f>
        <v>-1.8448674009973845E-4</v>
      </c>
      <c r="BT69" s="687">
        <f ca="1">(TabTRADER[[#This Row],[M]]-TabTRADER[[#This Row],[Agiotage]])/(TabTRADER[[#This Row],[M]]-TabTRADER[[#This Row],[A]])-1</f>
        <v>-2.4899646047195683</v>
      </c>
      <c r="BU69" s="1262">
        <f ca="1">_xlfn.XMATCH(TabTRADER[[#This Row],[ClickTick]]&amp;1, TabConsolid[#Headers])</f>
        <v>203</v>
      </c>
      <c r="BV69" t="b">
        <f ca="1">IF(ABS(TabTRADER[[#This Row],[L_Bp]])&gt;=TabTRADER[[#This Row],[M]],"OK")</f>
        <v>0</v>
      </c>
    </row>
    <row r="70" spans="1:74" hidden="1"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-4,070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-2,317$</v>
      </c>
      <c r="G70" s="225" t="str">
        <f ca="1">IFERROR(TRUNC(_xlfn.XLOOKUP(TabTRADER[[#This Row],[ClickTick]],TabCalc[Ticker],ListLastSalep),2)&amp;"x"&amp;_xlfn.XLOOKUP(TabTRADER[[#This Row],[ClickTick]],TabCalc[Ticker],ListLastSalen)&amp;"=   "&amp;TEXT(-_xlfn.XLOOKUP(TabTRADER[[#This Row],[ClickTick]],TabCalc[Ticker],ListReverseB),"#,#0")&amp;"$","")</f>
        <v>122.97x330=   -5,831$</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16.8% = 283</v>
      </c>
      <c r="I70" s="226" t="str">
        <f ca="1">IFERROR(TRUNC(TabCalc[[#This Row],[L_S1p]],2)&amp;"x"&amp;TabCalc[[#This Row],[L_S1n]]&amp;"=   "&amp;TEXT(TabCalc[[#This Row],[ReverseB1]],"#,#0"),"")</f>
        <v>119.32x800=   11,216</v>
      </c>
      <c r="J70" s="295">
        <f ca="1">_xlfn.XLOOKUP(TabTRADER[[#This Row],[ClickTick]],TabCalc[Ticker],ListGravity)</f>
        <v>1.2732421652421653</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0.43204780109496366</v>
      </c>
      <c r="N70" s="324" cm="1">
        <f t="array" aca="1" ref="N70" ca="1">_xlfn.XLOOKUP(TabTRADER[[#This Row],[ClickTick]],ListTickers,Tab2RSIConventional[RSIConv20])</f>
        <v>24</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-6.7976633032395178E-2</v>
      </c>
      <c r="S70" s="683">
        <f ca="1">_xlfn.XLOOKUP(TabTRADER[[#This Row],[ClickTick]],TabCalc[Ticker],TabCalc[Rev(MinStock)])*(1-Commission)</f>
        <v>-4059.8169600000037</v>
      </c>
      <c r="T70" s="782">
        <f ca="1">_xlfn.XLOOKUP(TabTRADER[[#This Row],[ClickTick]],TabCalc[Ticker],TabCalc[Agiotage])</f>
        <v>0.43204780109496366</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-918/-918=&gt;-0.9% / -0.9%</v>
      </c>
      <c r="V70" s="739" t="str">
        <f ca="1">_xlfn.XLOOKUP(TabTRADER[[#This Row],[ClickTick]],[1]!RTData[Ticker_Symbol],[1]!RTData[Currency])</f>
        <v>USD</v>
      </c>
      <c r="W70" s="749">
        <f ca="1">_xlfn.XLOOKUP(TabTRADER[[#This Row],[ClickTick]],TabCalc[Ticker],TabCalc[M])</f>
        <v>105.3</v>
      </c>
      <c r="X70" s="1315"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-9.221E-3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^29/126 K$</v>
      </c>
      <c r="AE70" s="1182"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65"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105.3, -14.4%</v>
      </c>
      <c r="AG70" s="1165"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65" t="str" cm="1">
        <f t="array" aca="1" ref="AH70" ca="1">_xlfn.IFS(     TabTRADER[[#This Row],[Traps]]=MUp,MIN(TabTRADER[[#This Row],[L_Sn]],TabTRADER[[#This Row],[N]])*(TabTRADER[[#This Row],[M]]-TabTRADER[[#This Row],[L_Sp]])*(1-Commission)*TabTRADER[[#This Row],[Scale]],                                  TRUE,"M= "&amp;TabTRADER[[#This Row],[M]])</f>
        <v>M= 105.3</v>
      </c>
      <c r="AI70" s="1165" t="str" cm="1">
        <f t="array" aca="1" ref="AI70" ca="1">_xlfn.IFS(   TabTRADER[[#This Row],[Traps]]=MUp,TEXT(MIN(TabTRADER[[#This Row],[L_Sn]],TabTRADER[[#This Row],[N]]),"#,#0")&amp;" x "&amp;TEXT(TabTRADER[[#This Row],[L_Sp]],"#,#0.#0"),          TRUE,"")</f>
        <v/>
      </c>
      <c r="AJ70" s="1165"/>
      <c r="AK70" s="1165"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4059.8169600000037</v>
      </c>
      <c r="AL70" s="1165"/>
      <c r="AM70" s="1165"/>
      <c r="AN70" s="1165"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126360</v>
      </c>
      <c r="AO70" s="1174"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4.7404372923547447E-2</v>
      </c>
      <c r="AP70" s="1174"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7.0334472934472994E-2</v>
      </c>
      <c r="AQ70" s="825" t="str" cm="1">
        <f t="array" aca="1" ref="AQ70" ca="1">_xlfn.IFS(   TabTRADER[[#This Row],[Traps]]=SellMorePercentGain,                     MIN(TabTRADER[[#This Row],[L_Sn]],TabTRADER[[#This Row],[N]])*(TabTRADER[[#This Row],[M]]-TabTRADER[[#This Row],[L_Sp]])*(1-Commission)*TabTRADER[[#This Row],[Scale]],                    TRUE,"")</f>
        <v/>
      </c>
      <c r="AR70" s="1163">
        <f ca="1">_xlfn.XLOOKUP(TabTRADER[[#This Row],[ClickTick]],TabCalc[Ticker],TabCalc[Ann%RevLB])</f>
        <v>-0.55617245208323329</v>
      </c>
      <c r="AS70" s="1267">
        <f ca="1">_xlfn.XLOOKUP(TabTRADER[[#This Row],[ClickTick]],TabCalc[Ticker],TabCalc[Up20])</f>
        <v>0</v>
      </c>
      <c r="AT70" s="1175"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7.2934472934472999E-2</v>
      </c>
      <c r="AU70" s="825" cm="1">
        <f t="array" aca="1" ref="AU70" ca="1">_xlfn.IFS(         TabTRADER[[#This Row],[Traps]]=MDown,TabTRADER[[#This Row],[L_Bn]]*TabTRADER[[#This Row],[M]]*(-(TabTRADER[[#This Row],[L_Bp]]+TabTRADER[[#This Row],[M]])/TabTRADER[[#This Row],[M]])*(1-Commission)*TabTRADER[[#This Row],[Scale]],                               TRUE,"")</f>
        <v>4059.8169600000037</v>
      </c>
      <c r="AV70" s="1174" cm="1">
        <f t="array" aca="1" ref="AV70" ca="1">_xlfn.IFS(   TabTRADER[[#This Row],[Traps]]=MUp,TabTRADER[[#This Row],[TakeGain_A]]-Commission,        TabTRADER[[#This Row],[Traps]]=MDown,(TabTRADER[[#This Row],[A]]-TabTRADER[[#This Row],[M]])/TabTRADER[[#This Row],[M]]-Commission,                              TRUE,"")</f>
        <v>4.7163374485596821E-2</v>
      </c>
      <c r="AW70" s="825"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6271.7509400000135</v>
      </c>
      <c r="AX70" s="760"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70" s="736"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-7.68</v>
      </c>
      <c r="AZ70" s="765" cm="1">
        <f t="array" aca="1" ref="AZ70" ca="1">_xlfn.IFS(TabTRADER[[#This Row],[Traps]]=Sale_Back,"",         TabTRADER[[#This Row],[Traps]]=MDown, (TabTRADER[[#This Row],[M]]-TabTRADER[[#This Row],[A]])/TabTRADER[[#This Row],[A]]*ComFactor,             TRUE, IFERROR((TabTRADER[[#This Row],[M]]-TabTRADER[[#This Row],[A]])/TabTRADER[[#This Row],[A]]*ComFactor,""))</f>
        <v>-4.7281121553946225E-2</v>
      </c>
      <c r="BA70" s="762" cm="1">
        <f t="array" aca="1" ref="BA70" ca="1">_xlfn.IFS(               TabTRADER[[#This Row],[Traps]]=NoStock,(TabTRADER[[#This Row],[L_Sp]]-TabTRADER[[#This Row],[M]])/TabTRADER[[#This Row],[M]]-Commission,             TabTRADER[[#This Row],[A]]&lt;&gt;0,(TabTRADER[[#This Row],[A]]-TabTRADER[[#This Row],[M]])/TabTRADER[[#This Row],[M]]-Commission)</f>
        <v>4.7163374485596821E-2</v>
      </c>
      <c r="BB70" s="324">
        <f ca="1">_xlfn.XLOOKUP(TabTRADER[[#This Row],[ClickTick]],TabCalc[Ticker],TabCalc[L_Sn])</f>
        <v>330</v>
      </c>
      <c r="BC70" s="728">
        <f ca="1">_xlfn.XLOOKUP(TabTRADER[[#This Row],[ClickTick]],TabCalc[Ticker],TabCalc[L_Sp])</f>
        <v>122.97</v>
      </c>
      <c r="BD70" s="764">
        <f ca="1">-IFERROR((TabTRADER[[#This Row],[M]]-TabTRADER[[#This Row],[L_Sp]])/TabTRADER[[#This Row],[L_Sp]],0)</f>
        <v>0.14369358380092706</v>
      </c>
      <c r="BE70" s="729">
        <f ca="1">TabTRADER[[#This Row],[L_Sn]]*(TabTRADER[[#This Row],[M]]-TabTRADER[[#This Row],[L_Sp]])*(1-Commission)*TabTRADER[[#This Row],[Scale]]</f>
        <v>-5815.9391400000004</v>
      </c>
      <c r="BF70" s="692">
        <f ca="1">TabTRADER[[#This Row],[L_Sn]]*(TabTRADER[[#This Row],[Agiotage]]-TabTRADER[[#This Row],[M]])/(TabTRADER[[#This Row],[L_Bn]]*TabTRADER[[#This Row],[M]])</f>
        <v>-0.62008680007953298</v>
      </c>
      <c r="BG70" s="635">
        <f ca="1">IFERROR((TabTRADER[[#This Row],[M]]-TabTRADER[[#This Row],[A]])/TabTRADER[[#This Row],[A]],0)</f>
        <v>-4.7404372923547447E-2</v>
      </c>
      <c r="BH70" s="638" t="str">
        <f ca="1">TEXT(_xlfn.XLOOKUP(TabTRADER[[#This Row],[ClickTick]],TabCalc[Ticker],TabCalc[NAfter]),"#,#0")&amp;" : "&amp;TEXT(_xlfn.XLOOKUP(TabTRADER[[#This Row],[ClickTick]],TabCalc[Ticker],TabCalc[NAfter])*(TabTRADER[[#This Row],[M]]-TabTRADER[[#This Row],[A]])*(1-Commission)*TabTRADER[[#This Row],[Scale]],"#,#0$")</f>
        <v>1,200 : -6,272$</v>
      </c>
      <c r="BI70" s="684">
        <f ca="1">_xlfn.XLOOKUP(TabTRADER[[#This Row],[ClickTick]],TabCalc[[#This Row],[Ticker]],TabCalc[[#This Row],[GL]])*(1-Commission)</f>
        <v>28934.556357988778</v>
      </c>
      <c r="BJ70" s="684"/>
      <c r="BK70" s="669" t="str">
        <f ca="1">TabTRADER[[#This Row],[ClickTick]]&amp;": "&amp;_xlfn.XLOOKUP(TabTRADER[[#This Row],[ClickTick]],TabCalc[Ticker],TabCalc[Pile?])</f>
        <v xml:space="preserve">SAFDIS: </v>
      </c>
      <c r="BL70" s="351" t="s">
        <v>2044</v>
      </c>
      <c r="BM70" s="755" t="str" cm="1">
        <f t="array" aca="1" ref="BM70" ca="1">_xlfn.TEXTJOIN("",,INDEX({"M","A","Y"}, _xlfn.SORTBY({1,2,3}, -CHOOSE({1,2,3}, TabTRADER[[#This Row],[M]], TabTRADER[[#This Row],[A]], TabTRADER[[#This Row],[Agiotage]]))))</f>
        <v>AMY</v>
      </c>
      <c r="BN70" s="902"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7.2934472934472999E-2</v>
      </c>
      <c r="BO70" s="679" t="e">
        <f ca="1">TabTRADER[[#This Row],[L_Sn]]*TabTRADER[[#This Row],[L_Sp]]+TabTRADER[[#This Row],[SellMore]]*TabTRADER[[#This Row],[M]]</f>
        <v>#N/A</v>
      </c>
      <c r="BP70" s="679" t="e">
        <f ca="1">INDEX(
  INDEX(TabConsolid[], , _xlfn.XMATCH(TabTRADER[[#This Row],[ClickTick]]&amp;1, TabConsolid[#Headers])),
  MATCH(
    -TabTRADER[[#This Row],[M]],
    INDEX(TabConsolid[], , _xlfn.XMATCH(TabTRADER[[#This Row],[ClickTick]]&amp;2, TabConsolid[#Headers])),
    -1
  )
)</f>
        <v>#N/A</v>
      </c>
      <c r="BQ70" s="679"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44" t="e">
        <f ca="1">TabTRADER[[#This Row],[ReBuy]]/(TabTRADER[[#This Row],[L_Sn]]+TabTRADER[[#This Row],[SellMore]])</f>
        <v>#N/A</v>
      </c>
      <c r="BS70" s="687">
        <f ca="1">((_xlfn.XLOOKUP(TabTRADER[[#This Row],[ClickTick]],TabCalc[Ticker],TabCalc[NAfter])+TabTRADER[[#This Row],[L_Sn]])*(TabTRADER[[#This Row],[Agiotage]]-TabTRADER[[#This Row],[M]]))/(TabTRADER[[#This Row],[L_Sn]]*_xlfn.XLOOKUP(TabTRADER[[#This Row],[ClickTick]],TabCalc[Ticker],TabCalc[NAfter]))</f>
        <v>-0.40517163349576946</v>
      </c>
      <c r="BT70" s="687">
        <f ca="1">(TabTRADER[[#This Row],[M]]-TabTRADER[[#This Row],[Agiotage]])/(TabTRADER[[#This Row],[M]]-TabTRADER[[#This Row],[A]])-1</f>
        <v>-21.01264970956024</v>
      </c>
      <c r="BU70" s="1262">
        <f ca="1">_xlfn.XMATCH(TabTRADER[[#This Row],[ClickTick]]&amp;1, TabConsolid[#Headers])</f>
        <v>206</v>
      </c>
      <c r="BV70" t="str">
        <f ca="1">IF(ABS(TabTRADER[[#This Row],[L_Bp]])&gt;=TabTRADER[[#This Row],[M]],"OK")</f>
        <v>OK</v>
      </c>
    </row>
    <row r="71" spans="1:74" hidden="1"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35.4%</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40,963$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-29.6% = 0</v>
      </c>
      <c r="I71" s="226" t="str">
        <f ca="1">IFERROR(TRUNC(TabCalc[[#This Row],[L_S1p]],2)&amp;"x"&amp;TabCalc[[#This Row],[L_S1n]]&amp;"=   "&amp;TEXT(TabCalc[[#This Row],[ReverseB1]],"#,#0"),"")</f>
        <v>48.66x4000=   -81,819</v>
      </c>
      <c r="J71" s="295">
        <f ca="1">_xlfn.XLOOKUP(TabTRADER[[#This Row],[ClickTick]],TabCalc[Ticker],ListGravity)</f>
        <v>1.058436663531795</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0.29901271886794123</v>
      </c>
      <c r="N71" s="324" cm="1">
        <f t="array" aca="1" ref="N71" ca="1">_xlfn.XLOOKUP(TabTRADER[[#This Row],[ClickTick]],ListTickers,Tab2RSIConventional[RSIConv20])</f>
        <v>71</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0.54896907216494839</v>
      </c>
      <c r="S71" s="683">
        <f ca="1">_xlfn.XLOOKUP(TabTRADER[[#This Row],[ClickTick]],TabCalc[Ticker],TabCalc[Rev(MinStock)])*(1-Commission)</f>
        <v>0</v>
      </c>
      <c r="T71" s="782">
        <f ca="1">_xlfn.XLOOKUP(TabTRADER[[#This Row],[ClickTick]],TabCalc[Ticker],TabCalc[Agiotage])</f>
        <v>0.29901271886794123</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71" s="739" t="str">
        <f ca="1">_xlfn.XLOOKUP(TabTRADER[[#This Row],[ClickTick]],[1]!RTData[Ticker_Symbol],[1]!RTData[Currency])</f>
        <v>USD</v>
      </c>
      <c r="W71" s="749">
        <f ca="1">_xlfn.XLOOKUP(TabTRADER[[#This Row],[ClickTick]],TabCalc[Ticker],TabCalc[M])</f>
        <v>69.114999999999995</v>
      </c>
      <c r="X71" s="1315"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1.7444000000000001E-2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6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65"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69.115, 42.1%</v>
      </c>
      <c r="AG71" s="1165"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65" t="str" cm="1">
        <f t="array" aca="1" ref="AH71" ca="1">_xlfn.IFS(     TabTRADER[[#This Row],[Traps]]=MUp,MIN(TabTRADER[[#This Row],[L_Sn]],TabTRADER[[#This Row],[N]])*(TabTRADER[[#This Row],[M]]-TabTRADER[[#This Row],[L_Sp]])*(1-Commission)*TabTRADER[[#This Row],[Scale]],                                  TRUE,"M= "&amp;TabTRADER[[#This Row],[M]])</f>
        <v>M= 69.115</v>
      </c>
      <c r="AI71" s="1165" t="str" cm="1">
        <f t="array" aca="1" ref="AI71" ca="1">_xlfn.IFS(   TabTRADER[[#This Row],[Traps]]=MUp,TEXT(MIN(TabTRADER[[#This Row],[L_Sn]],TabTRADER[[#This Row],[N]]),"#,#0")&amp;" x "&amp;TEXT(TabTRADER[[#This Row],[L_Sp]],"#,#0.#0"),          TRUE,"")</f>
        <v/>
      </c>
      <c r="AJ71" s="1165"/>
      <c r="AK71" s="1165"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65"/>
      <c r="AM71" s="1165"/>
      <c r="AN71" s="1165"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74"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74"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TabTRADER[[#This Row],[Traps]]=SellMorePercentGain,                     MIN(TabTRADER[[#This Row],[L_Sn]],TabTRADER[[#This Row],[N]])*(TabTRADER[[#This Row],[M]]-TabTRADER[[#This Row],[L_Sp]])*(1-Commission)*TabTRADER[[#This Row],[Scale]],                    TRUE,"")</f>
        <v/>
      </c>
      <c r="AR71" s="1163">
        <f ca="1">_xlfn.XLOOKUP(TabTRADER[[#This Row],[ClickTick]],TabCalc[Ticker],TabCalc[Ann%RevLB])</f>
        <v>0.41431628087920636</v>
      </c>
      <c r="AS71" s="1267">
        <f ca="1">_xlfn.XLOOKUP(TabTRADER[[#This Row],[ClickTick]],TabCalc[Ticker],TabCalc[Up20])</f>
        <v>0.55555555555555558</v>
      </c>
      <c r="AT71" s="1175"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5" t="str" cm="1">
        <f t="array" aca="1" ref="AU71" ca="1">_xlfn.IFS(         TabTRADER[[#This Row],[Traps]]=MDown,TabTRADER[[#This Row],[L_Bn]]*TabTRADER[[#This Row],[M]]*(-(TabTRADER[[#This Row],[L_Bp]]+TabTRADER[[#This Row],[M]])/TabTRADER[[#This Row],[M]])*(1-Commission)*TabTRADER[[#This Row],[Scale]],                               TRUE,"")</f>
        <v/>
      </c>
      <c r="AV71" s="1174" t="str" cm="1">
        <f t="array" aca="1" ref="AV71" ca="1">_xlfn.IFS(   TabTRADER[[#This Row],[Traps]]=MUp,TabTRADER[[#This Row],[TakeGain_A]]-Commission,        TabTRADER[[#This Row],[Traps]]=MDown,(TabTRADER[[#This Row],[A]]-TabTRADER[[#This Row],[M]])/TabTRADER[[#This Row],[M]]-Commission,                              TRUE,"")</f>
        <v/>
      </c>
      <c r="AW71" s="760"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60"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Y71" s="736"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0x69.11</v>
      </c>
      <c r="AZ71" s="765" t="str" cm="1">
        <f t="array" aca="1" ref="AZ71" ca="1">_xlfn.IFS(TabTRADER[[#This Row],[Traps]]=Sale_Back,"",         TabTRADER[[#This Row],[Traps]]=MDown, (TabTRADER[[#This Row],[M]]-TabTRADER[[#This Row],[A]])/TabTRADER[[#This Row],[A]]*ComFactor,             TRUE, IFERROR((TabTRADER[[#This Row],[M]]-TabTRADER[[#This Row],[A]])/TabTRADER[[#This Row],[A]]*ComFactor,""))</f>
        <v/>
      </c>
      <c r="BA71" s="762" cm="1">
        <f t="array" aca="1" ref="BA71" ca="1">_xlfn.IFS(               TabTRADER[[#This Row],[Traps]]=NoStock,(TabTRADER[[#This Row],[L_Sp]]-TabTRADER[[#This Row],[M]])/TabTRADER[[#This Row],[M]]-Commission,             TabTRADER[[#This Row],[A]]&lt;&gt;0,(TabTRADER[[#This Row],[A]]-TabTRADER[[#This Row],[M]])/TabTRADER[[#This Row],[M]]-Commission)</f>
        <v>-0.29894088114012868</v>
      </c>
      <c r="BB71" s="324">
        <f ca="1">_xlfn.XLOOKUP(TabTRADER[[#This Row],[ClickTick]],TabCalc[Ticker],TabCalc[L_Sn])</f>
        <v>2000</v>
      </c>
      <c r="BC71" s="728">
        <f ca="1">_xlfn.XLOOKUP(TabTRADER[[#This Row],[ClickTick]],TabCalc[Ticker],TabCalc[L_Sp])</f>
        <v>48.633400000000002</v>
      </c>
      <c r="BD71" s="764">
        <f ca="1">-IFERROR((TabTRADER[[#This Row],[M]]-TabTRADER[[#This Row],[L_Sp]])/TabTRADER[[#This Row],[L_Sp]],0)</f>
        <v>-0.42114267149736584</v>
      </c>
      <c r="BE71" s="729">
        <f ca="1">TabTRADER[[#This Row],[L_Sn]]*(TabTRADER[[#This Row],[M]]-TabTRADER[[#This Row],[L_Sp]])*(1-Commission)*TabTRADER[[#This Row],[Scale]]</f>
        <v>40856.69567999999</v>
      </c>
      <c r="BF71" s="692">
        <f ca="1">TabTRADER[[#This Row],[L_Sn]]*(TabTRADER[[#This Row],[Agiotage]]-TabTRADER[[#This Row],[M]])/(TabTRADER[[#This Row],[L_Bn]]*TabTRADER[[#This Row],[M]])</f>
        <v>-0.99567369284716856</v>
      </c>
      <c r="BG71" s="635">
        <f ca="1">IFERROR((TabTRADER[[#This Row],[M]]-TabTRADER[[#This Row],[A]])/TabTRADER[[#This Row],[A]],0)</f>
        <v>0</v>
      </c>
      <c r="BH71" s="638" t="str">
        <f ca="1">TEXT(_xlfn.XLOOKUP(TabTRADER[[#This Row],[ClickTick]],TabCalc[Ticker],TabCalc[NAfter]),"#,#0")&amp;" : "&amp;TEXT(_xlfn.XLOOKUP(TabTRADER[[#This Row],[ClickTick]],TabCalc[Ticker],TabCalc[NAfter])*(TabTRADER[[#This Row],[M]]-TabTRADER[[#This Row],[A]])*(1-Commission)*TabTRADER[[#This Row],[Scale]],"#,#0$")</f>
        <v>0 : 0$</v>
      </c>
      <c r="BI71" s="684">
        <f ca="1">_xlfn.XLOOKUP(TabTRADER[[#This Row],[ClickTick]],TabCalc[[#This Row],[Ticker]],TabCalc[[#This Row],[GL]])*(1-Commission)</f>
        <v>62341.663567505399</v>
      </c>
      <c r="BJ71" s="684"/>
      <c r="BK71" s="669" t="str">
        <f ca="1">TabTRADER[[#This Row],[ClickTick]]&amp;": "&amp;_xlfn.XLOOKUP(TabTRADER[[#This Row],[ClickTick]],TabCalc[Ticker],TabCalc[Pile?])</f>
        <v>SAFGM: Pile</v>
      </c>
      <c r="BL71" s="351" t="s">
        <v>2045</v>
      </c>
      <c r="BM71" s="755" t="str" cm="1">
        <f t="array" aca="1" ref="BM71" ca="1">_xlfn.TEXTJOIN("",,INDEX({"M","A","Y"}, _xlfn.SORTBY({1,2,3}, -CHOOSE({1,2,3}, TabTRADER[[#This Row],[M]], TabTRADER[[#This Row],[A]], TabTRADER[[#This Row],[Agiotage]]))))</f>
        <v>MYA</v>
      </c>
      <c r="BN71" s="902"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9" t="e">
        <f ca="1">TabTRADER[[#This Row],[L_Sn]]*TabTRADER[[#This Row],[L_Sp]]+TabTRADER[[#This Row],[SellMore]]*TabTRADER[[#This Row],[M]]</f>
        <v>#N/A</v>
      </c>
      <c r="BP71" s="679" t="e">
        <f ca="1">INDEX(
  INDEX(TabConsolid[], , _xlfn.XMATCH(TabTRADER[[#This Row],[ClickTick]]&amp;1, TabConsolid[#Headers])),
  MATCH(
    -TabTRADER[[#This Row],[M]],
    INDEX(TabConsolid[], , _xlfn.XMATCH(TabTRADER[[#This Row],[ClickTick]]&amp;2, TabConsolid[#Headers])),
    -1
  )
)</f>
        <v>#N/A</v>
      </c>
      <c r="BQ71" s="679"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44" t="e">
        <f ca="1">TabTRADER[[#This Row],[ReBuy]]/(TabTRADER[[#This Row],[L_Sn]]+TabTRADER[[#This Row],[SellMore]])</f>
        <v>#N/A</v>
      </c>
      <c r="BS71" s="687" t="e">
        <f ca="1">((_xlfn.XLOOKUP(TabTRADER[[#This Row],[ClickTick]],TabCalc[Ticker],TabCalc[NAfter])+TabTRADER[[#This Row],[L_Sn]])*(TabTRADER[[#This Row],[Agiotage]]-TabTRADER[[#This Row],[M]]))/(TabTRADER[[#This Row],[L_Sn]]*_xlfn.XLOOKUP(TabTRADER[[#This Row],[ClickTick]],TabCalc[Ticker],TabCalc[NAfter]))</f>
        <v>#DIV/0!</v>
      </c>
      <c r="BT71" s="687">
        <f ca="1">(TabTRADER[[#This Row],[M]]-TabTRADER[[#This Row],[Agiotage]])/(TabTRADER[[#This Row],[M]]-TabTRADER[[#This Row],[A]])-1</f>
        <v>-4.3263071528314434E-3</v>
      </c>
      <c r="BU71" s="1262">
        <f ca="1">_xlfn.XMATCH(TabTRADER[[#This Row],[ClickTick]]&amp;1, TabConsolid[#Headers])</f>
        <v>209</v>
      </c>
      <c r="BV71" t="b">
        <f ca="1">IF(ABS(TabTRADER[[#This Row],[L_Bp]])&gt;=TabTRADER[[#This Row],[M]],"OK")</f>
        <v>0</v>
      </c>
    </row>
    <row r="72" spans="1:74" hidden="1"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47.5%</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75,680$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72" s="226" t="str">
        <f ca="1">IFERROR(TRUNC(TabCalc[[#This Row],[L_S1p]],2)&amp;"x"&amp;TabCalc[[#This Row],[L_S1n]]&amp;"=   "&amp;TEXT(TabCalc[[#This Row],[ReverseB1]],"#,#0"),"")</f>
        <v>212.3x25000=   -41,325</v>
      </c>
      <c r="J72" s="295">
        <f ca="1">_xlfn.XLOOKUP(TabTRADER[[#This Row],[ClickTick]],TabCalc[Ticker],ListGravity)</f>
        <v>1.2290630296610168</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0.83798052886889074</v>
      </c>
      <c r="N72" s="324" cm="1">
        <f t="array" aca="1" ref="N72" ca="1">_xlfn.XLOOKUP(TabTRADER[[#This Row],[ClickTick]],ListTickers,Tab2RSIConventional[RSIConv20])</f>
        <v>37</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0.90553088413403326</v>
      </c>
      <c r="S72" s="683">
        <f ca="1">_xlfn.XLOOKUP(TabTRADER[[#This Row],[ClickTick]],TabCalc[Ticker],TabCalc[Rev(MinStock)])*(1-Commission)</f>
        <v>0</v>
      </c>
      <c r="T72" s="782">
        <f ca="1">_xlfn.XLOOKUP(TabTRADER[[#This Row],[ClickTick]],TabCalc[Ticker],TabCalc[Agiotage])</f>
        <v>0.83798052886889074</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72" s="739" t="str">
        <f ca="1">_xlfn.XLOOKUP(TabTRADER[[#This Row],[ClickTick]],[1]!RTData[Ticker_Symbol],[1]!RTData[Currency])</f>
        <v>GBp</v>
      </c>
      <c r="W72" s="749">
        <f ca="1">_xlfn.XLOOKUP(TabTRADER[[#This Row],[ClickTick]],TabCalc[Ticker],TabCalc[M])</f>
        <v>377.6</v>
      </c>
      <c r="X72" s="1315"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1.6966999999999999E-2</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82"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65"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377.6, 25.1%</v>
      </c>
      <c r="AG72" s="1165"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65" t="str" cm="1">
        <f t="array" aca="1" ref="AH72" ca="1">_xlfn.IFS(     TabTRADER[[#This Row],[Traps]]=MUp,MIN(TabTRADER[[#This Row],[L_Sn]],TabTRADER[[#This Row],[N]])*(TabTRADER[[#This Row],[M]]-TabTRADER[[#This Row],[L_Sp]])*(1-Commission)*TabTRADER[[#This Row],[Scale]],                                  TRUE,"M= "&amp;TabTRADER[[#This Row],[M]])</f>
        <v>M= 377.6</v>
      </c>
      <c r="AI72" s="1165" t="str" cm="1">
        <f t="array" aca="1" ref="AI72" ca="1">_xlfn.IFS(   TabTRADER[[#This Row],[Traps]]=MUp,TEXT(MIN(TabTRADER[[#This Row],[L_Sn]],TabTRADER[[#This Row],[N]]),"#,#0")&amp;" x "&amp;TEXT(TabTRADER[[#This Row],[L_Sp]],"#,#0.#0"),          TRUE,"")</f>
        <v/>
      </c>
      <c r="AJ72" s="1165"/>
      <c r="AK72" s="1165"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65"/>
      <c r="AM72" s="1165"/>
      <c r="AN72" s="1165"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74"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74"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TabTRADER[[#This Row],[Traps]]=SellMorePercentGain,                     MIN(TabTRADER[[#This Row],[L_Sn]],TabTRADER[[#This Row],[N]])*(TabTRADER[[#This Row],[M]]-TabTRADER[[#This Row],[L_Sp]])*(1-Commission)*TabTRADER[[#This Row],[Scale]],                    TRUE,"")</f>
        <v/>
      </c>
      <c r="AR72" s="1180">
        <f ca="1">_xlfn.XLOOKUP(TabTRADER[[#This Row],[ClickTick]],TabCalc[Ticker],TabCalc[Ann%RevLB])</f>
        <v>0.8069087086342871</v>
      </c>
      <c r="AS72" s="1266">
        <f ca="1">_xlfn.XLOOKUP(TabTRADER[[#This Row],[ClickTick]],TabCalc[Ticker],TabCalc[Up20])</f>
        <v>0.42857142857142855</v>
      </c>
      <c r="AT72" s="1175"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5" t="str" cm="1">
        <f t="array" aca="1" ref="AU72" ca="1">_xlfn.IFS(         TabTRADER[[#This Row],[Traps]]=MDown,TabTRADER[[#This Row],[L_Bn]]*TabTRADER[[#This Row],[M]]*(-(TabTRADER[[#This Row],[L_Bp]]+TabTRADER[[#This Row],[M]])/TabTRADER[[#This Row],[M]])*(1-Commission)*TabTRADER[[#This Row],[Scale]],                               TRUE,"")</f>
        <v/>
      </c>
      <c r="AV72" s="1174" t="str" cm="1">
        <f t="array" aca="1" ref="AV72" ca="1">_xlfn.IFS(   TabTRADER[[#This Row],[Traps]]=MUp,TabTRADER[[#This Row],[TakeGain_A]]-Commission,        TabTRADER[[#This Row],[Traps]]=MDown,(TabTRADER[[#This Row],[A]]-TabTRADER[[#This Row],[M]])/TabTRADER[[#This Row],[M]]-Commission,                              TRUE,"")</f>
        <v/>
      </c>
      <c r="AW72" s="760"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60"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-1.3%</v>
      </c>
      <c r="AY72" s="736"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0x3.776</v>
      </c>
      <c r="AZ72" s="765" t="str" cm="1">
        <f t="array" aca="1" ref="AZ72" ca="1">_xlfn.IFS(TabTRADER[[#This Row],[Traps]]=Sale_Back,"",         TabTRADER[[#This Row],[Traps]]=MDown, (TabTRADER[[#This Row],[M]]-TabTRADER[[#This Row],[A]])/TabTRADER[[#This Row],[A]]*ComFactor,             TRUE, IFERROR((TabTRADER[[#This Row],[M]]-TabTRADER[[#This Row],[A]])/TabTRADER[[#This Row],[A]]*ComFactor,""))</f>
        <v/>
      </c>
      <c r="BA72" s="762" cm="1">
        <f t="array" aca="1" ref="BA72" ca="1">_xlfn.IFS(               TabTRADER[[#This Row],[Traps]]=NoStock,(TabTRADER[[#This Row],[L_Sp]]-TabTRADER[[#This Row],[M]])/TabTRADER[[#This Row],[M]]-Commission,             TabTRADER[[#This Row],[A]]&lt;&gt;0,(TabTRADER[[#This Row],[A]]-TabTRADER[[#This Row],[M]])/TabTRADER[[#This Row],[M]]-Commission)</f>
        <v>-0.20302372881355932</v>
      </c>
      <c r="BB72" s="324">
        <f ca="1">_xlfn.XLOOKUP(TabTRADER[[#This Row],[ClickTick]],TabCalc[Ticker],TabCalc[L_Sn])</f>
        <v>100000</v>
      </c>
      <c r="BC72" s="728">
        <f ca="1">_xlfn.XLOOKUP(TabTRADER[[#This Row],[ClickTick]],TabCalc[Ticker],TabCalc[L_Sp])</f>
        <v>301.92</v>
      </c>
      <c r="BD72" s="764">
        <f ca="1">-IFERROR((TabTRADER[[#This Row],[M]]-TabTRADER[[#This Row],[L_Sp]])/TabTRADER[[#This Row],[L_Sp]],0)</f>
        <v>-0.2506624271330154</v>
      </c>
      <c r="BE72" s="729">
        <f ca="1">TabTRADER[[#This Row],[L_Sn]]*(TabTRADER[[#This Row],[M]]-TabTRADER[[#This Row],[L_Sp]])*(1-Commission)*TabTRADER[[#This Row],[Scale]]</f>
        <v>75483.232000000004</v>
      </c>
      <c r="BF72" s="692">
        <f ca="1">TabTRADER[[#This Row],[L_Sn]]*(TabTRADER[[#This Row],[Agiotage]]-TabTRADER[[#This Row],[M]])/(TabTRADER[[#This Row],[L_Bn]]*TabTRADER[[#This Row],[M]])</f>
        <v>-3.9911230876179142</v>
      </c>
      <c r="BG72" s="635">
        <f ca="1">IFERROR((TabTRADER[[#This Row],[M]]-TabTRADER[[#This Row],[A]])/TabTRADER[[#This Row],[A]],0)</f>
        <v>0</v>
      </c>
      <c r="BH72" s="638" t="str">
        <f ca="1">TEXT(_xlfn.XLOOKUP(TabTRADER[[#This Row],[ClickTick]],TabCalc[Ticker],TabCalc[NAfter]),"#,#0")&amp;" : "&amp;TEXT(_xlfn.XLOOKUP(TabTRADER[[#This Row],[ClickTick]],TabCalc[Ticker],TabCalc[NAfter])*(TabTRADER[[#This Row],[M]]-TabTRADER[[#This Row],[A]])*(1-Commission)*TabTRADER[[#This Row],[Scale]],"#,#0$")</f>
        <v>0 : 0$</v>
      </c>
      <c r="BI72" s="684">
        <f ca="1">_xlfn.XLOOKUP(TabTRADER[[#This Row],[ClickTick]],TabCalc[[#This Row],[Ticker]],TabCalc[[#This Row],[GL]])*(1-Commission)</f>
        <v>177513.79999859998</v>
      </c>
      <c r="BJ72" s="684"/>
      <c r="BK72" s="669" t="str">
        <f ca="1">TabTRADER[[#This Row],[ClickTick]]&amp;": "&amp;_xlfn.XLOOKUP(TabTRADER[[#This Row],[ClickTick]],TabCalc[Ticker],TabCalc[Pile?])</f>
        <v>SAFIAG: Pile</v>
      </c>
      <c r="BL72" s="351" t="s">
        <v>2046</v>
      </c>
      <c r="BM72" s="755" t="str" cm="1">
        <f t="array" aca="1" ref="BM72" ca="1">_xlfn.TEXTJOIN("",,INDEX({"M","A","Y"}, _xlfn.SORTBY({1,2,3}, -CHOOSE({1,2,3}, TabTRADER[[#This Row],[M]], TabTRADER[[#This Row],[A]], TabTRADER[[#This Row],[Agiotage]]))))</f>
        <v>MYA</v>
      </c>
      <c r="BN72" s="902"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9" t="e">
        <f ca="1">TabTRADER[[#This Row],[L_Sn]]*TabTRADER[[#This Row],[L_Sp]]+TabTRADER[[#This Row],[SellMore]]*TabTRADER[[#This Row],[M]]</f>
        <v>#N/A</v>
      </c>
      <c r="BP72" s="679" t="e">
        <f ca="1">INDEX(
  INDEX(TabConsolid[], , _xlfn.XMATCH(TabTRADER[[#This Row],[ClickTick]]&amp;1, TabConsolid[#Headers])),
  MATCH(
    -TabTRADER[[#This Row],[M]],
    INDEX(TabConsolid[], , _xlfn.XMATCH(TabTRADER[[#This Row],[ClickTick]]&amp;2, TabConsolid[#Headers])),
    -1
  )
)</f>
        <v>#N/A</v>
      </c>
      <c r="BQ72" s="679"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44" t="e">
        <f ca="1">TabTRADER[[#This Row],[ReBuy]]/(TabTRADER[[#This Row],[L_Sn]]+TabTRADER[[#This Row],[SellMore]])</f>
        <v>#N/A</v>
      </c>
      <c r="BS72" s="687" t="e">
        <f ca="1">((_xlfn.XLOOKUP(TabTRADER[[#This Row],[ClickTick]],TabCalc[Ticker],TabCalc[NAfter])+TabTRADER[[#This Row],[L_Sn]])*(TabTRADER[[#This Row],[Agiotage]]-TabTRADER[[#This Row],[M]]))/(TabTRADER[[#This Row],[L_Sn]]*_xlfn.XLOOKUP(TabTRADER[[#This Row],[ClickTick]],TabCalc[Ticker],TabCalc[NAfter]))</f>
        <v>#DIV/0!</v>
      </c>
      <c r="BT72" s="687">
        <f ca="1">(TabTRADER[[#This Row],[M]]-TabTRADER[[#This Row],[Agiotage]])/(TabTRADER[[#This Row],[M]]-TabTRADER[[#This Row],[A]])-1</f>
        <v>-2.2192280955214416E-3</v>
      </c>
      <c r="BU72" s="1262">
        <f ca="1">_xlfn.XMATCH(TabTRADER[[#This Row],[ClickTick]]&amp;1, TabConsolid[#Headers])</f>
        <v>212</v>
      </c>
      <c r="BV72" t="b">
        <f ca="1">IF(ABS(TabTRADER[[#This Row],[L_Bp]])&gt;=TabTRADER[[#This Row],[M]],"OK")</f>
        <v>0</v>
      </c>
    </row>
    <row r="73" spans="1:74" hidden="1"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-43,598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-59.9%</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-48,262$</v>
      </c>
      <c r="G73" s="225" t="str">
        <f ca="1">IFERROR(TRUNC(_xlfn.XLOOKUP(TabTRADER[[#This Row],[ClickTick]],TabCalc[Ticker],ListLastSalep),2)&amp;"x"&amp;_xlfn.XLOOKUP(TabTRADER[[#This Row],[ClickTick]],TabCalc[Ticker],ListLastSalen)&amp;"=   "&amp;TEXT(-_xlfn.XLOOKUP(TabTRADER[[#This Row],[ClickTick]],TabCalc[Ticker],ListReverseB),"#,#0")&amp;"$","")</f>
        <v>124.1x200=   -19,964$</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411.1% = 50</v>
      </c>
      <c r="I73" s="226" t="str">
        <f ca="1">IFERROR(TRUNC(TabCalc[[#This Row],[L_S1p]],2)&amp;"x"&amp;TabCalc[[#This Row],[L_S1n]]&amp;"=   "&amp;TEXT(TabCalc[[#This Row],[ReverseB1]],"#,#0"),"")</f>
        <v>126.78x299=   30,648</v>
      </c>
      <c r="J73" s="295">
        <f ca="1">_xlfn.XLOOKUP(TabTRADER[[#This Row],[ClickTick]],TabCalc[Ticker],ListGravity)</f>
        <v>1.6598023064250409</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109260</v>
      </c>
      <c r="M73" s="323">
        <f ca="1">_xlfn.XLOOKUP(TabTRADER[[#This Row],[ClickTick]],TabCalc[Ticker],TabCalc[Agiotage])</f>
        <v>0.28173453881169197</v>
      </c>
      <c r="N73" s="324" cm="1">
        <f t="array" aca="1" ref="N73" ca="1">_xlfn.XLOOKUP(TabTRADER[[#This Row],[ClickTick]],ListTickers,Tab2RSIConventional[RSIConv20])</f>
        <v>46</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-0.37442995315954097</v>
      </c>
      <c r="S73" s="683">
        <f ca="1">_xlfn.XLOOKUP(TabTRADER[[#This Row],[ClickTick]],TabCalc[Ticker],TabCalc[Rev(MinStock)])*(1-Commission)</f>
        <v>-43484.445720000003</v>
      </c>
      <c r="T73" s="782">
        <f ca="1">_xlfn.XLOOKUP(TabTRADER[[#This Row],[ClickTick]],TabCalc[Ticker],TabCalc[Agiotage])</f>
        <v>0.28173453881169197</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-3,350/-3,350=&gt;-2.6% / -2.6%</v>
      </c>
      <c r="V73" s="739" t="str">
        <f ca="1">_xlfn.XLOOKUP(TabTRADER[[#This Row],[ClickTick]],[1]!RTData[Ticker_Symbol],[1]!RTData[Currency])</f>
        <v>USD</v>
      </c>
      <c r="W73" s="749">
        <f ca="1">_xlfn.XLOOKUP(TabTRADER[[#This Row],[ClickTick]],TabCalc[Ticker],TabCalc[M])</f>
        <v>24.28</v>
      </c>
      <c r="X73" s="1315"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-2.5682E-2</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-178/121 K$</v>
      </c>
      <c r="AE73" s="1182"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65"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24.28, -80.4%</v>
      </c>
      <c r="AG73" s="1165"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65" t="str" cm="1">
        <f t="array" aca="1" ref="AH73" ca="1">_xlfn.IFS(     TabTRADER[[#This Row],[Traps]]=MUp,MIN(TabTRADER[[#This Row],[L_Sn]],TabTRADER[[#This Row],[N]])*(TabTRADER[[#This Row],[M]]-TabTRADER[[#This Row],[L_Sp]])*(1-Commission)*TabTRADER[[#This Row],[Scale]],                                  TRUE,"M= "&amp;TabTRADER[[#This Row],[M]])</f>
        <v>M= 24.28</v>
      </c>
      <c r="AI73" s="1165" t="str" cm="1">
        <f t="array" aca="1" ref="AI73" ca="1">_xlfn.IFS(   TabTRADER[[#This Row],[Traps]]=MUp,TEXT(MIN(TabTRADER[[#This Row],[L_Sn]],TabTRADER[[#This Row],[N]]),"#,#0")&amp;" x "&amp;TEXT(TabTRADER[[#This Row],[L_Sp]],"#,#0.#0"),          TRUE,"")</f>
        <v/>
      </c>
      <c r="AJ73" s="1165"/>
      <c r="AK73" s="1165"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43484.445720000003</v>
      </c>
      <c r="AL73" s="1165"/>
      <c r="AM73" s="1165"/>
      <c r="AN73" s="1165"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121400</v>
      </c>
      <c r="AO73" s="1174"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0.60670044495381448</v>
      </c>
      <c r="AP73" s="1174"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0.59594200988467871</v>
      </c>
      <c r="AQ73" s="825" t="str" cm="1">
        <f t="array" aca="1" ref="AQ73" ca="1">_xlfn.IFS(   TabTRADER[[#This Row],[Traps]]=SellMorePercentGain,                     MIN(TabTRADER[[#This Row],[L_Sn]],TabTRADER[[#This Row],[N]])*(TabTRADER[[#This Row],[M]]-TabTRADER[[#This Row],[L_Sp]])*(1-Commission)*TabTRADER[[#This Row],[Scale]],                    TRUE,"")</f>
        <v/>
      </c>
      <c r="AR73" s="1163">
        <f ca="1">_xlfn.XLOOKUP(TabTRADER[[#This Row],[ClickTick]],TabCalc[Ticker],TabCalc[Ann%RevLB])</f>
        <v>-0.44782319979214202</v>
      </c>
      <c r="AS73" s="1267">
        <f ca="1">_xlfn.XLOOKUP(TabTRADER[[#This Row],[ClickTick]],TabCalc[Ticker],TabCalc[Up20])</f>
        <v>0</v>
      </c>
      <c r="AT73" s="1175"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0.59854200988467876</v>
      </c>
      <c r="AU73" s="825" cm="1">
        <f t="array" aca="1" ref="AU73" ca="1">_xlfn.IFS(         TabTRADER[[#This Row],[Traps]]=MDown,TabTRADER[[#This Row],[L_Bn]]*TabTRADER[[#This Row],[M]]*(-(TabTRADER[[#This Row],[L_Bp]]+TabTRADER[[#This Row],[M]])/TabTRADER[[#This Row],[M]])*(1-Commission)*TabTRADER[[#This Row],[Scale]],                               TRUE,"")</f>
        <v>43484.445720000003</v>
      </c>
      <c r="AV73" s="1174" cm="1">
        <f t="array" aca="1" ref="AV73" ca="1">_xlfn.IFS(   TabTRADER[[#This Row],[Traps]]=MUp,TabTRADER[[#This Row],[TakeGain_A]]-Commission,        TabTRADER[[#This Row],[Traps]]=MDown,(TabTRADER[[#This Row],[A]]-TabTRADER[[#This Row],[M]])/TabTRADER[[#This Row],[M]]-Commission,                              TRUE,"")</f>
        <v>1.5399912314662274</v>
      </c>
      <c r="AW73" s="760"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186783.67200369999</v>
      </c>
      <c r="AX73" s="760"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Y73" s="736"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-14.53</v>
      </c>
      <c r="AZ73" s="765" cm="1">
        <f t="array" aca="1" ref="AZ73" ca="1">_xlfn.IFS(TabTRADER[[#This Row],[Traps]]=Sale_Back,"",         TabTRADER[[#This Row],[Traps]]=MDown, (TabTRADER[[#This Row],[M]]-TabTRADER[[#This Row],[A]])/TabTRADER[[#This Row],[A]]*ComFactor,             TRUE, IFERROR((TabTRADER[[#This Row],[M]]-TabTRADER[[#This Row],[A]])/TabTRADER[[#This Row],[A]]*ComFactor,""))</f>
        <v>-0.6051230237969345</v>
      </c>
      <c r="BA73" s="762" cm="1">
        <f t="array" aca="1" ref="BA73" ca="1">_xlfn.IFS(               TabTRADER[[#This Row],[Traps]]=NoStock,(TabTRADER[[#This Row],[L_Sp]]-TabTRADER[[#This Row],[M]])/TabTRADER[[#This Row],[M]]-Commission,             TabTRADER[[#This Row],[A]]&lt;&gt;0,(TabTRADER[[#This Row],[A]]-TabTRADER[[#This Row],[M]])/TabTRADER[[#This Row],[M]]-Commission)</f>
        <v>1.5399912314662274</v>
      </c>
      <c r="BB73" s="324">
        <f ca="1">_xlfn.XLOOKUP(TabTRADER[[#This Row],[ClickTick]],TabCalc[Ticker],TabCalc[L_Sn])</f>
        <v>200</v>
      </c>
      <c r="BC73" s="728">
        <f ca="1">_xlfn.XLOOKUP(TabTRADER[[#This Row],[ClickTick]],TabCalc[Ticker],TabCalc[L_Sp])</f>
        <v>124.1</v>
      </c>
      <c r="BD73" s="764">
        <f ca="1">-IFERROR((TabTRADER[[#This Row],[M]]-TabTRADER[[#This Row],[L_Sp]])/TabTRADER[[#This Row],[L_Sp]],0)</f>
        <v>0.80435132957292499</v>
      </c>
      <c r="BE73" s="729">
        <f ca="1">TabTRADER[[#This Row],[L_Sn]]*(TabTRADER[[#This Row],[M]]-TabTRADER[[#This Row],[L_Sp]])*(1-Commission)*TabTRADER[[#This Row],[Scale]]</f>
        <v>-19912.0936</v>
      </c>
      <c r="BF73" s="692">
        <f ca="1">TabTRADER[[#This Row],[L_Sn]]*(TabTRADER[[#This Row],[Agiotage]]-TabTRADER[[#This Row],[M]])/(TabTRADER[[#This Row],[L_Bn]]*TabTRADER[[#This Row],[M]])</f>
        <v>-6.5893095719902012E-2</v>
      </c>
      <c r="BG73" s="635">
        <f ca="1">IFERROR((TabTRADER[[#This Row],[M]]-TabTRADER[[#This Row],[A]])/TabTRADER[[#This Row],[A]],0)</f>
        <v>-0.60670044495381448</v>
      </c>
      <c r="BH73" s="638" t="str">
        <f ca="1">TEXT(_xlfn.XLOOKUP(TabTRADER[[#This Row],[ClickTick]],TabCalc[Ticker],TabCalc[NAfter]),"#,#0")&amp;" : "&amp;TEXT(_xlfn.XLOOKUP(TabTRADER[[#This Row],[ClickTick]],TabCalc[Ticker],TabCalc[NAfter])*(TabTRADER[[#This Row],[M]]-TabTRADER[[#This Row],[A]])*(1-Commission)*TabTRADER[[#This Row],[Scale]],"#,#0$")</f>
        <v>5,000 : -186,784$</v>
      </c>
      <c r="BI73" s="684">
        <f ca="1">_xlfn.XLOOKUP(TabTRADER[[#This Row],[ClickTick]],TabCalc[[#This Row],[Ticker]],TabCalc[[#This Row],[GL]])*(1-Commission)</f>
        <v>-177645.43803710703</v>
      </c>
      <c r="BJ73" s="684"/>
      <c r="BK73" s="669" t="str">
        <f ca="1">TabTRADER[[#This Row],[ClickTick]]&amp;": "&amp;_xlfn.XLOOKUP(TabTRADER[[#This Row],[ClickTick]],TabCalc[Ticker],TabCalc[Pile?])</f>
        <v>SAFMRNA: Pile</v>
      </c>
      <c r="BL73" s="351" t="s">
        <v>2047</v>
      </c>
      <c r="BM73" s="755" t="str" cm="1">
        <f t="array" aca="1" ref="BM73" ca="1">_xlfn.TEXTJOIN("",,INDEX({"M","A","Y"}, _xlfn.SORTBY({1,2,3}, -CHOOSE({1,2,3}, TabTRADER[[#This Row],[M]], TabTRADER[[#This Row],[A]], TabTRADER[[#This Row],[Agiotage]]))))</f>
        <v>AMY</v>
      </c>
      <c r="BN73" s="902"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0.59854200988467876</v>
      </c>
      <c r="BO73" s="679" t="e">
        <f ca="1">TabTRADER[[#This Row],[L_Sn]]*TabTRADER[[#This Row],[L_Sp]]+TabTRADER[[#This Row],[SellMore]]*TabTRADER[[#This Row],[M]]</f>
        <v>#N/A</v>
      </c>
      <c r="BP73" s="679" t="e">
        <f ca="1">INDEX(
  INDEX(TabConsolid[], , _xlfn.XMATCH(TabTRADER[[#This Row],[ClickTick]]&amp;1, TabConsolid[#Headers])),
  MATCH(
    -TabTRADER[[#This Row],[M]],
    INDEX(TabConsolid[], , _xlfn.XMATCH(TabTRADER[[#This Row],[ClickTick]]&amp;2, TabConsolid[#Headers])),
    -1
  )
)</f>
        <v>#N/A</v>
      </c>
      <c r="BQ73" s="679"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44" t="e">
        <f ca="1">TabTRADER[[#This Row],[ReBuy]]/(TabTRADER[[#This Row],[L_Sn]]+TabTRADER[[#This Row],[SellMore]])</f>
        <v>#N/A</v>
      </c>
      <c r="BS73" s="687">
        <f ca="1">((_xlfn.XLOOKUP(TabTRADER[[#This Row],[ClickTick]],TabCalc[Ticker],TabCalc[NAfter])+TabTRADER[[#This Row],[L_Sn]])*(TabTRADER[[#This Row],[Agiotage]]-TabTRADER[[#This Row],[M]]))/(TabTRADER[[#This Row],[L_Sn]]*_xlfn.XLOOKUP(TabTRADER[[#This Row],[ClickTick]],TabCalc[Ticker],TabCalc[NAfter]))</f>
        <v>-0.12479098039817922</v>
      </c>
      <c r="BT73" s="687">
        <f ca="1">(TabTRADER[[#This Row],[M]]-TabTRADER[[#This Row],[Agiotage]])/(TabTRADER[[#This Row],[M]]-TabTRADER[[#This Row],[A]])-1</f>
        <v>-1.6407377506347309</v>
      </c>
      <c r="BU73" s="1262">
        <f ca="1">_xlfn.XMATCH(TabTRADER[[#This Row],[ClickTick]]&amp;1, TabConsolid[#Headers])</f>
        <v>215</v>
      </c>
      <c r="BV73" t="str">
        <f ca="1">IF(ABS(TabTRADER[[#This Row],[L_Bp]])&gt;=TabTRADER[[#This Row],[M]],"OK")</f>
        <v>OK</v>
      </c>
    </row>
    <row r="74" spans="1:74" hidden="1"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+14,120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-11,500$</v>
      </c>
      <c r="G74" s="225" t="str">
        <f ca="1">IFERROR(TRUNC(_xlfn.XLOOKUP(TabTRADER[[#This Row],[ClickTick]],TabCalc[Ticker],ListLastSalep),2)&amp;"x"&amp;_xlfn.XLOOKUP(TabTRADER[[#This Row],[ClickTick]],TabCalc[Ticker],ListLastSalen)&amp;"=   "&amp;TEXT(-_xlfn.XLOOKUP(TabTRADER[[#This Row],[ClickTick]],TabCalc[Ticker],ListReverseB),"#,#0")&amp;"$","")</f>
        <v>1.91x12000=   -6,540$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39.9% = 9,174</v>
      </c>
      <c r="I74" s="226" t="str">
        <f ca="1">IFERROR(TRUNC(TabCalc[[#This Row],[L_S1p]],2)&amp;"x"&amp;TabCalc[[#This Row],[L_S1n]]&amp;"=   "&amp;TEXT(TabCalc[[#This Row],[ReverseB1]],"#,#0"),"")</f>
        <v>1.52x28000=   4,340</v>
      </c>
      <c r="J74" s="295">
        <f ca="1">_xlfn.XLOOKUP(TabTRADER[[#This Row],[ClickTick]],TabCalc[Ticker],ListGravity)</f>
        <v>1.7582417582417582</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122850</v>
      </c>
      <c r="M74" s="323">
        <f ca="1">_xlfn.XLOOKUP(TabTRADER[[#This Row],[ClickTick]],TabCalc[Ticker],TabCalc[Agiotage])</f>
        <v>0.25815887401400817</v>
      </c>
      <c r="N74" s="324" cm="1">
        <f t="array" aca="1" ref="N74" ca="1">_xlfn.XLOOKUP(TabTRADER[[#This Row],[ClickTick]],ListTickers,Tab2RSIConventional[RSIConv20])</f>
        <v>42</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0.34881422924901184</v>
      </c>
      <c r="S74" s="683">
        <f ca="1">_xlfn.XLOOKUP(TabTRADER[[#This Row],[ClickTick]],TabCalc[Ticker],TabCalc[Rev(MinStock)])*(1-Commission)</f>
        <v>14083.287999999999</v>
      </c>
      <c r="T74" s="782">
        <f ca="1">_xlfn.XLOOKUP(TabTRADER[[#This Row],[ClickTick]],TabCalc[Ticker],TabCalc[Agiotage])</f>
        <v>0.25815887401400817</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-5,400/-5,400=&gt;-3.2% / -3.2%</v>
      </c>
      <c r="V74" s="739" t="str">
        <f ca="1">_xlfn.XLOOKUP(TabTRADER[[#This Row],[ClickTick]],[1]!RTData[Ticker_Symbol],[1]!RTData[Currency])</f>
        <v>USD</v>
      </c>
      <c r="W74" s="749">
        <f ca="1">_xlfn.XLOOKUP(TabTRADER[[#This Row],[ClickTick]],TabCalc[Ticker],TabCalc[M])</f>
        <v>1.365</v>
      </c>
      <c r="X74" s="1315"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-3.1914999999999999E-2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-282/164 K$</v>
      </c>
      <c r="AE74" s="1182"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65"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65"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6522.9959999999992</v>
      </c>
      <c r="AH74" s="1165" t="str" cm="1">
        <f t="array" aca="1" ref="AH74" ca="1">_xlfn.IFS(     TabTRADER[[#This Row],[Traps]]=MUp,MIN(TabTRADER[[#This Row],[L_Sn]],TabTRADER[[#This Row],[N]])*(TabTRADER[[#This Row],[M]]-TabTRADER[[#This Row],[L_Sp]])*(1-Commission)*TabTRADER[[#This Row],[Scale]],                                  TRUE,"M= "&amp;TabTRADER[[#This Row],[M]])</f>
        <v>M= 1.365</v>
      </c>
      <c r="AI74" s="1165" t="str" cm="1">
        <f t="array" aca="1" ref="AI74" ca="1">_xlfn.IFS(   TabTRADER[[#This Row],[Traps]]=MUp,TEXT(MIN(TabTRADER[[#This Row],[L_Sn]],TabTRADER[[#This Row],[N]]),"#,#0")&amp;" x "&amp;TEXT(TabTRADER[[#This Row],[L_Sp]],"#,#0.#0"),          TRUE,"")</f>
        <v/>
      </c>
      <c r="AJ74" s="1165"/>
      <c r="AK74" s="1165"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65"/>
      <c r="AM74" s="1165"/>
      <c r="AN74" s="1165"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6522.9959999999992</v>
      </c>
      <c r="AO74" s="1174"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0.28534031413612565</v>
      </c>
      <c r="AP74" s="1174"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TabTRADER[[#This Row],[Traps]]=SellMorePercentGain,                     MIN(TabTRADER[[#This Row],[L_Sn]],TabTRADER[[#This Row],[N]])*(TabTRADER[[#This Row],[M]]-TabTRADER[[#This Row],[L_Sp]])*(1-Commission)*TabTRADER[[#This Row],[Scale]],                    TRUE,"")</f>
        <v/>
      </c>
      <c r="AR74" s="1163">
        <f ca="1">_xlfn.XLOOKUP(TabTRADER[[#This Row],[ClickTick]],TabCalc[Ticker],TabCalc[Ann%RevLB])</f>
        <v>0.8600898803400292</v>
      </c>
      <c r="AS74" s="1267">
        <f ca="1">_xlfn.XLOOKUP(TabTRADER[[#This Row],[ClickTick]],TabCalc[Ticker],TabCalc[Up20])</f>
        <v>0</v>
      </c>
      <c r="AT74" s="1175"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5" t="str" cm="1">
        <f t="array" aca="1" ref="AU74" ca="1">_xlfn.IFS(         TabTRADER[[#This Row],[Traps]]=MDown,TabTRADER[[#This Row],[L_Bn]]*TabTRADER[[#This Row],[M]]*(-(TabTRADER[[#This Row],[L_Bp]]+TabTRADER[[#This Row],[M]])/TabTRADER[[#This Row],[M]])*(1-Commission)*TabTRADER[[#This Row],[Scale]],                               TRUE,"")</f>
        <v/>
      </c>
      <c r="AV74" s="1174" t="str" cm="1">
        <f t="array" aca="1" ref="AV74" ca="1">_xlfn.IFS(   TabTRADER[[#This Row],[Traps]]=MUp,TabTRADER[[#This Row],[TakeGain_A]]-Commission,        TabTRADER[[#This Row],[Traps]]=MDown,(TabTRADER[[#This Row],[A]]-TabTRADER[[#This Row],[M]])/TabTRADER[[#This Row],[M]]-Commission,                              TRUE,"")</f>
        <v/>
      </c>
      <c r="AW74" s="760"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-99554.483599999992</v>
      </c>
      <c r="AX74" s="760"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74" s="736"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5" cm="1">
        <f t="array" aca="1" ref="AZ74" ca="1">_xlfn.IFS(TabTRADER[[#This Row],[Traps]]=Sale_Back,"",         TabTRADER[[#This Row],[Traps]]=MDown, (TabTRADER[[#This Row],[M]]-TabTRADER[[#This Row],[A]])/TabTRADER[[#This Row],[A]]*ComFactor,             TRUE, IFERROR((TabTRADER[[#This Row],[M]]-TabTRADER[[#This Row],[A]])/TabTRADER[[#This Row],[A]]*ComFactor,""))</f>
        <v>-0.37765249038366699</v>
      </c>
      <c r="BA74" s="762" cm="1">
        <f t="array" aca="1" ref="BA74" ca="1">_xlfn.IFS(               TabTRADER[[#This Row],[Traps]]=NoStock,(TabTRADER[[#This Row],[L_Sp]]-TabTRADER[[#This Row],[M]])/TabTRADER[[#This Row],[M]]-Commission,             TabTRADER[[#This Row],[A]]&lt;&gt;0,(TabTRADER[[#This Row],[A]]-TabTRADER[[#This Row],[M]])/TabTRADER[[#This Row],[M]]-Commission)</f>
        <v>0.60676507936507929</v>
      </c>
      <c r="BB74" s="324">
        <f ca="1">_xlfn.XLOOKUP(TabTRADER[[#This Row],[ClickTick]],TabCalc[Ticker],TabCalc[L_Sn])</f>
        <v>12000</v>
      </c>
      <c r="BC74" s="728">
        <f ca="1">_xlfn.XLOOKUP(TabTRADER[[#This Row],[ClickTick]],TabCalc[Ticker],TabCalc[L_Sp])</f>
        <v>1.91</v>
      </c>
      <c r="BD74" s="764">
        <f ca="1">-IFERROR((TabTRADER[[#This Row],[M]]-TabTRADER[[#This Row],[L_Sp]])/TabTRADER[[#This Row],[L_Sp]],0)</f>
        <v>0.28534031413612565</v>
      </c>
      <c r="BE74" s="729">
        <f ca="1">TabTRADER[[#This Row],[L_Sn]]*(TabTRADER[[#This Row],[M]]-TabTRADER[[#This Row],[L_Sp]])*(1-Commission)*TabTRADER[[#This Row],[Scale]]</f>
        <v>-6522.9959999999992</v>
      </c>
      <c r="BF74" s="692">
        <f ca="1">TabTRADER[[#This Row],[L_Sn]]*(TabTRADER[[#This Row],[Agiotage]]-TabTRADER[[#This Row],[M]])/(TabTRADER[[#This Row],[L_Bn]]*TabTRADER[[#This Row],[M]])</f>
        <v>-0.24326178593098721</v>
      </c>
      <c r="BG74" s="635">
        <f ca="1">IFERROR((TabTRADER[[#This Row],[M]]-TabTRADER[[#This Row],[A]])/TabTRADER[[#This Row],[A]],0)</f>
        <v>-0.37863694644442253</v>
      </c>
      <c r="BH74" s="638" t="str">
        <f ca="1">TEXT(_xlfn.XLOOKUP(TabTRADER[[#This Row],[ClickTick]],TabCalc[Ticker],TabCalc[NAfter]),"#,#0")&amp;" : "&amp;TEXT(_xlfn.XLOOKUP(TabTRADER[[#This Row],[ClickTick]],TabCalc[Ticker],TabCalc[NAfter])*(TabTRADER[[#This Row],[M]]-TabTRADER[[#This Row],[A]])*(1-Commission)*TabTRADER[[#This Row],[Scale]],"#,#0$")</f>
        <v>120,000 : -99,554$</v>
      </c>
      <c r="BI74" s="684">
        <f ca="1">_xlfn.XLOOKUP(TabTRADER[[#This Row],[ClickTick]],TabCalc[[#This Row],[Ticker]],TabCalc[[#This Row],[GL]])*(1-Commission)</f>
        <v>-280838.54268558358</v>
      </c>
      <c r="BJ74" s="684"/>
      <c r="BK74" s="669" t="str">
        <f ca="1">TabTRADER[[#This Row],[ClickTick]]&amp;": "&amp;_xlfn.XLOOKUP(TabTRADER[[#This Row],[ClickTick]],TabCalc[Ticker],TabCalc[Pile?])</f>
        <v>BLNK: Pile</v>
      </c>
      <c r="BL74" s="351" t="s">
        <v>2048</v>
      </c>
      <c r="BM74" s="755" t="str" cm="1">
        <f t="array" aca="1" ref="BM74" ca="1">_xlfn.TEXTJOIN("",,INDEX({"M","A","Y"}, _xlfn.SORTBY({1,2,3}, -CHOOSE({1,2,3}, TabTRADER[[#This Row],[M]], TabTRADER[[#This Row],[A]], TabTRADER[[#This Row],[Agiotage]]))))</f>
        <v>AMY</v>
      </c>
      <c r="BN74" s="902"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9" t="e">
        <f ca="1">TabTRADER[[#This Row],[L_Sn]]*TabTRADER[[#This Row],[L_Sp]]+TabTRADER[[#This Row],[SellMore]]*TabTRADER[[#This Row],[M]]</f>
        <v>#N/A</v>
      </c>
      <c r="BP74" s="679" t="e">
        <f ca="1">INDEX(
  INDEX(TabConsolid[], , _xlfn.XMATCH(TabTRADER[[#This Row],[ClickTick]]&amp;1, TabConsolid[#Headers])),
  MATCH(
    -TabTRADER[[#This Row],[M]],
    INDEX(TabConsolid[], , _xlfn.XMATCH(TabTRADER[[#This Row],[ClickTick]]&amp;2, TabConsolid[#Headers])),
    -1
  )
)</f>
        <v>#N/A</v>
      </c>
      <c r="BQ74" s="679"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44" t="e">
        <f ca="1">TabTRADER[[#This Row],[ReBuy]]/(TabTRADER[[#This Row],[L_Sn]]+TabTRADER[[#This Row],[SellMore]])</f>
        <v>#N/A</v>
      </c>
      <c r="BS74" s="687">
        <f ca="1">((_xlfn.XLOOKUP(TabTRADER[[#This Row],[ClickTick]],TabCalc[Ticker],TabCalc[NAfter])+TabTRADER[[#This Row],[L_Sn]])*(TabTRADER[[#This Row],[Agiotage]]-TabTRADER[[#This Row],[M]]))/(TabTRADER[[#This Row],[L_Sn]]*_xlfn.XLOOKUP(TabTRADER[[#This Row],[ClickTick]],TabCalc[Ticker],TabCalc[NAfter]))</f>
        <v>-1.0146043654871591E-4</v>
      </c>
      <c r="BT74" s="687">
        <f ca="1">(TabTRADER[[#This Row],[M]]-TabTRADER[[#This Row],[Agiotage]])/(TabTRADER[[#This Row],[M]]-TabTRADER[[#This Row],[A]])-1</f>
        <v>-2.3306844242122251</v>
      </c>
      <c r="BU74" s="1262">
        <f ca="1">_xlfn.XMATCH(TabTRADER[[#This Row],[ClickTick]]&amp;1, TabConsolid[#Headers])</f>
        <v>218</v>
      </c>
      <c r="BV74" t="b">
        <f ca="1">IF(ABS(TabTRADER[[#This Row],[L_Bp]])&gt;=TabTRADER[[#This Row],[M]],"OK")</f>
        <v>0</v>
      </c>
    </row>
    <row r="75" spans="1:74" hidden="1"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+13,493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8.3%</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3,709/17,000=60,156</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12,967$</v>
      </c>
      <c r="G75" s="225" t="str">
        <f ca="1">IFERROR(TRUNC(_xlfn.XLOOKUP(TabTRADER[[#This Row],[ClickTick]],TabCalc[Ticker],ListLastSalep),2)&amp;"x"&amp;_xlfn.XLOOKUP(TabTRADER[[#This Row],[ClickTick]],TabCalc[Ticker],ListLastSalen)&amp;"=   "&amp;TEXT(-_xlfn.XLOOKUP(TabTRADER[[#This Row],[ClickTick]],TabCalc[Ticker],ListReverseB),"#,#0")&amp;"$","")</f>
        <v>15.86x5000=   1,790$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75" s="226" t="str">
        <f ca="1">IFERROR(TRUNC(TabCalc[[#This Row],[L_S1p]],2)&amp;"x"&amp;TabCalc[[#This Row],[L_S1n]]&amp;"=   "&amp;TEXT(TabCalc[[#This Row],[ReverseB1]],"#,#0"),"")</f>
        <v>15.21x2000=   -2,016</v>
      </c>
      <c r="J75" s="295">
        <f ca="1">_xlfn.XLOOKUP(TabTRADER[[#This Row],[ClickTick]],TabCalc[Ticker],ListGravity)</f>
        <v>0.99412566284375392</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157314.6</v>
      </c>
      <c r="M75" s="323">
        <f ca="1">_xlfn.XLOOKUP(TabTRADER[[#This Row],[ClickTick]],TabCalc[Ticker],TabCalc[Agiotage])</f>
        <v>0.92243783340360397</v>
      </c>
      <c r="N75" s="324" cm="1">
        <f t="array" aca="1" ref="N75" ca="1">_xlfn.XLOOKUP(TabTRADER[[#This Row],[ClickTick]],ListTickers,Tab2RSIConventional[RSIConv20])</f>
        <v>82</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9.0652320107599244E-2</v>
      </c>
      <c r="S75" s="683">
        <f ca="1">_xlfn.XLOOKUP(TabTRADER[[#This Row],[ClickTick]],TabCalc[Ticker],TabCalc[Rev(MinStock)])*(1-Commission)</f>
        <v>13458.396952000006</v>
      </c>
      <c r="T75" s="782">
        <f ca="1">_xlfn.XLOOKUP(TabTRADER[[#This Row],[ClickTick]],TabCalc[Ticker],TabCalc[Agiotage])</f>
        <v>0.92243783340360397</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-2,754/-2,754=&gt;-0.7% / -0.7%</v>
      </c>
      <c r="V75" s="739" t="str">
        <f ca="1">_xlfn.XLOOKUP(TabTRADER[[#This Row],[ClickTick]],[1]!RTData[Ticker_Symbol],[1]!RTData[Currency])</f>
        <v>EUR</v>
      </c>
      <c r="W75" s="749">
        <f ca="1">_xlfn.XLOOKUP(TabTRADER[[#This Row],[ClickTick]],TabCalc[Ticker],TabCalc[M])</f>
        <v>16.218</v>
      </c>
      <c r="X75" s="1315"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-6.8589999999999996E-3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^38/276 K$</v>
      </c>
      <c r="AE75" s="1182"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65"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16.218, 02.3%</v>
      </c>
      <c r="AG75" s="1165"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15.86</v>
      </c>
      <c r="AH75" s="1165" cm="1">
        <f t="array" aca="1" ref="AH75" ca="1">_xlfn.IFS(     TabTRADER[[#This Row],[Traps]]=MUp,MIN(TabTRADER[[#This Row],[L_Sn]],TabTRADER[[#This Row],[N]])*(TabTRADER[[#This Row],[M]]-TabTRADER[[#This Row],[L_Sp]])*(1-Commission)*TabTRADER[[#This Row],[Scale]],                                  TRUE,"M= "&amp;TabTRADER[[#This Row],[M]])</f>
        <v>1785.3460000000027</v>
      </c>
      <c r="AI75" s="1165" t="str" cm="1">
        <f t="array" aca="1" ref="AI75" ca="1">_xlfn.IFS(   TabTRADER[[#This Row],[Traps]]=MUp,TEXT(MIN(TabTRADER[[#This Row],[L_Sn]],TabTRADER[[#This Row],[N]]),"#,#0")&amp;" x "&amp;TEXT(TabTRADER[[#This Row],[L_Sp]],"#,#0.#0"),          TRUE,"")</f>
        <v>5,000 x 15.86</v>
      </c>
      <c r="AJ75" s="1165"/>
      <c r="AK75" s="1165"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1785.3460000000027</v>
      </c>
      <c r="AL75" s="1165"/>
      <c r="AM75" s="1165"/>
      <c r="AN75" s="1165"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22507.827099999991</v>
      </c>
      <c r="AO75" s="1174"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8.9146498274666697E-2</v>
      </c>
      <c r="AP75" s="1174"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1.9474238500431652E-2</v>
      </c>
      <c r="AQ75" s="825" cm="1">
        <f t="array" aca="1" ref="AQ75" ca="1">_xlfn.IFS(   TabTRADER[[#This Row],[Traps]]=SellMorePercentGain,                     MIN(TabTRADER[[#This Row],[L_Sn]],TabTRADER[[#This Row],[N]])*(TabTRADER[[#This Row],[M]]-TabTRADER[[#This Row],[L_Sp]])*(1-Commission)*TabTRADER[[#This Row],[Scale]],                    TRUE,"")</f>
        <v>1785.3460000000027</v>
      </c>
      <c r="AR75" s="1163">
        <f ca="1">_xlfn.XLOOKUP(TabTRADER[[#This Row],[ClickTick]],TabCalc[Ticker],TabCalc[Ann%RevLB])</f>
        <v>0.53499729899566761</v>
      </c>
      <c r="AS75" s="1267">
        <f ca="1">_xlfn.XLOOKUP(TabTRADER[[#This Row],[ClickTick]],TabCalc[Ticker],TabCalc[Up20])</f>
        <v>0</v>
      </c>
      <c r="AT75" s="1175"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5" s="825" t="str" cm="1">
        <f t="array" aca="1" ref="AU75" ca="1">_xlfn.IFS(         TabTRADER[[#This Row],[Traps]]=MDown,TabTRADER[[#This Row],[L_Bn]]*TabTRADER[[#This Row],[M]]*(-(TabTRADER[[#This Row],[L_Bp]]+TabTRADER[[#This Row],[M]])/TabTRADER[[#This Row],[M]])*(1-Commission)*TabTRADER[[#This Row],[Scale]],                               TRUE,"")</f>
        <v/>
      </c>
      <c r="AV75" s="1174" cm="1">
        <f t="array" aca="1" ref="AV75" ca="1">_xlfn.IFS(   TabTRADER[[#This Row],[Traps]]=MUp,TabTRADER[[#This Row],[TakeGain_A]]-Commission,        TabTRADER[[#This Row],[Traps]]=MDown,(TabTRADER[[#This Row],[A]]-TabTRADER[[#This Row],[M]])/TabTRADER[[#This Row],[M]]-Commission,                              TRUE,"")</f>
        <v>8.6546498274666692E-2</v>
      </c>
      <c r="AW75" s="825"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24514.321069736634</v>
      </c>
      <c r="AX75" s="760"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75" s="736"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10,010x1.32</v>
      </c>
      <c r="AZ75" s="765" cm="1">
        <f t="array" aca="1" ref="AZ75" ca="1">_xlfn.IFS(TabTRADER[[#This Row],[Traps]]=Sale_Back,"",         TabTRADER[[#This Row],[Traps]]=MDown, (TabTRADER[[#This Row],[M]]-TabTRADER[[#This Row],[A]])/TabTRADER[[#This Row],[A]]*ComFactor,             TRUE, IFERROR((TabTRADER[[#This Row],[M]]-TabTRADER[[#This Row],[A]])/TabTRADER[[#This Row],[A]]*ComFactor,""))</f>
        <v>8.8914717379152561E-2</v>
      </c>
      <c r="BA75" s="762" cm="1">
        <f t="array" aca="1" ref="BA75" ca="1">_xlfn.IFS(               TabTRADER[[#This Row],[Traps]]=NoStock,(TabTRADER[[#This Row],[L_Sp]]-TabTRADER[[#This Row],[M]])/TabTRADER[[#This Row],[M]]-Commission,             TabTRADER[[#This Row],[A]]&lt;&gt;0,(TabTRADER[[#This Row],[A]]-TabTRADER[[#This Row],[M]])/TabTRADER[[#This Row],[M]]-Commission)</f>
        <v>-8.4449869063422611E-2</v>
      </c>
      <c r="BB75" s="324">
        <f ca="1">_xlfn.XLOOKUP(TabTRADER[[#This Row],[ClickTick]],TabCalc[Ticker],TabCalc[L_Sn])</f>
        <v>5000</v>
      </c>
      <c r="BC75" s="728">
        <f ca="1">_xlfn.XLOOKUP(TabTRADER[[#This Row],[ClickTick]],TabCalc[Ticker],TabCalc[L_Sp])</f>
        <v>15.86</v>
      </c>
      <c r="BD75" s="764">
        <f ca="1">-IFERROR((TabTRADER[[#This Row],[M]]-TabTRADER[[#This Row],[L_Sp]])/TabTRADER[[#This Row],[L_Sp]],0)</f>
        <v>-2.2572509457755394E-2</v>
      </c>
      <c r="BE75" s="729">
        <f ca="1">TabTRADER[[#This Row],[L_Sn]]*(TabTRADER[[#This Row],[M]]-TabTRADER[[#This Row],[L_Sp]])*(1-Commission)*TabTRADER[[#This Row],[Scale]]</f>
        <v>1785.3460000000027</v>
      </c>
      <c r="BF75" s="692">
        <f ca="1">TabTRADER[[#This Row],[L_Sn]]*(TabTRADER[[#This Row],[Agiotage]]-TabTRADER[[#This Row],[M]])/(TabTRADER[[#This Row],[L_Bn]]*TabTRADER[[#This Row],[M]])</f>
        <v>-0.47109020485607611</v>
      </c>
      <c r="BG75" s="635">
        <f ca="1">IFERROR((TabTRADER[[#This Row],[M]]-TabTRADER[[#This Row],[A]])/TabTRADER[[#This Row],[A]],0)</f>
        <v>8.9146498274666697E-2</v>
      </c>
      <c r="BH75" s="638" t="str">
        <f ca="1">TEXT(_xlfn.XLOOKUP(TabTRADER[[#This Row],[ClickTick]],TabCalc[Ticker],TabCalc[NAfter]),"#,#0")&amp;" : "&amp;TEXT(_xlfn.XLOOKUP(TabTRADER[[#This Row],[ClickTick]],TabCalc[Ticker],TabCalc[NAfter])*(TabTRADER[[#This Row],[M]]-TabTRADER[[#This Row],[A]])*(1-Commission)*TabTRADER[[#This Row],[Scale]],"#,#0$")</f>
        <v>17,000 : 22,508$</v>
      </c>
      <c r="BI75" s="684">
        <f ca="1">_xlfn.XLOOKUP(TabTRADER[[#This Row],[ClickTick]],TabCalc[[#This Row],[Ticker]],TabCalc[[#This Row],[GL]])*(1-Commission)</f>
        <v>37473.329357216731</v>
      </c>
      <c r="BJ75" s="684"/>
      <c r="BK75" s="669" t="str">
        <f ca="1">TabTRADER[[#This Row],[ClickTick]]&amp;": "&amp;_xlfn.XLOOKUP(TabTRADER[[#This Row],[ClickTick]],TabCalc[Ticker],TabCalc[Pile?])</f>
        <v xml:space="preserve">ENI: </v>
      </c>
      <c r="BL75" s="351" t="s">
        <v>2049</v>
      </c>
      <c r="BM75" s="755" t="str" cm="1">
        <f t="array" aca="1" ref="BM75" ca="1">_xlfn.TEXTJOIN("",,INDEX({"M","A","Y"}, _xlfn.SORTBY({1,2,3}, -CHOOSE({1,2,3}, TabTRADER[[#This Row],[M]], TabTRADER[[#This Row],[A]], TabTRADER[[#This Row],[Agiotage]]))))</f>
        <v>MAY</v>
      </c>
      <c r="BN75" s="902"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2.2074238500431654E-2</v>
      </c>
      <c r="BO75" s="679">
        <f ca="1">TabTRADER[[#This Row],[L_Sn]]*TabTRADER[[#This Row],[L_Sp]]+TabTRADER[[#This Row],[SellMore]]*TabTRADER[[#This Row],[M]]</f>
        <v>192663.82</v>
      </c>
      <c r="BP75" s="679">
        <f ca="1">INDEX(
  INDEX(TabConsolid[], , _xlfn.XMATCH(TabTRADER[[#This Row],[ClickTick]]&amp;1, TabConsolid[#Headers])),
  MATCH(
    -TabTRADER[[#This Row],[M]],
    INDEX(TabConsolid[], , _xlfn.XMATCH(TabTRADER[[#This Row],[ClickTick]]&amp;2, TabConsolid[#Headers])),
    -1
  )
)</f>
        <v>6990</v>
      </c>
      <c r="BQ75" s="679"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R75" s="1144">
        <f ca="1">TabTRADER[[#This Row],[ReBuy]]/(TabTRADER[[#This Row],[L_Sn]]+TabTRADER[[#This Row],[SellMore]])</f>
        <v>16.068708924103419</v>
      </c>
      <c r="BS75" s="687">
        <f ca="1">((_xlfn.XLOOKUP(TabTRADER[[#This Row],[ClickTick]],TabCalc[Ticker],TabCalc[NAfter])+TabTRADER[[#This Row],[L_Sn]])*(TabTRADER[[#This Row],[Agiotage]]-TabTRADER[[#This Row],[M]]))/(TabTRADER[[#This Row],[L_Sn]]*_xlfn.XLOOKUP(TabTRADER[[#This Row],[ClickTick]],TabCalc[Ticker],TabCalc[NAfter]))</f>
        <v>-3.9588513842955374E-3</v>
      </c>
      <c r="BT75" s="687">
        <f ca="1">(TabTRADER[[#This Row],[M]]-TabTRADER[[#This Row],[Agiotage]])/(TabTRADER[[#This Row],[M]]-TabTRADER[[#This Row],[A]])-1</f>
        <v>10.522591311552027</v>
      </c>
      <c r="BU75" s="1262">
        <f ca="1">_xlfn.XMATCH(TabTRADER[[#This Row],[ClickTick]]&amp;1, TabConsolid[#Headers])</f>
        <v>221</v>
      </c>
      <c r="BV75" t="b">
        <f ca="1">IF(ABS(TabTRADER[[#This Row],[L_Bp]])&gt;=TabTRADER[[#This Row],[M]],"OK")</f>
        <v>0</v>
      </c>
    </row>
    <row r="76" spans="1:74" hidden="1"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+2,218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14,925</v>
      </c>
      <c r="F76" s="226" t="str">
        <f ca="1">TRUNC(TabCalc[[#This Row],[L_B1p]],2)&amp;"x"&amp;TabCalc[[#This Row],[L_B1n]]&amp;"=   "&amp;TEXT(TabCalc[[#This Row],[ReverseS1]],"#,#0")&amp;"$"</f>
        <v>-480.9x10000=   -1,880$</v>
      </c>
      <c r="G76" s="225" t="str">
        <f ca="1">IFERROR(TRUNC(_xlfn.XLOOKUP(TabTRADER[[#This Row],[ClickTick]],TabCalc[Ticker],ListLastSalep),2)&amp;"x"&amp;_xlfn.XLOOKUP(TabTRADER[[#This Row],[ClickTick]],TabCalc[Ticker],ListLastSalen)&amp;"=   "&amp;TEXT(-_xlfn.XLOOKUP(TabTRADER[[#This Row],[ClickTick]],TabCalc[Ticker],ListReverseB),"#,#0")&amp;"$","")</f>
        <v>495.6x10000=   -3,350$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149</v>
      </c>
      <c r="I76" s="226" t="str">
        <f ca="1">IFERROR(TRUNC(TabCalc[[#This Row],[L_S1p]],2)&amp;"x"&amp;TabCalc[[#This Row],[L_S1n]]&amp;"=   "&amp;TEXT(TabCalc[[#This Row],[ReverseB1]],"#,#0"),"")</f>
        <v>544.2x18000=   14,778</v>
      </c>
      <c r="J76" s="295">
        <f ca="1">_xlfn.XLOOKUP(TabTRADER[[#This Row],[ClickTick]],TabCalc[Ticker],ListGravity)</f>
        <v>1.3552261415278077</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48797.760000000002</v>
      </c>
      <c r="M76" s="323">
        <f ca="1">_xlfn.XLOOKUP(TabTRADER[[#This Row],[ClickTick]],TabCalc[Ticker],TabCalc[Agiotage])</f>
        <v>1.0172654070187122</v>
      </c>
      <c r="N76" s="324" cm="1">
        <f t="array" aca="1" ref="N76" ca="1">_xlfn.XLOOKUP(TabTRADER[[#This Row],[ClickTick]],ListTickers,Tab2RSIConventional[RSIConv20])</f>
        <v>47</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2.4589255227156898E-2</v>
      </c>
      <c r="S76" s="683">
        <f ca="1">_xlfn.XLOOKUP(TabTRADER[[#This Row],[ClickTick]],TabCalc[Ticker],TabCalc[Rev(MinStock)])*(1-Commission)</f>
        <v>2212.233200000006</v>
      </c>
      <c r="T76" s="782">
        <f ca="1">_xlfn.XLOOKUP(TabTRADER[[#This Row],[ClickTick]],TabCalc[Ticker],TabCalc[Agiotage])</f>
        <v>1.0172654070187122</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1,380/1,380=&gt;1.4% / 1.4%</v>
      </c>
      <c r="V76" s="739" t="str">
        <f ca="1">_xlfn.XLOOKUP(TabTRADER[[#This Row],[ClickTick]],[1]!RTData[Ticker_Symbol],[1]!RTData[Currency])</f>
        <v>GBp</v>
      </c>
      <c r="W76" s="749">
        <f ca="1">_xlfn.XLOOKUP(TabTRADER[[#This Row],[ClickTick]],TabCalc[Ticker],TabCalc[M])</f>
        <v>462.1</v>
      </c>
      <c r="X76" s="1315"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1.3822000000000001E-2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^30/139 K$</v>
      </c>
      <c r="AE76" s="1182"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65"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65"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3341.29</v>
      </c>
      <c r="AH76" s="1165" t="str" cm="1">
        <f t="array" aca="1" ref="AH76" ca="1">_xlfn.IFS(     TabTRADER[[#This Row],[Traps]]=MUp,MIN(TabTRADER[[#This Row],[L_Sn]],TabTRADER[[#This Row],[N]])*(TabTRADER[[#This Row],[M]]-TabTRADER[[#This Row],[L_Sp]])*(1-Commission)*TabTRADER[[#This Row],[Scale]],                                  TRUE,"M= "&amp;TabTRADER[[#This Row],[M]])</f>
        <v>M= 462.1</v>
      </c>
      <c r="AI76" s="1165" t="str" cm="1">
        <f t="array" aca="1" ref="AI76" ca="1">_xlfn.IFS(   TabTRADER[[#This Row],[Traps]]=MUp,TEXT(MIN(TabTRADER[[#This Row],[L_Sn]],TabTRADER[[#This Row],[N]]),"#,#0")&amp;" x "&amp;TEXT(TabTRADER[[#This Row],[L_Sp]],"#,#0.#0"),          TRUE,"")</f>
        <v/>
      </c>
      <c r="AJ76" s="1165"/>
      <c r="AK76" s="1165"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65"/>
      <c r="AM76" s="1165"/>
      <c r="AN76" s="1165"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3341.29</v>
      </c>
      <c r="AO76" s="1174"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6.7594834543987084E-2</v>
      </c>
      <c r="AP76" s="1174"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TabTRADER[[#This Row],[Traps]]=SellMorePercentGain,                     MIN(TabTRADER[[#This Row],[L_Sn]],TabTRADER[[#This Row],[N]])*(TabTRADER[[#This Row],[M]]-TabTRADER[[#This Row],[L_Sp]])*(1-Commission)*TabTRADER[[#This Row],[Scale]],                    TRUE,"")</f>
        <v/>
      </c>
      <c r="AR76" s="1180">
        <f ca="1">_xlfn.XLOOKUP(TabTRADER[[#This Row],[ClickTick]],TabCalc[Ticker],TabCalc[Ann%RevLB])</f>
        <v>0.14511691609469646</v>
      </c>
      <c r="AS76" s="1266">
        <f ca="1">_xlfn.XLOOKUP(TabTRADER[[#This Row],[ClickTick]],TabCalc[Ticker],TabCalc[Up20])</f>
        <v>0</v>
      </c>
      <c r="AT76" s="1175"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5" t="str" cm="1">
        <f t="array" aca="1" ref="AU76" ca="1">_xlfn.IFS(         TabTRADER[[#This Row],[Traps]]=MDown,TabTRADER[[#This Row],[L_Bn]]*TabTRADER[[#This Row],[M]]*(-(TabTRADER[[#This Row],[L_Bp]]+TabTRADER[[#This Row],[M]])/TabTRADER[[#This Row],[M]])*(1-Commission)*TabTRADER[[#This Row],[Scale]],                               TRUE,"")</f>
        <v/>
      </c>
      <c r="AV76" s="1174" t="str" cm="1">
        <f t="array" aca="1" ref="AV76" ca="1">_xlfn.IFS(   TabTRADER[[#This Row],[Traps]]=MUp,TabTRADER[[#This Row],[TakeGain_A]]-Commission,        TabTRADER[[#This Row],[Traps]]=MDown,(TabTRADER[[#This Row],[A]]-TabTRADER[[#This Row],[M]])/TabTRADER[[#This Row],[M]]-Commission,                              TRUE,"")</f>
        <v/>
      </c>
      <c r="AW76" s="825"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337.12119999999953</v>
      </c>
      <c r="AX76" s="760"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6" s="736"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5" cm="1">
        <f t="array" aca="1" ref="AZ76" ca="1">_xlfn.IFS(TabTRADER[[#This Row],[Traps]]=Sale_Back,"",         TabTRADER[[#This Row],[Traps]]=MDown, (TabTRADER[[#This Row],[M]]-TabTRADER[[#This Row],[A]])/TabTRADER[[#This Row],[A]]*ComFactor,             TRUE, IFERROR((TabTRADER[[#This Row],[M]]-TabTRADER[[#This Row],[A]])/TabTRADER[[#This Row],[A]]*ComFactor,""))</f>
        <v>2.4377491105776151E-3</v>
      </c>
      <c r="BA76" s="762" cm="1">
        <f t="array" aca="1" ref="BA76" ca="1">_xlfn.IFS(               TabTRADER[[#This Row],[Traps]]=NoStock,(TabTRADER[[#This Row],[L_Sp]]-TabTRADER[[#This Row],[M]])/TabTRADER[[#This Row],[M]]-Commission,             TabTRADER[[#This Row],[A]]&lt;&gt;0,(TabTRADER[[#This Row],[A]]-TabTRADER[[#This Row],[M]])/TabTRADER[[#This Row],[M]]-Commission)</f>
        <v>-5.0381447017240101E-3</v>
      </c>
      <c r="BB76" s="324">
        <f ca="1">_xlfn.XLOOKUP(TabTRADER[[#This Row],[ClickTick]],TabCalc[Ticker],TabCalc[L_Sn])</f>
        <v>10000</v>
      </c>
      <c r="BC76" s="728">
        <f ca="1">_xlfn.XLOOKUP(TabTRADER[[#This Row],[ClickTick]],TabCalc[Ticker],TabCalc[L_Sp])</f>
        <v>495.6</v>
      </c>
      <c r="BD76" s="764">
        <f ca="1">-IFERROR((TabTRADER[[#This Row],[M]]-TabTRADER[[#This Row],[L_Sp]])/TabTRADER[[#This Row],[L_Sp]],0)</f>
        <v>6.7594834543987084E-2</v>
      </c>
      <c r="BE76" s="729">
        <f ca="1">TabTRADER[[#This Row],[L_Sn]]*(TabTRADER[[#This Row],[M]]-TabTRADER[[#This Row],[L_Sp]])*(1-Commission)*TabTRADER[[#This Row],[Scale]]</f>
        <v>-3341.29</v>
      </c>
      <c r="BF76" s="692">
        <f ca="1">TabTRADER[[#This Row],[L_Sn]]*(TabTRADER[[#This Row],[Agiotage]]-TabTRADER[[#This Row],[M]])/(TabTRADER[[#This Row],[L_Bn]]*TabTRADER[[#This Row],[M]])</f>
        <v>-0.4988993016587116</v>
      </c>
      <c r="BG76" s="635">
        <f ca="1">IFERROR((TabTRADER[[#This Row],[M]]-TabTRADER[[#This Row],[A]])/TabTRADER[[#This Row],[A]],0)</f>
        <v>2.4441037804066724E-3</v>
      </c>
      <c r="BH76" s="638" t="str">
        <f ca="1">TEXT(_xlfn.XLOOKUP(TabTRADER[[#This Row],[ClickTick]],TabCalc[Ticker],TabCalc[NAfter]),"#,#0")&amp;" : "&amp;TEXT(_xlfn.XLOOKUP(TabTRADER[[#This Row],[ClickTick]],TabCalc[Ticker],TabCalc[NAfter])*(TabTRADER[[#This Row],[M]]-TabTRADER[[#This Row],[A]])*(1-Commission)*TabTRADER[[#This Row],[Scale]],"#,#0$")</f>
        <v>30,000 : 337$</v>
      </c>
      <c r="BI76" s="684">
        <f ca="1">_xlfn.XLOOKUP(TabTRADER[[#This Row],[ClickTick]],TabCalc[[#This Row],[Ticker]],TabCalc[[#This Row],[GL]])*(1-Commission)</f>
        <v>29960.193884835742</v>
      </c>
      <c r="BJ76" s="684"/>
      <c r="BK76" s="669" t="str">
        <f ca="1">TabTRADER[[#This Row],[ClickTick]]&amp;": "&amp;_xlfn.XLOOKUP(TabTRADER[[#This Row],[ClickTick]],TabCalc[Ticker],TabCalc[Pile?])</f>
        <v xml:space="preserve">EZJ: </v>
      </c>
      <c r="BL76" s="351" t="s">
        <v>2050</v>
      </c>
      <c r="BM76" s="755" t="str" cm="1">
        <f t="array" aca="1" ref="BM76" ca="1">_xlfn.TEXTJOIN("",,INDEX({"M","A","Y"}, _xlfn.SORTBY({1,2,3}, -CHOOSE({1,2,3}, TabTRADER[[#This Row],[M]], TabTRADER[[#This Row],[A]], TabTRADER[[#This Row],[Agiotage]]))))</f>
        <v>MAY</v>
      </c>
      <c r="BN76" s="902"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9">
        <f ca="1">TabTRADER[[#This Row],[L_Sn]]*TabTRADER[[#This Row],[L_Sp]]+TabTRADER[[#This Row],[SellMore]]*TabTRADER[[#This Row],[M]]</f>
        <v>14198000</v>
      </c>
      <c r="BP76" s="679">
        <f ca="1">INDEX(
  INDEX(TabConsolid[], , _xlfn.XMATCH(TabTRADER[[#This Row],[ClickTick]]&amp;1, TabConsolid[#Headers])),
  MATCH(
    -TabTRADER[[#This Row],[M]],
    INDEX(TabConsolid[], , _xlfn.XMATCH(TabTRADER[[#This Row],[ClickTick]]&amp;2, TabConsolid[#Headers])),
    -1
  )
)</f>
        <v>20000</v>
      </c>
      <c r="BQ76" s="679"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6" s="1144">
        <f ca="1">TabTRADER[[#This Row],[ReBuy]]/(TabTRADER[[#This Row],[L_Sn]]+TabTRADER[[#This Row],[SellMore]])</f>
        <v>473.26666666666665</v>
      </c>
      <c r="BS76" s="687">
        <f ca="1">((_xlfn.XLOOKUP(TabTRADER[[#This Row],[ClickTick]],TabCalc[Ticker],TabCalc[NAfter])+TabTRADER[[#This Row],[L_Sn]])*(TabTRADER[[#This Row],[Agiotage]]-TabTRADER[[#This Row],[M]]))/(TabTRADER[[#This Row],[L_Sn]]*_xlfn.XLOOKUP(TabTRADER[[#This Row],[ClickTick]],TabCalc[Ticker],TabCalc[NAfter]))</f>
        <v>-6.1477697945730832E-2</v>
      </c>
      <c r="BT76" s="687">
        <f ca="1">(TabTRADER[[#This Row],[M]]-TabTRADER[[#This Row],[Agiotage]])/(TabTRADER[[#This Row],[M]]-TabTRADER[[#This Row],[A]])-1</f>
        <v>408.24503070383008</v>
      </c>
      <c r="BU76" s="1262">
        <f ca="1">_xlfn.XMATCH(TabTRADER[[#This Row],[ClickTick]]&amp;1, TabConsolid[#Headers])</f>
        <v>224</v>
      </c>
      <c r="BV76" t="b">
        <f ca="1">IF(ABS(TabTRADER[[#This Row],[L_Bp]])&gt;=TabTRADER[[#This Row],[M]],"OK")</f>
        <v>0</v>
      </c>
    </row>
    <row r="77" spans="1:74" hidden="1"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28.9%</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2,925$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0</v>
      </c>
      <c r="I77" s="226" t="str">
        <f ca="1">IFERROR(TRUNC(TabCalc[[#This Row],[L_S1p]],2)&amp;"x"&amp;TabCalc[[#This Row],[L_S1n]]&amp;"=   "&amp;TEXT(TabCalc[[#This Row],[ReverseB1]],"#,#0"),"")</f>
        <v>11.41x2000=   -3,170</v>
      </c>
      <c r="J77" s="295">
        <f ca="1">_xlfn.XLOOKUP(TabTRADER[[#This Row],[ClickTick]],TabCalc[Ticker],ListGravity)</f>
        <v>0.94382454790303971</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0.14782518890528135</v>
      </c>
      <c r="N77" s="324" cm="1">
        <f t="array" aca="1" ref="N77" ca="1">_xlfn.XLOOKUP(TabTRADER[[#This Row],[ClickTick]],ListTickers,Tab2RSIConventional[RSIConv20])</f>
        <v>59</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0.40714672441797511</v>
      </c>
      <c r="S77" s="683">
        <f ca="1">_xlfn.XLOOKUP(TabTRADER[[#This Row],[ClickTick]],TabCalc[Ticker],TabCalc[Rev(MinStock)])*(1-Commission)</f>
        <v>0</v>
      </c>
      <c r="T77" s="782">
        <f ca="1">_xlfn.XLOOKUP(TabTRADER[[#This Row],[ClickTick]],TabCalc[Ticker],TabCalc[Agiotage])</f>
        <v>0.14782518890528135</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7" s="739" t="str">
        <f ca="1">_xlfn.XLOOKUP(TabTRADER[[#This Row],[ClickTick]],[1]!RTData[Ticker_Symbol],[1]!RTData[Currency])</f>
        <v>USD</v>
      </c>
      <c r="W77" s="749">
        <f ca="1">_xlfn.XLOOKUP(TabTRADER[[#This Row],[ClickTick]],TabCalc[Ticker],TabCalc[M])</f>
        <v>12.994999999999999</v>
      </c>
      <c r="X77" s="1315"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-1.92E-3</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82"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65"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12.995, 08.1%</v>
      </c>
      <c r="AG77" s="1165"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65" t="str" cm="1">
        <f t="array" aca="1" ref="AH77" ca="1">_xlfn.IFS(     TabTRADER[[#This Row],[Traps]]=MUp,MIN(TabTRADER[[#This Row],[L_Sn]],TabTRADER[[#This Row],[N]])*(TabTRADER[[#This Row],[M]]-TabTRADER[[#This Row],[L_Sp]])*(1-Commission)*TabTRADER[[#This Row],[Scale]],                                  TRUE,"M= "&amp;TabTRADER[[#This Row],[M]])</f>
        <v>M= 12.995</v>
      </c>
      <c r="AI77" s="1165" t="str" cm="1">
        <f t="array" aca="1" ref="AI77" ca="1">_xlfn.IFS(   TabTRADER[[#This Row],[Traps]]=MUp,TEXT(MIN(TabTRADER[[#This Row],[L_Sn]],TabTRADER[[#This Row],[N]]),"#,#0")&amp;" x "&amp;TEXT(TabTRADER[[#This Row],[L_Sp]],"#,#0.#0"),          TRUE,"")</f>
        <v/>
      </c>
      <c r="AJ77" s="1165"/>
      <c r="AK77" s="1165"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65"/>
      <c r="AM77" s="1165"/>
      <c r="AN77" s="1165"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74"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74"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TabTRADER[[#This Row],[Traps]]=SellMorePercentGain,                     MIN(TabTRADER[[#This Row],[L_Sn]],TabTRADER[[#This Row],[N]])*(TabTRADER[[#This Row],[M]]-TabTRADER[[#This Row],[L_Sp]])*(1-Commission)*TabTRADER[[#This Row],[Scale]],                    TRUE,"")</f>
        <v/>
      </c>
      <c r="AR77" s="1163">
        <f ca="1">_xlfn.XLOOKUP(TabTRADER[[#This Row],[ClickTick]],TabCalc[Ticker],TabCalc[Ann%RevLB])</f>
        <v>0.53493730215500379</v>
      </c>
      <c r="AS77" s="1267">
        <f ca="1">_xlfn.XLOOKUP(TabTRADER[[#This Row],[ClickTick]],TabCalc[Ticker],TabCalc[Up20])</f>
        <v>0.25</v>
      </c>
      <c r="AT77" s="1175"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5" t="str" cm="1">
        <f t="array" aca="1" ref="AU77" ca="1">_xlfn.IFS(         TabTRADER[[#This Row],[Traps]]=MDown,TabTRADER[[#This Row],[L_Bn]]*TabTRADER[[#This Row],[M]]*(-(TabTRADER[[#This Row],[L_Bp]]+TabTRADER[[#This Row],[M]])/TabTRADER[[#This Row],[M]])*(1-Commission)*TabTRADER[[#This Row],[Scale]],                               TRUE,"")</f>
        <v/>
      </c>
      <c r="AV77" s="1174" t="str" cm="1">
        <f t="array" aca="1" ref="AV77" ca="1">_xlfn.IFS(   TabTRADER[[#This Row],[Traps]]=MUp,TabTRADER[[#This Row],[TakeGain_A]]-Commission,        TabTRADER[[#This Row],[Traps]]=MDown,(TabTRADER[[#This Row],[A]]-TabTRADER[[#This Row],[M]])/TabTRADER[[#This Row],[M]]-Commission,                              TRUE,"")</f>
        <v/>
      </c>
      <c r="AW77" s="825"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60"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7" s="736"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0x12.99</v>
      </c>
      <c r="AZ77" s="765" t="str" cm="1">
        <f t="array" aca="1" ref="AZ77" ca="1">_xlfn.IFS(TabTRADER[[#This Row],[Traps]]=Sale_Back,"",         TabTRADER[[#This Row],[Traps]]=MDown, (TabTRADER[[#This Row],[M]]-TabTRADER[[#This Row],[A]])/TabTRADER[[#This Row],[A]]*ComFactor,             TRUE, IFERROR((TabTRADER[[#This Row],[M]]-TabTRADER[[#This Row],[A]])/TabTRADER[[#This Row],[A]]*ComFactor,""))</f>
        <v/>
      </c>
      <c r="BA77" s="762" cm="1">
        <f t="array" aca="1" ref="BA77" ca="1">_xlfn.IFS(               TabTRADER[[#This Row],[Traps]]=NoStock,(TabTRADER[[#This Row],[L_Sp]]-TabTRADER[[#This Row],[M]])/TabTRADER[[#This Row],[M]]-Commission,             TabTRADER[[#This Row],[A]]&lt;&gt;0,(TabTRADER[[#This Row],[A]]-TabTRADER[[#This Row],[M]])/TabTRADER[[#This Row],[M]]-Commission)</f>
        <v>-7.7628857252789521E-2</v>
      </c>
      <c r="BB77" s="324">
        <f ca="1">_xlfn.XLOOKUP(TabTRADER[[#This Row],[ClickTick]],TabCalc[Ticker],TabCalc[L_Sn])</f>
        <v>3000</v>
      </c>
      <c r="BC77" s="728">
        <f ca="1">_xlfn.XLOOKUP(TabTRADER[[#This Row],[ClickTick]],TabCalc[Ticker],TabCalc[L_Sp])</f>
        <v>12.02</v>
      </c>
      <c r="BD77" s="764">
        <f ca="1">-IFERROR((TabTRADER[[#This Row],[M]]-TabTRADER[[#This Row],[L_Sp]])/TabTRADER[[#This Row],[L_Sp]],0)</f>
        <v>-8.1114808652246226E-2</v>
      </c>
      <c r="BE77" s="729">
        <f ca="1">TabTRADER[[#This Row],[L_Sn]]*(TabTRADER[[#This Row],[M]]-TabTRADER[[#This Row],[L_Sp]])*(1-Commission)*TabTRADER[[#This Row],[Scale]]</f>
        <v>2917.3949999999991</v>
      </c>
      <c r="BF77" s="692">
        <f ca="1">TabTRADER[[#This Row],[L_Sn]]*(TabTRADER[[#This Row],[Agiotage]]-TabTRADER[[#This Row],[M]])/(TabTRADER[[#This Row],[L_Bn]]*TabTRADER[[#This Row],[M]])</f>
        <v>-0.29658733692407974</v>
      </c>
      <c r="BG77" s="635">
        <f ca="1">IFERROR((TabTRADER[[#This Row],[M]]-TabTRADER[[#This Row],[A]])/TabTRADER[[#This Row],[A]],0)</f>
        <v>0</v>
      </c>
      <c r="BH77" s="638" t="str">
        <f ca="1">TEXT(_xlfn.XLOOKUP(TabTRADER[[#This Row],[ClickTick]],TabCalc[Ticker],TabCalc[NAfter]),"#,#0")&amp;" : "&amp;TEXT(_xlfn.XLOOKUP(TabTRADER[[#This Row],[ClickTick]],TabCalc[Ticker],TabCalc[NAfter])*(TabTRADER[[#This Row],[M]]-TabTRADER[[#This Row],[A]])*(1-Commission)*TabTRADER[[#This Row],[Scale]],"#,#0$")</f>
        <v>0 : 0$</v>
      </c>
      <c r="BI77" s="684">
        <f ca="1">_xlfn.XLOOKUP(TabTRADER[[#This Row],[ClickTick]],TabCalc[[#This Row],[Ticker]],TabCalc[[#This Row],[GL]])*(1-Commission)</f>
        <v>-12619.9146888</v>
      </c>
      <c r="BJ77" s="684"/>
      <c r="BK77" s="669" t="str">
        <f ca="1">TabTRADER[[#This Row],[ClickTick]]&amp;": "&amp;_xlfn.XLOOKUP(TabTRADER[[#This Row],[ClickTick]],TabCalc[Ticker],TabCalc[Pile?])</f>
        <v>F: Pile</v>
      </c>
      <c r="BL77" s="351" t="s">
        <v>2055</v>
      </c>
      <c r="BM77" s="755" t="str" cm="1">
        <f t="array" aca="1" ref="BM77" ca="1">_xlfn.TEXTJOIN("",,INDEX({"M","A","Y"}, _xlfn.SORTBY({1,2,3}, -CHOOSE({1,2,3}, TabTRADER[[#This Row],[M]], TabTRADER[[#This Row],[A]], TabTRADER[[#This Row],[Agiotage]]))))</f>
        <v>MYA</v>
      </c>
      <c r="BN77" s="902"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9" t="e">
        <f ca="1">TabTRADER[[#This Row],[L_Sn]]*TabTRADER[[#This Row],[L_Sp]]+TabTRADER[[#This Row],[SellMore]]*TabTRADER[[#This Row],[M]]</f>
        <v>#N/A</v>
      </c>
      <c r="BP77" s="679" t="e">
        <f ca="1">INDEX(
  INDEX(TabConsolid[], , _xlfn.XMATCH(TabTRADER[[#This Row],[ClickTick]]&amp;1, TabConsolid[#Headers])),
  MATCH(
    -TabTRADER[[#This Row],[M]],
    INDEX(TabConsolid[], , _xlfn.XMATCH(TabTRADER[[#This Row],[ClickTick]]&amp;2, TabConsolid[#Headers])),
    -1
  )
)</f>
        <v>#N/A</v>
      </c>
      <c r="BQ77" s="679"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44" t="e">
        <f ca="1">TabTRADER[[#This Row],[ReBuy]]/(TabTRADER[[#This Row],[L_Sn]]+TabTRADER[[#This Row],[SellMore]])</f>
        <v>#N/A</v>
      </c>
      <c r="BS77" s="687" t="e">
        <f ca="1">((_xlfn.XLOOKUP(TabTRADER[[#This Row],[ClickTick]],TabCalc[Ticker],TabCalc[NAfter])+TabTRADER[[#This Row],[L_Sn]])*(TabTRADER[[#This Row],[Agiotage]]-TabTRADER[[#This Row],[M]]))/(TabTRADER[[#This Row],[L_Sn]]*_xlfn.XLOOKUP(TabTRADER[[#This Row],[ClickTick]],TabCalc[Ticker],TabCalc[NAfter]))</f>
        <v>#DIV/0!</v>
      </c>
      <c r="BT77" s="687">
        <f ca="1">(TabTRADER[[#This Row],[M]]-TabTRADER[[#This Row],[Agiotage]])/(TabTRADER[[#This Row],[M]]-TabTRADER[[#This Row],[A]])-1</f>
        <v>-1.1375543586401027E-2</v>
      </c>
      <c r="BU77" s="1262">
        <f ca="1">_xlfn.XMATCH(TabTRADER[[#This Row],[ClickTick]]&amp;1, TabConsolid[#Headers])</f>
        <v>227</v>
      </c>
      <c r="BV77" t="b">
        <f ca="1">IF(ABS(TabTRADER[[#This Row],[L_Bp]])&gt;=TabTRADER[[#This Row],[M]],"OK")</f>
        <v>0</v>
      </c>
    </row>
    <row r="78" spans="1:74" hidden="1"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49.1%</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51,440$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45.3% = 0</v>
      </c>
      <c r="I78" s="226" t="str">
        <f ca="1">IFERROR(TRUNC(TabCalc[[#This Row],[L_S1p]],2)&amp;"x"&amp;TabCalc[[#This Row],[L_S1n]]&amp;"=   "&amp;TEXT(TabCalc[[#This Row],[ReverseB1]],"#,#0"),"")</f>
        <v>23.05x2000=   -67,522</v>
      </c>
      <c r="J78" s="295">
        <f ca="1">_xlfn.XLOOKUP(TabTRADER[[#This Row],[ClickTick]],TabCalc[Ticker],ListGravity)</f>
        <v>1.1384391059486096</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1.1777482661130008</v>
      </c>
      <c r="N78" s="324" cm="1">
        <f t="array" aca="1" ref="N78" ca="1">_xlfn.XLOOKUP(TabTRADER[[#This Row],[ClickTick]],ListTickers,Tab2RSIConventional[RSIConv20])</f>
        <v>36</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0.96337249481686238</v>
      </c>
      <c r="S78" s="683">
        <f ca="1">_xlfn.XLOOKUP(TabTRADER[[#This Row],[ClickTick]],TabCalc[Ticker],TabCalc[Rev(MinStock)])*(1-Commission)</f>
        <v>0</v>
      </c>
      <c r="T78" s="782">
        <f ca="1">_xlfn.XLOOKUP(TabTRADER[[#This Row],[ClickTick]],TabCalc[Ticker],TabCalc[Agiotage])</f>
        <v>1.1777482661130008</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78" s="739" t="str">
        <f ca="1">_xlfn.XLOOKUP(TabTRADER[[#This Row],[ClickTick]],[1]!RTData[Ticker_Symbol],[1]!RTData[Currency])</f>
        <v>EUR</v>
      </c>
      <c r="W78" s="749">
        <f ca="1">_xlfn.XLOOKUP(TabTRADER[[#This Row],[ClickTick]],TabCalc[Ticker],TabCalc[M])</f>
        <v>56.82</v>
      </c>
      <c r="X78" s="1315"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6.0200000000000002E-3</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82"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65"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56.82, 82.7%</v>
      </c>
      <c r="AG78" s="1165"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65" t="str" cm="1">
        <f t="array" aca="1" ref="AH78" ca="1">_xlfn.IFS(     TabTRADER[[#This Row],[Traps]]=MUp,MIN(TabTRADER[[#This Row],[L_Sn]],TabTRADER[[#This Row],[N]])*(TabTRADER[[#This Row],[M]]-TabTRADER[[#This Row],[L_Sp]])*(1-Commission)*TabTRADER[[#This Row],[Scale]],                                  TRUE,"M= "&amp;TabTRADER[[#This Row],[M]])</f>
        <v>M= 56.82</v>
      </c>
      <c r="AI78" s="1165" t="str" cm="1">
        <f t="array" aca="1" ref="AI78" ca="1">_xlfn.IFS(   TabTRADER[[#This Row],[Traps]]=MUp,TEXT(MIN(TabTRADER[[#This Row],[L_Sn]],TabTRADER[[#This Row],[N]]),"#,#0")&amp;" x "&amp;TEXT(TabTRADER[[#This Row],[L_Sp]],"#,#0.#0"),          TRUE,"")</f>
        <v/>
      </c>
      <c r="AJ78" s="1165"/>
      <c r="AK78" s="1165"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65"/>
      <c r="AM78" s="1165"/>
      <c r="AN78" s="1165"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74"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74"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TabTRADER[[#This Row],[Traps]]=SellMorePercentGain,                     MIN(TabTRADER[[#This Row],[L_Sn]],TabTRADER[[#This Row],[N]])*(TabTRADER[[#This Row],[M]]-TabTRADER[[#This Row],[L_Sp]])*(1-Commission)*TabTRADER[[#This Row],[Scale]],                    TRUE,"")</f>
        <v/>
      </c>
      <c r="AR78" s="1180">
        <f ca="1">_xlfn.XLOOKUP(TabTRADER[[#This Row],[ClickTick]],TabCalc[Ticker],TabCalc[Ann%RevLB])</f>
        <v>1.1333794056668969</v>
      </c>
      <c r="AS78" s="1266">
        <f ca="1">_xlfn.XLOOKUP(TabTRADER[[#This Row],[ClickTick]],TabCalc[Ticker],TabCalc[Up20])</f>
        <v>0.38095238095238093</v>
      </c>
      <c r="AT78" s="1175"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5" t="str" cm="1">
        <f t="array" aca="1" ref="AU78" ca="1">_xlfn.IFS(         TabTRADER[[#This Row],[Traps]]=MDown,TabTRADER[[#This Row],[L_Bn]]*TabTRADER[[#This Row],[M]]*(-(TabTRADER[[#This Row],[L_Bp]]+TabTRADER[[#This Row],[M]])/TabTRADER[[#This Row],[M]])*(1-Commission)*TabTRADER[[#This Row],[Scale]],                               TRUE,"")</f>
        <v/>
      </c>
      <c r="AV78" s="1174" t="str" cm="1">
        <f t="array" aca="1" ref="AV78" ca="1">_xlfn.IFS(   TabTRADER[[#This Row],[Traps]]=MUp,TabTRADER[[#This Row],[TakeGain_A]]-Commission,        TabTRADER[[#This Row],[Traps]]=MDown,(TabTRADER[[#This Row],[A]]-TabTRADER[[#This Row],[M]])/TabTRADER[[#This Row],[M]]-Commission,                              TRUE,"")</f>
        <v/>
      </c>
      <c r="AW78" s="760"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60"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78" s="736"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0x56.82</v>
      </c>
      <c r="AZ78" s="765" t="str" cm="1">
        <f t="array" aca="1" ref="AZ78" ca="1">_xlfn.IFS(TabTRADER[[#This Row],[Traps]]=Sale_Back,"",         TabTRADER[[#This Row],[Traps]]=MDown, (TabTRADER[[#This Row],[M]]-TabTRADER[[#This Row],[A]])/TabTRADER[[#This Row],[A]]*ComFactor,             TRUE, IFERROR((TabTRADER[[#This Row],[M]]-TabTRADER[[#This Row],[A]])/TabTRADER[[#This Row],[A]]*ComFactor,""))</f>
        <v/>
      </c>
      <c r="BA78" s="762" cm="1">
        <f t="array" aca="1" ref="BA78" ca="1">_xlfn.IFS(               TabTRADER[[#This Row],[Traps]]=NoStock,(TabTRADER[[#This Row],[L_Sp]]-TabTRADER[[#This Row],[M]])/TabTRADER[[#This Row],[M]]-Commission,             TabTRADER[[#This Row],[A]]&lt;&gt;0,(TabTRADER[[#This Row],[A]]-TabTRADER[[#This Row],[M]])/TabTRADER[[#This Row],[M]]-Commission)</f>
        <v>-0.45525751495952127</v>
      </c>
      <c r="BB78" s="324">
        <f ca="1">_xlfn.XLOOKUP(TabTRADER[[#This Row],[ClickTick]],TabCalc[Ticker],TabCalc[L_Sn])</f>
        <v>2000</v>
      </c>
      <c r="BC78" s="728">
        <f ca="1">_xlfn.XLOOKUP(TabTRADER[[#This Row],[ClickTick]],TabCalc[Ticker],TabCalc[L_Sp])</f>
        <v>31.1</v>
      </c>
      <c r="BD78" s="764">
        <f ca="1">-IFERROR((TabTRADER[[#This Row],[M]]-TabTRADER[[#This Row],[L_Sp]])/TabTRADER[[#This Row],[L_Sp]],0)</f>
        <v>-0.82700964630225071</v>
      </c>
      <c r="BE78" s="729">
        <f ca="1">TabTRADER[[#This Row],[L_Sn]]*(TabTRADER[[#This Row],[M]]-TabTRADER[[#This Row],[L_Sp]])*(1-Commission)*TabTRADER[[#This Row],[Scale]]</f>
        <v>51306.256000000001</v>
      </c>
      <c r="BF78" s="692">
        <f ca="1">TabTRADER[[#This Row],[L_Sn]]*(TabTRADER[[#This Row],[Agiotage]]-TabTRADER[[#This Row],[M]])/(TabTRADER[[#This Row],[L_Bn]]*TabTRADER[[#This Row],[M]])</f>
        <v>-0.97927229380300951</v>
      </c>
      <c r="BG78" s="635">
        <f ca="1">IFERROR((TabTRADER[[#This Row],[M]]-TabTRADER[[#This Row],[A]])/TabTRADER[[#This Row],[A]],0)</f>
        <v>0</v>
      </c>
      <c r="BH78" s="638" t="str">
        <f ca="1">TEXT(_xlfn.XLOOKUP(TabTRADER[[#This Row],[ClickTick]],TabCalc[Ticker],TabCalc[NAfter]),"#,#0")&amp;" : "&amp;TEXT(_xlfn.XLOOKUP(TabTRADER[[#This Row],[ClickTick]],TabCalc[Ticker],TabCalc[NAfter])*(TabTRADER[[#This Row],[M]]-TabTRADER[[#This Row],[A]])*(1-Commission)*TabTRADER[[#This Row],[Scale]],"#,#0$")</f>
        <v>0 : 0$</v>
      </c>
      <c r="BI78" s="684">
        <f ca="1">_xlfn.XLOOKUP(TabTRADER[[#This Row],[ClickTick]],TabCalc[[#This Row],[Ticker]],TabCalc[[#This Row],[GL]])*(1-Commission)</f>
        <v>43472.786121979188</v>
      </c>
      <c r="BJ78" s="684"/>
      <c r="BK78" s="669" t="str">
        <f ca="1">TabTRADER[[#This Row],[ClickTick]]&amp;": "&amp;_xlfn.XLOOKUP(TabTRADER[[#This Row],[ClickTick]],TabCalc[Ticker],TabCalc[Pile?])</f>
        <v>GLE: Pile</v>
      </c>
      <c r="BL78" s="351" t="s">
        <v>2056</v>
      </c>
      <c r="BM78" s="755" t="str" cm="1">
        <f t="array" aca="1" ref="BM78" ca="1">_xlfn.TEXTJOIN("",,INDEX({"M","A","Y"}, _xlfn.SORTBY({1,2,3}, -CHOOSE({1,2,3}, TabTRADER[[#This Row],[M]], TabTRADER[[#This Row],[A]], TabTRADER[[#This Row],[Agiotage]]))))</f>
        <v>MYA</v>
      </c>
      <c r="BN78" s="902"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9" t="e">
        <f ca="1">TabTRADER[[#This Row],[L_Sn]]*TabTRADER[[#This Row],[L_Sp]]+TabTRADER[[#This Row],[SellMore]]*TabTRADER[[#This Row],[M]]</f>
        <v>#N/A</v>
      </c>
      <c r="BP78" s="679" t="e">
        <f ca="1">INDEX(
  INDEX(TabConsolid[], , _xlfn.XMATCH(TabTRADER[[#This Row],[ClickTick]]&amp;1, TabConsolid[#Headers])),
  MATCH(
    -TabTRADER[[#This Row],[M]],
    INDEX(TabConsolid[], , _xlfn.XMATCH(TabTRADER[[#This Row],[ClickTick]]&amp;2, TabConsolid[#Headers])),
    -1
  )
)</f>
        <v>#N/A</v>
      </c>
      <c r="BQ78" s="679"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44" t="e">
        <f ca="1">TabTRADER[[#This Row],[ReBuy]]/(TabTRADER[[#This Row],[L_Sn]]+TabTRADER[[#This Row],[SellMore]])</f>
        <v>#N/A</v>
      </c>
      <c r="BS78" s="687" t="e">
        <f ca="1">((_xlfn.XLOOKUP(TabTRADER[[#This Row],[ClickTick]],TabCalc[Ticker],TabCalc[NAfter])+TabTRADER[[#This Row],[L_Sn]])*(TabTRADER[[#This Row],[Agiotage]]-TabTRADER[[#This Row],[M]]))/(TabTRADER[[#This Row],[L_Sn]]*_xlfn.XLOOKUP(TabTRADER[[#This Row],[ClickTick]],TabCalc[Ticker],TabCalc[NAfter]))</f>
        <v>#DIV/0!</v>
      </c>
      <c r="BT78" s="687">
        <f ca="1">(TabTRADER[[#This Row],[M]]-TabTRADER[[#This Row],[Agiotage]])/(TabTRADER[[#This Row],[M]]-TabTRADER[[#This Row],[A]])-1</f>
        <v>-2.0727706196990492E-2</v>
      </c>
      <c r="BU78" s="1262">
        <f ca="1">_xlfn.XMATCH(TabTRADER[[#This Row],[ClickTick]]&amp;1, TabConsolid[#Headers])</f>
        <v>230</v>
      </c>
      <c r="BV78" t="b">
        <f ca="1">IF(ABS(TabTRADER[[#This Row],[L_Bp]])&gt;=TabTRADER[[#This Row],[M]],"OK")</f>
        <v>0</v>
      </c>
    </row>
    <row r="79" spans="1:74" hidden="1"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-10,881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-24.7%</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-3,962$</v>
      </c>
      <c r="G79" s="225" t="str">
        <f ca="1">IFERROR(TRUNC(_xlfn.XLOOKUP(TabTRADER[[#This Row],[ClickTick]],TabCalc[Ticker],ListLastSalep),2)&amp;"x"&amp;_xlfn.XLOOKUP(TabTRADER[[#This Row],[ClickTick]],TabCalc[Ticker],ListLastSalen)&amp;"=   "&amp;TEXT(-_xlfn.XLOOKUP(TabTRADER[[#This Row],[ClickTick]],TabCalc[Ticker],ListReverseB),"#,#0")&amp;"$","")</f>
        <v>192.01x200=   -9,024$</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30.7% = 111</v>
      </c>
      <c r="I79" s="226" t="str">
        <f ca="1">IFERROR(TRUNC(TabCalc[[#This Row],[L_S1p]],2)&amp;"x"&amp;TabCalc[[#This Row],[L_S1n]]&amp;"=   "&amp;TEXT(TabCalc[[#This Row],[ReverseB1]],"#,#0"),"")</f>
        <v>189.91x600=   25,812</v>
      </c>
      <c r="J79" s="295">
        <f ca="1">_xlfn.XLOOKUP(TabTRADER[[#This Row],[ClickTick]],TabCalc[Ticker],ListGravity)</f>
        <v>1.4124215399278373</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51411.499999999993</v>
      </c>
      <c r="M79" s="323">
        <f ca="1">_xlfn.XLOOKUP(TabTRADER[[#This Row],[ClickTick]],TabCalc[Ticker],TabCalc[Agiotage])</f>
        <v>0.30248791926879282</v>
      </c>
      <c r="N79" s="324" cm="1">
        <f t="array" aca="1" ref="N79" ca="1">_xlfn.XLOOKUP(TabTRADER[[#This Row],[ClickTick]],ListTickers,Tab2RSIConventional[RSIConv20])</f>
        <v>26</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-0.19802358593579389</v>
      </c>
      <c r="S79" s="683">
        <f ca="1">_xlfn.XLOOKUP(TabTRADER[[#This Row],[ClickTick]],TabCalc[Ticker],TabCalc[Rev(MinStock)])*(1-Commission)</f>
        <v>-10852.709400000003</v>
      </c>
      <c r="T79" s="782">
        <f ca="1">_xlfn.XLOOKUP(TabTRADER[[#This Row],[ClickTick]],TabCalc[Ticker],TabCalc[Agiotage])</f>
        <v>0.30248791926879282</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2,601/2,601=&gt;3.1% / 3.1%</v>
      </c>
      <c r="V79" s="739" t="str">
        <f ca="1">_xlfn.XLOOKUP(TabTRADER[[#This Row],[ClickTick]],[1]!RTData[Ticker_Symbol],[1]!RTData[Currency])</f>
        <v>USD</v>
      </c>
      <c r="W79" s="749">
        <f ca="1">_xlfn.XLOOKUP(TabTRADER[[#This Row],[ClickTick]],TabCalc[Ticker],TabCalc[M])</f>
        <v>146.88999999999999</v>
      </c>
      <c r="X79" s="1315"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3.1095999999999999E-2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^10/132 K$</v>
      </c>
      <c r="AE79" s="1182"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65"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146.89, -23.5%</v>
      </c>
      <c r="AG79" s="1165"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65" t="str" cm="1">
        <f t="array" aca="1" ref="AH79" ca="1">_xlfn.IFS(     TabTRADER[[#This Row],[Traps]]=MUp,MIN(TabTRADER[[#This Row],[L_Sn]],TabTRADER[[#This Row],[N]])*(TabTRADER[[#This Row],[M]]-TabTRADER[[#This Row],[L_Sp]])*(1-Commission)*TabTRADER[[#This Row],[Scale]],                                  TRUE,"M= "&amp;TabTRADER[[#This Row],[M]])</f>
        <v>M= 146.89</v>
      </c>
      <c r="AI79" s="1165" t="str" cm="1">
        <f t="array" aca="1" ref="AI79" ca="1">_xlfn.IFS(   TabTRADER[[#This Row],[Traps]]=MUp,TEXT(MIN(TabTRADER[[#This Row],[L_Sn]],TabTRADER[[#This Row],[N]]),"#,#0")&amp;" x "&amp;TEXT(TabTRADER[[#This Row],[L_Sp]],"#,#0.#0"),          TRUE,"")</f>
        <v/>
      </c>
      <c r="AJ79" s="1165"/>
      <c r="AK79" s="1165"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10852.709400000003</v>
      </c>
      <c r="AL79" s="1165"/>
      <c r="AM79" s="1165"/>
      <c r="AN79" s="760"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132201</v>
      </c>
      <c r="AO79" s="1174"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0.18817395789835675</v>
      </c>
      <c r="AP79" s="1174"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0.2443194635441488</v>
      </c>
      <c r="AQ79" s="825" t="str" cm="1">
        <f t="array" aca="1" ref="AQ79" ca="1">_xlfn.IFS(   TabTRADER[[#This Row],[Traps]]=SellMorePercentGain,                     MIN(TabTRADER[[#This Row],[L_Sn]],TabTRADER[[#This Row],[N]])*(TabTRADER[[#This Row],[M]]-TabTRADER[[#This Row],[L_Sp]])*(1-Commission)*TabTRADER[[#This Row],[Scale]],                    TRUE,"")</f>
        <v/>
      </c>
      <c r="AR79" s="1163">
        <f ca="1">_xlfn.XLOOKUP(TabTRADER[[#This Row],[ClickTick]],TabCalc[Ticker],TabCalc[Ann%RevLB])</f>
        <v>-2.5460175334602071</v>
      </c>
      <c r="AS79" s="1267">
        <f ca="1">_xlfn.XLOOKUP(TabTRADER[[#This Row],[ClickTick]],TabCalc[Ticker],TabCalc[Up20])</f>
        <v>0</v>
      </c>
      <c r="AT79" s="1175"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0.24691946354414879</v>
      </c>
      <c r="AU79" s="825" cm="1">
        <f t="array" aca="1" ref="AU79" ca="1">_xlfn.IFS(         TabTRADER[[#This Row],[Traps]]=MDown,TabTRADER[[#This Row],[L_Bn]]*TabTRADER[[#This Row],[M]]*(-(TabTRADER[[#This Row],[L_Bp]]+TabTRADER[[#This Row],[M]])/TabTRADER[[#This Row],[M]])*(1-Commission)*TabTRADER[[#This Row],[Scale]],                               TRUE,"")</f>
        <v>10852.709400000003</v>
      </c>
      <c r="AV79" s="1174" cm="1">
        <f t="array" aca="1" ref="AV79" ca="1">_xlfn.IFS(   TabTRADER[[#This Row],[Traps]]=MUp,TabTRADER[[#This Row],[TakeGain_A]]-Commission,        TabTRADER[[#This Row],[Traps]]=MDown,(TabTRADER[[#This Row],[A]]-TabTRADER[[#This Row],[M]])/TabTRADER[[#This Row],[M]]-Commission,                              TRUE,"")</f>
        <v>0.22919098493959961</v>
      </c>
      <c r="AW79" s="825"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30563.328200000004</v>
      </c>
      <c r="AX79" s="760"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79" s="736"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-36.270000000000003</v>
      </c>
      <c r="AZ79" s="765" cm="1">
        <f t="array" aca="1" ref="AZ79" ca="1">_xlfn.IFS(TabTRADER[[#This Row],[Traps]]=Sale_Back,"",         TabTRADER[[#This Row],[Traps]]=MDown, (TabTRADER[[#This Row],[M]]-TabTRADER[[#This Row],[A]])/TabTRADER[[#This Row],[A]]*ComFactor,             TRUE, IFERROR((TabTRADER[[#This Row],[M]]-TabTRADER[[#This Row],[A]])/TabTRADER[[#This Row],[A]]*ComFactor,""))</f>
        <v>-0.18768470560782102</v>
      </c>
      <c r="BA79" s="762" cm="1">
        <f t="array" aca="1" ref="BA79" ca="1">_xlfn.IFS(               TabTRADER[[#This Row],[Traps]]=NoStock,(TabTRADER[[#This Row],[L_Sp]]-TabTRADER[[#This Row],[M]])/TabTRADER[[#This Row],[M]]-Commission,             TabTRADER[[#This Row],[A]]&lt;&gt;0,(TabTRADER[[#This Row],[A]]-TabTRADER[[#This Row],[M]])/TabTRADER[[#This Row],[M]]-Commission)</f>
        <v>0.22919098493959961</v>
      </c>
      <c r="BB79" s="324">
        <f ca="1">_xlfn.XLOOKUP(TabTRADER[[#This Row],[ClickTick]],TabCalc[Ticker],TabCalc[L_Sn])</f>
        <v>200</v>
      </c>
      <c r="BC79" s="728">
        <f ca="1">_xlfn.XLOOKUP(TabTRADER[[#This Row],[ClickTick]],TabCalc[Ticker],TabCalc[L_Sp])</f>
        <v>192.01</v>
      </c>
      <c r="BD79" s="764">
        <f ca="1">-IFERROR((TabTRADER[[#This Row],[M]]-TabTRADER[[#This Row],[L_Sp]])/TabTRADER[[#This Row],[L_Sp]],0)</f>
        <v>0.23498776105411179</v>
      </c>
      <c r="BE79" s="729">
        <f ca="1">TabTRADER[[#This Row],[L_Sn]]*(TabTRADER[[#This Row],[M]]-TabTRADER[[#This Row],[L_Sp]])*(1-Commission)*TabTRADER[[#This Row],[Scale]]</f>
        <v>-9000.5375999999997</v>
      </c>
      <c r="BF79" s="692">
        <f ca="1">TabTRADER[[#This Row],[L_Sn]]*(TabTRADER[[#This Row],[Agiotage]]-TabTRADER[[#This Row],[M]])/(TabTRADER[[#This Row],[L_Bn]]*TabTRADER[[#This Row],[M]])</f>
        <v>-0.66529381206222893</v>
      </c>
      <c r="BG79" s="635">
        <f ca="1">IFERROR((TabTRADER[[#This Row],[M]]-TabTRADER[[#This Row],[A]])/TabTRADER[[#This Row],[A]],0)</f>
        <v>-0.18817395789835675</v>
      </c>
      <c r="BH79" s="638" t="str">
        <f ca="1">TEXT(_xlfn.XLOOKUP(TabTRADER[[#This Row],[ClickTick]],TabCalc[Ticker],TabCalc[NAfter]),"#,#0")&amp;" : "&amp;TEXT(_xlfn.XLOOKUP(TabTRADER[[#This Row],[ClickTick]],TabCalc[Ticker],TabCalc[NAfter])*(TabTRADER[[#This Row],[M]]-TabTRADER[[#This Row],[A]])*(1-Commission)*TabTRADER[[#This Row],[Scale]],"#,#0$")</f>
        <v>900 : -30,563$</v>
      </c>
      <c r="BI79" s="684">
        <f ca="1">_xlfn.XLOOKUP(TabTRADER[[#This Row],[ClickTick]],TabCalc[[#This Row],[Ticker]],TabCalc[[#This Row],[GL]])*(1-Commission)</f>
        <v>10466.116771014022</v>
      </c>
      <c r="BJ79" s="684"/>
      <c r="BK79" s="669" t="str">
        <f ca="1">TabTRADER[[#This Row],[ClickTick]]&amp;": "&amp;_xlfn.XLOOKUP(TabTRADER[[#This Row],[ClickTick]],TabCalc[Ticker],TabCalc[Pile?])</f>
        <v xml:space="preserve">GNRC: </v>
      </c>
      <c r="BL79" s="351" t="s">
        <v>2057</v>
      </c>
      <c r="BM79" s="755" t="str" cm="1">
        <f t="array" aca="1" ref="BM79" ca="1">_xlfn.TEXTJOIN("",,INDEX({"M","A","Y"}, _xlfn.SORTBY({1,2,3}, -CHOOSE({1,2,3}, TabTRADER[[#This Row],[M]], TabTRADER[[#This Row],[A]], TabTRADER[[#This Row],[Agiotage]]))))</f>
        <v>AMY</v>
      </c>
      <c r="BN79" s="902"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0.24691946354414879</v>
      </c>
      <c r="BO79" s="679" t="e">
        <f ca="1">TabTRADER[[#This Row],[L_Sn]]*TabTRADER[[#This Row],[L_Sp]]+TabTRADER[[#This Row],[SellMore]]*TabTRADER[[#This Row],[M]]</f>
        <v>#N/A</v>
      </c>
      <c r="BP79" s="679" t="e">
        <f ca="1">INDEX(
  INDEX(TabConsolid[], , _xlfn.XMATCH(TabTRADER[[#This Row],[ClickTick]]&amp;1, TabConsolid[#Headers])),
  MATCH(
    -TabTRADER[[#This Row],[M]],
    INDEX(TabConsolid[], , _xlfn.XMATCH(TabTRADER[[#This Row],[ClickTick]]&amp;2, TabConsolid[#Headers])),
    -1
  )
)</f>
        <v>#N/A</v>
      </c>
      <c r="BQ79" s="679"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44" t="e">
        <f ca="1">TabTRADER[[#This Row],[ReBuy]]/(TabTRADER[[#This Row],[L_Sn]]+TabTRADER[[#This Row],[SellMore]])</f>
        <v>#N/A</v>
      </c>
      <c r="BS79" s="687">
        <f ca="1">((_xlfn.XLOOKUP(TabTRADER[[#This Row],[ClickTick]],TabCalc[Ticker],TabCalc[NAfter])+TabTRADER[[#This Row],[L_Sn]])*(TabTRADER[[#This Row],[Agiotage]]-TabTRADER[[#This Row],[M]]))/(TabTRADER[[#This Row],[L_Sn]]*_xlfn.XLOOKUP(TabTRADER[[#This Row],[ClickTick]],TabCalc[Ticker],TabCalc[NAfter]))</f>
        <v>-0.89581257382669055</v>
      </c>
      <c r="BT79" s="687">
        <f ca="1">(TabTRADER[[#This Row],[M]]-TabTRADER[[#This Row],[Agiotage]])/(TabTRADER[[#This Row],[M]]-TabTRADER[[#This Row],[A]])-1</f>
        <v>-5.305347416136085</v>
      </c>
      <c r="BU79" s="1262">
        <f ca="1">_xlfn.XMATCH(TabTRADER[[#This Row],[ClickTick]]&amp;1, TabConsolid[#Headers])</f>
        <v>233</v>
      </c>
      <c r="BV79" t="str">
        <f ca="1">IF(ABS(TabTRADER[[#This Row],[L_Bp]])&gt;=TabTRADER[[#This Row],[M]],"OK")</f>
        <v>OK</v>
      </c>
    </row>
    <row r="80" spans="1:74" hidden="1"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28.1%</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14,899$</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-19.1% = 0</v>
      </c>
      <c r="I80" s="226" t="str">
        <f ca="1">IFERROR(TRUNC(TabCalc[[#This Row],[L_S1p]],2)&amp;"x"&amp;TabCalc[[#This Row],[L_S1n]]&amp;"=   "&amp;TEXT(TabCalc[[#This Row],[ReverseB1]],"#,#0"),"")</f>
        <v>495.03x100=   -28,586</v>
      </c>
      <c r="J80" s="295">
        <f ca="1">_xlfn.XLOOKUP(TabTRADER[[#This Row],[ClickTick]],TabCalc[Ticker],ListGravity)</f>
        <v>1.0268310517486456</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0.30271831547034872</v>
      </c>
      <c r="N80" s="324" cm="1">
        <f t="array" aca="1" ref="N80" ca="1">_xlfn.XLOOKUP(TabTRADER[[#This Row],[ClickTick]],ListTickers,Tab2RSIConventional[RSIConv20])</f>
        <v>57</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0.39046993286164655</v>
      </c>
      <c r="S80" s="683">
        <f ca="1">_xlfn.XLOOKUP(TabTRADER[[#This Row],[ClickTick]],TabCalc[Ticker],TabCalc[Rev(MinStock)])*(1-Commission)</f>
        <v>0</v>
      </c>
      <c r="T80" s="782">
        <f ca="1">_xlfn.XLOOKUP(TabTRADER[[#This Row],[ClickTick]],TabCalc[Ticker],TabCalc[Agiotage])</f>
        <v>0.30271831547034872</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80" s="739" t="str">
        <f ca="1">_xlfn.XLOOKUP(TabTRADER[[#This Row],[ClickTick]],[1]!RTData[Ticker_Symbol],[1]!RTData[Currency])</f>
        <v>USD</v>
      </c>
      <c r="W80" s="749">
        <f ca="1">_xlfn.XLOOKUP(TabTRADER[[#This Row],[ClickTick]],TabCalc[Ticker],TabCalc[M])</f>
        <v>780.89</v>
      </c>
      <c r="X80" s="1315"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5.9130000000000007E-3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82"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65"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780.89, 23.6%</v>
      </c>
      <c r="AG80" s="1165"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65" t="str" cm="1">
        <f t="array" aca="1" ref="AH80" ca="1">_xlfn.IFS(     TabTRADER[[#This Row],[Traps]]=MUp,MIN(TabTRADER[[#This Row],[L_Sn]],TabTRADER[[#This Row],[N]])*(TabTRADER[[#This Row],[M]]-TabTRADER[[#This Row],[L_Sp]])*(1-Commission)*TabTRADER[[#This Row],[Scale]],                                  TRUE,"M= "&amp;TabTRADER[[#This Row],[M]])</f>
        <v>M= 780.89</v>
      </c>
      <c r="AI80" s="1165" t="str" cm="1">
        <f t="array" aca="1" ref="AI80" ca="1">_xlfn.IFS(   TabTRADER[[#This Row],[Traps]]=MUp,TEXT(MIN(TabTRADER[[#This Row],[L_Sn]],TabTRADER[[#This Row],[N]]),"#,#0")&amp;" x "&amp;TEXT(TabTRADER[[#This Row],[L_Sp]],"#,#0.#0"),          TRUE,"")</f>
        <v/>
      </c>
      <c r="AJ80" s="1165"/>
      <c r="AK80" s="1165"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65"/>
      <c r="AM80" s="1165"/>
      <c r="AN80" s="760"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74"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74"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TabTRADER[[#This Row],[Traps]]=SellMorePercentGain,                     MIN(TabTRADER[[#This Row],[L_Sn]],TabTRADER[[#This Row],[N]])*(TabTRADER[[#This Row],[M]]-TabTRADER[[#This Row],[L_Sp]])*(1-Commission)*TabTRADER[[#This Row],[Scale]],                    TRUE,"")</f>
        <v/>
      </c>
      <c r="AR80" s="1180">
        <f ca="1">_xlfn.XLOOKUP(TabTRADER[[#This Row],[ClickTick]],TabCalc[Ticker],TabCalc[Ann%RevLB])</f>
        <v>0.33953907205360573</v>
      </c>
      <c r="AS80" s="1266">
        <f ca="1">_xlfn.XLOOKUP(TabTRADER[[#This Row],[ClickTick]],TabCalc[Ticker],TabCalc[Up20])</f>
        <v>0.5714285714285714</v>
      </c>
      <c r="AT80" s="1175"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0" s="825" t="str" cm="1">
        <f t="array" aca="1" ref="AU80" ca="1">_xlfn.IFS(         TabTRADER[[#This Row],[Traps]]=MDown,TabTRADER[[#This Row],[L_Bn]]*TabTRADER[[#This Row],[M]]*(-(TabTRADER[[#This Row],[L_Bp]]+TabTRADER[[#This Row],[M]])/TabTRADER[[#This Row],[M]])*(1-Commission)*TabTRADER[[#This Row],[Scale]],                               TRUE,"")</f>
        <v/>
      </c>
      <c r="AV80" s="1174" t="str" cm="1">
        <f t="array" aca="1" ref="AV80" ca="1">_xlfn.IFS(   TabTRADER[[#This Row],[Traps]]=MUp,TabTRADER[[#This Row],[TakeGain_A]]-Commission,        TabTRADER[[#This Row],[Traps]]=MDown,(TabTRADER[[#This Row],[A]]-TabTRADER[[#This Row],[M]])/TabTRADER[[#This Row],[M]]-Commission,                              TRUE,"")</f>
        <v/>
      </c>
      <c r="AW80" s="760"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60"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80" s="736"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0x780.89</v>
      </c>
      <c r="AZ80" s="765" t="str" cm="1">
        <f t="array" aca="1" ref="AZ80" ca="1">_xlfn.IFS(TabTRADER[[#This Row],[Traps]]=Sale_Back,"",         TabTRADER[[#This Row],[Traps]]=MDown, (TabTRADER[[#This Row],[M]]-TabTRADER[[#This Row],[A]])/TabTRADER[[#This Row],[A]]*ComFactor,             TRUE, IFERROR((TabTRADER[[#This Row],[M]]-TabTRADER[[#This Row],[A]])/TabTRADER[[#This Row],[A]]*ComFactor,""))</f>
        <v/>
      </c>
      <c r="BA80" s="762" cm="1">
        <f t="array" aca="1" ref="BA80" ca="1">_xlfn.IFS(               TabTRADER[[#This Row],[Traps]]=NoStock,(TabTRADER[[#This Row],[L_Sp]]-TabTRADER[[#This Row],[M]])/TabTRADER[[#This Row],[M]]-Commission,             TabTRADER[[#This Row],[A]]&lt;&gt;0,(TabTRADER[[#This Row],[A]]-TabTRADER[[#This Row],[M]])/TabTRADER[[#This Row],[M]]-Commission)</f>
        <v>-0.19339511839055437</v>
      </c>
      <c r="BB80" s="324">
        <f ca="1">_xlfn.XLOOKUP(TabTRADER[[#This Row],[ClickTick]],TabCalc[Ticker],TabCalc[L_Sn])</f>
        <v>100</v>
      </c>
      <c r="BC80" s="728">
        <f ca="1">_xlfn.XLOOKUP(TabTRADER[[#This Row],[ClickTick]],TabCalc[Ticker],TabCalc[L_Sp])</f>
        <v>631.9</v>
      </c>
      <c r="BD80" s="764">
        <f ca="1">-IFERROR((TabTRADER[[#This Row],[M]]-TabTRADER[[#This Row],[L_Sp]])/TabTRADER[[#This Row],[L_Sp]],0)</f>
        <v>-0.23578097800284858</v>
      </c>
      <c r="BE80" s="729">
        <f ca="1">TabTRADER[[#This Row],[L_Sn]]*(TabTRADER[[#This Row],[M]]-TabTRADER[[#This Row],[L_Sp]])*(1-Commission)*TabTRADER[[#This Row],[Scale]]</f>
        <v>14860.2626</v>
      </c>
      <c r="BF80" s="692">
        <f ca="1">TabTRADER[[#This Row],[L_Sn]]*(TabTRADER[[#This Row],[Agiotage]]-TabTRADER[[#This Row],[M]])/(TabTRADER[[#This Row],[L_Bn]]*TabTRADER[[#This Row],[M]])</f>
        <v>-0.99961234192335635</v>
      </c>
      <c r="BG80" s="635">
        <f ca="1">IFERROR((TabTRADER[[#This Row],[M]]-TabTRADER[[#This Row],[A]])/TabTRADER[[#This Row],[A]],0)</f>
        <v>0</v>
      </c>
      <c r="BH80" s="638" t="str">
        <f ca="1">TEXT(_xlfn.XLOOKUP(TabTRADER[[#This Row],[ClickTick]],TabCalc[Ticker],TabCalc[NAfter]),"#,#0")&amp;" : "&amp;TEXT(_xlfn.XLOOKUP(TabTRADER[[#This Row],[ClickTick]],TabCalc[Ticker],TabCalc[NAfter])*(TabTRADER[[#This Row],[M]]-TabTRADER[[#This Row],[A]])*(1-Commission)*TabTRADER[[#This Row],[Scale]],"#,#0$")</f>
        <v>0 : 0$</v>
      </c>
      <c r="BI80" s="684">
        <f ca="1">_xlfn.XLOOKUP(TabTRADER[[#This Row],[ClickTick]],TabCalc[[#This Row],[Ticker]],TabCalc[[#This Row],[GL]])*(1-Commission)</f>
        <v>45917.428596084377</v>
      </c>
      <c r="BJ80" s="684"/>
      <c r="BK80" s="669" t="str">
        <f ca="1">TabTRADER[[#This Row],[ClickTick]]&amp;": "&amp;_xlfn.XLOOKUP(TabTRADER[[#This Row],[ClickTick]],TabCalc[Ticker],TabCalc[Pile?])</f>
        <v>GS: Pile</v>
      </c>
      <c r="BL80" s="351" t="s">
        <v>2058</v>
      </c>
      <c r="BM80" s="755" t="str" cm="1">
        <f t="array" aca="1" ref="BM80" ca="1">_xlfn.TEXTJOIN("",,INDEX({"M","A","Y"}, _xlfn.SORTBY({1,2,3}, -CHOOSE({1,2,3}, TabTRADER[[#This Row],[M]], TabTRADER[[#This Row],[A]], TabTRADER[[#This Row],[Agiotage]]))))</f>
        <v>MYA</v>
      </c>
      <c r="BN80" s="902"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0" s="679" t="e">
        <f ca="1">TabTRADER[[#This Row],[L_Sn]]*TabTRADER[[#This Row],[L_Sp]]+TabTRADER[[#This Row],[SellMore]]*TabTRADER[[#This Row],[M]]</f>
        <v>#N/A</v>
      </c>
      <c r="BP80" s="679" t="e">
        <f ca="1">INDEX(
  INDEX(TabConsolid[], , _xlfn.XMATCH(TabTRADER[[#This Row],[ClickTick]]&amp;1, TabConsolid[#Headers])),
  MATCH(
    -TabTRADER[[#This Row],[M]],
    INDEX(TabConsolid[], , _xlfn.XMATCH(TabTRADER[[#This Row],[ClickTick]]&amp;2, TabConsolid[#Headers])),
    -1
  )
)</f>
        <v>#N/A</v>
      </c>
      <c r="BQ80" s="679"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44" t="e">
        <f ca="1">TabTRADER[[#This Row],[ReBuy]]/(TabTRADER[[#This Row],[L_Sn]]+TabTRADER[[#This Row],[SellMore]])</f>
        <v>#N/A</v>
      </c>
      <c r="BS80" s="687" t="e">
        <f ca="1">((_xlfn.XLOOKUP(TabTRADER[[#This Row],[ClickTick]],TabCalc[Ticker],TabCalc[NAfter])+TabTRADER[[#This Row],[L_Sn]])*(TabTRADER[[#This Row],[Agiotage]]-TabTRADER[[#This Row],[M]]))/(TabTRADER[[#This Row],[L_Sn]]*_xlfn.XLOOKUP(TabTRADER[[#This Row],[ClickTick]],TabCalc[Ticker],TabCalc[NAfter]))</f>
        <v>#DIV/0!</v>
      </c>
      <c r="BT80" s="687">
        <f ca="1">(TabTRADER[[#This Row],[M]]-TabTRADER[[#This Row],[Agiotage]])/(TabTRADER[[#This Row],[M]]-TabTRADER[[#This Row],[A]])-1</f>
        <v>-3.8765807664375984E-4</v>
      </c>
      <c r="BU80" s="1262">
        <f ca="1">_xlfn.XMATCH(TabTRADER[[#This Row],[ClickTick]]&amp;1, TabConsolid[#Headers])</f>
        <v>236</v>
      </c>
      <c r="BV80" t="b">
        <f ca="1">IF(ABS(TabTRADER[[#This Row],[L_Bp]])&gt;=TabTRADER[[#This Row],[M]],"OK")</f>
        <v>0</v>
      </c>
    </row>
    <row r="81" spans="1:74" hidden="1"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-53,581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-627.0%</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-21,784$</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2.8223075186272295</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9004.1570000000011</v>
      </c>
      <c r="M81" s="323">
        <f ca="1">_xlfn.XLOOKUP(TabTRADER[[#This Row],[ClickTick]],TabCalc[Ticker],TabCalc[Agiotage])</f>
        <v>0.3115700601485013</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-0.86245341614906834</v>
      </c>
      <c r="S81" s="683">
        <f ca="1">_xlfn.XLOOKUP(TabTRADER[[#This Row],[ClickTick]],TabCalc[Ticker],TabCalc[Rev(MinStock)])*(1-Commission)</f>
        <v>-53442.055844760005</v>
      </c>
      <c r="T81" s="782">
        <f ca="1">_xlfn.XLOOKUP(TabTRADER[[#This Row],[ClickTick]],TabCalc[Ticker],TabCalc[Agiotage])</f>
        <v>0.3115700601485013</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-220/-220=&gt;2.3% / 2.3%</v>
      </c>
      <c r="V81" s="739" t="str">
        <f ca="1">_xlfn.XLOOKUP(TabTRADER[[#This Row],[ClickTick]],[1]!RTData[Ticker_Symbol],[1]!RTData[Currency])</f>
        <v>USD</v>
      </c>
      <c r="W81" s="749">
        <f ca="1">_xlfn.XLOOKUP(TabTRADER[[#This Row],[ClickTick]],TabCalc[Ticker],TabCalc[M])</f>
        <v>0.88580000000000003</v>
      </c>
      <c r="X81" s="1315"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2.2745999999999999E-2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-324/14 K$</v>
      </c>
      <c r="AE81" s="1182"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65"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65"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65" t="str" cm="1">
        <f t="array" aca="1" ref="AH81" ca="1">_xlfn.IFS(     TabTRADER[[#This Row],[Traps]]=MUp,MIN(TabTRADER[[#This Row],[L_Sn]],TabTRADER[[#This Row],[N]])*(TabTRADER[[#This Row],[M]]-TabTRADER[[#This Row],[L_Sp]])*(1-Commission)*TabTRADER[[#This Row],[Scale]],                                  TRUE,"M= "&amp;TabTRADER[[#This Row],[M]])</f>
        <v>M= 0.8858</v>
      </c>
      <c r="AI81" s="1165" t="str" cm="1">
        <f t="array" aca="1" ref="AI81" ca="1">_xlfn.IFS(   TabTRADER[[#This Row],[Traps]]=MUp,TEXT(MIN(TabTRADER[[#This Row],[L_Sn]],TabTRADER[[#This Row],[N]]),"#,#0")&amp;" x "&amp;TEXT(TabTRADER[[#This Row],[L_Sp]],"#,#0.#0"),          TRUE,"")</f>
        <v/>
      </c>
      <c r="AJ81" s="1165"/>
      <c r="AK81" s="1165"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53442.055844760005</v>
      </c>
      <c r="AL81" s="1165"/>
      <c r="AM81" s="1165"/>
      <c r="AN81" s="760"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13745.8444</v>
      </c>
      <c r="AO81" s="1174"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0.95913703795880978</v>
      </c>
      <c r="AP81" s="1174"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6.2676641679837442</v>
      </c>
      <c r="AQ81" s="825" t="str" cm="1">
        <f t="array" aca="1" ref="AQ81" ca="1">_xlfn.IFS(   TabTRADER[[#This Row],[Traps]]=SellMorePercentGain,                     MIN(TabTRADER[[#This Row],[L_Sn]],TabTRADER[[#This Row],[N]])*(TabTRADER[[#This Row],[M]]-TabTRADER[[#This Row],[L_Sp]])*(1-Commission)*TabTRADER[[#This Row],[Scale]],                    TRUE,"")</f>
        <v/>
      </c>
      <c r="AR81" s="1163">
        <f ca="1">_xlfn.XLOOKUP(TabTRADER[[#This Row],[ClickTick]],TabCalc[Ticker],TabCalc[Ann%RevLB])</f>
        <v>-1.0315057468892512</v>
      </c>
      <c r="AS81" s="1267">
        <f ca="1">_xlfn.XLOOKUP(TabTRADER[[#This Row],[ClickTick]],TabCalc[Ticker],TabCalc[Up20])</f>
        <v>0</v>
      </c>
      <c r="AT81" s="1175"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6.2702641679837443</v>
      </c>
      <c r="AU81" s="825" cm="1">
        <f t="array" aca="1" ref="AU81" ca="1">_xlfn.IFS(         TabTRADER[[#This Row],[Traps]]=MDown,TabTRADER[[#This Row],[L_Bn]]*TabTRADER[[#This Row],[M]]*(-(TabTRADER[[#This Row],[L_Bp]]+TabTRADER[[#This Row],[M]])/TabTRADER[[#This Row],[M]])*(1-Commission)*TabTRADER[[#This Row],[Scale]],                               TRUE,"")</f>
        <v>53442.055844760012</v>
      </c>
      <c r="AV81" s="1174" cm="1">
        <f t="array" aca="1" ref="AV81" ca="1">_xlfn.IFS(   TabTRADER[[#This Row],[Traps]]=MUp,TabTRADER[[#This Row],[TakeGain_A]]-Commission,        TabTRADER[[#This Row],[Traps]]=MDown,(TabTRADER[[#This Row],[A]]-TabTRADER[[#This Row],[M]])/TabTRADER[[#This Row],[M]]-Commission,                              TRUE,"")</f>
        <v>23.469438982195957</v>
      </c>
      <c r="AW81" s="760"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321804.12381144002</v>
      </c>
      <c r="AX81" s="760"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1" s="736"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-5.55</v>
      </c>
      <c r="AZ81" s="765" cm="1">
        <f t="array" aca="1" ref="AZ81" ca="1">_xlfn.IFS(TabTRADER[[#This Row],[Traps]]=Sale_Back,"",         TabTRADER[[#This Row],[Traps]]=MDown, (TabTRADER[[#This Row],[M]]-TabTRADER[[#This Row],[A]])/TabTRADER[[#This Row],[A]]*ComFactor,             TRUE, IFERROR((TabTRADER[[#This Row],[M]]-TabTRADER[[#This Row],[A]])/TabTRADER[[#This Row],[A]]*ComFactor,""))</f>
        <v>-0.95664328166011681</v>
      </c>
      <c r="BA81" s="762" cm="1">
        <f t="array" aca="1" ref="BA81" ca="1">_xlfn.IFS(               TabTRADER[[#This Row],[Traps]]=NoStock,(TabTRADER[[#This Row],[L_Sp]]-TabTRADER[[#This Row],[M]])/TabTRADER[[#This Row],[M]]-Commission,             TabTRADER[[#This Row],[A]]&lt;&gt;0,(TabTRADER[[#This Row],[A]]-TabTRADER[[#This Row],[M]])/TabTRADER[[#This Row],[M]]-Commission)</f>
        <v>23.469438982195957</v>
      </c>
      <c r="BB81" s="324">
        <f ca="1">_xlfn.XLOOKUP(TabTRADER[[#This Row],[ClickTick]],TabCalc[Ticker],TabCalc[L_Sn])</f>
        <v>0</v>
      </c>
      <c r="BC81" s="728">
        <f ca="1">_xlfn.XLOOKUP(TabTRADER[[#This Row],[ClickTick]],TabCalc[Ticker],TabCalc[L_Sp])</f>
        <v>0</v>
      </c>
      <c r="BD81" s="764">
        <f ca="1">-IFERROR((TabTRADER[[#This Row],[M]]-TabTRADER[[#This Row],[L_Sp]])/TabTRADER[[#This Row],[L_Sp]],0)</f>
        <v>0</v>
      </c>
      <c r="BE81" s="729">
        <f ca="1">TabTRADER[[#This Row],[L_Sn]]*(TabTRADER[[#This Row],[M]]-TabTRADER[[#This Row],[L_Sp]])*(1-Commission)*TabTRADER[[#This Row],[Scale]]</f>
        <v>0</v>
      </c>
      <c r="BF81" s="692">
        <f ca="1">TabTRADER[[#This Row],[L_Sn]]*(TabTRADER[[#This Row],[Agiotage]]-TabTRADER[[#This Row],[M]])/(TabTRADER[[#This Row],[L_Bn]]*TabTRADER[[#This Row],[M]])</f>
        <v>0</v>
      </c>
      <c r="BG81" s="635">
        <f ca="1">IFERROR((TabTRADER[[#This Row],[M]]-TabTRADER[[#This Row],[A]])/TabTRADER[[#This Row],[A]],0)</f>
        <v>-0.95913703795880978</v>
      </c>
      <c r="BH81" s="638" t="str">
        <f ca="1">TEXT(_xlfn.XLOOKUP(TabTRADER[[#This Row],[ClickTick]],TabCalc[Ticker],TabCalc[NAfter]),"#,#0")&amp;" : "&amp;TEXT(_xlfn.XLOOKUP(TabTRADER[[#This Row],[ClickTick]],TabCalc[Ticker],TabCalc[NAfter])*(TabTRADER[[#This Row],[M]]-TabTRADER[[#This Row],[A]])*(1-Commission)*TabTRADER[[#This Row],[Scale]],"#,#0$")</f>
        <v>15,518 : -321,804$</v>
      </c>
      <c r="BI81" s="684">
        <f ca="1">_xlfn.XLOOKUP(TabTRADER[[#This Row],[ClickTick]],TabCalc[[#This Row],[Ticker]],TabCalc[[#This Row],[GL]])*(1-Commission)</f>
        <v>-322712.10708041338</v>
      </c>
      <c r="BJ81" s="684"/>
      <c r="BK81" s="669" t="str">
        <f ca="1">TabTRADER[[#This Row],[ClickTick]]&amp;": "&amp;_xlfn.XLOOKUP(TabTRADER[[#This Row],[ClickTick]],TabCalc[Ticker],TabCalc[Pile?])</f>
        <v>LAZR: Pile</v>
      </c>
      <c r="BL81" s="351" t="s">
        <v>2059</v>
      </c>
      <c r="BM81" s="755" t="str" cm="1">
        <f t="array" aca="1" ref="BM81" ca="1">_xlfn.TEXTJOIN("",,INDEX({"M","A","Y"}, _xlfn.SORTBY({1,2,3}, -CHOOSE({1,2,3}, TabTRADER[[#This Row],[M]], TabTRADER[[#This Row],[A]], TabTRADER[[#This Row],[Agiotage]]))))</f>
        <v>AMY</v>
      </c>
      <c r="BN81" s="902"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6.2702641679837443</v>
      </c>
      <c r="BO81" s="679" t="e">
        <f ca="1">TabTRADER[[#This Row],[L_Sn]]*TabTRADER[[#This Row],[L_Sp]]+TabTRADER[[#This Row],[SellMore]]*TabTRADER[[#This Row],[M]]</f>
        <v>#N/A</v>
      </c>
      <c r="BP81" s="679" t="e">
        <f ca="1">INDEX(
  INDEX(TabConsolid[], , _xlfn.XMATCH(TabTRADER[[#This Row],[ClickTick]]&amp;1, TabConsolid[#Headers])),
  MATCH(
    -TabTRADER[[#This Row],[M]],
    INDEX(TabConsolid[], , _xlfn.XMATCH(TabTRADER[[#This Row],[ClickTick]]&amp;2, TabConsolid[#Headers])),
    -1
  )
)</f>
        <v>#N/A</v>
      </c>
      <c r="BQ81" s="679"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44" t="e">
        <f ca="1">TabTRADER[[#This Row],[ReBuy]]/(TabTRADER[[#This Row],[L_Sn]]+TabTRADER[[#This Row],[SellMore]])</f>
        <v>#N/A</v>
      </c>
      <c r="BS81" s="687" t="e">
        <f ca="1">((_xlfn.XLOOKUP(TabTRADER[[#This Row],[ClickTick]],TabCalc[Ticker],TabCalc[NAfter])+TabTRADER[[#This Row],[L_Sn]])*(TabTRADER[[#This Row],[Agiotage]]-TabTRADER[[#This Row],[M]]))/(TabTRADER[[#This Row],[L_Sn]]*_xlfn.XLOOKUP(TabTRADER[[#This Row],[ClickTick]],TabCalc[Ticker],TabCalc[NAfter]))</f>
        <v>#DIV/0!</v>
      </c>
      <c r="BT81" s="687">
        <f ca="1">(TabTRADER[[#This Row],[M]]-TabTRADER[[#This Row],[Agiotage]])/(TabTRADER[[#This Row],[M]]-TabTRADER[[#This Row],[A]])-1</f>
        <v>-1.0276184523703806</v>
      </c>
      <c r="BU81" s="1262">
        <f ca="1">_xlfn.XMATCH(TabTRADER[[#This Row],[ClickTick]]&amp;1, TabConsolid[#Headers])</f>
        <v>239</v>
      </c>
      <c r="BV81" t="str">
        <f ca="1">IF(ABS(TabTRADER[[#This Row],[L_Bp]])&gt;=TabTRADER[[#This Row],[M]],"OK")</f>
        <v>OK</v>
      </c>
    </row>
    <row r="82" spans="1:74" hidden="1"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+1,347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2,737</v>
      </c>
      <c r="F82" s="226" t="str">
        <f ca="1">TRUNC(TabCalc[[#This Row],[L_B1p]],2)&amp;"x"&amp;TabCalc[[#This Row],[L_B1n]]&amp;"=   "&amp;TEXT(TabCalc[[#This Row],[ReverseS1]],"#,#0")&amp;"$"</f>
        <v>-33.84x1200=   -2,424$</v>
      </c>
      <c r="G82" s="225" t="str">
        <f ca="1">IFERROR(TRUNC(_xlfn.XLOOKUP(TabTRADER[[#This Row],[ClickTick]],TabCalc[Ticker],ListLastSalep),2)&amp;"x"&amp;_xlfn.XLOOKUP(TabTRADER[[#This Row],[ClickTick]],TabCalc[Ticker],ListLastSalen)&amp;"=   "&amp;TEXT(-_xlfn.XLOOKUP(TabTRADER[[#This Row],[ClickTick]],TabCalc[Ticker],ListReverseB),"#,#0")&amp;"$","")</f>
        <v>33.64x1200=   -2,192$</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2,737</v>
      </c>
      <c r="I82" s="226" t="str">
        <f ca="1">IFERROR(TRUNC(TabCalc[[#This Row],[L_S1p]],2)&amp;"x"&amp;TabCalc[[#This Row],[L_S1n]]&amp;"=   "&amp;TEXT(TabCalc[[#This Row],[ReverseB1]],"#,#0"),"")</f>
        <v>28.54x2000=   -6,560</v>
      </c>
      <c r="J82" s="295">
        <f ca="1">_xlfn.XLOOKUP(TabTRADER[[#This Row],[ClickTick]],TabCalc[Ticker],ListGravity)</f>
        <v>1.0708258956631052</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0.20642376670487633</v>
      </c>
      <c r="N82" s="324" cm="1">
        <f t="array" aca="1" ref="N82" ca="1">_xlfn.XLOOKUP(TabTRADER[[#This Row],[ClickTick]],ListTickers,Tab2RSIConventional[RSIConv20])</f>
        <v>33</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3.6569872367040929E-2</v>
      </c>
      <c r="S82" s="683">
        <f ca="1">_xlfn.XLOOKUP(TabTRADER[[#This Row],[ClickTick]],TabCalc[Ticker],TabCalc[Rev(MinStock)])*(1-Commission)</f>
        <v>1343.6174880000024</v>
      </c>
      <c r="T82" s="782">
        <f ca="1">_xlfn.XLOOKUP(TabTRADER[[#This Row],[ClickTick]],TabCalc[Ticker],TabCalc[Agiotage])</f>
        <v>0.20642376670487633</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-636/-636=&gt;-0.4% / -0.4%</v>
      </c>
      <c r="V82" s="739" t="str">
        <f ca="1">_xlfn.XLOOKUP(TabTRADER[[#This Row],[ClickTick]],[1]!RTData[Ticker_Symbol],[1]!RTData[Currency])</f>
        <v>USD</v>
      </c>
      <c r="W82" s="749">
        <f ca="1">_xlfn.XLOOKUP(TabTRADER[[#This Row],[ClickTick]],TabCalc[Ticker],TabCalc[M])</f>
        <v>31.82</v>
      </c>
      <c r="X82" s="1315"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-4.3800000000000002E-3</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82" s="116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2" s="1165"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33.65</v>
      </c>
      <c r="AG82" s="1165"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2186.1312419999958</v>
      </c>
      <c r="AH82" s="1165" t="str" cm="1">
        <f t="array" aca="1" ref="AH82" ca="1">_xlfn.IFS(     TabTRADER[[#This Row],[Traps]]=MUp,MIN(TabTRADER[[#This Row],[L_Sn]],TabTRADER[[#This Row],[N]])*(TabTRADER[[#This Row],[M]]-TabTRADER[[#This Row],[L_Sp]])*(1-Commission)*TabTRADER[[#This Row],[Scale]],                                  TRUE,"M= "&amp;TabTRADER[[#This Row],[M]])</f>
        <v>M= 31.82</v>
      </c>
      <c r="AI82" s="1165" t="str" cm="1">
        <f t="array" aca="1" ref="AI82" ca="1">_xlfn.IFS(   TabTRADER[[#This Row],[Traps]]=MUp,TEXT(MIN(TabTRADER[[#This Row],[L_Sn]],TabTRADER[[#This Row],[N]]),"#,#0")&amp;" x "&amp;TEXT(TabTRADER[[#This Row],[L_Sp]],"#,#0.#0"),          TRUE,"")</f>
        <v/>
      </c>
      <c r="AJ82" s="1165"/>
      <c r="AK82" s="1165"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65"/>
      <c r="AM82" s="1165"/>
      <c r="AN82" s="760"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2186.1312419999958</v>
      </c>
      <c r="AO82" s="1174"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5.4285695179516959E-2</v>
      </c>
      <c r="AP82" s="1174"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2" s="825" t="str" cm="1">
        <f t="array" aca="1" ref="AQ82" ca="1">_xlfn.IFS(   TabTRADER[[#This Row],[Traps]]=SellMorePercentGain,                     MIN(TabTRADER[[#This Row],[L_Sn]],TabTRADER[[#This Row],[N]])*(TabTRADER[[#This Row],[M]]-TabTRADER[[#This Row],[L_Sp]])*(1-Commission)*TabTRADER[[#This Row],[Scale]],                    TRUE,"")</f>
        <v/>
      </c>
      <c r="AR82" s="1163">
        <f ca="1">_xlfn.XLOOKUP(TabTRADER[[#This Row],[ClickTick]],TabCalc[Ticker],TabCalc[Ann%RevLB])</f>
        <v>4.508614401416005E-2</v>
      </c>
      <c r="AS82" s="1267">
        <f ca="1">_xlfn.XLOOKUP(TabTRADER[[#This Row],[ClickTick]],TabCalc[Ticker],TabCalc[Up20])</f>
        <v>0</v>
      </c>
      <c r="AT82" s="1175"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2" s="825" t="str" cm="1">
        <f t="array" aca="1" ref="AU82" ca="1">_xlfn.IFS(         TabTRADER[[#This Row],[Traps]]=MDown,TabTRADER[[#This Row],[L_Bn]]*TabTRADER[[#This Row],[M]]*(-(TabTRADER[[#This Row],[L_Bp]]+TabTRADER[[#This Row],[M]])/TabTRADER[[#This Row],[M]])*(1-Commission)*TabTRADER[[#This Row],[Scale]],                               TRUE,"")</f>
        <v/>
      </c>
      <c r="AV82" s="1174" t="str" cm="1">
        <f t="array" aca="1" ref="AV82" ca="1">_xlfn.IFS(   TabTRADER[[#This Row],[Traps]]=MUp,TabTRADER[[#This Row],[TakeGain_A]]-Commission,        TabTRADER[[#This Row],[Traps]]=MDown,(TabTRADER[[#This Row],[A]]-TabTRADER[[#This Row],[M]])/TabTRADER[[#This Row],[M]]-Commission,                              TRUE,"")</f>
        <v/>
      </c>
      <c r="AW82" s="825"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1343.6174880000024</v>
      </c>
      <c r="AX82" s="760"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82" s="736"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2" s="765" cm="1">
        <f t="array" aca="1" ref="AZ82" ca="1">_xlfn.IFS(TabTRADER[[#This Row],[Traps]]=Sale_Back,"",         TabTRADER[[#This Row],[Traps]]=MDown, (TabTRADER[[#This Row],[M]]-TabTRADER[[#This Row],[A]])/TabTRADER[[#This Row],[A]]*ComFactor,             TRUE, IFERROR((TabTRADER[[#This Row],[M]]-TabTRADER[[#This Row],[A]])/TabTRADER[[#This Row],[A]]*ComFactor,""))</f>
        <v>3.6474790698886622E-2</v>
      </c>
      <c r="BA82" s="762" cm="1">
        <f t="array" aca="1" ref="BA82" ca="1">_xlfn.IFS(               TabTRADER[[#This Row],[Traps]]=NoStock,(TabTRADER[[#This Row],[L_Sp]]-TabTRADER[[#This Row],[M]])/TabTRADER[[#This Row],[M]]-Commission,             TabTRADER[[#This Row],[A]]&lt;&gt;0,(TabTRADER[[#This Row],[A]]-TabTRADER[[#This Row],[M]])/TabTRADER[[#This Row],[M]]-Commission)</f>
        <v>-3.7879698302954179E-2</v>
      </c>
      <c r="BB82" s="324">
        <f ca="1">_xlfn.XLOOKUP(TabTRADER[[#This Row],[ClickTick]],TabCalc[Ticker],TabCalc[L_Sn])</f>
        <v>1200</v>
      </c>
      <c r="BC82" s="728">
        <f ca="1">_xlfn.XLOOKUP(TabTRADER[[#This Row],[ClickTick]],TabCalc[Ticker],TabCalc[L_Sp])</f>
        <v>33.646524999999997</v>
      </c>
      <c r="BD82" s="764">
        <f ca="1">-IFERROR((TabTRADER[[#This Row],[M]]-TabTRADER[[#This Row],[L_Sp]])/TabTRADER[[#This Row],[L_Sp]],0)</f>
        <v>5.4285695179516959E-2</v>
      </c>
      <c r="BE82" s="729">
        <f ca="1">TabTRADER[[#This Row],[L_Sn]]*(TabTRADER[[#This Row],[M]]-TabTRADER[[#This Row],[L_Sp]])*(1-Commission)*TabTRADER[[#This Row],[Scale]]</f>
        <v>-2186.1312419999958</v>
      </c>
      <c r="BF82" s="692">
        <f ca="1">TabTRADER[[#This Row],[L_Sn]]*(TabTRADER[[#This Row],[Agiotage]]-TabTRADER[[#This Row],[M]])/(TabTRADER[[#This Row],[L_Bn]]*TabTRADER[[#This Row],[M]])</f>
        <v>-0.99351276660261223</v>
      </c>
      <c r="BG82" s="635">
        <f ca="1">IFERROR((TabTRADER[[#This Row],[M]]-TabTRADER[[#This Row],[A]])/TabTRADER[[#This Row],[A]],0)</f>
        <v>3.6569872367040929E-2</v>
      </c>
      <c r="BH82" s="638" t="str">
        <f ca="1">TEXT(_xlfn.XLOOKUP(TabTRADER[[#This Row],[ClickTick]],TabCalc[Ticker],TabCalc[NAfter]),"#,#0")&amp;" : "&amp;TEXT(_xlfn.XLOOKUP(TabTRADER[[#This Row],[ClickTick]],TabCalc[Ticker],TabCalc[NAfter])*(TabTRADER[[#This Row],[M]]-TabTRADER[[#This Row],[A]])*(1-Commission)*TabTRADER[[#This Row],[Scale]],"#,#0$")</f>
        <v>1,200 : 1,344$</v>
      </c>
      <c r="BI82" s="684">
        <f ca="1">_xlfn.XLOOKUP(TabTRADER[[#This Row],[ClickTick]],TabCalc[[#This Row],[Ticker]],TabCalc[[#This Row],[GL]])*(1-Commission)</f>
        <v>-19814.357945118001</v>
      </c>
      <c r="BJ82" s="684"/>
      <c r="BK82" s="669" t="str">
        <f ca="1">TabTRADER[[#This Row],[ClickTick]]&amp;": "&amp;_xlfn.XLOOKUP(TabTRADER[[#This Row],[ClickTick]],TabCalc[Ticker],TabCalc[Pile?])</f>
        <v xml:space="preserve">LUV: </v>
      </c>
      <c r="BL82" s="351" t="s">
        <v>2060</v>
      </c>
      <c r="BM82" s="755" t="str" cm="1">
        <f t="array" aca="1" ref="BM82" ca="1">_xlfn.TEXTJOIN("",,INDEX({"M","A","Y"}, _xlfn.SORTBY({1,2,3}, -CHOOSE({1,2,3}, TabTRADER[[#This Row],[M]], TabTRADER[[#This Row],[A]], TabTRADER[[#This Row],[Agiotage]]))))</f>
        <v>MAY</v>
      </c>
      <c r="BN82" s="902"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2" s="679">
        <f ca="1">TabTRADER[[#This Row],[L_Sn]]*TabTRADER[[#This Row],[L_Sp]]+TabTRADER[[#This Row],[SellMore]]*TabTRADER[[#This Row],[M]]</f>
        <v>78559.829999999987</v>
      </c>
      <c r="BP82" s="679">
        <f ca="1">INDEX(
  INDEX(TabConsolid[], , _xlfn.XMATCH(TabTRADER[[#This Row],[ClickTick]]&amp;1, TabConsolid[#Headers])),
  MATCH(
    -TabTRADER[[#This Row],[M]],
    INDEX(TabConsolid[], , _xlfn.XMATCH(TabTRADER[[#This Row],[ClickTick]]&amp;2, TabConsolid[#Headers])),
    -1
  )
)</f>
        <v>1200</v>
      </c>
      <c r="BQ82" s="679"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44">
        <f ca="1">TabTRADER[[#This Row],[ReBuy]]/(TabTRADER[[#This Row],[L_Sn]]+TabTRADER[[#This Row],[SellMore]])</f>
        <v>32.733262499999995</v>
      </c>
      <c r="BS82" s="687">
        <f ca="1">((_xlfn.XLOOKUP(TabTRADER[[#This Row],[ClickTick]],TabCalc[Ticker],TabCalc[NAfter])+TabTRADER[[#This Row],[L_Sn]])*(TabTRADER[[#This Row],[Agiotage]]-TabTRADER[[#This Row],[M]]))/(TabTRADER[[#This Row],[L_Sn]]*_xlfn.XLOOKUP(TabTRADER[[#This Row],[ClickTick]],TabCalc[Ticker],TabCalc[NAfter]))</f>
        <v>-5.2689293722158539E-2</v>
      </c>
      <c r="BT82" s="687">
        <f ca="1">(TabTRADER[[#This Row],[M]]-TabTRADER[[#This Row],[Agiotage]])/(TabTRADER[[#This Row],[M]]-TabTRADER[[#This Row],[A]])-1</f>
        <v>27.161033523334282</v>
      </c>
      <c r="BU82" s="1262">
        <f ca="1">_xlfn.XMATCH(TabTRADER[[#This Row],[ClickTick]]&amp;1, TabConsolid[#Headers])</f>
        <v>242</v>
      </c>
      <c r="BV82" t="b">
        <f ca="1">IF(ABS(TabTRADER[[#This Row],[L_Bp]])&gt;=TabTRADER[[#This Row],[M]],"OK")</f>
        <v>0</v>
      </c>
    </row>
    <row r="83" spans="1:74" hidden="1"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-3,981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-4,145$</v>
      </c>
      <c r="G83" s="225" t="str">
        <f ca="1">IFERROR(TRUNC(_xlfn.XLOOKUP(TabTRADER[[#This Row],[ClickTick]],TabCalc[Ticker],ListLastSalep),2)&amp;"x"&amp;_xlfn.XLOOKUP(TabTRADER[[#This Row],[ClickTick]],TabCalc[Ticker],ListLastSalen)&amp;"=   "&amp;TEXT(-_xlfn.XLOOKUP(TabTRADER[[#This Row],[ClickTick]],TabCalc[Ticker],ListReverseB),"#,#0")&amp;"$","")</f>
        <v>592.68x100=   -6,660$</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75</v>
      </c>
      <c r="I83" s="226" t="str">
        <f ca="1">IFERROR(TRUNC(TabCalc[[#This Row],[L_S1p]],2)&amp;"x"&amp;TabCalc[[#This Row],[L_S1n]]&amp;"=   "&amp;TEXT(TabCalc[[#This Row],[ReverseB1]],"#,#0"),"")</f>
        <v>546.67x100=   2,059</v>
      </c>
      <c r="J83" s="295">
        <f ca="1">_xlfn.XLOOKUP(TabTRADER[[#This Row],[ClickTick]],TabCalc[Ticker],ListGravity)</f>
        <v>1.2454428725532591</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0.37491543836259045</v>
      </c>
      <c r="N83" s="324" cm="1">
        <f t="array" aca="1" ref="N83" ca="1">_xlfn.XLOOKUP(TabTRADER[[#This Row],[ClickTick]],ListTickers,Tab2RSIConventional[RSIConv20])</f>
        <v>27</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-7.0344943363551224E-2</v>
      </c>
      <c r="S83" s="683">
        <f ca="1">_xlfn.XLOOKUP(TabTRADER[[#This Row],[ClickTick]],TabCalc[Ticker],TabCalc[Rev(MinStock)])*(1-Commission)</f>
        <v>-3970.4000500000002</v>
      </c>
      <c r="T83" s="782">
        <f ca="1">_xlfn.XLOOKUP(TabTRADER[[#This Row],[ClickTick]],TabCalc[Ticker],TabCalc[Agiotage])</f>
        <v>0.37491543836259045</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-443/-443=&gt;-0.3% / -0.3%</v>
      </c>
      <c r="V83" s="739" t="str">
        <f ca="1">_xlfn.XLOOKUP(TabTRADER[[#This Row],[ClickTick]],[1]!RTData[Ticker_Symbol],[1]!RTData[Currency])</f>
        <v>USD</v>
      </c>
      <c r="W83" s="749">
        <f ca="1">_xlfn.XLOOKUP(TabTRADER[[#This Row],[ClickTick]],TabCalc[Ticker],TabCalc[M])</f>
        <v>526.08249999999998</v>
      </c>
      <c r="X83" s="1315"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-2.8379999999999998E-3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^42/105 K$</v>
      </c>
      <c r="AE83" s="116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65"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526.0825, -11.2%</v>
      </c>
      <c r="AG83" s="1165"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65" t="str" cm="1">
        <f t="array" aca="1" ref="AH83" ca="1">_xlfn.IFS(     TabTRADER[[#This Row],[Traps]]=MUp,MIN(TabTRADER[[#This Row],[L_Sn]],TabTRADER[[#This Row],[N]])*(TabTRADER[[#This Row],[M]]-TabTRADER[[#This Row],[L_Sp]])*(1-Commission)*TabTRADER[[#This Row],[Scale]],                                  TRUE,"M= "&amp;TabTRADER[[#This Row],[M]])</f>
        <v>M= 526.0825</v>
      </c>
      <c r="AI83" s="1165" t="str" cm="1">
        <f t="array" aca="1" ref="AI83" ca="1">_xlfn.IFS(   TabTRADER[[#This Row],[Traps]]=MUp,TEXT(MIN(TabTRADER[[#This Row],[L_Sn]],TabTRADER[[#This Row],[N]]),"#,#0")&amp;" x "&amp;TEXT(TabTRADER[[#This Row],[L_Sp]],"#,#0.#0"),          TRUE,"")</f>
        <v/>
      </c>
      <c r="AJ83" s="1165"/>
      <c r="AK83" s="1165"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3970.4000500000002</v>
      </c>
      <c r="AL83" s="1165"/>
      <c r="AM83" s="1165"/>
      <c r="AN83" s="760"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105216.5</v>
      </c>
      <c r="AO83" s="1174"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5.4403702705131736E-2</v>
      </c>
      <c r="AP83" s="1174"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7.3067789747805714E-2</v>
      </c>
      <c r="AQ83" s="825" t="str" cm="1">
        <f t="array" aca="1" ref="AQ83" ca="1">_xlfn.IFS(   TabTRADER[[#This Row],[Traps]]=SellMorePercentGain,                     MIN(TabTRADER[[#This Row],[L_Sn]],TabTRADER[[#This Row],[N]])*(TabTRADER[[#This Row],[M]]-TabTRADER[[#This Row],[L_Sp]])*(1-Commission)*TabTRADER[[#This Row],[Scale]],                    TRUE,"")</f>
        <v/>
      </c>
      <c r="AR83" s="1163">
        <f ca="1">_xlfn.XLOOKUP(TabTRADER[[#This Row],[ClickTick]],TabCalc[Ticker],TabCalc[Ann%RevLB])</f>
        <v>-0.45221749305140074</v>
      </c>
      <c r="AS83" s="1267">
        <f ca="1">_xlfn.XLOOKUP(TabTRADER[[#This Row],[ClickTick]],TabCalc[Ticker],TabCalc[Up20])</f>
        <v>0</v>
      </c>
      <c r="AT83" s="1175"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7.5667789747805719E-2</v>
      </c>
      <c r="AU83" s="825" cm="1">
        <f t="array" aca="1" ref="AU83" ca="1">_xlfn.IFS(         TabTRADER[[#This Row],[Traps]]=MDown,TabTRADER[[#This Row],[L_Bn]]*TabTRADER[[#This Row],[M]]*(-(TabTRADER[[#This Row],[L_Bp]]+TabTRADER[[#This Row],[M]])/TabTRADER[[#This Row],[M]])*(1-Commission)*TabTRADER[[#This Row],[Scale]],                               TRUE,"")</f>
        <v>3970.4000500000002</v>
      </c>
      <c r="AV83" s="1174" cm="1">
        <f t="array" aca="1" ref="AV83" ca="1">_xlfn.IFS(   TabTRADER[[#This Row],[Traps]]=MUp,TabTRADER[[#This Row],[TakeGain_A]]-Commission,        TabTRADER[[#This Row],[Traps]]=MDown,(TabTRADER[[#This Row],[A]]-TabTRADER[[#This Row],[M]])/TabTRADER[[#This Row],[M]]-Commission,                              TRUE,"")</f>
        <v>5.4933751835501164E-2</v>
      </c>
      <c r="AW83" s="825"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6037.7609000000075</v>
      </c>
      <c r="AX83" s="760"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3" s="736"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-39.799999999999997</v>
      </c>
      <c r="AZ83" s="765" cm="1">
        <f t="array" aca="1" ref="AZ83" ca="1">_xlfn.IFS(TabTRADER[[#This Row],[Traps]]=Sale_Back,"",         TabTRADER[[#This Row],[Traps]]=MDown, (TabTRADER[[#This Row],[M]]-TabTRADER[[#This Row],[A]])/TabTRADER[[#This Row],[A]]*ComFactor,             TRUE, IFERROR((TabTRADER[[#This Row],[M]]-TabTRADER[[#This Row],[A]])/TabTRADER[[#This Row],[A]]*ComFactor,""))</f>
        <v>-5.4262253078098392E-2</v>
      </c>
      <c r="BA83" s="762" cm="1">
        <f t="array" aca="1" ref="BA83" ca="1">_xlfn.IFS(               TabTRADER[[#This Row],[Traps]]=NoStock,(TabTRADER[[#This Row],[L_Sp]]-TabTRADER[[#This Row],[M]])/TabTRADER[[#This Row],[M]]-Commission,             TabTRADER[[#This Row],[A]]&lt;&gt;0,(TabTRADER[[#This Row],[A]]-TabTRADER[[#This Row],[M]])/TabTRADER[[#This Row],[M]]-Commission)</f>
        <v>5.4933751835501164E-2</v>
      </c>
      <c r="BB83" s="324">
        <f ca="1">_xlfn.XLOOKUP(TabTRADER[[#This Row],[ClickTick]],TabCalc[Ticker],TabCalc[L_Sn])</f>
        <v>100</v>
      </c>
      <c r="BC83" s="728">
        <f ca="1">_xlfn.XLOOKUP(TabTRADER[[#This Row],[ClickTick]],TabCalc[Ticker],TabCalc[L_Sp])</f>
        <v>592.67999999999995</v>
      </c>
      <c r="BD83" s="764">
        <f ca="1">-IFERROR((TabTRADER[[#This Row],[M]]-TabTRADER[[#This Row],[L_Sp]])/TabTRADER[[#This Row],[L_Sp]],0)</f>
        <v>0.11236670716069376</v>
      </c>
      <c r="BE83" s="729">
        <f ca="1">TabTRADER[[#This Row],[L_Sn]]*(TabTRADER[[#This Row],[M]]-TabTRADER[[#This Row],[L_Sp]])*(1-Commission)*TabTRADER[[#This Row],[Scale]]</f>
        <v>-6642.4346499999965</v>
      </c>
      <c r="BF83" s="692">
        <f ca="1">TabTRADER[[#This Row],[L_Sn]]*(TabTRADER[[#This Row],[Agiotage]]-TabTRADER[[#This Row],[M]])/(TabTRADER[[#This Row],[L_Bn]]*TabTRADER[[#This Row],[M]])</f>
        <v>-0.99928734478268599</v>
      </c>
      <c r="BG83" s="635">
        <f ca="1">IFERROR((TabTRADER[[#This Row],[M]]-TabTRADER[[#This Row],[A]])/TabTRADER[[#This Row],[A]],0)</f>
        <v>-5.4403702705131736E-2</v>
      </c>
      <c r="BH83" s="638" t="str">
        <f ca="1">TEXT(_xlfn.XLOOKUP(TabTRADER[[#This Row],[ClickTick]],TabCalc[Ticker],TabCalc[NAfter]),"#,#0")&amp;" : "&amp;TEXT(_xlfn.XLOOKUP(TabTRADER[[#This Row],[ClickTick]],TabCalc[Ticker],TabCalc[NAfter])*(TabTRADER[[#This Row],[M]]-TabTRADER[[#This Row],[A]])*(1-Commission)*TabTRADER[[#This Row],[Scale]],"#,#0$")</f>
        <v>200 : -6,038$</v>
      </c>
      <c r="BI83" s="684">
        <f ca="1">_xlfn.XLOOKUP(TabTRADER[[#This Row],[ClickTick]],TabCalc[[#This Row],[Ticker]],TabCalc[[#This Row],[GL]])*(1-Commission)</f>
        <v>42020.267979169148</v>
      </c>
      <c r="BJ83" s="684"/>
      <c r="BK83" s="669" t="str">
        <f ca="1">TabTRADER[[#This Row],[ClickTick]]&amp;": "&amp;_xlfn.XLOOKUP(TabTRADER[[#This Row],[ClickTick]],TabCalc[Ticker],TabCalc[Pile?])</f>
        <v>MA: Pile</v>
      </c>
      <c r="BL83" s="351" t="s">
        <v>2061</v>
      </c>
      <c r="BM83" s="755" t="str" cm="1">
        <f t="array" aca="1" ref="BM83" ca="1">_xlfn.TEXTJOIN("",,INDEX({"M","A","Y"}, _xlfn.SORTBY({1,2,3}, -CHOOSE({1,2,3}, TabTRADER[[#This Row],[M]], TabTRADER[[#This Row],[A]], TabTRADER[[#This Row],[Agiotage]]))))</f>
        <v>AMY</v>
      </c>
      <c r="BN83" s="902"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7.5667789747805719E-2</v>
      </c>
      <c r="BO83" s="679" t="e">
        <f ca="1">TabTRADER[[#This Row],[L_Sn]]*TabTRADER[[#This Row],[L_Sp]]+TabTRADER[[#This Row],[SellMore]]*TabTRADER[[#This Row],[M]]</f>
        <v>#N/A</v>
      </c>
      <c r="BP83" s="679" t="e">
        <f ca="1">INDEX(
  INDEX(TabConsolid[], , _xlfn.XMATCH(TabTRADER[[#This Row],[ClickTick]]&amp;1, TabConsolid[#Headers])),
  MATCH(
    -TabTRADER[[#This Row],[M]],
    INDEX(TabConsolid[], , _xlfn.XMATCH(TabTRADER[[#This Row],[ClickTick]]&amp;2, TabConsolid[#Headers])),
    -1
  )
)</f>
        <v>#N/A</v>
      </c>
      <c r="BQ83" s="679"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44" t="e">
        <f ca="1">TabTRADER[[#This Row],[ReBuy]]/(TabTRADER[[#This Row],[L_Sn]]+TabTRADER[[#This Row],[SellMore]])</f>
        <v>#N/A</v>
      </c>
      <c r="BS83" s="687">
        <f ca="1">((_xlfn.XLOOKUP(TabTRADER[[#This Row],[ClickTick]],TabCalc[Ticker],TabCalc[NAfter])+TabTRADER[[#This Row],[L_Sn]])*(TabTRADER[[#This Row],[Agiotage]]-TabTRADER[[#This Row],[M]]))/(TabTRADER[[#This Row],[L_Sn]]*_xlfn.XLOOKUP(TabTRADER[[#This Row],[ClickTick]],TabCalc[Ticker],TabCalc[NAfter]))</f>
        <v>-7.8856137684245606</v>
      </c>
      <c r="BT83" s="687">
        <f ca="1">(TabTRADER[[#This Row],[M]]-TabTRADER[[#This Row],[Agiotage]])/(TabTRADER[[#This Row],[M]]-TabTRADER[[#This Row],[A]])-1</f>
        <v>-18.368715108999314</v>
      </c>
      <c r="BU83" s="1262">
        <f ca="1">_xlfn.XMATCH(TabTRADER[[#This Row],[ClickTick]]&amp;1, TabConsolid[#Headers])</f>
        <v>245</v>
      </c>
      <c r="BV83" t="str">
        <f ca="1">IF(ABS(TabTRADER[[#This Row],[L_Bp]])&gt;=TabTRADER[[#This Row],[M]],"OK")</f>
        <v>OK</v>
      </c>
    </row>
    <row r="84" spans="1:74"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+7,033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-15,092$</v>
      </c>
      <c r="G84" s="225" t="str">
        <f ca="1">IFERROR(TRUNC(_xlfn.XLOOKUP(TabTRADER[[#This Row],[ClickTick]],TabCalc[Ticker],ListLastSalep),2)&amp;"x"&amp;_xlfn.XLOOKUP(TabTRADER[[#This Row],[ClickTick]],TabCalc[Ticker],ListLastSalen)&amp;"=   "&amp;TEXT(-_xlfn.XLOOKUP(TabTRADER[[#This Row],[ClickTick]],TabCalc[Ticker],ListReverseB),"#,#0")&amp;"$","")</f>
        <v>20.85x1000=   -14,455$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226.0% = 346</v>
      </c>
      <c r="I84" s="226" t="str">
        <f ca="1">IFERROR(TRUNC(TabCalc[[#This Row],[L_S1p]],2)&amp;"x"&amp;TabCalc[[#This Row],[L_S1n]]&amp;"=   "&amp;TEXT(TabCalc[[#This Row],[ReverseB1]],"#,#0"),"")</f>
        <v>14.95x2700=   23,099</v>
      </c>
      <c r="J84" s="295">
        <f ca="1">_xlfn.XLOOKUP(TabTRADER[[#This Row],[ClickTick]],TabCalc[Ticker],ListGravity)</f>
        <v>1.9722439405785772</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11511</v>
      </c>
      <c r="M84" s="323">
        <f ca="1">_xlfn.XLOOKUP(TabTRADER[[#This Row],[ClickTick]],TabCalc[Ticker],TabCalc[Agiotage])</f>
        <v>0.72210564714953263</v>
      </c>
      <c r="N84" s="324" cm="1">
        <f t="array" aca="1" ref="N84" ca="1">_xlfn.XLOOKUP(TabTRADER[[#This Row],[ClickTick]],ListTickers,Tab2RSIConventional[RSIConv20])</f>
        <v>26</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6393.9999999999991</v>
      </c>
      <c r="S84" s="683">
        <f ca="1">_xlfn.XLOOKUP(TabTRADER[[#This Row],[ClickTick]],TabCalc[Ticker],TabCalc[Rev(MinStock)])*(1-Commission)</f>
        <v>7015.1131599999981</v>
      </c>
      <c r="T84" s="782">
        <f ca="1">_xlfn.XLOOKUP(TabTRADER[[#This Row],[ClickTick]],TabCalc[Ticker],TabCalc[Agiotage])</f>
        <v>0.72210564714953263</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-968/-968=&gt;-2.7% / -2.7%</v>
      </c>
      <c r="V84" s="739" t="str">
        <f ca="1">_xlfn.XLOOKUP(TabTRADER[[#This Row],[ClickTick]],[1]!RTData[Ticker_Symbol],[1]!RTData[Currency])</f>
        <v>USD</v>
      </c>
      <c r="W84" s="749">
        <f ca="1">_xlfn.XLOOKUP(TabTRADER[[#This Row],[ClickTick]],TabCalc[Ticker],TabCalc[M])</f>
        <v>6.3949999999999996</v>
      </c>
      <c r="X84" s="1315"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9.7487999999999992</v>
      </c>
      <c r="AB84" s="817" cm="1">
        <f t="array" aca="1" ref="AB84" ca="1">_xlfn.XLOOKUP(TabTRADER[[#This Row],[ClickTick]],ListTickers,Tab1ChangePercent[Change%19])</f>
        <v>-2.6636000000000003E-2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-55/29 K$</v>
      </c>
      <c r="AE84" s="1182"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65"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 x 0.0</v>
      </c>
      <c r="AG84" s="1165"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7015.1131599999981</v>
      </c>
      <c r="AH84" s="1165" t="str" cm="1">
        <f t="array" aca="1" ref="AH84" ca="1">_xlfn.IFS(     TabTRADER[[#This Row],[Traps]]=MUp,MIN(TabTRADER[[#This Row],[L_Sn]],TabTRADER[[#This Row],[N]])*(TabTRADER[[#This Row],[M]]-TabTRADER[[#This Row],[L_Sp]])*(1-Commission)*TabTRADER[[#This Row],[Scale]],                                  TRUE,"M= "&amp;TabTRADER[[#This Row],[M]])</f>
        <v>M= 6.395</v>
      </c>
      <c r="AI84" s="1165" t="str" cm="1">
        <f t="array" aca="1" ref="AI84" ca="1">_xlfn.IFS(   TabTRADER[[#This Row],[Traps]]=MUp,TEXT(MIN(TabTRADER[[#This Row],[L_Sn]],TabTRADER[[#This Row],[N]]),"#,#0")&amp;" x "&amp;TEXT(TabTRADER[[#This Row],[L_Sp]],"#,#0.#0"),          TRUE,"")</f>
        <v/>
      </c>
      <c r="AJ84" s="1165"/>
      <c r="AK84" s="1165" t="str"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4" s="1165"/>
      <c r="AM84" s="1165"/>
      <c r="AN84" s="760"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7015.1131599999981</v>
      </c>
      <c r="AO84" s="1174"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6393.9999999999991</v>
      </c>
      <c r="AP84" s="1174" t="str"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4" s="825" t="str" cm="1">
        <f t="array" aca="1" ref="AQ84" ca="1">_xlfn.IFS(   TabTRADER[[#This Row],[Traps]]=SellMorePercentGain,                     MIN(TabTRADER[[#This Row],[L_Sn]],TabTRADER[[#This Row],[N]])*(TabTRADER[[#This Row],[M]]-TabTRADER[[#This Row],[L_Sp]])*(1-Commission)*TabTRADER[[#This Row],[Scale]],                    TRUE,"")</f>
        <v/>
      </c>
      <c r="AR84" s="1163">
        <f ca="1">_xlfn.XLOOKUP(TabTRADER[[#This Row],[ClickTick]],TabCalc[Ticker],TabCalc[Ann%RevLB])</f>
        <v>24229.894736842103</v>
      </c>
      <c r="AS84" s="1267">
        <f ca="1">_xlfn.XLOOKUP(TabTRADER[[#This Row],[ClickTick]],TabCalc[Ticker],TabCalc[Up20])</f>
        <v>0</v>
      </c>
      <c r="AT84" s="1175" t="str"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4" s="825" t="str" cm="1">
        <f t="array" aca="1" ref="AU84" ca="1">_xlfn.IFS(         TabTRADER[[#This Row],[Traps]]=MDown,TabTRADER[[#This Row],[L_Bn]]*TabTRADER[[#This Row],[M]]*(-(TabTRADER[[#This Row],[L_Bp]]+TabTRADER[[#This Row],[M]])/TabTRADER[[#This Row],[M]])*(1-Commission)*TabTRADER[[#This Row],[Scale]],                               TRUE,"")</f>
        <v/>
      </c>
      <c r="AV84" s="1174" t="str" cm="1">
        <f t="array" aca="1" ref="AV84" ca="1">_xlfn.IFS(   TabTRADER[[#This Row],[Traps]]=MUp,TabTRADER[[#This Row],[TakeGain_A]]-Commission,        TabTRADER[[#This Row],[Traps]]=MDown,(TabTRADER[[#This Row],[A]]-TabTRADER[[#This Row],[M]])/TabTRADER[[#This Row],[M]]-Commission,                              TRUE,"")</f>
        <v/>
      </c>
      <c r="AW84" s="825"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-9874.3479354689789</v>
      </c>
      <c r="AX84" s="760"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84" s="736" t="str"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4" s="765" t="str" cm="1">
        <f t="array" aca="1" ref="AZ84" ca="1">_xlfn.IFS(TabTRADER[[#This Row],[Traps]]=Sale_Back,"",         TabTRADER[[#This Row],[Traps]]=MDown, (TabTRADER[[#This Row],[M]]-TabTRADER[[#This Row],[A]])/TabTRADER[[#This Row],[A]]*ComFactor,             TRUE, IFERROR((TabTRADER[[#This Row],[M]]-TabTRADER[[#This Row],[A]])/TabTRADER[[#This Row],[A]]*ComFactor,""))</f>
        <v/>
      </c>
      <c r="BA84" s="762" cm="1">
        <f t="array" aca="1" ref="BA84" ca="1">_xlfn.IFS(               TabTRADER[[#This Row],[Traps]]=NoStock,(TabTRADER[[#This Row],[L_Sp]]-TabTRADER[[#This Row],[M]])/TabTRADER[[#This Row],[M]]-Commission,             TabTRADER[[#This Row],[A]]&lt;&gt;0,(TabTRADER[[#This Row],[A]]-TabTRADER[[#This Row],[M]])/TabTRADER[[#This Row],[M]]-Commission)</f>
        <v>0.52184096950742764</v>
      </c>
      <c r="BB84" s="324">
        <f ca="1">_xlfn.XLOOKUP(TabTRADER[[#This Row],[ClickTick]],TabCalc[Ticker],TabCalc[L_Sn])</f>
        <v>1000</v>
      </c>
      <c r="BC84" s="728">
        <f ca="1">_xlfn.XLOOKUP(TabTRADER[[#This Row],[ClickTick]],TabCalc[Ticker],TabCalc[L_Sp])</f>
        <v>20.85</v>
      </c>
      <c r="BD84" s="764">
        <f ca="1">-IFERROR((TabTRADER[[#This Row],[M]]-TabTRADER[[#This Row],[L_Sp]])/TabTRADER[[#This Row],[L_Sp]],0)</f>
        <v>0.69328537170263793</v>
      </c>
      <c r="BE84" s="729">
        <f ca="1">TabTRADER[[#This Row],[L_Sn]]*(TabTRADER[[#This Row],[M]]-TabTRADER[[#This Row],[L_Sp]])*(1-Commission)*TabTRADER[[#This Row],[Scale]]</f>
        <v>-14417.417000000001</v>
      </c>
      <c r="BF84" s="692">
        <f ca="1">TabTRADER[[#This Row],[L_Sn]]*(TabTRADER[[#This Row],[Agiotage]]-TabTRADER[[#This Row],[M]])/(TabTRADER[[#This Row],[L_Bn]]*TabTRADER[[#This Row],[M]])</f>
        <v>-0.80643888731970537</v>
      </c>
      <c r="BG84" s="635">
        <f ca="1">IFERROR((TabTRADER[[#This Row],[M]]-TabTRADER[[#This Row],[A]])/TabTRADER[[#This Row],[A]],0)</f>
        <v>-0.34402182832758904</v>
      </c>
      <c r="BH84" s="638" t="str">
        <f ca="1">TEXT(_xlfn.XLOOKUP(TabTRADER[[#This Row],[ClickTick]],TabCalc[Ticker],TabCalc[NAfter]),"#,#0")&amp;" : "&amp;TEXT(_xlfn.XLOOKUP(TabTRADER[[#This Row],[ClickTick]],TabCalc[Ticker],TabCalc[NAfter])*(TabTRADER[[#This Row],[M]]-TabTRADER[[#This Row],[A]])*(1-Commission)*TabTRADER[[#This Row],[Scale]],"#,#0$")</f>
        <v>4,500 : -15,053$</v>
      </c>
      <c r="BI84" s="684">
        <f ca="1">_xlfn.XLOOKUP(TabTRADER[[#This Row],[ClickTick]],TabCalc[[#This Row],[Ticker]],TabCalc[[#This Row],[GL]])*(1-Commission)</f>
        <v>-54725.084993087978</v>
      </c>
      <c r="BJ84" s="684"/>
      <c r="BK84" s="669" t="str">
        <f ca="1">TabTRADER[[#This Row],[ClickTick]]&amp;": "&amp;_xlfn.XLOOKUP(TabTRADER[[#This Row],[ClickTick]],TabCalc[Ticker],TabCalc[Pile?])</f>
        <v xml:space="preserve">NVAX: </v>
      </c>
      <c r="BL84" s="351" t="s">
        <v>2062</v>
      </c>
      <c r="BM84" s="755" t="str" cm="1">
        <f t="array" aca="1" ref="BM84" ca="1">_xlfn.TEXTJOIN("",,INDEX({"M","A","Y"}, _xlfn.SORTBY({1,2,3}, -CHOOSE({1,2,3}, TabTRADER[[#This Row],[M]], TabTRADER[[#This Row],[A]], TabTRADER[[#This Row],[Agiotage]]))))</f>
        <v>AMY</v>
      </c>
      <c r="BN84" s="902" t="str"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4" s="679" t="e">
        <f ca="1">TabTRADER[[#This Row],[L_Sn]]*TabTRADER[[#This Row],[L_Sp]]+TabTRADER[[#This Row],[SellMore]]*TabTRADER[[#This Row],[M]]</f>
        <v>#N/A</v>
      </c>
      <c r="BP84" s="679" t="e">
        <f ca="1">INDEX(
  INDEX(TabConsolid[], , _xlfn.XMATCH(TabTRADER[[#This Row],[ClickTick]]&amp;1, TabConsolid[#Headers])),
  MATCH(
    -TabTRADER[[#This Row],[M]],
    INDEX(TabConsolid[], , _xlfn.XMATCH(TabTRADER[[#This Row],[ClickTick]]&amp;2, TabConsolid[#Headers])),
    -1
  )
)</f>
        <v>#N/A</v>
      </c>
      <c r="BQ84" s="679"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44" t="e">
        <f ca="1">TabTRADER[[#This Row],[ReBuy]]/(TabTRADER[[#This Row],[L_Sn]]+TabTRADER[[#This Row],[SellMore]])</f>
        <v>#N/A</v>
      </c>
      <c r="BS84" s="687">
        <f ca="1">((_xlfn.XLOOKUP(TabTRADER[[#This Row],[ClickTick]],TabCalc[Ticker],TabCalc[NAfter])+TabTRADER[[#This Row],[L_Sn]])*(TabTRADER[[#This Row],[Agiotage]]-TabTRADER[[#This Row],[M]]))/(TabTRADER[[#This Row],[L_Sn]]*_xlfn.XLOOKUP(TabTRADER[[#This Row],[ClickTick]],TabCalc[Ticker],TabCalc[NAfter]))</f>
        <v>-6.9335375423727925E-3</v>
      </c>
      <c r="BT84" s="687">
        <f ca="1">(TabTRADER[[#This Row],[M]]-TabTRADER[[#This Row],[Agiotage]])/(TabTRADER[[#This Row],[M]]-TabTRADER[[#This Row],[A]])-1</f>
        <v>-2.6914826026747174</v>
      </c>
      <c r="BU84" s="1262">
        <f ca="1">_xlfn.XMATCH(TabTRADER[[#This Row],[ClickTick]]&amp;1, TabConsolid[#Headers])</f>
        <v>248</v>
      </c>
      <c r="BV84" t="b">
        <f ca="1">IF(ABS(TabTRADER[[#This Row],[L_Bp]])&gt;=TabTRADER[[#This Row],[M]],"OK")</f>
        <v>0</v>
      </c>
    </row>
    <row r="85" spans="1:74" hidden="1"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9,532$</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85" s="226" t="str">
        <f ca="1">IFERROR(TRUNC(TabCalc[[#This Row],[L_S1p]],2)&amp;"x"&amp;TabCalc[[#This Row],[L_S1n]]&amp;"=   "&amp;TEXT(TabCalc[[#This Row],[ReverseB1]],"#,#0"),"")</f>
        <v>99.4x1000=   -27,440</v>
      </c>
      <c r="J85" s="295">
        <f ca="1">_xlfn.XLOOKUP(TabTRADER[[#This Row],[ClickTick]],TabCalc[Ticker],ListGravity)</f>
        <v>1.0048407442447176</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0.44179256424314578</v>
      </c>
      <c r="N85" s="324" cm="1">
        <f t="array" aca="1" ref="N85" ca="1">_xlfn.XLOOKUP(TabTRADER[[#This Row],[ClickTick]],ListTickers,Tab2RSIConventional[RSIConv20])</f>
        <v>21</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0.29381043698233306</v>
      </c>
      <c r="S85" s="683">
        <f ca="1">_xlfn.XLOOKUP(TabTRADER[[#This Row],[ClickTick]],TabCalc[Ticker],TabCalc[Rev(MinStock)])*(1-Commission)</f>
        <v>0</v>
      </c>
      <c r="T85" s="782">
        <f ca="1">_xlfn.XLOOKUP(TabTRADER[[#This Row],[ClickTick]],TabCalc[Ticker],TabCalc[Agiotage])</f>
        <v>0.44179256424314578</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85" s="739" t="str">
        <f ca="1">_xlfn.XLOOKUP(TabTRADER[[#This Row],[ClickTick]],[1]!RTData[Ticker_Symbol],[1]!RTData[Currency])</f>
        <v>USD</v>
      </c>
      <c r="W85" s="749">
        <f ca="1">_xlfn.XLOOKUP(TabTRADER[[#This Row],[ClickTick]],TabCalc[Ticker],TabCalc[M])</f>
        <v>126.84</v>
      </c>
      <c r="X85" s="1315"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-9.1400000000000006E-3</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82"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65"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126.84, 23.1%</v>
      </c>
      <c r="AG85" s="1165"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65" t="str" cm="1">
        <f t="array" aca="1" ref="AH85" ca="1">_xlfn.IFS(     TabTRADER[[#This Row],[Traps]]=MUp,MIN(TabTRADER[[#This Row],[L_Sn]],TabTRADER[[#This Row],[N]])*(TabTRADER[[#This Row],[M]]-TabTRADER[[#This Row],[L_Sp]])*(1-Commission)*TabTRADER[[#This Row],[Scale]],                                  TRUE,"M= "&amp;TabTRADER[[#This Row],[M]])</f>
        <v>M= 126.84</v>
      </c>
      <c r="AI85" s="1165" t="str" cm="1">
        <f t="array" aca="1" ref="AI85" ca="1">_xlfn.IFS(   TabTRADER[[#This Row],[Traps]]=MUp,TEXT(MIN(TabTRADER[[#This Row],[L_Sn]],TabTRADER[[#This Row],[N]]),"#,#0")&amp;" x "&amp;TEXT(TabTRADER[[#This Row],[L_Sp]],"#,#0.#0"),          TRUE,"")</f>
        <v/>
      </c>
      <c r="AJ85" s="1165"/>
      <c r="AK85" s="1165"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65"/>
      <c r="AM85" s="1165"/>
      <c r="AN85" s="760"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74"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74"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TabTRADER[[#This Row],[Traps]]=SellMorePercentGain,                     MIN(TabTRADER[[#This Row],[L_Sn]],TabTRADER[[#This Row],[N]])*(TabTRADER[[#This Row],[M]]-TabTRADER[[#This Row],[L_Sp]])*(1-Commission)*TabTRADER[[#This Row],[Scale]],                    TRUE,"")</f>
        <v/>
      </c>
      <c r="AR85" s="1180">
        <f ca="1">_xlfn.XLOOKUP(TabTRADER[[#This Row],[ClickTick]],TabCalc[Ticker],TabCalc[Ann%RevLB])</f>
        <v>0.33366484956984194</v>
      </c>
      <c r="AS85" s="1266">
        <f ca="1">_xlfn.XLOOKUP(TabTRADER[[#This Row],[ClickTick]],TabCalc[Ticker],TabCalc[Up20])</f>
        <v>0</v>
      </c>
      <c r="AT85" s="1175"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5" t="str" cm="1">
        <f t="array" aca="1" ref="AU85" ca="1">_xlfn.IFS(         TabTRADER[[#This Row],[Traps]]=MDown,TabTRADER[[#This Row],[L_Bn]]*TabTRADER[[#This Row],[M]]*(-(TabTRADER[[#This Row],[L_Bp]]+TabTRADER[[#This Row],[M]])/TabTRADER[[#This Row],[M]])*(1-Commission)*TabTRADER[[#This Row],[Scale]],                               TRUE,"")</f>
        <v/>
      </c>
      <c r="AV85" s="1174" t="str" cm="1">
        <f t="array" aca="1" ref="AV85" ca="1">_xlfn.IFS(   TabTRADER[[#This Row],[Traps]]=MUp,TabTRADER[[#This Row],[TakeGain_A]]-Commission,        TabTRADER[[#This Row],[Traps]]=MDown,(TabTRADER[[#This Row],[A]]-TabTRADER[[#This Row],[M]])/TabTRADER[[#This Row],[M]]-Commission,                              TRUE,"")</f>
        <v/>
      </c>
      <c r="AW85" s="760"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60"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85" s="736"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0x126.84</v>
      </c>
      <c r="AZ85" s="765" t="str" cm="1">
        <f t="array" aca="1" ref="AZ85" ca="1">_xlfn.IFS(TabTRADER[[#This Row],[Traps]]=Sale_Back,"",         TabTRADER[[#This Row],[Traps]]=MDown, (TabTRADER[[#This Row],[M]]-TabTRADER[[#This Row],[A]])/TabTRADER[[#This Row],[A]]*ComFactor,             TRUE, IFERROR((TabTRADER[[#This Row],[M]]-TabTRADER[[#This Row],[A]])/TabTRADER[[#This Row],[A]]*ComFactor,""))</f>
        <v/>
      </c>
      <c r="BA85" s="762" cm="1">
        <f t="array" aca="1" ref="BA85" ca="1">_xlfn.IFS(               TabTRADER[[#This Row],[Traps]]=NoStock,(TabTRADER[[#This Row],[L_Sp]]-TabTRADER[[#This Row],[M]])/TabTRADER[[#This Row],[M]]-Commission,             TabTRADER[[#This Row],[A]]&lt;&gt;0,(TabTRADER[[#This Row],[A]]-TabTRADER[[#This Row],[M]])/TabTRADER[[#This Row],[M]]-Commission)</f>
        <v>-0.19047054556922113</v>
      </c>
      <c r="BB85" s="324">
        <f ca="1">_xlfn.XLOOKUP(TabTRADER[[#This Row],[ClickTick]],TabCalc[Ticker],TabCalc[L_Sn])</f>
        <v>400</v>
      </c>
      <c r="BC85" s="728">
        <f ca="1">_xlfn.XLOOKUP(TabTRADER[[#This Row],[ClickTick]],TabCalc[Ticker],TabCalc[L_Sp])</f>
        <v>103.01049999999999</v>
      </c>
      <c r="BD85" s="764">
        <f ca="1">-IFERROR((TabTRADER[[#This Row],[M]]-TabTRADER[[#This Row],[L_Sp]])/TabTRADER[[#This Row],[L_Sp]],0)</f>
        <v>-0.23133078666737869</v>
      </c>
      <c r="BE85" s="729">
        <f ca="1">TabTRADER[[#This Row],[L_Sn]]*(TabTRADER[[#This Row],[M]]-TabTRADER[[#This Row],[L_Sp]])*(1-Commission)*TabTRADER[[#This Row],[Scale]]</f>
        <v>9507.0173200000045</v>
      </c>
      <c r="BF85" s="692">
        <f ca="1">TabTRADER[[#This Row],[L_Sn]]*(TabTRADER[[#This Row],[Agiotage]]-TabTRADER[[#This Row],[M]])/(TabTRADER[[#This Row],[L_Bn]]*TabTRADER[[#This Row],[M]])</f>
        <v>-0.39860677210897782</v>
      </c>
      <c r="BG85" s="635">
        <f ca="1">IFERROR((TabTRADER[[#This Row],[M]]-TabTRADER[[#This Row],[A]])/TabTRADER[[#This Row],[A]],0)</f>
        <v>0</v>
      </c>
      <c r="BH85" s="638" t="str">
        <f ca="1">TEXT(_xlfn.XLOOKUP(TabTRADER[[#This Row],[ClickTick]],TabCalc[Ticker],TabCalc[NAfter]),"#,#0")&amp;" : "&amp;TEXT(_xlfn.XLOOKUP(TabTRADER[[#This Row],[ClickTick]],TabCalc[Ticker],TabCalc[NAfter])*(TabTRADER[[#This Row],[M]]-TabTRADER[[#This Row],[A]])*(1-Commission)*TabTRADER[[#This Row],[Scale]],"#,#0$")</f>
        <v>0 : 0$</v>
      </c>
      <c r="BI85" s="684">
        <f ca="1">_xlfn.XLOOKUP(TabTRADER[[#This Row],[ClickTick]],TabCalc[[#This Row],[Ticker]],TabCalc[[#This Row],[GL]])*(1-Commission)</f>
        <v>13562.702215513225</v>
      </c>
      <c r="BJ85" s="684"/>
      <c r="BK85" s="669" t="str">
        <f ca="1">TabTRADER[[#This Row],[ClickTick]]&amp;": "&amp;_xlfn.XLOOKUP(TabTRADER[[#This Row],[ClickTick]],TabCalc[Ticker],TabCalc[Pile?])</f>
        <v xml:space="preserve">NVS: </v>
      </c>
      <c r="BL85" s="351" t="s">
        <v>2063</v>
      </c>
      <c r="BM85" s="755" t="str" cm="1">
        <f t="array" aca="1" ref="BM85" ca="1">_xlfn.TEXTJOIN("",,INDEX({"M","A","Y"}, _xlfn.SORTBY({1,2,3}, -CHOOSE({1,2,3}, TabTRADER[[#This Row],[M]], TabTRADER[[#This Row],[A]], TabTRADER[[#This Row],[Agiotage]]))))</f>
        <v>MYA</v>
      </c>
      <c r="BN85" s="902"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9" t="e">
        <f ca="1">TabTRADER[[#This Row],[L_Sn]]*TabTRADER[[#This Row],[L_Sp]]+TabTRADER[[#This Row],[SellMore]]*TabTRADER[[#This Row],[M]]</f>
        <v>#N/A</v>
      </c>
      <c r="BP85" s="679" t="e">
        <f ca="1">INDEX(
  INDEX(TabConsolid[], , _xlfn.XMATCH(TabTRADER[[#This Row],[ClickTick]]&amp;1, TabConsolid[#Headers])),
  MATCH(
    -TabTRADER[[#This Row],[M]],
    INDEX(TabConsolid[], , _xlfn.XMATCH(TabTRADER[[#This Row],[ClickTick]]&amp;2, TabConsolid[#Headers])),
    -1
  )
)</f>
        <v>#N/A</v>
      </c>
      <c r="BQ85" s="679"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44" t="e">
        <f ca="1">TabTRADER[[#This Row],[ReBuy]]/(TabTRADER[[#This Row],[L_Sn]]+TabTRADER[[#This Row],[SellMore]])</f>
        <v>#N/A</v>
      </c>
      <c r="BS85" s="687" t="e">
        <f ca="1">((_xlfn.XLOOKUP(TabTRADER[[#This Row],[ClickTick]],TabCalc[Ticker],TabCalc[NAfter])+TabTRADER[[#This Row],[L_Sn]])*(TabTRADER[[#This Row],[Agiotage]]-TabTRADER[[#This Row],[M]]))/(TabTRADER[[#This Row],[L_Sn]]*_xlfn.XLOOKUP(TabTRADER[[#This Row],[ClickTick]],TabCalc[Ticker],TabCalc[NAfter]))</f>
        <v>#DIV/0!</v>
      </c>
      <c r="BT85" s="687">
        <f ca="1">(TabTRADER[[#This Row],[M]]-TabTRADER[[#This Row],[Agiotage]])/(TabTRADER[[#This Row],[M]]-TabTRADER[[#This Row],[A]])-1</f>
        <v>-3.4830697275555211E-3</v>
      </c>
      <c r="BU85" s="1262">
        <f ca="1">_xlfn.XMATCH(TabTRADER[[#This Row],[ClickTick]]&amp;1, TabConsolid[#Headers])</f>
        <v>251</v>
      </c>
      <c r="BV85" t="b">
        <f ca="1">IF(ABS(TabTRADER[[#This Row],[L_Bp]])&gt;=TabTRADER[[#This Row],[M]],"OK")</f>
        <v>0</v>
      </c>
    </row>
    <row r="86" spans="1:74"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0.3%</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4,800$</v>
      </c>
      <c r="G86" s="225" t="str">
        <f ca="1">IFERROR(TRUNC(_xlfn.XLOOKUP(TabTRADER[[#This Row],[ClickTick]],TabCalc[Ticker],ListLastSalep),2)&amp;"x"&amp;_xlfn.XLOOKUP(TabTRADER[[#This Row],[ClickTick]],TabCalc[Ticker],ListLastSalen)&amp;"=   "&amp;TEXT(-_xlfn.XLOOKUP(TabTRADER[[#This Row],[ClickTick]],TabCalc[Ticker],ListReverseB),"#,#0")&amp;"$","")</f>
        <v>12.03x2000=   3,500$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12.7% = 0</v>
      </c>
      <c r="I86" s="226" t="str">
        <f ca="1">IFERROR(TRUNC(TabCalc[[#This Row],[L_S1p]],2)&amp;"x"&amp;TabCalc[[#This Row],[L_S1n]]&amp;"=   "&amp;TEXT(TabCalc[[#This Row],[ReverseB1]],"#,#0"),"")</f>
        <v>11.84x2000=   -3,870</v>
      </c>
      <c r="J86" s="295">
        <f ca="1">_xlfn.XLOOKUP(TabTRADER[[#This Row],[ClickTick]],TabCalc[Ticker],ListGravity)</f>
        <v>1.1119172714078376</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1.2898279166741773</v>
      </c>
      <c r="N86" s="324" cm="1">
        <f t="array" aca="1" ref="N86" ca="1">_xlfn.XLOOKUP(TabTRADER[[#This Row],[ClickTick]],ListTickers,Tab2RSIConventional[RSIConv20])</f>
        <v>34</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2.5463805020007379E-3</v>
      </c>
      <c r="S86" s="683">
        <f ca="1">_xlfn.XLOOKUP(TabTRADER[[#This Row],[ClickTick]],TabCalc[Ticker],TabCalc[Rev(MinStock)])*(1-Commission)</f>
        <v>41.890800000000169</v>
      </c>
      <c r="T86" s="782">
        <f ca="1">_xlfn.XLOOKUP(TabTRADER[[#This Row],[ClickTick]],TabCalc[Ticker],TabCalc[Agiotage])</f>
        <v>1.2898279166741773</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-258/-258=&gt;-1.3% / -1.3%</v>
      </c>
      <c r="V86" s="739" t="str">
        <f ca="1">_xlfn.XLOOKUP(TabTRADER[[#This Row],[ClickTick]],[1]!RTData[Ticker_Symbol],[1]!RTData[Currency])</f>
        <v>EUR</v>
      </c>
      <c r="W86" s="749">
        <f ca="1">_xlfn.XLOOKUP(TabTRADER[[#This Row],[ClickTick]],TabCalc[Ticker],TabCalc[M])</f>
        <v>13.78</v>
      </c>
      <c r="X86" s="1315"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-1.2894000000000001E-2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82"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65"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65"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41.890800000000169</v>
      </c>
      <c r="AH86" s="1165" t="str" cm="1">
        <f t="array" aca="1" ref="AH86" ca="1">_xlfn.IFS(     TabTRADER[[#This Row],[Traps]]=MUp,MIN(TabTRADER[[#This Row],[L_Sn]],TabTRADER[[#This Row],[N]])*(TabTRADER[[#This Row],[M]]-TabTRADER[[#This Row],[L_Sp]])*(1-Commission)*TabTRADER[[#This Row],[Scale]],                                  TRUE,"M= "&amp;TabTRADER[[#This Row],[M]])</f>
        <v>M= 13.78</v>
      </c>
      <c r="AI86" s="1165" t="str" cm="1">
        <f t="array" aca="1" ref="AI86" ca="1">_xlfn.IFS(   TabTRADER[[#This Row],[Traps]]=MUp,TEXT(MIN(TabTRADER[[#This Row],[L_Sn]],TabTRADER[[#This Row],[N]]),"#,#0")&amp;" x "&amp;TEXT(TabTRADER[[#This Row],[L_Sp]],"#,#0.#0"),          TRUE,"")</f>
        <v/>
      </c>
      <c r="AJ86" s="1165"/>
      <c r="AK86" s="1165"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65"/>
      <c r="AM86" s="1165"/>
      <c r="AN86" s="760"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41.890800000000169</v>
      </c>
      <c r="AO86" s="1174"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2.5463805020007379E-3</v>
      </c>
      <c r="AP86" s="1174"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5" t="str" cm="1">
        <f t="array" aca="1" ref="AQ86" ca="1">_xlfn.IFS(   TabTRADER[[#This Row],[Traps]]=SellMorePercentGain,                     MIN(TabTRADER[[#This Row],[L_Sn]],TabTRADER[[#This Row],[N]])*(TabTRADER[[#This Row],[M]]-TabTRADER[[#This Row],[L_Sp]])*(1-Commission)*TabTRADER[[#This Row],[Scale]],                    TRUE,"")</f>
        <v/>
      </c>
      <c r="AR86" s="1163">
        <f ca="1">_xlfn.XLOOKUP(TabTRADER[[#This Row],[ClickTick]],TabCalc[Ticker],TabCalc[Ann%RevLB])</f>
        <v>1.5027819356069928E-2</v>
      </c>
      <c r="AS86" s="1267">
        <f ca="1">_xlfn.XLOOKUP(TabTRADER[[#This Row],[ClickTick]],TabCalc[Ticker],TabCalc[Up20])</f>
        <v>0</v>
      </c>
      <c r="AT86" s="1175"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5" t="str" cm="1">
        <f t="array" aca="1" ref="AU86" ca="1">_xlfn.IFS(         TabTRADER[[#This Row],[Traps]]=MDown,TabTRADER[[#This Row],[L_Bn]]*TabTRADER[[#This Row],[M]]*(-(TabTRADER[[#This Row],[L_Bp]]+TabTRADER[[#This Row],[M]])/TabTRADER[[#This Row],[M]])*(1-Commission)*TabTRADER[[#This Row],[Scale]],                               TRUE,"")</f>
        <v/>
      </c>
      <c r="AV86" s="1174" t="str" cm="1">
        <f t="array" aca="1" ref="AV86" ca="1">_xlfn.IFS(   TabTRADER[[#This Row],[Traps]]=MUp,TabTRADER[[#This Row],[TakeGain_A]]-Commission,        TabTRADER[[#This Row],[Traps]]=MDown,(TabTRADER[[#This Row],[A]]-TabTRADER[[#This Row],[M]])/TabTRADER[[#This Row],[M]]-Commission,                              TRUE,"")</f>
        <v/>
      </c>
      <c r="AW86" s="760"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41.99746991633338</v>
      </c>
      <c r="AX86" s="760"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86" s="736"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5" t="str" cm="1">
        <f t="array" aca="1" ref="AZ86" ca="1">_xlfn.IFS(TabTRADER[[#This Row],[Traps]]=Sale_Back,"",         TabTRADER[[#This Row],[Traps]]=MDown, (TabTRADER[[#This Row],[M]]-TabTRADER[[#This Row],[A]])/TabTRADER[[#This Row],[A]]*ComFactor,             TRUE, IFERROR((TabTRADER[[#This Row],[M]]-TabTRADER[[#This Row],[A]])/TabTRADER[[#This Row],[A]]*ComFactor,""))</f>
        <v/>
      </c>
      <c r="BA86" s="762" cm="1">
        <f t="array" aca="1" ref="BA86" ca="1">_xlfn.IFS(               TabTRADER[[#This Row],[Traps]]=NoStock,(TabTRADER[[#This Row],[L_Sp]]-TabTRADER[[#This Row],[M]])/TabTRADER[[#This Row],[M]]-Commission,             TabTRADER[[#This Row],[A]]&lt;&gt;0,(TabTRADER[[#This Row],[A]]-TabTRADER[[#This Row],[M]])/TabTRADER[[#This Row],[M]]-Commission)</f>
        <v>-5.1399129172714185E-3</v>
      </c>
      <c r="BB86" s="324">
        <f ca="1">_xlfn.XLOOKUP(TabTRADER[[#This Row],[ClickTick]],TabCalc[Ticker],TabCalc[L_Sn])</f>
        <v>2000</v>
      </c>
      <c r="BC86" s="728">
        <f ca="1">_xlfn.XLOOKUP(TabTRADER[[#This Row],[ClickTick]],TabCalc[Ticker],TabCalc[L_Sp])</f>
        <v>12.03</v>
      </c>
      <c r="BD86" s="764">
        <f ca="1">-IFERROR((TabTRADER[[#This Row],[M]]-TabTRADER[[#This Row],[L_Sp]])/TabTRADER[[#This Row],[L_Sp]],0)</f>
        <v>-0.14546965918536992</v>
      </c>
      <c r="BE86" s="729">
        <f ca="1">TabTRADER[[#This Row],[L_Sn]]*(TabTRADER[[#This Row],[M]]-TabTRADER[[#This Row],[L_Sp]])*(1-Commission)*TabTRADER[[#This Row],[Scale]]</f>
        <v>3490.8999999999996</v>
      </c>
      <c r="BF86" s="692">
        <f ca="1">TabTRADER[[#This Row],[L_Sn]]*(TabTRADER[[#This Row],[Agiotage]]-TabTRADER[[#This Row],[M]])/(TabTRADER[[#This Row],[L_Bn]]*TabTRADER[[#This Row],[M]])</f>
        <v>-1.5106642577800946</v>
      </c>
      <c r="BG86" s="635">
        <f ca="1">IFERROR((TabTRADER[[#This Row],[M]]-TabTRADER[[#This Row],[A]])/TabTRADER[[#This Row],[A]],0)</f>
        <v>2.5463805020007379E-3</v>
      </c>
      <c r="BH86" s="638" t="str">
        <f ca="1">TEXT(_xlfn.XLOOKUP(TabTRADER[[#This Row],[ClickTick]],TabCalc[Ticker],TabCalc[NAfter]),"#,#0")&amp;" : "&amp;TEXT(_xlfn.XLOOKUP(TabTRADER[[#This Row],[ClickTick]],TabCalc[Ticker],TabCalc[NAfter])*(TabTRADER[[#This Row],[M]]-TabTRADER[[#This Row],[A]])*(1-Commission)*TabTRADER[[#This Row],[Scale]],"#,#0$")</f>
        <v>1,200 : 42$</v>
      </c>
      <c r="BI86" s="684">
        <f ca="1">_xlfn.XLOOKUP(TabTRADER[[#This Row],[ClickTick]],TabCalc[[#This Row],[Ticker]],TabCalc[[#This Row],[GL]])*(1-Commission)</f>
        <v>5921.3957580480101</v>
      </c>
      <c r="BJ86" s="684"/>
      <c r="BK86" s="669" t="str">
        <f ca="1">TabTRADER[[#This Row],[ClickTick]]&amp;": "&amp;_xlfn.XLOOKUP(TabTRADER[[#This Row],[ClickTick]],TabCalc[Ticker],TabCalc[Pile?])</f>
        <v>ORA: Pile</v>
      </c>
      <c r="BL86" s="351" t="s">
        <v>2064</v>
      </c>
      <c r="BM86" s="755" t="str" cm="1">
        <f t="array" aca="1" ref="BM86" ca="1">_xlfn.TEXTJOIN("",,INDEX({"M","A","Y"}, _xlfn.SORTBY({1,2,3}, -CHOOSE({1,2,3}, TabTRADER[[#This Row],[M]], TabTRADER[[#This Row],[A]], TabTRADER[[#This Row],[Agiotage]]))))</f>
        <v>MAY</v>
      </c>
      <c r="BN86" s="902"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9">
        <f ca="1">TabTRADER[[#This Row],[L_Sn]]*TabTRADER[[#This Row],[L_Sp]]+TabTRADER[[#This Row],[SellMore]]*TabTRADER[[#This Row],[M]]</f>
        <v>40596</v>
      </c>
      <c r="BP86" s="679">
        <f ca="1">INDEX(
  INDEX(TabConsolid[], , _xlfn.XMATCH(TabTRADER[[#This Row],[ClickTick]]&amp;1, TabConsolid[#Headers])),
  MATCH(
    -TabTRADER[[#This Row],[M]],
    INDEX(TabConsolid[], , _xlfn.XMATCH(TabTRADER[[#This Row],[ClickTick]]&amp;2, TabConsolid[#Headers])),
    -1
  )
)</f>
        <v>1200</v>
      </c>
      <c r="BQ86" s="679"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44">
        <f ca="1">TabTRADER[[#This Row],[ReBuy]]/(TabTRADER[[#This Row],[L_Sn]]+TabTRADER[[#This Row],[SellMore]])</f>
        <v>12.686249999999999</v>
      </c>
      <c r="BS86" s="687">
        <f ca="1">((_xlfn.XLOOKUP(TabTRADER[[#This Row],[ClickTick]],TabCalc[Ticker],TabCalc[NAfter])+TabTRADER[[#This Row],[L_Sn]])*(TabTRADER[[#This Row],[Agiotage]]-TabTRADER[[#This Row],[M]]))/(TabTRADER[[#This Row],[L_Sn]]*_xlfn.XLOOKUP(TabTRADER[[#This Row],[ClickTick]],TabCalc[Ticker],TabCalc[NAfter]))</f>
        <v>-1.6653562777767764E-2</v>
      </c>
      <c r="BT86" s="687">
        <f ca="1">(TabTRADER[[#This Row],[M]]-TabTRADER[[#This Row],[Agiotage]])/(TabTRADER[[#This Row],[M]]-TabTRADER[[#This Row],[A]])-1</f>
        <v>355.86205952359347</v>
      </c>
      <c r="BU86" s="1262">
        <f ca="1">_xlfn.XMATCH(TabTRADER[[#This Row],[ClickTick]]&amp;1, TabConsolid[#Headers])</f>
        <v>254</v>
      </c>
      <c r="BV86" t="b">
        <f ca="1">IF(ABS(TabTRADER[[#This Row],[L_Bp]])&gt;=TabTRADER[[#This Row],[M]],"OK")</f>
        <v>0</v>
      </c>
    </row>
    <row r="87" spans="1:74" hidden="1"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-5,755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-13.9%</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-5,945$</v>
      </c>
      <c r="G87" s="225" t="str">
        <f ca="1">IFERROR(TRUNC(_xlfn.XLOOKUP(TabTRADER[[#This Row],[ClickTick]],TabCalc[Ticker],ListLastSalep),2)&amp;"x"&amp;_xlfn.XLOOKUP(TabTRADER[[#This Row],[ClickTick]],TabCalc[Ticker],ListLastSalen)&amp;"=   "&amp;TEXT(-_xlfn.XLOOKUP(TabTRADER[[#This Row],[ClickTick]],TabCalc[Ticker],ListReverseB),"#,#0")&amp;"$","")</f>
        <v>51.86x1000=   -10,375$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25.0% = 482</v>
      </c>
      <c r="I87" s="226" t="str">
        <f ca="1">IFERROR(TRUNC(TabCalc[[#This Row],[L_S1p]],2)&amp;"x"&amp;TabCalc[[#This Row],[L_S1n]]&amp;"=   "&amp;TEXT(TabCalc[[#This Row],[ReverseB1]],"#,#0"),"")</f>
        <v>62.9x2000=   42,830</v>
      </c>
      <c r="J87" s="295">
        <f ca="1">_xlfn.XLOOKUP(TabTRADER[[#This Row],[ClickTick]],TabCalc[Ticker],ListGravity)</f>
        <v>1.2031587320718333</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120306.5</v>
      </c>
      <c r="M87" s="323">
        <f ca="1">_xlfn.XLOOKUP(TabTRADER[[#This Row],[ClickTick]],TabCalc[Ticker],TabCalc[Agiotage])</f>
        <v>0.35175595594262754</v>
      </c>
      <c r="N87" s="324" cm="1">
        <f t="array" aca="1" ref="N87" ca="1">_xlfn.XLOOKUP(TabTRADER[[#This Row],[ClickTick]],ListTickers,Tab2RSIConventional[RSIConv20])</f>
        <v>58</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-0.12182472480948353</v>
      </c>
      <c r="S87" s="683">
        <f ca="1">_xlfn.XLOOKUP(TabTRADER[[#This Row],[ClickTick]],TabCalc[Ticker],TabCalc[Rev(MinStock)])*(1-Commission)</f>
        <v>-5740.0370000000021</v>
      </c>
      <c r="T87" s="782">
        <f ca="1">_xlfn.XLOOKUP(TabTRADER[[#This Row],[ClickTick]],TabCalc[Ticker],TabCalc[Agiotage])</f>
        <v>0.35175595594262754</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300/300=&gt;-2.4% / -2.4%</v>
      </c>
      <c r="V87" s="739" t="str">
        <f ca="1">_xlfn.XLOOKUP(TabTRADER[[#This Row],[ClickTick]],[1]!RTData[Ticker_Symbol],[1]!RTData[Currency])</f>
        <v>USD</v>
      </c>
      <c r="W87" s="749">
        <f ca="1">_xlfn.XLOOKUP(TabTRADER[[#This Row],[ClickTick]],TabCalc[Ticker],TabCalc[M])</f>
        <v>41.484999999999999</v>
      </c>
      <c r="X87" s="1315"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-2.4340999999999998E-2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-69/166 K$</v>
      </c>
      <c r="AE87" s="1182"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65"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41.485, -20.0%</v>
      </c>
      <c r="AG87" s="1165"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65" t="str" cm="1">
        <f t="array" aca="1" ref="AH87" ca="1">_xlfn.IFS(     TabTRADER[[#This Row],[Traps]]=MUp,MIN(TabTRADER[[#This Row],[L_Sn]],TabTRADER[[#This Row],[N]])*(TabTRADER[[#This Row],[M]]-TabTRADER[[#This Row],[L_Sp]])*(1-Commission)*TabTRADER[[#This Row],[Scale]],                                  TRUE,"M= "&amp;TabTRADER[[#This Row],[M]])</f>
        <v>M= 41.485</v>
      </c>
      <c r="AI87" s="1165" t="str" cm="1">
        <f t="array" aca="1" ref="AI87" ca="1">_xlfn.IFS(   TabTRADER[[#This Row],[Traps]]=MUp,TEXT(MIN(TabTRADER[[#This Row],[L_Sn]],TabTRADER[[#This Row],[N]]),"#,#0")&amp;" x "&amp;TEXT(TabTRADER[[#This Row],[L_Sp]],"#,#0.#0"),          TRUE,"")</f>
        <v/>
      </c>
      <c r="AJ87" s="1165"/>
      <c r="AK87" s="1165"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5740.0370000000021</v>
      </c>
      <c r="AL87" s="1165"/>
      <c r="AM87" s="1165"/>
      <c r="AN87" s="760"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165940</v>
      </c>
      <c r="AO87" s="1174"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0.23648843574912612</v>
      </c>
      <c r="AP87" s="1174"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0.13612484030372432</v>
      </c>
      <c r="AQ87" s="825" t="str" cm="1">
        <f t="array" aca="1" ref="AQ87" ca="1">_xlfn.IFS(   TabTRADER[[#This Row],[Traps]]=SellMorePercentGain,                     MIN(TabTRADER[[#This Row],[L_Sn]],TabTRADER[[#This Row],[N]])*(TabTRADER[[#This Row],[M]]-TabTRADER[[#This Row],[L_Sp]])*(1-Commission)*TabTRADER[[#This Row],[Scale]],                    TRUE,"")</f>
        <v/>
      </c>
      <c r="AR87" s="1163">
        <f ca="1">_xlfn.XLOOKUP(TabTRADER[[#This Row],[ClickTick]],TabCalc[Ticker],TabCalc[Ann%RevLB])</f>
        <v>-0.17755830336604886</v>
      </c>
      <c r="AS87" s="1267">
        <f ca="1">_xlfn.XLOOKUP(TabTRADER[[#This Row],[ClickTick]],TabCalc[Ticker],TabCalc[Up20])</f>
        <v>0</v>
      </c>
      <c r="AT87" s="1175"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0.13872484030372431</v>
      </c>
      <c r="AU87" s="825" cm="1">
        <f t="array" aca="1" ref="AU87" ca="1">_xlfn.IFS(         TabTRADER[[#This Row],[Traps]]=MDown,TabTRADER[[#This Row],[L_Bn]]*TabTRADER[[#This Row],[M]]*(-(TabTRADER[[#This Row],[L_Bp]]+TabTRADER[[#This Row],[M]])/TabTRADER[[#This Row],[M]])*(1-Commission)*TabTRADER[[#This Row],[Scale]],                               TRUE,"")</f>
        <v>5740.0370000000021</v>
      </c>
      <c r="AV87" s="1174" cm="1">
        <f t="array" aca="1" ref="AV87" ca="1">_xlfn.IFS(   TabTRADER[[#This Row],[Traps]]=MUp,TabTRADER[[#This Row],[TakeGain_A]]-Commission,        TabTRADER[[#This Row],[Traps]]=MDown,(TabTRADER[[#This Row],[A]]-TabTRADER[[#This Row],[M]])/TabTRADER[[#This Row],[M]]-Commission,                              TRUE,"")</f>
        <v>0.30713785705676749</v>
      </c>
      <c r="AW87" s="760"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51264.265459999995</v>
      </c>
      <c r="AX87" s="760"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7" s="736"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-5.75</v>
      </c>
      <c r="AZ87" s="765" cm="1">
        <f t="array" aca="1" ref="AZ87" ca="1">_xlfn.IFS(TabTRADER[[#This Row],[Traps]]=Sale_Back,"",         TabTRADER[[#This Row],[Traps]]=MDown, (TabTRADER[[#This Row],[M]]-TabTRADER[[#This Row],[A]])/TabTRADER[[#This Row],[A]]*ComFactor,             TRUE, IFERROR((TabTRADER[[#This Row],[M]]-TabTRADER[[#This Row],[A]])/TabTRADER[[#This Row],[A]]*ComFactor,""))</f>
        <v>-0.23587356581617838</v>
      </c>
      <c r="BA87" s="762" cm="1">
        <f t="array" aca="1" ref="BA87" ca="1">_xlfn.IFS(               TabTRADER[[#This Row],[Traps]]=NoStock,(TabTRADER[[#This Row],[L_Sp]]-TabTRADER[[#This Row],[M]])/TabTRADER[[#This Row],[M]]-Commission,             TabTRADER[[#This Row],[A]]&lt;&gt;0,(TabTRADER[[#This Row],[A]]-TabTRADER[[#This Row],[M]])/TabTRADER[[#This Row],[M]]-Commission)</f>
        <v>0.30713785705676749</v>
      </c>
      <c r="BB87" s="324">
        <f ca="1">_xlfn.XLOOKUP(TabTRADER[[#This Row],[ClickTick]],TabCalc[Ticker],TabCalc[L_Sn])</f>
        <v>1000</v>
      </c>
      <c r="BC87" s="728">
        <f ca="1">_xlfn.XLOOKUP(TabTRADER[[#This Row],[ClickTick]],TabCalc[Ticker],TabCalc[L_Sp])</f>
        <v>51.86</v>
      </c>
      <c r="BD87" s="764">
        <f ca="1">-IFERROR((TabTRADER[[#This Row],[M]]-TabTRADER[[#This Row],[L_Sp]])/TabTRADER[[#This Row],[L_Sp]],0)</f>
        <v>0.20005784805244892</v>
      </c>
      <c r="BE87" s="729">
        <f ca="1">TabTRADER[[#This Row],[L_Sn]]*(TabTRADER[[#This Row],[M]]-TabTRADER[[#This Row],[L_Sp]])*(1-Commission)*TabTRADER[[#This Row],[Scale]]</f>
        <v>-10348.025</v>
      </c>
      <c r="BF87" s="692">
        <f ca="1">TabTRADER[[#This Row],[L_Sn]]*(TabTRADER[[#This Row],[Agiotage]]-TabTRADER[[#This Row],[M]])/(TabTRADER[[#This Row],[L_Bn]]*TabTRADER[[#This Row],[M]])</f>
        <v>-0.99152088812962202</v>
      </c>
      <c r="BG87" s="635">
        <f ca="1">IFERROR((TabTRADER[[#This Row],[M]]-TabTRADER[[#This Row],[A]])/TabTRADER[[#This Row],[A]],0)</f>
        <v>-0.23648843574912612</v>
      </c>
      <c r="BH87" s="638" t="str">
        <f ca="1">TEXT(_xlfn.XLOOKUP(TabTRADER[[#This Row],[ClickTick]],TabCalc[Ticker],TabCalc[NAfter]),"#,#0")&amp;" : "&amp;TEXT(_xlfn.XLOOKUP(TabTRADER[[#This Row],[ClickTick]],TabCalc[Ticker],TabCalc[NAfter])*(TabTRADER[[#This Row],[M]]-TabTRADER[[#This Row],[A]])*(1-Commission)*TabTRADER[[#This Row],[Scale]],"#,#0$")</f>
        <v>4,000 : -51,264$</v>
      </c>
      <c r="BI87" s="684">
        <f ca="1">_xlfn.XLOOKUP(TabTRADER[[#This Row],[ClickTick]],TabCalc[[#This Row],[Ticker]],TabCalc[[#This Row],[GL]])*(1-Commission)</f>
        <v>-69239.008250336221</v>
      </c>
      <c r="BJ87" s="684"/>
      <c r="BK87" s="669" t="str">
        <f ca="1">TabTRADER[[#This Row],[ClickTick]]&amp;": "&amp;_xlfn.XLOOKUP(TabTRADER[[#This Row],[ClickTick]],TabCalc[Ticker],TabCalc[Pile?])</f>
        <v>OXY: Pile</v>
      </c>
      <c r="BL87" s="351" t="s">
        <v>2065</v>
      </c>
      <c r="BM87" s="755" t="str" cm="1">
        <f t="array" aca="1" ref="BM87" ca="1">_xlfn.TEXTJOIN("",,INDEX({"M","A","Y"}, _xlfn.SORTBY({1,2,3}, -CHOOSE({1,2,3}, TabTRADER[[#This Row],[M]], TabTRADER[[#This Row],[A]], TabTRADER[[#This Row],[Agiotage]]))))</f>
        <v>AMY</v>
      </c>
      <c r="BN87" s="902"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0.13872484030372431</v>
      </c>
      <c r="BO87" s="679" t="e">
        <f ca="1">TabTRADER[[#This Row],[L_Sn]]*TabTRADER[[#This Row],[L_Sp]]+TabTRADER[[#This Row],[SellMore]]*TabTRADER[[#This Row],[M]]</f>
        <v>#N/A</v>
      </c>
      <c r="BP87" s="679" t="e">
        <f ca="1">INDEX(
  INDEX(TabConsolid[], , _xlfn.XMATCH(TabTRADER[[#This Row],[ClickTick]]&amp;1, TabConsolid[#Headers])),
  MATCH(
    -TabTRADER[[#This Row],[M]],
    INDEX(TabConsolid[], , _xlfn.XMATCH(TabTRADER[[#This Row],[ClickTick]]&amp;2, TabConsolid[#Headers])),
    -1
  )
)</f>
        <v>#N/A</v>
      </c>
      <c r="BQ87" s="679"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44" t="e">
        <f ca="1">TabTRADER[[#This Row],[ReBuy]]/(TabTRADER[[#This Row],[L_Sn]]+TabTRADER[[#This Row],[SellMore]])</f>
        <v>#N/A</v>
      </c>
      <c r="BS87" s="687">
        <f ca="1">((_xlfn.XLOOKUP(TabTRADER[[#This Row],[ClickTick]],TabCalc[Ticker],TabCalc[NAfter])+TabTRADER[[#This Row],[L_Sn]])*(TabTRADER[[#This Row],[Agiotage]]-TabTRADER[[#This Row],[M]]))/(TabTRADER[[#This Row],[L_Sn]]*_xlfn.XLOOKUP(TabTRADER[[#This Row],[ClickTick]],TabCalc[Ticker],TabCalc[NAfter]))</f>
        <v>-5.1416555055071714E-2</v>
      </c>
      <c r="BT87" s="687">
        <f ca="1">(TabTRADER[[#This Row],[M]]-TabTRADER[[#This Row],[Agiotage]])/(TabTRADER[[#This Row],[M]]-TabTRADER[[#This Row],[A]])-1</f>
        <v>-4.2011614516591047</v>
      </c>
      <c r="BU87" s="1262">
        <f ca="1">_xlfn.XMATCH(TabTRADER[[#This Row],[ClickTick]]&amp;1, TabConsolid[#Headers])</f>
        <v>257</v>
      </c>
      <c r="BV87" t="str">
        <f ca="1">IF(ABS(TabTRADER[[#This Row],[L_Bp]])&gt;=TabTRADER[[#This Row],[M]],"OK")</f>
        <v>OK</v>
      </c>
    </row>
    <row r="88" spans="1:74"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+120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0.3%</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1,023</v>
      </c>
      <c r="F88" s="226" t="str">
        <f ca="1">TRUNC(TabCalc[[#This Row],[L_B1p]],2)&amp;"x"&amp;TabCalc[[#This Row],[L_B1n]]&amp;"=   "&amp;TEXT(TabCalc[[#This Row],[ReverseS1]],"#,#0")&amp;"$"</f>
        <v>-27.92x2000=   -4,656$</v>
      </c>
      <c r="G88" s="225" t="str">
        <f ca="1">IFERROR(TRUNC(_xlfn.XLOOKUP(TabTRADER[[#This Row],[ClickTick]],TabCalc[Ticker],ListLastSalep),2)&amp;"x"&amp;_xlfn.XLOOKUP(TabTRADER[[#This Row],[ClickTick]],TabCalc[Ticker],ListLastSalen)&amp;"=   "&amp;TEXT(-_xlfn.XLOOKUP(TabTRADER[[#This Row],[ClickTick]],TabCalc[Ticker],ListReverseB),"#,#0")&amp;"$","")</f>
        <v>29.9x2010=   -9,823$</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19.5% = 1,023</v>
      </c>
      <c r="I88" s="226" t="str">
        <f ca="1">IFERROR(TRUNC(TabCalc[[#This Row],[L_S1p]],2)&amp;"x"&amp;TabCalc[[#This Row],[L_S1n]]&amp;"=   "&amp;TEXT(TabCalc[[#This Row],[ReverseB1]],"#,#0"),"")</f>
        <v>28.22x1990=   6,388</v>
      </c>
      <c r="J88" s="295">
        <f ca="1">_xlfn.XLOOKUP(TabTRADER[[#This Row],[ClickTick]],TabCalc[Ticker],ListGravity)</f>
        <v>1.1493863681790926</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7504.5</v>
      </c>
      <c r="M88" s="323">
        <f ca="1">_xlfn.XLOOKUP(TabTRADER[[#This Row],[ClickTick]],TabCalc[Ticker],TabCalc[Agiotage])</f>
        <v>0.27609049062415064</v>
      </c>
      <c r="N88" s="324" cm="1">
        <f t="array" aca="1" ref="N88" ca="1">_xlfn.XLOOKUP(TabTRADER[[#This Row],[ClickTick]],ListTickers,Tab2RSIConventional[RSIConv20])</f>
        <v>34</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3.0072173215717436E-3</v>
      </c>
      <c r="S88" s="683">
        <f ca="1">_xlfn.XLOOKUP(TabTRADER[[#This Row],[ClickTick]],TabCalc[Ticker],TabCalc[Rev(MinStock)])*(1-Commission)</f>
        <v>119.68799999999887</v>
      </c>
      <c r="T88" s="782">
        <f ca="1">_xlfn.XLOOKUP(TabTRADER[[#This Row],[ClickTick]],TabCalc[Ticker],TabCalc[Agiotage])</f>
        <v>0.27609049062415064</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-552/-552=&gt;-1.7% / -1.7%</v>
      </c>
      <c r="V88" s="739" t="str">
        <f ca="1">_xlfn.XLOOKUP(TabTRADER[[#This Row],[ClickTick]],[1]!RTData[Ticker_Symbol],[1]!RTData[Currency])</f>
        <v>USD</v>
      </c>
      <c r="W88" s="749">
        <f ca="1">_xlfn.XLOOKUP(TabTRADER[[#This Row],[ClickTick]],TabCalc[Ticker],TabCalc[M])</f>
        <v>25.015000000000001</v>
      </c>
      <c r="X88" s="1315"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-1.7092E-2</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182"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8" s="1165"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-24.94</v>
      </c>
      <c r="AG88" s="1165"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119.68799999999887</v>
      </c>
      <c r="AH88" s="1165" t="str" cm="1">
        <f t="array" aca="1" ref="AH88" ca="1">_xlfn.IFS(     TabTRADER[[#This Row],[Traps]]=MUp,MIN(TabTRADER[[#This Row],[L_Sn]],TabTRADER[[#This Row],[N]])*(TabTRADER[[#This Row],[M]]-TabTRADER[[#This Row],[L_Sp]])*(1-Commission)*TabTRADER[[#This Row],[Scale]],                                  TRUE,"M= "&amp;TabTRADER[[#This Row],[M]])</f>
        <v>M= 25.015</v>
      </c>
      <c r="AI88" s="1165" t="str" cm="1">
        <f t="array" aca="1" ref="AI88" ca="1">_xlfn.IFS(   TabTRADER[[#This Row],[Traps]]=MUp,TEXT(MIN(TabTRADER[[#This Row],[L_Sn]],TabTRADER[[#This Row],[N]]),"#,#0")&amp;" x "&amp;TEXT(TabTRADER[[#This Row],[L_Sp]],"#,#0.#0"),          TRUE,"")</f>
        <v/>
      </c>
      <c r="AJ88" s="1165"/>
      <c r="AK88" s="1165"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65"/>
      <c r="AM88" s="1165"/>
      <c r="AN88" s="760"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119.68799999999887</v>
      </c>
      <c r="AO88" s="1174"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3.0072173215717436E-3</v>
      </c>
      <c r="AP88" s="1174"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5" t="str" cm="1">
        <f t="array" aca="1" ref="AQ88" ca="1">_xlfn.IFS(   TabTRADER[[#This Row],[Traps]]=SellMorePercentGain,                     MIN(TabTRADER[[#This Row],[L_Sn]],TabTRADER[[#This Row],[N]])*(TabTRADER[[#This Row],[M]]-TabTRADER[[#This Row],[L_Sp]])*(1-Commission)*TabTRADER[[#This Row],[Scale]],                    TRUE,"")</f>
        <v/>
      </c>
      <c r="AR88" s="1163">
        <f ca="1">_xlfn.XLOOKUP(TabTRADER[[#This Row],[ClickTick]],TabCalc[Ticker],TabCalc[Ann%RevLB])</f>
        <v>2.9823642858562748E-3</v>
      </c>
      <c r="AS88" s="1267">
        <f ca="1">_xlfn.XLOOKUP(TabTRADER[[#This Row],[ClickTick]],TabCalc[Ticker],TabCalc[Up20])</f>
        <v>0</v>
      </c>
      <c r="AT88" s="1175"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5" t="str" cm="1">
        <f t="array" aca="1" ref="AU88" ca="1">_xlfn.IFS(         TabTRADER[[#This Row],[Traps]]=MDown,TabTRADER[[#This Row],[L_Bn]]*TabTRADER[[#This Row],[M]]*(-(TabTRADER[[#This Row],[L_Bp]]+TabTRADER[[#This Row],[M]])/TabTRADER[[#This Row],[M]])*(1-Commission)*TabTRADER[[#This Row],[Scale]],                               TRUE,"")</f>
        <v/>
      </c>
      <c r="AV88" s="1174" t="str" cm="1">
        <f t="array" aca="1" ref="AV88" ca="1">_xlfn.IFS(   TabTRADER[[#This Row],[Traps]]=MUp,TabTRADER[[#This Row],[TakeGain_A]]-Commission,        TabTRADER[[#This Row],[Traps]]=MDown,(TabTRADER[[#This Row],[A]]-TabTRADER[[#This Row],[M]])/TabTRADER[[#This Row],[M]]-Commission,                              TRUE,"")</f>
        <v/>
      </c>
      <c r="AW88" s="825"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120.04792782678312</v>
      </c>
      <c r="AX88" s="760"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8" s="736"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8" s="765" t="str" cm="1">
        <f t="array" aca="1" ref="AZ88" ca="1">_xlfn.IFS(TabTRADER[[#This Row],[Traps]]=Sale_Back,"",         TabTRADER[[#This Row],[Traps]]=MDown, (TabTRADER[[#This Row],[M]]-TabTRADER[[#This Row],[A]])/TabTRADER[[#This Row],[A]]*ComFactor,             TRUE, IFERROR((TabTRADER[[#This Row],[M]]-TabTRADER[[#This Row],[A]])/TabTRADER[[#This Row],[A]]*ComFactor,""))</f>
        <v/>
      </c>
      <c r="BA88" s="762" cm="1">
        <f t="array" aca="1" ref="BA88" ca="1">_xlfn.IFS(               TabTRADER[[#This Row],[Traps]]=NoStock,(TabTRADER[[#This Row],[L_Sp]]-TabTRADER[[#This Row],[M]])/TabTRADER[[#This Row],[M]]-Commission,             TabTRADER[[#This Row],[A]]&lt;&gt;0,(TabTRADER[[#This Row],[A]]-TabTRADER[[#This Row],[M]])/TabTRADER[[#This Row],[M]]-Commission)</f>
        <v>-5.5982010793523603E-3</v>
      </c>
      <c r="BB88" s="324">
        <f ca="1">_xlfn.XLOOKUP(TabTRADER[[#This Row],[ClickTick]],TabCalc[Ticker],TabCalc[L_Sn])</f>
        <v>2010</v>
      </c>
      <c r="BC88" s="728">
        <f ca="1">_xlfn.XLOOKUP(TabTRADER[[#This Row],[ClickTick]],TabCalc[Ticker],TabCalc[L_Sp])</f>
        <v>29.902200000000001</v>
      </c>
      <c r="BD88" s="764">
        <f ca="1">-IFERROR((TabTRADER[[#This Row],[M]]-TabTRADER[[#This Row],[L_Sp]])/TabTRADER[[#This Row],[L_Sp]],0)</f>
        <v>0.16343947936941094</v>
      </c>
      <c r="BE88" s="729">
        <f ca="1">TabTRADER[[#This Row],[L_Sn]]*(TabTRADER[[#This Row],[M]]-TabTRADER[[#This Row],[L_Sp]])*(1-Commission)*TabTRADER[[#This Row],[Scale]]</f>
        <v>-9797.7314927999996</v>
      </c>
      <c r="BF88" s="692">
        <f ca="1">TabTRADER[[#This Row],[L_Sn]]*(TabTRADER[[#This Row],[Agiotage]]-TabTRADER[[#This Row],[M]])/(TabTRADER[[#This Row],[L_Bn]]*TabTRADER[[#This Row],[M]])</f>
        <v>-1.2423847719829466</v>
      </c>
      <c r="BG88" s="635">
        <f ca="1">IFERROR((TabTRADER[[#This Row],[M]]-TabTRADER[[#This Row],[A]])/TabTRADER[[#This Row],[A]],0)</f>
        <v>3.0072173215717436E-3</v>
      </c>
      <c r="BH88" s="638" t="str">
        <f ca="1">TEXT(_xlfn.XLOOKUP(TabTRADER[[#This Row],[ClickTick]],TabCalc[Ticker],TabCalc[NAfter]),"#,#0")&amp;" : "&amp;TEXT(_xlfn.XLOOKUP(TabTRADER[[#This Row],[ClickTick]],TabCalc[Ticker],TabCalc[NAfter])*(TabTRADER[[#This Row],[M]]-TabTRADER[[#This Row],[A]])*(1-Commission)*TabTRADER[[#This Row],[Scale]],"#,#0$")</f>
        <v>1,600 : 120$</v>
      </c>
      <c r="BI88" s="684">
        <f ca="1">_xlfn.XLOOKUP(TabTRADER[[#This Row],[ClickTick]],TabCalc[[#This Row],[Ticker]],TabCalc[[#This Row],[GL]])*(1-Commission)</f>
        <v>-8136.6080749527227</v>
      </c>
      <c r="BJ88" s="684"/>
      <c r="BK88" s="669" t="str">
        <f ca="1">TabTRADER[[#This Row],[ClickTick]]&amp;": "&amp;_xlfn.XLOOKUP(TabTRADER[[#This Row],[ClickTick]],TabCalc[Ticker],TabCalc[Pile?])</f>
        <v xml:space="preserve">PFE: </v>
      </c>
      <c r="BL88" s="351" t="s">
        <v>2066</v>
      </c>
      <c r="BM88" s="755" t="str" cm="1">
        <f t="array" aca="1" ref="BM88" ca="1">_xlfn.TEXTJOIN("",,INDEX({"M","A","Y"}, _xlfn.SORTBY({1,2,3}, -CHOOSE({1,2,3}, TabTRADER[[#This Row],[M]], TabTRADER[[#This Row],[A]], TabTRADER[[#This Row],[Agiotage]]))))</f>
        <v>MAY</v>
      </c>
      <c r="BN88" s="902"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9">
        <f ca="1">TabTRADER[[#This Row],[L_Sn]]*TabTRADER[[#This Row],[L_Sp]]+TabTRADER[[#This Row],[SellMore]]*TabTRADER[[#This Row],[M]]</f>
        <v>100127.42199999999</v>
      </c>
      <c r="BP88" s="679">
        <f ca="1">INDEX(
  INDEX(TabConsolid[], , _xlfn.XMATCH(TabTRADER[[#This Row],[ClickTick]]&amp;1, TabConsolid[#Headers])),
  MATCH(
    -TabTRADER[[#This Row],[M]],
    INDEX(TabConsolid[], , _xlfn.XMATCH(TabTRADER[[#This Row],[ClickTick]]&amp;2, TabConsolid[#Headers])),
    -1
  )
)</f>
        <v>1600</v>
      </c>
      <c r="BQ88" s="679"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44">
        <f ca="1">TabTRADER[[#This Row],[ReBuy]]/(TabTRADER[[#This Row],[L_Sn]]+TabTRADER[[#This Row],[SellMore]])</f>
        <v>27.736127977839331</v>
      </c>
      <c r="BS88" s="687">
        <f ca="1">((_xlfn.XLOOKUP(TabTRADER[[#This Row],[ClickTick]],TabCalc[Ticker],TabCalc[NAfter])+TabTRADER[[#This Row],[L_Sn]])*(TabTRADER[[#This Row],[Agiotage]]-TabTRADER[[#This Row],[M]]))/(TabTRADER[[#This Row],[L_Sn]]*_xlfn.XLOOKUP(TabTRADER[[#This Row],[ClickTick]],TabCalc[Ticker],TabCalc[NAfter]))</f>
        <v>-2.7769733622153861E-2</v>
      </c>
      <c r="BT88" s="687">
        <f ca="1">(TabTRADER[[#This Row],[M]]-TabTRADER[[#This Row],[Agiotage]])/(TabTRADER[[#This Row],[M]]-TabTRADER[[#This Row],[A]])-1</f>
        <v>328.85212679168114</v>
      </c>
      <c r="BU88" s="1262">
        <f ca="1">_xlfn.XMATCH(TabTRADER[[#This Row],[ClickTick]]&amp;1, TabConsolid[#Headers])</f>
        <v>260</v>
      </c>
      <c r="BV88" t="b">
        <f ca="1">IF(ABS(TabTRADER[[#This Row],[L_Bp]])&gt;=TabTRADER[[#This Row],[M]],"OK")</f>
        <v>0</v>
      </c>
    </row>
    <row r="89" spans="1:74" hidden="1"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+9,295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17.5%</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6,993/43,000=28,636</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26,375$</v>
      </c>
      <c r="G89" s="225" t="str">
        <f ca="1">IFERROR(TRUNC(_xlfn.XLOOKUP(TabTRADER[[#This Row],[ClickTick]],TabCalc[Ticker],ListLastSalep),2)&amp;"x"&amp;_xlfn.XLOOKUP(TabTRADER[[#This Row],[ClickTick]],TabCalc[Ticker],ListLastSalen)&amp;"=   "&amp;TEXT(-_xlfn.XLOOKUP(TabTRADER[[#This Row],[ClickTick]],TabCalc[Ticker],ListReverseB),"#,#0")&amp;"$","")</f>
        <v>3.95x5000=   700$</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89" s="226" t="str">
        <f ca="1">IFERROR(TRUNC(TabCalc[[#This Row],[L_S1p]],2)&amp;"x"&amp;TabCalc[[#This Row],[L_S1n]]&amp;"=   "&amp;TEXT(TabCalc[[#This Row],[ReverseB1]],"#,#0"),"")</f>
        <v>5.83x3000=   5,215</v>
      </c>
      <c r="J89" s="295">
        <f ca="1">_xlfn.XLOOKUP(TabTRADER[[#This Row],[ClickTick]],TabCalc[Ticker],ListGravity)</f>
        <v>0.96553113553113556</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147420</v>
      </c>
      <c r="M89" s="323">
        <f ca="1">_xlfn.XLOOKUP(TabTRADER[[#This Row],[ClickTick]],TabCalc[Ticker],TabCalc[Agiotage])</f>
        <v>0.28714308244093012</v>
      </c>
      <c r="N89" s="324" cm="1">
        <f t="array" aca="1" ref="N89" ca="1">_xlfn.XLOOKUP(TabTRADER[[#This Row],[ClickTick]],ListTickers,Tab2RSIConventional[RSIConv20])</f>
        <v>78</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0.21153846153846151</v>
      </c>
      <c r="S89" s="683">
        <f ca="1">_xlfn.XLOOKUP(TabTRADER[[#This Row],[ClickTick]],TabCalc[Ticker],TabCalc[Rev(MinStock)])*(1-Commission)</f>
        <v>9270.8329999999969</v>
      </c>
      <c r="T89" s="782">
        <f ca="1">_xlfn.XLOOKUP(TabTRADER[[#This Row],[ClickTick]],TabCalc[Ticker],TabCalc[Agiotage])</f>
        <v>0.28714308244093012</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3,440/3,440=&gt;-0.8% / -0.8%</v>
      </c>
      <c r="V89" s="739" t="str">
        <f ca="1">_xlfn.XLOOKUP(TabTRADER[[#This Row],[ClickTick]],[1]!RTData[Ticker_Symbol],[1]!RTData[Currency])</f>
        <v>USD</v>
      </c>
      <c r="W89" s="749">
        <f ca="1">_xlfn.XLOOKUP(TabTRADER[[#This Row],[ClickTick]],TabCalc[Ticker],TabCalc[M])</f>
        <v>4.0949999999999998</v>
      </c>
      <c r="X89" s="1315"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-8.4749999999999999E-3</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^33/176 K$</v>
      </c>
      <c r="AE89" s="116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65"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4.095, 03.5%</v>
      </c>
      <c r="AG89" s="1165"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3.96</v>
      </c>
      <c r="AH89" s="1165" cm="1">
        <f t="array" aca="1" ref="AH89" ca="1">_xlfn.IFS(     TabTRADER[[#This Row],[Traps]]=MUp,MIN(TabTRADER[[#This Row],[L_Sn]],TabTRADER[[#This Row],[N]])*(TabTRADER[[#This Row],[M]]-TabTRADER[[#This Row],[L_Sp]])*(1-Commission)*TabTRADER[[#This Row],[Scale]],                                  TRUE,"M= "&amp;TabTRADER[[#This Row],[M]])</f>
        <v>698.17999999999836</v>
      </c>
      <c r="AI89" s="1165" t="str" cm="1">
        <f t="array" aca="1" ref="AI89" ca="1">_xlfn.IFS(   TabTRADER[[#This Row],[Traps]]=MUp,TEXT(MIN(TabTRADER[[#This Row],[L_Sn]],TabTRADER[[#This Row],[N]]),"#,#0")&amp;" x "&amp;TEXT(TabTRADER[[#This Row],[L_Sp]],"#,#0.#0"),          TRUE,"")</f>
        <v>5,000 x 3.96</v>
      </c>
      <c r="AJ89" s="1165"/>
      <c r="AK89" s="1165"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698.17999999999836</v>
      </c>
      <c r="AL89" s="1165"/>
      <c r="AM89" s="1165"/>
      <c r="AN89" s="760"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34325.520999999986</v>
      </c>
      <c r="AO89" s="1174"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0.24292369591303722</v>
      </c>
      <c r="AP89" s="1174"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3.1588034188034117E-2</v>
      </c>
      <c r="AQ89" s="825" cm="1">
        <f t="array" aca="1" ref="AQ89" ca="1">_xlfn.IFS(   TabTRADER[[#This Row],[Traps]]=SellMorePercentGain,                     MIN(TabTRADER[[#This Row],[L_Sn]],TabTRADER[[#This Row],[N]])*(TabTRADER[[#This Row],[M]]-TabTRADER[[#This Row],[L_Sp]])*(1-Commission)*TabTRADER[[#This Row],[Scale]],                    TRUE,"")</f>
        <v>698.17999999999836</v>
      </c>
      <c r="AR89" s="1313">
        <f ca="1">_xlfn.XLOOKUP(TabTRADER[[#This Row],[ClickTick]],TabCalc[Ticker],TabCalc[Ann%RevLB])</f>
        <v>1.312997347480106</v>
      </c>
      <c r="AS89" s="1267">
        <f ca="1">_xlfn.XLOOKUP(TabTRADER[[#This Row],[ClickTick]],TabCalc[Ticker],TabCalc[Up20])</f>
        <v>0</v>
      </c>
      <c r="AT89" s="1175"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5" t="str" cm="1">
        <f t="array" aca="1" ref="AU89" ca="1">_xlfn.IFS(         TabTRADER[[#This Row],[Traps]]=MDown,TabTRADER[[#This Row],[L_Bn]]*TabTRADER[[#This Row],[M]]*(-(TabTRADER[[#This Row],[L_Bp]]+TabTRADER[[#This Row],[M]])/TabTRADER[[#This Row],[M]])*(1-Commission)*TabTRADER[[#This Row],[Scale]],                               TRUE,"")</f>
        <v/>
      </c>
      <c r="AV89" s="1174" cm="1">
        <f t="array" aca="1" ref="AV89" ca="1">_xlfn.IFS(   TabTRADER[[#This Row],[Traps]]=MUp,TabTRADER[[#This Row],[TakeGain_A]]-Commission,        TabTRADER[[#This Row],[Traps]]=MDown,(TabTRADER[[#This Row],[A]]-TabTRADER[[#This Row],[M]])/TabTRADER[[#This Row],[M]]-Commission,                              TRUE,"")</f>
        <v>0.24032369591303723</v>
      </c>
      <c r="AW89" s="825"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42664.003425460549</v>
      </c>
      <c r="AX89" s="760"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89" s="736"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13,000x0.8</v>
      </c>
      <c r="AZ89" s="765" cm="1">
        <f t="array" aca="1" ref="AZ89" ca="1">_xlfn.IFS(TabTRADER[[#This Row],[Traps]]=Sale_Back,"",         TabTRADER[[#This Row],[Traps]]=MDown, (TabTRADER[[#This Row],[M]]-TabTRADER[[#This Row],[A]])/TabTRADER[[#This Row],[A]]*ComFactor,             TRUE, IFERROR((TabTRADER[[#This Row],[M]]-TabTRADER[[#This Row],[A]])/TabTRADER[[#This Row],[A]]*ComFactor,""))</f>
        <v>0.2422920943036633</v>
      </c>
      <c r="BA89" s="762" cm="1">
        <f t="array" aca="1" ref="BA89" ca="1">_xlfn.IFS(               TabTRADER[[#This Row],[Traps]]=NoStock,(TabTRADER[[#This Row],[L_Sp]]-TabTRADER[[#This Row],[M]])/TabTRADER[[#This Row],[M]]-Commission,             TabTRADER[[#This Row],[A]]&lt;&gt;0,(TabTRADER[[#This Row],[A]]-TabTRADER[[#This Row],[M]])/TabTRADER[[#This Row],[M]]-Commission)</f>
        <v>-0.19804538149189302</v>
      </c>
      <c r="BB89" s="324">
        <f ca="1">_xlfn.XLOOKUP(TabTRADER[[#This Row],[ClickTick]],TabCalc[Ticker],TabCalc[L_Sn])</f>
        <v>5000</v>
      </c>
      <c r="BC89" s="728">
        <f ca="1">_xlfn.XLOOKUP(TabTRADER[[#This Row],[ClickTick]],TabCalc[Ticker],TabCalc[L_Sp])</f>
        <v>3.9550000000000001</v>
      </c>
      <c r="BD89" s="764">
        <f ca="1">-IFERROR((TabTRADER[[#This Row],[M]]-TabTRADER[[#This Row],[L_Sp]])/TabTRADER[[#This Row],[L_Sp]],0)</f>
        <v>-3.5398230088495491E-2</v>
      </c>
      <c r="BE89" s="729">
        <f ca="1">TabTRADER[[#This Row],[L_Sn]]*(TabTRADER[[#This Row],[M]]-TabTRADER[[#This Row],[L_Sp]])*(1-Commission)*TabTRADER[[#This Row],[Scale]]</f>
        <v>698.17999999999836</v>
      </c>
      <c r="BF89" s="692">
        <f ca="1">TabTRADER[[#This Row],[L_Sn]]*(TabTRADER[[#This Row],[Agiotage]]-TabTRADER[[#This Row],[M]])/(TabTRADER[[#This Row],[L_Bn]]*TabTRADER[[#This Row],[M]])</f>
        <v>-0.3576459958259669</v>
      </c>
      <c r="BG89" s="635">
        <f ca="1">IFERROR((TabTRADER[[#This Row],[M]]-TabTRADER[[#This Row],[A]])/TabTRADER[[#This Row],[A]],0)</f>
        <v>0.24292369591303722</v>
      </c>
      <c r="BH89" s="638" t="str">
        <f ca="1">TEXT(_xlfn.XLOOKUP(TabTRADER[[#This Row],[ClickTick]],TabCalc[Ticker],TabCalc[NAfter]),"#,#0")&amp;" : "&amp;TEXT(_xlfn.XLOOKUP(TabTRADER[[#This Row],[ClickTick]],TabCalc[Ticker],TabCalc[NAfter])*(TabTRADER[[#This Row],[M]]-TabTRADER[[#This Row],[A]])*(1-Commission)*TabTRADER[[#This Row],[Scale]],"#,#0$")</f>
        <v>43,000 : 34,326$</v>
      </c>
      <c r="BI89" s="684">
        <f ca="1">_xlfn.XLOOKUP(TabTRADER[[#This Row],[ClickTick]],TabCalc[[#This Row],[Ticker]],TabCalc[[#This Row],[GL]])*(1-Commission)</f>
        <v>33121.608591924021</v>
      </c>
      <c r="BJ89" s="684"/>
      <c r="BK89" s="669" t="str">
        <f ca="1">TabTRADER[[#This Row],[ClickTick]]&amp;": "&amp;_xlfn.XLOOKUP(TabTRADER[[#This Row],[ClickTick]],TabCalc[Ticker],TabCalc[Pile?])</f>
        <v xml:space="preserve">RIG: </v>
      </c>
      <c r="BL89" s="351" t="s">
        <v>2067</v>
      </c>
      <c r="BM89" s="755" t="str" cm="1">
        <f t="array" aca="1" ref="BM89" ca="1">_xlfn.TEXTJOIN("",,INDEX({"M","A","Y"}, _xlfn.SORTBY({1,2,3}, -CHOOSE({1,2,3}, TabTRADER[[#This Row],[M]], TabTRADER[[#This Row],[A]], TabTRADER[[#This Row],[Agiotage]]))))</f>
        <v>MAY</v>
      </c>
      <c r="BN89" s="902"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3.4188034188034115E-2</v>
      </c>
      <c r="BO89" s="679">
        <f ca="1">TabTRADER[[#This Row],[L_Sn]]*TabTRADER[[#This Row],[L_Sp]]+TabTRADER[[#This Row],[SellMore]]*TabTRADER[[#This Row],[M]]</f>
        <v>32060</v>
      </c>
      <c r="BP89" s="679">
        <f ca="1">INDEX(
  INDEX(TabConsolid[], , _xlfn.XMATCH(TabTRADER[[#This Row],[ClickTick]]&amp;1, TabConsolid[#Headers])),
  MATCH(
    -TabTRADER[[#This Row],[M]],
    INDEX(TabConsolid[], , _xlfn.XMATCH(TabTRADER[[#This Row],[ClickTick]]&amp;2, TabConsolid[#Headers])),
    -1
  )
)</f>
        <v>3000</v>
      </c>
      <c r="BQ89" s="679"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89" s="1144">
        <f ca="1">TabTRADER[[#This Row],[ReBuy]]/(TabTRADER[[#This Row],[L_Sn]]+TabTRADER[[#This Row],[SellMore]])</f>
        <v>4.0075000000000003</v>
      </c>
      <c r="BS89" s="687">
        <f ca="1">((_xlfn.XLOOKUP(TabTRADER[[#This Row],[ClickTick]],TabCalc[Ticker],TabCalc[NAfter])+TabTRADER[[#This Row],[L_Sn]])*(TabTRADER[[#This Row],[Agiotage]]-TabTRADER[[#This Row],[M]]))/(TabTRADER[[#This Row],[L_Sn]]*_xlfn.XLOOKUP(TabTRADER[[#This Row],[ClickTick]],TabCalc[Ticker],TabCalc[NAfter]))</f>
        <v>-8.5012619554807143E-4</v>
      </c>
      <c r="BT89" s="687">
        <f ca="1">(TabTRADER[[#This Row],[M]]-TabTRADER[[#This Row],[Agiotage]])/(TabTRADER[[#This Row],[M]]-TabTRADER[[#This Row],[A]])-1</f>
        <v>3.7577465481633032</v>
      </c>
      <c r="BU89" s="1262">
        <f ca="1">_xlfn.XMATCH(TabTRADER[[#This Row],[ClickTick]]&amp;1, TabConsolid[#Headers])</f>
        <v>263</v>
      </c>
      <c r="BV89" t="b">
        <f ca="1">IF(ABS(TabTRADER[[#This Row],[L_Bp]])&gt;=TabTRADER[[#This Row],[M]],"OK")</f>
        <v>0</v>
      </c>
    </row>
    <row r="90" spans="1:74" hidden="1"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16,080$</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0</v>
      </c>
      <c r="I90" s="226" t="str">
        <f ca="1">IFERROR(TRUNC(TabCalc[[#This Row],[L_S1p]],2)&amp;"x"&amp;TabCalc[[#This Row],[L_S1n]]&amp;"=   "&amp;TEXT(TabCalc[[#This Row],[ReverseB1]],"#,#0"),"")</f>
        <v>33.25x1300=   -7,573</v>
      </c>
      <c r="J90" s="295">
        <f ca="1">_xlfn.XLOOKUP(TabTRADER[[#This Row],[ClickTick]],TabCalc[Ticker],ListGravity)</f>
        <v>1.0598955854126677</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0.23248882465633719</v>
      </c>
      <c r="N90" s="324" cm="1">
        <f t="array" aca="1" ref="N90" ca="1">_xlfn.XLOOKUP(TabTRADER[[#This Row],[ClickTick]],ListTickers,Tab2RSIConventional[RSIConv20])</f>
        <v>58</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6.2135252017581438E-2</v>
      </c>
      <c r="S90" s="683">
        <f ca="1">_xlfn.XLOOKUP(TabTRADER[[#This Row],[ClickTick]],TabCalc[Ticker],TabCalc[Rev(MinStock)])*(1-Commission)</f>
        <v>0</v>
      </c>
      <c r="T90" s="782">
        <f ca="1">_xlfn.XLOOKUP(TabTRADER[[#This Row],[ClickTick]],TabCalc[Ticker],TabCalc[Agiotage])</f>
        <v>0.23248882465633719</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90" s="739" t="str">
        <f ca="1">_xlfn.XLOOKUP(TabTRADER[[#This Row],[ClickTick]],[1]!RTData[Ticker_Symbol],[1]!RTData[Currency])</f>
        <v>USD</v>
      </c>
      <c r="W90" s="749">
        <f ca="1">_xlfn.XLOOKUP(TabTRADER[[#This Row],[ClickTick]],TabCalc[Ticker],TabCalc[M])</f>
        <v>39.075000000000003</v>
      </c>
      <c r="X90" s="1315"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1.1529999999999999E-3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6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65"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39.075, 09.0%</v>
      </c>
      <c r="AG90" s="1165"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65" t="str" cm="1">
        <f t="array" aca="1" ref="AH90" ca="1">_xlfn.IFS(     TabTRADER[[#This Row],[Traps]]=MUp,MIN(TabTRADER[[#This Row],[L_Sn]],TabTRADER[[#This Row],[N]])*(TabTRADER[[#This Row],[M]]-TabTRADER[[#This Row],[L_Sp]])*(1-Commission)*TabTRADER[[#This Row],[Scale]],                                  TRUE,"M= "&amp;TabTRADER[[#This Row],[M]])</f>
        <v>M= 39.075</v>
      </c>
      <c r="AI90" s="1165" t="str" cm="1">
        <f t="array" aca="1" ref="AI90" ca="1">_xlfn.IFS(   TabTRADER[[#This Row],[Traps]]=MUp,TEXT(MIN(TabTRADER[[#This Row],[L_Sn]],TabTRADER[[#This Row],[N]]),"#,#0")&amp;" x "&amp;TEXT(TabTRADER[[#This Row],[L_Sp]],"#,#0.#0"),          TRUE,"")</f>
        <v/>
      </c>
      <c r="AJ90" s="1165"/>
      <c r="AK90" s="1165"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65"/>
      <c r="AM90" s="1165"/>
      <c r="AN90" s="760"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74"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74"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TabTRADER[[#This Row],[Traps]]=SellMorePercentGain,                     MIN(TabTRADER[[#This Row],[L_Sn]],TabTRADER[[#This Row],[N]])*(TabTRADER[[#This Row],[M]]-TabTRADER[[#This Row],[L_Sp]])*(1-Commission)*TabTRADER[[#This Row],[Scale]],                    TRUE,"")</f>
        <v/>
      </c>
      <c r="AR90" s="1163">
        <f ca="1">_xlfn.XLOOKUP(TabTRADER[[#This Row],[ClickTick]],TabCalc[Ticker],TabCalc[Ann%RevLB])</f>
        <v>6.903916890842382E-2</v>
      </c>
      <c r="AS90" s="1267">
        <f ca="1">_xlfn.XLOOKUP(TabTRADER[[#This Row],[ClickTick]],TabCalc[Ticker],TabCalc[Up20])</f>
        <v>0.5</v>
      </c>
      <c r="AT90" s="1175"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5" t="str" cm="1">
        <f t="array" aca="1" ref="AU90" ca="1">_xlfn.IFS(         TabTRADER[[#This Row],[Traps]]=MDown,TabTRADER[[#This Row],[L_Bn]]*TabTRADER[[#This Row],[M]]*(-(TabTRADER[[#This Row],[L_Bp]]+TabTRADER[[#This Row],[M]])/TabTRADER[[#This Row],[M]])*(1-Commission)*TabTRADER[[#This Row],[Scale]],                               TRUE,"")</f>
        <v/>
      </c>
      <c r="AV90" s="1174" t="str" cm="1">
        <f t="array" aca="1" ref="AV90" ca="1">_xlfn.IFS(   TabTRADER[[#This Row],[Traps]]=MUp,TabTRADER[[#This Row],[TakeGain_A]]-Commission,        TabTRADER[[#This Row],[Traps]]=MDown,(TabTRADER[[#This Row],[A]]-TabTRADER[[#This Row],[M]])/TabTRADER[[#This Row],[M]]-Commission,                              TRUE,"")</f>
        <v/>
      </c>
      <c r="AW90" s="825"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60"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90" s="736"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0x39.07</v>
      </c>
      <c r="AZ90" s="765" t="str" cm="1">
        <f t="array" aca="1" ref="AZ90" ca="1">_xlfn.IFS(TabTRADER[[#This Row],[Traps]]=Sale_Back,"",         TabTRADER[[#This Row],[Traps]]=MDown, (TabTRADER[[#This Row],[M]]-TabTRADER[[#This Row],[A]])/TabTRADER[[#This Row],[A]]*ComFactor,             TRUE, IFERROR((TabTRADER[[#This Row],[M]]-TabTRADER[[#This Row],[A]])/TabTRADER[[#This Row],[A]]*ComFactor,""))</f>
        <v/>
      </c>
      <c r="BA90" s="762" cm="1">
        <f t="array" aca="1" ref="BA90" ca="1">_xlfn.IFS(               TabTRADER[[#This Row],[Traps]]=NoStock,(TabTRADER[[#This Row],[L_Sp]]-TabTRADER[[#This Row],[M]])/TabTRADER[[#This Row],[M]]-Commission,             TabTRADER[[#This Row],[A]]&lt;&gt;0,(TabTRADER[[#This Row],[A]]-TabTRADER[[#This Row],[M]])/TabTRADER[[#This Row],[M]]-Commission)</f>
        <v>-8.4903262955854153E-2</v>
      </c>
      <c r="BB90" s="324">
        <f ca="1">_xlfn.XLOOKUP(TabTRADER[[#This Row],[ClickTick]],TabCalc[Ticker],TabCalc[L_Sn])</f>
        <v>5000</v>
      </c>
      <c r="BC90" s="728">
        <f ca="1">_xlfn.XLOOKUP(TabTRADER[[#This Row],[ClickTick]],TabCalc[Ticker],TabCalc[L_Sp])</f>
        <v>35.859000000000002</v>
      </c>
      <c r="BD90" s="764">
        <f ca="1">-IFERROR((TabTRADER[[#This Row],[M]]-TabTRADER[[#This Row],[L_Sp]])/TabTRADER[[#This Row],[L_Sp]],0)</f>
        <v>-8.9684598008868091E-2</v>
      </c>
      <c r="BE90" s="729">
        <f ca="1">TabTRADER[[#This Row],[L_Sn]]*(TabTRADER[[#This Row],[M]]-TabTRADER[[#This Row],[L_Sp]])*(1-Commission)*TabTRADER[[#This Row],[Scale]]</f>
        <v>16038.192000000005</v>
      </c>
      <c r="BF90" s="692">
        <f ca="1">TabTRADER[[#This Row],[L_Sn]]*(TabTRADER[[#This Row],[Agiotage]]-TabTRADER[[#This Row],[M]])/(TabTRADER[[#This Row],[L_Bn]]*TabTRADER[[#This Row],[M]])</f>
        <v>-2.1609786739738892</v>
      </c>
      <c r="BG90" s="635">
        <f ca="1">IFERROR((TabTRADER[[#This Row],[M]]-TabTRADER[[#This Row],[A]])/TabTRADER[[#This Row],[A]],0)</f>
        <v>0</v>
      </c>
      <c r="BH90" s="638" t="str">
        <f ca="1">TEXT(_xlfn.XLOOKUP(TabTRADER[[#This Row],[ClickTick]],TabCalc[Ticker],TabCalc[NAfter]),"#,#0")&amp;" : "&amp;TEXT(_xlfn.XLOOKUP(TabTRADER[[#This Row],[ClickTick]],TabCalc[Ticker],TabCalc[NAfter])*(TabTRADER[[#This Row],[M]]-TabTRADER[[#This Row],[A]])*(1-Commission)*TabTRADER[[#This Row],[Scale]],"#,#0$")</f>
        <v>0 : 0$</v>
      </c>
      <c r="BI90" s="684">
        <f ca="1">_xlfn.XLOOKUP(TabTRADER[[#This Row],[ClickTick]],TabCalc[[#This Row],[Ticker]],TabCalc[[#This Row],[GL]])*(1-Commission)</f>
        <v>9803.4037285427712</v>
      </c>
      <c r="BJ90" s="684"/>
      <c r="BK90" s="669" t="str">
        <f ca="1">TabTRADER[[#This Row],[ClickTick]]&amp;": "&amp;_xlfn.XLOOKUP(TabTRADER[[#This Row],[ClickTick]],TabCalc[Ticker],TabCalc[Pile?])</f>
        <v>RRC: Pile</v>
      </c>
      <c r="BL90" s="351" t="s">
        <v>2068</v>
      </c>
      <c r="BM90" s="755" t="str" cm="1">
        <f t="array" aca="1" ref="BM90" ca="1">_xlfn.TEXTJOIN("",,INDEX({"M","A","Y"}, _xlfn.SORTBY({1,2,3}, -CHOOSE({1,2,3}, TabTRADER[[#This Row],[M]], TabTRADER[[#This Row],[A]], TabTRADER[[#This Row],[Agiotage]]))))</f>
        <v>MYA</v>
      </c>
      <c r="BN90" s="902"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9" t="e">
        <f ca="1">TabTRADER[[#This Row],[L_Sn]]*TabTRADER[[#This Row],[L_Sp]]+TabTRADER[[#This Row],[SellMore]]*TabTRADER[[#This Row],[M]]</f>
        <v>#N/A</v>
      </c>
      <c r="BP90" s="679" t="e">
        <f ca="1">INDEX(
  INDEX(TabConsolid[], , _xlfn.XMATCH(TabTRADER[[#This Row],[ClickTick]]&amp;1, TabConsolid[#Headers])),
  MATCH(
    -TabTRADER[[#This Row],[M]],
    INDEX(TabConsolid[], , _xlfn.XMATCH(TabTRADER[[#This Row],[ClickTick]]&amp;2, TabConsolid[#Headers])),
    -1
  )
)</f>
        <v>#N/A</v>
      </c>
      <c r="BQ90" s="679"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44" t="e">
        <f ca="1">TabTRADER[[#This Row],[ReBuy]]/(TabTRADER[[#This Row],[L_Sn]]+TabTRADER[[#This Row],[SellMore]])</f>
        <v>#N/A</v>
      </c>
      <c r="BS90" s="687" t="e">
        <f ca="1">((_xlfn.XLOOKUP(TabTRADER[[#This Row],[ClickTick]],TabCalc[Ticker],TabCalc[NAfter])+TabTRADER[[#This Row],[L_Sn]])*(TabTRADER[[#This Row],[Agiotage]]-TabTRADER[[#This Row],[M]]))/(TabTRADER[[#This Row],[L_Sn]]*_xlfn.XLOOKUP(TabTRADER[[#This Row],[ClickTick]],TabCalc[Ticker],TabCalc[NAfter]))</f>
        <v>#DIV/0!</v>
      </c>
      <c r="BT90" s="687">
        <f ca="1">(TabTRADER[[#This Row],[M]]-TabTRADER[[#This Row],[Agiotage]])/(TabTRADER[[#This Row],[M]]-TabTRADER[[#This Row],[A]])-1</f>
        <v>-5.9498099720111108E-3</v>
      </c>
      <c r="BU90" s="1262">
        <f ca="1">_xlfn.XMATCH(TabTRADER[[#This Row],[ClickTick]]&amp;1, TabConsolid[#Headers])</f>
        <v>266</v>
      </c>
      <c r="BV90" t="b">
        <f ca="1">IF(ABS(TabTRADER[[#This Row],[L_Bp]])&gt;=TabTRADER[[#This Row],[M]],"OK")</f>
        <v>0</v>
      </c>
    </row>
    <row r="91" spans="1:74" hidden="1"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-11,667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-33.8%</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-1,587$</v>
      </c>
      <c r="G91" s="225" t="str">
        <f ca="1">IFERROR(TRUNC(_xlfn.XLOOKUP(TabTRADER[[#This Row],[ClickTick]],TabCalc[Ticker],ListLastSalep),2)&amp;"x"&amp;_xlfn.XLOOKUP(TabTRADER[[#This Row],[ClickTick]],TabCalc[Ticker],ListLastSalen)&amp;"=   "&amp;TEXT(-_xlfn.XLOOKUP(TabTRADER[[#This Row],[ClickTick]],TabCalc[Ticker],ListReverseB),"#,#0")&amp;"$","")</f>
        <v>61.26x2000=   -7,530$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 = 1,328</v>
      </c>
      <c r="I91" s="226" t="str">
        <f ca="1">IFERROR(TRUNC(TabCalc[[#This Row],[L_S1p]],2)&amp;"x"&amp;TabCalc[[#This Row],[L_S1n]]&amp;"=   "&amp;TEXT(TabCalc[[#This Row],[ReverseB1]],"#,#0"),"")</f>
        <v>67.82x1500=   15,488</v>
      </c>
      <c r="J91" s="295">
        <f ca="1">_xlfn.XLOOKUP(TabTRADER[[#This Row],[ClickTick]],TabCalc[Ticker],ListGravity)</f>
        <v>1.5393557700669624</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8624.25</v>
      </c>
      <c r="M91" s="323">
        <f ca="1">_xlfn.XLOOKUP(TabTRADER[[#This Row],[ClickTick]],TabCalc[Ticker],TabCalc[Agiotage])</f>
        <v>0.63831835430216688</v>
      </c>
      <c r="N91" s="324" cm="1">
        <f t="array" aca="1" ref="N91" ca="1">_xlfn.XLOOKUP(TabTRADER[[#This Row],[ClickTick]],ListTickers,Tab2RSIConventional[RSIConv20])</f>
        <v>22</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-0.25272939953210294</v>
      </c>
      <c r="S91" s="683">
        <f ca="1">_xlfn.XLOOKUP(TabTRADER[[#This Row],[ClickTick]],TabCalc[Ticker],TabCalc[Rev(MinStock)])*(1-Commission)</f>
        <v>-11636.665799999999</v>
      </c>
      <c r="T91" s="782">
        <f ca="1">_xlfn.XLOOKUP(TabTRADER[[#This Row],[ClickTick]],TabCalc[Ticker],TabCalc[Agiotage])</f>
        <v>0.63831835430216688</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-663/-663=&gt;-0.3% / -0.3%</v>
      </c>
      <c r="V91" s="739" t="str">
        <f ca="1">_xlfn.XLOOKUP(TabTRADER[[#This Row],[ClickTick]],[1]!RTData[Ticker_Symbol],[1]!RTData[Currency])</f>
        <v>USD</v>
      </c>
      <c r="W91" s="749">
        <f ca="1">_xlfn.XLOOKUP(TabTRADER[[#This Row],[ClickTick]],TabCalc[Ticker],TabCalc[M])</f>
        <v>57.494999999999997</v>
      </c>
      <c r="X91" s="1315"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-2.516E-3</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-174/34 K$</v>
      </c>
      <c r="AE91" s="1182"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65"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57.495, -06.1%</v>
      </c>
      <c r="AG91" s="1165"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65" t="str" cm="1">
        <f t="array" aca="1" ref="AH91" ca="1">_xlfn.IFS(     TabTRADER[[#This Row],[Traps]]=MUp,MIN(TabTRADER[[#This Row],[L_Sn]],TabTRADER[[#This Row],[N]])*(TabTRADER[[#This Row],[M]]-TabTRADER[[#This Row],[L_Sp]])*(1-Commission)*TabTRADER[[#This Row],[Scale]],                                  TRUE,"M= "&amp;TabTRADER[[#This Row],[M]])</f>
        <v>M= 57.495</v>
      </c>
      <c r="AI91" s="1165" t="str" cm="1">
        <f t="array" aca="1" ref="AI91" ca="1">_xlfn.IFS(   TabTRADER[[#This Row],[Traps]]=MUp,TEXT(MIN(TabTRADER[[#This Row],[L_Sn]],TabTRADER[[#This Row],[N]]),"#,#0")&amp;" x "&amp;TEXT(TabTRADER[[#This Row],[L_Sp]],"#,#0.#0"),          TRUE,"")</f>
        <v/>
      </c>
      <c r="AJ91" s="1165"/>
      <c r="AK91" s="1165"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11636.665799999999</v>
      </c>
      <c r="AL91" s="1165"/>
      <c r="AM91" s="1165"/>
      <c r="AN91" s="760"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34497</v>
      </c>
      <c r="AO91" s="1174"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0.25272939953210294</v>
      </c>
      <c r="AP91" s="1174"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0.33560332202800247</v>
      </c>
      <c r="AQ91" s="825" t="str" cm="1">
        <f t="array" aca="1" ref="AQ91" ca="1">_xlfn.IFS(   TabTRADER[[#This Row],[Traps]]=SellMorePercentGain,                     MIN(TabTRADER[[#This Row],[L_Sn]],TabTRADER[[#This Row],[N]])*(TabTRADER[[#This Row],[M]]-TabTRADER[[#This Row],[L_Sp]])*(1-Commission)*TabTRADER[[#This Row],[Scale]],                    TRUE,"")</f>
        <v/>
      </c>
      <c r="AR91" s="1163">
        <f ca="1">_xlfn.XLOOKUP(TabTRADER[[#This Row],[ClickTick]],TabCalc[Ticker],TabCalc[Ann%RevLB])</f>
        <v>-1.4915177677304436</v>
      </c>
      <c r="AS91" s="1267">
        <f ca="1">_xlfn.XLOOKUP(TabTRADER[[#This Row],[ClickTick]],TabCalc[Ticker],TabCalc[Up20])</f>
        <v>0</v>
      </c>
      <c r="AT91" s="1175"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0.33820332202800246</v>
      </c>
      <c r="AU91" s="825" cm="1">
        <f t="array" aca="1" ref="AU91" ca="1">_xlfn.IFS(         TabTRADER[[#This Row],[Traps]]=MDown,TabTRADER[[#This Row],[L_Bn]]*TabTRADER[[#This Row],[M]]*(-(TabTRADER[[#This Row],[L_Bp]]+TabTRADER[[#This Row],[M]])/TabTRADER[[#This Row],[M]])*(1-Commission)*TabTRADER[[#This Row],[Scale]],                               TRUE,"")</f>
        <v>11636.665800000001</v>
      </c>
      <c r="AV91" s="1174" cm="1">
        <f t="array" aca="1" ref="AV91" ca="1">_xlfn.IFS(   TabTRADER[[#This Row],[Traps]]=MUp,TabTRADER[[#This Row],[TakeGain_A]]-Commission,        TabTRADER[[#This Row],[Traps]]=MDown,(TabTRADER[[#This Row],[A]]-TabTRADER[[#This Row],[M]])/TabTRADER[[#This Row],[M]]-Commission,                              TRUE,"")</f>
        <v>0.33560332202800247</v>
      </c>
      <c r="AW91" s="825"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11636.665799999999</v>
      </c>
      <c r="AX91" s="760"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91" s="736"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-19.440000000000001</v>
      </c>
      <c r="AZ91" s="765" cm="1">
        <f t="array" aca="1" ref="AZ91" ca="1">_xlfn.IFS(TabTRADER[[#This Row],[Traps]]=Sale_Back,"",         TabTRADER[[#This Row],[Traps]]=MDown, (TabTRADER[[#This Row],[M]]-TabTRADER[[#This Row],[A]])/TabTRADER[[#This Row],[A]]*ComFactor,             TRUE, IFERROR((TabTRADER[[#This Row],[M]]-TabTRADER[[#This Row],[A]])/TabTRADER[[#This Row],[A]]*ComFactor,""))</f>
        <v>-0.25207230309331946</v>
      </c>
      <c r="BA91" s="762" cm="1">
        <f t="array" aca="1" ref="BA91" ca="1">_xlfn.IFS(               TabTRADER[[#This Row],[Traps]]=NoStock,(TabTRADER[[#This Row],[L_Sp]]-TabTRADER[[#This Row],[M]])/TabTRADER[[#This Row],[M]]-Commission,             TabTRADER[[#This Row],[A]]&lt;&gt;0,(TabTRADER[[#This Row],[A]]-TabTRADER[[#This Row],[M]])/TabTRADER[[#This Row],[M]]-Commission)</f>
        <v>0.33560332202800247</v>
      </c>
      <c r="BB91" s="324">
        <f ca="1">_xlfn.XLOOKUP(TabTRADER[[#This Row],[ClickTick]],TabCalc[Ticker],TabCalc[L_Sn])</f>
        <v>2000</v>
      </c>
      <c r="BC91" s="728">
        <f ca="1">_xlfn.XLOOKUP(TabTRADER[[#This Row],[ClickTick]],TabCalc[Ticker],TabCalc[L_Sp])</f>
        <v>61.26</v>
      </c>
      <c r="BD91" s="764">
        <f ca="1">-IFERROR((TabTRADER[[#This Row],[M]]-TabTRADER[[#This Row],[L_Sp]])/TabTRADER[[#This Row],[L_Sp]],0)</f>
        <v>6.1459353574926552E-2</v>
      </c>
      <c r="BE91" s="729">
        <f ca="1">TabTRADER[[#This Row],[L_Sn]]*(TabTRADER[[#This Row],[M]]-TabTRADER[[#This Row],[L_Sp]])*(1-Commission)*TabTRADER[[#This Row],[Scale]]</f>
        <v>-7510.4220000000005</v>
      </c>
      <c r="BF91" s="692">
        <f ca="1">TabTRADER[[#This Row],[L_Sn]]*(TabTRADER[[#This Row],[Agiotage]]-TabTRADER[[#This Row],[M]])/(TabTRADER[[#This Row],[L_Bn]]*TabTRADER[[#This Row],[M]])</f>
        <v>-3.2963261527493888</v>
      </c>
      <c r="BG91" s="635">
        <f ca="1">IFERROR((TabTRADER[[#This Row],[M]]-TabTRADER[[#This Row],[A]])/TabTRADER[[#This Row],[A]],0)</f>
        <v>-0.25272939953210294</v>
      </c>
      <c r="BH91" s="638" t="str">
        <f ca="1">TEXT(_xlfn.XLOOKUP(TabTRADER[[#This Row],[ClickTick]],TabCalc[Ticker],TabCalc[NAfter]),"#,#0")&amp;" : "&amp;TEXT(_xlfn.XLOOKUP(TabTRADER[[#This Row],[ClickTick]],TabCalc[Ticker],TabCalc[NAfter])*(TabTRADER[[#This Row],[M]]-TabTRADER[[#This Row],[A]])*(1-Commission)*TabTRADER[[#This Row],[Scale]],"#,#0$")</f>
        <v>600 : -11,637$</v>
      </c>
      <c r="BI91" s="684">
        <f ca="1">_xlfn.XLOOKUP(TabTRADER[[#This Row],[ClickTick]],TabCalc[[#This Row],[Ticker]],TabCalc[[#This Row],[GL]])*(1-Commission)</f>
        <v>-173327.64750723599</v>
      </c>
      <c r="BJ91" s="684"/>
      <c r="BK91" s="669" t="str">
        <f ca="1">TabTRADER[[#This Row],[ClickTick]]&amp;": "&amp;_xlfn.XLOOKUP(TabTRADER[[#This Row],[ClickTick]],TabCalc[Ticker],TabCalc[Pile?])</f>
        <v>XYZ: Pile</v>
      </c>
      <c r="BL91" s="351" t="s">
        <v>2069</v>
      </c>
      <c r="BM91" s="755" t="str" cm="1">
        <f t="array" aca="1" ref="BM91" ca="1">_xlfn.TEXTJOIN("",,INDEX({"M","A","Y"}, _xlfn.SORTBY({1,2,3}, -CHOOSE({1,2,3}, TabTRADER[[#This Row],[M]], TabTRADER[[#This Row],[A]], TabTRADER[[#This Row],[Agiotage]]))))</f>
        <v>AMY</v>
      </c>
      <c r="BN91" s="902"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0.33820332202800246</v>
      </c>
      <c r="BO91" s="679" t="e">
        <f ca="1">TabTRADER[[#This Row],[L_Sn]]*TabTRADER[[#This Row],[L_Sp]]+TabTRADER[[#This Row],[SellMore]]*TabTRADER[[#This Row],[M]]</f>
        <v>#N/A</v>
      </c>
      <c r="BP91" s="679" t="e">
        <f ca="1">INDEX(
  INDEX(TabConsolid[], , _xlfn.XMATCH(TabTRADER[[#This Row],[ClickTick]]&amp;1, TabConsolid[#Headers])),
  MATCH(
    -TabTRADER[[#This Row],[M]],
    INDEX(TabConsolid[], , _xlfn.XMATCH(TabTRADER[[#This Row],[ClickTick]]&amp;2, TabConsolid[#Headers])),
    -1
  )
)</f>
        <v>#N/A</v>
      </c>
      <c r="BQ91" s="679"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44" t="e">
        <f ca="1">TabTRADER[[#This Row],[ReBuy]]/(TabTRADER[[#This Row],[L_Sn]]+TabTRADER[[#This Row],[SellMore]])</f>
        <v>#N/A</v>
      </c>
      <c r="BS91" s="687">
        <f ca="1">((_xlfn.XLOOKUP(TabTRADER[[#This Row],[ClickTick]],TabCalc[Ticker],TabCalc[NAfter])+TabTRADER[[#This Row],[L_Sn]])*(TabTRADER[[#This Row],[Agiotage]]-TabTRADER[[#This Row],[M]]))/(TabTRADER[[#This Row],[L_Sn]]*_xlfn.XLOOKUP(TabTRADER[[#This Row],[ClickTick]],TabCalc[Ticker],TabCalc[NAfter]))</f>
        <v>-0.12318947689901198</v>
      </c>
      <c r="BT91" s="687">
        <f ca="1">(TabTRADER[[#This Row],[M]]-TabTRADER[[#This Row],[Agiotage]])/(TabTRADER[[#This Row],[M]]-TabTRADER[[#This Row],[A]])-1</f>
        <v>-3.9239743710824291</v>
      </c>
      <c r="BU91" s="1262">
        <f ca="1">_xlfn.XMATCH(TabTRADER[[#This Row],[ClickTick]]&amp;1, TabConsolid[#Headers])</f>
        <v>269</v>
      </c>
      <c r="BV91" t="str">
        <f ca="1">IF(ABS(TabTRADER[[#This Row],[L_Bp]])&gt;=TabTRADER[[#This Row],[M]],"OK")</f>
        <v>OK</v>
      </c>
    </row>
    <row r="92" spans="1:74" hidden="1"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-2,298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456</v>
      </c>
      <c r="F92" s="226" t="str">
        <f ca="1">TRUNC(TabCalc[[#This Row],[L_B1p]],2)&amp;"x"&amp;TabCalc[[#This Row],[L_B1n]]&amp;"=   "&amp;TEXT(TabCalc[[#This Row],[ReverseS1]],"#,#0")&amp;"$"</f>
        <v>-152.18x1000=   41,400$</v>
      </c>
      <c r="G92" s="225" t="str">
        <f ca="1">IFERROR(TRUNC(_xlfn.XLOOKUP(TabTRADER[[#This Row],[ClickTick]],TabCalc[Ticker],ListLastSalep),2)&amp;"x"&amp;_xlfn.XLOOKUP(TabTRADER[[#This Row],[ClickTick]],TabCalc[Ticker],ListLastSalen)&amp;"=   "&amp;TEXT(-_xlfn.XLOOKUP(TabTRADER[[#This Row],[ClickTick]],TabCalc[Ticker],ListReverseB),"#,#0")&amp;"$","")</f>
        <v>204.54x1000=   -10,960$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456</v>
      </c>
      <c r="I92" s="226" t="str">
        <f ca="1">IFERROR(TRUNC(TabCalc[[#This Row],[L_S1p]],2)&amp;"x"&amp;TabCalc[[#This Row],[L_S1n]]&amp;"=   "&amp;TEXT(TabCalc[[#This Row],[ReverseB1]],"#,#0"),"")</f>
        <v>194.28x250=   175</v>
      </c>
      <c r="J92" s="295">
        <f ca="1">_xlfn.XLOOKUP(TabTRADER[[#This Row],[ClickTick]],TabCalc[Ticker],ListGravity)</f>
        <v>1.18617135034611</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0.33936913170887295</v>
      </c>
      <c r="N92" s="324" cm="1">
        <f t="array" aca="1" ref="N92" ca="1">_xlfn.XLOOKUP(TabTRADER[[#This Row],[ClickTick]],ListTickers,Tab2RSIConventional[RSIConv20])</f>
        <v>58</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-3.8064003180282233E-2</v>
      </c>
      <c r="S92" s="683">
        <f ca="1">_xlfn.XLOOKUP(TabTRADER[[#This Row],[ClickTick]],TabCalc[Ticker],TabCalc[Rev(MinStock)])*(1-Commission)</f>
        <v>-2292.0251999999991</v>
      </c>
      <c r="T92" s="782">
        <f ca="1">_xlfn.XLOOKUP(TabTRADER[[#This Row],[ClickTick]],TabCalc[Ticker],TabCalc[Agiotage])</f>
        <v>0.33936913170887295</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1,478/1,478=&gt;0.3% / 0.3%</v>
      </c>
      <c r="V92" s="739" t="str">
        <f ca="1">_xlfn.XLOOKUP(TabTRADER[[#This Row],[ClickTick]],[1]!RTData[Ticker_Symbol],[1]!RTData[Currency])</f>
        <v>USD</v>
      </c>
      <c r="W92" s="749">
        <f ca="1">_xlfn.XLOOKUP(TabTRADER[[#This Row],[ClickTick]],TabCalc[Ticker],TabCalc[M])</f>
        <v>193.58</v>
      </c>
      <c r="X92" s="1315"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3.0049999999999999E-3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^283/290 K$</v>
      </c>
      <c r="AE92" s="1182"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2" s="1165"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193.58, -05.4%</v>
      </c>
      <c r="AG92" s="1165" t="str"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-201.24</v>
      </c>
      <c r="AH92" s="1165" t="str" cm="1">
        <f t="array" aca="1" ref="AH92" ca="1">_xlfn.IFS(     TabTRADER[[#This Row],[Traps]]=MUp,MIN(TabTRADER[[#This Row],[L_Sn]],TabTRADER[[#This Row],[N]])*(TabTRADER[[#This Row],[M]]-TabTRADER[[#This Row],[L_Sp]])*(1-Commission)*TabTRADER[[#This Row],[Scale]],                                  TRUE,"M= "&amp;TabTRADER[[#This Row],[M]])</f>
        <v>M= 193.58</v>
      </c>
      <c r="AI92" s="1165" t="str" cm="1">
        <f t="array" aca="1" ref="AI92" ca="1">_xlfn.IFS(   TabTRADER[[#This Row],[Traps]]=MUp,TEXT(MIN(TabTRADER[[#This Row],[L_Sn]],TabTRADER[[#This Row],[N]]),"#,#0")&amp;" x "&amp;TEXT(TabTRADER[[#This Row],[L_Sp]],"#,#0.#0"),          TRUE,"")</f>
        <v/>
      </c>
      <c r="AJ92" s="1165"/>
      <c r="AK92" s="1165"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2292.0251999999991</v>
      </c>
      <c r="AL92" s="1165"/>
      <c r="AM92" s="1165"/>
      <c r="AN92" s="760"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290370</v>
      </c>
      <c r="AO92" s="1174"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-0.20624678557996509</v>
      </c>
      <c r="AP92" s="1174"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3.6970203533422855E-2</v>
      </c>
      <c r="AQ92" s="825" t="str" cm="1">
        <f t="array" aca="1" ref="AQ92" ca="1">_xlfn.IFS(   TabTRADER[[#This Row],[Traps]]=SellMorePercentGain,                     MIN(TabTRADER[[#This Row],[L_Sn]],TabTRADER[[#This Row],[N]])*(TabTRADER[[#This Row],[M]]-TabTRADER[[#This Row],[L_Sp]])*(1-Commission)*TabTRADER[[#This Row],[Scale]],                    TRUE,"")</f>
        <v/>
      </c>
      <c r="AR92" s="1313">
        <f ca="1">_xlfn.XLOOKUP(TabTRADER[[#This Row],[ClickTick]],TabCalc[Ticker],TabCalc[Ann%RevLB])</f>
        <v>-0.32626288440241913</v>
      </c>
      <c r="AS92" s="1267">
        <f ca="1">_xlfn.XLOOKUP(TabTRADER[[#This Row],[ClickTick]],TabCalc[Ticker],TabCalc[Up20])</f>
        <v>0</v>
      </c>
      <c r="AT92" s="1175"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3.9570203533422853E-2</v>
      </c>
      <c r="AU92" s="825" cm="1">
        <f t="array" aca="1" ref="AU92" ca="1">_xlfn.IFS(         TabTRADER[[#This Row],[Traps]]=MDown,TabTRADER[[#This Row],[L_Bn]]*TabTRADER[[#This Row],[M]]*(-(TabTRADER[[#This Row],[L_Bp]]+TabTRADER[[#This Row],[M]])/TabTRADER[[#This Row],[M]])*(1-Commission)*TabTRADER[[#This Row],[Scale]],                               TRUE,"")</f>
        <v>2292.0251999999991</v>
      </c>
      <c r="AV92" s="1174" cm="1">
        <f t="array" aca="1" ref="AV92" ca="1">_xlfn.IFS(   TabTRADER[[#This Row],[Traps]]=MUp,TabTRADER[[#This Row],[TakeGain_A]]-Commission,        TabTRADER[[#This Row],[Traps]]=MDown,(TabTRADER[[#This Row],[A]]-TabTRADER[[#This Row],[M]])/TabTRADER[[#This Row],[M]]-Commission,                              TRUE,"")</f>
        <v>-0.17358224678858014</v>
      </c>
      <c r="AW92" s="760"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-49519.029901000016</v>
      </c>
      <c r="AX92" s="760"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92" s="736"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-7.66</v>
      </c>
      <c r="AZ92" s="765" cm="1">
        <f t="array" aca="1" ref="AZ92" ca="1">_xlfn.IFS(TabTRADER[[#This Row],[Traps]]=Sale_Back,"",         TabTRADER[[#This Row],[Traps]]=MDown, (TabTRADER[[#This Row],[M]]-TabTRADER[[#This Row],[A]])/TabTRADER[[#This Row],[A]]*ComFactor,             TRUE, IFERROR((TabTRADER[[#This Row],[M]]-TabTRADER[[#This Row],[A]])/TabTRADER[[#This Row],[A]]*ComFactor,""))</f>
        <v>0.20571054393745716</v>
      </c>
      <c r="BA92" s="762" cm="1">
        <f t="array" aca="1" ref="BA92" ca="1">_xlfn.IFS(               TabTRADER[[#This Row],[Traps]]=NoStock,(TabTRADER[[#This Row],[L_Sp]]-TabTRADER[[#This Row],[M]])/TabTRADER[[#This Row],[M]]-Commission,             TabTRADER[[#This Row],[A]]&lt;&gt;0,(TabTRADER[[#This Row],[A]]-TabTRADER[[#This Row],[M]])/TabTRADER[[#This Row],[M]]-Commission)</f>
        <v>-0.17358224678858014</v>
      </c>
      <c r="BB92" s="324">
        <f ca="1">_xlfn.XLOOKUP(TabTRADER[[#This Row],[ClickTick]],TabCalc[Ticker],TabCalc[L_Sn])</f>
        <v>1000</v>
      </c>
      <c r="BC92" s="728">
        <f ca="1">_xlfn.XLOOKUP(TabTRADER[[#This Row],[ClickTick]],TabCalc[Ticker],TabCalc[L_Sp])</f>
        <v>204.54</v>
      </c>
      <c r="BD92" s="764">
        <f ca="1">-IFERROR((TabTRADER[[#This Row],[M]]-TabTRADER[[#This Row],[L_Sp]])/TabTRADER[[#This Row],[L_Sp]],0)</f>
        <v>5.358365111958531E-2</v>
      </c>
      <c r="BE92" s="729">
        <f ca="1">TabTRADER[[#This Row],[L_Sn]]*(TabTRADER[[#This Row],[M]]-TabTRADER[[#This Row],[L_Sp]])*(1-Commission)*TabTRADER[[#This Row],[Scale]]</f>
        <v>-10931.503999999979</v>
      </c>
      <c r="BF92" s="692">
        <f ca="1">TabTRADER[[#This Row],[L_Sn]]*(TabTRADER[[#This Row],[Agiotage]]-TabTRADER[[#This Row],[M]])/(TabTRADER[[#This Row],[L_Bn]]*TabTRADER[[#This Row],[M]])</f>
        <v>-3.3274895972085807</v>
      </c>
      <c r="BG92" s="635">
        <f ca="1">IFERROR((TabTRADER[[#This Row],[M]]-TabTRADER[[#This Row],[A]])/TabTRADER[[#This Row],[A]],0)</f>
        <v>0.20624678557996509</v>
      </c>
      <c r="BH92" s="638" t="str">
        <f ca="1">TEXT(_xlfn.XLOOKUP(TabTRADER[[#This Row],[ClickTick]],TabCalc[Ticker],TabCalc[NAfter]),"#,#0")&amp;" : "&amp;TEXT(_xlfn.XLOOKUP(TabTRADER[[#This Row],[ClickTick]],TabCalc[Ticker],TabCalc[NAfter])*(TabTRADER[[#This Row],[M]]-TabTRADER[[#This Row],[A]])*(1-Commission)*TabTRADER[[#This Row],[Scale]],"#,#0$")</f>
        <v>1,500 : 49,519$</v>
      </c>
      <c r="BI92" s="684">
        <f ca="1">_xlfn.XLOOKUP(TabTRADER[[#This Row],[ClickTick]],TabCalc[[#This Row],[Ticker]],TabCalc[[#This Row],[GL]])*(1-Commission)</f>
        <v>282027.93310006754</v>
      </c>
      <c r="BJ92" s="684"/>
      <c r="BK92" s="669" t="str">
        <f ca="1">TabTRADER[[#This Row],[ClickTick]]&amp;": "&amp;_xlfn.XLOOKUP(TabTRADER[[#This Row],[ClickTick]],TabCalc[Ticker],TabCalc[Pile?])</f>
        <v>THC: Pile</v>
      </c>
      <c r="BL92" s="351" t="s">
        <v>2070</v>
      </c>
      <c r="BM92" s="755" t="str" cm="1">
        <f t="array" aca="1" ref="BM92" ca="1">_xlfn.TEXTJOIN("",,INDEX({"M","A","Y"}, _xlfn.SORTBY({1,2,3}, -CHOOSE({1,2,3}, TabTRADER[[#This Row],[M]], TabTRADER[[#This Row],[A]], TabTRADER[[#This Row],[Agiotage]]))))</f>
        <v>MAY</v>
      </c>
      <c r="BN92" s="902"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3.9570203533422853E-2</v>
      </c>
      <c r="BO92" s="679">
        <f ca="1">TabTRADER[[#This Row],[L_Sn]]*TabTRADER[[#This Row],[L_Sp]]+TabTRADER[[#This Row],[SellMore]]*TabTRADER[[#This Row],[M]]</f>
        <v>398120</v>
      </c>
      <c r="BP92" s="679">
        <f ca="1">INDEX(
  INDEX(TabConsolid[], , _xlfn.XMATCH(TabTRADER[[#This Row],[ClickTick]]&amp;1, TabConsolid[#Headers])),
  MATCH(
    -TabTRADER[[#This Row],[M]],
    INDEX(TabConsolid[], , _xlfn.XMATCH(TabTRADER[[#This Row],[ClickTick]]&amp;2, TabConsolid[#Headers])),
    -1
  )
)</f>
        <v>1000</v>
      </c>
      <c r="BQ92" s="679"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44">
        <f ca="1">TabTRADER[[#This Row],[ReBuy]]/(TabTRADER[[#This Row],[L_Sn]]+TabTRADER[[#This Row],[SellMore]])</f>
        <v>199.06</v>
      </c>
      <c r="BS92" s="687">
        <f ca="1">((_xlfn.XLOOKUP(TabTRADER[[#This Row],[ClickTick]],TabCalc[Ticker],TabCalc[NAfter])+TabTRADER[[#This Row],[L_Sn]])*(TabTRADER[[#This Row],[Agiotage]]-TabTRADER[[#This Row],[M]]))/(TabTRADER[[#This Row],[L_Sn]]*_xlfn.XLOOKUP(TabTRADER[[#This Row],[ClickTick]],TabCalc[Ticker],TabCalc[NAfter]))</f>
        <v>-0.32206771811381857</v>
      </c>
      <c r="BT92" s="687">
        <f ca="1">(TabTRADER[[#This Row],[M]]-TabTRADER[[#This Row],[Agiotage]])/(TabTRADER[[#This Row],[M]]-TabTRADER[[#This Row],[A]])-1</f>
        <v>4.8383071804928868</v>
      </c>
      <c r="BU92" s="1262">
        <f ca="1">_xlfn.XMATCH(TabTRADER[[#This Row],[ClickTick]]&amp;1, TabConsolid[#Headers])</f>
        <v>272</v>
      </c>
      <c r="BV92" t="str">
        <f ca="1">IF(ABS(TabTRADER[[#This Row],[L_Bp]])&gt;=TabTRADER[[#This Row],[M]],"OK")</f>
        <v>OK</v>
      </c>
    </row>
    <row r="93" spans="1:74" hidden="1"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15"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82"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65"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65"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65" cm="1">
        <f t="array" aca="1" ref="AH93" ca="1">_xlfn.IFS(     TabTRADER[[#This Row],[Traps]]=MUp,MIN(TabTRADER[[#This Row],[L_Sn]],TabTRADER[[#This Row],[N]])*(TabTRADER[[#This Row],[M]]-TabTRADER[[#This Row],[L_Sp]])*(1-Commission)*TabTRADER[[#This Row],[Scale]],                                  TRUE,"M= "&amp;TabTRADER[[#This Row],[M]])</f>
        <v>187.11224000000004</v>
      </c>
      <c r="AI93" s="1165" t="str" cm="1">
        <f t="array" aca="1" ref="AI93" ca="1">_xlfn.IFS(   TabTRADER[[#This Row],[Traps]]=MUp,TEXT(MIN(TabTRADER[[#This Row],[L_Sn]],TabTRADER[[#This Row],[N]]),"#,#0")&amp;" x "&amp;TEXT(TabTRADER[[#This Row],[L_Sp]],"#,#0.#0"),          TRUE,"")</f>
        <v>10 x 36.08</v>
      </c>
      <c r="AJ93" s="1165"/>
      <c r="AK93" s="1165"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65"/>
      <c r="AM93" s="1165"/>
      <c r="AN93" s="760"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74"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74"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TabTRADER[[#This Row],[Traps]]=SellMorePercentGain,                     MIN(TabTRADER[[#This Row],[L_Sn]],TabTRADER[[#This Row],[N]])*(TabTRADER[[#This Row],[M]]-TabTRADER[[#This Row],[L_Sp]])*(1-Commission)*TabTRADER[[#This Row],[Scale]],                    TRUE,"")</f>
        <v>187.11224000000004</v>
      </c>
      <c r="AR93" s="1163">
        <f ca="1">_xlfn.XLOOKUP(TabTRADER[[#This Row],[ClickTick]],TabCalc[Ticker],TabCalc[Ann%RevLB])</f>
        <v>0.86791240947261206</v>
      </c>
      <c r="AS93" s="1267">
        <f ca="1">_xlfn.XLOOKUP(TabTRADER[[#This Row],[ClickTick]],TabCalc[Ticker],TabCalc[Up20])</f>
        <v>0</v>
      </c>
      <c r="AT93" s="1175"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5" t="str" cm="1">
        <f t="array" aca="1" ref="AU93" ca="1">_xlfn.IFS(         TabTRADER[[#This Row],[Traps]]=MDown,TabTRADER[[#This Row],[L_Bn]]*TabTRADER[[#This Row],[M]]*(-(TabTRADER[[#This Row],[L_Bp]]+TabTRADER[[#This Row],[M]])/TabTRADER[[#This Row],[M]])*(1-Commission)*TabTRADER[[#This Row],[Scale]],                               TRUE,"")</f>
        <v/>
      </c>
      <c r="AV93" s="1174" cm="1">
        <f t="array" aca="1" ref="AV93" ca="1">_xlfn.IFS(   TabTRADER[[#This Row],[Traps]]=MUp,TabTRADER[[#This Row],[TakeGain_A]]-Commission,        TabTRADER[[#This Row],[Traps]]=MDown,(TabTRADER[[#This Row],[A]]-TabTRADER[[#This Row],[M]])/TabTRADER[[#This Row],[M]]-Commission,                              TRUE,"")</f>
        <v>0.76887769730898869</v>
      </c>
      <c r="AW93" s="760"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60"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6"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5" cm="1">
        <f t="array" aca="1" ref="AZ93" ca="1">_xlfn.IFS(TabTRADER[[#This Row],[Traps]]=Sale_Back,"",         TabTRADER[[#This Row],[Traps]]=MDown, (TabTRADER[[#This Row],[M]]-TabTRADER[[#This Row],[A]])/TabTRADER[[#This Row],[A]]*ComFactor,             TRUE, IFERROR((TabTRADER[[#This Row],[M]]-TabTRADER[[#This Row],[A]])/TabTRADER[[#This Row],[A]]*ComFactor,""))</f>
        <v>0.76947185529598539</v>
      </c>
      <c r="BA93" s="762" cm="1">
        <f t="array" aca="1" ref="BA93" ca="1">_xlfn.IFS(               TabTRADER[[#This Row],[Traps]]=NoStock,(TabTRADER[[#This Row],[L_Sp]]-TabTRADER[[#This Row],[M]])/TabTRADER[[#This Row],[M]]-Commission,             TabTRADER[[#This Row],[A]]&lt;&gt;0,(TabTRADER[[#This Row],[A]]-TabTRADER[[#This Row],[M]])/TabTRADER[[#This Row],[M]]-Commission)</f>
        <v>-0.43809952589350848</v>
      </c>
      <c r="BB93" s="324">
        <f ca="1">_xlfn.XLOOKUP(TabTRADER[[#This Row],[ClickTick]],TabCalc[Ticker],TabCalc[L_Sn])</f>
        <v>1590</v>
      </c>
      <c r="BC93" s="728">
        <f ca="1">_xlfn.XLOOKUP(TabTRADER[[#This Row],[ClickTick]],TabCalc[Ticker],TabCalc[L_Sp])</f>
        <v>36.08</v>
      </c>
      <c r="BD93" s="764">
        <f ca="1">-IFERROR((TabTRADER[[#This Row],[M]]-TabTRADER[[#This Row],[L_Sp]])/TabTRADER[[#This Row],[L_Sp]],0)</f>
        <v>-0.51995565410199573</v>
      </c>
      <c r="BE93" s="729">
        <f ca="1">TabTRADER[[#This Row],[L_Sn]]*(TabTRADER[[#This Row],[M]]-TabTRADER[[#This Row],[L_Sp]])*(1-Commission)*TabTRADER[[#This Row],[Scale]]</f>
        <v>29750.846160000008</v>
      </c>
      <c r="BF93" s="692">
        <f ca="1">TabTRADER[[#This Row],[L_Sn]]*(TabTRADER[[#This Row],[Agiotage]]-TabTRADER[[#This Row],[M]])/(TabTRADER[[#This Row],[L_Bn]]*TabTRADER[[#This Row],[M]])</f>
        <v>-0.88333217234264982</v>
      </c>
      <c r="BG93" s="635">
        <f ca="1">IFERROR((TabTRADER[[#This Row],[M]]-TabTRADER[[#This Row],[A]])/TabTRADER[[#This Row],[A]],0)</f>
        <v>0.77147769730898874</v>
      </c>
      <c r="BH93" s="638" t="str">
        <f ca="1">TEXT(_xlfn.XLOOKUP(TabTRADER[[#This Row],[ClickTick]],TabCalc[Ticker],TabCalc[NAfter]),"#,#0")&amp;" : "&amp;TEXT(_xlfn.XLOOKUP(TabTRADER[[#This Row],[ClickTick]],TabCalc[Ticker],TabCalc[NAfter])*(TabTRADER[[#This Row],[M]]-TabTRADER[[#This Row],[A]])*(1-Commission)*TabTRADER[[#This Row],[Scale]],"#,#0$")</f>
        <v>10 : 238$</v>
      </c>
      <c r="BI93" s="684">
        <f ca="1">_xlfn.XLOOKUP(TabTRADER[[#This Row],[ClickTick]],TabCalc[[#This Row],[Ticker]],TabCalc[[#This Row],[GL]])*(1-Commission)</f>
        <v>60204.857927549718</v>
      </c>
      <c r="BJ93" s="684"/>
      <c r="BK93" s="669" t="str">
        <f ca="1">TabTRADER[[#This Row],[ClickTick]]&amp;": "&amp;_xlfn.XLOOKUP(TabTRADER[[#This Row],[ClickTick]],TabCalc[Ticker],TabCalc[Pile?])</f>
        <v>X: Pile</v>
      </c>
      <c r="BL93" s="351" t="s">
        <v>2071</v>
      </c>
      <c r="BM93" s="755" t="str" cm="1">
        <f t="array" aca="1" ref="BM93" ca="1">_xlfn.TEXTJOIN("",,INDEX({"M","A","Y"}, _xlfn.SORTBY({1,2,3}, -CHOOSE({1,2,3}, TabTRADER[[#This Row],[M]], TabTRADER[[#This Row],[A]], TabTRADER[[#This Row],[Agiotage]]))))</f>
        <v>MAY</v>
      </c>
      <c r="BN93" s="902"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9">
        <f ca="1">TabTRADER[[#This Row],[L_Sn]]*TabTRADER[[#This Row],[L_Sp]]+TabTRADER[[#This Row],[SellMore]]*TabTRADER[[#This Row],[M]]</f>
        <v>57915.6</v>
      </c>
      <c r="BP93" s="679">
        <f ca="1">INDEX(
  INDEX(TabConsolid[], , _xlfn.XMATCH(TabTRADER[[#This Row],[ClickTick]]&amp;1, TabConsolid[#Headers])),
  MATCH(
    -TabTRADER[[#This Row],[M]],
    INDEX(TabConsolid[], , _xlfn.XMATCH(TabTRADER[[#This Row],[ClickTick]]&amp;2, TabConsolid[#Headers])),
    -1
  )
)</f>
        <v>10</v>
      </c>
      <c r="BQ93" s="679"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44">
        <f ca="1">TabTRADER[[#This Row],[ReBuy]]/(TabTRADER[[#This Row],[L_Sn]]+TabTRADER[[#This Row],[SellMore]])</f>
        <v>36.197249999999997</v>
      </c>
      <c r="BS93" s="687">
        <f ca="1">((_xlfn.XLOOKUP(TabTRADER[[#This Row],[ClickTick]],TabCalc[Ticker],TabCalc[NAfter])+TabTRADER[[#This Row],[L_Sn]])*(TabTRADER[[#This Row],[Agiotage]]-TabTRADER[[#This Row],[M]]))/(TabTRADER[[#This Row],[L_Sn]]*_xlfn.XLOOKUP(TabTRADER[[#This Row],[ClickTick]],TabCalc[Ticker],TabCalc[NAfter]))</f>
        <v>-5.5184833129251309</v>
      </c>
      <c r="BT93" s="687">
        <f ca="1">(TabTRADER[[#This Row],[M]]-TabTRADER[[#This Row],[Agiotage]])/(TabTRADER[[#This Row],[M]]-TabTRADER[[#This Row],[A]])-1</f>
        <v>1.2962107332246582</v>
      </c>
      <c r="BU93" s="1262">
        <f ca="1">_xlfn.XMATCH(TabTRADER[[#This Row],[ClickTick]]&amp;1, TabConsolid[#Headers])</f>
        <v>275</v>
      </c>
      <c r="BV93" t="b">
        <f ca="1">IF(ABS(TabTRADER[[#This Row],[L_Bp]])&gt;=TabTRADER[[#This Row],[M]],"OK")</f>
        <v>0</v>
      </c>
    </row>
    <row r="94" spans="1:74"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+341,168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45.3%</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1,130/77,100=11,034</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32</v>
      </c>
      <c r="O94" s="703" t="str">
        <f ca="1">TEXT(_xlfn.XLOOKUP(TabTRADER[[#This Row],[ClickTick]],TabCalc[Ticker],TabCalc[Nbegin]),"#,#0")&amp;": "&amp;_xlfn.XLOOKUP(TabTRADER[[#This Row],[ClickTick]],TabCalc[Ticker],TabCalc[Pile?])</f>
        <v>77,100: Pile</v>
      </c>
      <c r="P94" s="324">
        <f ca="1">_xlfn.XLOOKUP(TabTRADER[[#This Row],[ClickTick]],TabCalc[Ticker],TabCalc[L_Bn])</f>
        <v>77100</v>
      </c>
      <c r="Q94" s="681">
        <f ca="1">_xlfn.XLOOKUP(TabTRADER[[#This Row],[ClickTick]],TabCalc[Ticker],TabCalc[L_Bp])</f>
        <v>-5.34</v>
      </c>
      <c r="R94" s="764">
        <f ca="1">(TabTRADER[[#This Row],[M]]+TabTRADER[[#This Row],[L_Bp]])/ABS(TabTRADER[[#This Row],[L_Bp]])</f>
        <v>0.82865168539325862</v>
      </c>
      <c r="S94" s="683">
        <f ca="1">_xlfn.XLOOKUP(TabTRADER[[#This Row],[ClickTick]],TabCalc[Ticker],TabCalc[Rev(MinStock)])*(1-Commission)</f>
        <v>340280.46450000006</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-2,544/-2,544=&gt;0.7% / 0.7%</v>
      </c>
      <c r="V94" s="739" t="str">
        <f ca="1">_xlfn.XLOOKUP(TabTRADER[[#This Row],[ClickTick]],[1]!RTData[Ticker_Symbol],[1]!RTData[Currency])</f>
        <v>USD</v>
      </c>
      <c r="W94" s="749">
        <f ca="1">_xlfn.XLOOKUP(TabTRADER[[#This Row],[ClickTick]],TabCalc[Ticker],TabCalc[M])</f>
        <v>9.7650000000000006</v>
      </c>
      <c r="X94" s="1315"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6.7010000000000004E-3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^338/753 K$</v>
      </c>
      <c r="AE94" s="1182"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65"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65"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340280.46450000006</v>
      </c>
      <c r="AH94" s="1165" t="str" cm="1">
        <f t="array" aca="1" ref="AH94" ca="1">_xlfn.IFS(     TabTRADER[[#This Row],[Traps]]=MUp,MIN(TabTRADER[[#This Row],[L_Sn]],TabTRADER[[#This Row],[N]])*(TabTRADER[[#This Row],[M]]-TabTRADER[[#This Row],[L_Sp]])*(1-Commission)*TabTRADER[[#This Row],[Scale]],                                  TRUE,"M= "&amp;TabTRADER[[#This Row],[M]])</f>
        <v>M= 9.765</v>
      </c>
      <c r="AI94" s="1165" t="str" cm="1">
        <f t="array" aca="1" ref="AI94" ca="1">_xlfn.IFS(   TabTRADER[[#This Row],[Traps]]=MUp,TEXT(MIN(TabTRADER[[#This Row],[L_Sn]],TabTRADER[[#This Row],[N]]),"#,#0")&amp;" x "&amp;TEXT(TabTRADER[[#This Row],[L_Sp]],"#,#0.#0"),          TRUE,"")</f>
        <v/>
      </c>
      <c r="AJ94" s="1165"/>
      <c r="AK94" s="1165"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65"/>
      <c r="AM94" s="1165"/>
      <c r="AN94" s="760"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340280.46450000006</v>
      </c>
      <c r="AO94" s="1174"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0.82865168539325862</v>
      </c>
      <c r="AP94" s="1174"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TabTRADER[[#This Row],[Traps]]=SellMorePercentGain,                     MIN(TabTRADER[[#This Row],[L_Sn]],TabTRADER[[#This Row],[N]])*(TabTRADER[[#This Row],[M]]-TabTRADER[[#This Row],[L_Sp]])*(1-Commission)*TabTRADER[[#This Row],[Scale]],                    TRUE,"")</f>
        <v/>
      </c>
      <c r="AR94" s="1313">
        <f ca="1">_xlfn.XLOOKUP(TabTRADER[[#This Row],[ClickTick]],TabCalc[Ticker],TabCalc[Ann%RevLB])</f>
        <v>0.23415589226183134</v>
      </c>
      <c r="AS94" s="1267">
        <f ca="1">_xlfn.XLOOKUP(TabTRADER[[#This Row],[ClickTick]],TabCalc[Ticker],TabCalc[Up20])</f>
        <v>0</v>
      </c>
      <c r="AT94" s="1175"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5" t="str" cm="1">
        <f t="array" aca="1" ref="AU94" ca="1">_xlfn.IFS(         TabTRADER[[#This Row],[Traps]]=MDown,TabTRADER[[#This Row],[L_Bn]]*TabTRADER[[#This Row],[M]]*(-(TabTRADER[[#This Row],[L_Bp]]+TabTRADER[[#This Row],[M]])/TabTRADER[[#This Row],[M]])*(1-Commission)*TabTRADER[[#This Row],[Scale]],                               TRUE,"")</f>
        <v/>
      </c>
      <c r="AV94" s="1174" t="str" cm="1">
        <f t="array" aca="1" ref="AV94" ca="1">_xlfn.IFS(   TabTRADER[[#This Row],[Traps]]=MUp,TabTRADER[[#This Row],[TakeGain_A]]-Commission,        TabTRADER[[#This Row],[Traps]]=MDown,(TabTRADER[[#This Row],[A]]-TabTRADER[[#This Row],[M]])/TabTRADER[[#This Row],[M]]-Commission,                              TRUE,"")</f>
        <v/>
      </c>
      <c r="AW94" s="760"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622254.44491432596</v>
      </c>
      <c r="AX94" s="760"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4" s="736"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5" t="str" cm="1">
        <f t="array" aca="1" ref="AZ94" ca="1">_xlfn.IFS(TabTRADER[[#This Row],[Traps]]=Sale_Back,"",         TabTRADER[[#This Row],[Traps]]=MDown, (TabTRADER[[#This Row],[M]]-TabTRADER[[#This Row],[A]])/TabTRADER[[#This Row],[A]]*ComFactor,             TRUE, IFERROR((TabTRADER[[#This Row],[M]]-TabTRADER[[#This Row],[A]])/TabTRADER[[#This Row],[A]]*ComFactor,""))</f>
        <v/>
      </c>
      <c r="BA94" s="762" cm="1">
        <f t="array" aca="1" ref="BA94" ca="1">_xlfn.IFS(               TabTRADER[[#This Row],[Traps]]=NoStock,(TabTRADER[[#This Row],[L_Sp]]-TabTRADER[[#This Row],[M]])/TabTRADER[[#This Row],[M]]-Commission,             TabTRADER[[#This Row],[A]]&lt;&gt;0,(TabTRADER[[#This Row],[A]]-TabTRADER[[#This Row],[M]])/TabTRADER[[#This Row],[M]]-Commission)</f>
        <v>-0.45574900153609837</v>
      </c>
      <c r="BB94" s="324">
        <f ca="1">_xlfn.XLOOKUP(TabTRADER[[#This Row],[ClickTick]],TabCalc[Ticker],TabCalc[L_Sn])</f>
        <v>0</v>
      </c>
      <c r="BC94" s="728">
        <f ca="1">_xlfn.XLOOKUP(TabTRADER[[#This Row],[ClickTick]],TabCalc[Ticker],TabCalc[L_Sp])</f>
        <v>0</v>
      </c>
      <c r="BD94" s="764">
        <f ca="1">-IFERROR((TabTRADER[[#This Row],[M]]-TabTRADER[[#This Row],[L_Sp]])/TabTRADER[[#This Row],[L_Sp]],0)</f>
        <v>0</v>
      </c>
      <c r="BE94" s="729">
        <f ca="1">TabTRADER[[#This Row],[L_Sn]]*(TabTRADER[[#This Row],[M]]-TabTRADER[[#This Row],[L_Sp]])*(1-Commission)*TabTRADER[[#This Row],[Scale]]</f>
        <v>0</v>
      </c>
      <c r="BF94" s="692">
        <f ca="1">TabTRADER[[#This Row],[L_Sn]]*(TabTRADER[[#This Row],[Agiotage]]-TabTRADER[[#This Row],[M]])/(TabTRADER[[#This Row],[L_Bn]]*TabTRADER[[#This Row],[M]])</f>
        <v>0</v>
      </c>
      <c r="BG94" s="635">
        <f ca="1">IFERROR((TabTRADER[[#This Row],[M]]-TabTRADER[[#This Row],[A]])/TabTRADER[[#This Row],[A]],0)</f>
        <v>0.82865168539325862</v>
      </c>
      <c r="BH94" s="638" t="str">
        <f ca="1">TEXT(_xlfn.XLOOKUP(TabTRADER[[#This Row],[ClickTick]],TabCalc[Ticker],TabCalc[NAfter]),"#,#0")&amp;" : "&amp;TEXT(_xlfn.XLOOKUP(TabTRADER[[#This Row],[ClickTick]],TabCalc[Ticker],TabCalc[NAfter])*(TabTRADER[[#This Row],[M]]-TabTRADER[[#This Row],[A]])*(1-Commission)*TabTRADER[[#This Row],[Scale]],"#,#0$")</f>
        <v>77,100 : 340,280$</v>
      </c>
      <c r="BI94" s="684">
        <f ca="1">_xlfn.XLOOKUP(TabTRADER[[#This Row],[ClickTick]],TabCalc[[#This Row],[Ticker]],TabCalc[[#This Row],[GL]])*(1-Commission)</f>
        <v>337260.38886557997</v>
      </c>
      <c r="BJ94" s="684"/>
      <c r="BK94" s="669" t="str">
        <f ca="1">TabTRADER[[#This Row],[ClickTick]]&amp;": "&amp;_xlfn.XLOOKUP(TabTRADER[[#This Row],[ClickTick]],TabCalc[Ticker],TabCalc[Pile?])</f>
        <v>LOCK: Pile</v>
      </c>
      <c r="BL94" s="351" t="s">
        <v>2072</v>
      </c>
      <c r="BM94" s="755" t="str" cm="1">
        <f t="array" aca="1" ref="BM94" ca="1">_xlfn.TEXTJOIN("",,INDEX({"M","A","Y"}, _xlfn.SORTBY({1,2,3}, -CHOOSE({1,2,3}, TabTRADER[[#This Row],[M]], TabTRADER[[#This Row],[A]], TabTRADER[[#This Row],[Agiotage]]))))</f>
        <v>MAY</v>
      </c>
      <c r="BN94" s="902"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9">
        <f ca="1">TabTRADER[[#This Row],[L_Sn]]*TabTRADER[[#This Row],[L_Sp]]+TabTRADER[[#This Row],[SellMore]]*TabTRADER[[#This Row],[M]]</f>
        <v>752881.5</v>
      </c>
      <c r="BP94" s="679">
        <f ca="1">INDEX(
  INDEX(TabConsolid[], , _xlfn.XMATCH(TabTRADER[[#This Row],[ClickTick]]&amp;1, TabConsolid[#Headers])),
  MATCH(
    -TabTRADER[[#This Row],[M]],
    INDEX(TabConsolid[], , _xlfn.XMATCH(TabTRADER[[#This Row],[ClickTick]]&amp;2, TabConsolid[#Headers])),
    -1
  )
)</f>
        <v>77100</v>
      </c>
      <c r="BQ94" s="679"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44">
        <f ca="1">TabTRADER[[#This Row],[ReBuy]]/(TabTRADER[[#This Row],[L_Sn]]+TabTRADER[[#This Row],[SellMore]])</f>
        <v>9.7650000000000006</v>
      </c>
      <c r="BS94" s="687" t="e">
        <f ca="1">((_xlfn.XLOOKUP(TabTRADER[[#This Row],[ClickTick]],TabCalc[Ticker],TabCalc[NAfter])+TabTRADER[[#This Row],[L_Sn]])*(TabTRADER[[#This Row],[Agiotage]]-TabTRADER[[#This Row],[M]]))/(TabTRADER[[#This Row],[L_Sn]]*_xlfn.XLOOKUP(TabTRADER[[#This Row],[ClickTick]],TabCalc[Ticker],TabCalc[NAfter]))</f>
        <v>#DIV/0!</v>
      </c>
      <c r="BT94" s="687">
        <f ca="1">(TabTRADER[[#This Row],[M]]-TabTRADER[[#This Row],[Agiotage]])/(TabTRADER[[#This Row],[M]]-TabTRADER[[#This Row],[A]])-1</f>
        <v>0.98079096045197711</v>
      </c>
      <c r="BU94" s="1262">
        <f ca="1">_xlfn.XMATCH(TabTRADER[[#This Row],[ClickTick]]&amp;1, TabConsolid[#Headers])</f>
        <v>278</v>
      </c>
      <c r="BV94" t="b">
        <f ca="1">IF(ABS(TabTRADER[[#This Row],[L_Bp]])&gt;=TabTRADER[[#This Row],[M]],"OK")</f>
        <v>0</v>
      </c>
    </row>
    <row r="95" spans="1:74" ht="23" hidden="1"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+32,572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31/200=27,220</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17,520$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0</v>
      </c>
      <c r="I95" s="226" t="str">
        <f ca="1">IFERROR(TRUNC(TabCalc[[#This Row],[L_S1p]],2)&amp;"x"&amp;TabCalc[[#This Row],[L_S1n]]&amp;"=   "&amp;TEXT(TabCalc[[#This Row],[ReverseB1]],"#,#0"),"")</f>
        <v>0x0=   0</v>
      </c>
      <c r="J95" s="295">
        <f ca="1">_xlfn.XLOOKUP(TabTRADER[[#This Row],[ClickTick]],TabCalc[Ticker],ListGravity)</f>
        <v>1.0623767877284007</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1.0213644846396783</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0">
        <f ca="1">_xlfn.XLOOKUP(TabTRADER[[#This Row],[ClickTick]],TabCalc[Ticker],TabCalc[L_Bn])</f>
        <v>500</v>
      </c>
      <c r="Q95" s="728">
        <f ca="1">_xlfn.XLOOKUP(TabTRADER[[#This Row],[ClickTick]],TabCalc[Ticker],TabCalc[L_Bp])</f>
        <v>-723.74</v>
      </c>
      <c r="R95" s="764">
        <f ca="1">(TabTRADER[[#This Row],[M]]+TabTRADER[[#This Row],[L_Bp]])/ABS(TabTRADER[[#This Row],[L_Bp]])</f>
        <v>0.2250255616657916</v>
      </c>
      <c r="S95" s="683">
        <f ca="1">_xlfn.XLOOKUP(TabTRADER[[#This Row],[ClickTick]],TabCalc[Ticker],TabCalc[Rev(MinStock)])*(1-Commission)</f>
        <v>32487.312800000003</v>
      </c>
      <c r="T95" s="782">
        <f ca="1">_xlfn.XLOOKUP(TabTRADER[[#This Row],[ClickTick]],TabCalc[Ticker],TabCalc[Agiotage])</f>
        <v>1.0213644846396783</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5,100/5,100=&gt;2.4% / 2.4%</v>
      </c>
      <c r="V95" s="739" t="str">
        <f ca="1">_xlfn.XLOOKUP(TabTRADER[[#This Row],[ClickTick]],[1]!RTData[Ticker_Symbol],[1]!RTData[Currency])</f>
        <v>EUR</v>
      </c>
      <c r="W95" s="749">
        <f ca="1">_xlfn.XLOOKUP(TabTRADER[[#This Row],[ClickTick]],TabCalc[Ticker],TabCalc[M])</f>
        <v>886.6</v>
      </c>
      <c r="X95" s="1315"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2.4260999999999998E-2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^63/177 K$</v>
      </c>
      <c r="AE95" s="117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65"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886.6, 07.1%</v>
      </c>
      <c r="AG95" s="1165"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65" cm="1">
        <f t="array" aca="1" ref="AH95" ca="1">_xlfn.IFS(     TabTRADER[[#This Row],[Traps]]=MUp,MIN(TabTRADER[[#This Row],[L_Sn]],TabTRADER[[#This Row],[N]])*(TabTRADER[[#This Row],[M]]-TabTRADER[[#This Row],[L_Sp]])*(1-Commission)*TabTRADER[[#This Row],[Scale]],                                  TRUE,"M= "&amp;TabTRADER[[#This Row],[M]])</f>
        <v>11649.631999999996</v>
      </c>
      <c r="AI95" s="1165" t="str" cm="1">
        <f t="array" aca="1" ref="AI95" ca="1">_xlfn.IFS(   TabTRADER[[#This Row],[Traps]]=MUp,TEXT(MIN(TabTRADER[[#This Row],[L_Sn]],TabTRADER[[#This Row],[N]]),"#,#0")&amp;" x "&amp;TEXT(TabTRADER[[#This Row],[L_Sp]],"#,#0.#0"),          TRUE,"")</f>
        <v>200 x 828.20</v>
      </c>
      <c r="AJ95" s="1165"/>
      <c r="AK95" s="1165"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11649.631999999996</v>
      </c>
      <c r="AL95" s="1165"/>
      <c r="AM95" s="1165"/>
      <c r="AN95" s="760"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32487.312800000003</v>
      </c>
      <c r="AO95" s="1174"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0.2250255616657916</v>
      </c>
      <c r="AP95" s="1174"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6.3269614256711001E-2</v>
      </c>
      <c r="AQ95" s="825" cm="1">
        <f t="array" aca="1" ref="AQ95" ca="1">_xlfn.IFS(   TabTRADER[[#This Row],[Traps]]=SellMorePercentGain,                     MIN(TabTRADER[[#This Row],[L_Sn]],TabTRADER[[#This Row],[N]])*(TabTRADER[[#This Row],[M]]-TabTRADER[[#This Row],[L_Sp]])*(1-Commission)*TabTRADER[[#This Row],[Scale]],                    TRUE,"")</f>
        <v>11649.631999999996</v>
      </c>
      <c r="AR95" s="1163">
        <f ca="1">_xlfn.XLOOKUP(TabTRADER[[#This Row],[ClickTick]],TabCalc[Ticker],TabCalc[Ann%RevLB])</f>
        <v>0.26216570291160185</v>
      </c>
      <c r="AS95" s="1267">
        <f ca="1">_xlfn.XLOOKUP(TabTRADER[[#This Row],[ClickTick]],TabCalc[Ticker],TabCalc[Up20])</f>
        <v>0</v>
      </c>
      <c r="AT95" s="1175"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5" t="str" cm="1">
        <f t="array" aca="1" ref="AU95" ca="1">_xlfn.IFS(         TabTRADER[[#This Row],[Traps]]=MDown,TabTRADER[[#This Row],[L_Bn]]*TabTRADER[[#This Row],[M]]*(-(TabTRADER[[#This Row],[L_Bp]]+TabTRADER[[#This Row],[M]])/TabTRADER[[#This Row],[M]])*(1-Commission)*TabTRADER[[#This Row],[Scale]],                               TRUE,"")</f>
        <v/>
      </c>
      <c r="AV95" s="1174" cm="1">
        <f t="array" aca="1" ref="AV95" ca="1">_xlfn.IFS(   TabTRADER[[#This Row],[Traps]]=MUp,TabTRADER[[#This Row],[TakeGain_A]]-Commission,        TabTRADER[[#This Row],[Traps]]=MDown,(TabTRADER[[#This Row],[A]]-TabTRADER[[#This Row],[M]])/TabTRADER[[#This Row],[M]]-Commission,                              TRUE,"")</f>
        <v>0.22242556166579161</v>
      </c>
      <c r="AW95" s="825"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39797.788609832263</v>
      </c>
      <c r="AX95" s="760"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95" s="737"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200x162.86</v>
      </c>
      <c r="AZ95" s="765" cm="1">
        <f t="array" aca="1" ref="AZ95" ca="1">_xlfn.IFS(TabTRADER[[#This Row],[Traps]]=Sale_Back,"",         TabTRADER[[#This Row],[Traps]]=MDown, (TabTRADER[[#This Row],[M]]-TabTRADER[[#This Row],[A]])/TabTRADER[[#This Row],[A]]*ComFactor,             TRUE, IFERROR((TabTRADER[[#This Row],[M]]-TabTRADER[[#This Row],[A]])/TabTRADER[[#This Row],[A]]*ComFactor,""))</f>
        <v>0.22444049520546053</v>
      </c>
      <c r="BA95" s="763" cm="1">
        <f t="array" aca="1" ref="BA95" ca="1">_xlfn.IFS(               TabTRADER[[#This Row],[Traps]]=NoStock,(TabTRADER[[#This Row],[L_Sp]]-TabTRADER[[#This Row],[M]])/TabTRADER[[#This Row],[M]]-Commission,             TabTRADER[[#This Row],[A]]&lt;&gt;0,(TabTRADER[[#This Row],[A]]-TabTRADER[[#This Row],[M]])/TabTRADER[[#This Row],[M]]-Commission)</f>
        <v>-0.18629050304534175</v>
      </c>
      <c r="BB95" s="324">
        <f ca="1">_xlfn.XLOOKUP(TabTRADER[[#This Row],[ClickTick]],TabCalc[Ticker],TabCalc[L_Sn])</f>
        <v>300</v>
      </c>
      <c r="BC95" s="728">
        <f ca="1">_xlfn.XLOOKUP(TabTRADER[[#This Row],[ClickTick]],TabCalc[Ticker],TabCalc[L_Sp])</f>
        <v>828.2</v>
      </c>
      <c r="BD95" s="764">
        <f ca="1">-IFERROR((TabTRADER[[#This Row],[M]]-TabTRADER[[#This Row],[L_Sp]])/TabTRADER[[#This Row],[L_Sp]],0)</f>
        <v>-7.0514368510021699E-2</v>
      </c>
      <c r="BE95" s="729">
        <f ca="1">TabTRADER[[#This Row],[L_Sn]]*(TabTRADER[[#This Row],[M]]-TabTRADER[[#This Row],[L_Sp]])*(1-Commission)*TabTRADER[[#This Row],[Scale]]</f>
        <v>17474.447999999993</v>
      </c>
      <c r="BF95" s="692">
        <f ca="1">TabTRADER[[#This Row],[L_Sn]]*(TabTRADER[[#This Row],[Agiotage]]-TabTRADER[[#This Row],[M]])/(TabTRADER[[#This Row],[L_Bn]]*TabTRADER[[#This Row],[M]])</f>
        <v>-0.59930879913062962</v>
      </c>
      <c r="BG95" s="635">
        <f ca="1">IFERROR((TabTRADER[[#This Row],[M]]-TabTRADER[[#This Row],[A]])/TabTRADER[[#This Row],[A]],0)</f>
        <v>0.2250255616657916</v>
      </c>
      <c r="BH95" s="638" t="str">
        <f ca="1">TEXT(_xlfn.XLOOKUP(TabTRADER[[#This Row],[ClickTick]],TabCalc[Ticker],TabCalc[NAfter]),"#,#0")&amp;" : "&amp;TEXT(_xlfn.XLOOKUP(TabTRADER[[#This Row],[ClickTick]],TabCalc[Ticker],TabCalc[NAfter])*(TabTRADER[[#This Row],[M]]-TabTRADER[[#This Row],[A]])*(1-Commission)*TabTRADER[[#This Row],[Scale]],"#,#0$")</f>
        <v>200 : 32,487$</v>
      </c>
      <c r="BI95" s="684">
        <f ca="1">_xlfn.XLOOKUP(TabTRADER[[#This Row],[ClickTick]],TabCalc[[#This Row],[Ticker]],TabCalc[[#This Row],[GL]])*(1-Commission)</f>
        <v>62989.901334799993</v>
      </c>
      <c r="BJ95" s="684"/>
      <c r="BK95" s="669" t="str">
        <f ca="1">TabTRADER[[#This Row],[ClickTick]]&amp;": "&amp;_xlfn.XLOOKUP(TabTRADER[[#This Row],[ClickTick]],TabCalc[Ticker],TabCalc[Pile?])</f>
        <v>JBASML: Pile</v>
      </c>
      <c r="BL95" s="352" t="s">
        <v>2076</v>
      </c>
      <c r="BM95" s="755" t="str" cm="1">
        <f t="array" aca="1" ref="BM95" ca="1">_xlfn.TEXTJOIN("",,INDEX({"M","A","Y"}, _xlfn.SORTBY({1,2,3}, -CHOOSE({1,2,3}, TabTRADER[[#This Row],[M]], TabTRADER[[#This Row],[A]], TabTRADER[[#This Row],[Agiotage]]))))</f>
        <v>MAY</v>
      </c>
      <c r="BN95" s="902"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6.5869614256711007E-2</v>
      </c>
      <c r="BO95" s="679">
        <f ca="1">TabTRADER[[#This Row],[L_Sn]]*TabTRADER[[#This Row],[L_Sp]]+TabTRADER[[#This Row],[SellMore]]*TabTRADER[[#This Row],[M]]</f>
        <v>425780</v>
      </c>
      <c r="BP95" s="679">
        <f ca="1">INDEX(
  INDEX(TabConsolid[], , _xlfn.XMATCH(TabTRADER[[#This Row],[ClickTick]]&amp;1, TabConsolid[#Headers])),
  MATCH(
    -TabTRADER[[#This Row],[M]],
    INDEX(TabConsolid[], , _xlfn.XMATCH(TabTRADER[[#This Row],[ClickTick]]&amp;2, TabConsolid[#Headers])),
    -1
  )
)</f>
        <v>200</v>
      </c>
      <c r="BQ95" s="679"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44">
        <f ca="1">TabTRADER[[#This Row],[ReBuy]]/(TabTRADER[[#This Row],[L_Sn]]+TabTRADER[[#This Row],[SellMore]])</f>
        <v>851.56</v>
      </c>
      <c r="BS95" s="687">
        <f ca="1">((_xlfn.XLOOKUP(TabTRADER[[#This Row],[ClickTick]],TabCalc[Ticker],TabCalc[NAfter])+TabTRADER[[#This Row],[L_Sn]])*(TabTRADER[[#This Row],[Agiotage]]-TabTRADER[[#This Row],[M]]))/(TabTRADER[[#This Row],[L_Sn]]*_xlfn.XLOOKUP(TabTRADER[[#This Row],[ClickTick]],TabCalc[Ticker],TabCalc[NAfter]))</f>
        <v>-7.3798219626280037</v>
      </c>
      <c r="BT95" s="687">
        <f ca="1">(TabTRADER[[#This Row],[M]]-TabTRADER[[#This Row],[Agiotage]])/(TabTRADER[[#This Row],[M]]-TabTRADER[[#This Row],[A]])-1</f>
        <v>4.4376681537231999</v>
      </c>
      <c r="BU95" s="1262">
        <f ca="1">_xlfn.XMATCH(TabTRADER[[#This Row],[ClickTick]]&amp;1, TabConsolid[#Headers])</f>
        <v>281</v>
      </c>
      <c r="BV95" t="b">
        <f ca="1">IF(ABS(TabTRADER[[#This Row],[L_Bp]])&gt;=TabTRADER[[#This Row],[M]],"OK")</f>
        <v>0</v>
      </c>
    </row>
    <row r="96" spans="1:74"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+450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6,098</v>
      </c>
      <c r="F96" s="1110"/>
      <c r="G96" s="225"/>
      <c r="H96" s="493"/>
      <c r="I96" s="1111"/>
      <c r="J96" s="295">
        <f ca="1">_xlfn.XLOOKUP(TabTRADER[[#This Row],[ClickTick]],TabCalc[Ticker],ListGravity)</f>
        <v>1.1058555555555554</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3.4286087467618696E-4</v>
      </c>
      <c r="N96" s="324" cm="1">
        <f t="array" aca="1" ref="N96" ca="1">_xlfn.XLOOKUP(TabTRADER[[#This Row],[ClickTick]],ListTickers,Tab2RSIConventional[RSIConv20])</f>
        <v>38</v>
      </c>
      <c r="O96" s="1112" t="str">
        <f ca="1">TEXT(_xlfn.XLOOKUP(TabTRADER[[#This Row],[ClickTick]],TabCalc[Ticker],TabCalc[Nbegin]),"#,#0")&amp;": "&amp;_xlfn.XLOOKUP(TabTRADER[[#This Row],[ClickTick]],TabCalc[Ticker],TabCalc[Pile?])</f>
        <v>50,000: Pile</v>
      </c>
      <c r="P96" s="324">
        <f ca="1">_xlfn.XLOOKUP(TabTRADER[[#This Row],[ClickTick]],TabCalc[Ticker],TabCalc[L_Bn])</f>
        <v>3000</v>
      </c>
      <c r="Q96" s="1113">
        <f ca="1">_xlfn.XLOOKUP(TabTRADER[[#This Row],[ClickTick]],TabCalc[Ticker],TabCalc[L_Bp])</f>
        <v>-15.15</v>
      </c>
      <c r="R96" s="1114">
        <f ca="1">(TabTRADER[[#This Row],[M]]+TabTRADER[[#This Row],[L_Bp]])/ABS(TabTRADER[[#This Row],[L_Bp]])</f>
        <v>9.9009900990099237E-3</v>
      </c>
      <c r="S96" s="683">
        <f ca="1">_xlfn.XLOOKUP(TabTRADER[[#This Row],[ClickTick]],TabCalc[Ticker],TabCalc[Rev(MinStock)])*(1-Commission)</f>
        <v>448.83000000000106</v>
      </c>
      <c r="T96" s="1115">
        <f ca="1">_xlfn.XLOOKUP(TabTRADER[[#This Row],[ClickTick]],TabCalc[Ticker],TabCalc[Agiotage])</f>
        <v>3.4286087467618696E-4</v>
      </c>
      <c r="U96" s="1116"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-315/-315=&gt;-0.3% / -0.3%</v>
      </c>
      <c r="V96" s="1117" t="str">
        <f ca="1">_xlfn.XLOOKUP(TabTRADER[[#This Row],[ClickTick]],[1]!RTData[Ticker_Symbol],[1]!RTData[Currency])</f>
        <v>EUR</v>
      </c>
      <c r="W96" s="749">
        <f ca="1">_xlfn.XLOOKUP(TabTRADER[[#This Row],[ClickTick]],TabCalc[Ticker],TabCalc[M])</f>
        <v>15.3</v>
      </c>
      <c r="X96" s="1316" t="str">
        <f ca="1">SORTING!B96</f>
        <v>JBEOAN</v>
      </c>
      <c r="Y96" s="803">
        <f ca="1">_xlfn.XLOOKUP(TabTRADER[[#This Row],[ClickTick]],TabCalc[Ticker],TabCalc[Y])</f>
        <v>16.919589999999999</v>
      </c>
      <c r="Z96" s="1118">
        <f ca="1">_xlfn.XLOOKUP(TabTRADER[[#This Row],[ClickTick]],[1]!RTData[Ticker_Symbol],[1]!RTData[YTChange])</f>
        <v>3.8011656441717716E-2</v>
      </c>
      <c r="AA96" s="832">
        <f ca="1">-_xlfn.XLOOKUP(TabTRADER[[#This Row],[ClickTick]]&amp;2,Consolid!B$3:JZ$3,Consolid!B$4:JZ$4)</f>
        <v>14.453216142857142</v>
      </c>
      <c r="AB96" s="817" cm="1">
        <f t="array" aca="1" ref="AB96" ca="1">_xlfn.XLOOKUP(TabTRADER[[#This Row],[ClickTick]],ListTickers,Tab1ChangePercent[Change%19])</f>
        <v>-2.6079999999999996E-3</v>
      </c>
      <c r="AC96" s="768">
        <f ca="1">_xlfn.XLOOKUP(TabTRADER[[#This Row],[ClickTick]],TabCalc[Ticker],TabCalc[NAfter])</f>
        <v>21000</v>
      </c>
      <c r="AD96" s="111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^304/321 K$</v>
      </c>
      <c r="AE96" s="117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65"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65"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448.83000000000106</v>
      </c>
      <c r="AH96" s="1165" t="str" cm="1">
        <f t="array" aca="1" ref="AH96" ca="1">_xlfn.IFS(     TabTRADER[[#This Row],[Traps]]=MUp,MIN(TabTRADER[[#This Row],[L_Sn]],TabTRADER[[#This Row],[N]])*(TabTRADER[[#This Row],[M]]-TabTRADER[[#This Row],[L_Sp]])*(1-Commission)*TabTRADER[[#This Row],[Scale]],                                  TRUE,"M= "&amp;TabTRADER[[#This Row],[M]])</f>
        <v>M= 15.3</v>
      </c>
      <c r="AI96" s="1165" t="str" cm="1">
        <f t="array" aca="1" ref="AI96" ca="1">_xlfn.IFS(   TabTRADER[[#This Row],[Traps]]=MUp,TEXT(MIN(TabTRADER[[#This Row],[L_Sn]],TabTRADER[[#This Row],[N]]),"#,#0")&amp;" x "&amp;TEXT(TabTRADER[[#This Row],[L_Sp]],"#,#0.#0"),          TRUE,"")</f>
        <v/>
      </c>
      <c r="AJ96" s="1165"/>
      <c r="AK96" s="1165"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65"/>
      <c r="AM96" s="1165"/>
      <c r="AN96" s="760"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448.83000000000106</v>
      </c>
      <c r="AO96" s="1174"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9.9009900990099237E-3</v>
      </c>
      <c r="AP96" s="1174"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60" t="str" cm="1">
        <f t="array" aca="1" ref="AQ96" ca="1">_xlfn.IFS(   TabTRADER[[#This Row],[Traps]]=SellMorePercentGain,                     MIN(TabTRADER[[#This Row],[L_Sn]],TabTRADER[[#This Row],[N]])*(TabTRADER[[#This Row],[M]]-TabTRADER[[#This Row],[L_Sp]])*(1-Commission)*TabTRADER[[#This Row],[Scale]],                    TRUE,"")</f>
        <v/>
      </c>
      <c r="AR96" s="1163">
        <f ca="1">_xlfn.XLOOKUP(TabTRADER[[#This Row],[ClickTick]],TabCalc[Ticker],TabCalc[Ann%RevLB])</f>
        <v>0.59405940594059536</v>
      </c>
      <c r="AS96" s="1267">
        <f ca="1">_xlfn.XLOOKUP(TabTRADER[[#This Row],[ClickTick]],TabCalc[Ticker],TabCalc[Up20])</f>
        <v>0</v>
      </c>
      <c r="AT96" s="1176"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60" t="str" cm="1">
        <f t="array" aca="1" ref="AU96" ca="1">_xlfn.IFS(         TabTRADER[[#This Row],[Traps]]=MDown,TabTRADER[[#This Row],[L_Bn]]*TabTRADER[[#This Row],[M]]*(-(TabTRADER[[#This Row],[L_Bp]]+TabTRADER[[#This Row],[M]])/TabTRADER[[#This Row],[M]])*(1-Commission)*TabTRADER[[#This Row],[Scale]],                               TRUE,"")</f>
        <v/>
      </c>
      <c r="AV96" s="1174" t="str" cm="1">
        <f t="array" aca="1" ref="AV96" ca="1">_xlfn.IFS(   TabTRADER[[#This Row],[Traps]]=MUp,TabTRADER[[#This Row],[TakeGain_A]]-Commission,        TabTRADER[[#This Row],[Traps]]=MDown,(TabTRADER[[#This Row],[A]]-TabTRADER[[#This Row],[M]])/TabTRADER[[#This Row],[M]]-Commission,                              TRUE,"")</f>
        <v/>
      </c>
      <c r="AW96" s="825"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18775.355209472185</v>
      </c>
      <c r="AX96" s="760"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6" s="1120"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121" t="str" cm="1">
        <f t="array" aca="1" ref="AZ96" ca="1">_xlfn.IFS(TabTRADER[[#This Row],[Traps]]=Sale_Back,"",         TabTRADER[[#This Row],[Traps]]=MDown, (TabTRADER[[#This Row],[M]]-TabTRADER[[#This Row],[A]])/TabTRADER[[#This Row],[A]]*ComFactor,             TRUE, IFERROR((TabTRADER[[#This Row],[M]]-TabTRADER[[#This Row],[A]])/TabTRADER[[#This Row],[A]]*ComFactor,""))</f>
        <v/>
      </c>
      <c r="BA96" s="762" cm="1">
        <f t="array" aca="1" ref="BA96" ca="1">_xlfn.IFS(               TabTRADER[[#This Row],[Traps]]=NoStock,(TabTRADER[[#This Row],[L_Sp]]-TabTRADER[[#This Row],[M]])/TabTRADER[[#This Row],[M]]-Commission,             TabTRADER[[#This Row],[A]]&lt;&gt;0,(TabTRADER[[#This Row],[A]]-TabTRADER[[#This Row],[M]])/TabTRADER[[#This Row],[M]]-Commission)</f>
        <v>-5.7945350140056091E-2</v>
      </c>
      <c r="BB96" s="1122">
        <f ca="1">_xlfn.XLOOKUP(TabTRADER[[#This Row],[ClickTick]],TabCalc[Ticker],TabCalc[L_Sn])</f>
        <v>3000</v>
      </c>
      <c r="BC96" s="728">
        <f ca="1">_xlfn.XLOOKUP(TabTRADER[[#This Row],[ClickTick]],TabCalc[Ticker],TabCalc[L_Sp])</f>
        <v>16.12</v>
      </c>
      <c r="BD96" s="1114">
        <f ca="1">-IFERROR((TabTRADER[[#This Row],[M]]-TabTRADER[[#This Row],[L_Sp]])/TabTRADER[[#This Row],[L_Sp]],0)</f>
        <v>5.0868486352357335E-2</v>
      </c>
      <c r="BE96" s="1123">
        <f ca="1">TabTRADER[[#This Row],[L_Sn]]*(TabTRADER[[#This Row],[M]]-TabTRADER[[#This Row],[L_Sp]])*(1-Commission)*TabTRADER[[#This Row],[Scale]]</f>
        <v>-2453.6040000000007</v>
      </c>
      <c r="BF96" s="692">
        <f ca="1">TabTRADER[[#This Row],[L_Sn]]*(TabTRADER[[#This Row],[Agiotage]]-TabTRADER[[#This Row],[M]])/(TabTRADER[[#This Row],[L_Bn]]*TabTRADER[[#This Row],[M]])</f>
        <v>-0.99997759079250481</v>
      </c>
      <c r="BG96" s="1124">
        <f ca="1">IFERROR((TabTRADER[[#This Row],[M]]-TabTRADER[[#This Row],[A]])/TabTRADER[[#This Row],[A]],0)</f>
        <v>5.858791903290974E-2</v>
      </c>
      <c r="BH96" s="638" t="str">
        <f ca="1">TEXT(_xlfn.XLOOKUP(TabTRADER[[#This Row],[ClickTick]],TabCalc[Ticker],TabCalc[NAfter]),"#,#0")&amp;" : "&amp;TEXT(_xlfn.XLOOKUP(TabTRADER[[#This Row],[ClickTick]],TabCalc[Ticker],TabCalc[NAfter])*(TabTRADER[[#This Row],[M]]-TabTRADER[[#This Row],[A]])*(1-Commission)*TabTRADER[[#This Row],[Scale]],"#,#0$")</f>
        <v>21,000 : 17,736$</v>
      </c>
      <c r="BI96" s="684"/>
      <c r="BJ96" s="684"/>
      <c r="BK96" s="669" t="str">
        <f ca="1">TabTRADER[[#This Row],[ClickTick]]&amp;": "&amp;_xlfn.XLOOKUP(TabTRADER[[#This Row],[ClickTick]],TabCalc[Ticker],TabCalc[Pile?])</f>
        <v>JBEOAN: Pile</v>
      </c>
      <c r="BL96" s="351"/>
      <c r="BM96" s="1125" t="str" cm="1">
        <f t="array" aca="1" ref="BM96" ca="1">_xlfn.TEXTJOIN("",,INDEX({"M","A","Y"}, _xlfn.SORTBY({1,2,3}, -CHOOSE({1,2,3}, TabTRADER[[#This Row],[M]], TabTRADER[[#This Row],[A]], TabTRADER[[#This Row],[Agiotage]]))))</f>
        <v>MAY</v>
      </c>
      <c r="BN96" s="902"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9">
        <f ca="1">TabTRADER[[#This Row],[L_Sn]]*TabTRADER[[#This Row],[L_Sp]]+TabTRADER[[#This Row],[SellMore]]*TabTRADER[[#This Row],[M]]</f>
        <v>94260</v>
      </c>
      <c r="BP96" s="679">
        <f ca="1">INDEX(
  INDEX(TabConsolid[], , _xlfn.XMATCH(TabTRADER[[#This Row],[ClickTick]]&amp;1, TabConsolid[#Headers])),
  MATCH(
    -TabTRADER[[#This Row],[M]],
    INDEX(TabConsolid[], , _xlfn.XMATCH(TabTRADER[[#This Row],[ClickTick]]&amp;2, TabConsolid[#Headers])),
    -1
  )
)</f>
        <v>3000</v>
      </c>
      <c r="BQ96" s="679"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44">
        <f ca="1">TabTRADER[[#This Row],[ReBuy]]/(TabTRADER[[#This Row],[L_Sn]]+TabTRADER[[#This Row],[SellMore]])</f>
        <v>15.71</v>
      </c>
      <c r="BS96" s="687">
        <f ca="1">((_xlfn.XLOOKUP(TabTRADER[[#This Row],[ClickTick]],TabCalc[Ticker],TabCalc[NAfter])+TabTRADER[[#This Row],[L_Sn]])*(TabTRADER[[#This Row],[Agiotage]]-TabTRADER[[#This Row],[M]]))/(TabTRADER[[#This Row],[L_Sn]]*_xlfn.XLOOKUP(TabTRADER[[#This Row],[ClickTick]],TabCalc[Ticker],TabCalc[NAfter]))</f>
        <v>-5.8284408149048856E-3</v>
      </c>
      <c r="BT96" s="687">
        <f ca="1">(TabTRADER[[#This Row],[M]]-TabTRADER[[#This Row],[Agiotage]])/(TabTRADER[[#This Row],[M]]-TabTRADER[[#This Row],[A]])-1</f>
        <v>17.067960330217026</v>
      </c>
      <c r="BU96" s="1262">
        <f ca="1">_xlfn.XMATCH(TabTRADER[[#This Row],[ClickTick]]&amp;1, TabConsolid[#Headers])</f>
        <v>284</v>
      </c>
    </row>
    <row r="97" spans="1:73" ht="28" thickBot="1" x14ac:dyDescent="0.4">
      <c r="A97" s="224" t="s">
        <v>1086</v>
      </c>
      <c r="B97" s="1512"/>
      <c r="C97" s="1513"/>
      <c r="D97" s="671"/>
      <c r="E97" s="752"/>
      <c r="F97" s="1512"/>
      <c r="G97" s="1514"/>
      <c r="H97" s="1513"/>
      <c r="I97" s="1515"/>
      <c r="J97" s="1513"/>
      <c r="K97" s="1513"/>
      <c r="L97" s="672"/>
      <c r="M97" s="1513"/>
      <c r="N97" s="1516"/>
      <c r="O97" s="703"/>
      <c r="P97" s="857"/>
      <c r="Q97" s="855"/>
      <c r="R97" s="1517"/>
      <c r="S97" s="702">
        <f ca="1">SUBTOTAL(109,TabTRADER[Sale_Back_$])</f>
        <v>351191.92076000001</v>
      </c>
      <c r="T97" s="786"/>
      <c r="U97" s="697">
        <f ca="1">SUBTOTAL(109,TabTRADER[SncOpenYest%])</f>
        <v>0</v>
      </c>
      <c r="V97" s="740"/>
      <c r="W97" s="1057"/>
      <c r="X97" s="1316"/>
      <c r="Y97" s="804"/>
      <c r="Z97" s="860"/>
      <c r="AA97" s="1"/>
      <c r="AB97" s="1"/>
      <c r="AC97" s="767"/>
      <c r="AD97" s="844"/>
      <c r="AE97" s="1162"/>
      <c r="AF97" s="1162"/>
      <c r="AG97" s="738">
        <f ca="1">SUBTOTAL(109,TabTRADER[Gain-np_Rev])</f>
        <v>351191.92076000001</v>
      </c>
      <c r="AH97" s="761">
        <f ca="1">SUBTOTAL(109,TabTRADER[Gain-Np])</f>
        <v>0</v>
      </c>
      <c r="AI97" s="761"/>
      <c r="AJ97" s="761"/>
      <c r="AK97" s="761"/>
      <c r="AL97" s="761"/>
      <c r="AM97" s="761"/>
      <c r="AN97" s="925">
        <f ca="1">SUBTOTAL(109,TabTRADER[GL_R/M_NA])</f>
        <v>351191.92076000001</v>
      </c>
      <c r="AO97" s="761"/>
      <c r="AP97" s="922"/>
      <c r="AQ97" s="925">
        <f ca="1">SUBTOTAL(109,TabTRADER[vs.LS$])</f>
        <v>0</v>
      </c>
      <c r="AR97" s="1270"/>
      <c r="AS97" s="1270"/>
      <c r="AT97" s="761"/>
      <c r="AU97" s="925">
        <f ca="1">SUBTOTAL(109,TabTRADER[vs.LB$])</f>
        <v>0</v>
      </c>
      <c r="AV97" s="761"/>
      <c r="AW97" s="761"/>
      <c r="AX97" s="761"/>
      <c r="AY97" s="738"/>
      <c r="AZ97" s="819">
        <f ca="1">SUBTOTAL(109,TabTRADER[SellMore(/A)])</f>
        <v>0</v>
      </c>
      <c r="BA97" s="820">
        <f ca="1">SUBTOTAL(109,TabTRADER[BuyMore])</f>
        <v>-0.11349681090911423</v>
      </c>
      <c r="BB97" s="1516"/>
      <c r="BC97" s="682"/>
      <c r="BD97" s="1518"/>
      <c r="BE97" s="730">
        <f ca="1">SUBTOTAL(109,TabTRADER[Buy_Back])</f>
        <v>-10097.450192800006</v>
      </c>
      <c r="BF97" s="693">
        <f ca="1">SUBTOTAL(104,TabTRADER[Rev_B@Y])</f>
        <v>0</v>
      </c>
      <c r="BG97" s="1513"/>
      <c r="BH97" s="674"/>
      <c r="BI97" s="685">
        <f ca="1">SUBTOTAL(109,TabTRADER[GL_Total])</f>
        <v>1926332.66095046</v>
      </c>
      <c r="BJ97" s="685"/>
      <c r="BK97" s="673"/>
      <c r="BL97" s="1519">
        <f>SUBTOTAL(103,TabTRADER[Status])</f>
        <v>8</v>
      </c>
      <c r="BM97" s="757"/>
      <c r="BN97" s="903"/>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N98" s="769"/>
      <c r="AP98" s="798"/>
      <c r="AQ98" s="798"/>
      <c r="AR98" s="798"/>
      <c r="AS98" s="798"/>
      <c r="AT98" s="798"/>
      <c r="AU98" s="798"/>
      <c r="AV98" s="798"/>
      <c r="AW98" s="798"/>
      <c r="AX98" s="327"/>
      <c r="AY98" s="329"/>
      <c r="AZ98" s="330"/>
      <c r="BA98" s="807">
        <f ca="1">SUM(TabTRADER[SellMore(/A)])</f>
        <v>-2.5039719440042929</v>
      </c>
      <c r="BB98" s="808">
        <f ca="1">SUM(TabTRADER[BuyMore])</f>
        <v>58.745404510309207</v>
      </c>
      <c r="BC98" s="670"/>
      <c r="BD98" s="311"/>
    </row>
    <row r="99" spans="1:73"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N99" s="941" t="s">
        <v>2407</v>
      </c>
      <c r="AQ99" s="93">
        <f ca="1">SUM(AQ3:AQ96)</f>
        <v>69772.982350999999</v>
      </c>
      <c r="AR99" s="93"/>
      <c r="AS99" s="93"/>
      <c r="AT99" s="93"/>
      <c r="AU99" s="93"/>
      <c r="AW99" s="93">
        <f ca="1">SUM(AW3:AW96)</f>
        <v>3411214.7568379738</v>
      </c>
    </row>
    <row r="100" spans="1:73"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1">
        <f ca="1">SUM(TabTRADER[Gain-Np])</f>
        <v>69772.982350999999</v>
      </c>
      <c r="AI100" s="941"/>
      <c r="AJ100" s="941"/>
      <c r="AK100" s="941"/>
      <c r="AL100" s="941"/>
      <c r="AM100" s="941"/>
      <c r="AN100" s="941">
        <f ca="1">SUM(TabTRADER[GL_R/M_NA])</f>
        <v>14708942.996825848</v>
      </c>
    </row>
    <row r="101" spans="1:73"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66" t="s">
        <v>2571</v>
      </c>
      <c r="AD101" s="1256" t="s">
        <v>2572</v>
      </c>
      <c r="AE101" s="1244"/>
    </row>
    <row r="102" spans="1:73"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67" t="s">
        <v>1134</v>
      </c>
      <c r="X102" s="1168">
        <f ca="1">COUNTIFS(TabTRADER[Cur], "EUR", TabTRADER[ClickTick], "?*")</f>
        <v>22</v>
      </c>
      <c r="AD102" s="1255" t="s">
        <v>2682</v>
      </c>
      <c r="AW102" s="900"/>
      <c r="AZ102" s="900"/>
      <c r="BD102" s="409" cm="1">
        <f t="array" ref="BD102">_xlfn.LAMBDA(_xlpm.x, _xlpm.x+1)(5)</f>
        <v>6</v>
      </c>
    </row>
    <row r="103" spans="1:73"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69" t="s">
        <v>1445</v>
      </c>
      <c r="X103" s="1170">
        <f ca="1">COUNTIFS(TabTRADER[Cur], "GBp", TabTRADER[ClickTick], "?*")</f>
        <v>4</v>
      </c>
      <c r="AC103" s="1245"/>
      <c r="AD103" s="1254" t="str">
        <f>"See "&amp;TabTRADER[[#Headers],[Rev%]]</f>
        <v>See Rev%</v>
      </c>
    </row>
    <row r="104" spans="1:73"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69" t="s">
        <v>1131</v>
      </c>
      <c r="X104" s="1170">
        <f ca="1">COUNTIFS(TabTRADER[Cur], "USD", TabTRADER[ClickTick], "?*")</f>
        <v>67</v>
      </c>
      <c r="AC104" s="539" t="s">
        <v>2675</v>
      </c>
      <c r="AD104" s="1257">
        <f>1-AD111</f>
        <v>0.99739999999999995</v>
      </c>
    </row>
    <row r="105" spans="1:73"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71" t="s">
        <v>1133</v>
      </c>
      <c r="X105" s="1172">
        <f ca="1">COUNTIFS(TabTRADER[Cur], "CHF", TabTRADER[ClickTick], "?*")</f>
        <v>1</v>
      </c>
      <c r="AC105" s="1246"/>
      <c r="AD105" s="1253" t="s">
        <v>2573</v>
      </c>
      <c r="AE105" s="1244"/>
    </row>
    <row r="106" spans="1:73"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52" t="s">
        <v>2683</v>
      </c>
      <c r="AE106" s="1244"/>
    </row>
    <row r="107" spans="1:73"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47" t="s">
        <v>2474</v>
      </c>
    </row>
    <row r="108" spans="1:73"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48"/>
      <c r="AE108" s="1244"/>
    </row>
    <row r="109" spans="1:73"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51" t="s">
        <v>2149</v>
      </c>
      <c r="AE109" s="1244"/>
    </row>
    <row r="110" spans="1:73"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49" t="s">
        <v>2195</v>
      </c>
      <c r="AE110" s="1244"/>
    </row>
    <row r="111" spans="1:73"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50">
        <v>2.5999999999999999E-3</v>
      </c>
      <c r="AS111" t="s">
        <v>2574</v>
      </c>
      <c r="AT111" s="82">
        <f>BankCheck!Q7</f>
        <v>-28.24</v>
      </c>
    </row>
    <row r="112" spans="1:73"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S112" t="s">
        <v>2575</v>
      </c>
      <c r="AT112" s="82">
        <f>BankCheck!Q43</f>
        <v>405410.4</v>
      </c>
    </row>
    <row r="113" spans="1:46"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S113" t="s">
        <v>2576</v>
      </c>
      <c r="AT113" s="82">
        <f>BankCheck!Q60</f>
        <v>269330.03000000003</v>
      </c>
    </row>
    <row r="114" spans="1:46"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T114" s="1178">
        <f>SUM(AT111:AT113)</f>
        <v>674712.19000000006</v>
      </c>
    </row>
    <row r="115" spans="1:46"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T115" s="1177">
        <f ca="1">AT114/[1]ExtEntry!$B$99</f>
        <v>585281.21963913948</v>
      </c>
    </row>
    <row r="116" spans="1:46"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6" ht="23" thickBot="1" x14ac:dyDescent="0.35">
      <c r="A117" s="327"/>
      <c r="B117" s="328"/>
      <c r="C117" s="328"/>
      <c r="D117" s="328"/>
      <c r="E117" s="327"/>
      <c r="F117" s="303"/>
      <c r="G117" s="312"/>
      <c r="H117" s="312"/>
      <c r="I117" s="631"/>
      <c r="J117" s="632"/>
      <c r="K117" s="1"/>
      <c r="L117" s="1"/>
      <c r="M117" s="594"/>
      <c r="AD117" s="1"/>
    </row>
    <row r="118" spans="1:46" ht="23" thickBot="1" x14ac:dyDescent="0.35">
      <c r="A118" s="327"/>
      <c r="B118" s="328"/>
      <c r="C118" s="328"/>
      <c r="D118" s="328"/>
      <c r="E118" s="327"/>
      <c r="F118" s="303"/>
      <c r="G118" s="312"/>
      <c r="H118" s="312"/>
      <c r="I118" s="631"/>
      <c r="J118" s="632"/>
      <c r="K118" s="1"/>
      <c r="L118" s="1"/>
      <c r="M118" s="594"/>
    </row>
    <row r="119" spans="1:46" ht="23" thickBot="1" x14ac:dyDescent="0.35">
      <c r="A119" s="327"/>
      <c r="B119" s="328"/>
      <c r="C119" s="328"/>
      <c r="D119" s="328"/>
      <c r="E119" s="327"/>
      <c r="F119" s="303"/>
      <c r="G119" s="312"/>
      <c r="H119" s="312"/>
      <c r="I119" s="631"/>
      <c r="J119" s="632"/>
      <c r="K119" s="1"/>
      <c r="L119" s="1"/>
      <c r="M119" s="594"/>
    </row>
    <row r="120" spans="1:46" ht="23" thickBot="1" x14ac:dyDescent="0.35">
      <c r="A120" s="327"/>
      <c r="B120" s="328"/>
      <c r="C120" s="328"/>
      <c r="D120" s="328"/>
      <c r="E120" s="327"/>
      <c r="F120" s="303"/>
      <c r="G120" s="312"/>
      <c r="H120" s="312"/>
      <c r="I120" s="631"/>
      <c r="J120" s="632"/>
      <c r="K120" s="1"/>
      <c r="L120" s="1"/>
      <c r="M120" s="594"/>
    </row>
    <row r="121" spans="1:46" ht="23" thickBot="1" x14ac:dyDescent="0.35">
      <c r="A121" s="327"/>
      <c r="B121" s="328"/>
      <c r="C121" s="328"/>
      <c r="D121" s="328"/>
      <c r="E121" s="327"/>
      <c r="F121" s="303"/>
      <c r="G121" s="312"/>
      <c r="H121" s="312"/>
      <c r="I121" s="631"/>
      <c r="J121" s="632"/>
      <c r="K121" s="1"/>
      <c r="L121" s="1"/>
      <c r="M121" s="594"/>
    </row>
    <row r="122" spans="1:46" ht="23" thickBot="1" x14ac:dyDescent="0.35">
      <c r="A122" s="327"/>
      <c r="B122" s="328"/>
      <c r="C122" s="328"/>
      <c r="D122" s="328"/>
      <c r="E122" s="327"/>
      <c r="F122" s="303"/>
      <c r="G122" s="312"/>
      <c r="H122" s="312"/>
      <c r="I122" s="631"/>
      <c r="J122" s="632"/>
      <c r="K122" s="1"/>
      <c r="L122" s="1"/>
      <c r="M122" s="594"/>
    </row>
    <row r="123" spans="1:46" ht="23" thickBot="1" x14ac:dyDescent="0.35">
      <c r="A123" s="327"/>
      <c r="B123" s="328"/>
      <c r="C123" s="328"/>
      <c r="D123" s="328"/>
      <c r="E123" s="327"/>
      <c r="F123" s="303"/>
      <c r="G123" s="312"/>
      <c r="H123" s="312"/>
      <c r="I123" s="631"/>
      <c r="J123" s="632"/>
      <c r="K123" s="1"/>
      <c r="L123" s="1"/>
      <c r="M123" s="594"/>
    </row>
    <row r="124" spans="1:46" ht="23" thickBot="1" x14ac:dyDescent="0.35">
      <c r="A124" s="327"/>
      <c r="B124" s="328"/>
      <c r="C124" s="328"/>
      <c r="D124" s="328"/>
      <c r="E124" s="327"/>
      <c r="F124" s="303"/>
      <c r="G124" s="312"/>
      <c r="H124" s="312"/>
      <c r="I124" s="631"/>
      <c r="J124" s="632"/>
      <c r="K124" s="1"/>
      <c r="L124" s="1"/>
      <c r="M124" s="594"/>
    </row>
    <row r="125" spans="1:46" ht="23" thickBot="1" x14ac:dyDescent="0.35">
      <c r="A125" s="327"/>
      <c r="B125" s="328"/>
      <c r="C125" s="328"/>
      <c r="D125" s="328"/>
      <c r="E125" s="327"/>
      <c r="F125" s="303"/>
      <c r="G125" s="312"/>
      <c r="H125" s="312"/>
      <c r="I125" s="631"/>
      <c r="J125" s="632"/>
      <c r="K125" s="1"/>
      <c r="L125" s="1"/>
      <c r="M125" s="594"/>
    </row>
    <row r="126" spans="1:46" ht="23" thickBot="1" x14ac:dyDescent="0.35">
      <c r="A126" s="327"/>
      <c r="B126" s="328"/>
      <c r="C126" s="328"/>
      <c r="D126" s="328"/>
      <c r="E126" s="327"/>
      <c r="F126" s="303"/>
      <c r="G126" s="312"/>
      <c r="H126" s="312"/>
      <c r="I126" s="631"/>
      <c r="J126" s="632"/>
      <c r="K126" s="1"/>
      <c r="L126" s="1"/>
      <c r="M126" s="594"/>
    </row>
    <row r="127" spans="1:46" ht="23" thickBot="1" x14ac:dyDescent="0.35">
      <c r="A127" s="327"/>
      <c r="B127" s="328"/>
      <c r="C127" s="328"/>
      <c r="D127" s="328"/>
      <c r="E127" s="327"/>
      <c r="F127" s="303"/>
      <c r="G127" s="312"/>
      <c r="H127" s="312"/>
      <c r="I127" s="631"/>
      <c r="J127" s="632"/>
      <c r="K127" s="1"/>
      <c r="L127" s="1"/>
      <c r="M127" s="594"/>
    </row>
    <row r="128" spans="1:46"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B1:BE1"/>
    <mergeCell ref="P1:S1"/>
    <mergeCell ref="AY1:BA1"/>
    <mergeCell ref="AP1:AQ1"/>
    <mergeCell ref="AV1:AW1"/>
    <mergeCell ref="AT1:AU1"/>
    <mergeCell ref="AD1:AG1"/>
  </mergeCells>
  <phoneticPr fontId="48" type="noConversion"/>
  <conditionalFormatting sqref="G3:I96">
    <cfRule type="containsText" dxfId="494" priority="145" operator="containsText" text="x0">
      <formula>NOT(ISERROR(SEARCH("x0",G3)))</formula>
    </cfRule>
    <cfRule type="containsText" dxfId="493" priority="168" operator="containsText" text=" -">
      <formula>NOT(ISERROR(SEARCH(" -",G3)))</formula>
    </cfRule>
  </conditionalFormatting>
  <conditionalFormatting sqref="I3:I96">
    <cfRule type="containsText" dxfId="49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1" priority="162" operator="containsText" text=" 0">
      <formula>NOT(ISERROR(SEARCH(" 0",B3)))</formula>
    </cfRule>
  </conditionalFormatting>
  <conditionalFormatting sqref="B3:B96">
    <cfRule type="containsText" dxfId="490" priority="163" operator="containsText" text=" -">
      <formula>NOT(ISERROR(SEARCH(" -",B3)))</formula>
    </cfRule>
  </conditionalFormatting>
  <conditionalFormatting sqref="H3:I96">
    <cfRule type="containsText" dxfId="489" priority="158" operator="containsText" text="Free">
      <formula>NOT(ISERROR(SEARCH("Free",H3)))</formula>
    </cfRule>
    <cfRule type="containsText" dxfId="488" priority="159" operator="containsText" text="Buy">
      <formula>NOT(ISERROR(SEARCH("Buy",H3)))</formula>
    </cfRule>
    <cfRule type="containsText" dxfId="487" priority="160" operator="containsText" text="Refill">
      <formula>NOT(ISERROR(SEARCH("Refill",H3)))</formula>
    </cfRule>
    <cfRule type="containsText" dxfId="486" priority="161" operator="containsText" text="S_more">
      <formula>NOT(ISERROR(SEARCH("S_more",H3)))</formula>
    </cfRule>
  </conditionalFormatting>
  <conditionalFormatting sqref="D98 C2:C96">
    <cfRule type="containsText" dxfId="485" priority="154" operator="containsText" text="Free">
      <formula>NOT(ISERROR(SEARCH("Free",C2)))</formula>
    </cfRule>
    <cfRule type="containsText" dxfId="484" priority="155" operator="containsText" text="Sell">
      <formula>NOT(ISERROR(SEARCH("Sell",C2)))</formula>
    </cfRule>
    <cfRule type="containsText" dxfId="483" priority="156" operator="containsText" text="Re-Sell">
      <formula>NOT(ISERROR(SEARCH("Re-Sell",C2)))</formula>
    </cfRule>
    <cfRule type="containsText" dxfId="482" priority="157" operator="containsText" text="B_more">
      <formula>NOT(ISERROR(SEARCH("B_more",C2)))</formula>
    </cfRule>
  </conditionalFormatting>
  <conditionalFormatting sqref="N98 E3:E96">
    <cfRule type="containsText" dxfId="481" priority="142" operator="containsText" text="Free">
      <formula>NOT(ISERROR(SEARCH("Free",E3)))</formula>
    </cfRule>
    <cfRule type="containsText" dxfId="480" priority="149" operator="containsText" text="M&lt;min">
      <formula>NOT(ISERROR(SEARCH("M&lt;min",E3)))</formula>
    </cfRule>
    <cfRule type="containsText" dxfId="479" priority="150" operator="containsText" text="A&lt;M">
      <formula>NOT(ISERROR(SEARCH("A&lt;M",E3)))</formula>
    </cfRule>
    <cfRule type="containsText" dxfId="478" priority="151" operator="containsText" text="M&gt;Last Sale">
      <formula>NOT(ISERROR(SEARCH("M&gt;Last Sale",E3)))</formula>
    </cfRule>
    <cfRule type="containsText" dxfId="477" priority="152" operator="containsText" text="M&gt;Y">
      <formula>NOT(ISERROR(SEARCH("M&gt;Y",E3)))</formula>
    </cfRule>
  </conditionalFormatting>
  <conditionalFormatting sqref="C3:C96">
    <cfRule type="expression" dxfId="476" priority="146">
      <formula>#REF!=0</formula>
    </cfRule>
  </conditionalFormatting>
  <conditionalFormatting sqref="N98 E3:E96">
    <cfRule type="containsText" dxfId="475" priority="148" operator="containsText" text="A&gt;M">
      <formula>NOT(ISERROR(SEARCH("A&gt;M",E3)))</formula>
    </cfRule>
  </conditionalFormatting>
  <conditionalFormatting sqref="BL2:BP96">
    <cfRule type="containsText" dxfId="474" priority="135" operator="containsText" text="Trade">
      <formula>NOT(ISERROR(SEARCH("Trade",BL2)))</formula>
    </cfRule>
  </conditionalFormatting>
  <conditionalFormatting sqref="D3:E96">
    <cfRule type="expression" dxfId="473" priority="182">
      <formula>#REF!=0</formula>
    </cfRule>
    <cfRule type="expression" dxfId="472"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1" priority="131" operator="greaterThan">
      <formula>0</formula>
    </cfRule>
    <cfRule type="cellIs" dxfId="470" priority="132" operator="lessThan">
      <formula>0</formula>
    </cfRule>
  </conditionalFormatting>
  <conditionalFormatting sqref="BK3:BK96">
    <cfRule type="containsText" dxfId="469" priority="122" operator="containsText" text="Pile">
      <formula>NOT(ISERROR(SEARCH("Pile",BK3)))</formula>
    </cfRule>
  </conditionalFormatting>
  <conditionalFormatting sqref="BR97:BU97">
    <cfRule type="expression" dxfId="468" priority="119">
      <formula>$BL98&gt;=$BK98</formula>
    </cfRule>
  </conditionalFormatting>
  <conditionalFormatting sqref="BR2:BT3 BS4:BT94 BR4:BR96 BU2:BU94">
    <cfRule type="expression" dxfId="467" priority="1068">
      <formula>$BR3&gt;=$BQ3</formula>
    </cfRule>
  </conditionalFormatting>
  <conditionalFormatting sqref="U97">
    <cfRule type="cellIs" dxfId="466" priority="117" operator="lessThan">
      <formula>"/ -"</formula>
    </cfRule>
  </conditionalFormatting>
  <conditionalFormatting sqref="S2:S97">
    <cfRule type="cellIs" dxfId="465" priority="115" operator="lessThan">
      <formula>-1000</formula>
    </cfRule>
    <cfRule type="cellIs" dxfId="464" priority="116" operator="greaterThan">
      <formula>1000</formula>
    </cfRule>
  </conditionalFormatting>
  <conditionalFormatting sqref="O3:O96">
    <cfRule type="containsText" dxfId="463" priority="112" operator="containsText" text="Pile">
      <formula>NOT(ISERROR(SEARCH("Pile",O3)))</formula>
    </cfRule>
  </conditionalFormatting>
  <conditionalFormatting sqref="AD2:AD97">
    <cfRule type="containsText" dxfId="462" priority="104" operator="containsText" text="Trade">
      <formula>NOT(ISERROR(SEARCH("Trade",AD2)))</formula>
    </cfRule>
    <cfRule type="containsText" dxfId="461" priority="111" operator="containsText" text="Pile^">
      <formula>NOT(ISERROR(SEARCH("Pile^",AD2)))</formula>
    </cfRule>
  </conditionalFormatting>
  <conditionalFormatting sqref="BF3:BF96">
    <cfRule type="cellIs" dxfId="460" priority="106" operator="lessThan">
      <formula>0</formula>
    </cfRule>
    <cfRule type="expression" dxfId="459" priority="1351">
      <formula>AND($BF3&gt;50%,$BF3&lt;100%)</formula>
    </cfRule>
    <cfRule type="cellIs" dxfId="458" priority="1352" operator="greaterThan">
      <formula>1</formula>
    </cfRule>
  </conditionalFormatting>
  <conditionalFormatting sqref="U3:U96">
    <cfRule type="containsText" dxfId="457" priority="99" operator="containsText" text="/ -">
      <formula>NOT(ISERROR(SEARCH("/ -",U3)))</formula>
    </cfRule>
  </conditionalFormatting>
  <conditionalFormatting sqref="BQ2:BQ96">
    <cfRule type="containsText" dxfId="456" priority="85" operator="containsText" text="Trade">
      <formula>NOT(ISERROR(SEARCH("Trade",BQ2)))</formula>
    </cfRule>
  </conditionalFormatting>
  <conditionalFormatting sqref="AD101">
    <cfRule type="containsText" dxfId="455" priority="79" operator="containsText" text="More">
      <formula>NOT(ISERROR(SEARCH("More",AD101)))</formula>
    </cfRule>
    <cfRule type="containsText" dxfId="454" priority="80" operator="containsText" text="Up">
      <formula>NOT(ISERROR(SEARCH("Up",AD101)))</formula>
    </cfRule>
    <cfRule type="containsText" dxfId="453" priority="81" operator="containsText" text="Down">
      <formula>NOT(ISERROR(SEARCH("Down",AD101)))</formula>
    </cfRule>
  </conditionalFormatting>
  <conditionalFormatting sqref="AD101">
    <cfRule type="containsText" dxfId="452" priority="82" operator="containsText" text="Buy">
      <formula>NOT(ISERROR(SEARCH("Buy",AD101)))</formula>
    </cfRule>
    <cfRule type="containsText" dxfId="451" priority="83" operator="containsText" text="Sell">
      <formula>NOT(ISERROR(SEARCH("Sell",AD101)))</formula>
    </cfRule>
  </conditionalFormatting>
  <conditionalFormatting sqref="AD102">
    <cfRule type="containsText" dxfId="450" priority="69" operator="containsText" text="More">
      <formula>NOT(ISERROR(SEARCH("More",AD102)))</formula>
    </cfRule>
    <cfRule type="containsText" dxfId="449" priority="70" operator="containsText" text="Up">
      <formula>NOT(ISERROR(SEARCH("Up",AD102)))</formula>
    </cfRule>
    <cfRule type="containsText" dxfId="448" priority="71" operator="containsText" text="Down">
      <formula>NOT(ISERROR(SEARCH("Down",AD102)))</formula>
    </cfRule>
  </conditionalFormatting>
  <conditionalFormatting sqref="AD102">
    <cfRule type="containsText" dxfId="447" priority="72" operator="containsText" text="Buy">
      <formula>NOT(ISERROR(SEARCH("Buy",AD102)))</formula>
    </cfRule>
    <cfRule type="containsText" dxfId="446" priority="73" operator="containsText" text="Sell">
      <formula>NOT(ISERROR(SEARCH("Sell",AD102)))</formula>
    </cfRule>
  </conditionalFormatting>
  <conditionalFormatting sqref="AD105">
    <cfRule type="containsText" dxfId="445" priority="64" operator="containsText" text="More">
      <formula>NOT(ISERROR(SEARCH("More",AD105)))</formula>
    </cfRule>
    <cfRule type="containsText" dxfId="444" priority="65" operator="containsText" text="Up">
      <formula>NOT(ISERROR(SEARCH("Up",AD105)))</formula>
    </cfRule>
    <cfRule type="containsText" dxfId="443" priority="66" operator="containsText" text="Down">
      <formula>NOT(ISERROR(SEARCH("Down",AD105)))</formula>
    </cfRule>
  </conditionalFormatting>
  <conditionalFormatting sqref="AD105">
    <cfRule type="containsText" dxfId="442" priority="67" operator="containsText" text="Buy">
      <formula>NOT(ISERROR(SEARCH("Buy",AD105)))</formula>
    </cfRule>
    <cfRule type="containsText" dxfId="441" priority="68" operator="containsText" text="Sell">
      <formula>NOT(ISERROR(SEARCH("Sell",AD105)))</formula>
    </cfRule>
  </conditionalFormatting>
  <conditionalFormatting sqref="AD106">
    <cfRule type="containsText" dxfId="440" priority="59" operator="containsText" text="More">
      <formula>NOT(ISERROR(SEARCH("More",AD106)))</formula>
    </cfRule>
    <cfRule type="containsText" dxfId="439" priority="60" operator="containsText" text="Up">
      <formula>NOT(ISERROR(SEARCH("Up",AD106)))</formula>
    </cfRule>
    <cfRule type="containsText" dxfId="438" priority="61" operator="containsText" text="Down">
      <formula>NOT(ISERROR(SEARCH("Down",AD106)))</formula>
    </cfRule>
  </conditionalFormatting>
  <conditionalFormatting sqref="AD106">
    <cfRule type="containsText" dxfId="437" priority="62" operator="containsText" text="Buy">
      <formula>NOT(ISERROR(SEARCH("Buy",AD106)))</formula>
    </cfRule>
    <cfRule type="containsText" dxfId="436" priority="63" operator="containsText" text="Sell">
      <formula>NOT(ISERROR(SEARCH("Sell",AD106)))</formula>
    </cfRule>
  </conditionalFormatting>
  <conditionalFormatting sqref="BA3:BA96">
    <cfRule type="containsText" dxfId="435" priority="54" operator="containsText" text="More">
      <formula>NOT(ISERROR(SEARCH("More",BA3)))</formula>
    </cfRule>
    <cfRule type="containsText" dxfId="434" priority="55" operator="containsText" text="Up">
      <formula>NOT(ISERROR(SEARCH("Up",BA3)))</formula>
    </cfRule>
    <cfRule type="containsText" dxfId="433" priority="56" operator="containsText" text="Down">
      <formula>NOT(ISERROR(SEARCH("Down",BA3)))</formula>
    </cfRule>
  </conditionalFormatting>
  <conditionalFormatting sqref="BA3:BA96">
    <cfRule type="containsText" dxfId="432" priority="57" operator="containsText" text="Buy">
      <formula>NOT(ISERROR(SEARCH("Buy",BA3)))</formula>
    </cfRule>
    <cfRule type="containsText" dxfId="431" priority="58" operator="containsText" text="Sell">
      <formula>NOT(ISERROR(SEARCH("Sell",BA3)))</formula>
    </cfRule>
  </conditionalFormatting>
  <conditionalFormatting sqref="Y3:Y96">
    <cfRule type="expression" dxfId="430" priority="22">
      <formula>AND(Y3&lt;&gt;0,Y3&lt;MIN(W3,AA3))</formula>
    </cfRule>
    <cfRule type="expression" dxfId="429" priority="45">
      <formula>AND(Y3&lt;&gt;0,Y3&lt;W3,Y3&gt;AA3)</formula>
    </cfRule>
  </conditionalFormatting>
  <conditionalFormatting sqref="T3:T96">
    <cfRule type="expression" dxfId="428" priority="1829" stopIfTrue="1">
      <formula>$T3&gt;MAX(ABS($AA3),$W3)</formula>
    </cfRule>
    <cfRule type="expression" dxfId="427" priority="1830" stopIfTrue="1">
      <formula>$T3&gt;AND(MAX(ABS($AA3),$W3),ABS($AA3)&lt;$W3)</formula>
    </cfRule>
  </conditionalFormatting>
  <conditionalFormatting sqref="T3:T96">
    <cfRule type="expression" dxfId="426" priority="1831" stopIfTrue="1">
      <formula>AND($T3&lt;=MIN(ABS($AA3),$W3),ABS($AA3)&gt;$W3,$W3&lt;=0)</formula>
    </cfRule>
    <cfRule type="expression" dxfId="425" priority="1832" stopIfTrue="1">
      <formula>AND($T3&lt;=MIN(ABS($AA3),$W3),ABS($AA3)&lt;$W3,$W3&lt;=0)</formula>
    </cfRule>
  </conditionalFormatting>
  <conditionalFormatting sqref="W3:W96">
    <cfRule type="expression" dxfId="424" priority="1833">
      <formula>W3&gt;MAX(AA3,Y3)</formula>
    </cfRule>
    <cfRule type="expression" dxfId="423" priority="1834">
      <formula>AND(W3&gt;MAX(Y3,AA3), AA3&lt;Y3)</formula>
    </cfRule>
    <cfRule type="expression" dxfId="422" priority="1835" stopIfTrue="1">
      <formula>AND(W3&gt;MAX(Y3,AA3), AA3&gt;Y3)</formula>
    </cfRule>
    <cfRule type="expression" dxfId="421" priority="1836">
      <formula>AND(W3&lt;MIN(Y3,AA3),AA3&lt;Y3)</formula>
    </cfRule>
    <cfRule type="expression" dxfId="420" priority="1837">
      <formula>AND(AA3&gt;MAX(Y3,W3),Y3&lt;W3)</formula>
    </cfRule>
  </conditionalFormatting>
  <conditionalFormatting sqref="AY3:AY96">
    <cfRule type="containsText" dxfId="419" priority="26" operator="containsText" text="No">
      <formula>NOT(ISERROR(SEARCH("No",AY3)))</formula>
    </cfRule>
    <cfRule type="containsText" dxfId="418" priority="27" operator="containsText" text="M&lt;">
      <formula>NOT(ISERROR(SEARCH("M&lt;",AY3)))</formula>
    </cfRule>
    <cfRule type="containsText" dxfId="417" priority="28" operator="containsText" text="M&gt;">
      <formula>NOT(ISERROR(SEARCH("M&gt;",AY3)))</formula>
    </cfRule>
  </conditionalFormatting>
  <conditionalFormatting sqref="AA3:AA96">
    <cfRule type="expression" dxfId="416" priority="24">
      <formula>$AA3&lt;MIN($W3,$Y3)</formula>
    </cfRule>
  </conditionalFormatting>
  <conditionalFormatting sqref="AP2:AP97">
    <cfRule type="containsText" dxfId="415" priority="21" operator="containsText" text="Don't">
      <formula>NOT(ISERROR(SEARCH("Don't",AP2)))</formula>
    </cfRule>
  </conditionalFormatting>
  <conditionalFormatting sqref="AS2:AS97">
    <cfRule type="cellIs" dxfId="414" priority="19" operator="lessThan">
      <formula>0.5</formula>
    </cfRule>
  </conditionalFormatting>
  <conditionalFormatting sqref="AR2:AR96">
    <cfRule type="cellIs" dxfId="413" priority="18" operator="lessThan">
      <formula>0</formula>
    </cfRule>
  </conditionalFormatting>
  <conditionalFormatting sqref="X2:X97">
    <cfRule type="containsText" dxfId="412" priority="15" operator="containsText" text="WBA">
      <formula>NOT(ISERROR(SEARCH("WBA",X2)))</formula>
    </cfRule>
  </conditionalFormatting>
  <conditionalFormatting sqref="BS95:BU95">
    <cfRule type="expression" dxfId="411" priority="2349">
      <formula>$BR97&gt;=$BQ97</formula>
    </cfRule>
  </conditionalFormatting>
  <conditionalFormatting sqref="AU3:AW96 AO3:AQ96">
    <cfRule type="expression" dxfId="410" priority="2358">
      <formula>$AE3=$AD$102</formula>
    </cfRule>
  </conditionalFormatting>
  <conditionalFormatting sqref="AN79:AO96 AO3:AO78">
    <cfRule type="expression" dxfId="409" priority="2360">
      <formula>$AE3=$AD$105</formula>
    </cfRule>
  </conditionalFormatting>
  <conditionalFormatting sqref="AU3:AW96 AN79:AQ96 AO3:AQ78">
    <cfRule type="expression" dxfId="408" priority="2361">
      <formula>$AE3=$AD$106</formula>
    </cfRule>
  </conditionalFormatting>
  <conditionalFormatting sqref="X96">
    <cfRule type="expression" dxfId="407" priority="14">
      <formula>AND(ROW()&gt;2, ROW()=SelRowNum)</formula>
    </cfRule>
  </conditionalFormatting>
  <conditionalFormatting sqref="X96">
    <cfRule type="expression" dxfId="406" priority="13">
      <formula>AND(ROW()&gt;2, ROW()=SelRowNum)</formula>
    </cfRule>
  </conditionalFormatting>
  <conditionalFormatting sqref="BC96">
    <cfRule type="expression" dxfId="405" priority="12">
      <formula>AND(ROW()&gt;2, ROW()=SelRowNum)</formula>
    </cfRule>
  </conditionalFormatting>
  <conditionalFormatting sqref="AP96">
    <cfRule type="expression" dxfId="404" priority="11">
      <formula>AND(ROW()&gt;2, ROW()=SelRowNum)</formula>
    </cfRule>
  </conditionalFormatting>
  <conditionalFormatting sqref="AE96">
    <cfRule type="expression" dxfId="403" priority="9">
      <formula>AND(ROW()&gt;2, ROW()=SelRowNum)</formula>
    </cfRule>
  </conditionalFormatting>
  <conditionalFormatting sqref="AR96">
    <cfRule type="expression" dxfId="402"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1655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45980</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45980</v>
      </c>
      <c r="B11" s="441" t="s">
        <v>136</v>
      </c>
      <c r="C11" s="441" t="s">
        <v>137</v>
      </c>
      <c r="D11" s="936"/>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15,000xM@15.3, A@ 15.99, Y@ 16.91959, L_Bp@ -16.04x14450, L_Sp@ 16.12x3200, Cl@ 15.34, Low@ 15.23, High@ 15.49,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45980</v>
      </c>
      <c r="B12" s="441"/>
      <c r="C12" s="441"/>
      <c r="D12" s="936"/>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45980</v>
      </c>
      <c r="B13" s="441"/>
      <c r="C13" s="441"/>
      <c r="D13" s="936"/>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45980</v>
      </c>
      <c r="B14" s="441"/>
      <c r="C14" s="441"/>
      <c r="D14" s="936"/>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45980</v>
      </c>
      <c r="B15" s="442"/>
      <c r="C15" s="442"/>
      <c r="D15" s="937"/>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38"/>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36"/>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36"/>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36"/>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36"/>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36"/>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36"/>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36"/>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37"/>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29"/>
      <c r="B25" s="930"/>
      <c r="C25" s="931"/>
      <c r="D25" s="932"/>
      <c r="E25" s="933"/>
      <c r="F25" s="934"/>
      <c r="G25" s="935" t="s">
        <v>2404</v>
      </c>
      <c r="H25" s="939"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8"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41" t="str">
        <f>TabReg[[#Headers],[AAPL]]</f>
        <v>AAPL</v>
      </c>
      <c r="C1" s="1141" t="str">
        <f>TabReg[[#Headers],[AAPL1]]</f>
        <v>AAPL1</v>
      </c>
      <c r="D1" s="1141" t="str">
        <f>TabReg[[#Headers],[AAPL2]]</f>
        <v>AAPL2</v>
      </c>
      <c r="E1" s="1141" t="str">
        <f>TabReg[[#Headers],[ADEA]]</f>
        <v>ADEA</v>
      </c>
      <c r="F1" s="1141" t="str">
        <f>TabReg[[#Headers],[ADEA1]]</f>
        <v>ADEA1</v>
      </c>
      <c r="G1" s="1141" t="str">
        <f>TabReg[[#Headers],[ADEA2]]</f>
        <v>ADEA2</v>
      </c>
      <c r="H1" s="1141" t="str">
        <f>TabReg[[#Headers],[AET]]</f>
        <v>AET</v>
      </c>
      <c r="I1" s="1141" t="str">
        <f>TabReg[[#Headers],[AET1]]</f>
        <v>AET1</v>
      </c>
      <c r="J1" s="1141" t="str">
        <f>TabReg[[#Headers],[AET2]]</f>
        <v>AET2</v>
      </c>
      <c r="K1" s="1141" t="str">
        <f>TabReg[[#Headers],[AMZN]]</f>
        <v>AMZN</v>
      </c>
      <c r="L1" s="1141" t="str">
        <f>TabReg[[#Headers],[AMZN1]]</f>
        <v>AMZN1</v>
      </c>
      <c r="M1" s="1141" t="str">
        <f>TabReg[[#Headers],[AMZN2]]</f>
        <v>AMZN2</v>
      </c>
      <c r="N1" s="1141" t="str">
        <f>TabReg[[#Headers],[ALDNE]]</f>
        <v>ALDNE</v>
      </c>
      <c r="O1" s="1141" t="str">
        <f>TabReg[[#Headers],[ALDNE1]]</f>
        <v>ALDNE1</v>
      </c>
      <c r="P1" s="1141" t="str">
        <f>TabReg[[#Headers],[ALDNE2]]</f>
        <v>ALDNE2</v>
      </c>
      <c r="Q1" s="1141" t="str">
        <f>TabReg[[#Headers],[ASML]]</f>
        <v>ASML</v>
      </c>
      <c r="R1" s="1141" t="str">
        <f>TabReg[[#Headers],[ASML1]]</f>
        <v>ASML1</v>
      </c>
      <c r="S1" s="1141" t="str">
        <f>TabReg[[#Headers],[ASML2]]</f>
        <v>ASML2</v>
      </c>
      <c r="T1" s="1141" t="str">
        <f>TabReg[[#Headers],[AVGO]]</f>
        <v>AVGO</v>
      </c>
      <c r="U1" s="1141" t="str">
        <f>TabReg[[#Headers],[AVGO1]]</f>
        <v>AVGO1</v>
      </c>
      <c r="V1" s="1141" t="str">
        <f>TabReg[[#Headers],[AVGO2]]</f>
        <v>AVGO2</v>
      </c>
      <c r="W1" s="1141" t="str">
        <f>TabReg[[#Headers],[AZN]]</f>
        <v>AZN</v>
      </c>
      <c r="X1" s="1141" t="str">
        <f>TabReg[[#Headers],[AZN1]]</f>
        <v>AZN1</v>
      </c>
      <c r="Y1" s="1141" t="str">
        <f>TabReg[[#Headers],[AZN2]]</f>
        <v>AZN2</v>
      </c>
      <c r="Z1" s="1141" t="str">
        <f>TabReg[[#Headers],[BLDP]]</f>
        <v>BLDP</v>
      </c>
      <c r="AA1" s="1141" t="str">
        <f>TabReg[[#Headers],[BLDP1]]</f>
        <v>BLDP1</v>
      </c>
      <c r="AB1" s="1141" t="str">
        <f>TabReg[[#Headers],[BLDP2]]</f>
        <v>BLDP2</v>
      </c>
      <c r="AC1" s="1141" t="str">
        <f>TabReg[[#Headers],[BMRA]]</f>
        <v>BMRA</v>
      </c>
      <c r="AD1" s="1141" t="str">
        <f>TabReg[[#Headers],[BMRA1]]</f>
        <v>BMRA1</v>
      </c>
      <c r="AE1" s="1141" t="str">
        <f>TabReg[[#Headers],[BMRA2]]</f>
        <v>BMRA2</v>
      </c>
      <c r="AF1" s="1141" t="str">
        <f>TabReg[[#Headers],[C]]</f>
        <v>C</v>
      </c>
      <c r="AG1" s="1141" t="str">
        <f>TabReg[[#Headers],[C1]]</f>
        <v>C1</v>
      </c>
      <c r="AH1" s="1141" t="str">
        <f>TabReg[[#Headers],[C2]]</f>
        <v>C2</v>
      </c>
      <c r="AI1" s="1141" t="str">
        <f>TabReg[[#Headers],[CSCO]]</f>
        <v>CSCO</v>
      </c>
      <c r="AJ1" s="1141" t="str">
        <f>TabReg[[#Headers],[CSCO1]]</f>
        <v>CSCO1</v>
      </c>
      <c r="AK1" s="1141" t="str">
        <f>TabReg[[#Headers],[CSCO2]]</f>
        <v>CSCO2</v>
      </c>
      <c r="AL1" s="1141" t="str">
        <f>TabReg[[#Headers],[CVS]]</f>
        <v>CVS</v>
      </c>
      <c r="AM1" s="1141" t="str">
        <f>TabReg[[#Headers],[CVS1]]</f>
        <v>CVS1</v>
      </c>
      <c r="AN1" s="1141" t="str">
        <f>TabReg[[#Headers],[CVS2]]</f>
        <v>CVS2</v>
      </c>
      <c r="AO1" s="1141" t="str">
        <f>TabReg[[#Headers],[DDD]]</f>
        <v>DDD</v>
      </c>
      <c r="AP1" s="1141" t="str">
        <f>TabReg[[#Headers],[DDD1]]</f>
        <v>DDD1</v>
      </c>
      <c r="AQ1" s="1141" t="str">
        <f>TabReg[[#Headers],[DDD2]]</f>
        <v>DDD2</v>
      </c>
      <c r="AR1" s="1141" t="str">
        <f>TabReg[[#Headers],[DIS]]</f>
        <v>DIS</v>
      </c>
      <c r="AS1" s="1141" t="str">
        <f>TabReg[[#Headers],[DIS1]]</f>
        <v>DIS1</v>
      </c>
      <c r="AT1" s="1141" t="str">
        <f>TabReg[[#Headers],[DIS2]]</f>
        <v>DIS2</v>
      </c>
      <c r="AU1" s="1141" t="str">
        <f>TabReg[[#Headers],[DSY]]</f>
        <v>DSY</v>
      </c>
      <c r="AV1" s="1141" t="str">
        <f>TabReg[[#Headers],[DSY1]]</f>
        <v>DSY1</v>
      </c>
      <c r="AW1" s="1141" t="str">
        <f>TabReg[[#Headers],[DSY2]]</f>
        <v>DSY2</v>
      </c>
      <c r="AX1" s="1141" t="str">
        <f>TabReg[[#Headers],[DVA]]</f>
        <v>DVA</v>
      </c>
      <c r="AY1" s="1141" t="str">
        <f>TabReg[[#Headers],[DVA1]]</f>
        <v>DVA1</v>
      </c>
      <c r="AZ1" s="1141" t="str">
        <f>TabReg[[#Headers],[DVA2]]</f>
        <v>DVA2</v>
      </c>
      <c r="BA1" s="1141" t="str">
        <f>TabReg[[#Headers],[DXC]]</f>
        <v>DXC</v>
      </c>
      <c r="BB1" s="1141" t="str">
        <f>TabReg[[#Headers],[DXC1]]</f>
        <v>DXC1</v>
      </c>
      <c r="BC1" s="1141" t="str">
        <f>TabReg[[#Headers],[DXC2]]</f>
        <v>DXC2</v>
      </c>
      <c r="BD1" s="1141" t="str">
        <f>TabReg[[#Headers],[EOAN]]</f>
        <v>EOAN</v>
      </c>
      <c r="BE1" s="1141" t="str">
        <f>TabReg[[#Headers],[EOAN1]]</f>
        <v>EOAN1</v>
      </c>
      <c r="BF1" s="1141" t="str">
        <f>TabReg[[#Headers],[EOAN2]]</f>
        <v>EOAN2</v>
      </c>
      <c r="BG1" s="1141" t="str">
        <f>TabReg[[#Headers],[EPIX]]</f>
        <v>EPIX</v>
      </c>
      <c r="BH1" s="1141" t="str">
        <f>TabReg[[#Headers],[EPIX1]]</f>
        <v>EPIX1</v>
      </c>
      <c r="BI1" s="1141" t="str">
        <f>TabReg[[#Headers],[EPIX2]]</f>
        <v>EPIX2</v>
      </c>
      <c r="BJ1" s="1141" t="str">
        <f>TabReg[[#Headers],[GM]]</f>
        <v>GM</v>
      </c>
      <c r="BK1" s="1141" t="str">
        <f>TabReg[[#Headers],[GM1]]</f>
        <v>GM1</v>
      </c>
      <c r="BL1" s="1141" t="str">
        <f>TabReg[[#Headers],[GM2]]</f>
        <v>GM2</v>
      </c>
      <c r="BM1" s="1141" t="str">
        <f>TabReg[[#Headers],[HPE]]</f>
        <v>HPE</v>
      </c>
      <c r="BN1" s="1141" t="str">
        <f>TabReg[[#Headers],[HPE1]]</f>
        <v>HPE1</v>
      </c>
      <c r="BO1" s="1141" t="str">
        <f>TabReg[[#Headers],[HPE2]]</f>
        <v>HPE2</v>
      </c>
      <c r="BP1" s="1141" t="str">
        <f>TabReg[[#Headers],[HPQ]]</f>
        <v>HPQ</v>
      </c>
      <c r="BQ1" s="1141" t="str">
        <f>TabReg[[#Headers],[HPQ1]]</f>
        <v>HPQ1</v>
      </c>
      <c r="BR1" s="1141" t="str">
        <f>TabReg[[#Headers],[HPQ2]]</f>
        <v>HPQ2</v>
      </c>
      <c r="BS1" s="1141" t="str">
        <f>TabReg[[#Headers],[IAG]]</f>
        <v>IAG</v>
      </c>
      <c r="BT1" s="1141" t="str">
        <f>TabReg[[#Headers],[IAG1]]</f>
        <v>IAG1</v>
      </c>
      <c r="BU1" s="1141" t="str">
        <f>TabReg[[#Headers],[IAG2]]</f>
        <v>IAG2</v>
      </c>
      <c r="BV1" s="1141" t="str">
        <f>TabReg[[#Headers],[KR]]</f>
        <v>KR</v>
      </c>
      <c r="BW1" s="1141" t="str">
        <f>TabReg[[#Headers],[KR1]]</f>
        <v>KR1</v>
      </c>
      <c r="BX1" s="1141" t="str">
        <f>TabReg[[#Headers],[KR2]]</f>
        <v>KR2</v>
      </c>
      <c r="BY1" s="1141" t="str">
        <f>TabReg[[#Headers],[LNSR]]</f>
        <v>LNSR</v>
      </c>
      <c r="BZ1" s="1141" t="str">
        <f>TabReg[[#Headers],[LNSR1]]</f>
        <v>LNSR1</v>
      </c>
      <c r="CA1" s="1141" t="str">
        <f>TabReg[[#Headers],[LNSR2]]</f>
        <v>LNSR2</v>
      </c>
      <c r="CB1" s="1141" t="str">
        <f>TabReg[[#Headers],[LUMN]]</f>
        <v>LUMN</v>
      </c>
      <c r="CC1" s="1141" t="str">
        <f>TabReg[[#Headers],[LUMN1]]</f>
        <v>LUMN1</v>
      </c>
      <c r="CD1" s="1141" t="str">
        <f>TabReg[[#Headers],[LUMN2]]</f>
        <v>LUMN2</v>
      </c>
      <c r="CE1" s="1141" t="str">
        <f>TabReg[[#Headers],[MRNA]]</f>
        <v>MRNA</v>
      </c>
      <c r="CF1" s="1141" t="str">
        <f>TabReg[[#Headers],[MRNA1]]</f>
        <v>MRNA1</v>
      </c>
      <c r="CG1" s="1141" t="str">
        <f>TabReg[[#Headers],[MRNA2]]</f>
        <v>MRNA2</v>
      </c>
      <c r="CH1" s="1141" t="str">
        <f>TabReg[[#Headers],[MSFT]]</f>
        <v>MSFT</v>
      </c>
      <c r="CI1" s="1141" t="str">
        <f>TabReg[[#Headers],[MSFT1]]</f>
        <v>MSFT1</v>
      </c>
      <c r="CJ1" s="1141" t="str">
        <f>TabReg[[#Headers],[MSFT2]]</f>
        <v>MSFT2</v>
      </c>
      <c r="CK1" s="1141" t="str">
        <f>TabReg[[#Headers],[NEE]]</f>
        <v>NEE</v>
      </c>
      <c r="CL1" s="1141" t="str">
        <f>TabReg[[#Headers],[NEE1]]</f>
        <v>NEE1</v>
      </c>
      <c r="CM1" s="1141" t="str">
        <f>TabReg[[#Headers],[NEE2]]</f>
        <v>NEE2</v>
      </c>
      <c r="CN1" s="1141" t="str">
        <f>TabReg[[#Headers],[NEM]]</f>
        <v>NEM</v>
      </c>
      <c r="CO1" s="1141" t="str">
        <f>TabReg[[#Headers],[NEM1]]</f>
        <v>NEM1</v>
      </c>
      <c r="CP1" s="1141" t="str">
        <f>TabReg[[#Headers],[NEM2]]</f>
        <v>NEM2</v>
      </c>
      <c r="CQ1" s="1141" t="str">
        <f>TabReg[[#Headers],[NFLX]]</f>
        <v>NFLX</v>
      </c>
      <c r="CR1" s="1141" t="str">
        <f>TabReg[[#Headers],[NFLX1]]</f>
        <v>NFLX1</v>
      </c>
      <c r="CS1" s="1141" t="str">
        <f>TabReg[[#Headers],[NFLX2]]</f>
        <v>NFLX2</v>
      </c>
      <c r="CT1" s="1141" t="str">
        <f>TabReg[[#Headers],[NOTE]]</f>
        <v>NOTE</v>
      </c>
      <c r="CU1" s="1141" t="str">
        <f>TabReg[[#Headers],[NOTE1]]</f>
        <v>NOTE1</v>
      </c>
      <c r="CV1" s="1141" t="str">
        <f>TabReg[[#Headers],[NOTE2]]</f>
        <v>NOTE2</v>
      </c>
      <c r="CW1" s="1141" t="str">
        <f>TabReg[[#Headers],[PAAS]]</f>
        <v>PAAS</v>
      </c>
      <c r="CX1" s="1141" t="str">
        <f>TabReg[[#Headers],[PAAS1]]</f>
        <v>PAAS1</v>
      </c>
      <c r="CY1" s="1141" t="str">
        <f>TabReg[[#Headers],[PAAS2]]</f>
        <v>PAAS2</v>
      </c>
      <c r="CZ1" s="1141" t="str">
        <f>TabReg[[#Headers],[PROF]]</f>
        <v>PROF</v>
      </c>
      <c r="DA1" s="1141" t="str">
        <f>TabReg[[#Headers],[PROF1]]</f>
        <v>PROF1</v>
      </c>
      <c r="DB1" s="1141" t="str">
        <f>TabReg[[#Headers],[PROF2]]</f>
        <v>PROF2</v>
      </c>
      <c r="DC1" s="1141" t="str">
        <f>TabReg[[#Headers],[POET]]</f>
        <v>POET</v>
      </c>
      <c r="DD1" s="1141" t="str">
        <f>TabReg[[#Headers],[POET1]]</f>
        <v>POET1</v>
      </c>
      <c r="DE1" s="1141" t="str">
        <f>TabReg[[#Headers],[POET2]]</f>
        <v>POET2</v>
      </c>
      <c r="DF1" s="1141" t="str">
        <f>TabReg[[#Headers],[PW]]</f>
        <v>PW</v>
      </c>
      <c r="DG1" s="1141" t="str">
        <f>TabReg[[#Headers],[PW1]]</f>
        <v>PW1</v>
      </c>
      <c r="DH1" s="1141" t="str">
        <f>TabReg[[#Headers],[PW2]]</f>
        <v>PW2</v>
      </c>
      <c r="DI1" s="1141" t="str">
        <f>TabReg[[#Headers],[RIGL]]</f>
        <v>RIGL</v>
      </c>
      <c r="DJ1" s="1141" t="str">
        <f>TabReg[[#Headers],[RIGL1]]</f>
        <v>RIGL1</v>
      </c>
      <c r="DK1" s="1141" t="str">
        <f>TabReg[[#Headers],[RIGL2]]</f>
        <v>RIGL2</v>
      </c>
      <c r="DL1" s="1141" t="str">
        <f>TabReg[[#Headers],[RWE]]</f>
        <v>RWE</v>
      </c>
      <c r="DM1" s="1141" t="str">
        <f>TabReg[[#Headers],[RWE1]]</f>
        <v>RWE1</v>
      </c>
      <c r="DN1" s="1141" t="str">
        <f>TabReg[[#Headers],[RWE2]]</f>
        <v>RWE2</v>
      </c>
      <c r="DO1" s="1141" t="str">
        <f>TabReg[[#Headers],[SAP]]</f>
        <v>SAP</v>
      </c>
      <c r="DP1" s="1141" t="str">
        <f>TabReg[[#Headers],[SAP1]]</f>
        <v>SAP1</v>
      </c>
      <c r="DQ1" s="1141" t="str">
        <f>TabReg[[#Headers],[SAP2]]</f>
        <v>SAP2</v>
      </c>
      <c r="DR1" s="1141" t="str">
        <f>TabReg[[#Headers],[SHECY]]</f>
        <v>SHECY</v>
      </c>
      <c r="DS1" s="1141" t="str">
        <f>TabReg[[#Headers],[SHECY1]]</f>
        <v>SHECY1</v>
      </c>
      <c r="DT1" s="1141" t="str">
        <f>TabReg[[#Headers],[SHECY2]]</f>
        <v>SHECY2</v>
      </c>
      <c r="DU1" s="1141" t="str">
        <f>TabReg[[#Headers],[SSYS]]</f>
        <v>SSYS</v>
      </c>
      <c r="DV1" s="1141" t="str">
        <f>TabReg[[#Headers],[SSYS1]]</f>
        <v>SSYS1</v>
      </c>
      <c r="DW1" s="1141" t="str">
        <f>TabReg[[#Headers],[SSYS2]]</f>
        <v>SSYS2</v>
      </c>
      <c r="DX1" s="1141" t="str">
        <f>TabReg[[#Headers],[TSLA]]</f>
        <v>TSLA</v>
      </c>
      <c r="DY1" s="1141" t="str">
        <f>TabReg[[#Headers],[TSLA1]]</f>
        <v>TSLA1</v>
      </c>
      <c r="DZ1" s="1141" t="str">
        <f>TabReg[[#Headers],[TSLA2]]</f>
        <v>TSLA2</v>
      </c>
      <c r="EA1" s="1141" t="str">
        <f>TabReg[[#Headers],[TSM]]</f>
        <v>TSM</v>
      </c>
      <c r="EB1" s="1141" t="str">
        <f>TabReg[[#Headers],[TSM1]]</f>
        <v>TSM1</v>
      </c>
      <c r="EC1" s="1141" t="str">
        <f>TabReg[[#Headers],[TSM2]]</f>
        <v>TSM2</v>
      </c>
      <c r="ED1" s="1141" t="str">
        <f>TabReg[[#Headers],[UN0]]</f>
        <v>UN0</v>
      </c>
      <c r="EE1" s="1141" t="str">
        <f>TabReg[[#Headers],[UN01]]</f>
        <v>UN01</v>
      </c>
      <c r="EF1" s="1141" t="str">
        <f>TabReg[[#Headers],[UN02]]</f>
        <v>UN02</v>
      </c>
      <c r="EG1" s="1141" t="str">
        <f>TabReg[[#Headers],[UNIT]]</f>
        <v>UNIT</v>
      </c>
      <c r="EH1" s="1141" t="str">
        <f>TabReg[[#Headers],[UNIT1]]</f>
        <v>UNIT1</v>
      </c>
      <c r="EI1" s="1141" t="str">
        <f>TabReg[[#Headers],[UNIT2]]</f>
        <v>UNIT2</v>
      </c>
      <c r="EJ1" s="1141" t="str">
        <f>TabReg[[#Headers],[Free]]</f>
        <v>Free</v>
      </c>
      <c r="EK1" s="1141" t="str">
        <f>TabReg[[#Headers],[Free1]]</f>
        <v>Free1</v>
      </c>
      <c r="EL1" s="1141" t="str">
        <f>TabReg[[#Headers],[Free2]]</f>
        <v>Free2</v>
      </c>
      <c r="EM1" s="1141" t="str">
        <f>TabReg[[#Headers],[VLVLY]]</f>
        <v>VLVLY</v>
      </c>
      <c r="EN1" s="1141" t="str">
        <f>TabReg[[#Headers],[VLVLY1]]</f>
        <v>VLVLY1</v>
      </c>
      <c r="EO1" s="1141" t="str">
        <f>TabReg[[#Headers],[VLVLY2]]</f>
        <v>VLVLY2</v>
      </c>
      <c r="EP1" s="1141" t="str">
        <f>TabReg[[#Headers],[VONN]]</f>
        <v>VONN</v>
      </c>
      <c r="EQ1" s="1141" t="str">
        <f>TabReg[[#Headers],[VONN1]]</f>
        <v>VONN1</v>
      </c>
      <c r="ER1" s="1141" t="str">
        <f>TabReg[[#Headers],[VONN2]]</f>
        <v>VONN2</v>
      </c>
      <c r="ES1" s="1141" t="str">
        <f>TabReg[[#Headers],[VTRS]]</f>
        <v>VTRS</v>
      </c>
      <c r="ET1" s="1141" t="str">
        <f>TabReg[[#Headers],[VTRS1]]</f>
        <v>VTRS1</v>
      </c>
      <c r="EU1" s="1141" t="str">
        <f>TabReg[[#Headers],[VTRS2]]</f>
        <v>VTRS2</v>
      </c>
      <c r="EV1" s="1141" t="str">
        <f>TabReg[[#Headers],[WBA]]</f>
        <v>WBA</v>
      </c>
      <c r="EW1" s="1141" t="str">
        <f>TabReg[[#Headers],[WBA1]]</f>
        <v>WBA1</v>
      </c>
      <c r="EX1" s="1141" t="str">
        <f>TabReg[[#Headers],[WBA2]]</f>
        <v>WBA2</v>
      </c>
      <c r="EY1" s="1141" t="str">
        <f>TabReg[[#Headers],[XOM]]</f>
        <v>XOM</v>
      </c>
      <c r="EZ1" s="1141" t="str">
        <f>TabReg[[#Headers],[XOM1]]</f>
        <v>XOM1</v>
      </c>
      <c r="FA1" s="1141" t="str">
        <f>TabReg[[#Headers],[XOM2]]</f>
        <v>XOM2</v>
      </c>
      <c r="FB1" s="1141" t="str">
        <f>TabReg[[#Headers],[XPER]]</f>
        <v>XPER</v>
      </c>
      <c r="FC1" s="1141" t="str">
        <f>TabReg[[#Headers],[XPER1]]</f>
        <v>XPER1</v>
      </c>
      <c r="FD1" s="1141" t="str">
        <f>TabReg[[#Headers],[XPER2]]</f>
        <v>XPER2</v>
      </c>
      <c r="FE1" s="1141" t="str">
        <f>TabReg[[#Headers],[MVEALDNE]]</f>
        <v>MVEALDNE</v>
      </c>
      <c r="FF1" s="1141" t="str">
        <f>TabReg[[#Headers],[MVEALDNE1]]</f>
        <v>MVEALDNE1</v>
      </c>
      <c r="FG1" s="1141" t="str">
        <f>TabReg[[#Headers],[MVEALDNE2]]</f>
        <v>MVEALDNE2</v>
      </c>
      <c r="FH1" s="1141" t="str">
        <f>TabReg[[#Headers],[MVEDDD]]</f>
        <v>MVEDDD</v>
      </c>
      <c r="FI1" s="1141" t="str">
        <f>TabReg[[#Headers],[MVEDDD1]]</f>
        <v>MVEDDD1</v>
      </c>
      <c r="FJ1" s="1141" t="str">
        <f>TabReg[[#Headers],[MVEDDD2]]</f>
        <v>MVEDDD2</v>
      </c>
      <c r="FK1" s="1141" t="str">
        <f>TabReg[[#Headers],[MVEDSY]]</f>
        <v>MVEDSY</v>
      </c>
      <c r="FL1" s="1141" t="str">
        <f>TabReg[[#Headers],[MVEDSY1]]</f>
        <v>MVEDSY1</v>
      </c>
      <c r="FM1" s="1141" t="str">
        <f>TabReg[[#Headers],[MVEDSY2]]</f>
        <v>MVEDSY2</v>
      </c>
      <c r="FN1" s="1141" t="str">
        <f>TabReg[[#Headers],[MVEEOAN]]</f>
        <v>MVEEOAN</v>
      </c>
      <c r="FO1" s="1141" t="str">
        <f>TabReg[[#Headers],[MVEEOAN1]]</f>
        <v>MVEEOAN1</v>
      </c>
      <c r="FP1" s="1141" t="str">
        <f>TabReg[[#Headers],[MVEEOAN2]]</f>
        <v>MVEEOAN2</v>
      </c>
      <c r="FQ1" s="1141" t="str">
        <f>TabReg[[#Headers],[MVEENI]]</f>
        <v>MVEENI</v>
      </c>
      <c r="FR1" s="1141" t="str">
        <f>TabReg[[#Headers],[MVEENI1]]</f>
        <v>MVEENI1</v>
      </c>
      <c r="FS1" s="1141" t="str">
        <f>TabReg[[#Headers],[MVEENI2]]</f>
        <v>MVEENI2</v>
      </c>
      <c r="FT1" s="1141" t="str">
        <f>TabReg[[#Headers],[MVEEPIX]]</f>
        <v>MVEEPIX</v>
      </c>
      <c r="FU1" s="1141" t="str">
        <f>TabReg[[#Headers],[MVEEPIX1]]</f>
        <v>MVEEPIX1</v>
      </c>
      <c r="FV1" s="1141" t="str">
        <f>TabReg[[#Headers],[MVEEPIX2]]</f>
        <v>MVEEPIX2</v>
      </c>
      <c r="FW1" s="1141" t="str">
        <f>TabReg[[#Headers],[MVEGLE]]</f>
        <v>MVEGLE</v>
      </c>
      <c r="FX1" s="1141" t="str">
        <f>TabReg[[#Headers],[MVEGLE1]]</f>
        <v>MVEGLE1</v>
      </c>
      <c r="FY1" s="1141" t="str">
        <f>TabReg[[#Headers],[MVEGLE2]]</f>
        <v>MVEGLE2</v>
      </c>
      <c r="FZ1" s="1141" t="str">
        <f>TabReg[[#Headers],[MVEORA]]</f>
        <v>MVEORA</v>
      </c>
      <c r="GA1" s="1141" t="str">
        <f>TabReg[[#Headers],[MVEORA1]]</f>
        <v>MVEORA1</v>
      </c>
      <c r="GB1" s="1141" t="str">
        <f>TabReg[[#Headers],[MVEORA2]]</f>
        <v>MVEORA2</v>
      </c>
      <c r="GC1" s="1141" t="str">
        <f>TabReg[[#Headers],[MVERWE]]</f>
        <v>MVERWE</v>
      </c>
      <c r="GD1" s="1141" t="str">
        <f>TabReg[[#Headers],[MVERWE1]]</f>
        <v>MVERWE1</v>
      </c>
      <c r="GE1" s="1141" t="str">
        <f>TabReg[[#Headers],[MVERWE2]]</f>
        <v>MVERWE2</v>
      </c>
      <c r="GF1" s="1141" t="str">
        <f>TabReg[[#Headers],[MVESAP]]</f>
        <v>MVESAP</v>
      </c>
      <c r="GG1" s="1141" t="str">
        <f>TabReg[[#Headers],[MVESAP1]]</f>
        <v>MVESAP1</v>
      </c>
      <c r="GH1" s="1141" t="str">
        <f>TabReg[[#Headers],[MVESAP2]]</f>
        <v>MVESAP2</v>
      </c>
      <c r="GI1" s="1141" t="str">
        <f>TabReg[[#Headers],[MVEUN0]]</f>
        <v>MVEUN0</v>
      </c>
      <c r="GJ1" s="1141" t="str">
        <f>TabReg[[#Headers],[MVEUN01]]</f>
        <v>MVEUN01</v>
      </c>
      <c r="GK1" s="1141" t="str">
        <f>TabReg[[#Headers],[MVEUN02]]</f>
        <v>MVEUN02</v>
      </c>
      <c r="GL1" s="1141" t="str">
        <f>TabReg[[#Headers],[SAFAAPL]]</f>
        <v>SAFAAPL</v>
      </c>
      <c r="GM1" s="1141" t="str">
        <f>TabReg[[#Headers],[SAFAAPL1]]</f>
        <v>SAFAAPL1</v>
      </c>
      <c r="GN1" s="1141" t="str">
        <f>TabReg[[#Headers],[SAFAAPL2]]</f>
        <v>SAFAAPL2</v>
      </c>
      <c r="GO1" s="1141" t="str">
        <f>TabReg[[#Headers],[SAFAMZN]]</f>
        <v>SAFAMZN</v>
      </c>
      <c r="GP1" s="1141" t="str">
        <f>TabReg[[#Headers],[SAFAMZN1]]</f>
        <v>SAFAMZN1</v>
      </c>
      <c r="GQ1" s="1141" t="str">
        <f>TabReg[[#Headers],[SAFAMZN2]]</f>
        <v>SAFAMZN2</v>
      </c>
      <c r="GR1" s="1141" t="str">
        <f>TabReg[[#Headers],[SAFASML]]</f>
        <v>SAFASML</v>
      </c>
      <c r="GS1" s="1141" t="str">
        <f>TabReg[[#Headers],[SAFASML1]]</f>
        <v>SAFASML1</v>
      </c>
      <c r="GT1" s="1141" t="str">
        <f>TabReg[[#Headers],[SAFASML2]]</f>
        <v>SAFASML2</v>
      </c>
      <c r="GU1" s="1141" t="str">
        <f>TabReg[[#Headers],[SAFDDD]]</f>
        <v>SAFDDD</v>
      </c>
      <c r="GV1" s="1141" t="str">
        <f>TabReg[[#Headers],[SAFDDD1]]</f>
        <v>SAFDDD1</v>
      </c>
      <c r="GW1" s="1141" t="str">
        <f>TabReg[[#Headers],[SAFDDD2]]</f>
        <v>SAFDDD2</v>
      </c>
      <c r="GX1" s="1141" t="str">
        <f>TabReg[[#Headers],[SAFDIS]]</f>
        <v>SAFDIS</v>
      </c>
      <c r="GY1" s="1141" t="str">
        <f>TabReg[[#Headers],[SAFDIS1]]</f>
        <v>SAFDIS1</v>
      </c>
      <c r="GZ1" s="1141" t="str">
        <f>TabReg[[#Headers],[SAFDIS2]]</f>
        <v>SAFDIS2</v>
      </c>
      <c r="HA1" s="1141" t="str">
        <f>TabReg[[#Headers],[SAFGM]]</f>
        <v>SAFGM</v>
      </c>
      <c r="HB1" s="1141" t="str">
        <f>TabReg[[#Headers],[SAFGM1]]</f>
        <v>SAFGM1</v>
      </c>
      <c r="HC1" s="1141" t="str">
        <f>TabReg[[#Headers],[SAFGM2]]</f>
        <v>SAFGM2</v>
      </c>
      <c r="HD1" s="1141" t="str">
        <f>TabReg[[#Headers],[SAFIAG]]</f>
        <v>SAFIAG</v>
      </c>
      <c r="HE1" s="1141" t="str">
        <f>TabReg[[#Headers],[SAFIAG1]]</f>
        <v>SAFIAG1</v>
      </c>
      <c r="HF1" s="1141" t="str">
        <f>TabReg[[#Headers],[SAFIAG2]]</f>
        <v>SAFIAG2</v>
      </c>
      <c r="HG1" s="1141" t="str">
        <f>TabReg[[#Headers],[SAFMRNA]]</f>
        <v>SAFMRNA</v>
      </c>
      <c r="HH1" s="1141" t="str">
        <f>TabReg[[#Headers],[SAFMRNA1]]</f>
        <v>SAFMRNA1</v>
      </c>
      <c r="HI1" s="1141" t="str">
        <f>TabReg[[#Headers],[SAFMRNA2]]</f>
        <v>SAFMRNA2</v>
      </c>
      <c r="HJ1" s="1141" t="str">
        <f>TabReg[[#Headers],[BLNK]]</f>
        <v>BLNK</v>
      </c>
      <c r="HK1" s="1141" t="str">
        <f>TabReg[[#Headers],[BLNK1]]</f>
        <v>BLNK1</v>
      </c>
      <c r="HL1" s="1141" t="str">
        <f>TabReg[[#Headers],[BLNK2]]</f>
        <v>BLNK2</v>
      </c>
      <c r="HM1" s="1141" t="str">
        <f>TabReg[[#Headers],[ENI]]</f>
        <v>ENI</v>
      </c>
      <c r="HN1" s="1141" t="str">
        <f>TabReg[[#Headers],[ENI1]]</f>
        <v>ENI1</v>
      </c>
      <c r="HO1" s="1141" t="str">
        <f>TabReg[[#Headers],[ENI2]]</f>
        <v>ENI2</v>
      </c>
      <c r="HP1" s="1141" t="str">
        <f>TabReg[[#Headers],[EZJ]]</f>
        <v>EZJ</v>
      </c>
      <c r="HQ1" s="1141" t="str">
        <f>TabReg[[#Headers],[EZJ1]]</f>
        <v>EZJ1</v>
      </c>
      <c r="HR1" s="1141" t="str">
        <f>TabReg[[#Headers],[EZJ2]]</f>
        <v>EZJ2</v>
      </c>
      <c r="HS1" s="1141" t="str">
        <f>TabReg[[#Headers],[F]]</f>
        <v>F</v>
      </c>
      <c r="HT1" s="1141" t="str">
        <f>TabReg[[#Headers],[F1]]</f>
        <v>F1</v>
      </c>
      <c r="HU1" s="1141" t="str">
        <f>TabReg[[#Headers],[F2]]</f>
        <v>F2</v>
      </c>
      <c r="HV1" s="1141" t="str">
        <f>TabReg[[#Headers],[GLE]]</f>
        <v>GLE</v>
      </c>
      <c r="HW1" s="1141" t="str">
        <f>TabReg[[#Headers],[GLE1]]</f>
        <v>GLE1</v>
      </c>
      <c r="HX1" s="1141" t="str">
        <f>TabReg[[#Headers],[GLE2]]</f>
        <v>GLE2</v>
      </c>
      <c r="HY1" s="1141" t="str">
        <f>TabReg[[#Headers],[GNRC]]</f>
        <v>GNRC</v>
      </c>
      <c r="HZ1" s="1141" t="str">
        <f>TabReg[[#Headers],[GNRC1]]</f>
        <v>GNRC1</v>
      </c>
      <c r="IA1" s="1141" t="str">
        <f>TabReg[[#Headers],[GNRC2]]</f>
        <v>GNRC2</v>
      </c>
      <c r="IB1" s="1141" t="str">
        <f>TabReg[[#Headers],[GS]]</f>
        <v>GS</v>
      </c>
      <c r="IC1" s="1141" t="str">
        <f>TabReg[[#Headers],[GS1]]</f>
        <v>GS1</v>
      </c>
      <c r="ID1" s="1141" t="str">
        <f>TabReg[[#Headers],[GS2]]</f>
        <v>GS2</v>
      </c>
      <c r="IE1" s="1141" t="str">
        <f>TabReg[[#Headers],[LAZR]]</f>
        <v>LAZR</v>
      </c>
      <c r="IF1" s="1141" t="str">
        <f>TabReg[[#Headers],[LAZR1]]</f>
        <v>LAZR1</v>
      </c>
      <c r="IG1" s="1141" t="str">
        <f>TabReg[[#Headers],[LAZR2]]</f>
        <v>LAZR2</v>
      </c>
      <c r="IH1" s="1141" t="str">
        <f>TabReg[[#Headers],[LUV]]</f>
        <v>LUV</v>
      </c>
      <c r="II1" s="1141" t="str">
        <f>TabReg[[#Headers],[LUV1]]</f>
        <v>LUV1</v>
      </c>
      <c r="IJ1" s="1141" t="str">
        <f>TabReg[[#Headers],[LUV2]]</f>
        <v>LUV2</v>
      </c>
      <c r="IK1" s="1141" t="str">
        <f>TabReg[[#Headers],[MA]]</f>
        <v>MA</v>
      </c>
      <c r="IL1" s="1141" t="str">
        <f>TabReg[[#Headers],[MA1]]</f>
        <v>MA1</v>
      </c>
      <c r="IM1" s="1141" t="str">
        <f>TabReg[[#Headers],[MA2]]</f>
        <v>MA2</v>
      </c>
      <c r="IN1" s="1141" t="str">
        <f>TabReg[[#Headers],[NVAX]]</f>
        <v>NVAX</v>
      </c>
      <c r="IO1" s="1141" t="str">
        <f>TabReg[[#Headers],[NVAX1]]</f>
        <v>NVAX1</v>
      </c>
      <c r="IP1" s="1141" t="str">
        <f>TabReg[[#Headers],[NVAX2]]</f>
        <v>NVAX2</v>
      </c>
      <c r="IQ1" s="1141" t="str">
        <f>TabReg[[#Headers],[NVS]]</f>
        <v>NVS</v>
      </c>
      <c r="IR1" s="1141" t="str">
        <f>TabReg[[#Headers],[NVS1]]</f>
        <v>NVS1</v>
      </c>
      <c r="IS1" s="1141" t="str">
        <f>TabReg[[#Headers],[NVS2]]</f>
        <v>NVS2</v>
      </c>
      <c r="IT1" s="1141" t="str">
        <f>TabReg[[#Headers],[ORA]]</f>
        <v>ORA</v>
      </c>
      <c r="IU1" s="1141" t="str">
        <f>TabReg[[#Headers],[ORA1]]</f>
        <v>ORA1</v>
      </c>
      <c r="IV1" s="1141" t="str">
        <f>TabReg[[#Headers],[ORA2]]</f>
        <v>ORA2</v>
      </c>
      <c r="IW1" s="1141" t="str">
        <f>TabReg[[#Headers],[OXY]]</f>
        <v>OXY</v>
      </c>
      <c r="IX1" s="1141" t="str">
        <f>TabReg[[#Headers],[OXY1]]</f>
        <v>OXY1</v>
      </c>
      <c r="IY1" s="1141" t="str">
        <f>TabReg[[#Headers],[OXY2]]</f>
        <v>OXY2</v>
      </c>
      <c r="IZ1" s="1141" t="str">
        <f>TabReg[[#Headers],[PFE]]</f>
        <v>PFE</v>
      </c>
      <c r="JA1" s="1141" t="str">
        <f>TabReg[[#Headers],[PFE1]]</f>
        <v>PFE1</v>
      </c>
      <c r="JB1" s="1141" t="str">
        <f>TabReg[[#Headers],[PFE2]]</f>
        <v>PFE2</v>
      </c>
      <c r="JC1" s="1141" t="str">
        <f>TabReg[[#Headers],[RIG]]</f>
        <v>RIG</v>
      </c>
      <c r="JD1" s="1141" t="str">
        <f>TabReg[[#Headers],[RIG1]]</f>
        <v>RIG1</v>
      </c>
      <c r="JE1" s="1141" t="str">
        <f>TabReg[[#Headers],[RIG2]]</f>
        <v>RIG2</v>
      </c>
      <c r="JF1" s="1141" t="str">
        <f>TabReg[[#Headers],[RRC]]</f>
        <v>RRC</v>
      </c>
      <c r="JG1" s="1141" t="str">
        <f>TabReg[[#Headers],[RRC1]]</f>
        <v>RRC1</v>
      </c>
      <c r="JH1" s="1141" t="str">
        <f>TabReg[[#Headers],[RRC2]]</f>
        <v>RRC2</v>
      </c>
      <c r="JI1" s="1141" t="str">
        <f>TabReg[[#Headers],[XYZ]]</f>
        <v>XYZ</v>
      </c>
      <c r="JJ1" s="1141" t="str">
        <f>TabReg[[#Headers],[XYZ1]]</f>
        <v>XYZ1</v>
      </c>
      <c r="JK1" s="1141" t="str">
        <f>TabReg[[#Headers],[XYZ2]]</f>
        <v>XYZ2</v>
      </c>
      <c r="JL1" s="1141" t="str">
        <f>TabReg[[#Headers],[THC]]</f>
        <v>THC</v>
      </c>
      <c r="JM1" s="1141" t="str">
        <f>TabReg[[#Headers],[THC1]]</f>
        <v>THC1</v>
      </c>
      <c r="JN1" s="1141" t="str">
        <f>TabReg[[#Headers],[THC2]]</f>
        <v>THC2</v>
      </c>
      <c r="JO1" s="1141" t="str">
        <f>TabReg[[#Headers],[X]]</f>
        <v>X</v>
      </c>
      <c r="JP1" s="1141" t="str">
        <f>TabReg[[#Headers],[X1]]</f>
        <v>X1</v>
      </c>
      <c r="JQ1" s="1141" t="str">
        <f>TabReg[[#Headers],[X2]]</f>
        <v>X2</v>
      </c>
      <c r="JR1" s="1141" t="str">
        <f>TabReg[[#Headers],[LOCK]]</f>
        <v>LOCK</v>
      </c>
      <c r="JS1" s="1141" t="str">
        <f>TabReg[[#Headers],[LOCK1]]</f>
        <v>LOCK1</v>
      </c>
      <c r="JT1" s="1141" t="str">
        <f>TabReg[[#Headers],[LOCK2]]</f>
        <v>LOCK2</v>
      </c>
      <c r="JU1" s="1141" t="str">
        <f>TabReg[[#Headers],[JBASML]]</f>
        <v>JBASML</v>
      </c>
      <c r="JV1" s="1141" t="str">
        <f>TabReg[[#Headers],[JBASML1]]</f>
        <v>JBASML1</v>
      </c>
      <c r="JW1" s="1141" t="str">
        <f>TabReg[[#Headers],[JBASML2]]</f>
        <v>JBASML2</v>
      </c>
      <c r="JX1" s="1141" t="str">
        <f>TabReg[[#Headers],[JBEOAN]]</f>
        <v>JBEOAN</v>
      </c>
      <c r="JY1" s="1141" t="str">
        <f>TabReg[[#Headers],[JBEOAN1]]</f>
        <v>JBEOAN1</v>
      </c>
      <c r="JZ1" s="1141"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41" t="s">
        <v>0</v>
      </c>
      <c r="C3" s="1141" t="s">
        <v>839</v>
      </c>
      <c r="D3" s="1141" t="s">
        <v>548</v>
      </c>
      <c r="E3" s="1141" t="s">
        <v>1</v>
      </c>
      <c r="F3" s="1141" t="s">
        <v>840</v>
      </c>
      <c r="G3" s="1141" t="s">
        <v>551</v>
      </c>
      <c r="H3" s="1141" t="s">
        <v>2</v>
      </c>
      <c r="I3" s="1141" t="s">
        <v>841</v>
      </c>
      <c r="J3" s="1141" t="s">
        <v>552</v>
      </c>
      <c r="K3" s="1141" t="s">
        <v>3</v>
      </c>
      <c r="L3" s="1141" t="s">
        <v>842</v>
      </c>
      <c r="M3" s="1141" t="s">
        <v>553</v>
      </c>
      <c r="N3" s="1141" t="s">
        <v>4</v>
      </c>
      <c r="O3" s="1141" t="s">
        <v>843</v>
      </c>
      <c r="P3" s="1141" t="s">
        <v>554</v>
      </c>
      <c r="Q3" s="1141" t="s">
        <v>32</v>
      </c>
      <c r="R3" s="1141" t="s">
        <v>871</v>
      </c>
      <c r="S3" s="1141" t="s">
        <v>582</v>
      </c>
      <c r="T3" s="1141" t="s">
        <v>46</v>
      </c>
      <c r="U3" s="1141" t="s">
        <v>884</v>
      </c>
      <c r="V3" s="1141" t="s">
        <v>594</v>
      </c>
      <c r="W3" s="1141" t="s">
        <v>5</v>
      </c>
      <c r="X3" s="1141" t="s">
        <v>844</v>
      </c>
      <c r="Y3" s="1141" t="s">
        <v>555</v>
      </c>
      <c r="Z3" s="1141" t="s">
        <v>6</v>
      </c>
      <c r="AA3" s="1141" t="s">
        <v>845</v>
      </c>
      <c r="AB3" s="1141" t="s">
        <v>556</v>
      </c>
      <c r="AC3" s="1141" t="s">
        <v>7</v>
      </c>
      <c r="AD3" s="1141" t="s">
        <v>846</v>
      </c>
      <c r="AE3" s="1141" t="s">
        <v>557</v>
      </c>
      <c r="AF3" s="1141" t="s">
        <v>8</v>
      </c>
      <c r="AG3" s="1141" t="s">
        <v>847</v>
      </c>
      <c r="AH3" s="1141" t="s">
        <v>558</v>
      </c>
      <c r="AI3" s="1141" t="s">
        <v>9</v>
      </c>
      <c r="AJ3" s="1141" t="s">
        <v>848</v>
      </c>
      <c r="AK3" s="1141" t="s">
        <v>559</v>
      </c>
      <c r="AL3" s="1141" t="s">
        <v>10</v>
      </c>
      <c r="AM3" s="1141" t="s">
        <v>849</v>
      </c>
      <c r="AN3" s="1141" t="s">
        <v>560</v>
      </c>
      <c r="AO3" s="1141" t="s">
        <v>11</v>
      </c>
      <c r="AP3" s="1141" t="s">
        <v>850</v>
      </c>
      <c r="AQ3" s="1141" t="s">
        <v>561</v>
      </c>
      <c r="AR3" s="1141" t="s">
        <v>12</v>
      </c>
      <c r="AS3" s="1141" t="s">
        <v>851</v>
      </c>
      <c r="AT3" s="1141" t="s">
        <v>562</v>
      </c>
      <c r="AU3" s="1141" t="s">
        <v>13</v>
      </c>
      <c r="AV3" s="1141" t="s">
        <v>852</v>
      </c>
      <c r="AW3" s="1141" t="s">
        <v>563</v>
      </c>
      <c r="AX3" s="1141" t="s">
        <v>14</v>
      </c>
      <c r="AY3" s="1141" t="s">
        <v>853</v>
      </c>
      <c r="AZ3" s="1141" t="s">
        <v>564</v>
      </c>
      <c r="BA3" s="1141" t="s">
        <v>15</v>
      </c>
      <c r="BB3" s="1141" t="s">
        <v>854</v>
      </c>
      <c r="BC3" s="1141" t="s">
        <v>565</v>
      </c>
      <c r="BD3" s="1141" t="s">
        <v>16</v>
      </c>
      <c r="BE3" s="1141" t="s">
        <v>855</v>
      </c>
      <c r="BF3" s="1141" t="s">
        <v>566</v>
      </c>
      <c r="BG3" s="1141" t="s">
        <v>17</v>
      </c>
      <c r="BH3" s="1141" t="s">
        <v>856</v>
      </c>
      <c r="BI3" s="1141" t="s">
        <v>567</v>
      </c>
      <c r="BJ3" s="1141" t="s">
        <v>19</v>
      </c>
      <c r="BK3" s="1141" t="s">
        <v>858</v>
      </c>
      <c r="BL3" s="1141" t="s">
        <v>569</v>
      </c>
      <c r="BM3" s="1141" t="s">
        <v>20</v>
      </c>
      <c r="BN3" s="1141" t="s">
        <v>859</v>
      </c>
      <c r="BO3" s="1141" t="s">
        <v>570</v>
      </c>
      <c r="BP3" s="1141" t="s">
        <v>21</v>
      </c>
      <c r="BQ3" s="1141" t="s">
        <v>860</v>
      </c>
      <c r="BR3" s="1141" t="s">
        <v>571</v>
      </c>
      <c r="BS3" s="1141" t="s">
        <v>22</v>
      </c>
      <c r="BT3" s="1141" t="s">
        <v>861</v>
      </c>
      <c r="BU3" s="1141" t="s">
        <v>572</v>
      </c>
      <c r="BV3" s="1141" t="s">
        <v>23</v>
      </c>
      <c r="BW3" s="1141" t="s">
        <v>862</v>
      </c>
      <c r="BX3" s="1141" t="s">
        <v>573</v>
      </c>
      <c r="BY3" s="1141" t="s">
        <v>24</v>
      </c>
      <c r="BZ3" s="1141" t="s">
        <v>863</v>
      </c>
      <c r="CA3" s="1141" t="s">
        <v>574</v>
      </c>
      <c r="CB3" s="1141" t="s">
        <v>25</v>
      </c>
      <c r="CC3" s="1141" t="s">
        <v>864</v>
      </c>
      <c r="CD3" s="1141" t="s">
        <v>575</v>
      </c>
      <c r="CE3" s="1141" t="s">
        <v>26</v>
      </c>
      <c r="CF3" s="1141" t="s">
        <v>865</v>
      </c>
      <c r="CG3" s="1141" t="s">
        <v>576</v>
      </c>
      <c r="CH3" s="1141" t="s">
        <v>27</v>
      </c>
      <c r="CI3" s="1141" t="s">
        <v>866</v>
      </c>
      <c r="CJ3" s="1141" t="s">
        <v>577</v>
      </c>
      <c r="CK3" s="1141" t="s">
        <v>28</v>
      </c>
      <c r="CL3" s="1141" t="s">
        <v>867</v>
      </c>
      <c r="CM3" s="1141" t="s">
        <v>578</v>
      </c>
      <c r="CN3" s="1141" t="s">
        <v>29</v>
      </c>
      <c r="CO3" s="1141" t="s">
        <v>868</v>
      </c>
      <c r="CP3" s="1141" t="s">
        <v>579</v>
      </c>
      <c r="CQ3" s="1141" t="s">
        <v>30</v>
      </c>
      <c r="CR3" s="1141" t="s">
        <v>869</v>
      </c>
      <c r="CS3" s="1141" t="s">
        <v>580</v>
      </c>
      <c r="CT3" s="1141" t="s">
        <v>53</v>
      </c>
      <c r="CU3" s="1141" t="s">
        <v>891</v>
      </c>
      <c r="CV3" s="1141" t="s">
        <v>601</v>
      </c>
      <c r="CW3" s="1141" t="s">
        <v>31</v>
      </c>
      <c r="CX3" s="1141" t="s">
        <v>870</v>
      </c>
      <c r="CY3" s="1141" t="s">
        <v>581</v>
      </c>
      <c r="CZ3" s="1141" t="s">
        <v>33</v>
      </c>
      <c r="DA3" s="1141" t="s">
        <v>872</v>
      </c>
      <c r="DB3" s="1141" t="s">
        <v>583</v>
      </c>
      <c r="DC3" s="1141" t="s">
        <v>1088</v>
      </c>
      <c r="DD3" s="1141" t="s">
        <v>1089</v>
      </c>
      <c r="DE3" s="1141" t="s">
        <v>1090</v>
      </c>
      <c r="DF3" s="1141" t="s">
        <v>34</v>
      </c>
      <c r="DG3" s="1141" t="s">
        <v>873</v>
      </c>
      <c r="DH3" s="1141" t="s">
        <v>584</v>
      </c>
      <c r="DI3" s="1141" t="s">
        <v>35</v>
      </c>
      <c r="DJ3" s="1141" t="s">
        <v>874</v>
      </c>
      <c r="DK3" s="1141" t="s">
        <v>585</v>
      </c>
      <c r="DL3" s="1141" t="s">
        <v>37</v>
      </c>
      <c r="DM3" s="1141" t="s">
        <v>876</v>
      </c>
      <c r="DN3" s="1141" t="s">
        <v>587</v>
      </c>
      <c r="DO3" s="1141" t="s">
        <v>38</v>
      </c>
      <c r="DP3" s="1141" t="s">
        <v>877</v>
      </c>
      <c r="DQ3" s="1141" t="s">
        <v>588</v>
      </c>
      <c r="DR3" s="1141" t="s">
        <v>39</v>
      </c>
      <c r="DS3" s="1141" t="s">
        <v>878</v>
      </c>
      <c r="DT3" s="1141" t="s">
        <v>589</v>
      </c>
      <c r="DU3" s="1141" t="s">
        <v>40</v>
      </c>
      <c r="DV3" s="1141" t="s">
        <v>879</v>
      </c>
      <c r="DW3" s="1141" t="s">
        <v>590</v>
      </c>
      <c r="DX3" s="1141" t="s">
        <v>36</v>
      </c>
      <c r="DY3" s="1141" t="s">
        <v>875</v>
      </c>
      <c r="DZ3" s="1141" t="s">
        <v>586</v>
      </c>
      <c r="EA3" s="1141" t="s">
        <v>43</v>
      </c>
      <c r="EB3" s="1141" t="s">
        <v>882</v>
      </c>
      <c r="EC3" s="1141" t="s">
        <v>592</v>
      </c>
      <c r="ED3" s="1141" t="s">
        <v>44</v>
      </c>
      <c r="EE3" s="1141" t="s">
        <v>180</v>
      </c>
      <c r="EF3" s="1141" t="s">
        <v>663</v>
      </c>
      <c r="EG3" s="1141" t="s">
        <v>45</v>
      </c>
      <c r="EH3" s="1141" t="s">
        <v>883</v>
      </c>
      <c r="EI3" s="1141" t="s">
        <v>593</v>
      </c>
      <c r="EJ3" s="1141" t="s">
        <v>1015</v>
      </c>
      <c r="EK3" s="1141" t="s">
        <v>2470</v>
      </c>
      <c r="EL3" s="1141" t="s">
        <v>2471</v>
      </c>
      <c r="EM3" s="1141" t="s">
        <v>47</v>
      </c>
      <c r="EN3" s="1141" t="s">
        <v>885</v>
      </c>
      <c r="EO3" s="1141" t="s">
        <v>595</v>
      </c>
      <c r="EP3" s="1141" t="s">
        <v>48</v>
      </c>
      <c r="EQ3" s="1141" t="s">
        <v>886</v>
      </c>
      <c r="ER3" s="1141" t="s">
        <v>596</v>
      </c>
      <c r="ES3" s="1141" t="s">
        <v>49</v>
      </c>
      <c r="ET3" s="1141" t="s">
        <v>887</v>
      </c>
      <c r="EU3" s="1141" t="s">
        <v>597</v>
      </c>
      <c r="EV3" s="1141" t="s">
        <v>50</v>
      </c>
      <c r="EW3" s="1141" t="s">
        <v>888</v>
      </c>
      <c r="EX3" s="1141" t="s">
        <v>598</v>
      </c>
      <c r="EY3" s="1141" t="s">
        <v>51</v>
      </c>
      <c r="EZ3" s="1141" t="s">
        <v>889</v>
      </c>
      <c r="FA3" s="1141" t="s">
        <v>599</v>
      </c>
      <c r="FB3" s="1141" t="s">
        <v>52</v>
      </c>
      <c r="FC3" s="1141" t="s">
        <v>890</v>
      </c>
      <c r="FD3" s="1141" t="s">
        <v>600</v>
      </c>
      <c r="FE3" s="1141" t="s">
        <v>54</v>
      </c>
      <c r="FF3" s="1141" t="s">
        <v>892</v>
      </c>
      <c r="FG3" s="1141" t="s">
        <v>602</v>
      </c>
      <c r="FH3" s="1141" t="s">
        <v>55</v>
      </c>
      <c r="FI3" s="1141" t="s">
        <v>893</v>
      </c>
      <c r="FJ3" s="1141" t="s">
        <v>603</v>
      </c>
      <c r="FK3" s="1141" t="s">
        <v>56</v>
      </c>
      <c r="FL3" s="1141" t="s">
        <v>894</v>
      </c>
      <c r="FM3" s="1141" t="s">
        <v>604</v>
      </c>
      <c r="FN3" s="1141" t="s">
        <v>57</v>
      </c>
      <c r="FO3" s="1141" t="s">
        <v>895</v>
      </c>
      <c r="FP3" s="1141" t="s">
        <v>605</v>
      </c>
      <c r="FQ3" s="1141" t="s">
        <v>58</v>
      </c>
      <c r="FR3" s="1141" t="s">
        <v>896</v>
      </c>
      <c r="FS3" s="1141" t="s">
        <v>606</v>
      </c>
      <c r="FT3" s="1141" t="s">
        <v>41</v>
      </c>
      <c r="FU3" s="1141" t="s">
        <v>880</v>
      </c>
      <c r="FV3" s="1141" t="s">
        <v>591</v>
      </c>
      <c r="FW3" s="1141" t="s">
        <v>60</v>
      </c>
      <c r="FX3" s="1141" t="s">
        <v>898</v>
      </c>
      <c r="FY3" s="1141" t="s">
        <v>608</v>
      </c>
      <c r="FZ3" s="1141" t="s">
        <v>42</v>
      </c>
      <c r="GA3" s="1141" t="s">
        <v>881</v>
      </c>
      <c r="GB3" s="1141" t="s">
        <v>665</v>
      </c>
      <c r="GC3" s="1141" t="s">
        <v>59</v>
      </c>
      <c r="GD3" s="1141" t="s">
        <v>897</v>
      </c>
      <c r="GE3" s="1141" t="s">
        <v>607</v>
      </c>
      <c r="GF3" s="1141" t="s">
        <v>62</v>
      </c>
      <c r="GG3" s="1141" t="s">
        <v>900</v>
      </c>
      <c r="GH3" s="1141" t="s">
        <v>609</v>
      </c>
      <c r="GI3" s="1141" t="s">
        <v>61</v>
      </c>
      <c r="GJ3" s="1141" t="s">
        <v>899</v>
      </c>
      <c r="GK3" s="1141" t="s">
        <v>664</v>
      </c>
      <c r="GL3" s="1141" t="s">
        <v>66</v>
      </c>
      <c r="GM3" s="1141" t="s">
        <v>904</v>
      </c>
      <c r="GN3" s="1141" t="s">
        <v>613</v>
      </c>
      <c r="GO3" s="1141" t="s">
        <v>65</v>
      </c>
      <c r="GP3" s="1141" t="s">
        <v>903</v>
      </c>
      <c r="GQ3" s="1141" t="s">
        <v>612</v>
      </c>
      <c r="GR3" s="1141" t="s">
        <v>73</v>
      </c>
      <c r="GS3" s="1141" t="s">
        <v>911</v>
      </c>
      <c r="GT3" s="1141" t="s">
        <v>620</v>
      </c>
      <c r="GU3" s="1141" t="s">
        <v>64</v>
      </c>
      <c r="GV3" s="1141" t="s">
        <v>902</v>
      </c>
      <c r="GW3" s="1141" t="s">
        <v>611</v>
      </c>
      <c r="GX3" s="1141" t="s">
        <v>69</v>
      </c>
      <c r="GY3" s="1141" t="s">
        <v>907</v>
      </c>
      <c r="GZ3" s="1141" t="s">
        <v>616</v>
      </c>
      <c r="HA3" s="1141" t="s">
        <v>67</v>
      </c>
      <c r="HB3" s="1141" t="s">
        <v>905</v>
      </c>
      <c r="HC3" s="1141" t="s">
        <v>614</v>
      </c>
      <c r="HD3" s="1141" t="s">
        <v>63</v>
      </c>
      <c r="HE3" s="1141" t="s">
        <v>901</v>
      </c>
      <c r="HF3" s="1141" t="s">
        <v>610</v>
      </c>
      <c r="HG3" s="1141" t="s">
        <v>68</v>
      </c>
      <c r="HH3" s="1141" t="s">
        <v>906</v>
      </c>
      <c r="HI3" s="1141" t="s">
        <v>615</v>
      </c>
      <c r="HJ3" s="1141" t="s">
        <v>78</v>
      </c>
      <c r="HK3" s="1141" t="s">
        <v>916</v>
      </c>
      <c r="HL3" s="1141" t="s">
        <v>625</v>
      </c>
      <c r="HM3" s="1141" t="s">
        <v>74</v>
      </c>
      <c r="HN3" s="1141" t="s">
        <v>912</v>
      </c>
      <c r="HO3" s="1141" t="s">
        <v>621</v>
      </c>
      <c r="HP3" s="1141" t="s">
        <v>77</v>
      </c>
      <c r="HQ3" s="1141" t="s">
        <v>915</v>
      </c>
      <c r="HR3" s="1141" t="s">
        <v>624</v>
      </c>
      <c r="HS3" s="1141" t="s">
        <v>79</v>
      </c>
      <c r="HT3" s="1141" t="s">
        <v>918</v>
      </c>
      <c r="HU3" s="1141" t="s">
        <v>626</v>
      </c>
      <c r="HV3" s="1141" t="s">
        <v>76</v>
      </c>
      <c r="HW3" s="1141" t="s">
        <v>914</v>
      </c>
      <c r="HX3" s="1141" t="s">
        <v>623</v>
      </c>
      <c r="HY3" s="1141" t="s">
        <v>80</v>
      </c>
      <c r="HZ3" s="1141" t="s">
        <v>919</v>
      </c>
      <c r="IA3" s="1141" t="s">
        <v>627</v>
      </c>
      <c r="IB3" s="1141" t="s">
        <v>70</v>
      </c>
      <c r="IC3" s="1141" t="s">
        <v>908</v>
      </c>
      <c r="ID3" s="1141" t="s">
        <v>617</v>
      </c>
      <c r="IE3" s="1141" t="s">
        <v>81</v>
      </c>
      <c r="IF3" s="1141" t="s">
        <v>920</v>
      </c>
      <c r="IG3" s="1141" t="s">
        <v>628</v>
      </c>
      <c r="IH3" s="1141" t="s">
        <v>87</v>
      </c>
      <c r="II3" s="1141" t="s">
        <v>926</v>
      </c>
      <c r="IJ3" s="1141" t="s">
        <v>634</v>
      </c>
      <c r="IK3" s="1141" t="s">
        <v>82</v>
      </c>
      <c r="IL3" s="1141" t="s">
        <v>921</v>
      </c>
      <c r="IM3" s="1141" t="s">
        <v>629</v>
      </c>
      <c r="IN3" s="1141" t="s">
        <v>83</v>
      </c>
      <c r="IO3" s="1141" t="s">
        <v>922</v>
      </c>
      <c r="IP3" s="1141" t="s">
        <v>630</v>
      </c>
      <c r="IQ3" s="1141" t="s">
        <v>72</v>
      </c>
      <c r="IR3" s="1141" t="s">
        <v>910</v>
      </c>
      <c r="IS3" s="1141" t="s">
        <v>619</v>
      </c>
      <c r="IT3" s="1141" t="s">
        <v>75</v>
      </c>
      <c r="IU3" s="1141" t="s">
        <v>913</v>
      </c>
      <c r="IV3" s="1141" t="s">
        <v>622</v>
      </c>
      <c r="IW3" s="1141" t="s">
        <v>84</v>
      </c>
      <c r="IX3" s="1141" t="s">
        <v>923</v>
      </c>
      <c r="IY3" s="1141" t="s">
        <v>631</v>
      </c>
      <c r="IZ3" s="1141" t="s">
        <v>85</v>
      </c>
      <c r="JA3" s="1141" t="s">
        <v>924</v>
      </c>
      <c r="JB3" s="1141" t="s">
        <v>632</v>
      </c>
      <c r="JC3" s="1141" t="s">
        <v>71</v>
      </c>
      <c r="JD3" s="1141" t="s">
        <v>909</v>
      </c>
      <c r="JE3" s="1141" t="s">
        <v>618</v>
      </c>
      <c r="JF3" s="1141" t="s">
        <v>86</v>
      </c>
      <c r="JG3" s="1141" t="s">
        <v>925</v>
      </c>
      <c r="JH3" s="1141" t="s">
        <v>633</v>
      </c>
      <c r="JI3" s="1141" t="s">
        <v>666</v>
      </c>
      <c r="JJ3" s="1141" t="s">
        <v>917</v>
      </c>
      <c r="JK3" s="1141" t="s">
        <v>667</v>
      </c>
      <c r="JL3" s="1141" t="s">
        <v>88</v>
      </c>
      <c r="JM3" s="1141" t="s">
        <v>927</v>
      </c>
      <c r="JN3" s="1141" t="s">
        <v>635</v>
      </c>
      <c r="JO3" s="1141" t="s">
        <v>89</v>
      </c>
      <c r="JP3" s="1141" t="s">
        <v>928</v>
      </c>
      <c r="JQ3" s="1141" t="s">
        <v>636</v>
      </c>
      <c r="JR3" s="1141" t="s">
        <v>1556</v>
      </c>
      <c r="JS3" s="1141" t="s">
        <v>1561</v>
      </c>
      <c r="JT3" s="1141" t="s">
        <v>1560</v>
      </c>
      <c r="JU3" s="1141" t="s">
        <v>2529</v>
      </c>
      <c r="JV3" s="1141" t="s">
        <v>2531</v>
      </c>
      <c r="JW3" s="1141" t="s">
        <v>2530</v>
      </c>
      <c r="JX3" s="1141" t="s">
        <v>18</v>
      </c>
      <c r="JY3" s="1141" t="s">
        <v>857</v>
      </c>
      <c r="JZ3" s="1141" t="s">
        <v>568</v>
      </c>
    </row>
    <row r="4" spans="1:301" ht="22" customHeight="1" x14ac:dyDescent="0.3">
      <c r="A4" cm="1">
        <f t="array" ref="A4:A53">_xlfn.SEQUENCE(50,,1,1)</f>
        <v>1</v>
      </c>
      <c r="B4" s="1130">
        <f ca="1">C4*(_xlfn.XLOOKUP(B$3,TabCalc[Ticker],TabCalc[M])+D4)</f>
        <v>5.8011304210526301E-5</v>
      </c>
      <c r="C4" s="1126">
        <v>9.9999999999999995E-7</v>
      </c>
      <c r="D4" s="1127">
        <v>-212.01869578947367</v>
      </c>
      <c r="E4" s="1130">
        <f ca="1">F4*(_xlfn.XLOOKUP(E$3,TabCalc[Ticker],TabCalc[M])+G4)</f>
        <v>-8.1477999999999894E-7</v>
      </c>
      <c r="F4" s="1126">
        <v>9.9999999999999995E-7</v>
      </c>
      <c r="G4" s="1127">
        <v>-13.074779999999999</v>
      </c>
      <c r="H4" s="1130">
        <f ca="1">I4*(_xlfn.XLOOKUP(H$3,TabCalc[Ticker],TabCalc[M])+J4)</f>
        <v>-4.2370279032926841E-6</v>
      </c>
      <c r="I4" s="1126">
        <v>9.9999999999999995E-7</v>
      </c>
      <c r="J4" s="1127">
        <v>-49.237027903292685</v>
      </c>
      <c r="K4" s="1130">
        <f ca="1">L4*(_xlfn.XLOOKUP(K$3,TabCalc[Ticker],TabCalc[M])+M4)</f>
        <v>1.8023434999999976E-5</v>
      </c>
      <c r="L4" s="1126">
        <v>9.9999999999999995E-7</v>
      </c>
      <c r="M4" s="1127">
        <v>-203.15856500000001</v>
      </c>
      <c r="N4" s="1130">
        <f ca="1">O4*(_xlfn.XLOOKUP(N$3,TabCalc[Ticker],TabCalc[M])+P4)</f>
        <v>-4.7896483844415689E-7</v>
      </c>
      <c r="O4" s="1126">
        <v>9.9999999999999995E-7</v>
      </c>
      <c r="P4" s="1127">
        <v>-1.1669648384441569</v>
      </c>
      <c r="Q4" s="1130">
        <f ca="1">R4*(_xlfn.XLOOKUP(Q$3,TabCalc[Ticker],TabCalc[M])+S4)</f>
        <v>2.3086764705882354E-4</v>
      </c>
      <c r="R4" s="1126">
        <v>9.9999999999999995E-7</v>
      </c>
      <c r="S4" s="1127">
        <v>-655.73235294117649</v>
      </c>
      <c r="T4" s="1130">
        <f ca="1">U4*(_xlfn.XLOOKUP(T$3,TabCalc[Ticker],TabCalc[M])+V4)</f>
        <v>7.723697918250002E-5</v>
      </c>
      <c r="U4" s="1289">
        <v>9.9999999999999995E-7</v>
      </c>
      <c r="V4" s="1128">
        <v>-270.73302081750001</v>
      </c>
      <c r="W4" s="1130">
        <f ca="1">X4*(_xlfn.XLOOKUP(W$3,TabCalc[Ticker],TabCalc[M])+Y4)</f>
        <v>1.9130099999999998E-5</v>
      </c>
      <c r="X4" s="1126">
        <v>9.9999999999999995E-7</v>
      </c>
      <c r="Y4" s="1127">
        <v>-69.84</v>
      </c>
      <c r="Z4" s="1130">
        <f ca="1">AA4*(_xlfn.XLOOKUP(Z$3,TabCalc[Ticker],TabCalc[M])+AB4)</f>
        <v>6.9799999999999992E-7</v>
      </c>
      <c r="AA4" s="1126">
        <v>9.9999999999999995E-7</v>
      </c>
      <c r="AB4" s="1127">
        <v>-2.1440000000000001</v>
      </c>
      <c r="AC4" s="1130">
        <f ca="1">AD4*(_xlfn.XLOOKUP(AC$3,TabCalc[Ticker],TabCalc[M])+AE4)</f>
        <v>-1.0504599999999999E-5</v>
      </c>
      <c r="AD4" s="1126">
        <v>9.9999999999999995E-7</v>
      </c>
      <c r="AE4" s="1127">
        <v>-12.7196</v>
      </c>
      <c r="AF4" s="1130">
        <f ca="1">AG4*(_xlfn.XLOOKUP(AF$3,TabCalc[Ticker],TabCalc[M])+AH4)</f>
        <v>4.8809523809522653E-7</v>
      </c>
      <c r="AG4" s="1126">
        <v>9.9999999999999995E-7</v>
      </c>
      <c r="AH4" s="1127">
        <v>-99.111904761904768</v>
      </c>
      <c r="AI4" s="1130">
        <f ca="1">AJ4*(_xlfn.XLOOKUP(AI$3,TabCalc[Ticker],TabCalc[M])+AK4)</f>
        <v>1.1073599999999998E-5</v>
      </c>
      <c r="AJ4" s="1126">
        <v>9.9999999999999995E-7</v>
      </c>
      <c r="AK4" s="1127">
        <v>-67.2</v>
      </c>
      <c r="AL4" s="1130">
        <f ca="1">AM4*(_xlfn.XLOOKUP(AL$3,TabCalc[Ticker],TabCalc[M])+AN4)</f>
        <v>2.036381E-5</v>
      </c>
      <c r="AM4" s="1126">
        <v>9.9999999999999995E-7</v>
      </c>
      <c r="AN4" s="1127">
        <v>-56.056190000000001</v>
      </c>
      <c r="AO4" s="1130">
        <f ca="1">AP4*(_xlfn.XLOOKUP(AO$3,TabCalc[Ticker],TabCalc[M])+AQ4)</f>
        <v>-9.4205882352941155E-7</v>
      </c>
      <c r="AP4" s="1126">
        <v>9.9999999999999995E-7</v>
      </c>
      <c r="AQ4" s="1127">
        <v>-2.9870588235294115</v>
      </c>
      <c r="AR4" s="1130">
        <f ca="1">AS4*(_xlfn.XLOOKUP(AR$3,TabCalc[Ticker],TabCalc[M])+AT4)</f>
        <v>-9.2740000000000013E-6</v>
      </c>
      <c r="AS4" s="1126">
        <v>9.9999999999999995E-7</v>
      </c>
      <c r="AT4" s="1127">
        <v>-114.574</v>
      </c>
      <c r="AU4" s="1130">
        <f ca="1">AV4*(_xlfn.XLOOKUP(AU$3,TabCalc[Ticker],TabCalc[M])+AW4)</f>
        <v>-6.6925000000000024E-6</v>
      </c>
      <c r="AV4" s="1126">
        <v>9.9999999999999995E-7</v>
      </c>
      <c r="AW4" s="1127">
        <v>-30.072500000000002</v>
      </c>
      <c r="AX4" s="1130">
        <f ca="1">AY4*(_xlfn.XLOOKUP(AX$3,TabCalc[Ticker],TabCalc[M])+AZ4)</f>
        <v>-4.3036666666666717E-6</v>
      </c>
      <c r="AY4" s="1126">
        <v>9.9999999999999995E-7</v>
      </c>
      <c r="AZ4" s="1127">
        <v>-119.45866666666667</v>
      </c>
      <c r="BA4" s="1130">
        <f ca="1">BB4*(_xlfn.XLOOKUP(BA$3,TabCalc[Ticker],TabCalc[M])+BC4)</f>
        <v>-3.7324999999999998E-6</v>
      </c>
      <c r="BB4" s="1126">
        <v>9.9999999999999995E-7</v>
      </c>
      <c r="BC4" s="1127">
        <v>-15.842499999999999</v>
      </c>
      <c r="BD4" s="1130">
        <f ca="1">BE4*(_xlfn.XLOOKUP(BD$3,TabCalc[Ticker],TabCalc[M])+BF4)</f>
        <v>-6.937999999999995E-7</v>
      </c>
      <c r="BE4" s="1126">
        <v>9.9999999999999995E-7</v>
      </c>
      <c r="BF4" s="1127">
        <v>-15.9938</v>
      </c>
      <c r="BG4" s="1130">
        <f ca="1">BH4*(_xlfn.XLOOKUP(BG$3,TabCalc[Ticker],TabCalc[M])+BI4)</f>
        <v>-1.9256799999999999E-6</v>
      </c>
      <c r="BH4" s="1126">
        <v>9.9999999999999995E-7</v>
      </c>
      <c r="BI4" s="1127">
        <v>-2.1268799999999999</v>
      </c>
      <c r="BJ4" s="1130">
        <f ca="1">BK4*(_xlfn.XLOOKUP(BJ$3,TabCalc[Ticker],TabCalc[M])+BL4)</f>
        <v>2.2438999999999993E-5</v>
      </c>
      <c r="BK4" s="1126">
        <v>9.9999999999999995E-7</v>
      </c>
      <c r="BL4" s="1127">
        <v>-46.676000000000002</v>
      </c>
      <c r="BM4" s="1130">
        <f ca="1">BN4*(_xlfn.XLOOKUP(BM$3,TabCalc[Ticker],TabCalc[M])+BO4)</f>
        <v>3.4893130434782546E-7</v>
      </c>
      <c r="BN4" s="1126">
        <v>9.9999999999999995E-7</v>
      </c>
      <c r="BO4" s="1127">
        <v>-20.386068695652174</v>
      </c>
      <c r="BP4" s="1130">
        <f ca="1">BQ4*(_xlfn.XLOOKUP(BP$3,TabCalc[Ticker],TabCalc[M])+BR4)</f>
        <v>-3.5579999999999996E-6</v>
      </c>
      <c r="BQ4" s="1126">
        <v>9.9999999999999995E-7</v>
      </c>
      <c r="BR4" s="1127">
        <v>-26.097999999999999</v>
      </c>
      <c r="BS4" s="1130">
        <f ca="1">BT4*(_xlfn.XLOOKUP(BS$3,TabCalc[Ticker],TabCalc[M])+BU4)</f>
        <v>1.0387802000000004E-4</v>
      </c>
      <c r="BT4" s="1126">
        <v>9.9999999999999995E-7</v>
      </c>
      <c r="BU4" s="1127">
        <v>-273.72197999999997</v>
      </c>
      <c r="BV4" s="1130">
        <f ca="1">BW4*(_xlfn.XLOOKUP(BV$3,TabCalc[Ticker],TabCalc[M])+BX4)</f>
        <v>7.005714285714219E-7</v>
      </c>
      <c r="BW4" s="1126">
        <v>9.9999999999999995E-7</v>
      </c>
      <c r="BX4" s="1127">
        <v>-66.849428571428575</v>
      </c>
      <c r="BY4" s="1130">
        <f ca="1">BZ4*(_xlfn.XLOOKUP(BY$3,TabCalc[Ticker],TabCalc[M])+CA4)</f>
        <v>1.009E-5</v>
      </c>
      <c r="BZ4" s="1126">
        <v>9.9999999999999995E-7</v>
      </c>
      <c r="CA4" s="1127"/>
      <c r="CB4" s="1130">
        <f ca="1">CC4*(_xlfn.XLOOKUP(CB$3,TabCalc[Ticker],TabCalc[M])+CD4)</f>
        <v>2.4466999999999998E-6</v>
      </c>
      <c r="CC4" s="1126">
        <v>9.9999999999999995E-7</v>
      </c>
      <c r="CD4" s="1127">
        <v>-5.0682999999999998</v>
      </c>
      <c r="CE4" s="1130">
        <f ca="1">CF4*(_xlfn.XLOOKUP(CE$3,TabCalc[Ticker],TabCalc[M])+CG4)</f>
        <v>-4.7365336666666663E-5</v>
      </c>
      <c r="CF4" s="1126">
        <v>9.9999999999999995E-7</v>
      </c>
      <c r="CG4" s="1127">
        <v>-71.645336666666665</v>
      </c>
      <c r="CH4" s="1130">
        <f ca="1">CI4*(_xlfn.XLOOKUP(CH$3,TabCalc[Ticker],TabCalc[M])+CJ4)</f>
        <v>1.5260902040816325E-4</v>
      </c>
      <c r="CI4" s="1126">
        <v>9.9999999999999995E-7</v>
      </c>
      <c r="CJ4" s="1127">
        <v>-333.98097959183673</v>
      </c>
      <c r="CK4" s="1130">
        <f ca="1">CL4*(_xlfn.XLOOKUP(CK$3,TabCalc[Ticker],TabCalc[M])+CM4)</f>
        <v>1.3709556999999989E-5</v>
      </c>
      <c r="CL4" s="1126">
        <v>9.9999999999999995E-7</v>
      </c>
      <c r="CM4" s="1127">
        <v>-71.000443000000004</v>
      </c>
      <c r="CN4" s="1130">
        <f ca="1">CO4*(_xlfn.XLOOKUP(CN$3,TabCalc[Ticker],TabCalc[M])+CP4)</f>
        <v>2.5207395500000003E-5</v>
      </c>
      <c r="CO4" s="1126">
        <v>9.9999999999999995E-7</v>
      </c>
      <c r="CP4" s="1127">
        <v>-62.387604499999995</v>
      </c>
      <c r="CQ4" s="1130">
        <f ca="1">CR4*(_xlfn.XLOOKUP(CQ$3,TabCalc[Ticker],TabCalc[M])+CS4)</f>
        <v>-3.1135000000000016E-6</v>
      </c>
      <c r="CR4" s="1126">
        <v>9.9999999999999995E-7</v>
      </c>
      <c r="CS4" s="1127">
        <v>-112.8935</v>
      </c>
      <c r="CT4" s="1130">
        <f ca="1">CU4*(_xlfn.XLOOKUP(CT$3,TabCalc[Ticker],TabCalc[M])+CV4)</f>
        <v>-7.3050833427082158E-6</v>
      </c>
      <c r="CU4" s="1126">
        <v>9.9999999999999995E-7</v>
      </c>
      <c r="CV4" s="1127">
        <v>-9.4350833427082161</v>
      </c>
      <c r="CW4" s="1130">
        <f ca="1">CX4*(_xlfn.XLOOKUP(CW$3,TabCalc[Ticker],TabCalc[M])+CY4)</f>
        <v>9.2375000000000009E-6</v>
      </c>
      <c r="CX4" s="1126">
        <v>9.9999999999999995E-7</v>
      </c>
      <c r="CY4" s="1127">
        <v>-29.252500000000001</v>
      </c>
      <c r="CZ4" s="1130">
        <f ca="1">DA4*(_xlfn.XLOOKUP(CZ$3,TabCalc[Ticker],TabCalc[M])+DB4)</f>
        <v>7.9999999999999975E-7</v>
      </c>
      <c r="DA4" s="1126">
        <v>9.9999999999999995E-7</v>
      </c>
      <c r="DB4" s="1127">
        <v>-5.19</v>
      </c>
      <c r="DC4" s="1130">
        <f ca="1">DD4*(_xlfn.XLOOKUP(DC$3,TabCalc[Ticker],TabCalc[M])+DE4)</f>
        <v>-1.5408001481481478E-6</v>
      </c>
      <c r="DD4" s="1126">
        <v>9.9999999999999995E-7</v>
      </c>
      <c r="DE4" s="1127">
        <v>-5.725200148148148</v>
      </c>
      <c r="DF4" s="1130">
        <f ca="1">DG4*(_xlfn.XLOOKUP(DF$3,TabCalc[Ticker],TabCalc[M])+DH4)</f>
        <v>-4.234400199999999E-7</v>
      </c>
      <c r="DG4" s="1126">
        <v>9.9999999999999995E-7</v>
      </c>
      <c r="DH4" s="1127">
        <v>-1.0663400199999999</v>
      </c>
      <c r="DI4" s="1130">
        <f ca="1">DJ4*(_xlfn.XLOOKUP(DI$3,TabCalc[Ticker],TabCalc[M])+DK4)</f>
        <v>1.3870000000000004E-5</v>
      </c>
      <c r="DJ4" s="1126">
        <v>9.9999999999999995E-7</v>
      </c>
      <c r="DK4" s="1127">
        <v>-28.33</v>
      </c>
      <c r="DL4" s="1130">
        <f ca="1">DM4*(_xlfn.XLOOKUP(DL$3,TabCalc[Ticker],TabCalc[M])+DN4)</f>
        <v>1.5359999999999995E-5</v>
      </c>
      <c r="DM4" s="1126">
        <v>9.9999999999999995E-7</v>
      </c>
      <c r="DN4" s="1127">
        <v>-28.37</v>
      </c>
      <c r="DO4" s="1130">
        <f ca="1">DP4*(_xlfn.XLOOKUP(DO$3,TabCalc[Ticker],TabCalc[M])+DQ4)</f>
        <v>-3.5033013157894711E-5</v>
      </c>
      <c r="DP4" s="1126">
        <v>9.9999999999999995E-7</v>
      </c>
      <c r="DQ4" s="1127">
        <v>-240.53301315789471</v>
      </c>
      <c r="DR4" s="1130">
        <f ca="1">DS4*(_xlfn.XLOOKUP(DR$3,TabCalc[Ticker],TabCalc[M])+DT4)</f>
        <v>-2.6004344000000025E-6</v>
      </c>
      <c r="DS4" s="1126">
        <v>9.9999999999999995E-7</v>
      </c>
      <c r="DT4" s="1127">
        <v>-16.814934400000002</v>
      </c>
      <c r="DU4" s="1130">
        <f ca="1">DV4*(_xlfn.XLOOKUP(DU$3,TabCalc[Ticker],TabCalc[M])+DW4)</f>
        <v>-2.0746618125000001E-5</v>
      </c>
      <c r="DV4" s="1126">
        <v>9.9999999999999995E-7</v>
      </c>
      <c r="DW4" s="1127">
        <v>-29.196618125000001</v>
      </c>
      <c r="DX4" s="1130">
        <f ca="1">DY4*(_xlfn.XLOOKUP(DX$3,TabCalc[Ticker],TabCalc[M])+DZ4)</f>
        <v>6.5600000000000022E-5</v>
      </c>
      <c r="DY4" s="1126">
        <v>9.9999999999999995E-7</v>
      </c>
      <c r="DZ4" s="1127">
        <v>-336.51</v>
      </c>
      <c r="EA4" s="1130">
        <f ca="1">EB4*(_xlfn.XLOOKUP(EA$3,TabCalc[Ticker],TabCalc[M])+EC4)</f>
        <v>7.5537182083333361E-5</v>
      </c>
      <c r="EB4" s="1126">
        <v>9.9999999999999995E-7</v>
      </c>
      <c r="EC4" s="1127">
        <v>-203.95281791666665</v>
      </c>
      <c r="ED4" s="1130">
        <f ca="1">EE4*(_xlfn.XLOOKUP(ED$3,TabCalc[Ticker],TabCalc[M])+EF4)</f>
        <v>-1.134935E-5</v>
      </c>
      <c r="EE4" s="1126">
        <v>9.9999999999999995E-7</v>
      </c>
      <c r="EF4" s="1127">
        <v>-41.599350000000001</v>
      </c>
      <c r="EG4" s="1130">
        <f ca="1">EH4*(_xlfn.XLOOKUP(EG$3,TabCalc[Ticker],TabCalc[M])+EI4)</f>
        <v>-3.3850000000000006E-6</v>
      </c>
      <c r="EH4" s="1126">
        <v>9.9999999999999995E-7</v>
      </c>
      <c r="EI4" s="1127">
        <v>-9.3000000000000007</v>
      </c>
      <c r="EJ4" s="1130" t="e">
        <f ca="1">EK4*(_xlfn.XLOOKUP(EJ$3,TabCalc[Ticker],TabCalc[M])+EL4)</f>
        <v>#N/A</v>
      </c>
      <c r="EK4" s="1126">
        <v>9.9999999999999995E-7</v>
      </c>
      <c r="EL4" s="1127">
        <v>-204.79114283428572</v>
      </c>
      <c r="EM4" s="1130">
        <f ca="1">EN4*(_xlfn.XLOOKUP(EM$3,TabCalc[Ticker],TabCalc[M])+EO4)</f>
        <v>1.9299999999999997E-6</v>
      </c>
      <c r="EN4" s="1126">
        <v>9.9999999999999995E-7</v>
      </c>
      <c r="EO4" s="1127">
        <v>-26.074999999999999</v>
      </c>
      <c r="EP4" s="1130">
        <f ca="1">EQ4*(_xlfn.XLOOKUP(EP$3,TabCalc[Ticker],TabCalc[M])+ER4)</f>
        <v>-3.1611111111110547E-7</v>
      </c>
      <c r="EQ4" s="1126">
        <v>9.9999999999999995E-7</v>
      </c>
      <c r="ER4" s="1127">
        <v>-59.516111111111108</v>
      </c>
      <c r="ES4" s="1130">
        <f ca="1">ET4*(_xlfn.XLOOKUP(ES$3,TabCalc[Ticker],TabCalc[M])+EU4)</f>
        <v>1.0849999999999989E-6</v>
      </c>
      <c r="ET4" s="1126">
        <v>9.9999999999999995E-7</v>
      </c>
      <c r="EU4" s="1127">
        <v>-9.4600000000000009</v>
      </c>
      <c r="EV4" s="1130">
        <f ca="1">EW4*(_xlfn.XLOOKUP(EV$3,TabCalc[Ticker],TabCalc[M])+EX4)</f>
        <v>1.9200999999999996E-6</v>
      </c>
      <c r="EW4" s="1126">
        <v>9.9999999999999995E-7</v>
      </c>
      <c r="EX4" s="1127">
        <v>-10.059900000000001</v>
      </c>
      <c r="EY4" s="1130">
        <f ca="1">EZ4*(_xlfn.XLOOKUP(EY$3,TabCalc[Ticker],TabCalc[M])+FA4)</f>
        <v>4.6499999999999911E-6</v>
      </c>
      <c r="EZ4" s="1126">
        <v>9.9999999999999995E-7</v>
      </c>
      <c r="FA4" s="1127">
        <v>-112.93</v>
      </c>
      <c r="FB4" s="1130">
        <f ca="1">FC4*(_xlfn.XLOOKUP(FB$3,TabCalc[Ticker],TabCalc[M])+FD4)</f>
        <v>-2.5767999999999996E-6</v>
      </c>
      <c r="FC4" s="1126">
        <v>9.9999999999999995E-7</v>
      </c>
      <c r="FD4" s="1127">
        <v>-8.2667999999999999</v>
      </c>
      <c r="FE4" s="1130">
        <f ca="1">FF4*(_xlfn.XLOOKUP(FE$3,TabCalc[Ticker],TabCalc[M])+FG4)</f>
        <v>-5.7620751895841592E-7</v>
      </c>
      <c r="FF4" s="1126">
        <v>9.9999999999999995E-7</v>
      </c>
      <c r="FG4" s="1127">
        <v>-1.2642075189584159</v>
      </c>
      <c r="FH4" s="1130">
        <f ca="1">FI4*(_xlfn.XLOOKUP(FH$3,TabCalc[Ticker],TabCalc[M])+FJ4)</f>
        <v>-4.0500000000000025E-7</v>
      </c>
      <c r="FI4" s="1126">
        <v>9.9999999999999995E-7</v>
      </c>
      <c r="FJ4" s="1127">
        <v>-2.4500000000000002</v>
      </c>
      <c r="FK4" s="1130">
        <f ca="1">FL4*(_xlfn.XLOOKUP(FK$3,TabCalc[Ticker],TabCalc[M])+FM4)</f>
        <v>-1.0257500000000003E-5</v>
      </c>
      <c r="FL4" s="1126">
        <v>9.9999999999999995E-7</v>
      </c>
      <c r="FM4" s="1127">
        <v>-33.637500000000003</v>
      </c>
      <c r="FN4" s="1130">
        <f ca="1">FO4*(_xlfn.XLOOKUP(FN$3,TabCalc[Ticker],TabCalc[M])+FP4)</f>
        <v>4.2400000000000001E-6</v>
      </c>
      <c r="FO4" s="1126">
        <v>9.9999999999999995E-7</v>
      </c>
      <c r="FP4" s="1127">
        <v>-11.06</v>
      </c>
      <c r="FQ4" s="1130">
        <f ca="1">FR4*(_xlfn.XLOOKUP(FQ$3,TabCalc[Ticker],TabCalc[M])+FS4)</f>
        <v>2.7894777777777777E-6</v>
      </c>
      <c r="FR4" s="1126">
        <v>9.9999999999999995E-7</v>
      </c>
      <c r="FS4" s="1127">
        <v>-13.428522222222222</v>
      </c>
      <c r="FT4" s="1130">
        <f ca="1">FU4*(_xlfn.XLOOKUP(FT$3,TabCalc[Ticker],TabCalc[M])+FV4)</f>
        <v>-2.3871333333333334E-6</v>
      </c>
      <c r="FU4" s="1126">
        <v>9.9999999999999995E-7</v>
      </c>
      <c r="FV4" s="1127">
        <v>-2.5883333333333334</v>
      </c>
      <c r="FW4" s="1130">
        <f ca="1">FX4*(_xlfn.XLOOKUP(FW$3,TabCalc[Ticker],TabCalc[M])+FY4)</f>
        <v>1.1592857142857156E-6</v>
      </c>
      <c r="FX4" s="1126">
        <v>9.9999999999999995E-7</v>
      </c>
      <c r="FY4" s="1127">
        <v>-55.660714285714285</v>
      </c>
      <c r="FZ4" s="1130">
        <f ca="1">GA4*(_xlfn.XLOOKUP(FZ$3,TabCalc[Ticker],TabCalc[M])+GB4)</f>
        <v>1.665151515151514E-6</v>
      </c>
      <c r="GA4" s="1126">
        <v>9.9999999999999995E-7</v>
      </c>
      <c r="GB4" s="1127">
        <v>-12.114848484848485</v>
      </c>
      <c r="GC4" s="1130">
        <f ca="1">GD4*(_xlfn.XLOOKUP(GC$3,TabCalc[Ticker],TabCalc[M])+GE4)</f>
        <v>1.0634999999999997E-5</v>
      </c>
      <c r="GD4" s="1126">
        <v>9.9999999999999995E-7</v>
      </c>
      <c r="GE4" s="1127">
        <v>-33.094999999999999</v>
      </c>
      <c r="GF4" s="1130">
        <f ca="1">GG4*(_xlfn.XLOOKUP(GF$3,TabCalc[Ticker],TabCalc[M])+GH4)</f>
        <v>-4.9769027431421444E-5</v>
      </c>
      <c r="GG4" s="1126">
        <v>9.9999999999999995E-7</v>
      </c>
      <c r="GH4" s="1127">
        <v>-255.26902743142145</v>
      </c>
      <c r="GI4" s="1130">
        <f ca="1">GJ4*(_xlfn.XLOOKUP(GI$3,TabCalc[Ticker],TabCalc[M])+GK4)</f>
        <v>-1.1690633928571429E-5</v>
      </c>
      <c r="GJ4" s="1126">
        <v>9.9999999999999995E-7</v>
      </c>
      <c r="GK4" s="1127">
        <v>-41.94063392857143</v>
      </c>
      <c r="GL4" s="1130">
        <f ca="1">GM4*(_xlfn.XLOOKUP(GL$3,TabCalc[Ticker],TabCalc[M])+GN4)</f>
        <v>7.0175830857142836E-5</v>
      </c>
      <c r="GM4" s="1126">
        <v>9.9999999999999995E-7</v>
      </c>
      <c r="GN4" s="1127">
        <v>-199.85416914285713</v>
      </c>
      <c r="GO4" s="1130">
        <f ca="1">GP4*(_xlfn.XLOOKUP(GO$3,TabCalc[Ticker],TabCalc[M])+GQ4)</f>
        <v>1.6481999999999999E-5</v>
      </c>
      <c r="GP4" s="1126">
        <v>9.9999999999999995E-7</v>
      </c>
      <c r="GQ4" s="1127">
        <v>-204.7</v>
      </c>
      <c r="GR4" s="1130">
        <f ca="1">GS4*(_xlfn.XLOOKUP(GR$3,TabCalc[Ticker],TabCalc[M])+GT4)</f>
        <v>2.3222704799999997E-4</v>
      </c>
      <c r="GS4" s="1126">
        <v>9.9999999999999995E-7</v>
      </c>
      <c r="GT4" s="1127">
        <v>-654.37295200000005</v>
      </c>
      <c r="GU4" s="1130">
        <f ca="1">GV4*(_xlfn.XLOOKUP(GU$3,TabCalc[Ticker],TabCalc[M])+GW4)</f>
        <v>-1.2381954545454548E-6</v>
      </c>
      <c r="GV4" s="1126">
        <v>9.9999999999999995E-7</v>
      </c>
      <c r="GW4" s="1127">
        <v>-3.2831954545454547</v>
      </c>
      <c r="GX4" s="1130">
        <f ca="1">GY4*(_xlfn.XLOOKUP(GX$3,TabCalc[Ticker],TabCalc[M])+GZ4)</f>
        <v>-5.2400833333333452E-6</v>
      </c>
      <c r="GY4" s="1126">
        <v>9.9999999999999995E-7</v>
      </c>
      <c r="GZ4" s="1127">
        <v>-110.54008333333334</v>
      </c>
      <c r="HA4" s="1130">
        <f ca="1">HB4*(_xlfn.XLOOKUP(HA$3,TabCalc[Ticker],TabCalc[M])+HC4)</f>
        <v>6.9114999999999991E-5</v>
      </c>
      <c r="HB4" s="1126">
        <v>9.9999999999999995E-7</v>
      </c>
      <c r="HC4" s="1127"/>
      <c r="HD4" s="1130">
        <f ca="1">HE4*(_xlfn.XLOOKUP(HD$3,TabCalc[Ticker],TabCalc[M])+HF4)</f>
        <v>3.7760000000000002E-4</v>
      </c>
      <c r="HE4" s="1126">
        <v>9.9999999999999995E-7</v>
      </c>
      <c r="HF4" s="1127"/>
      <c r="HG4" s="1130">
        <f ca="1">HH4*(_xlfn.XLOOKUP(HG$3,TabCalc[Ticker],TabCalc[M])+HI4)</f>
        <v>-3.7454115100000004E-5</v>
      </c>
      <c r="HH4" s="1126">
        <v>9.9999999999999995E-7</v>
      </c>
      <c r="HI4" s="1127">
        <v>-61.734115100000004</v>
      </c>
      <c r="HJ4" s="1130">
        <f ca="1">HK4*(_xlfn.XLOOKUP(HJ$3,TabCalc[Ticker],TabCalc[M])+HL4)</f>
        <v>-8.3178333333333332E-7</v>
      </c>
      <c r="HK4" s="1126">
        <v>9.9999999999999995E-7</v>
      </c>
      <c r="HL4" s="1127">
        <v>-2.1967833333333333</v>
      </c>
      <c r="HM4" s="1130">
        <f ca="1">HN4*(_xlfn.XLOOKUP(HM$3,TabCalc[Ticker],TabCalc[M])+HO4)</f>
        <v>1.3274411764705876E-6</v>
      </c>
      <c r="HN4" s="1126">
        <v>9.9999999999999995E-7</v>
      </c>
      <c r="HO4" s="1127">
        <v>-14.890558823529412</v>
      </c>
      <c r="HP4" s="1130">
        <f ca="1">HQ4*(_xlfn.XLOOKUP(HP$3,TabCalc[Ticker],TabCalc[M])+HR4)</f>
        <v>1.1266666666666651E-6</v>
      </c>
      <c r="HQ4" s="1126">
        <v>9.9999999999999995E-7</v>
      </c>
      <c r="HR4" s="1127">
        <v>-460.97333333333336</v>
      </c>
      <c r="HS4" s="1130">
        <f ca="1">HT4*(_xlfn.XLOOKUP(HS$3,TabCalc[Ticker],TabCalc[M])+HU4)</f>
        <v>1.2994999999999998E-5</v>
      </c>
      <c r="HT4" s="1126">
        <v>9.9999999999999995E-7</v>
      </c>
      <c r="HU4" s="1127"/>
      <c r="HV4" s="1130">
        <f ca="1">HW4*(_xlfn.XLOOKUP(HV$3,TabCalc[Ticker],TabCalc[M])+HX4)</f>
        <v>5.6819999999999995E-5</v>
      </c>
      <c r="HW4" s="1129">
        <v>9.9999999999999995E-7</v>
      </c>
      <c r="HX4" s="1127"/>
      <c r="HY4" s="1130">
        <f ca="1">HZ4*(_xlfn.XLOOKUP(HY$3,TabCalc[Ticker],TabCalc[M])+IA4)</f>
        <v>-3.4047777777777778E-5</v>
      </c>
      <c r="HZ4" s="1126">
        <v>9.9999999999999995E-7</v>
      </c>
      <c r="IA4" s="1127">
        <v>-180.93777777777777</v>
      </c>
      <c r="IB4" s="1130">
        <f ca="1">IC4*(_xlfn.XLOOKUP(IB$3,TabCalc[Ticker],TabCalc[M])+ID4)</f>
        <v>7.808899999999999E-4</v>
      </c>
      <c r="IC4" s="1126">
        <v>9.9999999999999995E-7</v>
      </c>
      <c r="ID4" s="1127"/>
      <c r="IE4" s="1130">
        <f ca="1">IF4*(_xlfn.XLOOKUP(IE$3,TabCalc[Ticker],TabCalc[M])+IG4)</f>
        <v>-2.0791532130429179E-5</v>
      </c>
      <c r="IF4" s="1126">
        <v>9.9999999999999995E-7</v>
      </c>
      <c r="IG4" s="1127">
        <v>-21.677332130429178</v>
      </c>
      <c r="IH4" s="1130">
        <f ca="1">II4*(_xlfn.XLOOKUP(IH$3,TabCalc[Ticker],TabCalc[M])+IJ4)</f>
        <v>1.122600000000002E-6</v>
      </c>
      <c r="II4" s="1126">
        <v>9.9999999999999995E-7</v>
      </c>
      <c r="IJ4" s="1127">
        <v>-30.697399999999998</v>
      </c>
      <c r="IK4" s="1130">
        <f ca="1">IL4*(_xlfn.XLOOKUP(IK$3,TabCalc[Ticker],TabCalc[M])+IM4)</f>
        <v>-3.0267500000000038E-5</v>
      </c>
      <c r="IL4" s="1126">
        <v>9.9999999999999995E-7</v>
      </c>
      <c r="IM4" s="1127">
        <v>-556.35</v>
      </c>
      <c r="IN4" s="1130">
        <f ca="1">IO4*(_xlfn.XLOOKUP(IN$3,TabCalc[Ticker],TabCalc[M])+IP4)</f>
        <v>-3.3537999999999996E-6</v>
      </c>
      <c r="IO4" s="1126">
        <v>9.9999999999999995E-7</v>
      </c>
      <c r="IP4" s="1127">
        <v>-9.7487999999999992</v>
      </c>
      <c r="IQ4" s="1130">
        <f ca="1">IR4*(_xlfn.XLOOKUP(IQ$3,TabCalc[Ticker],TabCalc[M]))</f>
        <v>1.2684E-4</v>
      </c>
      <c r="IR4" s="1126">
        <v>9.9999999999999995E-7</v>
      </c>
      <c r="IS4" s="1127"/>
      <c r="IT4" s="1130">
        <f ca="1">IU4*(_xlfn.XLOOKUP(IT$3,TabCalc[Ticker],TabCalc[M])+IV4)</f>
        <v>3.5000000000000141E-8</v>
      </c>
      <c r="IU4" s="1126">
        <v>9.9999999999999995E-7</v>
      </c>
      <c r="IV4" s="1127">
        <v>-13.744999999999999</v>
      </c>
      <c r="IW4" s="1130">
        <f ca="1">IX4*(_xlfn.XLOOKUP(IW$3,TabCalc[Ticker],TabCalc[M])+IY4)</f>
        <v>-1.2849474999999998E-5</v>
      </c>
      <c r="IX4" s="1126">
        <v>9.9999999999999995E-7</v>
      </c>
      <c r="IY4" s="1127">
        <v>-54.334474999999998</v>
      </c>
      <c r="IZ4" s="1130">
        <f ca="1">JA4*(_xlfn.XLOOKUP(IZ$3,TabCalc[Ticker],TabCalc[M])+JB4)</f>
        <v>7.4999999999999282E-8</v>
      </c>
      <c r="JA4" s="1126">
        <v>9.9999999999999995E-7</v>
      </c>
      <c r="JB4" s="1127">
        <v>-24.94</v>
      </c>
      <c r="JC4" s="1130">
        <f ca="1">JD4*(_xlfn.XLOOKUP(JC$3,TabCalc[Ticker],TabCalc[M])+JE4)</f>
        <v>8.0034883720930195E-7</v>
      </c>
      <c r="JD4" s="1126">
        <v>9.9999999999999995E-7</v>
      </c>
      <c r="JE4" s="1127">
        <v>-3.2946511627906978</v>
      </c>
      <c r="JF4" s="1130">
        <f ca="1">JG4*(_xlfn.XLOOKUP(JF$3,TabCalc[Ticker],TabCalc[M])+JH4)</f>
        <v>3.9075000000000001E-5</v>
      </c>
      <c r="JG4" s="1126">
        <v>9.9999999999999995E-7</v>
      </c>
      <c r="JH4" s="1127"/>
      <c r="JI4" s="1130">
        <f ca="1">JJ4*(_xlfn.XLOOKUP(JI$3,TabCalc[Ticker],TabCalc[M])+JK4)</f>
        <v>-1.9445000000000001E-5</v>
      </c>
      <c r="JJ4" s="1126">
        <v>9.9999999999999995E-7</v>
      </c>
      <c r="JK4" s="1127">
        <v>-76.94</v>
      </c>
      <c r="JL4" s="1130">
        <f ca="1">JM4*(_xlfn.XLOOKUP(JL$3,TabCalc[Ticker],TabCalc[M])+JN4)</f>
        <v>3.3098743333333343E-5</v>
      </c>
      <c r="JM4" s="1126">
        <v>9.9999999999999995E-7</v>
      </c>
      <c r="JN4" s="1127">
        <v>-160.48125666666667</v>
      </c>
      <c r="JO4" s="1130">
        <f ca="1">JP4*(_xlfn.XLOOKUP(JO$3,TabCalc[Ticker],TabCalc[M])+JQ4)</f>
        <v>2.3882794000000008E-5</v>
      </c>
      <c r="JP4" s="1126">
        <v>9.9999999999999995E-7</v>
      </c>
      <c r="JQ4" s="1127">
        <v>-30.957205999999996</v>
      </c>
      <c r="JR4" s="1130">
        <f ca="1">JS4*(_xlfn.XLOOKUP(JR$3,TabCalc[Ticker],TabCalc[M])+JT4)</f>
        <v>4.4250000000000008E-6</v>
      </c>
      <c r="JS4" s="1131">
        <v>9.9999999999999995E-7</v>
      </c>
      <c r="JT4" s="1127">
        <v>-5.34</v>
      </c>
      <c r="JU4" s="1130">
        <f ca="1">JV4*(_xlfn.XLOOKUP(JU$3,TabCalc[Ticker],TabCalc[M])+JW4)</f>
        <v>1.6286E-4</v>
      </c>
      <c r="JV4" s="83">
        <v>9.9999999999999995E-7</v>
      </c>
      <c r="JW4" s="1127">
        <v>-723.74</v>
      </c>
      <c r="JX4" s="1130">
        <f ca="1">JY4*(_xlfn.XLOOKUP(JX$3,TabCalc[Ticker],TabCalc[M])+JZ4)</f>
        <v>8.4678385714285823E-7</v>
      </c>
      <c r="JY4" s="1126">
        <v>9.9999999999999995E-7</v>
      </c>
      <c r="JZ4" s="1127">
        <v>-14.453216142857142</v>
      </c>
    </row>
    <row r="5" spans="1:301" ht="22" customHeight="1" x14ac:dyDescent="0.3">
      <c r="A5">
        <v>2</v>
      </c>
      <c r="B5" s="1130">
        <f ca="1">C5*(_xlfn.XLOOKUP(B$3,TabCalc[Ticker],TabCalc[M])+D5)</f>
        <v>37139.999999999985</v>
      </c>
      <c r="C5" s="1133">
        <v>500</v>
      </c>
      <c r="D5" s="1127">
        <v>-195.75</v>
      </c>
      <c r="E5" s="1130">
        <f ca="1">F5*(_xlfn.XLOOKUP(E$3,TabCalc[Ticker],TabCalc[M])+G5)</f>
        <v>-2127.9999999999995</v>
      </c>
      <c r="F5" s="1133">
        <v>2800</v>
      </c>
      <c r="G5" s="1127">
        <v>-13.02</v>
      </c>
      <c r="H5" s="1130">
        <f ca="1">I5*(_xlfn.XLOOKUP(H$3,TabCalc[Ticker],TabCalc[M])+J5)</f>
        <v>108514.00000000003</v>
      </c>
      <c r="I5" s="1133">
        <v>23590</v>
      </c>
      <c r="J5" s="1127">
        <v>-40.4</v>
      </c>
      <c r="K5" s="1130">
        <f ca="1">L5*(_xlfn.XLOOKUP(K$3,TabCalc[Ticker],TabCalc[M])+M5)</f>
        <v>9526.399999999996</v>
      </c>
      <c r="L5" s="1133">
        <v>200</v>
      </c>
      <c r="M5" s="1127">
        <v>-173.55</v>
      </c>
      <c r="N5" s="1130">
        <f ca="1">O5*(_xlfn.XLOOKUP(N$3,TabCalc[Ticker],TabCalc[M])+P5)</f>
        <v>-3630.0000000000014</v>
      </c>
      <c r="O5" s="1133">
        <v>15000</v>
      </c>
      <c r="P5" s="1127">
        <v>-0.93</v>
      </c>
      <c r="Q5" s="1130">
        <f ca="1">R5*(_xlfn.XLOOKUP(Q$3,TabCalc[Ticker],TabCalc[M])+S5)</f>
        <v>143650.00000000003</v>
      </c>
      <c r="R5" s="1133">
        <v>500</v>
      </c>
      <c r="S5" s="1127">
        <v>-599.29999999999995</v>
      </c>
      <c r="T5" s="1130">
        <f ca="1">U5*(_xlfn.XLOOKUP(T$3,TabCalc[Ticker],TabCalc[M])+V5)</f>
        <v>27463.391673000006</v>
      </c>
      <c r="U5" s="1133">
        <v>190</v>
      </c>
      <c r="V5" s="1127">
        <v>-203.42583329999999</v>
      </c>
      <c r="W5" s="1130">
        <f ca="1">X5*(_xlfn.XLOOKUP(W$3,TabCalc[Ticker],TabCalc[M])+Y5)</f>
        <v>9565.0499999999993</v>
      </c>
      <c r="X5" s="1133">
        <v>500</v>
      </c>
      <c r="Y5" s="1127">
        <v>-69.84</v>
      </c>
      <c r="Z5" s="1130">
        <f ca="1">AA5*(_xlfn.XLOOKUP(Z$3,TabCalc[Ticker],TabCalc[M])+AB5)</f>
        <v>10120</v>
      </c>
      <c r="AA5" s="1133">
        <v>10000</v>
      </c>
      <c r="AB5" s="1127">
        <v>-1.83</v>
      </c>
      <c r="AC5" s="1130">
        <f ca="1">AD5*(_xlfn.XLOOKUP(AC$3,TabCalc[Ticker],TabCalc[M])+AE5)</f>
        <v>-131307.5</v>
      </c>
      <c r="AD5" s="1133">
        <v>12500</v>
      </c>
      <c r="AE5" s="1127">
        <v>-12.7196</v>
      </c>
      <c r="AF5" s="1130">
        <f ca="1">AG5*(_xlfn.XLOOKUP(AF$3,TabCalc[Ticker],TabCalc[M])+AH5)</f>
        <v>184.24999999999997</v>
      </c>
      <c r="AG5" s="1133">
        <v>5</v>
      </c>
      <c r="AH5" s="1127">
        <v>-62.75</v>
      </c>
      <c r="AI5" s="1130">
        <f ca="1">AJ5*(_xlfn.XLOOKUP(AI$3,TabCalc[Ticker],TabCalc[M])+AK5)</f>
        <v>11073.599999999999</v>
      </c>
      <c r="AJ5" s="1133">
        <v>1000</v>
      </c>
      <c r="AK5" s="1127">
        <v>-67.2</v>
      </c>
      <c r="AL5" s="1130">
        <f ca="1">AM5*(_xlfn.XLOOKUP(AL$3,TabCalc[Ticker],TabCalc[M])+AN5)</f>
        <v>20.363810000000001</v>
      </c>
      <c r="AM5" s="1133">
        <v>1</v>
      </c>
      <c r="AN5" s="1127">
        <v>-56.056190000000001</v>
      </c>
      <c r="AO5" s="1130">
        <f ca="1">AP5*(_xlfn.XLOOKUP(AO$3,TabCalc[Ticker],TabCalc[M])+AQ5)</f>
        <v>2700</v>
      </c>
      <c r="AP5" s="1133">
        <v>20000</v>
      </c>
      <c r="AQ5" s="1127">
        <v>-1.91</v>
      </c>
      <c r="AR5" s="1130">
        <f ca="1">AS5*(_xlfn.XLOOKUP(AR$3,TabCalc[Ticker],TabCalc[M])+AT5)</f>
        <v>-796.0000000000008</v>
      </c>
      <c r="AS5" s="1133">
        <v>200</v>
      </c>
      <c r="AT5" s="1127">
        <v>-109.28</v>
      </c>
      <c r="AU5" s="1130">
        <f ca="1">AV5*(_xlfn.XLOOKUP(AU$3,TabCalc[Ticker],TabCalc[M])+AW5)</f>
        <v>-6520.0000000000027</v>
      </c>
      <c r="AV5" s="1133">
        <v>2000</v>
      </c>
      <c r="AW5" s="1127">
        <v>-26.64</v>
      </c>
      <c r="AX5" s="1130">
        <f ca="1">AY5*(_xlfn.XLOOKUP(AX$3,TabCalc[Ticker],TabCalc[M])+AZ5)</f>
        <v>-4935.0000000000082</v>
      </c>
      <c r="AY5" s="1133">
        <v>1400</v>
      </c>
      <c r="AZ5" s="1127">
        <v>-118.68</v>
      </c>
      <c r="BA5" s="1130">
        <f ca="1">BB5*(_xlfn.XLOOKUP(BA$3,TabCalc[Ticker],TabCalc[M])+BC5)</f>
        <v>-9480.0000000000036</v>
      </c>
      <c r="BB5" s="1133">
        <v>4000</v>
      </c>
      <c r="BC5" s="1127">
        <v>-14.48</v>
      </c>
      <c r="BD5" s="1130">
        <f ca="1">BE5*(_xlfn.XLOOKUP(BD$3,TabCalc[Ticker],TabCalc[M])+BF5)</f>
        <v>286.00000000000074</v>
      </c>
      <c r="BE5" s="1133">
        <v>550</v>
      </c>
      <c r="BF5" s="1127">
        <v>-14.78</v>
      </c>
      <c r="BG5" s="1130">
        <f ca="1">BH5*(_xlfn.XLOOKUP(BG$3,TabCalc[Ticker],TabCalc[M])+BI5)</f>
        <v>-18225.599999999999</v>
      </c>
      <c r="BH5" s="1133">
        <v>12000</v>
      </c>
      <c r="BI5" s="1127">
        <v>-1.72</v>
      </c>
      <c r="BJ5" s="1130">
        <f ca="1">BK5*(_xlfn.XLOOKUP(BJ$3,TabCalc[Ticker],TabCalc[M])+BL5)</f>
        <v>224.38999999999993</v>
      </c>
      <c r="BK5" s="1133">
        <v>10</v>
      </c>
      <c r="BL5" s="1127">
        <v>-46.676000000000002</v>
      </c>
      <c r="BM5" s="1130">
        <f ca="1">BN5*(_xlfn.XLOOKUP(BM$3,TabCalc[Ticker],TabCalc[M])+BO5)</f>
        <v>9950</v>
      </c>
      <c r="BN5" s="1133">
        <v>2000</v>
      </c>
      <c r="BO5" s="1127">
        <v>-15.76</v>
      </c>
      <c r="BP5" s="1130">
        <f ca="1">BQ5*(_xlfn.XLOOKUP(BP$3,TabCalc[Ticker],TabCalc[M])+BR5)</f>
        <v>-12799.999999999996</v>
      </c>
      <c r="BQ5" s="1133">
        <v>4000</v>
      </c>
      <c r="BR5" s="1127">
        <v>-25.74</v>
      </c>
      <c r="BS5" s="1130">
        <f ca="1">BT5*(_xlfn.XLOOKUP(BS$3,TabCalc[Ticker],TabCalc[M])+BU5)</f>
        <v>4081600.0000000005</v>
      </c>
      <c r="BT5" s="1133">
        <v>20000</v>
      </c>
      <c r="BU5" s="1127">
        <v>-173.52</v>
      </c>
      <c r="BV5" s="1130">
        <f ca="1">BW5*(_xlfn.XLOOKUP(BV$3,TabCalc[Ticker],TabCalc[M])+BX5)</f>
        <v>7719.9999999999991</v>
      </c>
      <c r="BW5" s="1133">
        <v>2000</v>
      </c>
      <c r="BX5" s="1127">
        <v>-63.69</v>
      </c>
      <c r="BY5" s="1130">
        <f ca="1">BZ5*(_xlfn.XLOOKUP(BY$3,TabCalc[Ticker],TabCalc[M])+CA5)</f>
        <v>0</v>
      </c>
      <c r="BZ5" s="1133"/>
      <c r="CA5" s="1127"/>
      <c r="CB5" s="1130">
        <f ca="1">CC5*(_xlfn.XLOOKUP(CB$3,TabCalc[Ticker],TabCalc[M])+CD5)</f>
        <v>24.466999999999999</v>
      </c>
      <c r="CC5" s="1133">
        <v>10</v>
      </c>
      <c r="CD5" s="1127">
        <v>-5.0682999999999998</v>
      </c>
      <c r="CE5" s="1130">
        <f ca="1">CF5*(_xlfn.XLOOKUP(CE$3,TabCalc[Ticker],TabCalc[M])+CG5)</f>
        <v>-35397</v>
      </c>
      <c r="CF5" s="1133">
        <v>2300</v>
      </c>
      <c r="CG5" s="1127">
        <v>-39.67</v>
      </c>
      <c r="CH5" s="1130">
        <f ca="1">CI5*(_xlfn.XLOOKUP(CH$3,TabCalc[Ticker],TabCalc[M])+CJ5)</f>
        <v>971830.49999999988</v>
      </c>
      <c r="CI5" s="1133">
        <v>2550</v>
      </c>
      <c r="CJ5" s="1127">
        <v>-105.48</v>
      </c>
      <c r="CK5" s="1130">
        <f ca="1">CL5*(_xlfn.XLOOKUP(CK$3,TabCalc[Ticker],TabCalc[M])+CM5)</f>
        <v>5483.8227999999963</v>
      </c>
      <c r="CL5" s="1133">
        <v>400</v>
      </c>
      <c r="CM5" s="1127">
        <v>-71.000443000000004</v>
      </c>
      <c r="CN5" s="1130">
        <f ca="1">CO5*(_xlfn.XLOOKUP(CN$3,TabCalc[Ticker],TabCalc[M])+CP5)</f>
        <v>151245</v>
      </c>
      <c r="CO5" s="1133">
        <v>3000</v>
      </c>
      <c r="CP5" s="1127">
        <v>-37.18</v>
      </c>
      <c r="CQ5" s="1130">
        <f ca="1">CR5*(_xlfn.XLOOKUP(CQ$3,TabCalc[Ticker],TabCalc[M])+CS5)</f>
        <v>459.99999999992269</v>
      </c>
      <c r="CR5" s="1133">
        <v>5000</v>
      </c>
      <c r="CS5" s="1127">
        <v>-109.68800000000002</v>
      </c>
      <c r="CT5" s="1130">
        <f ca="1">CU5*(_xlfn.XLOOKUP(CT$3,TabCalc[Ticker],TabCalc[M])+CV5)</f>
        <v>-8175.0000000000009</v>
      </c>
      <c r="CU5" s="1133">
        <v>2500</v>
      </c>
      <c r="CV5" s="1127">
        <v>-5.4</v>
      </c>
      <c r="CW5" s="1130">
        <f ca="1">CX5*(_xlfn.XLOOKUP(CW$3,TabCalc[Ticker],TabCalc[M])+CY5)</f>
        <v>7765.0000000000009</v>
      </c>
      <c r="CX5" s="1133">
        <v>500</v>
      </c>
      <c r="CY5" s="1127">
        <v>-22.96</v>
      </c>
      <c r="CZ5" s="1130">
        <f ca="1">DA5*(_xlfn.XLOOKUP(CZ$3,TabCalc[Ticker],TabCalc[M])+DB5)</f>
        <v>3199.9999999999991</v>
      </c>
      <c r="DA5" s="1133">
        <v>4000</v>
      </c>
      <c r="DB5" s="1127">
        <v>-5.19</v>
      </c>
      <c r="DC5" s="1130">
        <f ca="1">DD5*(_xlfn.XLOOKUP(DC$3,TabCalc[Ticker],TabCalc[M])+DE5)</f>
        <v>3216.0000000000009</v>
      </c>
      <c r="DD5" s="1133">
        <v>5000</v>
      </c>
      <c r="DE5" s="1127">
        <v>-3.5411999999999999</v>
      </c>
      <c r="DF5" s="1130">
        <f ca="1">DG5*(_xlfn.XLOOKUP(DF$3,TabCalc[Ticker],TabCalc[M])+DH5)</f>
        <v>-622.54259999999988</v>
      </c>
      <c r="DG5" s="1133">
        <v>3006</v>
      </c>
      <c r="DH5" s="1127">
        <v>-0.85</v>
      </c>
      <c r="DI5" s="1130">
        <f ca="1">DJ5*(_xlfn.XLOOKUP(DI$3,TabCalc[Ticker],TabCalc[M])+DK5)</f>
        <v>13870.000000000004</v>
      </c>
      <c r="DJ5" s="1133">
        <v>1000</v>
      </c>
      <c r="DK5" s="1127">
        <v>-28.33</v>
      </c>
      <c r="DL5" s="1130">
        <f ca="1">DM5*(_xlfn.XLOOKUP(DL$3,TabCalc[Ticker],TabCalc[M])+DN5)</f>
        <v>767.99999999999977</v>
      </c>
      <c r="DM5" s="1133">
        <v>50</v>
      </c>
      <c r="DN5" s="1127">
        <v>-28.37</v>
      </c>
      <c r="DO5" s="1130">
        <f ca="1">DP5*(_xlfn.XLOOKUP(DO$3,TabCalc[Ticker],TabCalc[M])+DQ5)</f>
        <v>-22050.000000000011</v>
      </c>
      <c r="DP5" s="1133">
        <v>1000</v>
      </c>
      <c r="DQ5" s="1127">
        <v>-227.55</v>
      </c>
      <c r="DR5" s="1130">
        <f ca="1">DS5*(_xlfn.XLOOKUP(DR$3,TabCalc[Ticker],TabCalc[M])+DT5)</f>
        <v>184.79999999999563</v>
      </c>
      <c r="DS5" s="1133">
        <v>4000</v>
      </c>
      <c r="DT5" s="1127">
        <v>-14.1683</v>
      </c>
      <c r="DU5" s="1130">
        <f ca="1">DV5*(_xlfn.XLOOKUP(DU$3,TabCalc[Ticker],TabCalc[M])+DW5)</f>
        <v>-2666.0000000000041</v>
      </c>
      <c r="DV5" s="1133">
        <v>4000</v>
      </c>
      <c r="DW5" s="1127">
        <v>-9.1165000000000003</v>
      </c>
      <c r="DX5" s="1130">
        <f ca="1">DY5*(_xlfn.XLOOKUP(DX$3,TabCalc[Ticker],TabCalc[M])+DZ5)</f>
        <v>65.600000000000023</v>
      </c>
      <c r="DY5" s="1133">
        <v>1</v>
      </c>
      <c r="DZ5" s="1127">
        <v>-336.51</v>
      </c>
      <c r="EA5" s="1130">
        <f ca="1">EB5*(_xlfn.XLOOKUP(EA$3,TabCalc[Ticker],TabCalc[M])+EC5)</f>
        <v>127170.00000000001</v>
      </c>
      <c r="EB5" s="1133">
        <v>1000</v>
      </c>
      <c r="EC5" s="1127">
        <v>-152.32</v>
      </c>
      <c r="ED5" s="1130">
        <f ca="1">EE5*(_xlfn.XLOOKUP(ED$3,TabCalc[Ticker],TabCalc[M])+EF5)</f>
        <v>-2446.744999999999</v>
      </c>
      <c r="EE5" s="1133">
        <v>350</v>
      </c>
      <c r="EF5" s="1127">
        <v>-37.240699999999997</v>
      </c>
      <c r="EG5" s="1130">
        <f ca="1">EH5*(_xlfn.XLOOKUP(EG$3,TabCalc[Ticker],TabCalc[M])+EI5)</f>
        <v>-24490.475000000006</v>
      </c>
      <c r="EH5" s="1133">
        <v>7235</v>
      </c>
      <c r="EI5" s="1127">
        <v>-9.3000000000000007</v>
      </c>
      <c r="EJ5" s="1130" t="e">
        <f ca="1">EK5*(_xlfn.XLOOKUP(EJ$3,TabCalc[Ticker],TabCalc[M])+EL5)</f>
        <v>#N/A</v>
      </c>
      <c r="EK5" s="1133">
        <v>240</v>
      </c>
      <c r="EL5" s="1127">
        <v>-109.65132</v>
      </c>
      <c r="EM5" s="1130">
        <f ca="1">EN5*(_xlfn.XLOOKUP(EM$3,TabCalc[Ticker],TabCalc[M])+EO5)</f>
        <v>5782.5000000000009</v>
      </c>
      <c r="EN5" s="1133">
        <v>1500</v>
      </c>
      <c r="EO5" s="1127">
        <v>-24.15</v>
      </c>
      <c r="EP5" s="1130">
        <f ca="1">EQ5*(_xlfn.XLOOKUP(EP$3,TabCalc[Ticker],TabCalc[M])+ER5)</f>
        <v>800.00000000001137</v>
      </c>
      <c r="EQ5" s="1133">
        <v>2000</v>
      </c>
      <c r="ER5" s="1127">
        <v>-58.8</v>
      </c>
      <c r="ES5" s="1130">
        <f ca="1">ET5*(_xlfn.XLOOKUP(ES$3,TabCalc[Ticker],TabCalc[M])+EU5)</f>
        <v>5424.9999999999955</v>
      </c>
      <c r="ET5" s="1133">
        <v>5000</v>
      </c>
      <c r="EU5" s="1127">
        <v>-9.4600000000000009</v>
      </c>
      <c r="EV5" s="1130">
        <f ca="1">EW5*(_xlfn.XLOOKUP(EV$3,TabCalc[Ticker],TabCalc[M])+EX5)</f>
        <v>5760.2999999999993</v>
      </c>
      <c r="EW5" s="1133">
        <v>3000</v>
      </c>
      <c r="EX5" s="1134">
        <v>-10.059900000000001</v>
      </c>
      <c r="EY5" s="1130">
        <f ca="1">EZ5*(_xlfn.XLOOKUP(EY$3,TabCalc[Ticker],TabCalc[M])+FA5)</f>
        <v>2297.9999999999991</v>
      </c>
      <c r="EZ5" s="1133">
        <v>200</v>
      </c>
      <c r="FA5" s="1134">
        <v>-106.09</v>
      </c>
      <c r="FB5" s="1130">
        <f ca="1">FC5*(_xlfn.XLOOKUP(FB$3,TabCalc[Ticker],TabCalc[M])+FD5)</f>
        <v>-4849.9999999999991</v>
      </c>
      <c r="FC5" s="1133">
        <v>5000</v>
      </c>
      <c r="FD5" s="1134">
        <v>-6.66</v>
      </c>
      <c r="FE5" s="1130">
        <f ca="1">FF5*(_xlfn.XLOOKUP(FE$3,TabCalc[Ticker],TabCalc[M])+FG5)</f>
        <v>-5405.7300000000023</v>
      </c>
      <c r="FF5" s="1133">
        <v>20000</v>
      </c>
      <c r="FG5" s="1127">
        <v>-0.95828650000000004</v>
      </c>
      <c r="FH5" s="1130">
        <f ca="1">FI5*(_xlfn.XLOOKUP(FH$3,TabCalc[Ticker],TabCalc[M])+FJ5)</f>
        <v>-4050.0000000000023</v>
      </c>
      <c r="FI5" s="1133">
        <v>10000</v>
      </c>
      <c r="FJ5" s="1127">
        <v>-2.4500000000000002</v>
      </c>
      <c r="FK5" s="1130">
        <f ca="1">FL5*(_xlfn.XLOOKUP(FK$3,TabCalc[Ticker],TabCalc[M])+FM5)</f>
        <v>-10260</v>
      </c>
      <c r="FL5" s="1133">
        <v>1500</v>
      </c>
      <c r="FM5" s="1127">
        <v>-30.22</v>
      </c>
      <c r="FN5" s="1130">
        <f ca="1">FO5*(_xlfn.XLOOKUP(FN$3,TabCalc[Ticker],TabCalc[M])+FP5)</f>
        <v>42.400000000000006</v>
      </c>
      <c r="FO5" s="1133">
        <v>10</v>
      </c>
      <c r="FP5" s="1127">
        <v>-11.06</v>
      </c>
      <c r="FQ5" s="1130">
        <f ca="1">FR5*(_xlfn.XLOOKUP(FQ$3,TabCalc[Ticker],TabCalc[M])+FS5)</f>
        <v>7256</v>
      </c>
      <c r="FR5" s="1133">
        <v>2000</v>
      </c>
      <c r="FS5" s="1127">
        <v>-12.59</v>
      </c>
      <c r="FT5" s="1130">
        <f ca="1">FU5*(_xlfn.XLOOKUP(FT$3,TabCalc[Ticker],TabCalc[M])+FV5)</f>
        <v>-15188</v>
      </c>
      <c r="FU5" s="1133">
        <v>10000</v>
      </c>
      <c r="FV5" s="1127">
        <v>-1.72</v>
      </c>
      <c r="FW5" s="1130">
        <f ca="1">FX5*(_xlfn.XLOOKUP(FW$3,TabCalc[Ticker],TabCalc[M])+FY5)</f>
        <v>172.29999999999995</v>
      </c>
      <c r="FX5" s="1133">
        <v>10</v>
      </c>
      <c r="FY5" s="1127">
        <v>-39.590000000000003</v>
      </c>
      <c r="FZ5" s="1130">
        <f ca="1">GA5*(_xlfn.XLOOKUP(FZ$3,TabCalc[Ticker],TabCalc[M])+GB5)</f>
        <v>17460</v>
      </c>
      <c r="GA5" s="1133">
        <v>6000</v>
      </c>
      <c r="GB5" s="1127">
        <v>-10.87</v>
      </c>
      <c r="GC5" s="1130">
        <f ca="1">GD5*(_xlfn.XLOOKUP(GC$3,TabCalc[Ticker],TabCalc[M])+GE5)</f>
        <v>10.634999999999998</v>
      </c>
      <c r="GD5" s="1133">
        <v>1</v>
      </c>
      <c r="GE5" s="1127">
        <v>-33.094999999999999</v>
      </c>
      <c r="GF5" s="1130">
        <f ca="1">GG5*(_xlfn.XLOOKUP(GF$3,TabCalc[Ticker],TabCalc[M])+GH5)</f>
        <v>-9080.0000000000018</v>
      </c>
      <c r="GG5" s="1133">
        <v>200</v>
      </c>
      <c r="GH5" s="1127">
        <v>-250.9</v>
      </c>
      <c r="GI5" s="1130">
        <f ca="1">GJ5*(_xlfn.XLOOKUP(GI$3,TabCalc[Ticker],TabCalc[M])+GK5)</f>
        <v>-279.82499999999987</v>
      </c>
      <c r="GJ5" s="1133">
        <v>39</v>
      </c>
      <c r="GK5" s="1127">
        <v>-37.424999999999997</v>
      </c>
      <c r="GL5" s="1130">
        <f ca="1">GM5*(_xlfn.XLOOKUP(GL$3,TabCalc[Ticker],TabCalc[M])+GN5)</f>
        <v>20656.69999999999</v>
      </c>
      <c r="GM5" s="1133">
        <v>290</v>
      </c>
      <c r="GN5" s="1127">
        <v>-198.8</v>
      </c>
      <c r="GO5" s="1130">
        <f ca="1">GP5*(_xlfn.XLOOKUP(GO$3,TabCalc[Ticker],TabCalc[M])+GQ5)</f>
        <v>17765.999999999993</v>
      </c>
      <c r="GP5" s="1133">
        <v>500</v>
      </c>
      <c r="GQ5" s="1127">
        <v>-185.65</v>
      </c>
      <c r="GR5" s="1130">
        <f ca="1">GS5*(_xlfn.XLOOKUP(GR$3,TabCalc[Ticker],TabCalc[M])+GT5)</f>
        <v>20404.3</v>
      </c>
      <c r="GS5" s="1133">
        <v>70</v>
      </c>
      <c r="GT5" s="1127">
        <v>-595.11</v>
      </c>
      <c r="GU5" s="1130">
        <f ca="1">GV5*(_xlfn.XLOOKUP(GU$3,TabCalc[Ticker],TabCalc[M])+GW5)</f>
        <v>2435.9999999999977</v>
      </c>
      <c r="GV5" s="1133">
        <v>21000</v>
      </c>
      <c r="GW5" s="1127">
        <v>-1.929</v>
      </c>
      <c r="GX5" s="1130">
        <f ca="1">GY5*(_xlfn.XLOOKUP(GX$3,TabCalc[Ticker],TabCalc[M])+GZ5)</f>
        <v>-2217.7000000000016</v>
      </c>
      <c r="GY5" s="1133">
        <v>670</v>
      </c>
      <c r="GZ5" s="1127">
        <v>-108.61</v>
      </c>
      <c r="HA5" s="1130">
        <f ca="1">HB5*(_xlfn.XLOOKUP(HA$3,TabCalc[Ticker],TabCalc[M])+HC5)</f>
        <v>0</v>
      </c>
      <c r="HB5" s="1132"/>
      <c r="HC5" s="1127"/>
      <c r="HD5" s="1130">
        <f ca="1">HE5*(_xlfn.XLOOKUP(HD$3,TabCalc[Ticker],TabCalc[M])+HF5)</f>
        <v>0</v>
      </c>
      <c r="HE5" s="1132"/>
      <c r="HF5" s="1127"/>
      <c r="HG5" s="1130">
        <f ca="1">HH5*(_xlfn.XLOOKUP(HG$3,TabCalc[Ticker],TabCalc[M])+HI5)</f>
        <v>-43597.8</v>
      </c>
      <c r="HH5" s="1133">
        <v>3000</v>
      </c>
      <c r="HI5" s="1127">
        <v>-38.812600000000003</v>
      </c>
      <c r="HJ5" s="1130">
        <f ca="1">HK5*(_xlfn.XLOOKUP(HJ$3,TabCalc[Ticker],TabCalc[M])+HL5)</f>
        <v>14120</v>
      </c>
      <c r="HK5" s="1133">
        <v>40000</v>
      </c>
      <c r="HL5" s="1127">
        <v>-1.012</v>
      </c>
      <c r="HM5" s="1130">
        <f ca="1">HN5*(_xlfn.XLOOKUP(HM$3,TabCalc[Ticker],TabCalc[M])+HO5)</f>
        <v>13493.480000000007</v>
      </c>
      <c r="HN5" s="1133">
        <v>10010</v>
      </c>
      <c r="HO5" s="1127">
        <v>-14.87</v>
      </c>
      <c r="HP5" s="1130">
        <f ca="1">HQ5*(_xlfn.XLOOKUP(HP$3,TabCalc[Ticker],TabCalc[M])+HR5)</f>
        <v>221800.00000000064</v>
      </c>
      <c r="HQ5" s="1133">
        <v>20000</v>
      </c>
      <c r="HR5" s="1127">
        <v>-451.01</v>
      </c>
      <c r="HS5" s="1130">
        <f ca="1">HT5*(_xlfn.XLOOKUP(HS$3,TabCalc[Ticker],TabCalc[M])+HU5)</f>
        <v>0</v>
      </c>
      <c r="HT5" s="1133"/>
      <c r="HU5" s="1127"/>
      <c r="HV5" s="1130">
        <f ca="1">HW5*(_xlfn.XLOOKUP(HV$3,TabCalc[Ticker],TabCalc[M])+HX5)</f>
        <v>0</v>
      </c>
      <c r="HW5" s="1132"/>
      <c r="HX5" s="1127"/>
      <c r="HY5" s="1130">
        <f ca="1">HZ5*(_xlfn.XLOOKUP(HY$3,TabCalc[Ticker],TabCalc[M])+IA5)</f>
        <v>-3962.0000000000005</v>
      </c>
      <c r="HZ5" s="1133">
        <v>200</v>
      </c>
      <c r="IA5" s="1127">
        <v>-166.7</v>
      </c>
      <c r="IB5" s="1130">
        <f ca="1">IC5*(_xlfn.XLOOKUP(IB$3,TabCalc[Ticker],TabCalc[M])+ID5)</f>
        <v>0</v>
      </c>
      <c r="IC5" s="1133"/>
      <c r="ID5" s="1127"/>
      <c r="IE5" s="1130">
        <f ca="1">IF5*(_xlfn.XLOOKUP(IE$3,TabCalc[Ticker],TabCalc[M])+IG5)</f>
        <v>-53581.36740000001</v>
      </c>
      <c r="IF5" s="1133">
        <v>9647</v>
      </c>
      <c r="IG5" s="1127">
        <v>-6.44</v>
      </c>
      <c r="IH5" s="1130">
        <f ca="1">II5*(_xlfn.XLOOKUP(IH$3,TabCalc[Ticker],TabCalc[M])+IJ5)</f>
        <v>1347.1200000000024</v>
      </c>
      <c r="II5" s="1133">
        <v>1200</v>
      </c>
      <c r="IJ5" s="1127">
        <v>-30.697399999999998</v>
      </c>
      <c r="IK5" s="1130">
        <f ca="1">IL5*(_xlfn.XLOOKUP(IK$3,TabCalc[Ticker],TabCalc[M])+IM5)</f>
        <v>-2072.7499999999964</v>
      </c>
      <c r="IL5" s="1133">
        <v>100</v>
      </c>
      <c r="IM5" s="1127">
        <v>-546.80999999999995</v>
      </c>
      <c r="IN5" s="1130">
        <f ca="1">IO5*(_xlfn.XLOOKUP(IN$3,TabCalc[Ticker],TabCalc[M])+IP5)</f>
        <v>-15092.099999999999</v>
      </c>
      <c r="IO5" s="1133">
        <v>4500</v>
      </c>
      <c r="IP5" s="1127">
        <v>-9.7487999999999992</v>
      </c>
      <c r="IQ5" s="1130">
        <f ca="1">IR5*(_xlfn.XLOOKUP(IQ$3,TabCalc[Ticker],TabCalc[M]))</f>
        <v>0</v>
      </c>
      <c r="IR5" s="1133"/>
      <c r="IS5" s="1127"/>
      <c r="IT5" s="1130">
        <f ca="1">IU5*(_xlfn.XLOOKUP(IT$3,TabCalc[Ticker],TabCalc[M])+IV5)</f>
        <v>42.000000000000171</v>
      </c>
      <c r="IU5" s="1133">
        <v>1200</v>
      </c>
      <c r="IV5" s="1127">
        <v>-13.744999999999999</v>
      </c>
      <c r="IW5" s="1130">
        <f ca="1">IX5*(_xlfn.XLOOKUP(IW$3,TabCalc[Ticker],TabCalc[M])+IY5)</f>
        <v>-5755.0000000000027</v>
      </c>
      <c r="IX5" s="1133">
        <v>1000</v>
      </c>
      <c r="IY5" s="1127">
        <v>-47.24</v>
      </c>
      <c r="IZ5" s="1130">
        <f ca="1">JA5*(_xlfn.XLOOKUP(IZ$3,TabCalc[Ticker],TabCalc[M])+JB5)</f>
        <v>119.99999999999886</v>
      </c>
      <c r="JA5" s="1133">
        <v>1600</v>
      </c>
      <c r="JB5" s="1127">
        <v>-24.94</v>
      </c>
      <c r="JC5" s="1130">
        <f ca="1">JD5*(_xlfn.XLOOKUP(JC$3,TabCalc[Ticker],TabCalc[M])+JE5)</f>
        <v>26374.999999999993</v>
      </c>
      <c r="JD5" s="1133">
        <v>25000</v>
      </c>
      <c r="JE5" s="1127">
        <v>-3.04</v>
      </c>
      <c r="JF5" s="1130">
        <f ca="1">JG5*(_xlfn.XLOOKUP(JF$3,TabCalc[Ticker],TabCalc[M])+JH5)</f>
        <v>0</v>
      </c>
      <c r="JG5" s="1133"/>
      <c r="JH5" s="1127"/>
      <c r="JI5" s="1130">
        <f ca="1">JJ5*(_xlfn.XLOOKUP(JI$3,TabCalc[Ticker],TabCalc[M])+JK5)</f>
        <v>-11667</v>
      </c>
      <c r="JJ5" s="1133">
        <v>600</v>
      </c>
      <c r="JK5" s="1127">
        <v>-76.94</v>
      </c>
      <c r="JL5" s="1130">
        <f ca="1">JM5*(_xlfn.XLOOKUP(JL$3,TabCalc[Ticker],TabCalc[M])+JN5)</f>
        <v>7968.0000000000009</v>
      </c>
      <c r="JM5" s="1133">
        <v>150</v>
      </c>
      <c r="JN5" s="1127">
        <v>-140.46</v>
      </c>
      <c r="JO5" s="1130">
        <f ca="1">JP5*(_xlfn.XLOOKUP(JO$3,TabCalc[Ticker],TabCalc[M])+JQ5)</f>
        <v>238.82794000000004</v>
      </c>
      <c r="JP5" s="1133">
        <v>10</v>
      </c>
      <c r="JQ5" s="1127">
        <v>-30.957205999999999</v>
      </c>
      <c r="JR5" s="1130">
        <f ca="1">JS5*(_xlfn.XLOOKUP(JR$3,TabCalc[Ticker],TabCalc[M])+JT5)</f>
        <v>341167.50000000006</v>
      </c>
      <c r="JS5" s="1135">
        <v>77100</v>
      </c>
      <c r="JT5" s="1127">
        <v>-5.34</v>
      </c>
      <c r="JU5" s="1130">
        <f ca="1">JV5*(_xlfn.XLOOKUP(JU$3,TabCalc[Ticker],TabCalc[M])+JW5)</f>
        <v>32572.000000000004</v>
      </c>
      <c r="JV5" s="82">
        <v>200</v>
      </c>
      <c r="JW5" s="1127">
        <v>-723.74</v>
      </c>
      <c r="JX5" s="1130">
        <f ca="1">JY5*(_xlfn.XLOOKUP(JX$3,TabCalc[Ticker],TabCalc[M])+JZ5)</f>
        <v>12885</v>
      </c>
      <c r="JY5" s="1133">
        <v>3000</v>
      </c>
      <c r="JZ5" s="1127">
        <v>-11.005000000000001</v>
      </c>
    </row>
    <row r="6" spans="1:301" ht="22" customHeight="1" x14ac:dyDescent="0.3">
      <c r="A6">
        <v>3</v>
      </c>
      <c r="B6" s="1130">
        <f ca="1">C6*(_xlfn.XLOOKUP(B$3,TabCalc[Ticker],TabCalc[M])+D6)</f>
        <v>22010.999999999993</v>
      </c>
      <c r="C6" s="1133">
        <v>300</v>
      </c>
      <c r="D6" s="1127">
        <v>-196.66</v>
      </c>
      <c r="E6" s="1130">
        <f ca="1">F6*(_xlfn.XLOOKUP(E$3,TabCalc[Ticker],TabCalc[M])+G6)</f>
        <v>-1567.7999999999988</v>
      </c>
      <c r="F6" s="1133">
        <v>2010</v>
      </c>
      <c r="G6" s="1127">
        <v>-13.04</v>
      </c>
      <c r="H6" s="1130">
        <f ca="1">I6*(_xlfn.XLOOKUP(H$3,TabCalc[Ticker],TabCalc[M])+J6)</f>
        <v>69793.119300000064</v>
      </c>
      <c r="I6" s="1133">
        <v>19410</v>
      </c>
      <c r="J6" s="1127">
        <v>-41.404269999999997</v>
      </c>
      <c r="K6" s="1130">
        <f ca="1">L6*(_xlfn.XLOOKUP(K$3,TabCalc[Ticker],TabCalc[M])+M6)</f>
        <v>34963.839999999982</v>
      </c>
      <c r="L6" s="1133">
        <v>800</v>
      </c>
      <c r="M6" s="1127">
        <v>-177.47720000000001</v>
      </c>
      <c r="N6" s="1130">
        <f ca="1">O6*(_xlfn.XLOOKUP(N$3,TabCalc[Ticker],TabCalc[M])+P6)</f>
        <v>-6138.6000000000013</v>
      </c>
      <c r="O6" s="1133">
        <v>19675</v>
      </c>
      <c r="P6" s="1127">
        <v>-1</v>
      </c>
      <c r="Q6" s="1130">
        <f ca="1">R6*(_xlfn.XLOOKUP(Q$3,TabCalc[Ticker],TabCalc[M])+S6)</f>
        <v>85215.000000000015</v>
      </c>
      <c r="R6" s="1133">
        <v>300</v>
      </c>
      <c r="S6" s="1127">
        <v>-602.54999999999995</v>
      </c>
      <c r="T6" s="1130">
        <f ca="1">U6*(_xlfn.XLOOKUP(T$3,TabCalc[Ticker],TabCalc[M])+V6)</f>
        <v>3431.4000000000069</v>
      </c>
      <c r="U6" s="1133">
        <v>210</v>
      </c>
      <c r="V6" s="1127">
        <v>-331.63</v>
      </c>
      <c r="W6" s="1130">
        <f ca="1">X6*(_xlfn.XLOOKUP(W$3,TabCalc[Ticker],TabCalc[M])+Y6)</f>
        <v>0</v>
      </c>
      <c r="X6" s="1133"/>
      <c r="Y6" s="1127"/>
      <c r="Z6" s="1130">
        <f ca="1">AA6*(_xlfn.XLOOKUP(Z$3,TabCalc[Ticker],TabCalc[M])+AB6)</f>
        <v>3888</v>
      </c>
      <c r="AA6" s="1133">
        <v>4000</v>
      </c>
      <c r="AB6" s="1127">
        <v>-1.87</v>
      </c>
      <c r="AC6" s="1130">
        <f ca="1">AD6*(_xlfn.XLOOKUP(AC$3,TabCalc[Ticker],TabCalc[M])+AE6)</f>
        <v>0</v>
      </c>
      <c r="AD6" s="1133"/>
      <c r="AE6" s="1127"/>
      <c r="AF6" s="1130">
        <f ca="1">AG6*(_xlfn.XLOOKUP(AF$3,TabCalc[Ticker],TabCalc[M])+AH6)</f>
        <v>-133.00000000000125</v>
      </c>
      <c r="AG6" s="1133">
        <v>100</v>
      </c>
      <c r="AH6" s="1127">
        <v>-100.93</v>
      </c>
      <c r="AI6" s="1130">
        <f ca="1">AJ6*(_xlfn.XLOOKUP(AI$3,TabCalc[Ticker],TabCalc[M])+AK6)</f>
        <v>0</v>
      </c>
      <c r="AJ6" s="1133"/>
      <c r="AK6" s="1127"/>
      <c r="AL6" s="1130">
        <f ca="1">AM6*(_xlfn.XLOOKUP(AL$3,TabCalc[Ticker],TabCalc[M])+AN6)</f>
        <v>0</v>
      </c>
      <c r="AM6" s="1132"/>
      <c r="AN6" s="1127"/>
      <c r="AO6" s="1130">
        <f ca="1">AP6*(_xlfn.XLOOKUP(AO$3,TabCalc[Ticker],TabCalc[M])+AQ6)</f>
        <v>-8300</v>
      </c>
      <c r="AP6" s="1133">
        <v>20000</v>
      </c>
      <c r="AQ6" s="1127">
        <v>-2.46</v>
      </c>
      <c r="AR6" s="1130">
        <f ca="1">AS6*(_xlfn.XLOOKUP(AR$3,TabCalc[Ticker],TabCalc[M])+AT6)</f>
        <v>-8477.9999999999964</v>
      </c>
      <c r="AS6" s="1133">
        <v>800</v>
      </c>
      <c r="AT6" s="1127">
        <v>-115.89749999999999</v>
      </c>
      <c r="AU6" s="1130">
        <f ca="1">AV6*(_xlfn.XLOOKUP(AU$3,TabCalc[Ticker],TabCalc[M])+AW6)</f>
        <v>-3785</v>
      </c>
      <c r="AV6" s="1133">
        <v>500</v>
      </c>
      <c r="AW6" s="1127">
        <v>-30.95</v>
      </c>
      <c r="AX6" s="1130">
        <f ca="1">AY6*(_xlfn.XLOOKUP(AX$3,TabCalc[Ticker],TabCalc[M])+AZ6)</f>
        <v>-7975.9999999999991</v>
      </c>
      <c r="AY6" s="1133">
        <v>1600</v>
      </c>
      <c r="AZ6" s="1127">
        <v>-120.14</v>
      </c>
      <c r="BA6" s="1130">
        <f ca="1">BB6*(_xlfn.XLOOKUP(BA$3,TabCalc[Ticker],TabCalc[M])+BC6)</f>
        <v>-12915</v>
      </c>
      <c r="BB6" s="1133">
        <v>2000</v>
      </c>
      <c r="BC6" s="1127">
        <v>-18.567499999999999</v>
      </c>
      <c r="BD6" s="1130">
        <f ca="1">BE6*(_xlfn.XLOOKUP(BD$3,TabCalc[Ticker],TabCalc[M])+BF6)</f>
        <v>-10692.999999999978</v>
      </c>
      <c r="BE6" s="1133">
        <v>14450</v>
      </c>
      <c r="BF6" s="1127">
        <v>-16.04</v>
      </c>
      <c r="BG6" s="1130">
        <f ca="1">BH6*(_xlfn.XLOOKUP(BG$3,TabCalc[Ticker],TabCalc[M])+BI6)</f>
        <v>-24282</v>
      </c>
      <c r="BH6" s="1133">
        <v>15000</v>
      </c>
      <c r="BI6" s="1127">
        <v>-1.82</v>
      </c>
      <c r="BJ6" s="1130">
        <f ca="1">BK6*(_xlfn.XLOOKUP(BJ$3,TabCalc[Ticker],TabCalc[M])+BL6)</f>
        <v>0</v>
      </c>
      <c r="BK6" s="1133"/>
      <c r="BL6" s="1127"/>
      <c r="BM6" s="1130">
        <f ca="1">BN6*(_xlfn.XLOOKUP(BM$3,TabCalc[Ticker],TabCalc[M])+BO6)</f>
        <v>1788.1679999999988</v>
      </c>
      <c r="BN6" s="1133">
        <v>4000</v>
      </c>
      <c r="BO6" s="1127">
        <v>-20.287958</v>
      </c>
      <c r="BP6" s="1130">
        <f ca="1">BQ6*(_xlfn.XLOOKUP(BP$3,TabCalc[Ticker],TabCalc[M])+BR6)</f>
        <v>-4990.0000000000018</v>
      </c>
      <c r="BQ6" s="1133">
        <v>1000</v>
      </c>
      <c r="BR6" s="1127">
        <v>-27.53</v>
      </c>
      <c r="BS6" s="1130">
        <f ca="1">BT6*(_xlfn.XLOOKUP(BS$3,TabCalc[Ticker],TabCalc[M])+BU6)</f>
        <v>2571760.0000000005</v>
      </c>
      <c r="BT6" s="1133">
        <v>20000</v>
      </c>
      <c r="BU6" s="1127">
        <v>-249.012</v>
      </c>
      <c r="BV6" s="1130">
        <f ca="1">BW6*(_xlfn.XLOOKUP(BV$3,TabCalc[Ticker],TabCalc[M])+BX6)</f>
        <v>554.99999999999261</v>
      </c>
      <c r="BW6" s="1133">
        <v>1000</v>
      </c>
      <c r="BX6" s="1127">
        <v>-66.995000000000005</v>
      </c>
      <c r="BY6" s="1130">
        <f ca="1">BZ6*(_xlfn.XLOOKUP(BY$3,TabCalc[Ticker],TabCalc[M])+CA6)</f>
        <v>0</v>
      </c>
      <c r="BZ6" s="1132"/>
      <c r="CA6" s="1127"/>
      <c r="CB6" s="1130">
        <f ca="1">CC6*(_xlfn.XLOOKUP(CB$3,TabCalc[Ticker],TabCalc[M])+CD6)</f>
        <v>0</v>
      </c>
      <c r="CC6" s="1132"/>
      <c r="CD6" s="1127"/>
      <c r="CE6" s="1130">
        <f ca="1">CF6*(_xlfn.XLOOKUP(CE$3,TabCalc[Ticker],TabCalc[M])+CG6)</f>
        <v>-51210</v>
      </c>
      <c r="CF6" s="1133">
        <v>3000</v>
      </c>
      <c r="CG6" s="1127">
        <v>-41.35</v>
      </c>
      <c r="CH6" s="1130">
        <f ca="1">CI6*(_xlfn.XLOOKUP(CH$3,TabCalc[Ticker],TabCalc[M])+CJ6)</f>
        <v>16223.999999999995</v>
      </c>
      <c r="CI6" s="1133">
        <v>150</v>
      </c>
      <c r="CJ6" s="1127">
        <v>-378.43</v>
      </c>
      <c r="CK6" s="1130">
        <f ca="1">CL6*(_xlfn.XLOOKUP(CK$3,TabCalc[Ticker],TabCalc[M])+CM6)</f>
        <v>0</v>
      </c>
      <c r="CL6" s="1133"/>
      <c r="CM6" s="1127"/>
      <c r="CN6" s="1130">
        <f ca="1">CO6*(_xlfn.XLOOKUP(CN$3,TabCalc[Ticker],TabCalc[M])+CP6)</f>
        <v>87789.999999999985</v>
      </c>
      <c r="CO6" s="1133">
        <v>2000</v>
      </c>
      <c r="CP6" s="1127">
        <v>-43.7</v>
      </c>
      <c r="CQ6" s="1130">
        <f ca="1">CR6*(_xlfn.XLOOKUP(CQ$3,TabCalc[Ticker],TabCalc[M])+CS6)</f>
        <v>-2879.9999999999673</v>
      </c>
      <c r="CR6" s="1133">
        <v>5000</v>
      </c>
      <c r="CS6" s="1127">
        <v>-110.35599999999999</v>
      </c>
      <c r="CT6" s="1130">
        <f ca="1">CU6*(_xlfn.XLOOKUP(CT$3,TabCalc[Ticker],TabCalc[M])+CV6)</f>
        <v>-186629.65749999997</v>
      </c>
      <c r="CU6" s="1133">
        <v>24167</v>
      </c>
      <c r="CV6" s="1127">
        <v>-9.8524999999999991</v>
      </c>
      <c r="CW6" s="1130">
        <f ca="1">CX6*(_xlfn.XLOOKUP(CW$3,TabCalc[Ticker],TabCalc[M])+CY6)</f>
        <v>14070</v>
      </c>
      <c r="CX6" s="1133">
        <v>1000</v>
      </c>
      <c r="CY6" s="1127">
        <v>-24.42</v>
      </c>
      <c r="CZ6" s="1130">
        <f ca="1">DA6*(_xlfn.XLOOKUP(CZ$3,TabCalc[Ticker],TabCalc[M])+DB6)</f>
        <v>0</v>
      </c>
      <c r="DA6" s="1133"/>
      <c r="DB6" s="1127"/>
      <c r="DC6" s="1130">
        <f ca="1">DD6*(_xlfn.XLOOKUP(DC$3,TabCalc[Ticker],TabCalc[M])+DE6)</f>
        <v>2830.800000000002</v>
      </c>
      <c r="DD6" s="1133">
        <v>7000</v>
      </c>
      <c r="DE6" s="1127">
        <v>-3.78</v>
      </c>
      <c r="DF6" s="1130">
        <f ca="1">DG6*(_xlfn.XLOOKUP(DF$3,TabCalc[Ticker],TabCalc[M])+DH6)</f>
        <v>-292.94200000000001</v>
      </c>
      <c r="DG6" s="1133">
        <v>988</v>
      </c>
      <c r="DH6" s="1127">
        <v>-0.93940000000000001</v>
      </c>
      <c r="DI6" s="1130">
        <f ca="1">DJ6*(_xlfn.XLOOKUP(DI$3,TabCalc[Ticker],TabCalc[M])+DK6)</f>
        <v>0</v>
      </c>
      <c r="DJ6" s="1133"/>
      <c r="DK6" s="1127"/>
      <c r="DL6" s="1130">
        <f ca="1">DM6*(_xlfn.XLOOKUP(DL$3,TabCalc[Ticker],TabCalc[M])+DN6)</f>
        <v>0</v>
      </c>
      <c r="DM6" s="1133"/>
      <c r="DN6" s="1127"/>
      <c r="DO6" s="1130">
        <f ca="1">DP6*(_xlfn.XLOOKUP(DO$3,TabCalc[Ticker],TabCalc[M])+DQ6)</f>
        <v>-13424.999999999996</v>
      </c>
      <c r="DP6" s="1133">
        <v>500</v>
      </c>
      <c r="DQ6" s="1127">
        <v>-232.35</v>
      </c>
      <c r="DR6" s="1130">
        <f ca="1">DS6*(_xlfn.XLOOKUP(DR$3,TabCalc[Ticker],TabCalc[M])+DT6)</f>
        <v>-2702.0000000000055</v>
      </c>
      <c r="DS6" s="1133">
        <v>4000</v>
      </c>
      <c r="DT6" s="1127">
        <v>-14.89</v>
      </c>
      <c r="DU6" s="1130">
        <f ca="1">DV6*(_xlfn.XLOOKUP(DU$3,TabCalc[Ticker],TabCalc[M])+DW6)</f>
        <v>-2400.0000000000023</v>
      </c>
      <c r="DV6" s="1133">
        <v>3000</v>
      </c>
      <c r="DW6" s="1127">
        <v>-9.25</v>
      </c>
      <c r="DX6" s="1130">
        <f ca="1">DY6*(_xlfn.XLOOKUP(DX$3,TabCalc[Ticker],TabCalc[M])+DZ6)</f>
        <v>0</v>
      </c>
      <c r="DY6" s="1133"/>
      <c r="DZ6" s="1127"/>
      <c r="EA6" s="1130">
        <f ca="1">EB6*(_xlfn.XLOOKUP(EA$3,TabCalc[Ticker],TabCalc[M])+EC6)</f>
        <v>164754.00000000003</v>
      </c>
      <c r="EB6" s="1133">
        <v>1350</v>
      </c>
      <c r="EC6" s="1127">
        <v>-157.44999999999999</v>
      </c>
      <c r="ED6" s="1130">
        <f ca="1">EE6*(_xlfn.XLOOKUP(ED$3,TabCalc[Ticker],TabCalc[M])+EF6)</f>
        <v>-1523.4399999999996</v>
      </c>
      <c r="EE6" s="1133">
        <v>137</v>
      </c>
      <c r="EF6" s="1127">
        <v>-41.37</v>
      </c>
      <c r="EG6" s="1130">
        <f ca="1">EH6*(_xlfn.XLOOKUP(EG$3,TabCalc[Ticker],TabCalc[M])+EI6)</f>
        <v>0</v>
      </c>
      <c r="EH6" s="1133"/>
      <c r="EI6" s="1127"/>
      <c r="EJ6" s="1130" t="e">
        <f ca="1">EK6*(_xlfn.XLOOKUP(EJ$3,TabCalc[Ticker],TabCalc[M])+EL6)</f>
        <v>#N/A</v>
      </c>
      <c r="EK6" s="1133">
        <v>110</v>
      </c>
      <c r="EL6" s="1127">
        <v>-203.42583329999999</v>
      </c>
      <c r="EM6" s="1130">
        <f ca="1">EN6*(_xlfn.XLOOKUP(EM$3,TabCalc[Ticker],TabCalc[M])+EO6)</f>
        <v>7.4999999999985079</v>
      </c>
      <c r="EN6" s="1133">
        <v>1500</v>
      </c>
      <c r="EO6" s="1127">
        <v>-28</v>
      </c>
      <c r="EP6" s="1130">
        <f ca="1">EQ6*(_xlfn.XLOOKUP(EP$3,TabCalc[Ticker],TabCalc[M])+ER6)</f>
        <v>310.00000000000227</v>
      </c>
      <c r="EQ6" s="1133">
        <v>1000</v>
      </c>
      <c r="ER6" s="1127">
        <v>-58.89</v>
      </c>
      <c r="ES6" s="1130">
        <f ca="1">ET6*(_xlfn.XLOOKUP(ES$3,TabCalc[Ticker],TabCalc[M])+EU6)</f>
        <v>0</v>
      </c>
      <c r="ET6" s="1133"/>
      <c r="EU6" s="1127"/>
      <c r="EV6" s="1130">
        <f ca="1">EW6*(_xlfn.XLOOKUP(EV$3,TabCalc[Ticker],TabCalc[M])+EX6)</f>
        <v>0</v>
      </c>
      <c r="EW6" s="1133"/>
      <c r="EX6" s="1136"/>
      <c r="EY6" s="1130">
        <f ca="1">EZ6*(_xlfn.XLOOKUP(EY$3,TabCalc[Ticker],TabCalc[M])+FA6)</f>
        <v>27.000000000001023</v>
      </c>
      <c r="EZ6" s="1133">
        <v>300</v>
      </c>
      <c r="FA6" s="1136">
        <v>-117.49</v>
      </c>
      <c r="FB6" s="1130">
        <f ca="1">FC6*(_xlfn.XLOOKUP(FB$3,TabCalc[Ticker],TabCalc[M])+FD6)</f>
        <v>-3319.9999999999995</v>
      </c>
      <c r="FC6" s="1133">
        <v>800</v>
      </c>
      <c r="FD6" s="1136">
        <v>-9.84</v>
      </c>
      <c r="FE6" s="1130">
        <f ca="1">FF6*(_xlfn.XLOOKUP(FE$3,TabCalc[Ticker],TabCalc[M])+FG6)</f>
        <v>-6440.0000000000009</v>
      </c>
      <c r="FF6" s="1133">
        <v>20000</v>
      </c>
      <c r="FG6" s="1127">
        <v>-1.01</v>
      </c>
      <c r="FH6" s="1130">
        <f ca="1">FI6*(_xlfn.XLOOKUP(FH$3,TabCalc[Ticker],TabCalc[M])+FJ6)</f>
        <v>0</v>
      </c>
      <c r="FI6" s="1133"/>
      <c r="FJ6" s="1127"/>
      <c r="FK6" s="1130">
        <f ca="1">FL6*(_xlfn.XLOOKUP(FK$3,TabCalc[Ticker],TabCalc[M])+FM6)</f>
        <v>-3990</v>
      </c>
      <c r="FL6" s="1133">
        <v>500</v>
      </c>
      <c r="FM6" s="1127">
        <v>-31.36</v>
      </c>
      <c r="FN6" s="1130">
        <f ca="1">FO6*(_xlfn.XLOOKUP(FN$3,TabCalc[Ticker],TabCalc[M])+FP6)</f>
        <v>0</v>
      </c>
      <c r="FO6" s="1133"/>
      <c r="FP6" s="1127"/>
      <c r="FQ6" s="1130">
        <f ca="1">FR6*(_xlfn.XLOOKUP(FQ$3,TabCalc[Ticker],TabCalc[M])+FS6)</f>
        <v>28469.599999999999</v>
      </c>
      <c r="FR6" s="1133">
        <v>8000</v>
      </c>
      <c r="FS6" s="1127">
        <v>-12.6593</v>
      </c>
      <c r="FT6" s="1130">
        <f ca="1">FU6*(_xlfn.XLOOKUP(FT$3,TabCalc[Ticker],TabCalc[M])+FV6)</f>
        <v>-13457.599999999999</v>
      </c>
      <c r="FU6" s="1133">
        <v>2000</v>
      </c>
      <c r="FV6" s="1127">
        <v>-6.93</v>
      </c>
      <c r="FW6" s="1130">
        <f ca="1">FX6*(_xlfn.XLOOKUP(FW$3,TabCalc[Ticker],TabCalc[M])+FY6)</f>
        <v>2799.9999999999973</v>
      </c>
      <c r="FX6" s="1133">
        <v>1000</v>
      </c>
      <c r="FY6" s="1127">
        <v>-54.02</v>
      </c>
      <c r="FZ6" s="1130">
        <f ca="1">GA6*(_xlfn.XLOOKUP(FZ$3,TabCalc[Ticker],TabCalc[M])+GB6)</f>
        <v>13679.999999999998</v>
      </c>
      <c r="GA6" s="1133">
        <v>4800</v>
      </c>
      <c r="GB6" s="1127">
        <v>-10.93</v>
      </c>
      <c r="GC6" s="1130">
        <f ca="1">GD6*(_xlfn.XLOOKUP(GC$3,TabCalc[Ticker],TabCalc[M])+GE6)</f>
        <v>0</v>
      </c>
      <c r="GD6" s="1133"/>
      <c r="GE6" s="1127"/>
      <c r="GF6" s="1130">
        <f ca="1">GG6*(_xlfn.XLOOKUP(GF$3,TabCalc[Ticker],TabCalc[M])+GH6)</f>
        <v>-10820.000000000004</v>
      </c>
      <c r="GG6" s="1133">
        <v>200</v>
      </c>
      <c r="GH6" s="1127">
        <v>-259.60000000000002</v>
      </c>
      <c r="GI6" s="1130">
        <f ca="1">GJ6*(_xlfn.XLOOKUP(GI$3,TabCalc[Ticker],TabCalc[M])+GK6)</f>
        <v>-68.849999999999994</v>
      </c>
      <c r="GJ6" s="1133">
        <v>9</v>
      </c>
      <c r="GK6" s="1127">
        <v>-37.9</v>
      </c>
      <c r="GL6" s="1130">
        <f ca="1">GM6*(_xlfn.XLOOKUP(GL$3,TabCalc[Ticker],TabCalc[M])+GN6)</f>
        <v>3904.8407999999981</v>
      </c>
      <c r="GM6" s="1133">
        <v>60</v>
      </c>
      <c r="GN6" s="1127">
        <v>-204.94932</v>
      </c>
      <c r="GO6" s="1130">
        <f ca="1">GP6*(_xlfn.XLOOKUP(GO$3,TabCalc[Ticker],TabCalc[M])+GQ6)</f>
        <v>6922.9999999999945</v>
      </c>
      <c r="GP6" s="1133">
        <v>250</v>
      </c>
      <c r="GQ6" s="1127">
        <v>-193.49</v>
      </c>
      <c r="GR6" s="1130">
        <f ca="1">GS6*(_xlfn.XLOOKUP(GR$3,TabCalc[Ticker],TabCalc[M])+GT6)</f>
        <v>11255.000000000002</v>
      </c>
      <c r="GS6" s="1133">
        <v>50</v>
      </c>
      <c r="GT6" s="1127">
        <v>-661.5</v>
      </c>
      <c r="GU6" s="1130">
        <f ca="1">GV6*(_xlfn.XLOOKUP(GU$3,TabCalc[Ticker],TabCalc[M])+GW6)</f>
        <v>-16157.500000000002</v>
      </c>
      <c r="GV6" s="1133">
        <v>25000</v>
      </c>
      <c r="GW6" s="1127">
        <v>-2.6913</v>
      </c>
      <c r="GX6" s="1130">
        <f ca="1">GY6*(_xlfn.XLOOKUP(GX$3,TabCalc[Ticker],TabCalc[M])+GZ6)</f>
        <v>-4070.4000000000037</v>
      </c>
      <c r="GY6" s="1133">
        <v>530</v>
      </c>
      <c r="GZ6" s="1127">
        <v>-112.98</v>
      </c>
      <c r="HA6" s="1130">
        <f ca="1">HB6*(_xlfn.XLOOKUP(HA$3,TabCalc[Ticker],TabCalc[M])+HC6)</f>
        <v>0</v>
      </c>
      <c r="HB6" s="1132"/>
      <c r="HC6" s="1127"/>
      <c r="HD6" s="1130">
        <f ca="1">HE6*(_xlfn.XLOOKUP(HD$3,TabCalc[Ticker],TabCalc[M])+HF6)</f>
        <v>0</v>
      </c>
      <c r="HE6" s="1132"/>
      <c r="HF6" s="1127"/>
      <c r="HG6" s="1130">
        <f ca="1">HH6*(_xlfn.XLOOKUP(HG$3,TabCalc[Ticker],TabCalc[M])+HI6)</f>
        <v>-48261.700000000004</v>
      </c>
      <c r="HH6" s="1133">
        <v>1000</v>
      </c>
      <c r="HI6" s="1127">
        <v>-72.541700000000006</v>
      </c>
      <c r="HJ6" s="1130">
        <f ca="1">HK6*(_xlfn.XLOOKUP(HJ$3,TabCalc[Ticker],TabCalc[M])+HL6)</f>
        <v>-11500</v>
      </c>
      <c r="HK6" s="1133">
        <v>20000</v>
      </c>
      <c r="HL6" s="1127">
        <v>-1.94</v>
      </c>
      <c r="HM6" s="1130">
        <f ca="1">HN6*(_xlfn.XLOOKUP(HM$3,TabCalc[Ticker],TabCalc[M])+HO6)</f>
        <v>9073.02</v>
      </c>
      <c r="HN6" s="1133">
        <v>6990</v>
      </c>
      <c r="HO6" s="1127">
        <v>-14.92</v>
      </c>
      <c r="HP6" s="1130">
        <f ca="1">HQ6*(_xlfn.XLOOKUP(HP$3,TabCalc[Ticker],TabCalc[M])+HR6)</f>
        <v>-187999.99999999953</v>
      </c>
      <c r="HQ6" s="1133">
        <v>10000</v>
      </c>
      <c r="HR6" s="1127">
        <v>-480.9</v>
      </c>
      <c r="HS6" s="1130">
        <f ca="1">HT6*(_xlfn.XLOOKUP(HS$3,TabCalc[Ticker],TabCalc[M])+HU6)</f>
        <v>0</v>
      </c>
      <c r="HT6" s="1133"/>
      <c r="HU6" s="1127"/>
      <c r="HV6" s="1130">
        <f ca="1">HW6*(_xlfn.XLOOKUP(HV$3,TabCalc[Ticker],TabCalc[M])+HX6)</f>
        <v>0</v>
      </c>
      <c r="HW6" s="1132"/>
      <c r="HX6" s="1127"/>
      <c r="HY6" s="1130">
        <f ca="1">HZ6*(_xlfn.XLOOKUP(HY$3,TabCalc[Ticker],TabCalc[M])+IA6)</f>
        <v>-10881.000000000004</v>
      </c>
      <c r="HZ6" s="1133">
        <v>300</v>
      </c>
      <c r="IA6" s="1127">
        <v>-183.16</v>
      </c>
      <c r="IB6" s="1130">
        <f ca="1">IC6*(_xlfn.XLOOKUP(IB$3,TabCalc[Ticker],TabCalc[M])+ID6)</f>
        <v>0</v>
      </c>
      <c r="IC6" s="1132"/>
      <c r="ID6" s="1127"/>
      <c r="IE6" s="1130">
        <f ca="1">IF6*(_xlfn.XLOOKUP(IE$3,TabCalc[Ticker],TabCalc[M])+IG6)</f>
        <v>-21784.075599999996</v>
      </c>
      <c r="IF6" s="1133">
        <v>518</v>
      </c>
      <c r="IG6" s="1127">
        <v>-42.94</v>
      </c>
      <c r="IH6" s="1130">
        <f ca="1">II6*(_xlfn.XLOOKUP(IH$3,TabCalc[Ticker],TabCalc[M])+IJ6)</f>
        <v>0</v>
      </c>
      <c r="II6" s="1133"/>
      <c r="IJ6" s="1127"/>
      <c r="IK6" s="1130">
        <f ca="1">IL6*(_xlfn.XLOOKUP(IK$3,TabCalc[Ticker],TabCalc[M])+IM6)</f>
        <v>-3980.7500000000005</v>
      </c>
      <c r="IL6" s="1133">
        <v>100</v>
      </c>
      <c r="IM6" s="1127">
        <v>-565.89</v>
      </c>
      <c r="IN6" s="1130">
        <f ca="1">IO6*(_xlfn.XLOOKUP(IN$3,TabCalc[Ticker],TabCalc[M])+IP6)</f>
        <v>0</v>
      </c>
      <c r="IO6" s="1133"/>
      <c r="IP6" s="1127"/>
      <c r="IQ6" s="1130">
        <f ca="1">IR6*(_xlfn.XLOOKUP(IQ$3,TabCalc[Ticker],TabCalc[M]))</f>
        <v>0</v>
      </c>
      <c r="IR6" s="1133"/>
      <c r="IS6" s="1127"/>
      <c r="IT6" s="1130">
        <f ca="1">IU6*(_xlfn.XLOOKUP(IT$3,TabCalc[Ticker],TabCalc[M])+IV6)</f>
        <v>0</v>
      </c>
      <c r="IU6" s="1132"/>
      <c r="IV6" s="1127"/>
      <c r="IW6" s="1130">
        <f ca="1">IX6*(_xlfn.XLOOKUP(IW$3,TabCalc[Ticker],TabCalc[M])+IY6)</f>
        <v>-5944.5000000000036</v>
      </c>
      <c r="IX6" s="1133">
        <v>900</v>
      </c>
      <c r="IY6" s="1127">
        <v>-48.09</v>
      </c>
      <c r="IZ6" s="1130">
        <f ca="1">JA6*(_xlfn.XLOOKUP(IZ$3,TabCalc[Ticker],TabCalc[M])+JB6)</f>
        <v>0</v>
      </c>
      <c r="JA6" s="1133"/>
      <c r="JB6" s="1127"/>
      <c r="JC6" s="1130">
        <f ca="1">JD6*(_xlfn.XLOOKUP(JC$3,TabCalc[Ticker],TabCalc[M])+JE6)</f>
        <v>9294.9999999999982</v>
      </c>
      <c r="JD6" s="1133">
        <v>13000</v>
      </c>
      <c r="JE6" s="1127">
        <v>-3.38</v>
      </c>
      <c r="JF6" s="1130">
        <f ca="1">JG6*(_xlfn.XLOOKUP(JF$3,TabCalc[Ticker],TabCalc[M])+JH6)</f>
        <v>0</v>
      </c>
      <c r="JG6" s="1133"/>
      <c r="JH6" s="1127"/>
      <c r="JI6" s="1130">
        <f ca="1">JJ6*(_xlfn.XLOOKUP(JI$3,TabCalc[Ticker],TabCalc[M])+JK6)</f>
        <v>0</v>
      </c>
      <c r="JJ6" s="1132"/>
      <c r="JK6" s="1127"/>
      <c r="JL6" s="1130">
        <f ca="1">JM6*(_xlfn.XLOOKUP(JL$3,TabCalc[Ticker],TabCalc[M])+JN6)</f>
        <v>2578.1150000000011</v>
      </c>
      <c r="JM6" s="1133">
        <v>50</v>
      </c>
      <c r="JN6" s="1127">
        <v>-142.01769999999999</v>
      </c>
      <c r="JO6" s="1130">
        <f ca="1">JP6*(_xlfn.XLOOKUP(JO$3,TabCalc[Ticker],TabCalc[M])+JQ6)</f>
        <v>0</v>
      </c>
      <c r="JP6" s="1133"/>
      <c r="JQ6" s="1127"/>
      <c r="JR6" s="1130">
        <f ca="1">JS6*(_xlfn.XLOOKUP(JR$3,TabCalc[Ticker],TabCalc[M])+JT6)</f>
        <v>0</v>
      </c>
      <c r="JS6" s="1133"/>
      <c r="JT6" s="1127"/>
      <c r="JU6" s="1130">
        <f ca="1">JV6*(_xlfn.XLOOKUP(JU$3,TabCalc[Ticker],TabCalc[M])+JW6)</f>
        <v>0</v>
      </c>
      <c r="JV6" s="1135"/>
      <c r="JW6" s="1127"/>
      <c r="JX6" s="1130">
        <f ca="1">JY6*(_xlfn.XLOOKUP(JX$3,TabCalc[Ticker],TabCalc[M])+JZ6)</f>
        <v>1140.0000000000005</v>
      </c>
      <c r="JY6" s="1133">
        <v>2000</v>
      </c>
      <c r="JZ6" s="1127">
        <v>-14.73</v>
      </c>
    </row>
    <row r="7" spans="1:301" ht="22" customHeight="1" x14ac:dyDescent="0.3">
      <c r="A7">
        <v>4</v>
      </c>
      <c r="B7" s="1130">
        <f ca="1">C7*(_xlfn.XLOOKUP(B$3,TabCalc[Ticker],TabCalc[M])+D7)</f>
        <v>36304.999999999993</v>
      </c>
      <c r="C7" s="1133">
        <v>500</v>
      </c>
      <c r="D7" s="1127">
        <v>-197.42</v>
      </c>
      <c r="E7" s="1130">
        <f ca="1">F7*(_xlfn.XLOOKUP(E$3,TabCalc[Ticker],TabCalc[M])+G7)</f>
        <v>-378.1</v>
      </c>
      <c r="F7" s="1133">
        <v>190</v>
      </c>
      <c r="G7" s="1127">
        <v>-14.25</v>
      </c>
      <c r="H7" s="1130">
        <f ca="1">I7*(_xlfn.XLOOKUP(H$3,TabCalc[Ticker],TabCalc[M])+J7)</f>
        <v>-6000.0000000000146</v>
      </c>
      <c r="I7" s="1133">
        <v>10000</v>
      </c>
      <c r="J7" s="1127">
        <v>-45.6</v>
      </c>
      <c r="K7" s="1130">
        <f ca="1">L7*(_xlfn.XLOOKUP(K$3,TabCalc[Ticker],TabCalc[M])+M7)</f>
        <v>75497.199999999968</v>
      </c>
      <c r="L7" s="1133">
        <v>2000</v>
      </c>
      <c r="M7" s="1127">
        <v>-183.43340000000001</v>
      </c>
      <c r="N7" s="1130">
        <f ca="1">O7*(_xlfn.XLOOKUP(N$3,TabCalc[Ticker],TabCalc[M])+P7)</f>
        <v>-9159.510000000002</v>
      </c>
      <c r="O7" s="1133">
        <v>20000</v>
      </c>
      <c r="P7" s="1127">
        <v>-1.1459755</v>
      </c>
      <c r="Q7" s="1130">
        <f ca="1">R7*(_xlfn.XLOOKUP(Q$3,TabCalc[Ticker],TabCalc[M])+S7)</f>
        <v>56560.000000000015</v>
      </c>
      <c r="R7" s="1133">
        <v>200</v>
      </c>
      <c r="S7" s="1127">
        <v>-603.79999999999995</v>
      </c>
      <c r="T7" s="1130">
        <f ca="1">U7*(_xlfn.XLOOKUP(T$3,TabCalc[Ticker],TabCalc[M])+V7)</f>
        <v>0</v>
      </c>
      <c r="U7" s="1133"/>
      <c r="V7" s="1127"/>
      <c r="W7" s="1130">
        <f ca="1">X7*(_xlfn.XLOOKUP(W$3,TabCalc[Ticker],TabCalc[M])+Y7)</f>
        <v>0</v>
      </c>
      <c r="X7" s="1133"/>
      <c r="Y7" s="1127"/>
      <c r="Z7" s="1130">
        <f ca="1">AA7*(_xlfn.XLOOKUP(Z$3,TabCalc[Ticker],TabCalc[M])+AB7)</f>
        <v>-48.000000000000043</v>
      </c>
      <c r="AA7" s="1133">
        <v>6000</v>
      </c>
      <c r="AB7" s="1127">
        <v>-2.85</v>
      </c>
      <c r="AC7" s="1130">
        <f ca="1">AD7*(_xlfn.XLOOKUP(AC$3,TabCalc[Ticker],TabCalc[M])+AE7)</f>
        <v>0</v>
      </c>
      <c r="AD7" s="1132"/>
      <c r="AE7" s="1127"/>
      <c r="AF7" s="1130">
        <f ca="1">AG7*(_xlfn.XLOOKUP(AF$3,TabCalc[Ticker],TabCalc[M])+AH7)</f>
        <v>0</v>
      </c>
      <c r="AG7" s="1133"/>
      <c r="AH7" s="1127"/>
      <c r="AI7" s="1130">
        <f ca="1">AJ7*(_xlfn.XLOOKUP(AI$3,TabCalc[Ticker],TabCalc[M])+AK7)</f>
        <v>0</v>
      </c>
      <c r="AJ7" s="1132"/>
      <c r="AK7" s="1127"/>
      <c r="AL7" s="1130">
        <f ca="1">AM7*(_xlfn.XLOOKUP(AL$3,TabCalc[Ticker],TabCalc[M])+AN7)</f>
        <v>0</v>
      </c>
      <c r="AM7" s="1132"/>
      <c r="AN7" s="1127"/>
      <c r="AO7" s="1130">
        <f ca="1">AP7*(_xlfn.XLOOKUP(AO$3,TabCalc[Ticker],TabCalc[M])+AQ7)</f>
        <v>-5375.0000000000009</v>
      </c>
      <c r="AP7" s="1133">
        <v>5000</v>
      </c>
      <c r="AQ7" s="1127">
        <v>-3.12</v>
      </c>
      <c r="AR7" s="1130">
        <f ca="1">AS7*(_xlfn.XLOOKUP(AR$3,TabCalc[Ticker],TabCalc[M])+AT7)</f>
        <v>0</v>
      </c>
      <c r="AS7" s="1133"/>
      <c r="AT7" s="1127"/>
      <c r="AU7" s="1130">
        <f ca="1">AV7*(_xlfn.XLOOKUP(AU$3,TabCalc[Ticker],TabCalc[M])+AW7)</f>
        <v>-3980.0000000000005</v>
      </c>
      <c r="AV7" s="1133">
        <v>500</v>
      </c>
      <c r="AW7" s="1127">
        <v>-31.34</v>
      </c>
      <c r="AX7" s="1130">
        <f ca="1">AY7*(_xlfn.XLOOKUP(AX$3,TabCalc[Ticker],TabCalc[M])+AZ7)</f>
        <v>0</v>
      </c>
      <c r="AY7" s="1133"/>
      <c r="AZ7" s="1127"/>
      <c r="BA7" s="1130">
        <f ca="1">BB7*(_xlfn.XLOOKUP(BA$3,TabCalc[Ticker],TabCalc[M])+BC7)</f>
        <v>0</v>
      </c>
      <c r="BB7" s="1132"/>
      <c r="BC7" s="1127"/>
      <c r="BD7" s="1130">
        <f ca="1">BE7*(_xlfn.XLOOKUP(BD$3,TabCalc[Ticker],TabCalc[M])+BF7)</f>
        <v>0</v>
      </c>
      <c r="BE7" s="1133"/>
      <c r="BF7" s="1127"/>
      <c r="BG7" s="1130">
        <f ca="1">BH7*(_xlfn.XLOOKUP(BG$3,TabCalc[Ticker],TabCalc[M])+BI7)</f>
        <v>-15262.800000000001</v>
      </c>
      <c r="BH7" s="1133">
        <v>3000</v>
      </c>
      <c r="BI7" s="1127">
        <v>-5.2888000000000002</v>
      </c>
      <c r="BJ7" s="1130">
        <f ca="1">BK7*(_xlfn.XLOOKUP(BJ$3,TabCalc[Ticker],TabCalc[M])+BL7)</f>
        <v>0</v>
      </c>
      <c r="BK7" s="1132"/>
      <c r="BL7" s="1127"/>
      <c r="BM7" s="1130">
        <f ca="1">BN7*(_xlfn.XLOOKUP(BM$3,TabCalc[Ticker],TabCalc[M])+BO7)</f>
        <v>-95.000000000000284</v>
      </c>
      <c r="BN7" s="1133">
        <v>200</v>
      </c>
      <c r="BO7" s="1127">
        <v>-21.21</v>
      </c>
      <c r="BP7" s="1130">
        <f ca="1">BQ7*(_xlfn.XLOOKUP(BP$3,TabCalc[Ticker],TabCalc[M])+BR7)</f>
        <v>0</v>
      </c>
      <c r="BQ7" s="1133"/>
      <c r="BR7" s="1127"/>
      <c r="BS7" s="1130">
        <f ca="1">BT7*(_xlfn.XLOOKUP(BS$3,TabCalc[Ticker],TabCalc[M])+BU7)</f>
        <v>1862442.0000000009</v>
      </c>
      <c r="BT7" s="1133">
        <v>20000</v>
      </c>
      <c r="BU7" s="1127">
        <v>-284.47789999999998</v>
      </c>
      <c r="BV7" s="1130">
        <f ca="1">BW7*(_xlfn.XLOOKUP(BV$3,TabCalc[Ticker],TabCalc[M])+BX7)</f>
        <v>244.19999999999362</v>
      </c>
      <c r="BW7" s="1133">
        <v>660</v>
      </c>
      <c r="BX7" s="1127">
        <v>-67.180000000000007</v>
      </c>
      <c r="BY7" s="1130">
        <f ca="1">BZ7*(_xlfn.XLOOKUP(BY$3,TabCalc[Ticker],TabCalc[M])+CA7)</f>
        <v>0</v>
      </c>
      <c r="BZ7" s="1132"/>
      <c r="CA7" s="1127"/>
      <c r="CB7" s="1130">
        <f ca="1">CC7*(_xlfn.XLOOKUP(CB$3,TabCalc[Ticker],TabCalc[M])+CD7)</f>
        <v>0</v>
      </c>
      <c r="CC7" s="1132"/>
      <c r="CD7" s="1127"/>
      <c r="CE7" s="1130">
        <f ca="1">CF7*(_xlfn.XLOOKUP(CE$3,TabCalc[Ticker],TabCalc[M])+CG7)</f>
        <v>-22850</v>
      </c>
      <c r="CF7" s="1133">
        <v>1000</v>
      </c>
      <c r="CG7" s="1127">
        <v>-47.13</v>
      </c>
      <c r="CH7" s="1130">
        <f ca="1">CI7*(_xlfn.XLOOKUP(CH$3,TabCalc[Ticker],TabCalc[M])+CJ7)</f>
        <v>16174.499999999998</v>
      </c>
      <c r="CI7" s="1133">
        <v>150</v>
      </c>
      <c r="CJ7" s="1127">
        <v>-378.76</v>
      </c>
      <c r="CK7" s="1130">
        <f ca="1">CL7*(_xlfn.XLOOKUP(CK$3,TabCalc[Ticker],TabCalc[M])+CM7)</f>
        <v>0</v>
      </c>
      <c r="CL7" s="1133"/>
      <c r="CM7" s="1127"/>
      <c r="CN7" s="1130">
        <f ca="1">CO7*(_xlfn.XLOOKUP(CN$3,TabCalc[Ticker],TabCalc[M])+CP7)</f>
        <v>37615</v>
      </c>
      <c r="CO7" s="1133">
        <v>1000</v>
      </c>
      <c r="CP7" s="1127">
        <v>-49.98</v>
      </c>
      <c r="CQ7" s="1130">
        <f ca="1">CR7*(_xlfn.XLOOKUP(CQ$3,TabCalc[Ticker],TabCalc[M])+CS7)</f>
        <v>-25545.000000000044</v>
      </c>
      <c r="CR7" s="1133">
        <v>13000</v>
      </c>
      <c r="CS7" s="1127">
        <v>-111.745</v>
      </c>
      <c r="CT7" s="1130">
        <f ca="1">CU7*(_xlfn.XLOOKUP(CT$3,TabCalc[Ticker],TabCalc[M])+CV7)</f>
        <v>0</v>
      </c>
      <c r="CU7" s="1133"/>
      <c r="CV7" s="1127"/>
      <c r="CW7" s="1130">
        <f ca="1">CX7*(_xlfn.XLOOKUP(CW$3,TabCalc[Ticker],TabCalc[M])+CY7)</f>
        <v>10960</v>
      </c>
      <c r="CX7" s="1133">
        <v>1000</v>
      </c>
      <c r="CY7" s="1127">
        <v>-27.53</v>
      </c>
      <c r="CZ7" s="1130">
        <f ca="1">DA7*(_xlfn.XLOOKUP(CZ$3,TabCalc[Ticker],TabCalc[M])+DB7)</f>
        <v>0</v>
      </c>
      <c r="DA7" s="1133"/>
      <c r="DB7" s="1127"/>
      <c r="DC7" s="1130">
        <f ca="1">DD7*(_xlfn.XLOOKUP(DC$3,TabCalc[Ticker],TabCalc[M])+DE7)</f>
        <v>-2339</v>
      </c>
      <c r="DD7" s="1133">
        <v>2500</v>
      </c>
      <c r="DE7" s="1127">
        <v>-5.12</v>
      </c>
      <c r="DF7" s="1130">
        <f ca="1">DG7*(_xlfn.XLOOKUP(DF$3,TabCalc[Ticker],TabCalc[M])+DH7)</f>
        <v>-3318.9155999999998</v>
      </c>
      <c r="DG7" s="1133">
        <v>6006</v>
      </c>
      <c r="DH7" s="1127">
        <v>-1.1955</v>
      </c>
      <c r="DI7" s="1130">
        <f ca="1">DJ7*(_xlfn.XLOOKUP(DI$3,TabCalc[Ticker],TabCalc[M])+DK7)</f>
        <v>0</v>
      </c>
      <c r="DJ7" s="1133"/>
      <c r="DK7" s="1127"/>
      <c r="DL7" s="1130">
        <f ca="1">DM7*(_xlfn.XLOOKUP(DL$3,TabCalc[Ticker],TabCalc[M])+DN7)</f>
        <v>0</v>
      </c>
      <c r="DM7" s="1132"/>
      <c r="DN7" s="1127"/>
      <c r="DO7" s="1130">
        <f ca="1">DP7*(_xlfn.XLOOKUP(DO$3,TabCalc[Ticker],TabCalc[M])+DQ7)</f>
        <v>-13448.049999999994</v>
      </c>
      <c r="DP7" s="1133">
        <v>499</v>
      </c>
      <c r="DQ7" s="1127">
        <v>-232.45</v>
      </c>
      <c r="DR7" s="1130">
        <f ca="1">DS7*(_xlfn.XLOOKUP(DR$3,TabCalc[Ticker],TabCalc[M])+DT7)</f>
        <v>-2593.8360000000002</v>
      </c>
      <c r="DS7" s="1133">
        <v>2632</v>
      </c>
      <c r="DT7" s="1127">
        <v>-15.2</v>
      </c>
      <c r="DU7" s="1130">
        <f ca="1">DV7*(_xlfn.XLOOKUP(DU$3,TabCalc[Ticker],TabCalc[M])+DW7)</f>
        <v>-3126.6</v>
      </c>
      <c r="DV7" s="1133">
        <v>2000</v>
      </c>
      <c r="DW7" s="1127">
        <v>-10.013299999999999</v>
      </c>
      <c r="DX7" s="1130">
        <f ca="1">DY7*(_xlfn.XLOOKUP(DX$3,TabCalc[Ticker],TabCalc[M])+DZ7)</f>
        <v>0</v>
      </c>
      <c r="DY7" s="1133"/>
      <c r="DZ7" s="1127"/>
      <c r="EA7" s="1130">
        <f ca="1">EB7*(_xlfn.XLOOKUP(EA$3,TabCalc[Ticker],TabCalc[M])+EC7)</f>
        <v>12894.474000000002</v>
      </c>
      <c r="EB7" s="1133">
        <v>150</v>
      </c>
      <c r="EC7" s="1127">
        <v>-193.52683999999999</v>
      </c>
      <c r="ED7" s="1130">
        <f ca="1">EE7*(_xlfn.XLOOKUP(ED$3,TabCalc[Ticker],TabCalc[M])+EF7)</f>
        <v>-4337.8500000000013</v>
      </c>
      <c r="EE7" s="1133">
        <v>363</v>
      </c>
      <c r="EF7" s="1127">
        <v>-42.2</v>
      </c>
      <c r="EG7" s="1130">
        <f ca="1">EH7*(_xlfn.XLOOKUP(EG$3,TabCalc[Ticker],TabCalc[M])+EI7)</f>
        <v>0</v>
      </c>
      <c r="EH7" s="1133"/>
      <c r="EI7" s="1127"/>
      <c r="EJ7" s="1130" t="e">
        <f ca="1">EK7*(_xlfn.XLOOKUP(EJ$3,TabCalc[Ticker],TabCalc[M])+EL7)</f>
        <v>#N/A</v>
      </c>
      <c r="EK7" s="1133"/>
      <c r="EL7" s="1127"/>
      <c r="EM7" s="1130">
        <f ca="1">EN7*(_xlfn.XLOOKUP(EM$3,TabCalc[Ticker],TabCalc[M])+EO7)</f>
        <v>0</v>
      </c>
      <c r="EN7" s="1132"/>
      <c r="EO7" s="1127"/>
      <c r="EP7" s="1130">
        <f ca="1">EQ7*(_xlfn.XLOOKUP(EP$3,TabCalc[Ticker],TabCalc[M])+ER7)</f>
        <v>200.00000000000284</v>
      </c>
      <c r="EQ7" s="1133">
        <v>2000</v>
      </c>
      <c r="ER7" s="1127">
        <v>-59.1</v>
      </c>
      <c r="ES7" s="1130">
        <f ca="1">ET7*(_xlfn.XLOOKUP(ES$3,TabCalc[Ticker],TabCalc[M])+EU7)</f>
        <v>0</v>
      </c>
      <c r="ET7" s="1132"/>
      <c r="EU7" s="1127"/>
      <c r="EV7" s="1130">
        <f ca="1">EW7*(_xlfn.XLOOKUP(EV$3,TabCalc[Ticker],TabCalc[M])+EX7)</f>
        <v>0</v>
      </c>
      <c r="EW7" s="1132"/>
      <c r="EX7" s="1134"/>
      <c r="EY7" s="1130">
        <f ca="1">EZ7*(_xlfn.XLOOKUP(EY$3,TabCalc[Ticker],TabCalc[M])+FA7)</f>
        <v>0</v>
      </c>
      <c r="EZ7" s="1132"/>
      <c r="FA7" s="1134"/>
      <c r="FB7" s="1130">
        <f ca="1">FC7*(_xlfn.XLOOKUP(FB$3,TabCalc[Ticker],TabCalc[M])+FD7)</f>
        <v>-17598</v>
      </c>
      <c r="FC7" s="1133">
        <v>4200</v>
      </c>
      <c r="FD7" s="1134">
        <v>-9.8800000000000008</v>
      </c>
      <c r="FE7" s="1130">
        <f ca="1">FF7*(_xlfn.XLOOKUP(FE$3,TabCalc[Ticker],TabCalc[M])+FG7)</f>
        <v>-7640.0000000000027</v>
      </c>
      <c r="FF7" s="1133">
        <v>20000</v>
      </c>
      <c r="FG7" s="1127">
        <v>-1.07</v>
      </c>
      <c r="FH7" s="1130">
        <f ca="1">FI7*(_xlfn.XLOOKUP(FH$3,TabCalc[Ticker],TabCalc[M])+FJ7)</f>
        <v>0</v>
      </c>
      <c r="FI7" s="1133"/>
      <c r="FJ7" s="1127"/>
      <c r="FK7" s="1130">
        <f ca="1">FL7*(_xlfn.XLOOKUP(FK$3,TabCalc[Ticker],TabCalc[M])+FM7)</f>
        <v>-38280.000000000015</v>
      </c>
      <c r="FL7" s="1133">
        <v>4000</v>
      </c>
      <c r="FM7" s="1127">
        <v>-32.950000000000003</v>
      </c>
      <c r="FN7" s="1130">
        <f ca="1">FO7*(_xlfn.XLOOKUP(FN$3,TabCalc[Ticker],TabCalc[M])+FP7)</f>
        <v>0</v>
      </c>
      <c r="FO7" s="1133"/>
      <c r="FP7" s="1127"/>
      <c r="FQ7" s="1130">
        <f ca="1">FR7*(_xlfn.XLOOKUP(FQ$3,TabCalc[Ticker],TabCalc[M])+FS7)</f>
        <v>26063.999999999993</v>
      </c>
      <c r="FR7" s="1133">
        <v>8000</v>
      </c>
      <c r="FS7" s="1127">
        <v>-12.96</v>
      </c>
      <c r="FT7" s="1130">
        <f ca="1">FU7*(_xlfn.XLOOKUP(FT$3,TabCalc[Ticker],TabCalc[M])+FV7)</f>
        <v>0</v>
      </c>
      <c r="FU7" s="1133"/>
      <c r="FV7" s="1127"/>
      <c r="FW7" s="1130">
        <f ca="1">FX7*(_xlfn.XLOOKUP(FW$3,TabCalc[Ticker],TabCalc[M])+FY7)</f>
        <v>5379.9999999999955</v>
      </c>
      <c r="FX7" s="1133">
        <v>2000</v>
      </c>
      <c r="FY7" s="1127">
        <v>-54.13</v>
      </c>
      <c r="FZ7" s="1130">
        <f ca="1">GA7*(_xlfn.XLOOKUP(FZ$3,TabCalc[Ticker],TabCalc[M])+GB7)</f>
        <v>3539.9999999999991</v>
      </c>
      <c r="GA7" s="1133">
        <v>6000</v>
      </c>
      <c r="GB7" s="1127">
        <v>-13.19</v>
      </c>
      <c r="GC7" s="1130">
        <f ca="1">GD7*(_xlfn.XLOOKUP(GC$3,TabCalc[Ticker],TabCalc[M])+GE7)</f>
        <v>0</v>
      </c>
      <c r="GD7" s="1133"/>
      <c r="GE7" s="1127"/>
      <c r="GF7" s="1130">
        <f ca="1">GG7*(_xlfn.XLOOKUP(GF$3,TabCalc[Ticker],TabCalc[M])+GH7)</f>
        <v>-57.379999999999995</v>
      </c>
      <c r="GG7" s="1133">
        <v>1</v>
      </c>
      <c r="GH7" s="1127">
        <v>-262.88</v>
      </c>
      <c r="GI7" s="1130">
        <f ca="1">GJ7*(_xlfn.XLOOKUP(GI$3,TabCalc[Ticker],TabCalc[M])+GK7)</f>
        <v>-5975.0000000000018</v>
      </c>
      <c r="GJ7" s="1133">
        <v>500</v>
      </c>
      <c r="GK7" s="1127">
        <v>-42.2</v>
      </c>
      <c r="GL7" s="1130">
        <f ca="1">GM7*(_xlfn.XLOOKUP(GL$3,TabCalc[Ticker],TabCalc[M])+GN7)</f>
        <v>0</v>
      </c>
      <c r="GM7" s="1133"/>
      <c r="GN7" s="1127"/>
      <c r="GO7" s="1130">
        <f ca="1">GP7*(_xlfn.XLOOKUP(GO$3,TabCalc[Ticker],TabCalc[M])+GQ7)</f>
        <v>3965.9999999999941</v>
      </c>
      <c r="GP7" s="1133">
        <v>500</v>
      </c>
      <c r="GQ7" s="1127">
        <v>-213.25</v>
      </c>
      <c r="GR7" s="1130">
        <f ca="1">GS7*(_xlfn.XLOOKUP(GR$3,TabCalc[Ticker],TabCalc[M])+GT7)</f>
        <v>26397.462000000003</v>
      </c>
      <c r="GS7" s="1133">
        <v>130</v>
      </c>
      <c r="GT7" s="1127">
        <v>-683.54259999999999</v>
      </c>
      <c r="GU7" s="1130">
        <f ca="1">GV7*(_xlfn.XLOOKUP(GU$3,TabCalc[Ticker],TabCalc[M])+GW7)</f>
        <v>-35300</v>
      </c>
      <c r="GV7" s="1133">
        <v>20000</v>
      </c>
      <c r="GW7" s="1127">
        <v>-3.81</v>
      </c>
      <c r="GX7" s="1130">
        <f ca="1">GY7*(_xlfn.XLOOKUP(GX$3,TabCalc[Ticker],TabCalc[M])+GZ7)</f>
        <v>0</v>
      </c>
      <c r="GY7" s="1133"/>
      <c r="GZ7" s="1127"/>
      <c r="HA7" s="1130">
        <f ca="1">HB7*(_xlfn.XLOOKUP(HA$3,TabCalc[Ticker],TabCalc[M])+HC7)</f>
        <v>0</v>
      </c>
      <c r="HB7" s="1132"/>
      <c r="HC7" s="1127"/>
      <c r="HD7" s="1130">
        <f ca="1">HE7*(_xlfn.XLOOKUP(HD$3,TabCalc[Ticker],TabCalc[M])+HF7)</f>
        <v>0</v>
      </c>
      <c r="HE7" s="1132"/>
      <c r="HF7" s="1127"/>
      <c r="HG7" s="1130">
        <f ca="1">HH7*(_xlfn.XLOOKUP(HG$3,TabCalc[Ticker],TabCalc[M])+HI7)</f>
        <v>-37180.6155</v>
      </c>
      <c r="HH7" s="1133">
        <v>399</v>
      </c>
      <c r="HI7" s="1127">
        <v>-117.4645</v>
      </c>
      <c r="HJ7" s="1130">
        <f ca="1">HK7*(_xlfn.XLOOKUP(HJ$3,TabCalc[Ticker],TabCalc[M])+HL7)</f>
        <v>-30900.000000000004</v>
      </c>
      <c r="HK7" s="1133">
        <v>20000</v>
      </c>
      <c r="HL7" s="1127">
        <v>-2.91</v>
      </c>
      <c r="HM7" s="1130">
        <f ca="1">HN7*(_xlfn.XLOOKUP(HM$3,TabCalc[Ticker],TabCalc[M])+HO7)</f>
        <v>0</v>
      </c>
      <c r="HN7" s="1133"/>
      <c r="HO7" s="1127"/>
      <c r="HP7" s="1130">
        <f ca="1">HQ7*(_xlfn.XLOOKUP(HP$3,TabCalc[Ticker],TabCalc[M])+HR7)</f>
        <v>0</v>
      </c>
      <c r="HQ7" s="1133"/>
      <c r="HR7" s="1127"/>
      <c r="HS7" s="1130">
        <f ca="1">HT7*(_xlfn.XLOOKUP(HS$3,TabCalc[Ticker],TabCalc[M])+HU7)</f>
        <v>0</v>
      </c>
      <c r="HT7" s="1133"/>
      <c r="HU7" s="1127"/>
      <c r="HV7" s="1130">
        <f ca="1">HW7*(_xlfn.XLOOKUP(HV$3,TabCalc[Ticker],TabCalc[M])+HX7)</f>
        <v>0</v>
      </c>
      <c r="HW7" s="1132"/>
      <c r="HX7" s="1127"/>
      <c r="HY7" s="1130">
        <f ca="1">HZ7*(_xlfn.XLOOKUP(HY$3,TabCalc[Ticker],TabCalc[M])+IA7)</f>
        <v>-15800</v>
      </c>
      <c r="HZ7" s="1133">
        <v>400</v>
      </c>
      <c r="IA7" s="1127">
        <v>-186.39</v>
      </c>
      <c r="IB7" s="1130">
        <f ca="1">IC7*(_xlfn.XLOOKUP(IB$3,TabCalc[Ticker],TabCalc[M])+ID7)</f>
        <v>0</v>
      </c>
      <c r="IC7" s="1132"/>
      <c r="ID7" s="1127"/>
      <c r="IE7" s="1130">
        <f ca="1">IF7*(_xlfn.XLOOKUP(IE$3,TabCalc[Ticker],TabCalc[M])+IG7)</f>
        <v>-247277.55259999997</v>
      </c>
      <c r="IF7" s="1133">
        <v>5353</v>
      </c>
      <c r="IG7" s="1127">
        <v>-47.08</v>
      </c>
      <c r="IH7" s="1130">
        <f ca="1">II7*(_xlfn.XLOOKUP(IH$3,TabCalc[Ticker],TabCalc[M])+IJ7)</f>
        <v>0</v>
      </c>
      <c r="II7" s="1132"/>
      <c r="IJ7" s="1127"/>
      <c r="IK7" s="1130">
        <f ca="1">IL7*(_xlfn.XLOOKUP(IK$3,TabCalc[Ticker],TabCalc[M])+IM7)</f>
        <v>0</v>
      </c>
      <c r="IL7" s="1132"/>
      <c r="IM7" s="1127"/>
      <c r="IN7" s="1130">
        <f ca="1">IO7*(_xlfn.XLOOKUP(IN$3,TabCalc[Ticker],TabCalc[M])+IP7)</f>
        <v>0</v>
      </c>
      <c r="IO7" s="1133"/>
      <c r="IP7" s="1127"/>
      <c r="IQ7" s="1130">
        <f ca="1">IR7*(_xlfn.XLOOKUP(IQ$3,TabCalc[Ticker],TabCalc[M]))</f>
        <v>0</v>
      </c>
      <c r="IR7" s="1132"/>
      <c r="IS7" s="1127"/>
      <c r="IT7" s="1130">
        <f ca="1">IU7*(_xlfn.XLOOKUP(IT$3,TabCalc[Ticker],TabCalc[M])+IV7)</f>
        <v>0</v>
      </c>
      <c r="IU7" s="1132"/>
      <c r="IV7" s="1127"/>
      <c r="IW7" s="1130">
        <f ca="1">IX7*(_xlfn.XLOOKUP(IW$3,TabCalc[Ticker],TabCalc[M])+IY7)</f>
        <v>-18803.400000000001</v>
      </c>
      <c r="IX7" s="1133">
        <v>1100</v>
      </c>
      <c r="IY7" s="1127">
        <v>-58.579000000000001</v>
      </c>
      <c r="IZ7" s="1130">
        <f ca="1">JA7*(_xlfn.XLOOKUP(IZ$3,TabCalc[Ticker],TabCalc[M])+JB7)</f>
        <v>0</v>
      </c>
      <c r="JA7" s="1133"/>
      <c r="JB7" s="1127"/>
      <c r="JC7" s="1130">
        <f ca="1">JD7*(_xlfn.XLOOKUP(JC$3,TabCalc[Ticker],TabCalc[M])+JE7)</f>
        <v>1184.9999999999986</v>
      </c>
      <c r="JD7" s="1133">
        <v>3000</v>
      </c>
      <c r="JE7" s="1127">
        <v>-3.7</v>
      </c>
      <c r="JF7" s="1130">
        <f ca="1">JG7*(_xlfn.XLOOKUP(JF$3,TabCalc[Ticker],TabCalc[M])+JH7)</f>
        <v>0</v>
      </c>
      <c r="JG7" s="1132"/>
      <c r="JH7" s="1127"/>
      <c r="JI7" s="1130">
        <f ca="1">JJ7*(_xlfn.XLOOKUP(JI$3,TabCalc[Ticker],TabCalc[M])+JK7)</f>
        <v>0</v>
      </c>
      <c r="JJ7" s="1132"/>
      <c r="JK7" s="1127"/>
      <c r="JL7" s="1130">
        <f ca="1">JM7*(_xlfn.XLOOKUP(JL$3,TabCalc[Ticker],TabCalc[M])+JN7)</f>
        <v>41400.000000000007</v>
      </c>
      <c r="JM7" s="1133">
        <v>1000</v>
      </c>
      <c r="JN7" s="1127">
        <v>-152.18</v>
      </c>
      <c r="JO7" s="1130">
        <f ca="1">JP7*(_xlfn.XLOOKUP(JO$3,TabCalc[Ticker],TabCalc[M])+JQ7)</f>
        <v>0</v>
      </c>
      <c r="JP7" s="1133"/>
      <c r="JQ7" s="1127"/>
      <c r="JR7" s="1130">
        <f ca="1">JS7*(_xlfn.XLOOKUP(JR$3,TabCalc[Ticker],TabCalc[M])+JT7)</f>
        <v>0</v>
      </c>
      <c r="JS7" s="1133"/>
      <c r="JT7" s="1127"/>
      <c r="JU7" s="1130">
        <f ca="1">JV7*(_xlfn.XLOOKUP(JU$3,TabCalc[Ticker],TabCalc[M])+JW7)</f>
        <v>0</v>
      </c>
      <c r="JV7" s="1135"/>
      <c r="JW7" s="1127"/>
      <c r="JX7" s="1130">
        <f ca="1">JY7*(_xlfn.XLOOKUP(JX$3,TabCalc[Ticker],TabCalc[M])+JZ7)</f>
        <v>2400.0000000000023</v>
      </c>
      <c r="JY7" s="1133">
        <v>5000</v>
      </c>
      <c r="JZ7" s="1127">
        <v>-14.82</v>
      </c>
    </row>
    <row r="8" spans="1:301" x14ac:dyDescent="0.3">
      <c r="A8">
        <v>5</v>
      </c>
      <c r="B8" s="1130">
        <f ca="1">C8*(_xlfn.XLOOKUP(B$3,TabCalc[Ticker],TabCalc[M])+D8)</f>
        <v>20798.999999999996</v>
      </c>
      <c r="C8" s="1133">
        <v>300</v>
      </c>
      <c r="D8" s="1127">
        <v>-200.7</v>
      </c>
      <c r="E8" s="1130">
        <f ca="1">F8*(_xlfn.XLOOKUP(E$3,TabCalc[Ticker],TabCalc[M])+G8)</f>
        <v>0</v>
      </c>
      <c r="F8" s="1133"/>
      <c r="G8" s="1127"/>
      <c r="H8" s="1130">
        <f ca="1">I8*(_xlfn.XLOOKUP(H$3,TabCalc[Ticker],TabCalc[M])+J8)</f>
        <v>-7999.9999999999718</v>
      </c>
      <c r="I8" s="1133">
        <v>10000</v>
      </c>
      <c r="J8" s="1127">
        <v>-45.8</v>
      </c>
      <c r="K8" s="1130">
        <f ca="1">L8*(_xlfn.XLOOKUP(K$3,TabCalc[Ticker],TabCalc[M])+M8)</f>
        <v>53852.999999999978</v>
      </c>
      <c r="L8" s="1133">
        <v>1500</v>
      </c>
      <c r="M8" s="1127">
        <v>-185.28</v>
      </c>
      <c r="N8" s="1130">
        <f ca="1">O8*(_xlfn.XLOOKUP(N$3,TabCalc[Ticker],TabCalc[M])+P8)</f>
        <v>-4620</v>
      </c>
      <c r="O8" s="1133">
        <v>10000</v>
      </c>
      <c r="P8" s="1127">
        <v>-1.1499999999999999</v>
      </c>
      <c r="Q8" s="1130">
        <f ca="1">R8*(_xlfn.XLOOKUP(Q$3,TabCalc[Ticker],TabCalc[M])+S8)</f>
        <v>132200</v>
      </c>
      <c r="R8" s="1133">
        <v>500</v>
      </c>
      <c r="S8" s="1127">
        <v>-622.20000000000005</v>
      </c>
      <c r="T8" s="1130">
        <f ca="1">U8*(_xlfn.XLOOKUP(T$3,TabCalc[Ticker],TabCalc[M])+V8)</f>
        <v>0</v>
      </c>
      <c r="U8" s="1133"/>
      <c r="V8" s="1128"/>
      <c r="W8" s="1130">
        <f ca="1">X8*(_xlfn.XLOOKUP(W$3,TabCalc[Ticker],TabCalc[M])+Y8)</f>
        <v>0</v>
      </c>
      <c r="X8" s="1133"/>
      <c r="Y8" s="1127"/>
      <c r="Z8" s="1130">
        <f ca="1">AA8*(_xlfn.XLOOKUP(Z$3,TabCalc[Ticker],TabCalc[M])+AB8)</f>
        <v>0</v>
      </c>
      <c r="AA8" s="1133"/>
      <c r="AB8" s="1127"/>
      <c r="AC8" s="1130">
        <f ca="1">AD8*(_xlfn.XLOOKUP(AC$3,TabCalc[Ticker],TabCalc[M])+AE8)</f>
        <v>0</v>
      </c>
      <c r="AD8" s="1132"/>
      <c r="AE8" s="1127"/>
      <c r="AF8" s="1130">
        <f ca="1">AG8*(_xlfn.XLOOKUP(AF$3,TabCalc[Ticker],TabCalc[M])+AH8)</f>
        <v>0</v>
      </c>
      <c r="AG8" s="1133"/>
      <c r="AH8" s="1127"/>
      <c r="AI8" s="1130">
        <f ca="1">AJ8*(_xlfn.XLOOKUP(AI$3,TabCalc[Ticker],TabCalc[M])+AK8)</f>
        <v>0</v>
      </c>
      <c r="AJ8" s="1132"/>
      <c r="AK8" s="1127"/>
      <c r="AL8" s="1130">
        <f ca="1">AM8*(_xlfn.XLOOKUP(AL$3,TabCalc[Ticker],TabCalc[M])+AN8)</f>
        <v>0</v>
      </c>
      <c r="AM8" s="1132"/>
      <c r="AN8" s="1127"/>
      <c r="AO8" s="1130">
        <f ca="1">AP8*(_xlfn.XLOOKUP(AO$3,TabCalc[Ticker],TabCalc[M])+AQ8)</f>
        <v>-24225.000000000004</v>
      </c>
      <c r="AP8" s="1133">
        <v>15000</v>
      </c>
      <c r="AQ8" s="1127">
        <v>-3.66</v>
      </c>
      <c r="AR8" s="1130">
        <f ca="1">AS8*(_xlfn.XLOOKUP(AR$3,TabCalc[Ticker],TabCalc[M])+AT8)</f>
        <v>0</v>
      </c>
      <c r="AS8" s="1133"/>
      <c r="AT8" s="1127"/>
      <c r="AU8" s="1130">
        <f ca="1">AV8*(_xlfn.XLOOKUP(AU$3,TabCalc[Ticker],TabCalc[M])+AW8)</f>
        <v>-4785.0000000000018</v>
      </c>
      <c r="AV8" s="1133">
        <v>500</v>
      </c>
      <c r="AW8" s="1127">
        <v>-32.950000000000003</v>
      </c>
      <c r="AX8" s="1130">
        <f ca="1">AY8*(_xlfn.XLOOKUP(AX$3,TabCalc[Ticker],TabCalc[M])+AZ8)</f>
        <v>0</v>
      </c>
      <c r="AY8" s="1133"/>
      <c r="AZ8" s="1127"/>
      <c r="BA8" s="1130">
        <f ca="1">BB8*(_xlfn.XLOOKUP(BA$3,TabCalc[Ticker],TabCalc[M])+BC8)</f>
        <v>0</v>
      </c>
      <c r="BB8" s="1132"/>
      <c r="BC8" s="1127"/>
      <c r="BD8" s="1130">
        <f ca="1">BE8*(_xlfn.XLOOKUP(BD$3,TabCalc[Ticker],TabCalc[M])+BF8)</f>
        <v>0</v>
      </c>
      <c r="BE8" s="1133"/>
      <c r="BF8" s="1127"/>
      <c r="BG8" s="1130">
        <f ca="1">BH8*(_xlfn.XLOOKUP(BG$3,TabCalc[Ticker],TabCalc[M])+BI8)</f>
        <v>0</v>
      </c>
      <c r="BH8" s="1132"/>
      <c r="BI8" s="1127"/>
      <c r="BJ8" s="1130">
        <f ca="1">BK8*(_xlfn.XLOOKUP(BJ$3,TabCalc[Ticker],TabCalc[M])+BL8)</f>
        <v>0</v>
      </c>
      <c r="BK8" s="1132"/>
      <c r="BL8" s="1127"/>
      <c r="BM8" s="1130">
        <f ca="1">BN8*(_xlfn.XLOOKUP(BM$3,TabCalc[Ticker],TabCalc[M])+BO8)</f>
        <v>-3410.9999999999991</v>
      </c>
      <c r="BN8" s="1133">
        <v>1800</v>
      </c>
      <c r="BO8" s="1127">
        <v>-22.63</v>
      </c>
      <c r="BP8" s="1130">
        <f ca="1">BQ8*(_xlfn.XLOOKUP(BP$3,TabCalc[Ticker],TabCalc[M])+BR8)</f>
        <v>0</v>
      </c>
      <c r="BQ8" s="1133"/>
      <c r="BR8" s="1127"/>
      <c r="BS8" s="1130">
        <f ca="1">BT8*(_xlfn.XLOOKUP(BS$3,TabCalc[Ticker],TabCalc[M])+BU8)</f>
        <v>1160000</v>
      </c>
      <c r="BT8" s="1133">
        <v>20000</v>
      </c>
      <c r="BU8" s="1127">
        <v>-319.60000000000002</v>
      </c>
      <c r="BV8" s="1130">
        <f ca="1">BW8*(_xlfn.XLOOKUP(BV$3,TabCalc[Ticker],TabCalc[M])+BX8)</f>
        <v>-1699.0000000000123</v>
      </c>
      <c r="BW8" s="1133">
        <v>2000</v>
      </c>
      <c r="BX8" s="1127">
        <v>-68.399500000000003</v>
      </c>
      <c r="BY8" s="1130">
        <f ca="1">BZ8*(_xlfn.XLOOKUP(BY$3,TabCalc[Ticker],TabCalc[M])+CA8)</f>
        <v>0</v>
      </c>
      <c r="BZ8" s="1132"/>
      <c r="CA8" s="1127"/>
      <c r="CB8" s="1130">
        <f ca="1">CC8*(_xlfn.XLOOKUP(CB$3,TabCalc[Ticker],TabCalc[M])+CD8)</f>
        <v>0</v>
      </c>
      <c r="CC8" s="1132"/>
      <c r="CD8" s="1127"/>
      <c r="CE8" s="1130">
        <f ca="1">CF8*(_xlfn.XLOOKUP(CE$3,TabCalc[Ticker],TabCalc[M])+CG8)</f>
        <v>-95539.999999999985</v>
      </c>
      <c r="CF8" s="1133">
        <v>2000</v>
      </c>
      <c r="CG8" s="1127">
        <v>-72.05</v>
      </c>
      <c r="CH8" s="1130">
        <f ca="1">CI8*(_xlfn.XLOOKUP(CH$3,TabCalc[Ticker],TabCalc[M])+CJ8)</f>
        <v>18250</v>
      </c>
      <c r="CI8" s="1133">
        <v>200</v>
      </c>
      <c r="CJ8" s="1127">
        <v>-395.34</v>
      </c>
      <c r="CK8" s="1130">
        <f ca="1">CL8*(_xlfn.XLOOKUP(CK$3,TabCalc[Ticker],TabCalc[M])+CM8)</f>
        <v>0</v>
      </c>
      <c r="CL8" s="1133"/>
      <c r="CM8" s="1127"/>
      <c r="CN8" s="1130">
        <f ca="1">CO8*(_xlfn.XLOOKUP(CN$3,TabCalc[Ticker],TabCalc[M])+CP8)</f>
        <v>73929.999999999985</v>
      </c>
      <c r="CO8" s="1133">
        <v>2000</v>
      </c>
      <c r="CP8" s="1127">
        <v>-50.63</v>
      </c>
      <c r="CQ8" s="1130">
        <f ca="1">CR8*(_xlfn.XLOOKUP(CQ$3,TabCalc[Ticker],TabCalc[M])+CS8)</f>
        <v>-12778.00000000002</v>
      </c>
      <c r="CR8" s="1133">
        <v>2000</v>
      </c>
      <c r="CS8" s="1127">
        <v>-116.16900000000001</v>
      </c>
      <c r="CT8" s="1130">
        <f ca="1">CU8*(_xlfn.XLOOKUP(CT$3,TabCalc[Ticker],TabCalc[M])+CV8)</f>
        <v>0</v>
      </c>
      <c r="CU8" s="1133"/>
      <c r="CV8" s="1127"/>
      <c r="CW8" s="1130">
        <f ca="1">CX8*(_xlfn.XLOOKUP(CW$3,TabCalc[Ticker],TabCalc[M])+CY8)</f>
        <v>4155.0000000000045</v>
      </c>
      <c r="CX8" s="1133">
        <v>1500</v>
      </c>
      <c r="CY8" s="1127">
        <v>-35.72</v>
      </c>
      <c r="CZ8" s="1130">
        <f ca="1">DA8*(_xlfn.XLOOKUP(CZ$3,TabCalc[Ticker],TabCalc[M])+DB8)</f>
        <v>0</v>
      </c>
      <c r="DA8" s="1133"/>
      <c r="DB8" s="1127"/>
      <c r="DC8" s="1130">
        <f ca="1">DD8*(_xlfn.XLOOKUP(DC$3,TabCalc[Ticker],TabCalc[M])+DE8)</f>
        <v>-71591.006666666653</v>
      </c>
      <c r="DD8" s="1133">
        <v>30000</v>
      </c>
      <c r="DE8" s="1127">
        <v>-6.5707668888888886</v>
      </c>
      <c r="DF8" s="1130">
        <f ca="1">DG8*(_xlfn.XLOOKUP(DF$3,TabCalc[Ticker],TabCalc[M])+DH8)</f>
        <v>0</v>
      </c>
      <c r="DG8" s="1133"/>
      <c r="DH8" s="1127"/>
      <c r="DI8" s="1130">
        <f ca="1">DJ8*(_xlfn.XLOOKUP(DI$3,TabCalc[Ticker],TabCalc[M])+DK8)</f>
        <v>0</v>
      </c>
      <c r="DJ8" s="1132"/>
      <c r="DK8" s="1127"/>
      <c r="DL8" s="1130">
        <f ca="1">DM8*(_xlfn.XLOOKUP(DL$3,TabCalc[Ticker],TabCalc[M])+DN8)</f>
        <v>0</v>
      </c>
      <c r="DM8" s="1132"/>
      <c r="DN8" s="1127"/>
      <c r="DO8" s="1130">
        <f ca="1">DP8*(_xlfn.XLOOKUP(DO$3,TabCalc[Ticker],TabCalc[M])+DQ8)</f>
        <v>-44250</v>
      </c>
      <c r="DP8" s="1133">
        <v>1000</v>
      </c>
      <c r="DQ8" s="1127">
        <v>-249.75</v>
      </c>
      <c r="DR8" s="1130">
        <f ca="1">DS8*(_xlfn.XLOOKUP(DR$3,TabCalc[Ticker],TabCalc[M])+DT8)</f>
        <v>-3706.5</v>
      </c>
      <c r="DS8" s="1133">
        <v>3000</v>
      </c>
      <c r="DT8" s="1127">
        <v>-15.45</v>
      </c>
      <c r="DU8" s="1130">
        <f ca="1">DV8*(_xlfn.XLOOKUP(DU$3,TabCalc[Ticker],TabCalc[M])+DW8)</f>
        <v>-323753.29000000004</v>
      </c>
      <c r="DV8" s="1133">
        <v>7000</v>
      </c>
      <c r="DW8" s="1127">
        <v>-54.700470000000003</v>
      </c>
      <c r="DX8" s="1130">
        <f ca="1">DY8*(_xlfn.XLOOKUP(DX$3,TabCalc[Ticker],TabCalc[M])+DZ8)</f>
        <v>0</v>
      </c>
      <c r="DY8" s="1132"/>
      <c r="DZ8" s="1127"/>
      <c r="EA8" s="1130">
        <f ca="1">EB8*(_xlfn.XLOOKUP(EA$3,TabCalc[Ticker],TabCalc[M])+EC8)</f>
        <v>44240.000000000007</v>
      </c>
      <c r="EB8" s="1133">
        <v>1000</v>
      </c>
      <c r="EC8" s="1127">
        <v>-235.25</v>
      </c>
      <c r="ED8" s="1130">
        <f ca="1">EE8*(_xlfn.XLOOKUP(ED$3,TabCalc[Ticker],TabCalc[M])+EF8)</f>
        <v>-25740.014999999996</v>
      </c>
      <c r="EE8" s="1133">
        <v>2150</v>
      </c>
      <c r="EF8" s="1127">
        <v>-42.222099999999998</v>
      </c>
      <c r="EG8" s="1130">
        <f ca="1">EH8*(_xlfn.XLOOKUP(EG$3,TabCalc[Ticker],TabCalc[M])+EI8)</f>
        <v>0</v>
      </c>
      <c r="EH8" s="1132"/>
      <c r="EI8" s="1127"/>
      <c r="EJ8" s="1130" t="e">
        <f ca="1">EK8*(_xlfn.XLOOKUP(EJ$3,TabCalc[Ticker],TabCalc[M])+EL8)</f>
        <v>#N/A</v>
      </c>
      <c r="EK8" s="1133"/>
      <c r="EL8" s="1127"/>
      <c r="EM8" s="1130">
        <f ca="1">EN8*(_xlfn.XLOOKUP(EM$3,TabCalc[Ticker],TabCalc[M])+EO8)</f>
        <v>0</v>
      </c>
      <c r="EN8" s="1132"/>
      <c r="EO8" s="1127"/>
      <c r="EP8" s="1130">
        <f ca="1">EQ8*(_xlfn.XLOOKUP(EP$3,TabCalc[Ticker],TabCalc[M])+ER8)</f>
        <v>0</v>
      </c>
      <c r="EQ8" s="1133">
        <v>2000</v>
      </c>
      <c r="ER8" s="1127">
        <v>-59.2</v>
      </c>
      <c r="ES8" s="1130">
        <f ca="1">ET8*(_xlfn.XLOOKUP(ES$3,TabCalc[Ticker],TabCalc[M])+EU8)</f>
        <v>0</v>
      </c>
      <c r="ET8" s="1132"/>
      <c r="EU8" s="1127"/>
      <c r="EV8" s="1130">
        <f ca="1">EW8*(_xlfn.XLOOKUP(EV$3,TabCalc[Ticker],TabCalc[M])+EX8)</f>
        <v>0</v>
      </c>
      <c r="EW8" s="1132"/>
      <c r="EX8" s="1134"/>
      <c r="EY8" s="1130">
        <f ca="1">EZ8*(_xlfn.XLOOKUP(EY$3,TabCalc[Ticker],TabCalc[M])+FA8)</f>
        <v>0</v>
      </c>
      <c r="EZ8" s="1132"/>
      <c r="FA8" s="1134"/>
      <c r="FB8" s="1130">
        <f ca="1">FC8*(_xlfn.XLOOKUP(FB$3,TabCalc[Ticker],TabCalc[M])+FD8)</f>
        <v>0</v>
      </c>
      <c r="FC8" s="1133"/>
      <c r="FD8" s="1134"/>
      <c r="FE8" s="1130">
        <f ca="1">FF8*(_xlfn.XLOOKUP(FE$3,TabCalc[Ticker],TabCalc[M])+FG8)</f>
        <v>-1135.6120000000003</v>
      </c>
      <c r="FF8" s="1133">
        <v>2942</v>
      </c>
      <c r="FG8" s="1127">
        <v>-1.0740000000000001</v>
      </c>
      <c r="FH8" s="1130">
        <f ca="1">FI8*(_xlfn.XLOOKUP(FH$3,TabCalc[Ticker],TabCalc[M])+FJ8)</f>
        <v>0</v>
      </c>
      <c r="FI8" s="1133"/>
      <c r="FJ8" s="1127"/>
      <c r="FK8" s="1130">
        <f ca="1">FL8*(_xlfn.XLOOKUP(FK$3,TabCalc[Ticker],TabCalc[M])+FM8)</f>
        <v>-46440.000000000015</v>
      </c>
      <c r="FL8" s="1133">
        <v>4000</v>
      </c>
      <c r="FM8" s="1127">
        <v>-34.99</v>
      </c>
      <c r="FN8" s="1130">
        <f ca="1">FO8*(_xlfn.XLOOKUP(FN$3,TabCalc[Ticker],TabCalc[M])+FP8)</f>
        <v>0</v>
      </c>
      <c r="FO8" s="1133"/>
      <c r="FP8" s="1127"/>
      <c r="FQ8" s="1130">
        <f ca="1">FR8*(_xlfn.XLOOKUP(FQ$3,TabCalc[Ticker],TabCalc[M])+FS8)</f>
        <v>10752.000000000002</v>
      </c>
      <c r="FR8" s="1133">
        <v>4000</v>
      </c>
      <c r="FS8" s="1127">
        <v>-13.53</v>
      </c>
      <c r="FT8" s="1130">
        <f ca="1">FU8*(_xlfn.XLOOKUP(FT$3,TabCalc[Ticker],TabCalc[M])+FV8)</f>
        <v>0</v>
      </c>
      <c r="FU8" s="1133"/>
      <c r="FV8" s="1127"/>
      <c r="FW8" s="1130">
        <f ca="1">FX8*(_xlfn.XLOOKUP(FW$3,TabCalc[Ticker],TabCalc[M])+FY8)</f>
        <v>4280.0000000000009</v>
      </c>
      <c r="FX8" s="1133">
        <v>2000</v>
      </c>
      <c r="FY8" s="1127">
        <v>-54.68</v>
      </c>
      <c r="FZ8" s="1130">
        <f ca="1">GA8*(_xlfn.XLOOKUP(FZ$3,TabCalc[Ticker],TabCalc[M])+GB8)</f>
        <v>-1710.0000000000009</v>
      </c>
      <c r="GA8" s="1133">
        <v>3000</v>
      </c>
      <c r="GB8" s="1127">
        <v>-14.35</v>
      </c>
      <c r="GC8" s="1130">
        <f ca="1">GD8*(_xlfn.XLOOKUP(GC$3,TabCalc[Ticker],TabCalc[M])+GE8)</f>
        <v>0</v>
      </c>
      <c r="GD8" s="1132"/>
      <c r="GE8" s="1127"/>
      <c r="GF8" s="1130">
        <f ca="1">GG8*(_xlfn.XLOOKUP(GF$3,TabCalc[Ticker],TabCalc[M])+GH8)</f>
        <v>0</v>
      </c>
      <c r="GG8" s="1132"/>
      <c r="GH8" s="1127"/>
      <c r="GI8" s="1130">
        <f ca="1">GJ8*(_xlfn.XLOOKUP(GI$3,TabCalc[Ticker],TabCalc[M])+GK8)</f>
        <v>-223.08000000000004</v>
      </c>
      <c r="GJ8" s="1133">
        <v>12</v>
      </c>
      <c r="GK8" s="1127">
        <v>-48.84</v>
      </c>
      <c r="GL8" s="1130">
        <f ca="1">GM8*(_xlfn.XLOOKUP(GL$3,TabCalc[Ticker],TabCalc[M])+GN8)</f>
        <v>0</v>
      </c>
      <c r="GM8" s="1132"/>
      <c r="GN8" s="1127"/>
      <c r="GO8" s="1130">
        <f ca="1">GP8*(_xlfn.XLOOKUP(GO$3,TabCalc[Ticker],TabCalc[M])+GQ8)</f>
        <v>-3932.0000000000023</v>
      </c>
      <c r="GP8" s="1133">
        <v>250</v>
      </c>
      <c r="GQ8" s="1127">
        <v>-236.91</v>
      </c>
      <c r="GR8" s="1130">
        <f ca="1">GS8*(_xlfn.XLOOKUP(GR$3,TabCalc[Ticker],TabCalc[M])+GT8)</f>
        <v>0</v>
      </c>
      <c r="GS8" s="1132"/>
      <c r="GT8" s="1127"/>
      <c r="GU8" s="1130">
        <f ca="1">GV8*(_xlfn.XLOOKUP(GU$3,TabCalc[Ticker],TabCalc[M])+GW8)</f>
        <v>-26810</v>
      </c>
      <c r="GV8" s="1133">
        <v>14000</v>
      </c>
      <c r="GW8" s="1127">
        <v>-3.96</v>
      </c>
      <c r="GX8" s="1130">
        <f ca="1">GY8*(_xlfn.XLOOKUP(GX$3,TabCalc[Ticker],TabCalc[M])+GZ8)</f>
        <v>0</v>
      </c>
      <c r="GY8" s="1133"/>
      <c r="GZ8" s="1127"/>
      <c r="HA8" s="1130">
        <f ca="1">HB8*(_xlfn.XLOOKUP(HA$3,TabCalc[Ticker],TabCalc[M])+HC8)</f>
        <v>0</v>
      </c>
      <c r="HB8" s="1132"/>
      <c r="HC8" s="1127"/>
      <c r="HD8" s="1130">
        <f ca="1">HE8*(_xlfn.XLOOKUP(HD$3,TabCalc[Ticker],TabCalc[M])+HF8)</f>
        <v>0</v>
      </c>
      <c r="HE8" s="1132"/>
      <c r="HF8" s="1127"/>
      <c r="HG8" s="1130">
        <f ca="1">HH8*(_xlfn.XLOOKUP(HG$3,TabCalc[Ticker],TabCalc[M])+HI8)</f>
        <v>-9540.4599999999991</v>
      </c>
      <c r="HH8" s="1133">
        <v>101</v>
      </c>
      <c r="HI8" s="1127">
        <v>-118.74</v>
      </c>
      <c r="HJ8" s="1130">
        <f ca="1">HK8*(_xlfn.XLOOKUP(HJ$3,TabCalc[Ticker],TabCalc[M])+HL8)</f>
        <v>-24908.999999999996</v>
      </c>
      <c r="HK8" s="1133">
        <v>15000</v>
      </c>
      <c r="HL8" s="1127">
        <v>-3.0255999999999998</v>
      </c>
      <c r="HM8" s="1130">
        <f ca="1">HN8*(_xlfn.XLOOKUP(HM$3,TabCalc[Ticker],TabCalc[M])+HO8)</f>
        <v>0</v>
      </c>
      <c r="HN8" s="1133"/>
      <c r="HO8" s="1127"/>
      <c r="HP8" s="1130">
        <f ca="1">HQ8*(_xlfn.XLOOKUP(HP$3,TabCalc[Ticker],TabCalc[M])+HR8)</f>
        <v>0</v>
      </c>
      <c r="HQ8" s="1132"/>
      <c r="HR8" s="1127"/>
      <c r="HS8" s="1130">
        <f ca="1">HT8*(_xlfn.XLOOKUP(HS$3,TabCalc[Ticker],TabCalc[M])+HU8)</f>
        <v>0</v>
      </c>
      <c r="HT8" s="1132"/>
      <c r="HU8" s="1127"/>
      <c r="HV8" s="1130">
        <f ca="1">HW8*(_xlfn.XLOOKUP(HV$3,TabCalc[Ticker],TabCalc[M])+HX8)</f>
        <v>0</v>
      </c>
      <c r="HW8" s="1132"/>
      <c r="HX8" s="1127"/>
      <c r="HY8" s="1130">
        <f ca="1">HZ8*(_xlfn.XLOOKUP(HY$3,TabCalc[Ticker],TabCalc[M])+IA8)</f>
        <v>0</v>
      </c>
      <c r="HZ8" s="1132"/>
      <c r="IA8" s="1127"/>
      <c r="IB8" s="1130">
        <f ca="1">IC8*(_xlfn.XLOOKUP(IB$3,TabCalc[Ticker],TabCalc[M])+ID8)</f>
        <v>0</v>
      </c>
      <c r="IC8" s="1132"/>
      <c r="ID8" s="1127"/>
      <c r="IE8" s="1130">
        <f ca="1">IF8*(_xlfn.XLOOKUP(IE$3,TabCalc[Ticker],TabCalc[M])+IG8)</f>
        <v>0</v>
      </c>
      <c r="IF8" s="1132"/>
      <c r="IG8" s="1127"/>
      <c r="IH8" s="1130">
        <f ca="1">II8*(_xlfn.XLOOKUP(IH$3,TabCalc[Ticker],TabCalc[M])+IJ8)</f>
        <v>0</v>
      </c>
      <c r="II8" s="1132"/>
      <c r="IJ8" s="1127"/>
      <c r="IK8" s="1130">
        <f ca="1">IL8*(_xlfn.XLOOKUP(IK$3,TabCalc[Ticker],TabCalc[M])+IM8)</f>
        <v>0</v>
      </c>
      <c r="IL8" s="1132"/>
      <c r="IM8" s="1127"/>
      <c r="IN8" s="1130">
        <f ca="1">IO8*(_xlfn.XLOOKUP(IN$3,TabCalc[Ticker],TabCalc[M])+IP8)</f>
        <v>0</v>
      </c>
      <c r="IO8" s="1132"/>
      <c r="IP8" s="1127"/>
      <c r="IQ8" s="1130">
        <f ca="1">IR8*(_xlfn.XLOOKUP(IQ$3,TabCalc[Ticker],TabCalc[M]))</f>
        <v>0</v>
      </c>
      <c r="IR8" s="1132"/>
      <c r="IS8" s="1127"/>
      <c r="IT8" s="1130">
        <f ca="1">IU8*(_xlfn.XLOOKUP(IT$3,TabCalc[Ticker],TabCalc[M])+IV8)</f>
        <v>0</v>
      </c>
      <c r="IU8" s="1132"/>
      <c r="IV8" s="1127"/>
      <c r="IW8" s="1130">
        <f ca="1">IX8*(_xlfn.XLOOKUP(IW$3,TabCalc[Ticker],TabCalc[M])+IY8)</f>
        <v>-20895.000000000004</v>
      </c>
      <c r="IX8" s="1133">
        <v>1000</v>
      </c>
      <c r="IY8" s="1127">
        <v>-62.38</v>
      </c>
      <c r="IZ8" s="1130">
        <f ca="1">JA8*(_xlfn.XLOOKUP(IZ$3,TabCalc[Ticker],TabCalc[M])+JB8)</f>
        <v>0</v>
      </c>
      <c r="JA8" s="1132"/>
      <c r="JB8" s="1127"/>
      <c r="JC8" s="1130">
        <f ca="1">JD8*(_xlfn.XLOOKUP(JC$3,TabCalc[Ticker],TabCalc[M])+JE8)</f>
        <v>-2440.0000000000014</v>
      </c>
      <c r="JD8" s="1133">
        <v>2000</v>
      </c>
      <c r="JE8" s="1127">
        <v>-5.3150000000000004</v>
      </c>
      <c r="JF8" s="1130">
        <f ca="1">JG8*(_xlfn.XLOOKUP(JF$3,TabCalc[Ticker],TabCalc[M])+JH8)</f>
        <v>0</v>
      </c>
      <c r="JG8" s="1132"/>
      <c r="JH8" s="1127"/>
      <c r="JI8" s="1130">
        <f ca="1">JJ8*(_xlfn.XLOOKUP(JI$3,TabCalc[Ticker],TabCalc[M])+JK8)</f>
        <v>0</v>
      </c>
      <c r="JJ8" s="1132"/>
      <c r="JK8" s="1127"/>
      <c r="JL8" s="1130">
        <f ca="1">JM8*(_xlfn.XLOOKUP(JL$3,TabCalc[Ticker],TabCalc[M])+JN8)</f>
        <v>-2297.9999999999991</v>
      </c>
      <c r="JM8" s="1133">
        <v>300</v>
      </c>
      <c r="JN8" s="1127">
        <v>-201.24</v>
      </c>
      <c r="JO8" s="1130">
        <f ca="1">JP8*(_xlfn.XLOOKUP(JO$3,TabCalc[Ticker],TabCalc[M])+JQ8)</f>
        <v>0</v>
      </c>
      <c r="JP8" s="1132"/>
      <c r="JQ8" s="1127"/>
      <c r="JR8" s="1130">
        <f ca="1">JS8*(_xlfn.XLOOKUP(JR$3,TabCalc[Ticker],TabCalc[M])+JT8)</f>
        <v>0</v>
      </c>
      <c r="JS8" s="1132"/>
      <c r="JT8" s="1127"/>
      <c r="JU8" s="1130">
        <f ca="1">JV8*(_xlfn.XLOOKUP(JU$3,TabCalc[Ticker],TabCalc[M])+JW8)</f>
        <v>0</v>
      </c>
      <c r="JV8" s="1137"/>
      <c r="JW8" s="1127"/>
      <c r="JX8" s="1130">
        <f ca="1">JY8*(_xlfn.XLOOKUP(JX$3,TabCalc[Ticker],TabCalc[M])+JZ8)</f>
        <v>1650.0000000000005</v>
      </c>
      <c r="JY8" s="1133">
        <v>5000</v>
      </c>
      <c r="JZ8" s="1134">
        <v>-14.97</v>
      </c>
    </row>
    <row r="9" spans="1:301" x14ac:dyDescent="0.3">
      <c r="A9">
        <v>6</v>
      </c>
      <c r="B9" s="1130">
        <f ca="1">C9*(_xlfn.XLOOKUP(B$3,TabCalc[Ticker],TabCalc[M])+D9)</f>
        <v>204837.38999999996</v>
      </c>
      <c r="C9" s="1133">
        <v>3000</v>
      </c>
      <c r="D9" s="1127">
        <v>-201.75086999999999</v>
      </c>
      <c r="E9" s="1130">
        <f ca="1">F9*(_xlfn.XLOOKUP(E$3,TabCalc[Ticker],TabCalc[M])+G9)</f>
        <v>0</v>
      </c>
      <c r="F9" s="1133"/>
      <c r="G9" s="1127"/>
      <c r="H9" s="1130">
        <f ca="1">I9*(_xlfn.XLOOKUP(H$3,TabCalc[Ticker],TabCalc[M])+J9)</f>
        <v>-20000</v>
      </c>
      <c r="I9" s="1133">
        <v>20000</v>
      </c>
      <c r="J9" s="1127">
        <v>-46</v>
      </c>
      <c r="K9" s="1130">
        <f ca="1">L9*(_xlfn.XLOOKUP(K$3,TabCalc[Ticker],TabCalc[M])+M9)</f>
        <v>14180.999999999998</v>
      </c>
      <c r="L9" s="1133">
        <v>500</v>
      </c>
      <c r="M9" s="1127">
        <v>-192.82</v>
      </c>
      <c r="N9" s="1130">
        <f ca="1">O9*(_xlfn.XLOOKUP(N$3,TabCalc[Ticker],TabCalc[M])+P9)</f>
        <v>-1174445.2387637172</v>
      </c>
      <c r="O9" s="1133">
        <v>2448050</v>
      </c>
      <c r="P9" s="1127">
        <v>-1.1677472432195899</v>
      </c>
      <c r="Q9" s="1130">
        <f ca="1">R9*(_xlfn.XLOOKUP(Q$3,TabCalc[Ticker],TabCalc[M])+S9)</f>
        <v>76140.000000000015</v>
      </c>
      <c r="R9" s="1133">
        <v>300</v>
      </c>
      <c r="S9" s="1127">
        <v>-632.79999999999995</v>
      </c>
      <c r="T9" s="1130">
        <f ca="1">U9*(_xlfn.XLOOKUP(T$3,TabCalc[Ticker],TabCalc[M])+V9)</f>
        <v>0</v>
      </c>
      <c r="U9" s="1133"/>
      <c r="V9" s="1128"/>
      <c r="W9" s="1130">
        <f ca="1">X9*(_xlfn.XLOOKUP(W$3,TabCalc[Ticker],TabCalc[M])+Y9)</f>
        <v>0</v>
      </c>
      <c r="X9" s="1133"/>
      <c r="Y9" s="1127"/>
      <c r="Z9" s="1130">
        <f ca="1">AA9*(_xlfn.XLOOKUP(Z$3,TabCalc[Ticker],TabCalc[M])+AB9)</f>
        <v>0</v>
      </c>
      <c r="AA9" s="1133"/>
      <c r="AB9" s="1127"/>
      <c r="AC9" s="1130">
        <f ca="1">AD9*(_xlfn.XLOOKUP(AC$3,TabCalc[Ticker],TabCalc[M])+AE9)</f>
        <v>0</v>
      </c>
      <c r="AD9" s="1132"/>
      <c r="AE9" s="1127"/>
      <c r="AF9" s="1130">
        <f ca="1">AG9*(_xlfn.XLOOKUP(AF$3,TabCalc[Ticker],TabCalc[M])+AH9)</f>
        <v>0</v>
      </c>
      <c r="AG9" s="1133"/>
      <c r="AH9" s="1127"/>
      <c r="AI9" s="1130">
        <f ca="1">AJ9*(_xlfn.XLOOKUP(AI$3,TabCalc[Ticker],TabCalc[M])+AK9)</f>
        <v>0</v>
      </c>
      <c r="AJ9" s="1132"/>
      <c r="AK9" s="1127"/>
      <c r="AL9" s="1130">
        <f ca="1">AM9*(_xlfn.XLOOKUP(AL$3,TabCalc[Ticker],TabCalc[M])+AN9)</f>
        <v>0</v>
      </c>
      <c r="AM9" s="1132"/>
      <c r="AN9" s="1127"/>
      <c r="AO9" s="1130">
        <f ca="1">AP9*(_xlfn.XLOOKUP(AO$3,TabCalc[Ticker],TabCalc[M])+AQ9)</f>
        <v>-26625</v>
      </c>
      <c r="AP9" s="1133">
        <v>15000</v>
      </c>
      <c r="AQ9" s="1127">
        <v>-3.82</v>
      </c>
      <c r="AR9" s="1130">
        <f ca="1">AS9*(_xlfn.XLOOKUP(AR$3,TabCalc[Ticker],TabCalc[M])+AT9)</f>
        <v>0</v>
      </c>
      <c r="AS9" s="1133"/>
      <c r="AT9" s="1127"/>
      <c r="AU9" s="1130">
        <f ca="1">AV9*(_xlfn.XLOOKUP(AU$3,TabCalc[Ticker],TabCalc[M])+AW9)</f>
        <v>-7700.0000000000009</v>
      </c>
      <c r="AV9" s="1133">
        <v>500</v>
      </c>
      <c r="AW9" s="1127">
        <v>-38.78</v>
      </c>
      <c r="AX9" s="1130">
        <f ca="1">AY9*(_xlfn.XLOOKUP(AX$3,TabCalc[Ticker],TabCalc[M])+AZ9)</f>
        <v>0</v>
      </c>
      <c r="AY9" s="1132"/>
      <c r="AZ9" s="1127"/>
      <c r="BA9" s="1130">
        <f ca="1">BB9*(_xlfn.XLOOKUP(BA$3,TabCalc[Ticker],TabCalc[M])+BC9)</f>
        <v>0</v>
      </c>
      <c r="BB9" s="1132"/>
      <c r="BC9" s="1127"/>
      <c r="BD9" s="1130">
        <f ca="1">BE9*(_xlfn.XLOOKUP(BD$3,TabCalc[Ticker],TabCalc[M])+BF9)</f>
        <v>0</v>
      </c>
      <c r="BE9" s="1133"/>
      <c r="BF9" s="1127"/>
      <c r="BG9" s="1130">
        <f ca="1">BH9*(_xlfn.XLOOKUP(BG$3,TabCalc[Ticker],TabCalc[M])+BI9)</f>
        <v>0</v>
      </c>
      <c r="BH9" s="1132"/>
      <c r="BI9" s="1127"/>
      <c r="BJ9" s="1130">
        <f ca="1">BK9*(_xlfn.XLOOKUP(BJ$3,TabCalc[Ticker],TabCalc[M])+BL9)</f>
        <v>0</v>
      </c>
      <c r="BK9" s="1132"/>
      <c r="BL9" s="1127"/>
      <c r="BM9" s="1130">
        <f ca="1">BN9*(_xlfn.XLOOKUP(BM$3,TabCalc[Ticker],TabCalc[M])+BO9)</f>
        <v>-5022.0000000000027</v>
      </c>
      <c r="BN9" s="1133">
        <v>1200</v>
      </c>
      <c r="BO9" s="1127">
        <v>-24.92</v>
      </c>
      <c r="BP9" s="1130">
        <f ca="1">BQ9*(_xlfn.XLOOKUP(BP$3,TabCalc[Ticker],TabCalc[M])+BR9)</f>
        <v>0</v>
      </c>
      <c r="BQ9" s="1132"/>
      <c r="BR9" s="1127"/>
      <c r="BS9" s="1130">
        <f ca="1">BT9*(_xlfn.XLOOKUP(BS$3,TabCalc[Ticker],TabCalc[M])+BU9)</f>
        <v>406000.00000000023</v>
      </c>
      <c r="BT9" s="1133">
        <v>10000</v>
      </c>
      <c r="BU9" s="1127">
        <v>-337</v>
      </c>
      <c r="BV9" s="1130">
        <f ca="1">BW9*(_xlfn.XLOOKUP(BV$3,TabCalc[Ticker],TabCalc[M])+BX9)</f>
        <v>-1916.2000000000091</v>
      </c>
      <c r="BW9" s="1133">
        <v>1340</v>
      </c>
      <c r="BX9" s="1127">
        <v>-68.98</v>
      </c>
      <c r="BY9" s="1130">
        <f ca="1">BZ9*(_xlfn.XLOOKUP(BY$3,TabCalc[Ticker],TabCalc[M])+CA9)</f>
        <v>0</v>
      </c>
      <c r="BZ9" s="1132"/>
      <c r="CA9" s="1127"/>
      <c r="CB9" s="1130">
        <f ca="1">CC9*(_xlfn.XLOOKUP(CB$3,TabCalc[Ticker],TabCalc[M])+CD9)</f>
        <v>0</v>
      </c>
      <c r="CC9" s="1132"/>
      <c r="CD9" s="1127"/>
      <c r="CE9" s="1130">
        <f ca="1">CF9*(_xlfn.XLOOKUP(CE$3,TabCalc[Ticker],TabCalc[M])+CG9)</f>
        <v>-97691</v>
      </c>
      <c r="CF9" s="1133">
        <v>1000</v>
      </c>
      <c r="CG9" s="1127">
        <v>-121.971</v>
      </c>
      <c r="CH9" s="1130">
        <f ca="1">CI9*(_xlfn.XLOOKUP(CH$3,TabCalc[Ticker],TabCalc[M])+CJ9)</f>
        <v>89741.999999999956</v>
      </c>
      <c r="CI9" s="1133">
        <v>1000</v>
      </c>
      <c r="CJ9" s="1127">
        <v>-396.84800000000001</v>
      </c>
      <c r="CK9" s="1130">
        <f ca="1">CL9*(_xlfn.XLOOKUP(CK$3,TabCalc[Ticker],TabCalc[M])+CM9)</f>
        <v>0</v>
      </c>
      <c r="CL9" s="1133"/>
      <c r="CM9" s="1127"/>
      <c r="CN9" s="1130">
        <f ca="1">CO9*(_xlfn.XLOOKUP(CN$3,TabCalc[Ticker],TabCalc[M])+CP9)</f>
        <v>71530.25</v>
      </c>
      <c r="CO9" s="1133">
        <v>2000</v>
      </c>
      <c r="CP9" s="1127">
        <v>-51.829875000000001</v>
      </c>
      <c r="CQ9" s="1130">
        <f ca="1">CR9*(_xlfn.XLOOKUP(CQ$3,TabCalc[Ticker],TabCalc[M])+CS9)</f>
        <v>-8186.0000000000073</v>
      </c>
      <c r="CR9" s="1133">
        <v>1000</v>
      </c>
      <c r="CS9" s="1127">
        <v>-117.96600000000001</v>
      </c>
      <c r="CT9" s="1130">
        <f ca="1">CU9*(_xlfn.XLOOKUP(CT$3,TabCalc[Ticker],TabCalc[M])+CV9)</f>
        <v>0</v>
      </c>
      <c r="CU9" s="1133"/>
      <c r="CV9" s="1127"/>
      <c r="CW9" s="1130">
        <f ca="1">CX9*(_xlfn.XLOOKUP(CW$3,TabCalc[Ticker],TabCalc[M])+CY9)</f>
        <v>0</v>
      </c>
      <c r="CX9" s="1133"/>
      <c r="CY9" s="1127"/>
      <c r="CZ9" s="1130">
        <f ca="1">DA9*(_xlfn.XLOOKUP(CZ$3,TabCalc[Ticker],TabCalc[M])+DB9)</f>
        <v>0</v>
      </c>
      <c r="DA9" s="1132"/>
      <c r="DB9" s="1127"/>
      <c r="DC9" s="1130">
        <f ca="1">DD9*(_xlfn.XLOOKUP(DC$3,TabCalc[Ticker],TabCalc[M])+DE9)</f>
        <v>-1452.8</v>
      </c>
      <c r="DD9" s="1133">
        <v>500</v>
      </c>
      <c r="DE9" s="1127">
        <v>-7.09</v>
      </c>
      <c r="DF9" s="1130">
        <f ca="1">DG9*(_xlfn.XLOOKUP(DF$3,TabCalc[Ticker],TabCalc[M])+DH9)</f>
        <v>0</v>
      </c>
      <c r="DG9" s="1132"/>
      <c r="DH9" s="1127"/>
      <c r="DI9" s="1130">
        <f ca="1">DJ9*(_xlfn.XLOOKUP(DI$3,TabCalc[Ticker],TabCalc[M])+DK9)</f>
        <v>0</v>
      </c>
      <c r="DJ9" s="1132"/>
      <c r="DK9" s="1127"/>
      <c r="DL9" s="1130">
        <f ca="1">DM9*(_xlfn.XLOOKUP(DL$3,TabCalc[Ticker],TabCalc[M])+DN9)</f>
        <v>0</v>
      </c>
      <c r="DM9" s="1132"/>
      <c r="DN9" s="1127"/>
      <c r="DO9" s="1130">
        <f ca="1">DP9*(_xlfn.XLOOKUP(DO$3,TabCalc[Ticker],TabCalc[M])+DQ9)</f>
        <v>-22674.999999999996</v>
      </c>
      <c r="DP9" s="1133">
        <v>500</v>
      </c>
      <c r="DQ9" s="1127">
        <v>-250.85</v>
      </c>
      <c r="DR9" s="1130">
        <f ca="1">DS9*(_xlfn.XLOOKUP(DR$3,TabCalc[Ticker],TabCalc[M])+DT9)</f>
        <v>-6586.5000000000027</v>
      </c>
      <c r="DS9" s="1133">
        <v>3000</v>
      </c>
      <c r="DT9" s="1127">
        <v>-16.41</v>
      </c>
      <c r="DU9" s="1130">
        <f ca="1">DV9*(_xlfn.XLOOKUP(DU$3,TabCalc[Ticker],TabCalc[M])+DW9)</f>
        <v>0</v>
      </c>
      <c r="DV9" s="1133"/>
      <c r="DW9" s="1127"/>
      <c r="DX9" s="1130">
        <f ca="1">DY9*(_xlfn.XLOOKUP(DX$3,TabCalc[Ticker],TabCalc[M])+DZ9)</f>
        <v>0</v>
      </c>
      <c r="DY9" s="1132"/>
      <c r="DZ9" s="1127"/>
      <c r="EA9" s="1130">
        <f ca="1">EB9*(_xlfn.XLOOKUP(EA$3,TabCalc[Ticker],TabCalc[M])+EC9)</f>
        <v>19050.000000000011</v>
      </c>
      <c r="EB9" s="1133">
        <v>500</v>
      </c>
      <c r="EC9" s="1127">
        <v>-241.39</v>
      </c>
      <c r="ED9" s="1130">
        <f ca="1">EE9*(_xlfn.XLOOKUP(ED$3,TabCalc[Ticker],TabCalc[M])+EF9)</f>
        <v>0</v>
      </c>
      <c r="EE9" s="1133"/>
      <c r="EF9" s="1127"/>
      <c r="EG9" s="1130">
        <f ca="1">EH9*(_xlfn.XLOOKUP(EG$3,TabCalc[Ticker],TabCalc[M])+EI9)</f>
        <v>0</v>
      </c>
      <c r="EH9" s="1132"/>
      <c r="EI9" s="1127"/>
      <c r="EJ9" s="1130" t="e">
        <f ca="1">EK9*(_xlfn.XLOOKUP(EJ$3,TabCalc[Ticker],TabCalc[M])+EL9)</f>
        <v>#N/A</v>
      </c>
      <c r="EK9" s="1132"/>
      <c r="EL9" s="1127"/>
      <c r="EM9" s="1130">
        <f ca="1">EN9*(_xlfn.XLOOKUP(EM$3,TabCalc[Ticker],TabCalc[M])+EO9)</f>
        <v>0</v>
      </c>
      <c r="EN9" s="1132"/>
      <c r="EO9" s="1127"/>
      <c r="EP9" s="1130">
        <f ca="1">EQ9*(_xlfn.XLOOKUP(EP$3,TabCalc[Ticker],TabCalc[M])+ER9)</f>
        <v>0</v>
      </c>
      <c r="EQ9" s="1133">
        <v>1000</v>
      </c>
      <c r="ER9" s="1127">
        <v>-59.2</v>
      </c>
      <c r="ES9" s="1130">
        <f ca="1">ET9*(_xlfn.XLOOKUP(ES$3,TabCalc[Ticker],TabCalc[M])+EU9)</f>
        <v>0</v>
      </c>
      <c r="ET9" s="1132"/>
      <c r="EU9" s="1127"/>
      <c r="EV9" s="1130">
        <f ca="1">EW9*(_xlfn.XLOOKUP(EV$3,TabCalc[Ticker],TabCalc[M])+EX9)</f>
        <v>0</v>
      </c>
      <c r="EW9" s="1132"/>
      <c r="EX9" s="1134"/>
      <c r="EY9" s="1130">
        <f ca="1">EZ9*(_xlfn.XLOOKUP(EY$3,TabCalc[Ticker],TabCalc[M])+FA9)</f>
        <v>0</v>
      </c>
      <c r="EZ9" s="1132"/>
      <c r="FA9" s="1134"/>
      <c r="FB9" s="1130">
        <f ca="1">FC9*(_xlfn.XLOOKUP(FB$3,TabCalc[Ticker],TabCalc[M])+FD9)</f>
        <v>0</v>
      </c>
      <c r="FC9" s="1132"/>
      <c r="FD9" s="1134"/>
      <c r="FE9" s="1130">
        <f ca="1">FF9*(_xlfn.XLOOKUP(FE$3,TabCalc[Ticker],TabCalc[M])+FG9)</f>
        <v>-1960.0000000000007</v>
      </c>
      <c r="FF9" s="1133">
        <v>5000</v>
      </c>
      <c r="FG9" s="1127">
        <v>-1.08</v>
      </c>
      <c r="FH9" s="1130">
        <f ca="1">FI9*(_xlfn.XLOOKUP(FH$3,TabCalc[Ticker],TabCalc[M])+FJ9)</f>
        <v>0</v>
      </c>
      <c r="FI9" s="1133"/>
      <c r="FJ9" s="1127"/>
      <c r="FK9" s="1130">
        <f ca="1">FL9*(_xlfn.XLOOKUP(FK$3,TabCalc[Ticker],TabCalc[M])+FM9)</f>
        <v>-24119.999999999996</v>
      </c>
      <c r="FL9" s="1133">
        <v>2000</v>
      </c>
      <c r="FM9" s="1127">
        <v>-35.44</v>
      </c>
      <c r="FN9" s="1130">
        <f ca="1">FO9*(_xlfn.XLOOKUP(FN$3,TabCalc[Ticker],TabCalc[M])+FP9)</f>
        <v>0</v>
      </c>
      <c r="FO9" s="1132"/>
      <c r="FP9" s="1127"/>
      <c r="FQ9" s="1130">
        <f ca="1">FR9*(_xlfn.XLOOKUP(FQ$3,TabCalc[Ticker],TabCalc[M])+FS9)</f>
        <v>4579.0000000000009</v>
      </c>
      <c r="FR9" s="1133">
        <v>2000</v>
      </c>
      <c r="FS9" s="1127">
        <v>-13.9285</v>
      </c>
      <c r="FT9" s="1130">
        <f ca="1">FU9*(_xlfn.XLOOKUP(FT$3,TabCalc[Ticker],TabCalc[M])+FV9)</f>
        <v>0</v>
      </c>
      <c r="FU9" s="1133"/>
      <c r="FV9" s="1127"/>
      <c r="FW9" s="1130">
        <f ca="1">FX9*(_xlfn.XLOOKUP(FW$3,TabCalc[Ticker],TabCalc[M])+FY9)</f>
        <v>-4517.3000000000065</v>
      </c>
      <c r="FX9" s="1133">
        <v>1990</v>
      </c>
      <c r="FY9" s="1127">
        <v>-59.09</v>
      </c>
      <c r="FZ9" s="1130">
        <f ca="1">GA9*(_xlfn.XLOOKUP(FZ$3,TabCalc[Ticker],TabCalc[M])+GB9)</f>
        <v>0</v>
      </c>
      <c r="GA9" s="1133"/>
      <c r="GB9" s="1127"/>
      <c r="GC9" s="1130">
        <f ca="1">GD9*(_xlfn.XLOOKUP(GC$3,TabCalc[Ticker],TabCalc[M])+GE9)</f>
        <v>0</v>
      </c>
      <c r="GD9" s="1132"/>
      <c r="GE9" s="1127"/>
      <c r="GF9" s="1130">
        <f ca="1">GG9*(_xlfn.XLOOKUP(GF$3,TabCalc[Ticker],TabCalc[M])+GH9)</f>
        <v>0</v>
      </c>
      <c r="GG9" s="1132"/>
      <c r="GH9" s="1127"/>
      <c r="GI9" s="1130">
        <f ca="1">GJ9*(_xlfn.XLOOKUP(GI$3,TabCalc[Ticker],TabCalc[M])+GK9)</f>
        <v>0</v>
      </c>
      <c r="GJ9" s="1132"/>
      <c r="GK9" s="1127"/>
      <c r="GL9" s="1130">
        <f ca="1">GM9*(_xlfn.XLOOKUP(GL$3,TabCalc[Ticker],TabCalc[M])+GN9)</f>
        <v>0</v>
      </c>
      <c r="GM9" s="1132"/>
      <c r="GN9" s="1127"/>
      <c r="GO9" s="1130">
        <f ca="1">GP9*(_xlfn.XLOOKUP(GO$3,TabCalc[Ticker],TabCalc[M])+GQ9)</f>
        <v>0</v>
      </c>
      <c r="GP9" s="1132"/>
      <c r="GQ9" s="1127"/>
      <c r="GR9" s="1130">
        <f ca="1">GS9*(_xlfn.XLOOKUP(GR$3,TabCalc[Ticker],TabCalc[M])+GT9)</f>
        <v>0</v>
      </c>
      <c r="GS9" s="1132"/>
      <c r="GT9" s="1127"/>
      <c r="GU9" s="1130">
        <f ca="1">GV9*(_xlfn.XLOOKUP(GU$3,TabCalc[Ticker],TabCalc[M])+GW9)</f>
        <v>-39470.000000000007</v>
      </c>
      <c r="GV9" s="1133">
        <v>20000</v>
      </c>
      <c r="GW9" s="1127">
        <v>-4.0185000000000004</v>
      </c>
      <c r="GX9" s="1130">
        <f ca="1">GY9*(_xlfn.XLOOKUP(GX$3,TabCalc[Ticker],TabCalc[M])+GZ9)</f>
        <v>0</v>
      </c>
      <c r="GY9" s="1133"/>
      <c r="GZ9" s="1127"/>
      <c r="HA9" s="1130">
        <f ca="1">HB9*(_xlfn.XLOOKUP(HA$3,TabCalc[Ticker],TabCalc[M])+HC9)</f>
        <v>0</v>
      </c>
      <c r="HB9" s="1132"/>
      <c r="HC9" s="1127"/>
      <c r="HD9" s="1130">
        <f ca="1">HE9*(_xlfn.XLOOKUP(HD$3,TabCalc[Ticker],TabCalc[M])+HF9)</f>
        <v>0</v>
      </c>
      <c r="HE9" s="1132"/>
      <c r="HF9" s="1127"/>
      <c r="HG9" s="1130">
        <f ca="1">HH9*(_xlfn.XLOOKUP(HG$3,TabCalc[Ticker],TabCalc[M])+HI9)</f>
        <v>-48690</v>
      </c>
      <c r="HH9" s="1133">
        <v>500</v>
      </c>
      <c r="HI9" s="1127">
        <v>-121.66</v>
      </c>
      <c r="HJ9" s="1130">
        <f ca="1">HK9*(_xlfn.XLOOKUP(HJ$3,TabCalc[Ticker],TabCalc[M])+HL9)</f>
        <v>-8925</v>
      </c>
      <c r="HK9" s="1133">
        <v>5000</v>
      </c>
      <c r="HL9" s="1127">
        <v>-3.15</v>
      </c>
      <c r="HM9" s="1130">
        <f ca="1">HN9*(_xlfn.XLOOKUP(HM$3,TabCalc[Ticker],TabCalc[M])+HO9)</f>
        <v>0</v>
      </c>
      <c r="HN9" s="1133"/>
      <c r="HO9" s="1127"/>
      <c r="HP9" s="1130">
        <f ca="1">HQ9*(_xlfn.XLOOKUP(HP$3,TabCalc[Ticker],TabCalc[M])+HR9)</f>
        <v>0</v>
      </c>
      <c r="HQ9" s="1132"/>
      <c r="HR9" s="1127"/>
      <c r="HS9" s="1130">
        <f ca="1">HT9*(_xlfn.XLOOKUP(HS$3,TabCalc[Ticker],TabCalc[M])+HU9)</f>
        <v>0</v>
      </c>
      <c r="HT9" s="1132"/>
      <c r="HU9" s="1127"/>
      <c r="HV9" s="1130">
        <f ca="1">HW9*(_xlfn.XLOOKUP(HV$3,TabCalc[Ticker],TabCalc[M])+HX9)</f>
        <v>0</v>
      </c>
      <c r="HW9" s="1132"/>
      <c r="HX9" s="1127"/>
      <c r="HY9" s="1130">
        <f ca="1">HZ9*(_xlfn.XLOOKUP(HY$3,TabCalc[Ticker],TabCalc[M])+IA9)</f>
        <v>0</v>
      </c>
      <c r="HZ9" s="1132"/>
      <c r="IA9" s="1127"/>
      <c r="IB9" s="1130">
        <f ca="1">IC9*(_xlfn.XLOOKUP(IB$3,TabCalc[Ticker],TabCalc[M])+ID9)</f>
        <v>0</v>
      </c>
      <c r="IC9" s="1132"/>
      <c r="ID9" s="1127"/>
      <c r="IE9" s="1130">
        <f ca="1">IF9*(_xlfn.XLOOKUP(IE$3,TabCalc[Ticker],TabCalc[M])+IG9)</f>
        <v>0</v>
      </c>
      <c r="IF9" s="1132"/>
      <c r="IG9" s="1127"/>
      <c r="IH9" s="1130">
        <f ca="1">II9*(_xlfn.XLOOKUP(IH$3,TabCalc[Ticker],TabCalc[M])+IJ9)</f>
        <v>0</v>
      </c>
      <c r="II9" s="1132"/>
      <c r="IJ9" s="1127"/>
      <c r="IK9" s="1130">
        <f ca="1">IL9*(_xlfn.XLOOKUP(IK$3,TabCalc[Ticker],TabCalc[M])+IM9)</f>
        <v>0</v>
      </c>
      <c r="IL9" s="1132"/>
      <c r="IM9" s="1127"/>
      <c r="IN9" s="1130">
        <f ca="1">IO9*(_xlfn.XLOOKUP(IN$3,TabCalc[Ticker],TabCalc[M])+IP9)</f>
        <v>0</v>
      </c>
      <c r="IO9" s="1132"/>
      <c r="IP9" s="1127"/>
      <c r="IQ9" s="1130">
        <f ca="1">IR9*(_xlfn.XLOOKUP(IQ$3,TabCalc[Ticker],TabCalc[M]))</f>
        <v>0</v>
      </c>
      <c r="IR9" s="1132"/>
      <c r="IS9" s="1127"/>
      <c r="IT9" s="1130">
        <f ca="1">IU9*(_xlfn.XLOOKUP(IT$3,TabCalc[Ticker],TabCalc[M])+IV9)</f>
        <v>0</v>
      </c>
      <c r="IU9" s="1132"/>
      <c r="IV9" s="1127"/>
      <c r="IW9" s="1130">
        <f ca="1">IX9*(_xlfn.XLOOKUP(IW$3,TabCalc[Ticker],TabCalc[M])+IY9)</f>
        <v>0</v>
      </c>
      <c r="IX9" s="1132"/>
      <c r="IY9" s="1127"/>
      <c r="IZ9" s="1130">
        <f ca="1">JA9*(_xlfn.XLOOKUP(IZ$3,TabCalc[Ticker],TabCalc[M])+JB9)</f>
        <v>0</v>
      </c>
      <c r="JA9" s="1132"/>
      <c r="JB9" s="1127"/>
      <c r="JC9" s="1130">
        <f ca="1">JD9*(_xlfn.XLOOKUP(JC$3,TabCalc[Ticker],TabCalc[M])+JE9)</f>
        <v>0</v>
      </c>
      <c r="JD9" s="1132"/>
      <c r="JE9" s="1127"/>
      <c r="JF9" s="1130">
        <f ca="1">JG9*(_xlfn.XLOOKUP(JF$3,TabCalc[Ticker],TabCalc[M])+JH9)</f>
        <v>0</v>
      </c>
      <c r="JG9" s="1132"/>
      <c r="JH9" s="1127"/>
      <c r="JI9" s="1130">
        <f ca="1">JJ9*(_xlfn.XLOOKUP(JI$3,TabCalc[Ticker],TabCalc[M])+JK9)</f>
        <v>0</v>
      </c>
      <c r="JJ9" s="1132"/>
      <c r="JK9" s="1127"/>
      <c r="JL9" s="1130">
        <f ca="1">JM9*(_xlfn.XLOOKUP(JL$3,TabCalc[Ticker],TabCalc[M])+JN9)</f>
        <v>0</v>
      </c>
      <c r="JM9" s="1132"/>
      <c r="JN9" s="1127"/>
      <c r="JO9" s="1130">
        <f ca="1">JP9*(_xlfn.XLOOKUP(JO$3,TabCalc[Ticker],TabCalc[M])+JQ9)</f>
        <v>0</v>
      </c>
      <c r="JP9" s="1132"/>
      <c r="JQ9" s="1127"/>
      <c r="JR9" s="1130">
        <f ca="1">JS9*(_xlfn.XLOOKUP(JR$3,TabCalc[Ticker],TabCalc[M])+JT9)</f>
        <v>0</v>
      </c>
      <c r="JS9" s="1132"/>
      <c r="JT9" s="1127"/>
      <c r="JU9" s="1130">
        <f ca="1">JV9*(_xlfn.XLOOKUP(JU$3,TabCalc[Ticker],TabCalc[M])+JW9)</f>
        <v>0</v>
      </c>
      <c r="JV9" s="1137"/>
      <c r="JW9" s="1127"/>
      <c r="JX9" s="1130">
        <f ca="1">JY9*(_xlfn.XLOOKUP(JX$3,TabCalc[Ticker],TabCalc[M])+JZ9)</f>
        <v>450.00000000000108</v>
      </c>
      <c r="JY9" s="1133">
        <v>3000</v>
      </c>
      <c r="JZ9" s="1134">
        <v>-15.15</v>
      </c>
    </row>
    <row r="10" spans="1:301" x14ac:dyDescent="0.3">
      <c r="A10">
        <v>7</v>
      </c>
      <c r="B10" s="1130">
        <f ca="1">C10*(_xlfn.XLOOKUP(B$3,TabCalc[Ticker],TabCalc[M])+D10)</f>
        <v>63299.999999999985</v>
      </c>
      <c r="C10" s="1133">
        <v>1000</v>
      </c>
      <c r="D10" s="1127">
        <v>-206.73</v>
      </c>
      <c r="E10" s="1130">
        <f ca="1">F10*(_xlfn.XLOOKUP(E$3,TabCalc[Ticker],TabCalc[M])+G10)</f>
        <v>0</v>
      </c>
      <c r="F10" s="1133"/>
      <c r="G10" s="1127"/>
      <c r="H10" s="1130">
        <f ca="1">I10*(_xlfn.XLOOKUP(H$3,TabCalc[Ticker],TabCalc[M])+J10)</f>
        <v>-10500</v>
      </c>
      <c r="I10" s="1133">
        <v>7000</v>
      </c>
      <c r="J10" s="1127">
        <v>-46.5</v>
      </c>
      <c r="K10" s="1130">
        <f ca="1">L10*(_xlfn.XLOOKUP(K$3,TabCalc[Ticker],TabCalc[M])+M10)</f>
        <v>17084.499999999993</v>
      </c>
      <c r="L10" s="1133">
        <v>1000</v>
      </c>
      <c r="M10" s="1127">
        <v>-204.0975</v>
      </c>
      <c r="N10" s="1130">
        <f ca="1">O10*(_xlfn.XLOOKUP(N$3,TabCalc[Ticker],TabCalc[M])+P10)</f>
        <v>-7680</v>
      </c>
      <c r="O10" s="1133">
        <v>15000</v>
      </c>
      <c r="P10" s="1127">
        <v>-1.2</v>
      </c>
      <c r="Q10" s="1130">
        <f ca="1">R10*(_xlfn.XLOOKUP(Q$3,TabCalc[Ticker],TabCalc[M])+S10)</f>
        <v>25364.999999999996</v>
      </c>
      <c r="R10" s="1133">
        <v>100</v>
      </c>
      <c r="S10" s="1127">
        <v>-632.95000000000005</v>
      </c>
      <c r="T10" s="1130">
        <f ca="1">U10*(_xlfn.XLOOKUP(T$3,TabCalc[Ticker],TabCalc[M])+V10)</f>
        <v>0</v>
      </c>
      <c r="U10" s="1133"/>
      <c r="V10" s="1128"/>
      <c r="W10" s="1130">
        <f ca="1">X10*(_xlfn.XLOOKUP(W$3,TabCalc[Ticker],TabCalc[M])+Y10)</f>
        <v>0</v>
      </c>
      <c r="X10" s="1133"/>
      <c r="Y10" s="1127"/>
      <c r="Z10" s="1130">
        <f ca="1">AA10*(_xlfn.XLOOKUP(Z$3,TabCalc[Ticker],TabCalc[M])+AB10)</f>
        <v>0</v>
      </c>
      <c r="AA10" s="1133"/>
      <c r="AB10" s="1127"/>
      <c r="AC10" s="1130">
        <f ca="1">AD10*(_xlfn.XLOOKUP(AC$3,TabCalc[Ticker],TabCalc[M])+AE10)</f>
        <v>0</v>
      </c>
      <c r="AD10" s="1132"/>
      <c r="AE10" s="1127"/>
      <c r="AF10" s="1130">
        <f ca="1">AG10*(_xlfn.XLOOKUP(AF$3,TabCalc[Ticker],TabCalc[M])+AH10)</f>
        <v>0</v>
      </c>
      <c r="AG10" s="1133"/>
      <c r="AH10" s="1127"/>
      <c r="AI10" s="1130">
        <f ca="1">AJ10*(_xlfn.XLOOKUP(AI$3,TabCalc[Ticker],TabCalc[M])+AK10)</f>
        <v>0</v>
      </c>
      <c r="AJ10" s="1132"/>
      <c r="AK10" s="1127"/>
      <c r="AL10" s="1130">
        <f ca="1">AM10*(_xlfn.XLOOKUP(AL$3,TabCalc[Ticker],TabCalc[M])+AN10)</f>
        <v>0</v>
      </c>
      <c r="AM10" s="1132"/>
      <c r="AN10" s="1127"/>
      <c r="AO10" s="1130">
        <f ca="1">AP10*(_xlfn.XLOOKUP(AO$3,TabCalc[Ticker],TabCalc[M])+AQ10)</f>
        <v>-18250</v>
      </c>
      <c r="AP10" s="1133">
        <v>10000</v>
      </c>
      <c r="AQ10" s="1127">
        <v>-3.87</v>
      </c>
      <c r="AR10" s="1130">
        <f ca="1">AS10*(_xlfn.XLOOKUP(AR$3,TabCalc[Ticker],TabCalc[M])+AT10)</f>
        <v>0</v>
      </c>
      <c r="AS10" s="1133"/>
      <c r="AT10" s="1127"/>
      <c r="AU10" s="1130">
        <f ca="1">AV10*(_xlfn.XLOOKUP(AU$3,TabCalc[Ticker],TabCalc[M])+AW10)</f>
        <v>0</v>
      </c>
      <c r="AV10" s="1133"/>
      <c r="AW10" s="1127"/>
      <c r="AX10" s="1130">
        <f ca="1">AY10*(_xlfn.XLOOKUP(AX$3,TabCalc[Ticker],TabCalc[M])+AZ10)</f>
        <v>0</v>
      </c>
      <c r="AY10" s="1132"/>
      <c r="AZ10" s="1127"/>
      <c r="BA10" s="1130">
        <f ca="1">BB10*(_xlfn.XLOOKUP(BA$3,TabCalc[Ticker],TabCalc[M])+BC10)</f>
        <v>0</v>
      </c>
      <c r="BB10" s="1132"/>
      <c r="BC10" s="1127"/>
      <c r="BD10" s="1130">
        <f ca="1">BE10*(_xlfn.XLOOKUP(BD$3,TabCalc[Ticker],TabCalc[M])+BF10)</f>
        <v>0</v>
      </c>
      <c r="BE10" s="1132"/>
      <c r="BF10" s="1127"/>
      <c r="BG10" s="1130">
        <f ca="1">BH10*(_xlfn.XLOOKUP(BG$3,TabCalc[Ticker],TabCalc[M])+BI10)</f>
        <v>0</v>
      </c>
      <c r="BH10" s="1132"/>
      <c r="BI10" s="1127"/>
      <c r="BJ10" s="1130">
        <f ca="1">BK10*(_xlfn.XLOOKUP(BJ$3,TabCalc[Ticker],TabCalc[M])+BL10)</f>
        <v>0</v>
      </c>
      <c r="BK10" s="1132"/>
      <c r="BL10" s="1127"/>
      <c r="BM10" s="1130">
        <f ca="1">BN10*(_xlfn.XLOOKUP(BM$3,TabCalc[Ticker],TabCalc[M])+BO10)</f>
        <v>0</v>
      </c>
      <c r="BN10" s="1132"/>
      <c r="BO10" s="1127"/>
      <c r="BP10" s="1130">
        <f ca="1">BQ10*(_xlfn.XLOOKUP(BP$3,TabCalc[Ticker],TabCalc[M])+BR10)</f>
        <v>0</v>
      </c>
      <c r="BQ10" s="1132"/>
      <c r="BR10" s="1127"/>
      <c r="BS10" s="1130">
        <f ca="1">BT10*(_xlfn.XLOOKUP(BS$3,TabCalc[Ticker],TabCalc[M])+BU10)</f>
        <v>306000.00000000023</v>
      </c>
      <c r="BT10" s="1133">
        <v>10000</v>
      </c>
      <c r="BU10" s="1127">
        <v>-347</v>
      </c>
      <c r="BV10" s="1130">
        <f ca="1">BW10*(_xlfn.XLOOKUP(BV$3,TabCalc[Ticker],TabCalc[M])+BX10)</f>
        <v>0</v>
      </c>
      <c r="BW10" s="1133"/>
      <c r="BX10" s="1127"/>
      <c r="BY10" s="1130">
        <f ca="1">BZ10*(_xlfn.XLOOKUP(BY$3,TabCalc[Ticker],TabCalc[M])+CA10)</f>
        <v>0</v>
      </c>
      <c r="BZ10" s="1132"/>
      <c r="CA10" s="1127"/>
      <c r="CB10" s="1130">
        <f ca="1">CC10*(_xlfn.XLOOKUP(CB$3,TabCalc[Ticker],TabCalc[M])+CD10)</f>
        <v>0</v>
      </c>
      <c r="CC10" s="1132"/>
      <c r="CD10" s="1127"/>
      <c r="CE10" s="1130">
        <f ca="1">CF10*(_xlfn.XLOOKUP(CE$3,TabCalc[Ticker],TabCalc[M])+CG10)</f>
        <v>-245724.99999999997</v>
      </c>
      <c r="CF10" s="1133">
        <v>2500</v>
      </c>
      <c r="CG10" s="1127">
        <v>-122.57</v>
      </c>
      <c r="CH10" s="1130">
        <f ca="1">CI10*(_xlfn.XLOOKUP(CH$3,TabCalc[Ticker],TabCalc[M])+CJ10)</f>
        <v>172819.39999999997</v>
      </c>
      <c r="CI10" s="1133">
        <v>2000</v>
      </c>
      <c r="CJ10" s="1127">
        <v>-400.18029999999999</v>
      </c>
      <c r="CK10" s="1130">
        <f ca="1">CL10*(_xlfn.XLOOKUP(CK$3,TabCalc[Ticker],TabCalc[M])+CM10)</f>
        <v>0</v>
      </c>
      <c r="CL10" s="1133"/>
      <c r="CM10" s="1127"/>
      <c r="CN10" s="1130">
        <f ca="1">CO10*(_xlfn.XLOOKUP(CN$3,TabCalc[Ticker],TabCalc[M])+CP10)</f>
        <v>31625</v>
      </c>
      <c r="CO10" s="1133">
        <v>1000</v>
      </c>
      <c r="CP10" s="1127">
        <v>-55.97</v>
      </c>
      <c r="CQ10" s="1130">
        <f ca="1">CR10*(_xlfn.XLOOKUP(CQ$3,TabCalc[Ticker],TabCalc[M])+CS10)</f>
        <v>-44476</v>
      </c>
      <c r="CR10" s="1133">
        <v>4000</v>
      </c>
      <c r="CS10" s="1127">
        <v>-120.899</v>
      </c>
      <c r="CT10" s="1130">
        <f ca="1">CU10*(_xlfn.XLOOKUP(CT$3,TabCalc[Ticker],TabCalc[M])+CV10)</f>
        <v>0</v>
      </c>
      <c r="CU10" s="1133"/>
      <c r="CV10" s="1127"/>
      <c r="CW10" s="1130">
        <f ca="1">CX10*(_xlfn.XLOOKUP(CW$3,TabCalc[Ticker],TabCalc[M])+CY10)</f>
        <v>0</v>
      </c>
      <c r="CX10" s="1133"/>
      <c r="CY10" s="1127"/>
      <c r="CZ10" s="1130">
        <f ca="1">DA10*(_xlfn.XLOOKUP(CZ$3,TabCalc[Ticker],TabCalc[M])+DB10)</f>
        <v>0</v>
      </c>
      <c r="DA10" s="1132"/>
      <c r="DB10" s="1127"/>
      <c r="DC10" s="1130">
        <f ca="1">DD10*(_xlfn.XLOOKUP(DC$3,TabCalc[Ticker],TabCalc[M])+DE10)</f>
        <v>0</v>
      </c>
      <c r="DD10" s="1132"/>
      <c r="DE10" s="1127"/>
      <c r="DF10" s="1130">
        <f ca="1">DG10*(_xlfn.XLOOKUP(DF$3,TabCalc[Ticker],TabCalc[M])+DH10)</f>
        <v>0</v>
      </c>
      <c r="DG10" s="1132"/>
      <c r="DH10" s="1127"/>
      <c r="DI10" s="1130">
        <f ca="1">DJ10*(_xlfn.XLOOKUP(DI$3,TabCalc[Ticker],TabCalc[M])+DK10)</f>
        <v>0</v>
      </c>
      <c r="DJ10" s="1132"/>
      <c r="DK10" s="1127"/>
      <c r="DL10" s="1130">
        <f ca="1">DM10*(_xlfn.XLOOKUP(DL$3,TabCalc[Ticker],TabCalc[M])+DN10)</f>
        <v>0</v>
      </c>
      <c r="DM10" s="1132"/>
      <c r="DN10" s="1127"/>
      <c r="DO10" s="1130">
        <f ca="1">DP10*(_xlfn.XLOOKUP(DO$3,TabCalc[Ticker],TabCalc[M])+DQ10)</f>
        <v>-17277.399999999994</v>
      </c>
      <c r="DP10" s="1133">
        <v>301</v>
      </c>
      <c r="DQ10" s="1127">
        <v>-262.89999999999998</v>
      </c>
      <c r="DR10" s="1130">
        <f ca="1">DS10*(_xlfn.XLOOKUP(DR$3,TabCalc[Ticker],TabCalc[M])+DT10)</f>
        <v>-13273.824000000002</v>
      </c>
      <c r="DS10" s="1133">
        <v>2368</v>
      </c>
      <c r="DT10" s="1127">
        <v>-19.82</v>
      </c>
      <c r="DU10" s="1130">
        <f ca="1">DV10*(_xlfn.XLOOKUP(DU$3,TabCalc[Ticker],TabCalc[M])+DW10)</f>
        <v>0</v>
      </c>
      <c r="DV10" s="1132"/>
      <c r="DW10" s="1127"/>
      <c r="DX10" s="1130">
        <f ca="1">DY10*(_xlfn.XLOOKUP(DX$3,TabCalc[Ticker],TabCalc[M])+DZ10)</f>
        <v>0</v>
      </c>
      <c r="DY10" s="1132"/>
      <c r="DZ10" s="1127"/>
      <c r="EA10" s="1130">
        <f ca="1">EB10*(_xlfn.XLOOKUP(EA$3,TabCalc[Ticker],TabCalc[M])+EC10)</f>
        <v>-5529.9999999999727</v>
      </c>
      <c r="EB10" s="1133">
        <v>800</v>
      </c>
      <c r="EC10" s="1127">
        <v>-286.40249999999997</v>
      </c>
      <c r="ED10" s="1130">
        <f ca="1">EE10*(_xlfn.XLOOKUP(ED$3,TabCalc[Ticker],TabCalc[M])+EF10)</f>
        <v>0</v>
      </c>
      <c r="EE10" s="1133"/>
      <c r="EF10" s="1127"/>
      <c r="EG10" s="1130">
        <f ca="1">EH10*(_xlfn.XLOOKUP(EG$3,TabCalc[Ticker],TabCalc[M])+EI10)</f>
        <v>0</v>
      </c>
      <c r="EH10" s="1132"/>
      <c r="EI10" s="1127"/>
      <c r="EJ10" s="1130" t="e">
        <f ca="1">EK10*(_xlfn.XLOOKUP(EJ$3,TabCalc[Ticker],TabCalc[M])+EL10)</f>
        <v>#N/A</v>
      </c>
      <c r="EK10" s="1132"/>
      <c r="EL10" s="1127"/>
      <c r="EM10" s="1130">
        <f ca="1">EN10*(_xlfn.XLOOKUP(EM$3,TabCalc[Ticker],TabCalc[M])+EO10)</f>
        <v>0</v>
      </c>
      <c r="EN10" s="1132"/>
      <c r="EO10" s="1127"/>
      <c r="EP10" s="1130">
        <f ca="1">EQ10*(_xlfn.XLOOKUP(EP$3,TabCalc[Ticker],TabCalc[M])+ER10)</f>
        <v>-1799.9999999999829</v>
      </c>
      <c r="EQ10" s="1133">
        <v>6000</v>
      </c>
      <c r="ER10" s="1127">
        <v>-59.5</v>
      </c>
      <c r="ES10" s="1130">
        <f ca="1">ET10*(_xlfn.XLOOKUP(ES$3,TabCalc[Ticker],TabCalc[M])+EU10)</f>
        <v>0</v>
      </c>
      <c r="ET10" s="1132"/>
      <c r="EU10" s="1127"/>
      <c r="EV10" s="1130">
        <f ca="1">EW10*(_xlfn.XLOOKUP(EV$3,TabCalc[Ticker],TabCalc[M])+EX10)</f>
        <v>0</v>
      </c>
      <c r="EW10" s="1132"/>
      <c r="EX10" s="1134"/>
      <c r="EY10" s="1130">
        <f ca="1">EZ10*(_xlfn.XLOOKUP(EY$3,TabCalc[Ticker],TabCalc[M])+FA10)</f>
        <v>0</v>
      </c>
      <c r="EZ10" s="1132"/>
      <c r="FA10" s="1134"/>
      <c r="FB10" s="1130">
        <f ca="1">FC10*(_xlfn.XLOOKUP(FB$3,TabCalc[Ticker],TabCalc[M])+FD10)</f>
        <v>0</v>
      </c>
      <c r="FC10" s="1132"/>
      <c r="FD10" s="1134"/>
      <c r="FE10" s="1130">
        <f ca="1">FF10*(_xlfn.XLOOKUP(FE$3,TabCalc[Ticker],TabCalc[M])+FG10)</f>
        <v>-4925.1262739999993</v>
      </c>
      <c r="FF10" s="1133">
        <v>12058</v>
      </c>
      <c r="FG10" s="1127">
        <v>-1.0964529999999999</v>
      </c>
      <c r="FH10" s="1130">
        <f ca="1">FI10*(_xlfn.XLOOKUP(FH$3,TabCalc[Ticker],TabCalc[M])+FJ10)</f>
        <v>0</v>
      </c>
      <c r="FI10" s="1133"/>
      <c r="FJ10" s="1127"/>
      <c r="FK10" s="1130">
        <f ca="1">FL10*(_xlfn.XLOOKUP(FK$3,TabCalc[Ticker],TabCalc[M])+FM10)</f>
        <v>0</v>
      </c>
      <c r="FL10" s="1132"/>
      <c r="FM10" s="1127"/>
      <c r="FN10" s="1130">
        <f ca="1">FO10*(_xlfn.XLOOKUP(FN$3,TabCalc[Ticker],TabCalc[M])+FP10)</f>
        <v>0</v>
      </c>
      <c r="FO10" s="1132"/>
      <c r="FP10" s="1127"/>
      <c r="FQ10" s="1130">
        <f ca="1">FR10*(_xlfn.XLOOKUP(FQ$3,TabCalc[Ticker],TabCalc[M])+FS10)</f>
        <v>17024</v>
      </c>
      <c r="FR10" s="1133">
        <v>8000</v>
      </c>
      <c r="FS10" s="1127">
        <v>-14.09</v>
      </c>
      <c r="FT10" s="1130">
        <f ca="1">FU10*(_xlfn.XLOOKUP(FT$3,TabCalc[Ticker],TabCalc[M])+FV10)</f>
        <v>0</v>
      </c>
      <c r="FU10" s="1133"/>
      <c r="FV10" s="1127"/>
      <c r="FW10" s="1130">
        <f ca="1">FX10*(_xlfn.XLOOKUP(FW$3,TabCalc[Ticker],TabCalc[M])+FY10)</f>
        <v>0</v>
      </c>
      <c r="FX10" s="1132"/>
      <c r="FY10" s="1127"/>
      <c r="FZ10" s="1130">
        <f ca="1">GA10*(_xlfn.XLOOKUP(FZ$3,TabCalc[Ticker],TabCalc[M])+GB10)</f>
        <v>0</v>
      </c>
      <c r="GA10" s="1133"/>
      <c r="GB10" s="1127"/>
      <c r="GC10" s="1130">
        <f ca="1">GD10*(_xlfn.XLOOKUP(GC$3,TabCalc[Ticker],TabCalc[M])+GE10)</f>
        <v>0</v>
      </c>
      <c r="GD10" s="1132"/>
      <c r="GE10" s="1127"/>
      <c r="GF10" s="1130">
        <f ca="1">GG10*(_xlfn.XLOOKUP(GF$3,TabCalc[Ticker],TabCalc[M])+GH10)</f>
        <v>0</v>
      </c>
      <c r="GG10" s="1132"/>
      <c r="GH10" s="1127"/>
      <c r="GI10" s="1130">
        <f ca="1">GJ10*(_xlfn.XLOOKUP(GI$3,TabCalc[Ticker],TabCalc[M])+GK10)</f>
        <v>0</v>
      </c>
      <c r="GJ10" s="1132"/>
      <c r="GK10" s="1127"/>
      <c r="GL10" s="1130">
        <f ca="1">GM10*(_xlfn.XLOOKUP(GL$3,TabCalc[Ticker],TabCalc[M])+GN10)</f>
        <v>0</v>
      </c>
      <c r="GM10" s="1132"/>
      <c r="GN10" s="1127"/>
      <c r="GO10" s="1130">
        <f ca="1">GP10*(_xlfn.XLOOKUP(GO$3,TabCalc[Ticker],TabCalc[M])+GQ10)</f>
        <v>0</v>
      </c>
      <c r="GP10" s="1132"/>
      <c r="GQ10" s="1127"/>
      <c r="GR10" s="1130">
        <f ca="1">GS10*(_xlfn.XLOOKUP(GR$3,TabCalc[Ticker],TabCalc[M])+GT10)</f>
        <v>0</v>
      </c>
      <c r="GS10" s="1132"/>
      <c r="GT10" s="1127"/>
      <c r="GU10" s="1130">
        <f ca="1">GV10*(_xlfn.XLOOKUP(GU$3,TabCalc[Ticker],TabCalc[M])+GW10)</f>
        <v>-20900</v>
      </c>
      <c r="GV10" s="1133">
        <v>10000</v>
      </c>
      <c r="GW10" s="1127">
        <v>-4.1349999999999998</v>
      </c>
      <c r="GX10" s="1130">
        <f ca="1">GY10*(_xlfn.XLOOKUP(GX$3,TabCalc[Ticker],TabCalc[M])+GZ10)</f>
        <v>0</v>
      </c>
      <c r="GY10" s="1133"/>
      <c r="GZ10" s="1127"/>
      <c r="HA10" s="1130">
        <f ca="1">HB10*(_xlfn.XLOOKUP(HA$3,TabCalc[Ticker],TabCalc[M])+HC10)</f>
        <v>0</v>
      </c>
      <c r="HB10" s="1132"/>
      <c r="HC10" s="1127"/>
      <c r="HD10" s="1130">
        <f ca="1">HE10*(_xlfn.XLOOKUP(HD$3,TabCalc[Ticker],TabCalc[M])+HF10)</f>
        <v>0</v>
      </c>
      <c r="HE10" s="1132"/>
      <c r="HF10" s="1127"/>
      <c r="HG10" s="1130">
        <f ca="1">HH10*(_xlfn.XLOOKUP(HG$3,TabCalc[Ticker],TabCalc[M])+HI10)</f>
        <v>0</v>
      </c>
      <c r="HH10" s="1133"/>
      <c r="HI10" s="1127"/>
      <c r="HJ10" s="1130">
        <f ca="1">HK10*(_xlfn.XLOOKUP(HJ$3,TabCalc[Ticker],TabCalc[M])+HL10)</f>
        <v>-37700</v>
      </c>
      <c r="HK10" s="1133">
        <v>20000</v>
      </c>
      <c r="HL10" s="1127">
        <v>-3.25</v>
      </c>
      <c r="HM10" s="1130">
        <f ca="1">HN10*(_xlfn.XLOOKUP(HM$3,TabCalc[Ticker],TabCalc[M])+HO10)</f>
        <v>0</v>
      </c>
      <c r="HN10" s="1133"/>
      <c r="HO10" s="1127"/>
      <c r="HP10" s="1130">
        <f ca="1">HQ10*(_xlfn.XLOOKUP(HP$3,TabCalc[Ticker],TabCalc[M])+HR10)</f>
        <v>0</v>
      </c>
      <c r="HQ10" s="1132"/>
      <c r="HR10" s="1127"/>
      <c r="HS10" s="1130">
        <f ca="1">HT10*(_xlfn.XLOOKUP(HS$3,TabCalc[Ticker],TabCalc[M])+HU10)</f>
        <v>0</v>
      </c>
      <c r="HT10" s="1132"/>
      <c r="HU10" s="1127"/>
      <c r="HV10" s="1130">
        <f ca="1">HW10*(_xlfn.XLOOKUP(HV$3,TabCalc[Ticker],TabCalc[M])+HX10)</f>
        <v>0</v>
      </c>
      <c r="HW10" s="1132"/>
      <c r="HX10" s="1127"/>
      <c r="HY10" s="1130">
        <f ca="1">HZ10*(_xlfn.XLOOKUP(HY$3,TabCalc[Ticker],TabCalc[M])+IA10)</f>
        <v>0</v>
      </c>
      <c r="HZ10" s="1132"/>
      <c r="IA10" s="1127"/>
      <c r="IB10" s="1130">
        <f ca="1">IC10*(_xlfn.XLOOKUP(IB$3,TabCalc[Ticker],TabCalc[M])+ID10)</f>
        <v>0</v>
      </c>
      <c r="IC10" s="1132"/>
      <c r="ID10" s="1127"/>
      <c r="IE10" s="1130">
        <f ca="1">IF10*(_xlfn.XLOOKUP(IE$3,TabCalc[Ticker],TabCalc[M])+IG10)</f>
        <v>0</v>
      </c>
      <c r="IF10" s="1132"/>
      <c r="IG10" s="1127"/>
      <c r="IH10" s="1130">
        <f ca="1">II10*(_xlfn.XLOOKUP(IH$3,TabCalc[Ticker],TabCalc[M])+IJ10)</f>
        <v>0</v>
      </c>
      <c r="II10" s="1132"/>
      <c r="IJ10" s="1127"/>
      <c r="IK10" s="1130">
        <f ca="1">IL10*(_xlfn.XLOOKUP(IK$3,TabCalc[Ticker],TabCalc[M])+IM10)</f>
        <v>0</v>
      </c>
      <c r="IL10" s="1132"/>
      <c r="IM10" s="1127"/>
      <c r="IN10" s="1130">
        <f ca="1">IO10*(_xlfn.XLOOKUP(IN$3,TabCalc[Ticker],TabCalc[M])+IP10)</f>
        <v>0</v>
      </c>
      <c r="IO10" s="1132"/>
      <c r="IP10" s="1127"/>
      <c r="IQ10" s="1130">
        <f ca="1">IR10*(_xlfn.XLOOKUP(IQ$3,TabCalc[Ticker],TabCalc[M]))</f>
        <v>0</v>
      </c>
      <c r="IR10" s="1132"/>
      <c r="IS10" s="1127"/>
      <c r="IT10" s="1130">
        <f ca="1">IU10*(_xlfn.XLOOKUP(IT$3,TabCalc[Ticker],TabCalc[M])+IV10)</f>
        <v>0</v>
      </c>
      <c r="IU10" s="1132"/>
      <c r="IV10" s="1127"/>
      <c r="IW10" s="1130">
        <f ca="1">IX10*(_xlfn.XLOOKUP(IW$3,TabCalc[Ticker],TabCalc[M])+IY10)</f>
        <v>0</v>
      </c>
      <c r="IX10" s="1132"/>
      <c r="IY10" s="1127"/>
      <c r="IZ10" s="1130">
        <f ca="1">JA10*(_xlfn.XLOOKUP(IZ$3,TabCalc[Ticker],TabCalc[M])+JB10)</f>
        <v>0</v>
      </c>
      <c r="JA10" s="1132"/>
      <c r="JB10" s="1127"/>
      <c r="JC10" s="1130">
        <f ca="1">JD10*(_xlfn.XLOOKUP(JC$3,TabCalc[Ticker],TabCalc[M])+JE10)</f>
        <v>0</v>
      </c>
      <c r="JD10" s="1132"/>
      <c r="JE10" s="1127"/>
      <c r="JF10" s="1130">
        <f ca="1">JG10*(_xlfn.XLOOKUP(JF$3,TabCalc[Ticker],TabCalc[M])+JH10)</f>
        <v>0</v>
      </c>
      <c r="JG10" s="1132"/>
      <c r="JH10" s="1127"/>
      <c r="JI10" s="1130">
        <f ca="1">JJ10*(_xlfn.XLOOKUP(JI$3,TabCalc[Ticker],TabCalc[M])+JK10)</f>
        <v>0</v>
      </c>
      <c r="JJ10" s="1132"/>
      <c r="JK10" s="1127"/>
      <c r="JL10" s="1130">
        <f ca="1">JM10*(_xlfn.XLOOKUP(JL$3,TabCalc[Ticker],TabCalc[M])+JN10)</f>
        <v>0</v>
      </c>
      <c r="JM10" s="1132"/>
      <c r="JN10" s="1127"/>
      <c r="JO10" s="1130">
        <f ca="1">JP10*(_xlfn.XLOOKUP(JO$3,TabCalc[Ticker],TabCalc[M])+JQ10)</f>
        <v>0</v>
      </c>
      <c r="JP10" s="1132"/>
      <c r="JQ10" s="1127"/>
      <c r="JR10" s="1130">
        <f ca="1">JS10*(_xlfn.XLOOKUP(JR$3,TabCalc[Ticker],TabCalc[M])+JT10)</f>
        <v>0</v>
      </c>
      <c r="JS10" s="1132"/>
      <c r="JT10" s="1127"/>
      <c r="JU10" s="1130">
        <f ca="1">JV10*(_xlfn.XLOOKUP(JU$3,TabCalc[Ticker],TabCalc[M])+JW10)</f>
        <v>0</v>
      </c>
      <c r="JV10" s="1137"/>
      <c r="JW10" s="1127"/>
      <c r="JX10" s="1130">
        <f ca="1">JY10*(_xlfn.XLOOKUP(JX$3,TabCalc[Ticker],TabCalc[M])+JZ10)</f>
        <v>-742.53899999999896</v>
      </c>
      <c r="JY10" s="1133">
        <v>3000</v>
      </c>
      <c r="JZ10" s="1134">
        <v>-15.547513</v>
      </c>
    </row>
    <row r="11" spans="1:301" x14ac:dyDescent="0.3">
      <c r="A11">
        <v>8</v>
      </c>
      <c r="B11" s="1130">
        <f ca="1">C11*(_xlfn.XLOOKUP(B$3,TabCalc[Ticker],TabCalc[M])+D11)</f>
        <v>24834.999999999978</v>
      </c>
      <c r="C11" s="1133">
        <v>500</v>
      </c>
      <c r="D11" s="1127">
        <v>-220.36</v>
      </c>
      <c r="E11" s="1130">
        <f ca="1">F11*(_xlfn.XLOOKUP(E$3,TabCalc[Ticker],TabCalc[M])+G11)</f>
        <v>0</v>
      </c>
      <c r="F11" s="1133"/>
      <c r="G11" s="1127"/>
      <c r="H11" s="1130">
        <f ca="1">I11*(_xlfn.XLOOKUP(H$3,TabCalc[Ticker],TabCalc[M])+J11)</f>
        <v>-296000.00000000006</v>
      </c>
      <c r="I11" s="1133">
        <v>100000</v>
      </c>
      <c r="J11" s="1127">
        <v>-47.96</v>
      </c>
      <c r="K11" s="1130">
        <f ca="1">L11*(_xlfn.XLOOKUP(K$3,TabCalc[Ticker],TabCalc[M])+M11)</f>
        <v>11998.879999999986</v>
      </c>
      <c r="L11" s="1133">
        <v>800</v>
      </c>
      <c r="M11" s="1127">
        <v>-206.18340000000001</v>
      </c>
      <c r="N11" s="1130">
        <f ca="1">O11*(_xlfn.XLOOKUP(N$3,TabCalc[Ticker],TabCalc[M])+P11)</f>
        <v>-6107.692500000001</v>
      </c>
      <c r="O11" s="1133">
        <v>2275</v>
      </c>
      <c r="P11" s="1127">
        <v>-3.3727</v>
      </c>
      <c r="Q11" s="1130">
        <f ca="1">R11*(_xlfn.XLOOKUP(Q$3,TabCalc[Ticker],TabCalc[M])+S11)</f>
        <v>48220.000000000007</v>
      </c>
      <c r="R11" s="1133">
        <v>200</v>
      </c>
      <c r="S11" s="1127">
        <v>-645.5</v>
      </c>
      <c r="T11" s="1130">
        <f ca="1">U11*(_xlfn.XLOOKUP(T$3,TabCalc[Ticker],TabCalc[M])+V11)</f>
        <v>0</v>
      </c>
      <c r="U11" s="1133"/>
      <c r="V11" s="1128"/>
      <c r="W11" s="1130">
        <f ca="1">X11*(_xlfn.XLOOKUP(W$3,TabCalc[Ticker],TabCalc[M])+Y11)</f>
        <v>0</v>
      </c>
      <c r="X11" s="1133"/>
      <c r="Y11" s="1127"/>
      <c r="Z11" s="1130">
        <f ca="1">AA11*(_xlfn.XLOOKUP(Z$3,TabCalc[Ticker],TabCalc[M])+AB11)</f>
        <v>0</v>
      </c>
      <c r="AA11" s="1133"/>
      <c r="AB11" s="1127"/>
      <c r="AC11" s="1130">
        <f ca="1">AD11*(_xlfn.XLOOKUP(AC$3,TabCalc[Ticker],TabCalc[M])+AE11)</f>
        <v>0</v>
      </c>
      <c r="AD11" s="1132"/>
      <c r="AE11" s="1127"/>
      <c r="AF11" s="1130">
        <f ca="1">AG11*(_xlfn.XLOOKUP(AF$3,TabCalc[Ticker],TabCalc[M])+AH11)</f>
        <v>0</v>
      </c>
      <c r="AG11" s="1133"/>
      <c r="AH11" s="1127"/>
      <c r="AI11" s="1130">
        <f ca="1">AJ11*(_xlfn.XLOOKUP(AI$3,TabCalc[Ticker],TabCalc[M])+AK11)</f>
        <v>0</v>
      </c>
      <c r="AJ11" s="1132"/>
      <c r="AK11" s="1127"/>
      <c r="AL11" s="1130">
        <f ca="1">AM11*(_xlfn.XLOOKUP(AL$3,TabCalc[Ticker],TabCalc[M])+AN11)</f>
        <v>0</v>
      </c>
      <c r="AM11" s="1132"/>
      <c r="AN11" s="1127"/>
      <c r="AO11" s="1130">
        <f ca="1">AP11*(_xlfn.XLOOKUP(AO$3,TabCalc[Ticker],TabCalc[M])+AQ11)</f>
        <v>0</v>
      </c>
      <c r="AP11" s="1133"/>
      <c r="AQ11" s="1127"/>
      <c r="AR11" s="1130">
        <f ca="1">AS11*(_xlfn.XLOOKUP(AR$3,TabCalc[Ticker],TabCalc[M])+AT11)</f>
        <v>0</v>
      </c>
      <c r="AS11" s="1133"/>
      <c r="AT11" s="1127"/>
      <c r="AU11" s="1130">
        <f ca="1">AV11*(_xlfn.XLOOKUP(AU$3,TabCalc[Ticker],TabCalc[M])+AW11)</f>
        <v>0</v>
      </c>
      <c r="AV11" s="1132"/>
      <c r="AW11" s="1127"/>
      <c r="AX11" s="1130">
        <f ca="1">AY11*(_xlfn.XLOOKUP(AX$3,TabCalc[Ticker],TabCalc[M])+AZ11)</f>
        <v>0</v>
      </c>
      <c r="AY11" s="1132"/>
      <c r="AZ11" s="1127"/>
      <c r="BA11" s="1130">
        <f ca="1">BB11*(_xlfn.XLOOKUP(BA$3,TabCalc[Ticker],TabCalc[M])+BC11)</f>
        <v>0</v>
      </c>
      <c r="BB11" s="1132"/>
      <c r="BC11" s="1127"/>
      <c r="BD11" s="1130">
        <f ca="1">BE11*(_xlfn.XLOOKUP(BD$3,TabCalc[Ticker],TabCalc[M])+BF11)</f>
        <v>0</v>
      </c>
      <c r="BE11" s="1132"/>
      <c r="BF11" s="1127"/>
      <c r="BG11" s="1130">
        <f ca="1">BH11*(_xlfn.XLOOKUP(BG$3,TabCalc[Ticker],TabCalc[M])+BI11)</f>
        <v>0</v>
      </c>
      <c r="BH11" s="1132"/>
      <c r="BI11" s="1127"/>
      <c r="BJ11" s="1130">
        <f ca="1">BK11*(_xlfn.XLOOKUP(BJ$3,TabCalc[Ticker],TabCalc[M])+BL11)</f>
        <v>0</v>
      </c>
      <c r="BK11" s="1132"/>
      <c r="BL11" s="1127"/>
      <c r="BM11" s="1130">
        <f ca="1">BN11*(_xlfn.XLOOKUP(BM$3,TabCalc[Ticker],TabCalc[M])+BO11)</f>
        <v>0</v>
      </c>
      <c r="BN11" s="1132"/>
      <c r="BO11" s="1127"/>
      <c r="BP11" s="1130">
        <f ca="1">BQ11*(_xlfn.XLOOKUP(BP$3,TabCalc[Ticker],TabCalc[M])+BR11)</f>
        <v>0</v>
      </c>
      <c r="BQ11" s="1132"/>
      <c r="BR11" s="1127"/>
      <c r="BS11" s="1130">
        <f ca="1">BT11*(_xlfn.XLOOKUP(BS$3,TabCalc[Ticker],TabCalc[M])+BU11)</f>
        <v>0</v>
      </c>
      <c r="BT11" s="1133"/>
      <c r="BU11" s="1127"/>
      <c r="BV11" s="1130">
        <f ca="1">BW11*(_xlfn.XLOOKUP(BV$3,TabCalc[Ticker],TabCalc[M])+BX11)</f>
        <v>0</v>
      </c>
      <c r="BW11" s="1132"/>
      <c r="BX11" s="1127"/>
      <c r="BY11" s="1130">
        <f ca="1">BZ11*(_xlfn.XLOOKUP(BY$3,TabCalc[Ticker],TabCalc[M])+CA11)</f>
        <v>0</v>
      </c>
      <c r="BZ11" s="1132"/>
      <c r="CA11" s="1127"/>
      <c r="CB11" s="1130">
        <f ca="1">CC11*(_xlfn.XLOOKUP(CB$3,TabCalc[Ticker],TabCalc[M])+CD11)</f>
        <v>0</v>
      </c>
      <c r="CC11" s="1132"/>
      <c r="CD11" s="1127"/>
      <c r="CE11" s="1130">
        <f ca="1">CF11*(_xlfn.XLOOKUP(CE$3,TabCalc[Ticker],TabCalc[M])+CG11)</f>
        <v>-19971.04</v>
      </c>
      <c r="CF11" s="1133">
        <v>200</v>
      </c>
      <c r="CG11" s="1127">
        <v>-124.1352</v>
      </c>
      <c r="CH11" s="1130">
        <f ca="1">CI11*(_xlfn.XLOOKUP(CH$3,TabCalc[Ticker],TabCalc[M])+CJ11)</f>
        <v>25061.999999999989</v>
      </c>
      <c r="CI11" s="1133">
        <v>300</v>
      </c>
      <c r="CJ11" s="1127">
        <v>-403.05</v>
      </c>
      <c r="CK11" s="1130">
        <f ca="1">CL11*(_xlfn.XLOOKUP(CK$3,TabCalc[Ticker],TabCalc[M])+CM11)</f>
        <v>0</v>
      </c>
      <c r="CL11" s="1133"/>
      <c r="CM11" s="1127"/>
      <c r="CN11" s="1130">
        <f ca="1">CO11*(_xlfn.XLOOKUP(CN$3,TabCalc[Ticker],TabCalc[M])+CP11)</f>
        <v>17430.000000000007</v>
      </c>
      <c r="CO11" s="1133">
        <v>2000</v>
      </c>
      <c r="CP11" s="1127">
        <v>-78.88</v>
      </c>
      <c r="CQ11" s="1130">
        <f ca="1">CR11*(_xlfn.XLOOKUP(CQ$3,TabCalc[Ticker],TabCalc[M])+CS11)</f>
        <v>0</v>
      </c>
      <c r="CR11" s="1133"/>
      <c r="CS11" s="1127"/>
      <c r="CT11" s="1130">
        <f ca="1">CU11*(_xlfn.XLOOKUP(CT$3,TabCalc[Ticker],TabCalc[M])+CV11)</f>
        <v>0</v>
      </c>
      <c r="CU11" s="1133"/>
      <c r="CV11" s="1127"/>
      <c r="CW11" s="1130">
        <f ca="1">CX11*(_xlfn.XLOOKUP(CW$3,TabCalc[Ticker],TabCalc[M])+CY11)</f>
        <v>0</v>
      </c>
      <c r="CX11" s="1133"/>
      <c r="CY11" s="1127"/>
      <c r="CZ11" s="1130">
        <f ca="1">DA11*(_xlfn.XLOOKUP(CZ$3,TabCalc[Ticker],TabCalc[M])+DB11)</f>
        <v>0</v>
      </c>
      <c r="DA11" s="1132"/>
      <c r="DB11" s="1127"/>
      <c r="DC11" s="1130">
        <f ca="1">DD11*(_xlfn.XLOOKUP(DC$3,TabCalc[Ticker],TabCalc[M])+DE11)</f>
        <v>0</v>
      </c>
      <c r="DD11" s="1132"/>
      <c r="DE11" s="1127"/>
      <c r="DF11" s="1130">
        <f ca="1">DG11*(_xlfn.XLOOKUP(DF$3,TabCalc[Ticker],TabCalc[M])+DH11)</f>
        <v>0</v>
      </c>
      <c r="DG11" s="1132"/>
      <c r="DH11" s="1127"/>
      <c r="DI11" s="1130">
        <f ca="1">DJ11*(_xlfn.XLOOKUP(DI$3,TabCalc[Ticker],TabCalc[M])+DK11)</f>
        <v>0</v>
      </c>
      <c r="DJ11" s="1132"/>
      <c r="DK11" s="1127"/>
      <c r="DL11" s="1130">
        <f ca="1">DM11*(_xlfn.XLOOKUP(DL$3,TabCalc[Ticker],TabCalc[M])+DN11)</f>
        <v>0</v>
      </c>
      <c r="DM11" s="1132"/>
      <c r="DN11" s="1127"/>
      <c r="DO11" s="1130">
        <f ca="1">DP11*(_xlfn.XLOOKUP(DO$3,TabCalc[Ticker],TabCalc[M])+DQ11)</f>
        <v>0</v>
      </c>
      <c r="DP11" s="1133"/>
      <c r="DQ11" s="1127"/>
      <c r="DR11" s="1130">
        <f ca="1">DS11*(_xlfn.XLOOKUP(DR$3,TabCalc[Ticker],TabCalc[M])+DT11)</f>
        <v>-36333</v>
      </c>
      <c r="DS11" s="1133">
        <v>6000</v>
      </c>
      <c r="DT11" s="1127">
        <v>-20.27</v>
      </c>
      <c r="DU11" s="1130">
        <f ca="1">DV11*(_xlfn.XLOOKUP(DU$3,TabCalc[Ticker],TabCalc[M])+DW11)</f>
        <v>0</v>
      </c>
      <c r="DV11" s="1132"/>
      <c r="DW11" s="1127"/>
      <c r="DX11" s="1130">
        <f ca="1">DY11*(_xlfn.XLOOKUP(DX$3,TabCalc[Ticker],TabCalc[M])+DZ11)</f>
        <v>0</v>
      </c>
      <c r="DY11" s="1132"/>
      <c r="DZ11" s="1127"/>
      <c r="EA11" s="1130">
        <f ca="1">EB11*(_xlfn.XLOOKUP(EA$3,TabCalc[Ticker],TabCalc[M])+EC11)</f>
        <v>0</v>
      </c>
      <c r="EB11" s="1133"/>
      <c r="EC11" s="1127"/>
      <c r="ED11" s="1130">
        <f ca="1">EE11*(_xlfn.XLOOKUP(ED$3,TabCalc[Ticker],TabCalc[M])+EF11)</f>
        <v>0</v>
      </c>
      <c r="EE11" s="1132"/>
      <c r="EF11" s="1127"/>
      <c r="EG11" s="1130">
        <f ca="1">EH11*(_xlfn.XLOOKUP(EG$3,TabCalc[Ticker],TabCalc[M])+EI11)</f>
        <v>0</v>
      </c>
      <c r="EH11" s="1132"/>
      <c r="EI11" s="1127"/>
      <c r="EJ11" s="1130" t="e">
        <f ca="1">EK11*(_xlfn.XLOOKUP(EJ$3,TabCalc[Ticker],TabCalc[M])+EL11)</f>
        <v>#N/A</v>
      </c>
      <c r="EK11" s="1132"/>
      <c r="EL11" s="1127"/>
      <c r="EM11" s="1130">
        <f ca="1">EN11*(_xlfn.XLOOKUP(EM$3,TabCalc[Ticker],TabCalc[M])+EO11)</f>
        <v>0</v>
      </c>
      <c r="EN11" s="1132"/>
      <c r="EO11" s="1127"/>
      <c r="EP11" s="1130">
        <f ca="1">EQ11*(_xlfn.XLOOKUP(EP$3,TabCalc[Ticker],TabCalc[M])+ER11)</f>
        <v>-599.99999999999432</v>
      </c>
      <c r="EQ11" s="1133">
        <v>1000</v>
      </c>
      <c r="ER11" s="1127">
        <v>-59.8</v>
      </c>
      <c r="ES11" s="1130">
        <f ca="1">ET11*(_xlfn.XLOOKUP(ES$3,TabCalc[Ticker],TabCalc[M])+EU11)</f>
        <v>0</v>
      </c>
      <c r="ET11" s="1132"/>
      <c r="EU11" s="1127"/>
      <c r="EV11" s="1130">
        <f ca="1">EW11*(_xlfn.XLOOKUP(EV$3,TabCalc[Ticker],TabCalc[M])+EX11)</f>
        <v>0</v>
      </c>
      <c r="EW11" s="1132"/>
      <c r="EX11" s="1134"/>
      <c r="EY11" s="1130">
        <f ca="1">EZ11*(_xlfn.XLOOKUP(EY$3,TabCalc[Ticker],TabCalc[M])+FA11)</f>
        <v>0</v>
      </c>
      <c r="EZ11" s="1132"/>
      <c r="FA11" s="1134"/>
      <c r="FB11" s="1130">
        <f ca="1">FC11*(_xlfn.XLOOKUP(FB$3,TabCalc[Ticker],TabCalc[M])+FD11)</f>
        <v>0</v>
      </c>
      <c r="FC11" s="1132"/>
      <c r="FD11" s="1134"/>
      <c r="FE11" s="1130">
        <f ca="1">FF11*(_xlfn.XLOOKUP(FE$3,TabCalc[Ticker],TabCalc[M])+FG11)</f>
        <v>-4120.0000000000018</v>
      </c>
      <c r="FF11" s="1133">
        <v>10000</v>
      </c>
      <c r="FG11" s="1127">
        <v>-1.1000000000000001</v>
      </c>
      <c r="FH11" s="1130">
        <f ca="1">FI11*(_xlfn.XLOOKUP(FH$3,TabCalc[Ticker],TabCalc[M])+FJ11)</f>
        <v>0</v>
      </c>
      <c r="FI11" s="1133"/>
      <c r="FJ11" s="1127"/>
      <c r="FK11" s="1130">
        <f ca="1">FL11*(_xlfn.XLOOKUP(FK$3,TabCalc[Ticker],TabCalc[M])+FM11)</f>
        <v>0</v>
      </c>
      <c r="FL11" s="1132"/>
      <c r="FM11" s="1127"/>
      <c r="FN11" s="1130">
        <f ca="1">FO11*(_xlfn.XLOOKUP(FN$3,TabCalc[Ticker],TabCalc[M])+FP11)</f>
        <v>0</v>
      </c>
      <c r="FO11" s="1132"/>
      <c r="FP11" s="1127"/>
      <c r="FQ11" s="1130">
        <f ca="1">FR11*(_xlfn.XLOOKUP(FQ$3,TabCalc[Ticker],TabCalc[M])+FS11)</f>
        <v>3348.6000000000013</v>
      </c>
      <c r="FR11" s="1133">
        <v>2000</v>
      </c>
      <c r="FS11" s="1127">
        <v>-14.543699999999999</v>
      </c>
      <c r="FT11" s="1130">
        <f ca="1">FU11*(_xlfn.XLOOKUP(FT$3,TabCalc[Ticker],TabCalc[M])+FV11)</f>
        <v>0</v>
      </c>
      <c r="FU11" s="1133"/>
      <c r="FV11" s="1127"/>
      <c r="FW11" s="1130">
        <f ca="1">FX11*(_xlfn.XLOOKUP(FW$3,TabCalc[Ticker],TabCalc[M])+FY11)</f>
        <v>0</v>
      </c>
      <c r="FX11" s="1132"/>
      <c r="FY11" s="1127"/>
      <c r="FZ11" s="1130">
        <f ca="1">GA11*(_xlfn.XLOOKUP(FZ$3,TabCalc[Ticker],TabCalc[M])+GB11)</f>
        <v>0</v>
      </c>
      <c r="GA11" s="1133"/>
      <c r="GB11" s="1127"/>
      <c r="GC11" s="1130">
        <f ca="1">GD11*(_xlfn.XLOOKUP(GC$3,TabCalc[Ticker],TabCalc[M])+GE11)</f>
        <v>0</v>
      </c>
      <c r="GD11" s="1132"/>
      <c r="GE11" s="1127"/>
      <c r="GF11" s="1130">
        <f ca="1">GG11*(_xlfn.XLOOKUP(GF$3,TabCalc[Ticker],TabCalc[M])+GH11)</f>
        <v>0</v>
      </c>
      <c r="GG11" s="1132"/>
      <c r="GH11" s="1127"/>
      <c r="GI11" s="1130">
        <f ca="1">GJ11*(_xlfn.XLOOKUP(GI$3,TabCalc[Ticker],TabCalc[M])+GK11)</f>
        <v>0</v>
      </c>
      <c r="GJ11" s="1132"/>
      <c r="GK11" s="1127"/>
      <c r="GL11" s="1130">
        <f ca="1">GM11*(_xlfn.XLOOKUP(GL$3,TabCalc[Ticker],TabCalc[M])+GN11)</f>
        <v>0</v>
      </c>
      <c r="GM11" s="1132"/>
      <c r="GN11" s="1127"/>
      <c r="GO11" s="1130">
        <f ca="1">GP11*(_xlfn.XLOOKUP(GO$3,TabCalc[Ticker],TabCalc[M])+GQ11)</f>
        <v>0</v>
      </c>
      <c r="GP11" s="1132"/>
      <c r="GQ11" s="1127"/>
      <c r="GR11" s="1130">
        <f ca="1">GS11*(_xlfn.XLOOKUP(GR$3,TabCalc[Ticker],TabCalc[M])+GT11)</f>
        <v>0</v>
      </c>
      <c r="GS11" s="1132"/>
      <c r="GT11" s="1127"/>
      <c r="GU11" s="1130">
        <f ca="1">GV11*(_xlfn.XLOOKUP(GU$3,TabCalc[Ticker],TabCalc[M])+GW11)</f>
        <v>0</v>
      </c>
      <c r="GV11" s="1133"/>
      <c r="GW11" s="1127"/>
      <c r="GX11" s="1130">
        <f ca="1">GY11*(_xlfn.XLOOKUP(GX$3,TabCalc[Ticker],TabCalc[M])+GZ11)</f>
        <v>0</v>
      </c>
      <c r="GY11" s="1132"/>
      <c r="GZ11" s="1127"/>
      <c r="HA11" s="1130">
        <f ca="1">HB11*(_xlfn.XLOOKUP(HA$3,TabCalc[Ticker],TabCalc[M])+HC11)</f>
        <v>0</v>
      </c>
      <c r="HB11" s="1132"/>
      <c r="HC11" s="1127"/>
      <c r="HD11" s="1130">
        <f ca="1">HE11*(_xlfn.XLOOKUP(HD$3,TabCalc[Ticker],TabCalc[M])+HF11)</f>
        <v>0</v>
      </c>
      <c r="HE11" s="1132"/>
      <c r="HF11" s="1127"/>
      <c r="HG11" s="1130">
        <f ca="1">HH11*(_xlfn.XLOOKUP(HG$3,TabCalc[Ticker],TabCalc[M])+HI11)</f>
        <v>0</v>
      </c>
      <c r="HH11" s="1133"/>
      <c r="HI11" s="1127"/>
      <c r="HJ11" s="1130">
        <f ca="1">HK11*(_xlfn.XLOOKUP(HJ$3,TabCalc[Ticker],TabCalc[M])+HL11)</f>
        <v>0</v>
      </c>
      <c r="HK11" s="1133"/>
      <c r="HL11" s="1127"/>
      <c r="HM11" s="1130">
        <f ca="1">HN11*(_xlfn.XLOOKUP(HM$3,TabCalc[Ticker],TabCalc[M])+HO11)</f>
        <v>0</v>
      </c>
      <c r="HN11" s="1132"/>
      <c r="HO11" s="1127"/>
      <c r="HP11" s="1130">
        <f ca="1">HQ11*(_xlfn.XLOOKUP(HP$3,TabCalc[Ticker],TabCalc[M])+HR11)</f>
        <v>0</v>
      </c>
      <c r="HQ11" s="1132"/>
      <c r="HR11" s="1127"/>
      <c r="HS11" s="1130">
        <f ca="1">HT11*(_xlfn.XLOOKUP(HS$3,TabCalc[Ticker],TabCalc[M])+HU11)</f>
        <v>0</v>
      </c>
      <c r="HT11" s="1132"/>
      <c r="HU11" s="1127"/>
      <c r="HV11" s="1130">
        <f ca="1">HW11*(_xlfn.XLOOKUP(HV$3,TabCalc[Ticker],TabCalc[M])+HX11)</f>
        <v>0</v>
      </c>
      <c r="HW11" s="1132"/>
      <c r="HX11" s="1127"/>
      <c r="HY11" s="1130">
        <f ca="1">HZ11*(_xlfn.XLOOKUP(HY$3,TabCalc[Ticker],TabCalc[M])+IA11)</f>
        <v>0</v>
      </c>
      <c r="HZ11" s="1132"/>
      <c r="IA11" s="1127"/>
      <c r="IB11" s="1130">
        <f ca="1">IC11*(_xlfn.XLOOKUP(IB$3,TabCalc[Ticker],TabCalc[M])+ID11)</f>
        <v>0</v>
      </c>
      <c r="IC11" s="1132"/>
      <c r="ID11" s="1127"/>
      <c r="IE11" s="1130">
        <f ca="1">IF11*(_xlfn.XLOOKUP(IE$3,TabCalc[Ticker],TabCalc[M])+IG11)</f>
        <v>0</v>
      </c>
      <c r="IF11" s="1132"/>
      <c r="IG11" s="1127"/>
      <c r="IH11" s="1130">
        <f ca="1">II11*(_xlfn.XLOOKUP(IH$3,TabCalc[Ticker],TabCalc[M])+IJ11)</f>
        <v>0</v>
      </c>
      <c r="II11" s="1132"/>
      <c r="IJ11" s="1127"/>
      <c r="IK11" s="1130">
        <f ca="1">IL11*(_xlfn.XLOOKUP(IK$3,TabCalc[Ticker],TabCalc[M])+IM11)</f>
        <v>0</v>
      </c>
      <c r="IL11" s="1132"/>
      <c r="IM11" s="1127"/>
      <c r="IN11" s="1130">
        <f ca="1">IO11*(_xlfn.XLOOKUP(IN$3,TabCalc[Ticker],TabCalc[M])+IP11)</f>
        <v>0</v>
      </c>
      <c r="IO11" s="1132"/>
      <c r="IP11" s="1127"/>
      <c r="IQ11" s="1130">
        <f ca="1">IR11*(_xlfn.XLOOKUP(IQ$3,TabCalc[Ticker],TabCalc[M]))</f>
        <v>0</v>
      </c>
      <c r="IR11" s="1132"/>
      <c r="IS11" s="1127"/>
      <c r="IT11" s="1130">
        <f ca="1">IU11*(_xlfn.XLOOKUP(IT$3,TabCalc[Ticker],TabCalc[M])+IV11)</f>
        <v>0</v>
      </c>
      <c r="IU11" s="1132"/>
      <c r="IV11" s="1127"/>
      <c r="IW11" s="1130">
        <f ca="1">IX11*(_xlfn.XLOOKUP(IW$3,TabCalc[Ticker],TabCalc[M])+IY11)</f>
        <v>0</v>
      </c>
      <c r="IX11" s="1132"/>
      <c r="IY11" s="1127"/>
      <c r="IZ11" s="1130">
        <f ca="1">JA11*(_xlfn.XLOOKUP(IZ$3,TabCalc[Ticker],TabCalc[M])+JB11)</f>
        <v>0</v>
      </c>
      <c r="JA11" s="1132"/>
      <c r="JB11" s="1127"/>
      <c r="JC11" s="1130">
        <f ca="1">JD11*(_xlfn.XLOOKUP(JC$3,TabCalc[Ticker],TabCalc[M])+JE11)</f>
        <v>0</v>
      </c>
      <c r="JD11" s="1132"/>
      <c r="JE11" s="1127"/>
      <c r="JF11" s="1130">
        <f ca="1">JG11*(_xlfn.XLOOKUP(JF$3,TabCalc[Ticker],TabCalc[M])+JH11)</f>
        <v>0</v>
      </c>
      <c r="JG11" s="1132"/>
      <c r="JH11" s="1127"/>
      <c r="JI11" s="1130">
        <f ca="1">JJ11*(_xlfn.XLOOKUP(JI$3,TabCalc[Ticker],TabCalc[M])+JK11)</f>
        <v>0</v>
      </c>
      <c r="JJ11" s="1132"/>
      <c r="JK11" s="1127"/>
      <c r="JL11" s="1130">
        <f ca="1">JM11*(_xlfn.XLOOKUP(JL$3,TabCalc[Ticker],TabCalc[M])+JN11)</f>
        <v>0</v>
      </c>
      <c r="JM11" s="1132"/>
      <c r="JN11" s="1127"/>
      <c r="JO11" s="1130">
        <f ca="1">JP11*(_xlfn.XLOOKUP(JO$3,TabCalc[Ticker],TabCalc[M])+JQ11)</f>
        <v>0</v>
      </c>
      <c r="JP11" s="1132"/>
      <c r="JQ11" s="1127"/>
      <c r="JR11" s="1130">
        <f ca="1">JS11*(_xlfn.XLOOKUP(JR$3,TabCalc[Ticker],TabCalc[M])+JT11)</f>
        <v>0</v>
      </c>
      <c r="JS11" s="1132"/>
      <c r="JT11" s="1127"/>
      <c r="JU11" s="1130">
        <f ca="1">JV11*(_xlfn.XLOOKUP(JU$3,TabCalc[Ticker],TabCalc[M])+JW11)</f>
        <v>0</v>
      </c>
      <c r="JV11" s="1137"/>
      <c r="JW11" s="1127"/>
      <c r="JX11" s="1130">
        <f ca="1">JY11*(_xlfn.XLOOKUP(JX$3,TabCalc[Ticker],TabCalc[M])+JZ11)</f>
        <v>0</v>
      </c>
      <c r="JY11" s="1132"/>
      <c r="JZ11" s="1134"/>
    </row>
    <row r="12" spans="1:301" x14ac:dyDescent="0.3">
      <c r="A12">
        <v>9</v>
      </c>
      <c r="B12" s="1130">
        <f ca="1">C12*(_xlfn.XLOOKUP(B$3,TabCalc[Ticker],TabCalc[M])+D12)</f>
        <v>109655.99999999993</v>
      </c>
      <c r="C12" s="1133">
        <v>2400</v>
      </c>
      <c r="D12" s="1127">
        <v>-224.34</v>
      </c>
      <c r="E12" s="1130">
        <f ca="1">F12*(_xlfn.XLOOKUP(E$3,TabCalc[Ticker],TabCalc[M])+G12)</f>
        <v>0</v>
      </c>
      <c r="F12" s="1133"/>
      <c r="G12" s="1127"/>
      <c r="H12" s="1130">
        <f ca="1">I12*(_xlfn.XLOOKUP(H$3,TabCalc[Ticker],TabCalc[M])+J12)</f>
        <v>-450000</v>
      </c>
      <c r="I12" s="1133">
        <v>150000</v>
      </c>
      <c r="J12" s="1127">
        <v>-48</v>
      </c>
      <c r="K12" s="1130">
        <f ca="1">L12*(_xlfn.XLOOKUP(K$3,TabCalc[Ticker],TabCalc[M])+M12)</f>
        <v>4100.9999999999991</v>
      </c>
      <c r="L12" s="1133">
        <v>500</v>
      </c>
      <c r="M12" s="1127">
        <v>-212.98</v>
      </c>
      <c r="N12" s="1130">
        <f ca="1">O12*(_xlfn.XLOOKUP(N$3,TabCalc[Ticker],TabCalc[M])+P12)</f>
        <v>0</v>
      </c>
      <c r="O12" s="1133"/>
      <c r="P12" s="1127"/>
      <c r="Q12" s="1130">
        <f ca="1">R12*(_xlfn.XLOOKUP(Q$3,TabCalc[Ticker],TabCalc[M])+S12)</f>
        <v>71790.000000000015</v>
      </c>
      <c r="R12" s="1133">
        <v>300</v>
      </c>
      <c r="S12" s="1127">
        <v>-647.29999999999995</v>
      </c>
      <c r="T12" s="1130">
        <f ca="1">U12*(_xlfn.XLOOKUP(T$3,TabCalc[Ticker],TabCalc[M])+V12)</f>
        <v>0</v>
      </c>
      <c r="U12" s="1133"/>
      <c r="V12" s="1128"/>
      <c r="W12" s="1130">
        <f ca="1">X12*(_xlfn.XLOOKUP(W$3,TabCalc[Ticker],TabCalc[M])+Y12)</f>
        <v>0</v>
      </c>
      <c r="X12" s="1133"/>
      <c r="Y12" s="1127"/>
      <c r="Z12" s="1130">
        <f ca="1">AA12*(_xlfn.XLOOKUP(Z$3,TabCalc[Ticker],TabCalc[M])+AB12)</f>
        <v>0</v>
      </c>
      <c r="AA12" s="1133"/>
      <c r="AB12" s="1127"/>
      <c r="AC12" s="1130">
        <f ca="1">AD12*(_xlfn.XLOOKUP(AC$3,TabCalc[Ticker],TabCalc[M])+AE12)</f>
        <v>0</v>
      </c>
      <c r="AD12" s="1132"/>
      <c r="AE12" s="1127"/>
      <c r="AF12" s="1130">
        <f ca="1">AG12*(_xlfn.XLOOKUP(AF$3,TabCalc[Ticker],TabCalc[M])+AH12)</f>
        <v>0</v>
      </c>
      <c r="AG12" s="1133"/>
      <c r="AH12" s="1127"/>
      <c r="AI12" s="1130">
        <f ca="1">AJ12*(_xlfn.XLOOKUP(AI$3,TabCalc[Ticker],TabCalc[M])+AK12)</f>
        <v>0</v>
      </c>
      <c r="AJ12" s="1132"/>
      <c r="AK12" s="1127"/>
      <c r="AL12" s="1130">
        <f ca="1">AM12*(_xlfn.XLOOKUP(AL$3,TabCalc[Ticker],TabCalc[M])+AN12)</f>
        <v>0</v>
      </c>
      <c r="AM12" s="1132"/>
      <c r="AN12" s="1127"/>
      <c r="AO12" s="1130">
        <f ca="1">AP12*(_xlfn.XLOOKUP(AO$3,TabCalc[Ticker],TabCalc[M])+AQ12)</f>
        <v>0</v>
      </c>
      <c r="AP12" s="1133"/>
      <c r="AQ12" s="1127"/>
      <c r="AR12" s="1130">
        <f ca="1">AS12*(_xlfn.XLOOKUP(AR$3,TabCalc[Ticker],TabCalc[M])+AT12)</f>
        <v>0</v>
      </c>
      <c r="AS12" s="1132"/>
      <c r="AT12" s="1127"/>
      <c r="AU12" s="1130">
        <f ca="1">AV12*(_xlfn.XLOOKUP(AU$3,TabCalc[Ticker],TabCalc[M])+AW12)</f>
        <v>0</v>
      </c>
      <c r="AV12" s="1132"/>
      <c r="AW12" s="1127"/>
      <c r="AX12" s="1130">
        <f ca="1">AY12*(_xlfn.XLOOKUP(AX$3,TabCalc[Ticker],TabCalc[M])+AZ12)</f>
        <v>0</v>
      </c>
      <c r="AY12" s="1132"/>
      <c r="AZ12" s="1127"/>
      <c r="BA12" s="1130">
        <f ca="1">BB12*(_xlfn.XLOOKUP(BA$3,TabCalc[Ticker],TabCalc[M])+BC12)</f>
        <v>0</v>
      </c>
      <c r="BB12" s="1132"/>
      <c r="BC12" s="1127"/>
      <c r="BD12" s="1130">
        <f ca="1">BE12*(_xlfn.XLOOKUP(BD$3,TabCalc[Ticker],TabCalc[M])+BF12)</f>
        <v>0</v>
      </c>
      <c r="BE12" s="1132"/>
      <c r="BF12" s="1127"/>
      <c r="BG12" s="1130">
        <f ca="1">BH12*(_xlfn.XLOOKUP(BG$3,TabCalc[Ticker],TabCalc[M])+BI12)</f>
        <v>0</v>
      </c>
      <c r="BH12" s="1132"/>
      <c r="BI12" s="1127"/>
      <c r="BJ12" s="1130">
        <f ca="1">BK12*(_xlfn.XLOOKUP(BJ$3,TabCalc[Ticker],TabCalc[M])+BL12)</f>
        <v>0</v>
      </c>
      <c r="BK12" s="1132"/>
      <c r="BL12" s="1127"/>
      <c r="BM12" s="1130">
        <f ca="1">BN12*(_xlfn.XLOOKUP(BM$3,TabCalc[Ticker],TabCalc[M])+BO12)</f>
        <v>0</v>
      </c>
      <c r="BN12" s="1132"/>
      <c r="BO12" s="1127"/>
      <c r="BP12" s="1130">
        <f ca="1">BQ12*(_xlfn.XLOOKUP(BP$3,TabCalc[Ticker],TabCalc[M])+BR12)</f>
        <v>0</v>
      </c>
      <c r="BQ12" s="1132"/>
      <c r="BR12" s="1127"/>
      <c r="BS12" s="1130">
        <f ca="1">BT12*(_xlfn.XLOOKUP(BS$3,TabCalc[Ticker],TabCalc[M])+BU12)</f>
        <v>0</v>
      </c>
      <c r="BT12" s="1133"/>
      <c r="BU12" s="1127"/>
      <c r="BV12" s="1130">
        <f ca="1">BW12*(_xlfn.XLOOKUP(BV$3,TabCalc[Ticker],TabCalc[M])+BX12)</f>
        <v>0</v>
      </c>
      <c r="BW12" s="1132"/>
      <c r="BX12" s="1127"/>
      <c r="BY12" s="1130">
        <f ca="1">BZ12*(_xlfn.XLOOKUP(BY$3,TabCalc[Ticker],TabCalc[M])+CA12)</f>
        <v>0</v>
      </c>
      <c r="BZ12" s="1132"/>
      <c r="CA12" s="1127"/>
      <c r="CB12" s="1130">
        <f ca="1">CC12*(_xlfn.XLOOKUP(CB$3,TabCalc[Ticker],TabCalc[M])+CD12)</f>
        <v>0</v>
      </c>
      <c r="CC12" s="1132"/>
      <c r="CD12" s="1127"/>
      <c r="CE12" s="1130">
        <f ca="1">CF12*(_xlfn.XLOOKUP(CE$3,TabCalc[Ticker],TabCalc[M])+CG12)</f>
        <v>0</v>
      </c>
      <c r="CF12" s="1132"/>
      <c r="CG12" s="1127"/>
      <c r="CH12" s="1130">
        <f ca="1">CI12*(_xlfn.XLOOKUP(CH$3,TabCalc[Ticker],TabCalc[M])+CJ12)</f>
        <v>77440</v>
      </c>
      <c r="CI12" s="1133">
        <v>1000</v>
      </c>
      <c r="CJ12" s="1127">
        <v>-409.15</v>
      </c>
      <c r="CK12" s="1130">
        <f ca="1">CL12*(_xlfn.XLOOKUP(CK$3,TabCalc[Ticker],TabCalc[M])+CM12)</f>
        <v>0</v>
      </c>
      <c r="CL12" s="1133"/>
      <c r="CM12" s="1127"/>
      <c r="CN12" s="1130">
        <f ca="1">CO12*(_xlfn.XLOOKUP(CN$3,TabCalc[Ticker],TabCalc[M])+CP12)</f>
        <v>7995.9999999999955</v>
      </c>
      <c r="CO12" s="1133">
        <v>1000</v>
      </c>
      <c r="CP12" s="1127">
        <v>-79.599000000000004</v>
      </c>
      <c r="CQ12" s="1130">
        <f ca="1">CR12*(_xlfn.XLOOKUP(CQ$3,TabCalc[Ticker],TabCalc[M])+CS12)</f>
        <v>0</v>
      </c>
      <c r="CR12" s="1133"/>
      <c r="CS12" s="1127"/>
      <c r="CT12" s="1130">
        <f ca="1">CU12*(_xlfn.XLOOKUP(CT$3,TabCalc[Ticker],TabCalc[M])+CV12)</f>
        <v>0</v>
      </c>
      <c r="CU12" s="1133"/>
      <c r="CV12" s="1127"/>
      <c r="CW12" s="1130">
        <f ca="1">CX12*(_xlfn.XLOOKUP(CW$3,TabCalc[Ticker],TabCalc[M])+CY12)</f>
        <v>0</v>
      </c>
      <c r="CX12" s="1133"/>
      <c r="CY12" s="1127"/>
      <c r="CZ12" s="1130">
        <f ca="1">DA12*(_xlfn.XLOOKUP(CZ$3,TabCalc[Ticker],TabCalc[M])+DB12)</f>
        <v>0</v>
      </c>
      <c r="DA12" s="1132"/>
      <c r="DB12" s="1127"/>
      <c r="DC12" s="1130">
        <f ca="1">DD12*(_xlfn.XLOOKUP(DC$3,TabCalc[Ticker],TabCalc[M])+DE12)</f>
        <v>0</v>
      </c>
      <c r="DD12" s="1132"/>
      <c r="DE12" s="1127"/>
      <c r="DF12" s="1130">
        <f ca="1">DG12*(_xlfn.XLOOKUP(DF$3,TabCalc[Ticker],TabCalc[M])+DH12)</f>
        <v>0</v>
      </c>
      <c r="DG12" s="1132"/>
      <c r="DH12" s="1127"/>
      <c r="DI12" s="1130">
        <f ca="1">DJ12*(_xlfn.XLOOKUP(DI$3,TabCalc[Ticker],TabCalc[M])+DK12)</f>
        <v>0</v>
      </c>
      <c r="DJ12" s="1132"/>
      <c r="DK12" s="1127"/>
      <c r="DL12" s="1130">
        <f ca="1">DM12*(_xlfn.XLOOKUP(DL$3,TabCalc[Ticker],TabCalc[M])+DN12)</f>
        <v>0</v>
      </c>
      <c r="DM12" s="1132"/>
      <c r="DN12" s="1127"/>
      <c r="DO12" s="1130">
        <f ca="1">DP12*(_xlfn.XLOOKUP(DO$3,TabCalc[Ticker],TabCalc[M])+DQ12)</f>
        <v>0</v>
      </c>
      <c r="DP12" s="1132"/>
      <c r="DQ12" s="1127"/>
      <c r="DR12" s="1130">
        <f ca="1">DS12*(_xlfn.XLOOKUP(DR$3,TabCalc[Ticker],TabCalc[M])+DT12)</f>
        <v>0</v>
      </c>
      <c r="DS12" s="1132"/>
      <c r="DT12" s="1127"/>
      <c r="DU12" s="1130">
        <f ca="1">DV12*(_xlfn.XLOOKUP(DU$3,TabCalc[Ticker],TabCalc[M])+DW12)</f>
        <v>0</v>
      </c>
      <c r="DV12" s="1132"/>
      <c r="DW12" s="1127"/>
      <c r="DX12" s="1130">
        <f ca="1">DY12*(_xlfn.XLOOKUP(DX$3,TabCalc[Ticker],TabCalc[M])+DZ12)</f>
        <v>0</v>
      </c>
      <c r="DY12" s="1132"/>
      <c r="DZ12" s="1127"/>
      <c r="EA12" s="1130">
        <f ca="1">EB12*(_xlfn.XLOOKUP(EA$3,TabCalc[Ticker],TabCalc[M])+EC12)</f>
        <v>0</v>
      </c>
      <c r="EB12" s="1133"/>
      <c r="EC12" s="1127"/>
      <c r="ED12" s="1130">
        <f ca="1">EE12*(_xlfn.XLOOKUP(ED$3,TabCalc[Ticker],TabCalc[M])+EF12)</f>
        <v>0</v>
      </c>
      <c r="EE12" s="1132"/>
      <c r="EF12" s="1127"/>
      <c r="EG12" s="1130">
        <f ca="1">EH12*(_xlfn.XLOOKUP(EG$3,TabCalc[Ticker],TabCalc[M])+EI12)</f>
        <v>0</v>
      </c>
      <c r="EH12" s="1132"/>
      <c r="EI12" s="1127"/>
      <c r="EJ12" s="1130" t="e">
        <f ca="1">EK12*(_xlfn.XLOOKUP(EJ$3,TabCalc[Ticker],TabCalc[M])+EL12)</f>
        <v>#N/A</v>
      </c>
      <c r="EK12" s="1132"/>
      <c r="EL12" s="1127"/>
      <c r="EM12" s="1130">
        <f ca="1">EN12*(_xlfn.XLOOKUP(EM$3,TabCalc[Ticker],TabCalc[M])+EO12)</f>
        <v>0</v>
      </c>
      <c r="EN12" s="1132"/>
      <c r="EO12" s="1127"/>
      <c r="EP12" s="1130">
        <f ca="1">EQ12*(_xlfn.XLOOKUP(EP$3,TabCalc[Ticker],TabCalc[M])+ER12)</f>
        <v>-899.99999999999864</v>
      </c>
      <c r="EQ12" s="1133">
        <v>1000</v>
      </c>
      <c r="ER12" s="1127">
        <v>-60.1</v>
      </c>
      <c r="ES12" s="1130">
        <f ca="1">ET12*(_xlfn.XLOOKUP(ES$3,TabCalc[Ticker],TabCalc[M])+EU12)</f>
        <v>0</v>
      </c>
      <c r="ET12" s="1132"/>
      <c r="EU12" s="1127"/>
      <c r="EV12" s="1130">
        <f ca="1">EW12*(_xlfn.XLOOKUP(EV$3,TabCalc[Ticker],TabCalc[M])+EX12)</f>
        <v>0</v>
      </c>
      <c r="EW12" s="1132"/>
      <c r="EX12" s="1134"/>
      <c r="EY12" s="1130">
        <f ca="1">EZ12*(_xlfn.XLOOKUP(EY$3,TabCalc[Ticker],TabCalc[M])+FA12)</f>
        <v>0</v>
      </c>
      <c r="EZ12" s="1132"/>
      <c r="FA12" s="1134"/>
      <c r="FB12" s="1130">
        <f ca="1">FC12*(_xlfn.XLOOKUP(FB$3,TabCalc[Ticker],TabCalc[M])+FD12)</f>
        <v>0</v>
      </c>
      <c r="FC12" s="1132"/>
      <c r="FD12" s="1134"/>
      <c r="FE12" s="1130">
        <f ca="1">FF12*(_xlfn.XLOOKUP(FE$3,TabCalc[Ticker],TabCalc[M])+FG12)</f>
        <v>-190404.94199999998</v>
      </c>
      <c r="FF12" s="1133">
        <v>395031</v>
      </c>
      <c r="FG12" s="1127">
        <v>-1.17</v>
      </c>
      <c r="FH12" s="1130">
        <f ca="1">FI12*(_xlfn.XLOOKUP(FH$3,TabCalc[Ticker],TabCalc[M])+FJ12)</f>
        <v>0</v>
      </c>
      <c r="FI12" s="1133"/>
      <c r="FJ12" s="1127"/>
      <c r="FK12" s="1130">
        <f ca="1">FL12*(_xlfn.XLOOKUP(FK$3,TabCalc[Ticker],TabCalc[M])+FM12)</f>
        <v>0</v>
      </c>
      <c r="FL12" s="1132"/>
      <c r="FM12" s="1127"/>
      <c r="FN12" s="1130">
        <f ca="1">FO12*(_xlfn.XLOOKUP(FN$3,TabCalc[Ticker],TabCalc[M])+FP12)</f>
        <v>0</v>
      </c>
      <c r="FO12" s="1132"/>
      <c r="FP12" s="1127"/>
      <c r="FQ12" s="1130">
        <f ca="1">FR12*(_xlfn.XLOOKUP(FQ$3,TabCalc[Ticker],TabCalc[M])+FS12)</f>
        <v>2928.0000000000009</v>
      </c>
      <c r="FR12" s="1133">
        <v>2000</v>
      </c>
      <c r="FS12" s="1127">
        <v>-14.754</v>
      </c>
      <c r="FT12" s="1130">
        <f ca="1">FU12*(_xlfn.XLOOKUP(FT$3,TabCalc[Ticker],TabCalc[M])+FV12)</f>
        <v>0</v>
      </c>
      <c r="FU12" s="1133"/>
      <c r="FV12" s="1127"/>
      <c r="FW12" s="1130">
        <f ca="1">FX12*(_xlfn.XLOOKUP(FW$3,TabCalc[Ticker],TabCalc[M])+FY12)</f>
        <v>0</v>
      </c>
      <c r="FX12" s="1132"/>
      <c r="FY12" s="1127"/>
      <c r="FZ12" s="1130">
        <f ca="1">GA12*(_xlfn.XLOOKUP(FZ$3,TabCalc[Ticker],TabCalc[M])+GB12)</f>
        <v>0</v>
      </c>
      <c r="GA12" s="1133"/>
      <c r="GB12" s="1127"/>
      <c r="GC12" s="1130">
        <f ca="1">GD12*(_xlfn.XLOOKUP(GC$3,TabCalc[Ticker],TabCalc[M])+GE12)</f>
        <v>0</v>
      </c>
      <c r="GD12" s="1132"/>
      <c r="GE12" s="1127"/>
      <c r="GF12" s="1130">
        <f ca="1">GG12*(_xlfn.XLOOKUP(GF$3,TabCalc[Ticker],TabCalc[M])+GH12)</f>
        <v>0</v>
      </c>
      <c r="GG12" s="1132"/>
      <c r="GH12" s="1127"/>
      <c r="GI12" s="1130">
        <f ca="1">GJ12*(_xlfn.XLOOKUP(GI$3,TabCalc[Ticker],TabCalc[M])+GK12)</f>
        <v>0</v>
      </c>
      <c r="GJ12" s="1132"/>
      <c r="GK12" s="1127"/>
      <c r="GL12" s="1130">
        <f ca="1">GM12*(_xlfn.XLOOKUP(GL$3,TabCalc[Ticker],TabCalc[M])+GN12)</f>
        <v>0</v>
      </c>
      <c r="GM12" s="1132"/>
      <c r="GN12" s="1127"/>
      <c r="GO12" s="1130">
        <f ca="1">GP12*(_xlfn.XLOOKUP(GO$3,TabCalc[Ticker],TabCalc[M])+GQ12)</f>
        <v>0</v>
      </c>
      <c r="GP12" s="1132"/>
      <c r="GQ12" s="1127"/>
      <c r="GR12" s="1130">
        <f ca="1">GS12*(_xlfn.XLOOKUP(GR$3,TabCalc[Ticker],TabCalc[M])+GT12)</f>
        <v>0</v>
      </c>
      <c r="GS12" s="1132"/>
      <c r="GT12" s="1127"/>
      <c r="GU12" s="1130">
        <f ca="1">GV12*(_xlfn.XLOOKUP(GU$3,TabCalc[Ticker],TabCalc[M])+GW12)</f>
        <v>0</v>
      </c>
      <c r="GV12" s="1132"/>
      <c r="GW12" s="1127"/>
      <c r="GX12" s="1130">
        <f ca="1">GY12*(_xlfn.XLOOKUP(GX$3,TabCalc[Ticker],TabCalc[M])+GZ12)</f>
        <v>0</v>
      </c>
      <c r="GY12" s="1132"/>
      <c r="GZ12" s="1127"/>
      <c r="HA12" s="1130">
        <f ca="1">HB12*(_xlfn.XLOOKUP(HA$3,TabCalc[Ticker],TabCalc[M])+HC12)</f>
        <v>0</v>
      </c>
      <c r="HB12" s="1132"/>
      <c r="HC12" s="1127"/>
      <c r="HD12" s="1130">
        <f ca="1">HE12*(_xlfn.XLOOKUP(HD$3,TabCalc[Ticker],TabCalc[M])+HF12)</f>
        <v>0</v>
      </c>
      <c r="HE12" s="1132"/>
      <c r="HF12" s="1127"/>
      <c r="HG12" s="1130">
        <f ca="1">HH12*(_xlfn.XLOOKUP(HG$3,TabCalc[Ticker],TabCalc[M])+HI12)</f>
        <v>0</v>
      </c>
      <c r="HH12" s="1133"/>
      <c r="HI12" s="1127"/>
      <c r="HJ12" s="1130">
        <f ca="1">HK12*(_xlfn.XLOOKUP(HJ$3,TabCalc[Ticker],TabCalc[M])+HL12)</f>
        <v>0</v>
      </c>
      <c r="HK12" s="1132"/>
      <c r="HL12" s="1127"/>
      <c r="HM12" s="1130">
        <f ca="1">HN12*(_xlfn.XLOOKUP(HM$3,TabCalc[Ticker],TabCalc[M])+HO12)</f>
        <v>0</v>
      </c>
      <c r="HN12" s="1132"/>
      <c r="HO12" s="1127"/>
      <c r="HP12" s="1130">
        <f ca="1">HQ12*(_xlfn.XLOOKUP(HP$3,TabCalc[Ticker],TabCalc[M])+HR12)</f>
        <v>0</v>
      </c>
      <c r="HQ12" s="1132"/>
      <c r="HR12" s="1127"/>
      <c r="HS12" s="1130">
        <f ca="1">HT12*(_xlfn.XLOOKUP(HS$3,TabCalc[Ticker],TabCalc[M])+HU12)</f>
        <v>0</v>
      </c>
      <c r="HT12" s="1132"/>
      <c r="HU12" s="1127"/>
      <c r="HV12" s="1130">
        <f ca="1">HW12*(_xlfn.XLOOKUP(HV$3,TabCalc[Ticker],TabCalc[M])+HX12)</f>
        <v>0</v>
      </c>
      <c r="HW12" s="1132"/>
      <c r="HX12" s="1127"/>
      <c r="HY12" s="1130">
        <f ca="1">HZ12*(_xlfn.XLOOKUP(HY$3,TabCalc[Ticker],TabCalc[M])+IA12)</f>
        <v>0</v>
      </c>
      <c r="HZ12" s="1132"/>
      <c r="IA12" s="1127"/>
      <c r="IB12" s="1130">
        <f ca="1">IC12*(_xlfn.XLOOKUP(IB$3,TabCalc[Ticker],TabCalc[M])+ID12)</f>
        <v>0</v>
      </c>
      <c r="IC12" s="1132"/>
      <c r="ID12" s="1127"/>
      <c r="IE12" s="1130">
        <f ca="1">IF12*(_xlfn.XLOOKUP(IE$3,TabCalc[Ticker],TabCalc[M])+IG12)</f>
        <v>0</v>
      </c>
      <c r="IF12" s="1132"/>
      <c r="IG12" s="1127"/>
      <c r="IH12" s="1130">
        <f ca="1">II12*(_xlfn.XLOOKUP(IH$3,TabCalc[Ticker],TabCalc[M])+IJ12)</f>
        <v>0</v>
      </c>
      <c r="II12" s="1132"/>
      <c r="IJ12" s="1127"/>
      <c r="IK12" s="1130">
        <f ca="1">IL12*(_xlfn.XLOOKUP(IK$3,TabCalc[Ticker],TabCalc[M])+IM12)</f>
        <v>0</v>
      </c>
      <c r="IL12" s="1132"/>
      <c r="IM12" s="1127"/>
      <c r="IN12" s="1130">
        <f ca="1">IO12*(_xlfn.XLOOKUP(IN$3,TabCalc[Ticker],TabCalc[M])+IP12)</f>
        <v>0</v>
      </c>
      <c r="IO12" s="1132"/>
      <c r="IP12" s="1127"/>
      <c r="IQ12" s="1130">
        <f ca="1">IR12*(_xlfn.XLOOKUP(IQ$3,TabCalc[Ticker],TabCalc[M]))</f>
        <v>0</v>
      </c>
      <c r="IR12" s="1132"/>
      <c r="IS12" s="1127"/>
      <c r="IT12" s="1130">
        <f ca="1">IU12*(_xlfn.XLOOKUP(IT$3,TabCalc[Ticker],TabCalc[M])+IV12)</f>
        <v>0</v>
      </c>
      <c r="IU12" s="1132"/>
      <c r="IV12" s="1127"/>
      <c r="IW12" s="1130">
        <f ca="1">IX12*(_xlfn.XLOOKUP(IW$3,TabCalc[Ticker],TabCalc[M])+IY12)</f>
        <v>0</v>
      </c>
      <c r="IX12" s="1132"/>
      <c r="IY12" s="1127"/>
      <c r="IZ12" s="1130">
        <f ca="1">JA12*(_xlfn.XLOOKUP(IZ$3,TabCalc[Ticker],TabCalc[M])+JB12)</f>
        <v>0</v>
      </c>
      <c r="JA12" s="1132"/>
      <c r="JB12" s="1127"/>
      <c r="JC12" s="1130">
        <f ca="1">JD12*(_xlfn.XLOOKUP(JC$3,TabCalc[Ticker],TabCalc[M])+JE12)</f>
        <v>0</v>
      </c>
      <c r="JD12" s="1132"/>
      <c r="JE12" s="1127"/>
      <c r="JF12" s="1130">
        <f ca="1">JG12*(_xlfn.XLOOKUP(JF$3,TabCalc[Ticker],TabCalc[M])+JH12)</f>
        <v>0</v>
      </c>
      <c r="JG12" s="1132"/>
      <c r="JH12" s="1127"/>
      <c r="JI12" s="1130">
        <f ca="1">JJ12*(_xlfn.XLOOKUP(JI$3,TabCalc[Ticker],TabCalc[M])+JK12)</f>
        <v>0</v>
      </c>
      <c r="JJ12" s="1132"/>
      <c r="JK12" s="1127"/>
      <c r="JL12" s="1130">
        <f ca="1">JM12*(_xlfn.XLOOKUP(JL$3,TabCalc[Ticker],TabCalc[M])+JN12)</f>
        <v>0</v>
      </c>
      <c r="JM12" s="1132"/>
      <c r="JN12" s="1127"/>
      <c r="JO12" s="1130">
        <f ca="1">JP12*(_xlfn.XLOOKUP(JO$3,TabCalc[Ticker],TabCalc[M])+JQ12)</f>
        <v>0</v>
      </c>
      <c r="JP12" s="1132"/>
      <c r="JQ12" s="1127"/>
      <c r="JR12" s="1130">
        <f ca="1">JS12*(_xlfn.XLOOKUP(JR$3,TabCalc[Ticker],TabCalc[M])+JT12)</f>
        <v>0</v>
      </c>
      <c r="JS12" s="1132"/>
      <c r="JT12" s="1127"/>
      <c r="JU12" s="1130">
        <f ca="1">JV12*(_xlfn.XLOOKUP(JU$3,TabCalc[Ticker],TabCalc[M])+JW12)</f>
        <v>0</v>
      </c>
      <c r="JV12" s="1137"/>
      <c r="JW12" s="1127"/>
      <c r="JX12" s="1130">
        <f ca="1">JY12*(_xlfn.XLOOKUP(JX$3,TabCalc[Ticker],TabCalc[M])+JZ12)</f>
        <v>0</v>
      </c>
      <c r="JY12" s="1132"/>
      <c r="JZ12" s="1134"/>
    </row>
    <row r="13" spans="1:301" x14ac:dyDescent="0.3">
      <c r="A13">
        <v>10</v>
      </c>
      <c r="B13" s="1130">
        <f ca="1">C13*(_xlfn.XLOOKUP(B$3,TabCalc[Ticker],TabCalc[M])+D13)</f>
        <v>11798.999999999995</v>
      </c>
      <c r="C13" s="1133">
        <v>300</v>
      </c>
      <c r="D13" s="1127">
        <v>-230.7</v>
      </c>
      <c r="E13" s="1130">
        <f ca="1">F13*(_xlfn.XLOOKUP(E$3,TabCalc[Ticker],TabCalc[M])+G13)</f>
        <v>0</v>
      </c>
      <c r="F13" s="1133"/>
      <c r="G13" s="1127"/>
      <c r="H13" s="1130">
        <f ca="1">I13*(_xlfn.XLOOKUP(H$3,TabCalc[Ticker],TabCalc[M])+J13)</f>
        <v>-450000</v>
      </c>
      <c r="I13" s="1133">
        <v>150000</v>
      </c>
      <c r="J13" s="1127">
        <v>-48</v>
      </c>
      <c r="K13" s="1130">
        <f ca="1">L13*(_xlfn.XLOOKUP(K$3,TabCalc[Ticker],TabCalc[M])+M13)</f>
        <v>12323.999999999956</v>
      </c>
      <c r="L13" s="1133">
        <v>2000</v>
      </c>
      <c r="M13" s="1127">
        <v>-215.02</v>
      </c>
      <c r="N13" s="1130">
        <f ca="1">O13*(_xlfn.XLOOKUP(N$3,TabCalc[Ticker],TabCalc[M])+P13)</f>
        <v>0</v>
      </c>
      <c r="O13" s="1133"/>
      <c r="P13" s="1127"/>
      <c r="Q13" s="1130">
        <f ca="1">R13*(_xlfn.XLOOKUP(Q$3,TabCalc[Ticker],TabCalc[M])+S13)</f>
        <v>58710.000000000015</v>
      </c>
      <c r="R13" s="1133">
        <v>300</v>
      </c>
      <c r="S13" s="1127">
        <v>-690.9</v>
      </c>
      <c r="T13" s="1130">
        <f ca="1">U13*(_xlfn.XLOOKUP(T$3,TabCalc[Ticker],TabCalc[M])+V13)</f>
        <v>0</v>
      </c>
      <c r="U13" s="1133"/>
      <c r="V13" s="1128"/>
      <c r="W13" s="1130">
        <f ca="1">X13*(_xlfn.XLOOKUP(W$3,TabCalc[Ticker],TabCalc[M])+Y13)</f>
        <v>0</v>
      </c>
      <c r="X13" s="1133"/>
      <c r="Y13" s="1127"/>
      <c r="Z13" s="1130">
        <f ca="1">AA13*(_xlfn.XLOOKUP(Z$3,TabCalc[Ticker],TabCalc[M])+AB13)</f>
        <v>0</v>
      </c>
      <c r="AA13" s="1133"/>
      <c r="AB13" s="1127"/>
      <c r="AC13" s="1130">
        <f ca="1">AD13*(_xlfn.XLOOKUP(AC$3,TabCalc[Ticker],TabCalc[M])+AE13)</f>
        <v>0</v>
      </c>
      <c r="AD13" s="1132"/>
      <c r="AE13" s="1127"/>
      <c r="AF13" s="1130">
        <f ca="1">AG13*(_xlfn.XLOOKUP(AF$3,TabCalc[Ticker],TabCalc[M])+AH13)</f>
        <v>0</v>
      </c>
      <c r="AG13" s="1133"/>
      <c r="AH13" s="1127"/>
      <c r="AI13" s="1130">
        <f ca="1">AJ13*(_xlfn.XLOOKUP(AI$3,TabCalc[Ticker],TabCalc[M])+AK13)</f>
        <v>0</v>
      </c>
      <c r="AJ13" s="1132"/>
      <c r="AK13" s="1127"/>
      <c r="AL13" s="1130">
        <f ca="1">AM13*(_xlfn.XLOOKUP(AL$3,TabCalc[Ticker],TabCalc[M])+AN13)</f>
        <v>0</v>
      </c>
      <c r="AM13" s="1132"/>
      <c r="AN13" s="1127"/>
      <c r="AO13" s="1130">
        <f ca="1">AP13*(_xlfn.XLOOKUP(AO$3,TabCalc[Ticker],TabCalc[M])+AQ13)</f>
        <v>0</v>
      </c>
      <c r="AP13" s="1132"/>
      <c r="AQ13" s="1127"/>
      <c r="AR13" s="1130">
        <f ca="1">AS13*(_xlfn.XLOOKUP(AR$3,TabCalc[Ticker],TabCalc[M])+AT13)</f>
        <v>0</v>
      </c>
      <c r="AS13" s="1132"/>
      <c r="AT13" s="1127"/>
      <c r="AU13" s="1130">
        <f ca="1">AV13*(_xlfn.XLOOKUP(AU$3,TabCalc[Ticker],TabCalc[M])+AW13)</f>
        <v>0</v>
      </c>
      <c r="AV13" s="1132"/>
      <c r="AW13" s="1127"/>
      <c r="AX13" s="1130">
        <f ca="1">AY13*(_xlfn.XLOOKUP(AX$3,TabCalc[Ticker],TabCalc[M])+AZ13)</f>
        <v>0</v>
      </c>
      <c r="AY13" s="1132"/>
      <c r="AZ13" s="1127"/>
      <c r="BA13" s="1130">
        <f ca="1">BB13*(_xlfn.XLOOKUP(BA$3,TabCalc[Ticker],TabCalc[M])+BC13)</f>
        <v>0</v>
      </c>
      <c r="BB13" s="1132"/>
      <c r="BC13" s="1127"/>
      <c r="BD13" s="1130">
        <f ca="1">BE13*(_xlfn.XLOOKUP(BD$3,TabCalc[Ticker],TabCalc[M])+BF13)</f>
        <v>0</v>
      </c>
      <c r="BE13" s="1132"/>
      <c r="BF13" s="1127"/>
      <c r="BG13" s="1130">
        <f ca="1">BH13*(_xlfn.XLOOKUP(BG$3,TabCalc[Ticker],TabCalc[M])+BI13)</f>
        <v>0</v>
      </c>
      <c r="BH13" s="1132"/>
      <c r="BI13" s="1127"/>
      <c r="BJ13" s="1130">
        <f ca="1">BK13*(_xlfn.XLOOKUP(BJ$3,TabCalc[Ticker],TabCalc[M])+BL13)</f>
        <v>0</v>
      </c>
      <c r="BK13" s="1132"/>
      <c r="BL13" s="1127"/>
      <c r="BM13" s="1130">
        <f ca="1">BN13*(_xlfn.XLOOKUP(BM$3,TabCalc[Ticker],TabCalc[M])+BO13)</f>
        <v>0</v>
      </c>
      <c r="BN13" s="1132"/>
      <c r="BO13" s="1127"/>
      <c r="BP13" s="1130">
        <f ca="1">BQ13*(_xlfn.XLOOKUP(BP$3,TabCalc[Ticker],TabCalc[M])+BR13)</f>
        <v>0</v>
      </c>
      <c r="BQ13" s="1132"/>
      <c r="BR13" s="1127"/>
      <c r="BS13" s="1130">
        <f ca="1">BT13*(_xlfn.XLOOKUP(BS$3,TabCalc[Ticker],TabCalc[M])+BU13)</f>
        <v>0</v>
      </c>
      <c r="BT13" s="1133"/>
      <c r="BU13" s="1127"/>
      <c r="BV13" s="1130">
        <f ca="1">BW13*(_xlfn.XLOOKUP(BV$3,TabCalc[Ticker],TabCalc[M])+BX13)</f>
        <v>0</v>
      </c>
      <c r="BW13" s="1132"/>
      <c r="BX13" s="1127"/>
      <c r="BY13" s="1130">
        <f ca="1">BZ13*(_xlfn.XLOOKUP(BY$3,TabCalc[Ticker],TabCalc[M])+CA13)</f>
        <v>0</v>
      </c>
      <c r="BZ13" s="1132"/>
      <c r="CA13" s="1127"/>
      <c r="CB13" s="1130">
        <f ca="1">CC13*(_xlfn.XLOOKUP(CB$3,TabCalc[Ticker],TabCalc[M])+CD13)</f>
        <v>0</v>
      </c>
      <c r="CC13" s="1132"/>
      <c r="CD13" s="1127"/>
      <c r="CE13" s="1130">
        <f ca="1">CF13*(_xlfn.XLOOKUP(CE$3,TabCalc[Ticker],TabCalc[M])+CG13)</f>
        <v>0</v>
      </c>
      <c r="CF13" s="1132"/>
      <c r="CG13" s="1127"/>
      <c r="CH13" s="1130">
        <f ca="1">CI13*(_xlfn.XLOOKUP(CH$3,TabCalc[Ticker],TabCalc[M])+CJ13)</f>
        <v>21011.999999999989</v>
      </c>
      <c r="CI13" s="1133">
        <v>300</v>
      </c>
      <c r="CJ13" s="1127">
        <v>-416.55</v>
      </c>
      <c r="CK13" s="1130">
        <f ca="1">CL13*(_xlfn.XLOOKUP(CK$3,TabCalc[Ticker],TabCalc[M])+CM13)</f>
        <v>0</v>
      </c>
      <c r="CL13" s="1133"/>
      <c r="CM13" s="1127"/>
      <c r="CN13" s="1130">
        <f ca="1">CO13*(_xlfn.XLOOKUP(CN$3,TabCalc[Ticker],TabCalc[M])+CP13)</f>
        <v>7715.0000000000036</v>
      </c>
      <c r="CO13" s="1133">
        <v>1000</v>
      </c>
      <c r="CP13" s="1127">
        <v>-79.88</v>
      </c>
      <c r="CQ13" s="1130">
        <f ca="1">CR13*(_xlfn.XLOOKUP(CQ$3,TabCalc[Ticker],TabCalc[M])+CS13)</f>
        <v>0</v>
      </c>
      <c r="CR13" s="1132"/>
      <c r="CS13" s="1127"/>
      <c r="CT13" s="1130">
        <f ca="1">CU13*(_xlfn.XLOOKUP(CT$3,TabCalc[Ticker],TabCalc[M])+CV13)</f>
        <v>0</v>
      </c>
      <c r="CU13" s="1133"/>
      <c r="CV13" s="1127"/>
      <c r="CW13" s="1130">
        <f ca="1">CX13*(_xlfn.XLOOKUP(CW$3,TabCalc[Ticker],TabCalc[M])+CY13)</f>
        <v>0</v>
      </c>
      <c r="CX13" s="1133"/>
      <c r="CY13" s="1127"/>
      <c r="CZ13" s="1130">
        <f ca="1">DA13*(_xlfn.XLOOKUP(CZ$3,TabCalc[Ticker],TabCalc[M])+DB13)</f>
        <v>0</v>
      </c>
      <c r="DA13" s="1132"/>
      <c r="DB13" s="1127"/>
      <c r="DC13" s="1130">
        <f ca="1">DD13*(_xlfn.XLOOKUP(DC$3,TabCalc[Ticker],TabCalc[M])+DE13)</f>
        <v>0</v>
      </c>
      <c r="DD13" s="1132"/>
      <c r="DE13" s="1127"/>
      <c r="DF13" s="1130">
        <f ca="1">DG13*(_xlfn.XLOOKUP(DF$3,TabCalc[Ticker],TabCalc[M])+DH13)</f>
        <v>0</v>
      </c>
      <c r="DG13" s="1132"/>
      <c r="DH13" s="1127"/>
      <c r="DI13" s="1130">
        <f ca="1">DJ13*(_xlfn.XLOOKUP(DI$3,TabCalc[Ticker],TabCalc[M])+DK13)</f>
        <v>0</v>
      </c>
      <c r="DJ13" s="1132"/>
      <c r="DK13" s="1127"/>
      <c r="DL13" s="1130">
        <f ca="1">DM13*(_xlfn.XLOOKUP(DL$3,TabCalc[Ticker],TabCalc[M])+DN13)</f>
        <v>0</v>
      </c>
      <c r="DM13" s="1132"/>
      <c r="DN13" s="1127"/>
      <c r="DO13" s="1130">
        <f ca="1">DP13*(_xlfn.XLOOKUP(DO$3,TabCalc[Ticker],TabCalc[M])+DQ13)</f>
        <v>0</v>
      </c>
      <c r="DP13" s="1132"/>
      <c r="DQ13" s="1127"/>
      <c r="DR13" s="1130">
        <f ca="1">DS13*(_xlfn.XLOOKUP(DR$3,TabCalc[Ticker],TabCalc[M])+DT13)</f>
        <v>0</v>
      </c>
      <c r="DS13" s="1132"/>
      <c r="DT13" s="1127"/>
      <c r="DU13" s="1130">
        <f ca="1">DV13*(_xlfn.XLOOKUP(DU$3,TabCalc[Ticker],TabCalc[M])+DW13)</f>
        <v>0</v>
      </c>
      <c r="DV13" s="1132"/>
      <c r="DW13" s="1127"/>
      <c r="DX13" s="1130">
        <f ca="1">DY13*(_xlfn.XLOOKUP(DX$3,TabCalc[Ticker],TabCalc[M])+DZ13)</f>
        <v>0</v>
      </c>
      <c r="DY13" s="1132"/>
      <c r="DZ13" s="1127"/>
      <c r="EA13" s="1130">
        <f ca="1">EB13*(_xlfn.XLOOKUP(EA$3,TabCalc[Ticker],TabCalc[M])+EC13)</f>
        <v>0</v>
      </c>
      <c r="EB13" s="1132"/>
      <c r="EC13" s="1127"/>
      <c r="ED13" s="1130">
        <f ca="1">EE13*(_xlfn.XLOOKUP(ED$3,TabCalc[Ticker],TabCalc[M])+EF13)</f>
        <v>0</v>
      </c>
      <c r="EE13" s="1132"/>
      <c r="EF13" s="1127"/>
      <c r="EG13" s="1130">
        <f ca="1">EH13*(_xlfn.XLOOKUP(EG$3,TabCalc[Ticker],TabCalc[M])+EI13)</f>
        <v>0</v>
      </c>
      <c r="EH13" s="1132"/>
      <c r="EI13" s="1127"/>
      <c r="EJ13" s="1130" t="e">
        <f ca="1">EK13*(_xlfn.XLOOKUP(EJ$3,TabCalc[Ticker],TabCalc[M])+EL13)</f>
        <v>#N/A</v>
      </c>
      <c r="EK13" s="1132"/>
      <c r="EL13" s="1127"/>
      <c r="EM13" s="1130">
        <f ca="1">EN13*(_xlfn.XLOOKUP(EM$3,TabCalc[Ticker],TabCalc[M])+EO13)</f>
        <v>0</v>
      </c>
      <c r="EN13" s="1132"/>
      <c r="EO13" s="1127"/>
      <c r="EP13" s="1130">
        <f ca="1">EQ13*(_xlfn.XLOOKUP(EP$3,TabCalc[Ticker],TabCalc[M])+ER13)</f>
        <v>-3699.9999999999886</v>
      </c>
      <c r="EQ13" s="1133">
        <v>2000</v>
      </c>
      <c r="ER13" s="1127">
        <v>-61.05</v>
      </c>
      <c r="ES13" s="1130">
        <f ca="1">ET13*(_xlfn.XLOOKUP(ES$3,TabCalc[Ticker],TabCalc[M])+EU13)</f>
        <v>0</v>
      </c>
      <c r="ET13" s="1132"/>
      <c r="EU13" s="1127"/>
      <c r="EV13" s="1130">
        <f ca="1">EW13*(_xlfn.XLOOKUP(EV$3,TabCalc[Ticker],TabCalc[M])+EX13)</f>
        <v>0</v>
      </c>
      <c r="EW13" s="1132"/>
      <c r="EX13" s="1134"/>
      <c r="EY13" s="1130">
        <f ca="1">EZ13*(_xlfn.XLOOKUP(EY$3,TabCalc[Ticker],TabCalc[M])+FA13)</f>
        <v>0</v>
      </c>
      <c r="EZ13" s="1132"/>
      <c r="FA13" s="1134"/>
      <c r="FB13" s="1130">
        <f ca="1">FC13*(_xlfn.XLOOKUP(FB$3,TabCalc[Ticker],TabCalc[M])+FD13)</f>
        <v>0</v>
      </c>
      <c r="FC13" s="1132"/>
      <c r="FD13" s="1134"/>
      <c r="FE13" s="1130">
        <f ca="1">FF13*(_xlfn.XLOOKUP(FE$3,TabCalc[Ticker],TabCalc[M])+FG13)</f>
        <v>-13610.000000000002</v>
      </c>
      <c r="FF13" s="1133">
        <v>5000</v>
      </c>
      <c r="FG13" s="1127">
        <v>-3.41</v>
      </c>
      <c r="FH13" s="1130">
        <f ca="1">FI13*(_xlfn.XLOOKUP(FH$3,TabCalc[Ticker],TabCalc[M])+FJ13)</f>
        <v>0</v>
      </c>
      <c r="FI13" s="1133"/>
      <c r="FJ13" s="1127"/>
      <c r="FK13" s="1130">
        <f ca="1">FL13*(_xlfn.XLOOKUP(FK$3,TabCalc[Ticker],TabCalc[M])+FM13)</f>
        <v>0</v>
      </c>
      <c r="FL13" s="1132"/>
      <c r="FM13" s="1127"/>
      <c r="FN13" s="1130">
        <f ca="1">FO13*(_xlfn.XLOOKUP(FN$3,TabCalc[Ticker],TabCalc[M])+FP13)</f>
        <v>0</v>
      </c>
      <c r="FO13" s="1132"/>
      <c r="FP13" s="1127"/>
      <c r="FQ13" s="1130">
        <f ca="1">FR13*(_xlfn.XLOOKUP(FQ$3,TabCalc[Ticker],TabCalc[M])+FS13)</f>
        <v>0</v>
      </c>
      <c r="FR13" s="1133"/>
      <c r="FS13" s="1127"/>
      <c r="FT13" s="1130">
        <f ca="1">FU13*(_xlfn.XLOOKUP(FT$3,TabCalc[Ticker],TabCalc[M])+FV13)</f>
        <v>0</v>
      </c>
      <c r="FU13" s="1132"/>
      <c r="FV13" s="1127"/>
      <c r="FW13" s="1130">
        <f ca="1">FX13*(_xlfn.XLOOKUP(FW$3,TabCalc[Ticker],TabCalc[M])+FY13)</f>
        <v>0</v>
      </c>
      <c r="FX13" s="1132"/>
      <c r="FY13" s="1127"/>
      <c r="FZ13" s="1130">
        <f ca="1">GA13*(_xlfn.XLOOKUP(FZ$3,TabCalc[Ticker],TabCalc[M])+GB13)</f>
        <v>0</v>
      </c>
      <c r="GA13" s="1133"/>
      <c r="GB13" s="1127"/>
      <c r="GC13" s="1130">
        <f ca="1">GD13*(_xlfn.XLOOKUP(GC$3,TabCalc[Ticker],TabCalc[M])+GE13)</f>
        <v>0</v>
      </c>
      <c r="GD13" s="1132"/>
      <c r="GE13" s="1127"/>
      <c r="GF13" s="1130">
        <f ca="1">GG13*(_xlfn.XLOOKUP(GF$3,TabCalc[Ticker],TabCalc[M])+GH13)</f>
        <v>0</v>
      </c>
      <c r="GG13" s="1132"/>
      <c r="GH13" s="1127"/>
      <c r="GI13" s="1130">
        <f ca="1">GJ13*(_xlfn.XLOOKUP(GI$3,TabCalc[Ticker],TabCalc[M])+GK13)</f>
        <v>0</v>
      </c>
      <c r="GJ13" s="1132"/>
      <c r="GK13" s="1127"/>
      <c r="GL13" s="1130">
        <f ca="1">GM13*(_xlfn.XLOOKUP(GL$3,TabCalc[Ticker],TabCalc[M])+GN13)</f>
        <v>0</v>
      </c>
      <c r="GM13" s="1132"/>
      <c r="GN13" s="1127"/>
      <c r="GO13" s="1130">
        <f ca="1">GP13*(_xlfn.XLOOKUP(GO$3,TabCalc[Ticker],TabCalc[M])+GQ13)</f>
        <v>0</v>
      </c>
      <c r="GP13" s="1132"/>
      <c r="GQ13" s="1127"/>
      <c r="GR13" s="1130">
        <f ca="1">GS13*(_xlfn.XLOOKUP(GR$3,TabCalc[Ticker],TabCalc[M])+GT13)</f>
        <v>0</v>
      </c>
      <c r="GS13" s="1132"/>
      <c r="GT13" s="1127"/>
      <c r="GU13" s="1130">
        <f ca="1">GV13*(_xlfn.XLOOKUP(GU$3,TabCalc[Ticker],TabCalc[M])+GW13)</f>
        <v>0</v>
      </c>
      <c r="GV13" s="1132"/>
      <c r="GW13" s="1127"/>
      <c r="GX13" s="1130">
        <f ca="1">GY13*(_xlfn.XLOOKUP(GX$3,TabCalc[Ticker],TabCalc[M])+GZ13)</f>
        <v>0</v>
      </c>
      <c r="GY13" s="1132"/>
      <c r="GZ13" s="1127"/>
      <c r="HA13" s="1130">
        <f ca="1">HB13*(_xlfn.XLOOKUP(HA$3,TabCalc[Ticker],TabCalc[M])+HC13)</f>
        <v>0</v>
      </c>
      <c r="HB13" s="1132"/>
      <c r="HC13" s="1127"/>
      <c r="HD13" s="1130">
        <f ca="1">HE13*(_xlfn.XLOOKUP(HD$3,TabCalc[Ticker],TabCalc[M])+HF13)</f>
        <v>0</v>
      </c>
      <c r="HE13" s="1132"/>
      <c r="HF13" s="1127"/>
      <c r="HG13" s="1130">
        <f ca="1">HH13*(_xlfn.XLOOKUP(HG$3,TabCalc[Ticker],TabCalc[M])+HI13)</f>
        <v>0</v>
      </c>
      <c r="HH13" s="1133"/>
      <c r="HI13" s="1127"/>
      <c r="HJ13" s="1130">
        <f ca="1">HK13*(_xlfn.XLOOKUP(HJ$3,TabCalc[Ticker],TabCalc[M])+HL13)</f>
        <v>0</v>
      </c>
      <c r="HK13" s="1132"/>
      <c r="HL13" s="1127"/>
      <c r="HM13" s="1130">
        <f ca="1">HN13*(_xlfn.XLOOKUP(HM$3,TabCalc[Ticker],TabCalc[M])+HO13)</f>
        <v>0</v>
      </c>
      <c r="HN13" s="1132"/>
      <c r="HO13" s="1127"/>
      <c r="HP13" s="1130">
        <f ca="1">HQ13*(_xlfn.XLOOKUP(HP$3,TabCalc[Ticker],TabCalc[M])+HR13)</f>
        <v>0</v>
      </c>
      <c r="HQ13" s="1132"/>
      <c r="HR13" s="1127"/>
      <c r="HS13" s="1130">
        <f ca="1">HT13*(_xlfn.XLOOKUP(HS$3,TabCalc[Ticker],TabCalc[M])+HU13)</f>
        <v>0</v>
      </c>
      <c r="HT13" s="1132"/>
      <c r="HU13" s="1127"/>
      <c r="HV13" s="1130">
        <f ca="1">HW13*(_xlfn.XLOOKUP(HV$3,TabCalc[Ticker],TabCalc[M])+HX13)</f>
        <v>0</v>
      </c>
      <c r="HW13" s="1132"/>
      <c r="HX13" s="1127"/>
      <c r="HY13" s="1130">
        <f ca="1">HZ13*(_xlfn.XLOOKUP(HY$3,TabCalc[Ticker],TabCalc[M])+IA13)</f>
        <v>0</v>
      </c>
      <c r="HZ13" s="1132"/>
      <c r="IA13" s="1127"/>
      <c r="IB13" s="1130">
        <f ca="1">IC13*(_xlfn.XLOOKUP(IB$3,TabCalc[Ticker],TabCalc[M])+ID13)</f>
        <v>0</v>
      </c>
      <c r="IC13" s="1132"/>
      <c r="ID13" s="1127"/>
      <c r="IE13" s="1130">
        <f ca="1">IF13*(_xlfn.XLOOKUP(IE$3,TabCalc[Ticker],TabCalc[M])+IG13)</f>
        <v>0</v>
      </c>
      <c r="IF13" s="1132"/>
      <c r="IG13" s="1127"/>
      <c r="IH13" s="1130">
        <f ca="1">II13*(_xlfn.XLOOKUP(IH$3,TabCalc[Ticker],TabCalc[M])+IJ13)</f>
        <v>0</v>
      </c>
      <c r="II13" s="1132"/>
      <c r="IJ13" s="1127"/>
      <c r="IK13" s="1130">
        <f ca="1">IL13*(_xlfn.XLOOKUP(IK$3,TabCalc[Ticker],TabCalc[M])+IM13)</f>
        <v>0</v>
      </c>
      <c r="IL13" s="1132"/>
      <c r="IM13" s="1127"/>
      <c r="IN13" s="1130">
        <f ca="1">IO13*(_xlfn.XLOOKUP(IN$3,TabCalc[Ticker],TabCalc[M])+IP13)</f>
        <v>0</v>
      </c>
      <c r="IO13" s="1132"/>
      <c r="IP13" s="1127"/>
      <c r="IQ13" s="1130">
        <f ca="1">IR13*(_xlfn.XLOOKUP(IQ$3,TabCalc[Ticker],TabCalc[M]))</f>
        <v>0</v>
      </c>
      <c r="IR13" s="1132"/>
      <c r="IS13" s="1127"/>
      <c r="IT13" s="1130">
        <f ca="1">IU13*(_xlfn.XLOOKUP(IT$3,TabCalc[Ticker],TabCalc[M])+IV13)</f>
        <v>0</v>
      </c>
      <c r="IU13" s="1132"/>
      <c r="IV13" s="1127"/>
      <c r="IW13" s="1130">
        <f ca="1">IX13*(_xlfn.XLOOKUP(IW$3,TabCalc[Ticker],TabCalc[M])+IY13)</f>
        <v>0</v>
      </c>
      <c r="IX13" s="1132"/>
      <c r="IY13" s="1127"/>
      <c r="IZ13" s="1130">
        <f ca="1">JA13*(_xlfn.XLOOKUP(IZ$3,TabCalc[Ticker],TabCalc[M])+JB13)</f>
        <v>0</v>
      </c>
      <c r="JA13" s="1132"/>
      <c r="JB13" s="1127"/>
      <c r="JC13" s="1130">
        <f ca="1">JD13*(_xlfn.XLOOKUP(JC$3,TabCalc[Ticker],TabCalc[M])+JE13)</f>
        <v>0</v>
      </c>
      <c r="JD13" s="1132"/>
      <c r="JE13" s="1127"/>
      <c r="JF13" s="1130">
        <f ca="1">JG13*(_xlfn.XLOOKUP(JF$3,TabCalc[Ticker],TabCalc[M])+JH13)</f>
        <v>0</v>
      </c>
      <c r="JG13" s="1132"/>
      <c r="JH13" s="1127"/>
      <c r="JI13" s="1130">
        <f ca="1">JJ13*(_xlfn.XLOOKUP(JI$3,TabCalc[Ticker],TabCalc[M])+JK13)</f>
        <v>0</v>
      </c>
      <c r="JJ13" s="1132"/>
      <c r="JK13" s="1127"/>
      <c r="JL13" s="1130">
        <f ca="1">JM13*(_xlfn.XLOOKUP(JL$3,TabCalc[Ticker],TabCalc[M])+JN13)</f>
        <v>0</v>
      </c>
      <c r="JM13" s="1132"/>
      <c r="JN13" s="1127"/>
      <c r="JO13" s="1130">
        <f ca="1">JP13*(_xlfn.XLOOKUP(JO$3,TabCalc[Ticker],TabCalc[M])+JQ13)</f>
        <v>0</v>
      </c>
      <c r="JP13" s="1132"/>
      <c r="JQ13" s="1127"/>
      <c r="JR13" s="1130">
        <f ca="1">JS13*(_xlfn.XLOOKUP(JR$3,TabCalc[Ticker],TabCalc[M])+JT13)</f>
        <v>0</v>
      </c>
      <c r="JS13" s="1132"/>
      <c r="JT13" s="1127"/>
      <c r="JU13" s="1130">
        <f ca="1">JV13*(_xlfn.XLOOKUP(JU$3,TabCalc[Ticker],TabCalc[M])+JW13)</f>
        <v>0</v>
      </c>
      <c r="JV13" s="1137"/>
      <c r="JW13" s="1127"/>
      <c r="JX13" s="1130">
        <f ca="1">JY13*(_xlfn.XLOOKUP(JX$3,TabCalc[Ticker],TabCalc[M])+JZ13)</f>
        <v>0</v>
      </c>
      <c r="JY13" s="1132"/>
      <c r="JZ13" s="1134"/>
    </row>
    <row r="14" spans="1:301" x14ac:dyDescent="0.3">
      <c r="A14">
        <v>11</v>
      </c>
      <c r="B14" s="1130">
        <f ca="1">C14*(_xlfn.XLOOKUP(B$3,TabCalc[Ticker],TabCalc[M])+D14)</f>
        <v>7215.9999999999964</v>
      </c>
      <c r="C14" s="1133">
        <v>200</v>
      </c>
      <c r="D14" s="1127">
        <v>-233.95</v>
      </c>
      <c r="E14" s="1130">
        <f ca="1">F14*(_xlfn.XLOOKUP(E$3,TabCalc[Ticker],TabCalc[M])+G14)</f>
        <v>0</v>
      </c>
      <c r="F14" s="1133"/>
      <c r="G14" s="1127"/>
      <c r="H14" s="1130">
        <f ca="1">I14*(_xlfn.XLOOKUP(H$3,TabCalc[Ticker],TabCalc[M])+J14)</f>
        <v>-200000</v>
      </c>
      <c r="I14" s="1133">
        <v>50000</v>
      </c>
      <c r="J14" s="1127">
        <v>-49</v>
      </c>
      <c r="K14" s="1130">
        <f ca="1">L14*(_xlfn.XLOOKUP(K$3,TabCalc[Ticker],TabCalc[M])+M14)</f>
        <v>2865.9999999999995</v>
      </c>
      <c r="L14" s="1133">
        <v>500</v>
      </c>
      <c r="M14" s="1127">
        <v>-215.45</v>
      </c>
      <c r="N14" s="1130">
        <f ca="1">O14*(_xlfn.XLOOKUP(N$3,TabCalc[Ticker],TabCalc[M])+P14)</f>
        <v>0</v>
      </c>
      <c r="O14" s="1133"/>
      <c r="P14" s="1127"/>
      <c r="Q14" s="1130">
        <f ca="1">R14*(_xlfn.XLOOKUP(Q$3,TabCalc[Ticker],TabCalc[M])+S14)</f>
        <v>38220.000000000007</v>
      </c>
      <c r="R14" s="1133">
        <v>200</v>
      </c>
      <c r="S14" s="1127">
        <v>-695.5</v>
      </c>
      <c r="T14" s="1130">
        <f ca="1">U14*(_xlfn.XLOOKUP(T$3,TabCalc[Ticker],TabCalc[M])+V14)</f>
        <v>0</v>
      </c>
      <c r="U14" s="1133"/>
      <c r="V14" s="1128"/>
      <c r="W14" s="1130">
        <f ca="1">X14*(_xlfn.XLOOKUP(W$3,TabCalc[Ticker],TabCalc[M])+Y14)</f>
        <v>0</v>
      </c>
      <c r="X14" s="1133"/>
      <c r="Y14" s="1127"/>
      <c r="Z14" s="1130">
        <f ca="1">AA14*(_xlfn.XLOOKUP(Z$3,TabCalc[Ticker],TabCalc[M])+AB14)</f>
        <v>0</v>
      </c>
      <c r="AA14" s="1133"/>
      <c r="AB14" s="1127"/>
      <c r="AC14" s="1130">
        <f ca="1">AD14*(_xlfn.XLOOKUP(AC$3,TabCalc[Ticker],TabCalc[M])+AE14)</f>
        <v>0</v>
      </c>
      <c r="AD14" s="1132"/>
      <c r="AE14" s="1127"/>
      <c r="AF14" s="1130">
        <f ca="1">AG14*(_xlfn.XLOOKUP(AF$3,TabCalc[Ticker],TabCalc[M])+AH14)</f>
        <v>0</v>
      </c>
      <c r="AG14" s="1133"/>
      <c r="AH14" s="1127"/>
      <c r="AI14" s="1130">
        <f ca="1">AJ14*(_xlfn.XLOOKUP(AI$3,TabCalc[Ticker],TabCalc[M])+AK14)</f>
        <v>0</v>
      </c>
      <c r="AJ14" s="1132"/>
      <c r="AK14" s="1127"/>
      <c r="AL14" s="1130">
        <f ca="1">AM14*(_xlfn.XLOOKUP(AL$3,TabCalc[Ticker],TabCalc[M])+AN14)</f>
        <v>0</v>
      </c>
      <c r="AM14" s="1132"/>
      <c r="AN14" s="1127"/>
      <c r="AO14" s="1130">
        <f ca="1">AP14*(_xlfn.XLOOKUP(AO$3,TabCalc[Ticker],TabCalc[M])+AQ14)</f>
        <v>0</v>
      </c>
      <c r="AP14" s="1132"/>
      <c r="AQ14" s="1127"/>
      <c r="AR14" s="1130">
        <f ca="1">AS14*(_xlfn.XLOOKUP(AR$3,TabCalc[Ticker],TabCalc[M])+AT14)</f>
        <v>0</v>
      </c>
      <c r="AS14" s="1132"/>
      <c r="AT14" s="1127"/>
      <c r="AU14" s="1130">
        <f ca="1">AV14*(_xlfn.XLOOKUP(AU$3,TabCalc[Ticker],TabCalc[M])+AW14)</f>
        <v>0</v>
      </c>
      <c r="AV14" s="1132"/>
      <c r="AW14" s="1127"/>
      <c r="AX14" s="1130">
        <f ca="1">AY14*(_xlfn.XLOOKUP(AX$3,TabCalc[Ticker],TabCalc[M])+AZ14)</f>
        <v>0</v>
      </c>
      <c r="AY14" s="1132"/>
      <c r="AZ14" s="1127"/>
      <c r="BA14" s="1130">
        <f ca="1">BB14*(_xlfn.XLOOKUP(BA$3,TabCalc[Ticker],TabCalc[M])+BC14)</f>
        <v>0</v>
      </c>
      <c r="BB14" s="1132"/>
      <c r="BC14" s="1127"/>
      <c r="BD14" s="1130">
        <f ca="1">BE14*(_xlfn.XLOOKUP(BD$3,TabCalc[Ticker],TabCalc[M])+BF14)</f>
        <v>0</v>
      </c>
      <c r="BE14" s="1132"/>
      <c r="BF14" s="1127"/>
      <c r="BG14" s="1130">
        <f ca="1">BH14*(_xlfn.XLOOKUP(BG$3,TabCalc[Ticker],TabCalc[M])+BI14)</f>
        <v>0</v>
      </c>
      <c r="BH14" s="1132"/>
      <c r="BI14" s="1127"/>
      <c r="BJ14" s="1130">
        <f ca="1">BK14*(_xlfn.XLOOKUP(BJ$3,TabCalc[Ticker],TabCalc[M])+BL14)</f>
        <v>0</v>
      </c>
      <c r="BK14" s="1132"/>
      <c r="BL14" s="1127"/>
      <c r="BM14" s="1130">
        <f ca="1">BN14*(_xlfn.XLOOKUP(BM$3,TabCalc[Ticker],TabCalc[M])+BO14)</f>
        <v>0</v>
      </c>
      <c r="BN14" s="1132"/>
      <c r="BO14" s="1127"/>
      <c r="BP14" s="1130">
        <f ca="1">BQ14*(_xlfn.XLOOKUP(BP$3,TabCalc[Ticker],TabCalc[M])+BR14)</f>
        <v>0</v>
      </c>
      <c r="BQ14" s="1132"/>
      <c r="BR14" s="1127"/>
      <c r="BS14" s="1130">
        <f ca="1">BT14*(_xlfn.XLOOKUP(BS$3,TabCalc[Ticker],TabCalc[M])+BU14)</f>
        <v>0</v>
      </c>
      <c r="BT14" s="1133"/>
      <c r="BU14" s="1127"/>
      <c r="BV14" s="1130">
        <f ca="1">BW14*(_xlfn.XLOOKUP(BV$3,TabCalc[Ticker],TabCalc[M])+BX14)</f>
        <v>0</v>
      </c>
      <c r="BW14" s="1132"/>
      <c r="BX14" s="1127"/>
      <c r="BY14" s="1130">
        <f ca="1">BZ14*(_xlfn.XLOOKUP(BY$3,TabCalc[Ticker],TabCalc[M])+CA14)</f>
        <v>0</v>
      </c>
      <c r="BZ14" s="1132"/>
      <c r="CA14" s="1127"/>
      <c r="CB14" s="1130">
        <f ca="1">CC14*(_xlfn.XLOOKUP(CB$3,TabCalc[Ticker],TabCalc[M])+CD14)</f>
        <v>0</v>
      </c>
      <c r="CC14" s="1132"/>
      <c r="CD14" s="1127"/>
      <c r="CE14" s="1130">
        <f ca="1">CF14*(_xlfn.XLOOKUP(CE$3,TabCalc[Ticker],TabCalc[M])+CG14)</f>
        <v>0</v>
      </c>
      <c r="CF14" s="1132"/>
      <c r="CG14" s="1127"/>
      <c r="CH14" s="1130">
        <f ca="1">CI14*(_xlfn.XLOOKUP(CH$3,TabCalc[Ticker],TabCalc[M])+CJ14)</f>
        <v>91099.999999999913</v>
      </c>
      <c r="CI14" s="1133">
        <v>2000</v>
      </c>
      <c r="CJ14" s="1127">
        <v>-441.04</v>
      </c>
      <c r="CK14" s="1130">
        <f ca="1">CL14*(_xlfn.XLOOKUP(CK$3,TabCalc[Ticker],TabCalc[M])+CM14)</f>
        <v>0</v>
      </c>
      <c r="CL14" s="1132"/>
      <c r="CM14" s="1127"/>
      <c r="CN14" s="1130">
        <f ca="1">CO14*(_xlfn.XLOOKUP(CN$3,TabCalc[Ticker],TabCalc[M])+CP14)</f>
        <v>6715.0000000000036</v>
      </c>
      <c r="CO14" s="1133">
        <v>1000</v>
      </c>
      <c r="CP14" s="1127">
        <v>-80.88</v>
      </c>
      <c r="CQ14" s="1130">
        <f ca="1">CR14*(_xlfn.XLOOKUP(CQ$3,TabCalc[Ticker],TabCalc[M])+CS14)</f>
        <v>0</v>
      </c>
      <c r="CR14" s="1132"/>
      <c r="CS14" s="1127"/>
      <c r="CT14" s="1130">
        <f ca="1">CU14*(_xlfn.XLOOKUP(CT$3,TabCalc[Ticker],TabCalc[M])+CV14)</f>
        <v>0</v>
      </c>
      <c r="CU14" s="1133"/>
      <c r="CV14" s="1127"/>
      <c r="CW14" s="1130">
        <f ca="1">CX14*(_xlfn.XLOOKUP(CW$3,TabCalc[Ticker],TabCalc[M])+CY14)</f>
        <v>0</v>
      </c>
      <c r="CX14" s="1133"/>
      <c r="CY14" s="1127"/>
      <c r="CZ14" s="1130">
        <f ca="1">DA14*(_xlfn.XLOOKUP(CZ$3,TabCalc[Ticker],TabCalc[M])+DB14)</f>
        <v>0</v>
      </c>
      <c r="DA14" s="1132"/>
      <c r="DB14" s="1127"/>
      <c r="DC14" s="1130">
        <f ca="1">DD14*(_xlfn.XLOOKUP(DC$3,TabCalc[Ticker],TabCalc[M])+DE14)</f>
        <v>0</v>
      </c>
      <c r="DD14" s="1132"/>
      <c r="DE14" s="1127"/>
      <c r="DF14" s="1130">
        <f ca="1">DG14*(_xlfn.XLOOKUP(DF$3,TabCalc[Ticker],TabCalc[M])+DH14)</f>
        <v>0</v>
      </c>
      <c r="DG14" s="1132"/>
      <c r="DH14" s="1127"/>
      <c r="DI14" s="1130">
        <f ca="1">DJ14*(_xlfn.XLOOKUP(DI$3,TabCalc[Ticker],TabCalc[M])+DK14)</f>
        <v>0</v>
      </c>
      <c r="DJ14" s="1132"/>
      <c r="DK14" s="1127"/>
      <c r="DL14" s="1130">
        <f ca="1">DM14*(_xlfn.XLOOKUP(DL$3,TabCalc[Ticker],TabCalc[M])+DN14)</f>
        <v>0</v>
      </c>
      <c r="DM14" s="1132"/>
      <c r="DN14" s="1127"/>
      <c r="DO14" s="1130">
        <f ca="1">DP14*(_xlfn.XLOOKUP(DO$3,TabCalc[Ticker],TabCalc[M])+DQ14)</f>
        <v>0</v>
      </c>
      <c r="DP14" s="1132"/>
      <c r="DQ14" s="1127"/>
      <c r="DR14" s="1130">
        <f ca="1">DS14*(_xlfn.XLOOKUP(DR$3,TabCalc[Ticker],TabCalc[M])+DT14)</f>
        <v>0</v>
      </c>
      <c r="DS14" s="1132"/>
      <c r="DT14" s="1127"/>
      <c r="DU14" s="1130">
        <f ca="1">DV14*(_xlfn.XLOOKUP(DU$3,TabCalc[Ticker],TabCalc[M])+DW14)</f>
        <v>0</v>
      </c>
      <c r="DV14" s="1132"/>
      <c r="DW14" s="1127"/>
      <c r="DX14" s="1130">
        <f ca="1">DY14*(_xlfn.XLOOKUP(DX$3,TabCalc[Ticker],TabCalc[M])+DZ14)</f>
        <v>0</v>
      </c>
      <c r="DY14" s="1132"/>
      <c r="DZ14" s="1127"/>
      <c r="EA14" s="1130">
        <f ca="1">EB14*(_xlfn.XLOOKUP(EA$3,TabCalc[Ticker],TabCalc[M])+EC14)</f>
        <v>0</v>
      </c>
      <c r="EB14" s="1132"/>
      <c r="EC14" s="1127"/>
      <c r="ED14" s="1130">
        <f ca="1">EE14*(_xlfn.XLOOKUP(ED$3,TabCalc[Ticker],TabCalc[M])+EF14)</f>
        <v>0</v>
      </c>
      <c r="EE14" s="1132"/>
      <c r="EF14" s="1127"/>
      <c r="EG14" s="1130">
        <f ca="1">EH14*(_xlfn.XLOOKUP(EG$3,TabCalc[Ticker],TabCalc[M])+EI14)</f>
        <v>0</v>
      </c>
      <c r="EH14" s="1132"/>
      <c r="EI14" s="1127"/>
      <c r="EJ14" s="1130" t="e">
        <f ca="1">EK14*(_xlfn.XLOOKUP(EJ$3,TabCalc[Ticker],TabCalc[M])+EL14)</f>
        <v>#N/A</v>
      </c>
      <c r="EK14" s="1132"/>
      <c r="EL14" s="1127"/>
      <c r="EM14" s="1130">
        <f ca="1">EN14*(_xlfn.XLOOKUP(EM$3,TabCalc[Ticker],TabCalc[M])+EO14)</f>
        <v>0</v>
      </c>
      <c r="EN14" s="1132"/>
      <c r="EO14" s="1127"/>
      <c r="EP14" s="1130">
        <f ca="1">EQ14*(_xlfn.XLOOKUP(EP$3,TabCalc[Ticker],TabCalc[M])+ER14)</f>
        <v>0</v>
      </c>
      <c r="EQ14" s="1132"/>
      <c r="ER14" s="1127"/>
      <c r="ES14" s="1130">
        <f ca="1">ET14*(_xlfn.XLOOKUP(ES$3,TabCalc[Ticker],TabCalc[M])+EU14)</f>
        <v>0</v>
      </c>
      <c r="ET14" s="1132"/>
      <c r="EU14" s="1127"/>
      <c r="EV14" s="1130">
        <f ca="1">EW14*(_xlfn.XLOOKUP(EV$3,TabCalc[Ticker],TabCalc[M])+EX14)</f>
        <v>0</v>
      </c>
      <c r="EW14" s="1132"/>
      <c r="EX14" s="1134"/>
      <c r="EY14" s="1130">
        <f ca="1">EZ14*(_xlfn.XLOOKUP(EY$3,TabCalc[Ticker],TabCalc[M])+FA14)</f>
        <v>0</v>
      </c>
      <c r="EZ14" s="1132"/>
      <c r="FA14" s="1134"/>
      <c r="FB14" s="1130">
        <f ca="1">FC14*(_xlfn.XLOOKUP(FB$3,TabCalc[Ticker],TabCalc[M])+FD14)</f>
        <v>0</v>
      </c>
      <c r="FC14" s="1132"/>
      <c r="FD14" s="1134"/>
      <c r="FE14" s="1130">
        <f ca="1">FF14*(_xlfn.XLOOKUP(FE$3,TabCalc[Ticker],TabCalc[M])+FG14)</f>
        <v>-55343.386800000007</v>
      </c>
      <c r="FF14" s="1133">
        <v>14969</v>
      </c>
      <c r="FG14" s="1127">
        <v>-4.3852000000000002</v>
      </c>
      <c r="FH14" s="1130">
        <f ca="1">FI14*(_xlfn.XLOOKUP(FH$3,TabCalc[Ticker],TabCalc[M])+FJ14)</f>
        <v>0</v>
      </c>
      <c r="FI14" s="1132"/>
      <c r="FJ14" s="1127"/>
      <c r="FK14" s="1130">
        <f ca="1">FL14*(_xlfn.XLOOKUP(FK$3,TabCalc[Ticker],TabCalc[M])+FM14)</f>
        <v>0</v>
      </c>
      <c r="FL14" s="1132"/>
      <c r="FM14" s="1127"/>
      <c r="FN14" s="1130">
        <f ca="1">FO14*(_xlfn.XLOOKUP(FN$3,TabCalc[Ticker],TabCalc[M])+FP14)</f>
        <v>0</v>
      </c>
      <c r="FO14" s="1132"/>
      <c r="FP14" s="1127"/>
      <c r="FQ14" s="1130">
        <f ca="1">FR14*(_xlfn.XLOOKUP(FQ$3,TabCalc[Ticker],TabCalc[M])+FS14)</f>
        <v>0</v>
      </c>
      <c r="FR14" s="1133"/>
      <c r="FS14" s="1127"/>
      <c r="FT14" s="1130">
        <f ca="1">FU14*(_xlfn.XLOOKUP(FT$3,TabCalc[Ticker],TabCalc[M])+FV14)</f>
        <v>0</v>
      </c>
      <c r="FU14" s="1132"/>
      <c r="FV14" s="1127"/>
      <c r="FW14" s="1130">
        <f ca="1">FX14*(_xlfn.XLOOKUP(FW$3,TabCalc[Ticker],TabCalc[M])+FY14)</f>
        <v>0</v>
      </c>
      <c r="FX14" s="1132"/>
      <c r="FY14" s="1127"/>
      <c r="FZ14" s="1130">
        <f ca="1">GA14*(_xlfn.XLOOKUP(FZ$3,TabCalc[Ticker],TabCalc[M])+GB14)</f>
        <v>0</v>
      </c>
      <c r="GA14" s="1132"/>
      <c r="GB14" s="1127"/>
      <c r="GC14" s="1130">
        <f ca="1">GD14*(_xlfn.XLOOKUP(GC$3,TabCalc[Ticker],TabCalc[M])+GE14)</f>
        <v>0</v>
      </c>
      <c r="GD14" s="1132"/>
      <c r="GE14" s="1127"/>
      <c r="GF14" s="1130">
        <f ca="1">GG14*(_xlfn.XLOOKUP(GF$3,TabCalc[Ticker],TabCalc[M])+GH14)</f>
        <v>0</v>
      </c>
      <c r="GG14" s="1132"/>
      <c r="GH14" s="1127"/>
      <c r="GI14" s="1130">
        <f ca="1">GJ14*(_xlfn.XLOOKUP(GI$3,TabCalc[Ticker],TabCalc[M])+GK14)</f>
        <v>0</v>
      </c>
      <c r="GJ14" s="1132"/>
      <c r="GK14" s="1127"/>
      <c r="GL14" s="1130">
        <f ca="1">GM14*(_xlfn.XLOOKUP(GL$3,TabCalc[Ticker],TabCalc[M])+GN14)</f>
        <v>0</v>
      </c>
      <c r="GM14" s="1132"/>
      <c r="GN14" s="1127"/>
      <c r="GO14" s="1130">
        <f ca="1">GP14*(_xlfn.XLOOKUP(GO$3,TabCalc[Ticker],TabCalc[M])+GQ14)</f>
        <v>0</v>
      </c>
      <c r="GP14" s="1132"/>
      <c r="GQ14" s="1127"/>
      <c r="GR14" s="1130">
        <f ca="1">GS14*(_xlfn.XLOOKUP(GR$3,TabCalc[Ticker],TabCalc[M])+GT14)</f>
        <v>0</v>
      </c>
      <c r="GS14" s="1132"/>
      <c r="GT14" s="1127"/>
      <c r="GU14" s="1130">
        <f ca="1">GV14*(_xlfn.XLOOKUP(GU$3,TabCalc[Ticker],TabCalc[M])+GW14)</f>
        <v>0</v>
      </c>
      <c r="GV14" s="1132"/>
      <c r="GW14" s="1127"/>
      <c r="GX14" s="1130">
        <f ca="1">GY14*(_xlfn.XLOOKUP(GX$3,TabCalc[Ticker],TabCalc[M])+GZ14)</f>
        <v>0</v>
      </c>
      <c r="GY14" s="1132"/>
      <c r="GZ14" s="1127"/>
      <c r="HA14" s="1130">
        <f ca="1">HB14*(_xlfn.XLOOKUP(HA$3,TabCalc[Ticker],TabCalc[M])+HC14)</f>
        <v>0</v>
      </c>
      <c r="HB14" s="1132"/>
      <c r="HC14" s="1127"/>
      <c r="HD14" s="1130">
        <f ca="1">HE14*(_xlfn.XLOOKUP(HD$3,TabCalc[Ticker],TabCalc[M])+HF14)</f>
        <v>0</v>
      </c>
      <c r="HE14" s="1132"/>
      <c r="HF14" s="1127"/>
      <c r="HG14" s="1130">
        <f ca="1">HH14*(_xlfn.XLOOKUP(HG$3,TabCalc[Ticker],TabCalc[M])+HI14)</f>
        <v>0</v>
      </c>
      <c r="HH14" s="1133"/>
      <c r="HI14" s="1127"/>
      <c r="HJ14" s="1130">
        <f ca="1">HK14*(_xlfn.XLOOKUP(HJ$3,TabCalc[Ticker],TabCalc[M])+HL14)</f>
        <v>0</v>
      </c>
      <c r="HK14" s="1132"/>
      <c r="HL14" s="1127"/>
      <c r="HM14" s="1130">
        <f ca="1">HN14*(_xlfn.XLOOKUP(HM$3,TabCalc[Ticker],TabCalc[M])+HO14)</f>
        <v>0</v>
      </c>
      <c r="HN14" s="1132"/>
      <c r="HO14" s="1127"/>
      <c r="HP14" s="1130">
        <f ca="1">HQ14*(_xlfn.XLOOKUP(HP$3,TabCalc[Ticker],TabCalc[M])+HR14)</f>
        <v>0</v>
      </c>
      <c r="HQ14" s="1132"/>
      <c r="HR14" s="1127"/>
      <c r="HS14" s="1130">
        <f ca="1">HT14*(_xlfn.XLOOKUP(HS$3,TabCalc[Ticker],TabCalc[M])+HU14)</f>
        <v>0</v>
      </c>
      <c r="HT14" s="1132"/>
      <c r="HU14" s="1127"/>
      <c r="HV14" s="1130">
        <f ca="1">HW14*(_xlfn.XLOOKUP(HV$3,TabCalc[Ticker],TabCalc[M])+HX14)</f>
        <v>0</v>
      </c>
      <c r="HW14" s="1132"/>
      <c r="HX14" s="1127"/>
      <c r="HY14" s="1130">
        <f ca="1">HZ14*(_xlfn.XLOOKUP(HY$3,TabCalc[Ticker],TabCalc[M])+IA14)</f>
        <v>0</v>
      </c>
      <c r="HZ14" s="1132"/>
      <c r="IA14" s="1127"/>
      <c r="IB14" s="1130">
        <f ca="1">IC14*(_xlfn.XLOOKUP(IB$3,TabCalc[Ticker],TabCalc[M])+ID14)</f>
        <v>0</v>
      </c>
      <c r="IC14" s="1132"/>
      <c r="ID14" s="1127"/>
      <c r="IE14" s="1130">
        <f ca="1">IF14*(_xlfn.XLOOKUP(IE$3,TabCalc[Ticker],TabCalc[M])+IG14)</f>
        <v>0</v>
      </c>
      <c r="IF14" s="1132"/>
      <c r="IG14" s="1127"/>
      <c r="IH14" s="1130">
        <f ca="1">II14*(_xlfn.XLOOKUP(IH$3,TabCalc[Ticker],TabCalc[M])+IJ14)</f>
        <v>0</v>
      </c>
      <c r="II14" s="1132"/>
      <c r="IJ14" s="1127"/>
      <c r="IK14" s="1130">
        <f ca="1">IL14*(_xlfn.XLOOKUP(IK$3,TabCalc[Ticker],TabCalc[M])+IM14)</f>
        <v>0</v>
      </c>
      <c r="IL14" s="1132"/>
      <c r="IM14" s="1127"/>
      <c r="IN14" s="1130">
        <f ca="1">IO14*(_xlfn.XLOOKUP(IN$3,TabCalc[Ticker],TabCalc[M])+IP14)</f>
        <v>0</v>
      </c>
      <c r="IO14" s="1132"/>
      <c r="IP14" s="1127"/>
      <c r="IQ14" s="1130">
        <f ca="1">IR14*(_xlfn.XLOOKUP(IQ$3,TabCalc[Ticker],TabCalc[M]))</f>
        <v>0</v>
      </c>
      <c r="IR14" s="1132"/>
      <c r="IS14" s="1127"/>
      <c r="IT14" s="1130">
        <f ca="1">IU14*(_xlfn.XLOOKUP(IT$3,TabCalc[Ticker],TabCalc[M])+IV14)</f>
        <v>0</v>
      </c>
      <c r="IU14" s="1132"/>
      <c r="IV14" s="1127"/>
      <c r="IW14" s="1130">
        <f ca="1">IX14*(_xlfn.XLOOKUP(IW$3,TabCalc[Ticker],TabCalc[M])+IY14)</f>
        <v>0</v>
      </c>
      <c r="IX14" s="1132"/>
      <c r="IY14" s="1127"/>
      <c r="IZ14" s="1130">
        <f ca="1">JA14*(_xlfn.XLOOKUP(IZ$3,TabCalc[Ticker],TabCalc[M])+JB14)</f>
        <v>0</v>
      </c>
      <c r="JA14" s="1132"/>
      <c r="JB14" s="1127"/>
      <c r="JC14" s="1130">
        <f ca="1">JD14*(_xlfn.XLOOKUP(JC$3,TabCalc[Ticker],TabCalc[M])+JE14)</f>
        <v>0</v>
      </c>
      <c r="JD14" s="1132"/>
      <c r="JE14" s="1127"/>
      <c r="JF14" s="1130">
        <f ca="1">JG14*(_xlfn.XLOOKUP(JF$3,TabCalc[Ticker],TabCalc[M])+JH14)</f>
        <v>0</v>
      </c>
      <c r="JG14" s="1132"/>
      <c r="JH14" s="1127"/>
      <c r="JI14" s="1130">
        <f ca="1">JJ14*(_xlfn.XLOOKUP(JI$3,TabCalc[Ticker],TabCalc[M])+JK14)</f>
        <v>0</v>
      </c>
      <c r="JJ14" s="1132"/>
      <c r="JK14" s="1127"/>
      <c r="JL14" s="1130">
        <f ca="1">JM14*(_xlfn.XLOOKUP(JL$3,TabCalc[Ticker],TabCalc[M])+JN14)</f>
        <v>0</v>
      </c>
      <c r="JM14" s="1132"/>
      <c r="JN14" s="1127"/>
      <c r="JO14" s="1130">
        <f ca="1">JP14*(_xlfn.XLOOKUP(JO$3,TabCalc[Ticker],TabCalc[M])+JQ14)</f>
        <v>0</v>
      </c>
      <c r="JP14" s="1132"/>
      <c r="JQ14" s="1127"/>
      <c r="JR14" s="1130">
        <f ca="1">JS14*(_xlfn.XLOOKUP(JR$3,TabCalc[Ticker],TabCalc[M])+JT14)</f>
        <v>0</v>
      </c>
      <c r="JS14" s="1132"/>
      <c r="JT14" s="1127"/>
      <c r="JU14" s="1130">
        <f ca="1">JV14*(_xlfn.XLOOKUP(JU$3,TabCalc[Ticker],TabCalc[M])+JW14)</f>
        <v>0</v>
      </c>
      <c r="JV14" s="1137"/>
      <c r="JW14" s="1127"/>
      <c r="JX14" s="1130">
        <f ca="1">JY14*(_xlfn.XLOOKUP(JX$3,TabCalc[Ticker],TabCalc[M])+JZ14)</f>
        <v>0</v>
      </c>
      <c r="JY14" s="1132"/>
      <c r="JZ14" s="1134"/>
    </row>
    <row r="15" spans="1:301" x14ac:dyDescent="0.3">
      <c r="A15">
        <v>12</v>
      </c>
      <c r="B15" s="1130">
        <f ca="1">C15*(_xlfn.XLOOKUP(B$3,TabCalc[Ticker],TabCalc[M])+D15)</f>
        <v>8906.9999999999909</v>
      </c>
      <c r="C15" s="1133">
        <v>300</v>
      </c>
      <c r="D15" s="1127">
        <v>-240.34</v>
      </c>
      <c r="E15" s="1130">
        <f ca="1">F15*(_xlfn.XLOOKUP(E$3,TabCalc[Ticker],TabCalc[M])+G15)</f>
        <v>0</v>
      </c>
      <c r="F15" s="1133"/>
      <c r="G15" s="1127"/>
      <c r="H15" s="1130">
        <f ca="1">I15*(_xlfn.XLOOKUP(H$3,TabCalc[Ticker],TabCalc[M])+J15)</f>
        <v>-752190.00000000023</v>
      </c>
      <c r="I15" s="1133">
        <v>100000</v>
      </c>
      <c r="J15" s="1127">
        <v>-52.521900000000002</v>
      </c>
      <c r="K15" s="1130">
        <f ca="1">L15*(_xlfn.XLOOKUP(K$3,TabCalc[Ticker],TabCalc[M])+M15)</f>
        <v>-673.60000000000468</v>
      </c>
      <c r="L15" s="1133">
        <v>200</v>
      </c>
      <c r="M15" s="1127">
        <v>-224.55</v>
      </c>
      <c r="N15" s="1130">
        <f ca="1">O15*(_xlfn.XLOOKUP(N$3,TabCalc[Ticker],TabCalc[M])+P15)</f>
        <v>0</v>
      </c>
      <c r="O15" s="1133"/>
      <c r="P15" s="1127"/>
      <c r="Q15" s="1130">
        <f ca="1">R15*(_xlfn.XLOOKUP(Q$3,TabCalc[Ticker],TabCalc[M])+S15)</f>
        <v>18000</v>
      </c>
      <c r="R15" s="1133">
        <v>100</v>
      </c>
      <c r="S15" s="1127">
        <v>-706.6</v>
      </c>
      <c r="T15" s="1130">
        <f ca="1">U15*(_xlfn.XLOOKUP(T$3,TabCalc[Ticker],TabCalc[M])+V15)</f>
        <v>0</v>
      </c>
      <c r="U15" s="1133"/>
      <c r="V15" s="1128"/>
      <c r="W15" s="1130">
        <f ca="1">X15*(_xlfn.XLOOKUP(W$3,TabCalc[Ticker],TabCalc[M])+Y15)</f>
        <v>0</v>
      </c>
      <c r="X15" s="1133"/>
      <c r="Y15" s="1127"/>
      <c r="Z15" s="1130">
        <f ca="1">AA15*(_xlfn.XLOOKUP(Z$3,TabCalc[Ticker],TabCalc[M])+AB15)</f>
        <v>0</v>
      </c>
      <c r="AA15" s="1133"/>
      <c r="AB15" s="1127"/>
      <c r="AC15" s="1130">
        <f ca="1">AD15*(_xlfn.XLOOKUP(AC$3,TabCalc[Ticker],TabCalc[M])+AE15)</f>
        <v>0</v>
      </c>
      <c r="AD15" s="1132"/>
      <c r="AE15" s="1127"/>
      <c r="AF15" s="1130">
        <f ca="1">AG15*(_xlfn.XLOOKUP(AF$3,TabCalc[Ticker],TabCalc[M])+AH15)</f>
        <v>0</v>
      </c>
      <c r="AG15" s="1133"/>
      <c r="AH15" s="1127"/>
      <c r="AI15" s="1130">
        <f ca="1">AJ15*(_xlfn.XLOOKUP(AI$3,TabCalc[Ticker],TabCalc[M])+AK15)</f>
        <v>0</v>
      </c>
      <c r="AJ15" s="1132"/>
      <c r="AK15" s="1127"/>
      <c r="AL15" s="1130">
        <f ca="1">AM15*(_xlfn.XLOOKUP(AL$3,TabCalc[Ticker],TabCalc[M])+AN15)</f>
        <v>0</v>
      </c>
      <c r="AM15" s="1132"/>
      <c r="AN15" s="1127"/>
      <c r="AO15" s="1130">
        <f ca="1">AP15*(_xlfn.XLOOKUP(AO$3,TabCalc[Ticker],TabCalc[M])+AQ15)</f>
        <v>0</v>
      </c>
      <c r="AP15" s="1132"/>
      <c r="AQ15" s="1127"/>
      <c r="AR15" s="1130">
        <f ca="1">AS15*(_xlfn.XLOOKUP(AR$3,TabCalc[Ticker],TabCalc[M])+AT15)</f>
        <v>0</v>
      </c>
      <c r="AS15" s="1132"/>
      <c r="AT15" s="1127"/>
      <c r="AU15" s="1130">
        <f ca="1">AV15*(_xlfn.XLOOKUP(AU$3,TabCalc[Ticker],TabCalc[M])+AW15)</f>
        <v>0</v>
      </c>
      <c r="AV15" s="1132"/>
      <c r="AW15" s="1127"/>
      <c r="AX15" s="1130">
        <f ca="1">AY15*(_xlfn.XLOOKUP(AX$3,TabCalc[Ticker],TabCalc[M])+AZ15)</f>
        <v>0</v>
      </c>
      <c r="AY15" s="1132"/>
      <c r="AZ15" s="1127"/>
      <c r="BA15" s="1130">
        <f ca="1">BB15*(_xlfn.XLOOKUP(BA$3,TabCalc[Ticker],TabCalc[M])+BC15)</f>
        <v>0</v>
      </c>
      <c r="BB15" s="1132"/>
      <c r="BC15" s="1127"/>
      <c r="BD15" s="1130">
        <f ca="1">BE15*(_xlfn.XLOOKUP(BD$3,TabCalc[Ticker],TabCalc[M])+BF15)</f>
        <v>0</v>
      </c>
      <c r="BE15" s="1132"/>
      <c r="BF15" s="1127"/>
      <c r="BG15" s="1130">
        <f ca="1">BH15*(_xlfn.XLOOKUP(BG$3,TabCalc[Ticker],TabCalc[M])+BI15)</f>
        <v>0</v>
      </c>
      <c r="BH15" s="1132"/>
      <c r="BI15" s="1127"/>
      <c r="BJ15" s="1130">
        <f ca="1">BK15*(_xlfn.XLOOKUP(BJ$3,TabCalc[Ticker],TabCalc[M])+BL15)</f>
        <v>0</v>
      </c>
      <c r="BK15" s="1132"/>
      <c r="BL15" s="1127"/>
      <c r="BM15" s="1130">
        <f ca="1">BN15*(_xlfn.XLOOKUP(BM$3,TabCalc[Ticker],TabCalc[M])+BO15)</f>
        <v>0</v>
      </c>
      <c r="BN15" s="1132"/>
      <c r="BO15" s="1127"/>
      <c r="BP15" s="1130">
        <f ca="1">BQ15*(_xlfn.XLOOKUP(BP$3,TabCalc[Ticker],TabCalc[M])+BR15)</f>
        <v>0</v>
      </c>
      <c r="BQ15" s="1132"/>
      <c r="BR15" s="1127"/>
      <c r="BS15" s="1130">
        <f ca="1">BT15*(_xlfn.XLOOKUP(BS$3,TabCalc[Ticker],TabCalc[M])+BU15)</f>
        <v>0</v>
      </c>
      <c r="BT15" s="1133"/>
      <c r="BU15" s="1127"/>
      <c r="BV15" s="1130">
        <f ca="1">BW15*(_xlfn.XLOOKUP(BV$3,TabCalc[Ticker],TabCalc[M])+BX15)</f>
        <v>0</v>
      </c>
      <c r="BW15" s="1132"/>
      <c r="BX15" s="1127"/>
      <c r="BY15" s="1130">
        <f ca="1">BZ15*(_xlfn.XLOOKUP(BY$3,TabCalc[Ticker],TabCalc[M])+CA15)</f>
        <v>0</v>
      </c>
      <c r="BZ15" s="1132"/>
      <c r="CA15" s="1127"/>
      <c r="CB15" s="1130">
        <f ca="1">CC15*(_xlfn.XLOOKUP(CB$3,TabCalc[Ticker],TabCalc[M])+CD15)</f>
        <v>0</v>
      </c>
      <c r="CC15" s="1132"/>
      <c r="CD15" s="1127"/>
      <c r="CE15" s="1130">
        <f ca="1">CF15*(_xlfn.XLOOKUP(CE$3,TabCalc[Ticker],TabCalc[M])+CG15)</f>
        <v>0</v>
      </c>
      <c r="CF15" s="1132"/>
      <c r="CG15" s="1127"/>
      <c r="CH15" s="1130">
        <f ca="1">CI15*(_xlfn.XLOOKUP(CH$3,TabCalc[Ticker],TabCalc[M])+CJ15)</f>
        <v>-4086.00000000001</v>
      </c>
      <c r="CI15" s="1133">
        <v>150</v>
      </c>
      <c r="CJ15" s="1127">
        <v>-513.83000000000004</v>
      </c>
      <c r="CK15" s="1130">
        <f ca="1">CL15*(_xlfn.XLOOKUP(CK$3,TabCalc[Ticker],TabCalc[M])+CM15)</f>
        <v>0</v>
      </c>
      <c r="CL15" s="1132"/>
      <c r="CM15" s="1127"/>
      <c r="CN15" s="1130">
        <f ca="1">CO15*(_xlfn.XLOOKUP(CN$3,TabCalc[Ticker],TabCalc[M])+CP15)</f>
        <v>8186.6599999999889</v>
      </c>
      <c r="CO15" s="1133">
        <v>2000</v>
      </c>
      <c r="CP15" s="1127">
        <v>-83.501670000000004</v>
      </c>
      <c r="CQ15" s="1130">
        <f ca="1">CR15*(_xlfn.XLOOKUP(CQ$3,TabCalc[Ticker],TabCalc[M])+CS15)</f>
        <v>0</v>
      </c>
      <c r="CR15" s="1132"/>
      <c r="CS15" s="1127"/>
      <c r="CT15" s="1130">
        <f ca="1">CU15*(_xlfn.XLOOKUP(CT$3,TabCalc[Ticker],TabCalc[M])+CV15)</f>
        <v>0</v>
      </c>
      <c r="CU15" s="1133"/>
      <c r="CV15" s="1127"/>
      <c r="CW15" s="1130">
        <f ca="1">CX15*(_xlfn.XLOOKUP(CW$3,TabCalc[Ticker],TabCalc[M])+CY15)</f>
        <v>0</v>
      </c>
      <c r="CX15" s="1133"/>
      <c r="CY15" s="1127"/>
      <c r="CZ15" s="1130">
        <f ca="1">DA15*(_xlfn.XLOOKUP(CZ$3,TabCalc[Ticker],TabCalc[M])+DB15)</f>
        <v>0</v>
      </c>
      <c r="DA15" s="1132"/>
      <c r="DB15" s="1127"/>
      <c r="DC15" s="1130">
        <f ca="1">DD15*(_xlfn.XLOOKUP(DC$3,TabCalc[Ticker],TabCalc[M])+DE15)</f>
        <v>0</v>
      </c>
      <c r="DD15" s="1132"/>
      <c r="DE15" s="1127"/>
      <c r="DF15" s="1130">
        <f ca="1">DG15*(_xlfn.XLOOKUP(DF$3,TabCalc[Ticker],TabCalc[M])+DH15)</f>
        <v>0</v>
      </c>
      <c r="DG15" s="1132"/>
      <c r="DH15" s="1127"/>
      <c r="DI15" s="1130">
        <f ca="1">DJ15*(_xlfn.XLOOKUP(DI$3,TabCalc[Ticker],TabCalc[M])+DK15)</f>
        <v>0</v>
      </c>
      <c r="DJ15" s="1132"/>
      <c r="DK15" s="1127"/>
      <c r="DL15" s="1130">
        <f ca="1">DM15*(_xlfn.XLOOKUP(DL$3,TabCalc[Ticker],TabCalc[M])+DN15)</f>
        <v>0</v>
      </c>
      <c r="DM15" s="1132"/>
      <c r="DN15" s="1127"/>
      <c r="DO15" s="1130">
        <f ca="1">DP15*(_xlfn.XLOOKUP(DO$3,TabCalc[Ticker],TabCalc[M])+DQ15)</f>
        <v>0</v>
      </c>
      <c r="DP15" s="1132"/>
      <c r="DQ15" s="1127"/>
      <c r="DR15" s="1130">
        <f ca="1">DS15*(_xlfn.XLOOKUP(DR$3,TabCalc[Ticker],TabCalc[M])+DT15)</f>
        <v>0</v>
      </c>
      <c r="DS15" s="1132"/>
      <c r="DT15" s="1127"/>
      <c r="DU15" s="1130">
        <f ca="1">DV15*(_xlfn.XLOOKUP(DU$3,TabCalc[Ticker],TabCalc[M])+DW15)</f>
        <v>0</v>
      </c>
      <c r="DV15" s="1132"/>
      <c r="DW15" s="1127"/>
      <c r="DX15" s="1130">
        <f ca="1">DY15*(_xlfn.XLOOKUP(DX$3,TabCalc[Ticker],TabCalc[M])+DZ15)</f>
        <v>0</v>
      </c>
      <c r="DY15" s="1132"/>
      <c r="DZ15" s="1127"/>
      <c r="EA15" s="1130">
        <f ca="1">EB15*(_xlfn.XLOOKUP(EA$3,TabCalc[Ticker],TabCalc[M])+EC15)</f>
        <v>0</v>
      </c>
      <c r="EB15" s="1132"/>
      <c r="EC15" s="1127"/>
      <c r="ED15" s="1130">
        <f ca="1">EE15*(_xlfn.XLOOKUP(ED$3,TabCalc[Ticker],TabCalc[M])+EF15)</f>
        <v>0</v>
      </c>
      <c r="EE15" s="1132"/>
      <c r="EF15" s="1127"/>
      <c r="EG15" s="1130">
        <f ca="1">EH15*(_xlfn.XLOOKUP(EG$3,TabCalc[Ticker],TabCalc[M])+EI15)</f>
        <v>0</v>
      </c>
      <c r="EH15" s="1132"/>
      <c r="EI15" s="1127"/>
      <c r="EJ15" s="1130" t="e">
        <f ca="1">EK15*(_xlfn.XLOOKUP(EJ$3,TabCalc[Ticker],TabCalc[M])+EL15)</f>
        <v>#N/A</v>
      </c>
      <c r="EK15" s="1132"/>
      <c r="EL15" s="1127"/>
      <c r="EM15" s="1130">
        <f ca="1">EN15*(_xlfn.XLOOKUP(EM$3,TabCalc[Ticker],TabCalc[M])+EO15)</f>
        <v>0</v>
      </c>
      <c r="EN15" s="1132"/>
      <c r="EO15" s="1127"/>
      <c r="EP15" s="1130">
        <f ca="1">EQ15*(_xlfn.XLOOKUP(EP$3,TabCalc[Ticker],TabCalc[M])+ER15)</f>
        <v>0</v>
      </c>
      <c r="EQ15" s="1132"/>
      <c r="ER15" s="1127"/>
      <c r="ES15" s="1130">
        <f ca="1">ET15*(_xlfn.XLOOKUP(ES$3,TabCalc[Ticker],TabCalc[M])+EU15)</f>
        <v>0</v>
      </c>
      <c r="ET15" s="1132"/>
      <c r="EU15" s="1127"/>
      <c r="EV15" s="1130">
        <f ca="1">EW15*(_xlfn.XLOOKUP(EV$3,TabCalc[Ticker],TabCalc[M])+EX15)</f>
        <v>0</v>
      </c>
      <c r="EW15" s="1132"/>
      <c r="EX15" s="1134"/>
      <c r="EY15" s="1130">
        <f ca="1">EZ15*(_xlfn.XLOOKUP(EY$3,TabCalc[Ticker],TabCalc[M])+FA15)</f>
        <v>0</v>
      </c>
      <c r="EZ15" s="1132"/>
      <c r="FA15" s="1134"/>
      <c r="FB15" s="1130">
        <f ca="1">FC15*(_xlfn.XLOOKUP(FB$3,TabCalc[Ticker],TabCalc[M])+FD15)</f>
        <v>0</v>
      </c>
      <c r="FC15" s="1132"/>
      <c r="FD15" s="1134"/>
      <c r="FE15" s="1130">
        <f ca="1">FF15*(_xlfn.XLOOKUP(FE$3,TabCalc[Ticker],TabCalc[M])+FG15)</f>
        <v>0</v>
      </c>
      <c r="FF15" s="1132"/>
      <c r="FG15" s="1127"/>
      <c r="FH15" s="1130">
        <f ca="1">FI15*(_xlfn.XLOOKUP(FH$3,TabCalc[Ticker],TabCalc[M])+FJ15)</f>
        <v>0</v>
      </c>
      <c r="FI15" s="1132"/>
      <c r="FJ15" s="1127"/>
      <c r="FK15" s="1130">
        <f ca="1">FL15*(_xlfn.XLOOKUP(FK$3,TabCalc[Ticker],TabCalc[M])+FM15)</f>
        <v>0</v>
      </c>
      <c r="FL15" s="1132"/>
      <c r="FM15" s="1127"/>
      <c r="FN15" s="1130">
        <f ca="1">FO15*(_xlfn.XLOOKUP(FN$3,TabCalc[Ticker],TabCalc[M])+FP15)</f>
        <v>0</v>
      </c>
      <c r="FO15" s="1132"/>
      <c r="FP15" s="1127"/>
      <c r="FQ15" s="1130">
        <f ca="1">FR15*(_xlfn.XLOOKUP(FQ$3,TabCalc[Ticker],TabCalc[M])+FS15)</f>
        <v>0</v>
      </c>
      <c r="FR15" s="1132"/>
      <c r="FS15" s="1127"/>
      <c r="FT15" s="1130">
        <f ca="1">FU15*(_xlfn.XLOOKUP(FT$3,TabCalc[Ticker],TabCalc[M])+FV15)</f>
        <v>0</v>
      </c>
      <c r="FU15" s="1132"/>
      <c r="FV15" s="1127"/>
      <c r="FW15" s="1130">
        <f ca="1">FX15*(_xlfn.XLOOKUP(FW$3,TabCalc[Ticker],TabCalc[M])+FY15)</f>
        <v>0</v>
      </c>
      <c r="FX15" s="1132"/>
      <c r="FY15" s="1127"/>
      <c r="FZ15" s="1130">
        <f ca="1">GA15*(_xlfn.XLOOKUP(FZ$3,TabCalc[Ticker],TabCalc[M])+GB15)</f>
        <v>0</v>
      </c>
      <c r="GA15" s="1132"/>
      <c r="GB15" s="1127"/>
      <c r="GC15" s="1130">
        <f ca="1">GD15*(_xlfn.XLOOKUP(GC$3,TabCalc[Ticker],TabCalc[M])+GE15)</f>
        <v>0</v>
      </c>
      <c r="GD15" s="1132"/>
      <c r="GE15" s="1127"/>
      <c r="GF15" s="1130">
        <f ca="1">GG15*(_xlfn.XLOOKUP(GF$3,TabCalc[Ticker],TabCalc[M])+GH15)</f>
        <v>0</v>
      </c>
      <c r="GG15" s="1132"/>
      <c r="GH15" s="1127"/>
      <c r="GI15" s="1130">
        <f ca="1">GJ15*(_xlfn.XLOOKUP(GI$3,TabCalc[Ticker],TabCalc[M])+GK15)</f>
        <v>0</v>
      </c>
      <c r="GJ15" s="1132"/>
      <c r="GK15" s="1127"/>
      <c r="GL15" s="1130">
        <f ca="1">GM15*(_xlfn.XLOOKUP(GL$3,TabCalc[Ticker],TabCalc[M])+GN15)</f>
        <v>0</v>
      </c>
      <c r="GM15" s="1132"/>
      <c r="GN15" s="1127"/>
      <c r="GO15" s="1130">
        <f ca="1">GP15*(_xlfn.XLOOKUP(GO$3,TabCalc[Ticker],TabCalc[M])+GQ15)</f>
        <v>0</v>
      </c>
      <c r="GP15" s="1132"/>
      <c r="GQ15" s="1127"/>
      <c r="GR15" s="1130">
        <f ca="1">GS15*(_xlfn.XLOOKUP(GR$3,TabCalc[Ticker],TabCalc[M])+GT15)</f>
        <v>0</v>
      </c>
      <c r="GS15" s="1132"/>
      <c r="GT15" s="1127"/>
      <c r="GU15" s="1130">
        <f ca="1">GV15*(_xlfn.XLOOKUP(GU$3,TabCalc[Ticker],TabCalc[M])+GW15)</f>
        <v>0</v>
      </c>
      <c r="GV15" s="1132"/>
      <c r="GW15" s="1127"/>
      <c r="GX15" s="1130">
        <f ca="1">GY15*(_xlfn.XLOOKUP(GX$3,TabCalc[Ticker],TabCalc[M])+GZ15)</f>
        <v>0</v>
      </c>
      <c r="GY15" s="1132"/>
      <c r="GZ15" s="1127"/>
      <c r="HA15" s="1130">
        <f ca="1">HB15*(_xlfn.XLOOKUP(HA$3,TabCalc[Ticker],TabCalc[M])+HC15)</f>
        <v>0</v>
      </c>
      <c r="HB15" s="1132"/>
      <c r="HC15" s="1127"/>
      <c r="HD15" s="1130">
        <f ca="1">HE15*(_xlfn.XLOOKUP(HD$3,TabCalc[Ticker],TabCalc[M])+HF15)</f>
        <v>0</v>
      </c>
      <c r="HE15" s="1132"/>
      <c r="HF15" s="1127"/>
      <c r="HG15" s="1130">
        <f ca="1">HH15*(_xlfn.XLOOKUP(HG$3,TabCalc[Ticker],TabCalc[M])+HI15)</f>
        <v>0</v>
      </c>
      <c r="HH15" s="1133"/>
      <c r="HI15" s="1127"/>
      <c r="HJ15" s="1130">
        <f ca="1">HK15*(_xlfn.XLOOKUP(HJ$3,TabCalc[Ticker],TabCalc[M])+HL15)</f>
        <v>0</v>
      </c>
      <c r="HK15" s="1132"/>
      <c r="HL15" s="1127"/>
      <c r="HM15" s="1130">
        <f ca="1">HN15*(_xlfn.XLOOKUP(HM$3,TabCalc[Ticker],TabCalc[M])+HO15)</f>
        <v>0</v>
      </c>
      <c r="HN15" s="1132"/>
      <c r="HO15" s="1127"/>
      <c r="HP15" s="1130">
        <f ca="1">HQ15*(_xlfn.XLOOKUP(HP$3,TabCalc[Ticker],TabCalc[M])+HR15)</f>
        <v>0</v>
      </c>
      <c r="HQ15" s="1132"/>
      <c r="HR15" s="1127"/>
      <c r="HS15" s="1130">
        <f ca="1">HT15*(_xlfn.XLOOKUP(HS$3,TabCalc[Ticker],TabCalc[M])+HU15)</f>
        <v>0</v>
      </c>
      <c r="HT15" s="1132"/>
      <c r="HU15" s="1127"/>
      <c r="HV15" s="1130">
        <f ca="1">HW15*(_xlfn.XLOOKUP(HV$3,TabCalc[Ticker],TabCalc[M])+HX15)</f>
        <v>0</v>
      </c>
      <c r="HW15" s="1132"/>
      <c r="HX15" s="1127"/>
      <c r="HY15" s="1130">
        <f ca="1">HZ15*(_xlfn.XLOOKUP(HY$3,TabCalc[Ticker],TabCalc[M])+IA15)</f>
        <v>0</v>
      </c>
      <c r="HZ15" s="1132"/>
      <c r="IA15" s="1127"/>
      <c r="IB15" s="1130">
        <f ca="1">IC15*(_xlfn.XLOOKUP(IB$3,TabCalc[Ticker],TabCalc[M])+ID15)</f>
        <v>0</v>
      </c>
      <c r="IC15" s="1132"/>
      <c r="ID15" s="1127"/>
      <c r="IE15" s="1130">
        <f ca="1">IF15*(_xlfn.XLOOKUP(IE$3,TabCalc[Ticker],TabCalc[M])+IG15)</f>
        <v>0</v>
      </c>
      <c r="IF15" s="1132"/>
      <c r="IG15" s="1127"/>
      <c r="IH15" s="1130">
        <f ca="1">II15*(_xlfn.XLOOKUP(IH$3,TabCalc[Ticker],TabCalc[M])+IJ15)</f>
        <v>0</v>
      </c>
      <c r="II15" s="1132"/>
      <c r="IJ15" s="1127"/>
      <c r="IK15" s="1130">
        <f ca="1">IL15*(_xlfn.XLOOKUP(IK$3,TabCalc[Ticker],TabCalc[M])+IM15)</f>
        <v>0</v>
      </c>
      <c r="IL15" s="1132"/>
      <c r="IM15" s="1127"/>
      <c r="IN15" s="1130">
        <f ca="1">IO15*(_xlfn.XLOOKUP(IN$3,TabCalc[Ticker],TabCalc[M])+IP15)</f>
        <v>0</v>
      </c>
      <c r="IO15" s="1132"/>
      <c r="IP15" s="1127"/>
      <c r="IQ15" s="1130">
        <f ca="1">IR15*(_xlfn.XLOOKUP(IQ$3,TabCalc[Ticker],TabCalc[M]))</f>
        <v>0</v>
      </c>
      <c r="IR15" s="1132"/>
      <c r="IS15" s="1127"/>
      <c r="IT15" s="1130">
        <f ca="1">IU15*(_xlfn.XLOOKUP(IT$3,TabCalc[Ticker],TabCalc[M])+IV15)</f>
        <v>0</v>
      </c>
      <c r="IU15" s="1132"/>
      <c r="IV15" s="1127"/>
      <c r="IW15" s="1130">
        <f ca="1">IX15*(_xlfn.XLOOKUP(IW$3,TabCalc[Ticker],TabCalc[M])+IY15)</f>
        <v>0</v>
      </c>
      <c r="IX15" s="1132"/>
      <c r="IY15" s="1127"/>
      <c r="IZ15" s="1130">
        <f ca="1">JA15*(_xlfn.XLOOKUP(IZ$3,TabCalc[Ticker],TabCalc[M])+JB15)</f>
        <v>0</v>
      </c>
      <c r="JA15" s="1132"/>
      <c r="JB15" s="1127"/>
      <c r="JC15" s="1130">
        <f ca="1">JD15*(_xlfn.XLOOKUP(JC$3,TabCalc[Ticker],TabCalc[M])+JE15)</f>
        <v>0</v>
      </c>
      <c r="JD15" s="1132"/>
      <c r="JE15" s="1127"/>
      <c r="JF15" s="1130">
        <f ca="1">JG15*(_xlfn.XLOOKUP(JF$3,TabCalc[Ticker],TabCalc[M])+JH15)</f>
        <v>0</v>
      </c>
      <c r="JG15" s="1132"/>
      <c r="JH15" s="1127"/>
      <c r="JI15" s="1130">
        <f ca="1">JJ15*(_xlfn.XLOOKUP(JI$3,TabCalc[Ticker],TabCalc[M])+JK15)</f>
        <v>0</v>
      </c>
      <c r="JJ15" s="1132"/>
      <c r="JK15" s="1127"/>
      <c r="JL15" s="1130">
        <f ca="1">JM15*(_xlfn.XLOOKUP(JL$3,TabCalc[Ticker],TabCalc[M])+JN15)</f>
        <v>0</v>
      </c>
      <c r="JM15" s="1132"/>
      <c r="JN15" s="1127"/>
      <c r="JO15" s="1130">
        <f ca="1">JP15*(_xlfn.XLOOKUP(JO$3,TabCalc[Ticker],TabCalc[M])+JQ15)</f>
        <v>0</v>
      </c>
      <c r="JP15" s="1132"/>
      <c r="JQ15" s="1127"/>
      <c r="JR15" s="1130">
        <f ca="1">JS15*(_xlfn.XLOOKUP(JR$3,TabCalc[Ticker],TabCalc[M])+JT15)</f>
        <v>0</v>
      </c>
      <c r="JS15" s="1132"/>
      <c r="JT15" s="1127"/>
      <c r="JU15" s="1130">
        <f ca="1">JV15*(_xlfn.XLOOKUP(JU$3,TabCalc[Ticker],TabCalc[M])+JW15)</f>
        <v>0</v>
      </c>
      <c r="JV15" s="1137"/>
      <c r="JW15" s="1127"/>
      <c r="JX15" s="1130">
        <f ca="1">JY15*(_xlfn.XLOOKUP(JX$3,TabCalc[Ticker],TabCalc[M])+JZ15)</f>
        <v>0</v>
      </c>
      <c r="JY15" s="1132"/>
      <c r="JZ15" s="1134"/>
    </row>
    <row r="16" spans="1:301" x14ac:dyDescent="0.3">
      <c r="A16">
        <v>13</v>
      </c>
      <c r="B16" s="1130">
        <f ca="1">C16*(_xlfn.XLOOKUP(B$3,TabCalc[Ticker],TabCalc[M])+D16)</f>
        <v>4301.9999999999927</v>
      </c>
      <c r="C16" s="1133">
        <v>200</v>
      </c>
      <c r="D16" s="1127">
        <v>-248.52</v>
      </c>
      <c r="E16" s="1130">
        <f ca="1">F16*(_xlfn.XLOOKUP(E$3,TabCalc[Ticker],TabCalc[M])+G16)</f>
        <v>0</v>
      </c>
      <c r="F16" s="1133"/>
      <c r="G16" s="1127"/>
      <c r="H16" s="1130">
        <f ca="1">I16*(_xlfn.XLOOKUP(H$3,TabCalc[Ticker],TabCalc[M])+J16)</f>
        <v>-1459979.9999999995</v>
      </c>
      <c r="I16" s="1133">
        <v>180000</v>
      </c>
      <c r="J16" s="1127">
        <v>-53.110999999999997</v>
      </c>
      <c r="K16" s="1130">
        <f ca="1">L16*(_xlfn.XLOOKUP(K$3,TabCalc[Ticker],TabCalc[M])+M16)</f>
        <v>-3679.0000000000018</v>
      </c>
      <c r="L16" s="1133">
        <v>500</v>
      </c>
      <c r="M16" s="1127">
        <v>-228.54</v>
      </c>
      <c r="N16" s="1130">
        <f ca="1">O16*(_xlfn.XLOOKUP(N$3,TabCalc[Ticker],TabCalc[M])+P16)</f>
        <v>0</v>
      </c>
      <c r="O16" s="1133"/>
      <c r="P16" s="1127"/>
      <c r="Q16" s="1130">
        <f ca="1">R16*(_xlfn.XLOOKUP(Q$3,TabCalc[Ticker],TabCalc[M])+S16)</f>
        <v>16340.000000000009</v>
      </c>
      <c r="R16" s="1133">
        <v>200</v>
      </c>
      <c r="S16" s="1127">
        <v>-804.9</v>
      </c>
      <c r="T16" s="1130">
        <f ca="1">U16*(_xlfn.XLOOKUP(T$3,TabCalc[Ticker],TabCalc[M])+V16)</f>
        <v>0</v>
      </c>
      <c r="U16" s="1133"/>
      <c r="V16" s="1128"/>
      <c r="W16" s="1130">
        <f ca="1">X16*(_xlfn.XLOOKUP(W$3,TabCalc[Ticker],TabCalc[M])+Y16)</f>
        <v>0</v>
      </c>
      <c r="X16" s="1133"/>
      <c r="Y16" s="1127"/>
      <c r="Z16" s="1130">
        <f ca="1">AA16*(_xlfn.XLOOKUP(Z$3,TabCalc[Ticker],TabCalc[M])+AB16)</f>
        <v>0</v>
      </c>
      <c r="AA16" s="1133"/>
      <c r="AB16" s="1127"/>
      <c r="AC16" s="1130">
        <f ca="1">AD16*(_xlfn.XLOOKUP(AC$3,TabCalc[Ticker],TabCalc[M])+AE16)</f>
        <v>0</v>
      </c>
      <c r="AD16" s="1132"/>
      <c r="AE16" s="1127"/>
      <c r="AF16" s="1130">
        <f ca="1">AG16*(_xlfn.XLOOKUP(AF$3,TabCalc[Ticker],TabCalc[M])+AH16)</f>
        <v>0</v>
      </c>
      <c r="AG16" s="1132"/>
      <c r="AH16" s="1127"/>
      <c r="AI16" s="1130">
        <f ca="1">AJ16*(_xlfn.XLOOKUP(AI$3,TabCalc[Ticker],TabCalc[M])+AK16)</f>
        <v>0</v>
      </c>
      <c r="AJ16" s="1132"/>
      <c r="AK16" s="1127"/>
      <c r="AL16" s="1130">
        <f ca="1">AM16*(_xlfn.XLOOKUP(AL$3,TabCalc[Ticker],TabCalc[M])+AN16)</f>
        <v>0</v>
      </c>
      <c r="AM16" s="1132"/>
      <c r="AN16" s="1127"/>
      <c r="AO16" s="1130">
        <f ca="1">AP16*(_xlfn.XLOOKUP(AO$3,TabCalc[Ticker],TabCalc[M])+AQ16)</f>
        <v>0</v>
      </c>
      <c r="AP16" s="1132"/>
      <c r="AQ16" s="1127"/>
      <c r="AR16" s="1130">
        <f ca="1">AS16*(_xlfn.XLOOKUP(AR$3,TabCalc[Ticker],TabCalc[M])+AT16)</f>
        <v>0</v>
      </c>
      <c r="AS16" s="1132"/>
      <c r="AT16" s="1127"/>
      <c r="AU16" s="1130">
        <f ca="1">AV16*(_xlfn.XLOOKUP(AU$3,TabCalc[Ticker],TabCalc[M])+AW16)</f>
        <v>0</v>
      </c>
      <c r="AV16" s="1132"/>
      <c r="AW16" s="1127"/>
      <c r="AX16" s="1130">
        <f ca="1">AY16*(_xlfn.XLOOKUP(AX$3,TabCalc[Ticker],TabCalc[M])+AZ16)</f>
        <v>0</v>
      </c>
      <c r="AY16" s="1132"/>
      <c r="AZ16" s="1127"/>
      <c r="BA16" s="1130">
        <f ca="1">BB16*(_xlfn.XLOOKUP(BA$3,TabCalc[Ticker],TabCalc[M])+BC16)</f>
        <v>0</v>
      </c>
      <c r="BB16" s="1132"/>
      <c r="BC16" s="1127"/>
      <c r="BD16" s="1130">
        <f ca="1">BE16*(_xlfn.XLOOKUP(BD$3,TabCalc[Ticker],TabCalc[M])+BF16)</f>
        <v>0</v>
      </c>
      <c r="BE16" s="1132"/>
      <c r="BF16" s="1127"/>
      <c r="BG16" s="1130">
        <f ca="1">BH16*(_xlfn.XLOOKUP(BG$3,TabCalc[Ticker],TabCalc[M])+BI16)</f>
        <v>0</v>
      </c>
      <c r="BH16" s="1132"/>
      <c r="BI16" s="1127"/>
      <c r="BJ16" s="1130">
        <f ca="1">BK16*(_xlfn.XLOOKUP(BJ$3,TabCalc[Ticker],TabCalc[M])+BL16)</f>
        <v>0</v>
      </c>
      <c r="BK16" s="1132"/>
      <c r="BL16" s="1127"/>
      <c r="BM16" s="1130">
        <f ca="1">BN16*(_xlfn.XLOOKUP(BM$3,TabCalc[Ticker],TabCalc[M])+BO16)</f>
        <v>0</v>
      </c>
      <c r="BN16" s="1132"/>
      <c r="BO16" s="1127"/>
      <c r="BP16" s="1130">
        <f ca="1">BQ16*(_xlfn.XLOOKUP(BP$3,TabCalc[Ticker],TabCalc[M])+BR16)</f>
        <v>0</v>
      </c>
      <c r="BQ16" s="1132"/>
      <c r="BR16" s="1127"/>
      <c r="BS16" s="1130">
        <f ca="1">BT16*(_xlfn.XLOOKUP(BS$3,TabCalc[Ticker],TabCalc[M])+BU16)</f>
        <v>0</v>
      </c>
      <c r="BT16" s="1132"/>
      <c r="BU16" s="1127"/>
      <c r="BV16" s="1130">
        <f ca="1">BW16*(_xlfn.XLOOKUP(BV$3,TabCalc[Ticker],TabCalc[M])+BX16)</f>
        <v>0</v>
      </c>
      <c r="BW16" s="1132"/>
      <c r="BX16" s="1127"/>
      <c r="BY16" s="1130">
        <f ca="1">BZ16*(_xlfn.XLOOKUP(BY$3,TabCalc[Ticker],TabCalc[M])+CA16)</f>
        <v>0</v>
      </c>
      <c r="BZ16" s="1132"/>
      <c r="CA16" s="1127"/>
      <c r="CB16" s="1130">
        <f ca="1">CC16*(_xlfn.XLOOKUP(CB$3,TabCalc[Ticker],TabCalc[M])+CD16)</f>
        <v>0</v>
      </c>
      <c r="CC16" s="1132"/>
      <c r="CD16" s="1127"/>
      <c r="CE16" s="1130">
        <f ca="1">CF16*(_xlfn.XLOOKUP(CE$3,TabCalc[Ticker],TabCalc[M])+CG16)</f>
        <v>0</v>
      </c>
      <c r="CF16" s="1132"/>
      <c r="CG16" s="1127"/>
      <c r="CH16" s="1130">
        <f ca="1">CI16*(_xlfn.XLOOKUP(CH$3,TabCalc[Ticker],TabCalc[M])+CJ16)</f>
        <v>0</v>
      </c>
      <c r="CI16" s="1133"/>
      <c r="CJ16" s="1127"/>
      <c r="CK16" s="1130">
        <f ca="1">CL16*(_xlfn.XLOOKUP(CK$3,TabCalc[Ticker],TabCalc[M])+CM16)</f>
        <v>0</v>
      </c>
      <c r="CL16" s="1132"/>
      <c r="CM16" s="1127"/>
      <c r="CN16" s="1130">
        <f ca="1">CO16*(_xlfn.XLOOKUP(CN$3,TabCalc[Ticker],TabCalc[M])+CP16)</f>
        <v>2370.0000000000045</v>
      </c>
      <c r="CO16" s="1133">
        <v>2000</v>
      </c>
      <c r="CP16" s="1127">
        <v>-86.41</v>
      </c>
      <c r="CQ16" s="1130">
        <f ca="1">CR16*(_xlfn.XLOOKUP(CQ$3,TabCalc[Ticker],TabCalc[M])+CS16)</f>
        <v>0</v>
      </c>
      <c r="CR16" s="1132"/>
      <c r="CS16" s="1127"/>
      <c r="CT16" s="1130">
        <f ca="1">CU16*(_xlfn.XLOOKUP(CT$3,TabCalc[Ticker],TabCalc[M])+CV16)</f>
        <v>0</v>
      </c>
      <c r="CU16" s="1133"/>
      <c r="CV16" s="1127"/>
      <c r="CW16" s="1130">
        <f ca="1">CX16*(_xlfn.XLOOKUP(CW$3,TabCalc[Ticker],TabCalc[M])+CY16)</f>
        <v>0</v>
      </c>
      <c r="CX16" s="1132"/>
      <c r="CY16" s="1127"/>
      <c r="CZ16" s="1130">
        <f ca="1">DA16*(_xlfn.XLOOKUP(CZ$3,TabCalc[Ticker],TabCalc[M])+DB16)</f>
        <v>0</v>
      </c>
      <c r="DA16" s="1132"/>
      <c r="DB16" s="1127"/>
      <c r="DC16" s="1130">
        <f ca="1">DD16*(_xlfn.XLOOKUP(DC$3,TabCalc[Ticker],TabCalc[M])+DE16)</f>
        <v>0</v>
      </c>
      <c r="DD16" s="1132"/>
      <c r="DE16" s="1127"/>
      <c r="DF16" s="1130">
        <f ca="1">DG16*(_xlfn.XLOOKUP(DF$3,TabCalc[Ticker],TabCalc[M])+DH16)</f>
        <v>0</v>
      </c>
      <c r="DG16" s="1132"/>
      <c r="DH16" s="1127"/>
      <c r="DI16" s="1130">
        <f ca="1">DJ16*(_xlfn.XLOOKUP(DI$3,TabCalc[Ticker],TabCalc[M])+DK16)</f>
        <v>0</v>
      </c>
      <c r="DJ16" s="1132"/>
      <c r="DK16" s="1127"/>
      <c r="DL16" s="1130">
        <f ca="1">DM16*(_xlfn.XLOOKUP(DL$3,TabCalc[Ticker],TabCalc[M])+DN16)</f>
        <v>0</v>
      </c>
      <c r="DM16" s="1132"/>
      <c r="DN16" s="1127"/>
      <c r="DO16" s="1130">
        <f ca="1">DP16*(_xlfn.XLOOKUP(DO$3,TabCalc[Ticker],TabCalc[M])+DQ16)</f>
        <v>0</v>
      </c>
      <c r="DP16" s="1132"/>
      <c r="DQ16" s="1127"/>
      <c r="DR16" s="1130">
        <f ca="1">DS16*(_xlfn.XLOOKUP(DR$3,TabCalc[Ticker],TabCalc[M])+DT16)</f>
        <v>0</v>
      </c>
      <c r="DS16" s="1132"/>
      <c r="DT16" s="1127"/>
      <c r="DU16" s="1130">
        <f ca="1">DV16*(_xlfn.XLOOKUP(DU$3,TabCalc[Ticker],TabCalc[M])+DW16)</f>
        <v>0</v>
      </c>
      <c r="DV16" s="1132"/>
      <c r="DW16" s="1127"/>
      <c r="DX16" s="1130">
        <f ca="1">DY16*(_xlfn.XLOOKUP(DX$3,TabCalc[Ticker],TabCalc[M])+DZ16)</f>
        <v>0</v>
      </c>
      <c r="DY16" s="1132"/>
      <c r="DZ16" s="1127"/>
      <c r="EA16" s="1130">
        <f ca="1">EB16*(_xlfn.XLOOKUP(EA$3,TabCalc[Ticker],TabCalc[M])+EC16)</f>
        <v>0</v>
      </c>
      <c r="EB16" s="1132"/>
      <c r="EC16" s="1127"/>
      <c r="ED16" s="1130">
        <f ca="1">EE16*(_xlfn.XLOOKUP(ED$3,TabCalc[Ticker],TabCalc[M])+EF16)</f>
        <v>0</v>
      </c>
      <c r="EE16" s="1132"/>
      <c r="EF16" s="1127"/>
      <c r="EG16" s="1130">
        <f ca="1">EH16*(_xlfn.XLOOKUP(EG$3,TabCalc[Ticker],TabCalc[M])+EI16)</f>
        <v>0</v>
      </c>
      <c r="EH16" s="1132"/>
      <c r="EI16" s="1127"/>
      <c r="EJ16" s="1130" t="e">
        <f ca="1">EK16*(_xlfn.XLOOKUP(EJ$3,TabCalc[Ticker],TabCalc[M])+EL16)</f>
        <v>#N/A</v>
      </c>
      <c r="EK16" s="1132"/>
      <c r="EL16" s="1127"/>
      <c r="EM16" s="1130">
        <f ca="1">EN16*(_xlfn.XLOOKUP(EM$3,TabCalc[Ticker],TabCalc[M])+EO16)</f>
        <v>0</v>
      </c>
      <c r="EN16" s="1132"/>
      <c r="EO16" s="1127"/>
      <c r="EP16" s="1130">
        <f ca="1">EQ16*(_xlfn.XLOOKUP(EP$3,TabCalc[Ticker],TabCalc[M])+ER16)</f>
        <v>0</v>
      </c>
      <c r="EQ16" s="1132"/>
      <c r="ER16" s="1127"/>
      <c r="ES16" s="1130">
        <f ca="1">ET16*(_xlfn.XLOOKUP(ES$3,TabCalc[Ticker],TabCalc[M])+EU16)</f>
        <v>0</v>
      </c>
      <c r="ET16" s="1132"/>
      <c r="EU16" s="1127"/>
      <c r="EV16" s="1130">
        <f ca="1">EW16*(_xlfn.XLOOKUP(EV$3,TabCalc[Ticker],TabCalc[M])+EX16)</f>
        <v>0</v>
      </c>
      <c r="EW16" s="1132"/>
      <c r="EX16" s="1134"/>
      <c r="EY16" s="1130">
        <f ca="1">EZ16*(_xlfn.XLOOKUP(EY$3,TabCalc[Ticker],TabCalc[M])+FA16)</f>
        <v>0</v>
      </c>
      <c r="EZ16" s="1132"/>
      <c r="FA16" s="1134"/>
      <c r="FB16" s="1130">
        <f ca="1">FC16*(_xlfn.XLOOKUP(FB$3,TabCalc[Ticker],TabCalc[M])+FD16)</f>
        <v>0</v>
      </c>
      <c r="FC16" s="1132"/>
      <c r="FD16" s="1134"/>
      <c r="FE16" s="1130">
        <f ca="1">FF16*(_xlfn.XLOOKUP(FE$3,TabCalc[Ticker],TabCalc[M])+FG16)</f>
        <v>0</v>
      </c>
      <c r="FF16" s="1132"/>
      <c r="FG16" s="1127"/>
      <c r="FH16" s="1130">
        <f ca="1">FI16*(_xlfn.XLOOKUP(FH$3,TabCalc[Ticker],TabCalc[M])+FJ16)</f>
        <v>0</v>
      </c>
      <c r="FI16" s="1132"/>
      <c r="FJ16" s="1127"/>
      <c r="FK16" s="1130">
        <f ca="1">FL16*(_xlfn.XLOOKUP(FK$3,TabCalc[Ticker],TabCalc[M])+FM16)</f>
        <v>0</v>
      </c>
      <c r="FL16" s="1132"/>
      <c r="FM16" s="1127"/>
      <c r="FN16" s="1130">
        <f ca="1">FO16*(_xlfn.XLOOKUP(FN$3,TabCalc[Ticker],TabCalc[M])+FP16)</f>
        <v>0</v>
      </c>
      <c r="FO16" s="1132"/>
      <c r="FP16" s="1127"/>
      <c r="FQ16" s="1130">
        <f ca="1">FR16*(_xlfn.XLOOKUP(FQ$3,TabCalc[Ticker],TabCalc[M])+FS16)</f>
        <v>0</v>
      </c>
      <c r="FR16" s="1132"/>
      <c r="FS16" s="1127"/>
      <c r="FT16" s="1130">
        <f ca="1">FU16*(_xlfn.XLOOKUP(FT$3,TabCalc[Ticker],TabCalc[M])+FV16)</f>
        <v>0</v>
      </c>
      <c r="FU16" s="1132"/>
      <c r="FV16" s="1127"/>
      <c r="FW16" s="1130">
        <f ca="1">FX16*(_xlfn.XLOOKUP(FW$3,TabCalc[Ticker],TabCalc[M])+FY16)</f>
        <v>0</v>
      </c>
      <c r="FX16" s="1132"/>
      <c r="FY16" s="1127"/>
      <c r="FZ16" s="1130">
        <f ca="1">GA16*(_xlfn.XLOOKUP(FZ$3,TabCalc[Ticker],TabCalc[M])+GB16)</f>
        <v>0</v>
      </c>
      <c r="GA16" s="1132"/>
      <c r="GB16" s="1127"/>
      <c r="GC16" s="1130">
        <f ca="1">GD16*(_xlfn.XLOOKUP(GC$3,TabCalc[Ticker],TabCalc[M])+GE16)</f>
        <v>0</v>
      </c>
      <c r="GD16" s="1132"/>
      <c r="GE16" s="1127"/>
      <c r="GF16" s="1130">
        <f ca="1">GG16*(_xlfn.XLOOKUP(GF$3,TabCalc[Ticker],TabCalc[M])+GH16)</f>
        <v>0</v>
      </c>
      <c r="GG16" s="1132"/>
      <c r="GH16" s="1127"/>
      <c r="GI16" s="1130">
        <f ca="1">GJ16*(_xlfn.XLOOKUP(GI$3,TabCalc[Ticker],TabCalc[M])+GK16)</f>
        <v>0</v>
      </c>
      <c r="GJ16" s="1132"/>
      <c r="GK16" s="1127"/>
      <c r="GL16" s="1130">
        <f ca="1">GM16*(_xlfn.XLOOKUP(GL$3,TabCalc[Ticker],TabCalc[M])+GN16)</f>
        <v>0</v>
      </c>
      <c r="GM16" s="1132"/>
      <c r="GN16" s="1127"/>
      <c r="GO16" s="1130">
        <f ca="1">GP16*(_xlfn.XLOOKUP(GO$3,TabCalc[Ticker],TabCalc[M])+GQ16)</f>
        <v>0</v>
      </c>
      <c r="GP16" s="1132"/>
      <c r="GQ16" s="1127"/>
      <c r="GR16" s="1130">
        <f ca="1">GS16*(_xlfn.XLOOKUP(GR$3,TabCalc[Ticker],TabCalc[M])+GT16)</f>
        <v>0</v>
      </c>
      <c r="GS16" s="1132"/>
      <c r="GT16" s="1127"/>
      <c r="GU16" s="1130">
        <f ca="1">GV16*(_xlfn.XLOOKUP(GU$3,TabCalc[Ticker],TabCalc[M])+GW16)</f>
        <v>0</v>
      </c>
      <c r="GV16" s="1132"/>
      <c r="GW16" s="1127"/>
      <c r="GX16" s="1130">
        <f ca="1">GY16*(_xlfn.XLOOKUP(GX$3,TabCalc[Ticker],TabCalc[M])+GZ16)</f>
        <v>0</v>
      </c>
      <c r="GY16" s="1132"/>
      <c r="GZ16" s="1127"/>
      <c r="HA16" s="1130">
        <f ca="1">HB16*(_xlfn.XLOOKUP(HA$3,TabCalc[Ticker],TabCalc[M])+HC16)</f>
        <v>0</v>
      </c>
      <c r="HB16" s="1132"/>
      <c r="HC16" s="1127"/>
      <c r="HD16" s="1130">
        <f ca="1">HE16*(_xlfn.XLOOKUP(HD$3,TabCalc[Ticker],TabCalc[M])+HF16)</f>
        <v>0</v>
      </c>
      <c r="HE16" s="1132"/>
      <c r="HF16" s="1127"/>
      <c r="HG16" s="1130">
        <f ca="1">HH16*(_xlfn.XLOOKUP(HG$3,TabCalc[Ticker],TabCalc[M])+HI16)</f>
        <v>0</v>
      </c>
      <c r="HH16" s="1132"/>
      <c r="HI16" s="1127"/>
      <c r="HJ16" s="1130">
        <f ca="1">HK16*(_xlfn.XLOOKUP(HJ$3,TabCalc[Ticker],TabCalc[M])+HL16)</f>
        <v>0</v>
      </c>
      <c r="HK16" s="1132"/>
      <c r="HL16" s="1127"/>
      <c r="HM16" s="1130">
        <f ca="1">HN16*(_xlfn.XLOOKUP(HM$3,TabCalc[Ticker],TabCalc[M])+HO16)</f>
        <v>0</v>
      </c>
      <c r="HN16" s="1132"/>
      <c r="HO16" s="1127"/>
      <c r="HP16" s="1130">
        <f ca="1">HQ16*(_xlfn.XLOOKUP(HP$3,TabCalc[Ticker],TabCalc[M])+HR16)</f>
        <v>0</v>
      </c>
      <c r="HQ16" s="1132"/>
      <c r="HR16" s="1127"/>
      <c r="HS16" s="1130">
        <f ca="1">HT16*(_xlfn.XLOOKUP(HS$3,TabCalc[Ticker],TabCalc[M])+HU16)</f>
        <v>0</v>
      </c>
      <c r="HT16" s="1132"/>
      <c r="HU16" s="1127"/>
      <c r="HV16" s="1130">
        <f ca="1">HW16*(_xlfn.XLOOKUP(HV$3,TabCalc[Ticker],TabCalc[M])+HX16)</f>
        <v>0</v>
      </c>
      <c r="HW16" s="1132"/>
      <c r="HX16" s="1127"/>
      <c r="HY16" s="1130">
        <f ca="1">HZ16*(_xlfn.XLOOKUP(HY$3,TabCalc[Ticker],TabCalc[M])+IA16)</f>
        <v>0</v>
      </c>
      <c r="HZ16" s="1132"/>
      <c r="IA16" s="1127"/>
      <c r="IB16" s="1130">
        <f ca="1">IC16*(_xlfn.XLOOKUP(IB$3,TabCalc[Ticker],TabCalc[M])+ID16)</f>
        <v>0</v>
      </c>
      <c r="IC16" s="1132"/>
      <c r="ID16" s="1127"/>
      <c r="IE16" s="1130">
        <f ca="1">IF16*(_xlfn.XLOOKUP(IE$3,TabCalc[Ticker],TabCalc[M])+IG16)</f>
        <v>0</v>
      </c>
      <c r="IF16" s="1132"/>
      <c r="IG16" s="1127"/>
      <c r="IH16" s="1130">
        <f ca="1">II16*(_xlfn.XLOOKUP(IH$3,TabCalc[Ticker],TabCalc[M])+IJ16)</f>
        <v>0</v>
      </c>
      <c r="II16" s="1132"/>
      <c r="IJ16" s="1127"/>
      <c r="IK16" s="1130">
        <f ca="1">IL16*(_xlfn.XLOOKUP(IK$3,TabCalc[Ticker],TabCalc[M])+IM16)</f>
        <v>0</v>
      </c>
      <c r="IL16" s="1132"/>
      <c r="IM16" s="1127"/>
      <c r="IN16" s="1130">
        <f ca="1">IO16*(_xlfn.XLOOKUP(IN$3,TabCalc[Ticker],TabCalc[M])+IP16)</f>
        <v>0</v>
      </c>
      <c r="IO16" s="1132"/>
      <c r="IP16" s="1127"/>
      <c r="IQ16" s="1130">
        <f ca="1">IR16*(_xlfn.XLOOKUP(IQ$3,TabCalc[Ticker],TabCalc[M]))</f>
        <v>0</v>
      </c>
      <c r="IR16" s="1132"/>
      <c r="IS16" s="1127"/>
      <c r="IT16" s="1130">
        <f ca="1">IU16*(_xlfn.XLOOKUP(IT$3,TabCalc[Ticker],TabCalc[M])+IV16)</f>
        <v>0</v>
      </c>
      <c r="IU16" s="1132"/>
      <c r="IV16" s="1127"/>
      <c r="IW16" s="1130">
        <f ca="1">IX16*(_xlfn.XLOOKUP(IW$3,TabCalc[Ticker],TabCalc[M])+IY16)</f>
        <v>0</v>
      </c>
      <c r="IX16" s="1132"/>
      <c r="IY16" s="1127"/>
      <c r="IZ16" s="1130">
        <f ca="1">JA16*(_xlfn.XLOOKUP(IZ$3,TabCalc[Ticker],TabCalc[M])+JB16)</f>
        <v>0</v>
      </c>
      <c r="JA16" s="1132"/>
      <c r="JB16" s="1127"/>
      <c r="JC16" s="1130">
        <f ca="1">JD16*(_xlfn.XLOOKUP(JC$3,TabCalc[Ticker],TabCalc[M])+JE16)</f>
        <v>0</v>
      </c>
      <c r="JD16" s="1132"/>
      <c r="JE16" s="1127"/>
      <c r="JF16" s="1130">
        <f ca="1">JG16*(_xlfn.XLOOKUP(JF$3,TabCalc[Ticker],TabCalc[M])+JH16)</f>
        <v>0</v>
      </c>
      <c r="JG16" s="1132"/>
      <c r="JH16" s="1127"/>
      <c r="JI16" s="1130">
        <f ca="1">JJ16*(_xlfn.XLOOKUP(JI$3,TabCalc[Ticker],TabCalc[M])+JK16)</f>
        <v>0</v>
      </c>
      <c r="JJ16" s="1132"/>
      <c r="JK16" s="1127"/>
      <c r="JL16" s="1130">
        <f ca="1">JM16*(_xlfn.XLOOKUP(JL$3,TabCalc[Ticker],TabCalc[M])+JN16)</f>
        <v>0</v>
      </c>
      <c r="JM16" s="1132"/>
      <c r="JN16" s="1127"/>
      <c r="JO16" s="1130">
        <f ca="1">JP16*(_xlfn.XLOOKUP(JO$3,TabCalc[Ticker],TabCalc[M])+JQ16)</f>
        <v>0</v>
      </c>
      <c r="JP16" s="1132"/>
      <c r="JQ16" s="1127"/>
      <c r="JR16" s="1130">
        <f ca="1">JS16*(_xlfn.XLOOKUP(JR$3,TabCalc[Ticker],TabCalc[M])+JT16)</f>
        <v>0</v>
      </c>
      <c r="JS16" s="1132"/>
      <c r="JT16" s="1127"/>
      <c r="JU16" s="1130">
        <f ca="1">JV16*(_xlfn.XLOOKUP(JU$3,TabCalc[Ticker],TabCalc[M])+JW16)</f>
        <v>0</v>
      </c>
      <c r="JV16" s="1137"/>
      <c r="JW16" s="1127"/>
      <c r="JX16" s="1130">
        <f ca="1">JY16*(_xlfn.XLOOKUP(JX$3,TabCalc[Ticker],TabCalc[M])+JZ16)</f>
        <v>0</v>
      </c>
      <c r="JY16" s="1132"/>
      <c r="JZ16" s="1134"/>
    </row>
    <row r="17" spans="1:286" x14ac:dyDescent="0.3">
      <c r="A17">
        <v>14</v>
      </c>
      <c r="B17" s="1130">
        <f ca="1">C17*(_xlfn.XLOOKUP(B$3,TabCalc[Ticker],TabCalc[M])+D17)</f>
        <v>0</v>
      </c>
      <c r="C17" s="1133"/>
      <c r="D17" s="1127"/>
      <c r="E17" s="1130">
        <f ca="1">F17*(_xlfn.XLOOKUP(E$3,TabCalc[Ticker],TabCalc[M])+G17)</f>
        <v>0</v>
      </c>
      <c r="F17" s="1132"/>
      <c r="G17" s="1127"/>
      <c r="H17" s="1130">
        <f ca="1">I17*(_xlfn.XLOOKUP(H$3,TabCalc[Ticker],TabCalc[M])+J17)</f>
        <v>0</v>
      </c>
      <c r="I17" s="1133"/>
      <c r="J17" s="1127"/>
      <c r="K17" s="1130">
        <f ca="1">L17*(_xlfn.XLOOKUP(K$3,TabCalc[Ticker],TabCalc[M])+M17)</f>
        <v>-3495.6000000000004</v>
      </c>
      <c r="L17" s="1133">
        <v>450</v>
      </c>
      <c r="M17" s="1127">
        <v>-228.95</v>
      </c>
      <c r="N17" s="1130">
        <f ca="1">O17*(_xlfn.XLOOKUP(N$3,TabCalc[Ticker],TabCalc[M])+P17)</f>
        <v>0</v>
      </c>
      <c r="O17" s="1133"/>
      <c r="P17" s="1127"/>
      <c r="Q17" s="1130">
        <f ca="1">R17*(_xlfn.XLOOKUP(Q$3,TabCalc[Ticker],TabCalc[M])+S17)</f>
        <v>14540.000000000009</v>
      </c>
      <c r="R17" s="1133">
        <v>200</v>
      </c>
      <c r="S17" s="1127">
        <v>-813.9</v>
      </c>
      <c r="T17" s="1130">
        <f ca="1">U17*(_xlfn.XLOOKUP(T$3,TabCalc[Ticker],TabCalc[M])+V17)</f>
        <v>0</v>
      </c>
      <c r="U17" s="1133"/>
      <c r="V17" s="1128"/>
      <c r="W17" s="1130">
        <f ca="1">X17*(_xlfn.XLOOKUP(W$3,TabCalc[Ticker],TabCalc[M])+Y17)</f>
        <v>0</v>
      </c>
      <c r="X17" s="1133"/>
      <c r="Y17" s="1127"/>
      <c r="Z17" s="1130">
        <f ca="1">AA17*(_xlfn.XLOOKUP(Z$3,TabCalc[Ticker],TabCalc[M])+AB17)</f>
        <v>0</v>
      </c>
      <c r="AA17" s="1133"/>
      <c r="AB17" s="1127"/>
      <c r="AC17" s="1130">
        <f ca="1">AD17*(_xlfn.XLOOKUP(AC$3,TabCalc[Ticker],TabCalc[M])+AE17)</f>
        <v>0</v>
      </c>
      <c r="AD17" s="1132"/>
      <c r="AE17" s="1127"/>
      <c r="AF17" s="1130">
        <f ca="1">AG17*(_xlfn.XLOOKUP(AF$3,TabCalc[Ticker],TabCalc[M])+AH17)</f>
        <v>0</v>
      </c>
      <c r="AG17" s="1132"/>
      <c r="AH17" s="1127"/>
      <c r="AI17" s="1130">
        <f ca="1">AJ17*(_xlfn.XLOOKUP(AI$3,TabCalc[Ticker],TabCalc[M])+AK17)</f>
        <v>0</v>
      </c>
      <c r="AJ17" s="1132"/>
      <c r="AK17" s="1127"/>
      <c r="AL17" s="1130">
        <f ca="1">AM17*(_xlfn.XLOOKUP(AL$3,TabCalc[Ticker],TabCalc[M])+AN17)</f>
        <v>0</v>
      </c>
      <c r="AM17" s="1132"/>
      <c r="AN17" s="1127"/>
      <c r="AO17" s="1130">
        <f ca="1">AP17*(_xlfn.XLOOKUP(AO$3,TabCalc[Ticker],TabCalc[M])+AQ17)</f>
        <v>0</v>
      </c>
      <c r="AP17" s="1132"/>
      <c r="AQ17" s="1127"/>
      <c r="AR17" s="1130">
        <f ca="1">AS17*(_xlfn.XLOOKUP(AR$3,TabCalc[Ticker],TabCalc[M])+AT17)</f>
        <v>0</v>
      </c>
      <c r="AS17" s="1132"/>
      <c r="AT17" s="1127"/>
      <c r="AU17" s="1130">
        <f ca="1">AV17*(_xlfn.XLOOKUP(AU$3,TabCalc[Ticker],TabCalc[M])+AW17)</f>
        <v>0</v>
      </c>
      <c r="AV17" s="1132"/>
      <c r="AW17" s="1127"/>
      <c r="AX17" s="1130">
        <f ca="1">AY17*(_xlfn.XLOOKUP(AX$3,TabCalc[Ticker],TabCalc[M])+AZ17)</f>
        <v>0</v>
      </c>
      <c r="AY17" s="1132"/>
      <c r="AZ17" s="1127"/>
      <c r="BA17" s="1130">
        <f ca="1">BB17*(_xlfn.XLOOKUP(BA$3,TabCalc[Ticker],TabCalc[M])+BC17)</f>
        <v>0</v>
      </c>
      <c r="BB17" s="1132"/>
      <c r="BC17" s="1127"/>
      <c r="BD17" s="1130">
        <f ca="1">BE17*(_xlfn.XLOOKUP(BD$3,TabCalc[Ticker],TabCalc[M])+BF17)</f>
        <v>0</v>
      </c>
      <c r="BE17" s="1132"/>
      <c r="BF17" s="1127"/>
      <c r="BG17" s="1130">
        <f ca="1">BH17*(_xlfn.XLOOKUP(BG$3,TabCalc[Ticker],TabCalc[M])+BI17)</f>
        <v>0</v>
      </c>
      <c r="BH17" s="1132"/>
      <c r="BI17" s="1127"/>
      <c r="BJ17" s="1130">
        <f ca="1">BK17*(_xlfn.XLOOKUP(BJ$3,TabCalc[Ticker],TabCalc[M])+BL17)</f>
        <v>0</v>
      </c>
      <c r="BK17" s="1132"/>
      <c r="BL17" s="1127"/>
      <c r="BM17" s="1130">
        <f ca="1">BN17*(_xlfn.XLOOKUP(BM$3,TabCalc[Ticker],TabCalc[M])+BO17)</f>
        <v>0</v>
      </c>
      <c r="BN17" s="1132"/>
      <c r="BO17" s="1127"/>
      <c r="BP17" s="1130">
        <f ca="1">BQ17*(_xlfn.XLOOKUP(BP$3,TabCalc[Ticker],TabCalc[M])+BR17)</f>
        <v>0</v>
      </c>
      <c r="BQ17" s="1132"/>
      <c r="BR17" s="1127"/>
      <c r="BS17" s="1130">
        <f ca="1">BT17*(_xlfn.XLOOKUP(BS$3,TabCalc[Ticker],TabCalc[M])+BU17)</f>
        <v>0</v>
      </c>
      <c r="BT17" s="1132"/>
      <c r="BU17" s="1127"/>
      <c r="BV17" s="1130">
        <f ca="1">BW17*(_xlfn.XLOOKUP(BV$3,TabCalc[Ticker],TabCalc[M])+BX17)</f>
        <v>0</v>
      </c>
      <c r="BW17" s="1132"/>
      <c r="BX17" s="1127"/>
      <c r="BY17" s="1130">
        <f ca="1">BZ17*(_xlfn.XLOOKUP(BY$3,TabCalc[Ticker],TabCalc[M])+CA17)</f>
        <v>0</v>
      </c>
      <c r="BZ17" s="1132"/>
      <c r="CA17" s="1127"/>
      <c r="CB17" s="1130">
        <f ca="1">CC17*(_xlfn.XLOOKUP(CB$3,TabCalc[Ticker],TabCalc[M])+CD17)</f>
        <v>0</v>
      </c>
      <c r="CC17" s="1132"/>
      <c r="CD17" s="1127"/>
      <c r="CE17" s="1130">
        <f ca="1">CF17*(_xlfn.XLOOKUP(CE$3,TabCalc[Ticker],TabCalc[M])+CG17)</f>
        <v>0</v>
      </c>
      <c r="CF17" s="1132"/>
      <c r="CG17" s="1127"/>
      <c r="CH17" s="1130">
        <f ca="1">CI17*(_xlfn.XLOOKUP(CH$3,TabCalc[Ticker],TabCalc[M])+CJ17)</f>
        <v>0</v>
      </c>
      <c r="CI17" s="1133"/>
      <c r="CJ17" s="1127"/>
      <c r="CK17" s="1130">
        <f ca="1">CL17*(_xlfn.XLOOKUP(CK$3,TabCalc[Ticker],TabCalc[M])+CM17)</f>
        <v>0</v>
      </c>
      <c r="CL17" s="1132"/>
      <c r="CM17" s="1127"/>
      <c r="CN17" s="1130">
        <f ca="1">CO17*(_xlfn.XLOOKUP(CN$3,TabCalc[Ticker],TabCalc[M])+CP17)</f>
        <v>0</v>
      </c>
      <c r="CO17" s="1133"/>
      <c r="CP17" s="1127"/>
      <c r="CQ17" s="1130">
        <f ca="1">CR17*(_xlfn.XLOOKUP(CQ$3,TabCalc[Ticker],TabCalc[M])+CS17)</f>
        <v>0</v>
      </c>
      <c r="CR17" s="1132"/>
      <c r="CS17" s="1127"/>
      <c r="CT17" s="1130">
        <f ca="1">CU17*(_xlfn.XLOOKUP(CT$3,TabCalc[Ticker],TabCalc[M])+CV17)</f>
        <v>0</v>
      </c>
      <c r="CU17" s="1133"/>
      <c r="CV17" s="1127"/>
      <c r="CW17" s="1130">
        <f ca="1">CX17*(_xlfn.XLOOKUP(CW$3,TabCalc[Ticker],TabCalc[M])+CY17)</f>
        <v>0</v>
      </c>
      <c r="CX17" s="1132"/>
      <c r="CY17" s="1127"/>
      <c r="CZ17" s="1130">
        <f ca="1">DA17*(_xlfn.XLOOKUP(CZ$3,TabCalc[Ticker],TabCalc[M])+DB17)</f>
        <v>0</v>
      </c>
      <c r="DA17" s="1132"/>
      <c r="DB17" s="1127"/>
      <c r="DC17" s="1130">
        <f ca="1">DD17*(_xlfn.XLOOKUP(DC$3,TabCalc[Ticker],TabCalc[M])+DE17)</f>
        <v>0</v>
      </c>
      <c r="DD17" s="1132"/>
      <c r="DE17" s="1127"/>
      <c r="DF17" s="1130">
        <f ca="1">DG17*(_xlfn.XLOOKUP(DF$3,TabCalc[Ticker],TabCalc[M])+DH17)</f>
        <v>0</v>
      </c>
      <c r="DG17" s="1132"/>
      <c r="DH17" s="1127"/>
      <c r="DI17" s="1130">
        <f ca="1">DJ17*(_xlfn.XLOOKUP(DI$3,TabCalc[Ticker],TabCalc[M])+DK17)</f>
        <v>0</v>
      </c>
      <c r="DJ17" s="1132"/>
      <c r="DK17" s="1127"/>
      <c r="DL17" s="1130">
        <f ca="1">DM17*(_xlfn.XLOOKUP(DL$3,TabCalc[Ticker],TabCalc[M])+DN17)</f>
        <v>0</v>
      </c>
      <c r="DM17" s="1132"/>
      <c r="DN17" s="1127"/>
      <c r="DO17" s="1130">
        <f ca="1">DP17*(_xlfn.XLOOKUP(DO$3,TabCalc[Ticker],TabCalc[M])+DQ17)</f>
        <v>0</v>
      </c>
      <c r="DP17" s="1132"/>
      <c r="DQ17" s="1127"/>
      <c r="DR17" s="1130">
        <f ca="1">DS17*(_xlfn.XLOOKUP(DR$3,TabCalc[Ticker],TabCalc[M])+DT17)</f>
        <v>0</v>
      </c>
      <c r="DS17" s="1132"/>
      <c r="DT17" s="1127"/>
      <c r="DU17" s="1130">
        <f ca="1">DV17*(_xlfn.XLOOKUP(DU$3,TabCalc[Ticker],TabCalc[M])+DW17)</f>
        <v>0</v>
      </c>
      <c r="DV17" s="1132"/>
      <c r="DW17" s="1127"/>
      <c r="DX17" s="1130">
        <f ca="1">DY17*(_xlfn.XLOOKUP(DX$3,TabCalc[Ticker],TabCalc[M])+DZ17)</f>
        <v>0</v>
      </c>
      <c r="DY17" s="1132"/>
      <c r="DZ17" s="1127"/>
      <c r="EA17" s="1130">
        <f ca="1">EB17*(_xlfn.XLOOKUP(EA$3,TabCalc[Ticker],TabCalc[M])+EC17)</f>
        <v>0</v>
      </c>
      <c r="EB17" s="1132"/>
      <c r="EC17" s="1127"/>
      <c r="ED17" s="1130">
        <f ca="1">EE17*(_xlfn.XLOOKUP(ED$3,TabCalc[Ticker],TabCalc[M])+EF17)</f>
        <v>0</v>
      </c>
      <c r="EE17" s="1132"/>
      <c r="EF17" s="1127"/>
      <c r="EG17" s="1130">
        <f ca="1">EH17*(_xlfn.XLOOKUP(EG$3,TabCalc[Ticker],TabCalc[M])+EI17)</f>
        <v>0</v>
      </c>
      <c r="EH17" s="1132"/>
      <c r="EI17" s="1127"/>
      <c r="EJ17" s="1130" t="e">
        <f ca="1">EK17*(_xlfn.XLOOKUP(EJ$3,TabCalc[Ticker],TabCalc[M])+EL17)</f>
        <v>#N/A</v>
      </c>
      <c r="EK17" s="1132"/>
      <c r="EL17" s="1127"/>
      <c r="EM17" s="1130">
        <f ca="1">EN17*(_xlfn.XLOOKUP(EM$3,TabCalc[Ticker],TabCalc[M])+EO17)</f>
        <v>0</v>
      </c>
      <c r="EN17" s="1132"/>
      <c r="EO17" s="1127"/>
      <c r="EP17" s="1130">
        <f ca="1">EQ17*(_xlfn.XLOOKUP(EP$3,TabCalc[Ticker],TabCalc[M])+ER17)</f>
        <v>0</v>
      </c>
      <c r="EQ17" s="1132"/>
      <c r="ER17" s="1127"/>
      <c r="ES17" s="1130">
        <f ca="1">ET17*(_xlfn.XLOOKUP(ES$3,TabCalc[Ticker],TabCalc[M])+EU17)</f>
        <v>0</v>
      </c>
      <c r="ET17" s="1132"/>
      <c r="EU17" s="1127"/>
      <c r="EV17" s="1130">
        <f ca="1">EW17*(_xlfn.XLOOKUP(EV$3,TabCalc[Ticker],TabCalc[M])+EX17)</f>
        <v>0</v>
      </c>
      <c r="EW17" s="1132"/>
      <c r="EX17" s="1134"/>
      <c r="EY17" s="1130">
        <f ca="1">EZ17*(_xlfn.XLOOKUP(EY$3,TabCalc[Ticker],TabCalc[M])+FA17)</f>
        <v>0</v>
      </c>
      <c r="EZ17" s="1132"/>
      <c r="FA17" s="1134"/>
      <c r="FB17" s="1130">
        <f ca="1">FC17*(_xlfn.XLOOKUP(FB$3,TabCalc[Ticker],TabCalc[M])+FD17)</f>
        <v>0</v>
      </c>
      <c r="FC17" s="1132"/>
      <c r="FD17" s="1134"/>
      <c r="FE17" s="1130">
        <f ca="1">FF17*(_xlfn.XLOOKUP(FE$3,TabCalc[Ticker],TabCalc[M])+FG17)</f>
        <v>0</v>
      </c>
      <c r="FF17" s="1132"/>
      <c r="FG17" s="1127"/>
      <c r="FH17" s="1130">
        <f ca="1">FI17*(_xlfn.XLOOKUP(FH$3,TabCalc[Ticker],TabCalc[M])+FJ17)</f>
        <v>0</v>
      </c>
      <c r="FI17" s="1132"/>
      <c r="FJ17" s="1127"/>
      <c r="FK17" s="1130">
        <f ca="1">FL17*(_xlfn.XLOOKUP(FK$3,TabCalc[Ticker],TabCalc[M])+FM17)</f>
        <v>0</v>
      </c>
      <c r="FL17" s="1132"/>
      <c r="FM17" s="1127"/>
      <c r="FN17" s="1130">
        <f ca="1">FO17*(_xlfn.XLOOKUP(FN$3,TabCalc[Ticker],TabCalc[M])+FP17)</f>
        <v>0</v>
      </c>
      <c r="FO17" s="1132"/>
      <c r="FP17" s="1127"/>
      <c r="FQ17" s="1130">
        <f ca="1">FR17*(_xlfn.XLOOKUP(FQ$3,TabCalc[Ticker],TabCalc[M])+FS17)</f>
        <v>0</v>
      </c>
      <c r="FR17" s="1132"/>
      <c r="FS17" s="1127"/>
      <c r="FT17" s="1130">
        <f ca="1">FU17*(_xlfn.XLOOKUP(FT$3,TabCalc[Ticker],TabCalc[M])+FV17)</f>
        <v>0</v>
      </c>
      <c r="FU17" s="1132"/>
      <c r="FV17" s="1127"/>
      <c r="FW17" s="1130">
        <f ca="1">FX17*(_xlfn.XLOOKUP(FW$3,TabCalc[Ticker],TabCalc[M])+FY17)</f>
        <v>0</v>
      </c>
      <c r="FX17" s="1132"/>
      <c r="FY17" s="1127"/>
      <c r="FZ17" s="1130">
        <f ca="1">GA17*(_xlfn.XLOOKUP(FZ$3,TabCalc[Ticker],TabCalc[M])+GB17)</f>
        <v>0</v>
      </c>
      <c r="GA17" s="1132"/>
      <c r="GB17" s="1127"/>
      <c r="GC17" s="1130">
        <f ca="1">GD17*(_xlfn.XLOOKUP(GC$3,TabCalc[Ticker],TabCalc[M])+GE17)</f>
        <v>0</v>
      </c>
      <c r="GD17" s="1132"/>
      <c r="GE17" s="1127"/>
      <c r="GF17" s="1130">
        <f ca="1">GG17*(_xlfn.XLOOKUP(GF$3,TabCalc[Ticker],TabCalc[M])+GH17)</f>
        <v>0</v>
      </c>
      <c r="GG17" s="1132"/>
      <c r="GH17" s="1127"/>
      <c r="GI17" s="1130">
        <f ca="1">GJ17*(_xlfn.XLOOKUP(GI$3,TabCalc[Ticker],TabCalc[M])+GK17)</f>
        <v>0</v>
      </c>
      <c r="GJ17" s="1132"/>
      <c r="GK17" s="1127"/>
      <c r="GL17" s="1130">
        <f ca="1">GM17*(_xlfn.XLOOKUP(GL$3,TabCalc[Ticker],TabCalc[M])+GN17)</f>
        <v>0</v>
      </c>
      <c r="GM17" s="1132"/>
      <c r="GN17" s="1127"/>
      <c r="GO17" s="1130">
        <f ca="1">GP17*(_xlfn.XLOOKUP(GO$3,TabCalc[Ticker],TabCalc[M])+GQ17)</f>
        <v>0</v>
      </c>
      <c r="GP17" s="1132"/>
      <c r="GQ17" s="1127"/>
      <c r="GR17" s="1130">
        <f ca="1">GS17*(_xlfn.XLOOKUP(GR$3,TabCalc[Ticker],TabCalc[M])+GT17)</f>
        <v>0</v>
      </c>
      <c r="GS17" s="1132"/>
      <c r="GT17" s="1127"/>
      <c r="GU17" s="1130">
        <f ca="1">GV17*(_xlfn.XLOOKUP(GU$3,TabCalc[Ticker],TabCalc[M])+GW17)</f>
        <v>0</v>
      </c>
      <c r="GV17" s="1132"/>
      <c r="GW17" s="1127"/>
      <c r="GX17" s="1130">
        <f ca="1">GY17*(_xlfn.XLOOKUP(GX$3,TabCalc[Ticker],TabCalc[M])+GZ17)</f>
        <v>0</v>
      </c>
      <c r="GY17" s="1132"/>
      <c r="GZ17" s="1127"/>
      <c r="HA17" s="1130">
        <f ca="1">HB17*(_xlfn.XLOOKUP(HA$3,TabCalc[Ticker],TabCalc[M])+HC17)</f>
        <v>0</v>
      </c>
      <c r="HB17" s="1132"/>
      <c r="HC17" s="1127"/>
      <c r="HD17" s="1130">
        <f ca="1">HE17*(_xlfn.XLOOKUP(HD$3,TabCalc[Ticker],TabCalc[M])+HF17)</f>
        <v>0</v>
      </c>
      <c r="HE17" s="1132"/>
      <c r="HF17" s="1127"/>
      <c r="HG17" s="1130">
        <f ca="1">HH17*(_xlfn.XLOOKUP(HG$3,TabCalc[Ticker],TabCalc[M])+HI17)</f>
        <v>0</v>
      </c>
      <c r="HH17" s="1132"/>
      <c r="HI17" s="1127"/>
      <c r="HJ17" s="1130">
        <f ca="1">HK17*(_xlfn.XLOOKUP(HJ$3,TabCalc[Ticker],TabCalc[M])+HL17)</f>
        <v>0</v>
      </c>
      <c r="HK17" s="1132"/>
      <c r="HL17" s="1127"/>
      <c r="HM17" s="1130">
        <f ca="1">HN17*(_xlfn.XLOOKUP(HM$3,TabCalc[Ticker],TabCalc[M])+HO17)</f>
        <v>0</v>
      </c>
      <c r="HN17" s="1132"/>
      <c r="HO17" s="1127"/>
      <c r="HP17" s="1130">
        <f ca="1">HQ17*(_xlfn.XLOOKUP(HP$3,TabCalc[Ticker],TabCalc[M])+HR17)</f>
        <v>0</v>
      </c>
      <c r="HQ17" s="1132"/>
      <c r="HR17" s="1127"/>
      <c r="HS17" s="1130">
        <f ca="1">HT17*(_xlfn.XLOOKUP(HS$3,TabCalc[Ticker],TabCalc[M])+HU17)</f>
        <v>0</v>
      </c>
      <c r="HT17" s="1132"/>
      <c r="HU17" s="1127"/>
      <c r="HV17" s="1130">
        <f ca="1">HW17*(_xlfn.XLOOKUP(HV$3,TabCalc[Ticker],TabCalc[M])+HX17)</f>
        <v>0</v>
      </c>
      <c r="HW17" s="1132"/>
      <c r="HX17" s="1127"/>
      <c r="HY17" s="1130">
        <f ca="1">HZ17*(_xlfn.XLOOKUP(HY$3,TabCalc[Ticker],TabCalc[M])+IA17)</f>
        <v>0</v>
      </c>
      <c r="HZ17" s="1132"/>
      <c r="IA17" s="1127"/>
      <c r="IB17" s="1130">
        <f ca="1">IC17*(_xlfn.XLOOKUP(IB$3,TabCalc[Ticker],TabCalc[M])+ID17)</f>
        <v>0</v>
      </c>
      <c r="IC17" s="1132"/>
      <c r="ID17" s="1127"/>
      <c r="IE17" s="1130">
        <f ca="1">IF17*(_xlfn.XLOOKUP(IE$3,TabCalc[Ticker],TabCalc[M])+IG17)</f>
        <v>0</v>
      </c>
      <c r="IF17" s="1132"/>
      <c r="IG17" s="1127"/>
      <c r="IH17" s="1130">
        <f ca="1">II17*(_xlfn.XLOOKUP(IH$3,TabCalc[Ticker],TabCalc[M])+IJ17)</f>
        <v>0</v>
      </c>
      <c r="II17" s="1132"/>
      <c r="IJ17" s="1127"/>
      <c r="IK17" s="1130">
        <f ca="1">IL17*(_xlfn.XLOOKUP(IK$3,TabCalc[Ticker],TabCalc[M])+IM17)</f>
        <v>0</v>
      </c>
      <c r="IL17" s="1132"/>
      <c r="IM17" s="1127"/>
      <c r="IN17" s="1130">
        <f ca="1">IO17*(_xlfn.XLOOKUP(IN$3,TabCalc[Ticker],TabCalc[M])+IP17)</f>
        <v>0</v>
      </c>
      <c r="IO17" s="1132"/>
      <c r="IP17" s="1127"/>
      <c r="IQ17" s="1130">
        <f ca="1">IR17*(_xlfn.XLOOKUP(IQ$3,TabCalc[Ticker],TabCalc[M]))</f>
        <v>0</v>
      </c>
      <c r="IR17" s="1132"/>
      <c r="IS17" s="1127"/>
      <c r="IT17" s="1130">
        <f ca="1">IU17*(_xlfn.XLOOKUP(IT$3,TabCalc[Ticker],TabCalc[M])+IV17)</f>
        <v>0</v>
      </c>
      <c r="IU17" s="1132"/>
      <c r="IV17" s="1127"/>
      <c r="IW17" s="1130">
        <f ca="1">IX17*(_xlfn.XLOOKUP(IW$3,TabCalc[Ticker],TabCalc[M])+IY17)</f>
        <v>0</v>
      </c>
      <c r="IX17" s="1132"/>
      <c r="IY17" s="1127"/>
      <c r="IZ17" s="1130">
        <f ca="1">JA17*(_xlfn.XLOOKUP(IZ$3,TabCalc[Ticker],TabCalc[M])+JB17)</f>
        <v>0</v>
      </c>
      <c r="JA17" s="1132"/>
      <c r="JB17" s="1127"/>
      <c r="JC17" s="1130">
        <f ca="1">JD17*(_xlfn.XLOOKUP(JC$3,TabCalc[Ticker],TabCalc[M])+JE17)</f>
        <v>0</v>
      </c>
      <c r="JD17" s="1132"/>
      <c r="JE17" s="1127"/>
      <c r="JF17" s="1130">
        <f ca="1">JG17*(_xlfn.XLOOKUP(JF$3,TabCalc[Ticker],TabCalc[M])+JH17)</f>
        <v>0</v>
      </c>
      <c r="JG17" s="1132"/>
      <c r="JH17" s="1127"/>
      <c r="JI17" s="1130">
        <f ca="1">JJ17*(_xlfn.XLOOKUP(JI$3,TabCalc[Ticker],TabCalc[M])+JK17)</f>
        <v>0</v>
      </c>
      <c r="JJ17" s="1132"/>
      <c r="JK17" s="1127"/>
      <c r="JL17" s="1130">
        <f ca="1">JM17*(_xlfn.XLOOKUP(JL$3,TabCalc[Ticker],TabCalc[M])+JN17)</f>
        <v>0</v>
      </c>
      <c r="JM17" s="1132"/>
      <c r="JN17" s="1127"/>
      <c r="JO17" s="1130">
        <f ca="1">JP17*(_xlfn.XLOOKUP(JO$3,TabCalc[Ticker],TabCalc[M])+JQ17)</f>
        <v>0</v>
      </c>
      <c r="JP17" s="1132"/>
      <c r="JQ17" s="1127"/>
      <c r="JR17" s="1130">
        <f ca="1">JS17*(_xlfn.XLOOKUP(JR$3,TabCalc[Ticker],TabCalc[M])+JT17)</f>
        <v>0</v>
      </c>
      <c r="JS17" s="1132"/>
      <c r="JT17" s="1127"/>
      <c r="JU17" s="1130">
        <f ca="1">JV17*(_xlfn.XLOOKUP(JU$3,TabCalc[Ticker],TabCalc[M])+JW17)</f>
        <v>0</v>
      </c>
      <c r="JV17" s="1137"/>
      <c r="JW17" s="1127"/>
      <c r="JX17" s="1130">
        <f ca="1">JY17*(_xlfn.XLOOKUP(JX$3,TabCalc[Ticker],TabCalc[M])+JZ17)</f>
        <v>0</v>
      </c>
      <c r="JY17" s="1132"/>
      <c r="JZ17" s="1134"/>
    </row>
    <row r="18" spans="1:286" x14ac:dyDescent="0.3">
      <c r="A18">
        <v>15</v>
      </c>
      <c r="B18" s="1130">
        <f ca="1">C18*(_xlfn.XLOOKUP(B$3,TabCalc[Ticker],TabCalc[M])+D18)</f>
        <v>0</v>
      </c>
      <c r="C18" s="1133"/>
      <c r="D18" s="1127"/>
      <c r="E18" s="1130">
        <f ca="1">F18*(_xlfn.XLOOKUP(E$3,TabCalc[Ticker],TabCalc[M])+G18)</f>
        <v>0</v>
      </c>
      <c r="F18" s="1132"/>
      <c r="G18" s="1127"/>
      <c r="H18" s="1130">
        <f ca="1">I18*(_xlfn.XLOOKUP(H$3,TabCalc[Ticker],TabCalc[M])+J18)</f>
        <v>0</v>
      </c>
      <c r="I18" s="1133"/>
      <c r="J18" s="1127"/>
      <c r="K18" s="1130">
        <f ca="1">L18*(_xlfn.XLOOKUP(K$3,TabCalc[Ticker],TabCalc[M])+M18)</f>
        <v>-3129.200000000003</v>
      </c>
      <c r="L18" s="1133">
        <v>400</v>
      </c>
      <c r="M18" s="1127">
        <v>-229.005</v>
      </c>
      <c r="N18" s="1130">
        <f ca="1">O18*(_xlfn.XLOOKUP(N$3,TabCalc[Ticker],TabCalc[M])+P18)</f>
        <v>0</v>
      </c>
      <c r="O18" s="1133"/>
      <c r="P18" s="1127"/>
      <c r="Q18" s="1130">
        <f ca="1">R18*(_xlfn.XLOOKUP(Q$3,TabCalc[Ticker],TabCalc[M])+S18)</f>
        <v>0</v>
      </c>
      <c r="R18" s="1133"/>
      <c r="S18" s="1127"/>
      <c r="T18" s="1130">
        <f ca="1">U18*(_xlfn.XLOOKUP(T$3,TabCalc[Ticker],TabCalc[M])+V18)</f>
        <v>0</v>
      </c>
      <c r="U18" s="1133"/>
      <c r="V18" s="1128"/>
      <c r="W18" s="1130">
        <f ca="1">X18*(_xlfn.XLOOKUP(W$3,TabCalc[Ticker],TabCalc[M])+Y18)</f>
        <v>0</v>
      </c>
      <c r="X18" s="1133"/>
      <c r="Y18" s="1127"/>
      <c r="Z18" s="1130">
        <f ca="1">AA18*(_xlfn.XLOOKUP(Z$3,TabCalc[Ticker],TabCalc[M])+AB18)</f>
        <v>0</v>
      </c>
      <c r="AA18" s="1133"/>
      <c r="AB18" s="1127"/>
      <c r="AC18" s="1130">
        <f ca="1">AD18*(_xlfn.XLOOKUP(AC$3,TabCalc[Ticker],TabCalc[M])+AE18)</f>
        <v>0</v>
      </c>
      <c r="AD18" s="1132"/>
      <c r="AE18" s="1127"/>
      <c r="AF18" s="1130">
        <f ca="1">AG18*(_xlfn.XLOOKUP(AF$3,TabCalc[Ticker],TabCalc[M])+AH18)</f>
        <v>0</v>
      </c>
      <c r="AG18" s="1132"/>
      <c r="AH18" s="1127"/>
      <c r="AI18" s="1130">
        <f ca="1">AJ18*(_xlfn.XLOOKUP(AI$3,TabCalc[Ticker],TabCalc[M])+AK18)</f>
        <v>0</v>
      </c>
      <c r="AJ18" s="1132"/>
      <c r="AK18" s="1127"/>
      <c r="AL18" s="1130">
        <f ca="1">AM18*(_xlfn.XLOOKUP(AL$3,TabCalc[Ticker],TabCalc[M])+AN18)</f>
        <v>0</v>
      </c>
      <c r="AM18" s="1132"/>
      <c r="AN18" s="1127"/>
      <c r="AO18" s="1130">
        <f ca="1">AP18*(_xlfn.XLOOKUP(AO$3,TabCalc[Ticker],TabCalc[M])+AQ18)</f>
        <v>0</v>
      </c>
      <c r="AP18" s="1132"/>
      <c r="AQ18" s="1127"/>
      <c r="AR18" s="1130">
        <f ca="1">AS18*(_xlfn.XLOOKUP(AR$3,TabCalc[Ticker],TabCalc[M])+AT18)</f>
        <v>0</v>
      </c>
      <c r="AS18" s="1132"/>
      <c r="AT18" s="1127"/>
      <c r="AU18" s="1130">
        <f ca="1">AV18*(_xlfn.XLOOKUP(AU$3,TabCalc[Ticker],TabCalc[M])+AW18)</f>
        <v>0</v>
      </c>
      <c r="AV18" s="1132"/>
      <c r="AW18" s="1127"/>
      <c r="AX18" s="1130">
        <f ca="1">AY18*(_xlfn.XLOOKUP(AX$3,TabCalc[Ticker],TabCalc[M])+AZ18)</f>
        <v>0</v>
      </c>
      <c r="AY18" s="1132"/>
      <c r="AZ18" s="1127"/>
      <c r="BA18" s="1130">
        <f ca="1">BB18*(_xlfn.XLOOKUP(BA$3,TabCalc[Ticker],TabCalc[M])+BC18)</f>
        <v>0</v>
      </c>
      <c r="BB18" s="1132"/>
      <c r="BC18" s="1127"/>
      <c r="BD18" s="1130">
        <f ca="1">BE18*(_xlfn.XLOOKUP(BD$3,TabCalc[Ticker],TabCalc[M])+BF18)</f>
        <v>0</v>
      </c>
      <c r="BE18" s="1132"/>
      <c r="BF18" s="1127"/>
      <c r="BG18" s="1130">
        <f ca="1">BH18*(_xlfn.XLOOKUP(BG$3,TabCalc[Ticker],TabCalc[M])+BI18)</f>
        <v>0</v>
      </c>
      <c r="BH18" s="1132"/>
      <c r="BI18" s="1127"/>
      <c r="BJ18" s="1130">
        <f ca="1">BK18*(_xlfn.XLOOKUP(BJ$3,TabCalc[Ticker],TabCalc[M])+BL18)</f>
        <v>0</v>
      </c>
      <c r="BK18" s="1132"/>
      <c r="BL18" s="1127"/>
      <c r="BM18" s="1130">
        <f ca="1">BN18*(_xlfn.XLOOKUP(BM$3,TabCalc[Ticker],TabCalc[M])+BO18)</f>
        <v>0</v>
      </c>
      <c r="BN18" s="1132"/>
      <c r="BO18" s="1127"/>
      <c r="BP18" s="1130">
        <f ca="1">BQ18*(_xlfn.XLOOKUP(BP$3,TabCalc[Ticker],TabCalc[M])+BR18)</f>
        <v>0</v>
      </c>
      <c r="BQ18" s="1132"/>
      <c r="BR18" s="1127"/>
      <c r="BS18" s="1130">
        <f ca="1">BT18*(_xlfn.XLOOKUP(BS$3,TabCalc[Ticker],TabCalc[M])+BU18)</f>
        <v>0</v>
      </c>
      <c r="BT18" s="1132"/>
      <c r="BU18" s="1127"/>
      <c r="BV18" s="1130">
        <f ca="1">BW18*(_xlfn.XLOOKUP(BV$3,TabCalc[Ticker],TabCalc[M])+BX18)</f>
        <v>0</v>
      </c>
      <c r="BW18" s="1132"/>
      <c r="BX18" s="1127"/>
      <c r="BY18" s="1130">
        <f ca="1">BZ18*(_xlfn.XLOOKUP(BY$3,TabCalc[Ticker],TabCalc[M])+CA18)</f>
        <v>0</v>
      </c>
      <c r="BZ18" s="1132"/>
      <c r="CA18" s="1127"/>
      <c r="CB18" s="1130">
        <f ca="1">CC18*(_xlfn.XLOOKUP(CB$3,TabCalc[Ticker],TabCalc[M])+CD18)</f>
        <v>0</v>
      </c>
      <c r="CC18" s="1132"/>
      <c r="CD18" s="1127"/>
      <c r="CE18" s="1130">
        <f ca="1">CF18*(_xlfn.XLOOKUP(CE$3,TabCalc[Ticker],TabCalc[M])+CG18)</f>
        <v>0</v>
      </c>
      <c r="CF18" s="1132"/>
      <c r="CG18" s="1127"/>
      <c r="CH18" s="1130">
        <f ca="1">CI18*(_xlfn.XLOOKUP(CH$3,TabCalc[Ticker],TabCalc[M])+CJ18)</f>
        <v>0</v>
      </c>
      <c r="CI18" s="1133"/>
      <c r="CJ18" s="1127"/>
      <c r="CK18" s="1130">
        <f ca="1">CL18*(_xlfn.XLOOKUP(CK$3,TabCalc[Ticker],TabCalc[M])+CM18)</f>
        <v>0</v>
      </c>
      <c r="CL18" s="1132"/>
      <c r="CM18" s="1127"/>
      <c r="CN18" s="1130">
        <f ca="1">CO18*(_xlfn.XLOOKUP(CN$3,TabCalc[Ticker],TabCalc[M])+CP18)</f>
        <v>0</v>
      </c>
      <c r="CO18" s="1132"/>
      <c r="CP18" s="1127"/>
      <c r="CQ18" s="1130">
        <f ca="1">CR18*(_xlfn.XLOOKUP(CQ$3,TabCalc[Ticker],TabCalc[M])+CS18)</f>
        <v>0</v>
      </c>
      <c r="CR18" s="1132"/>
      <c r="CS18" s="1127"/>
      <c r="CT18" s="1130">
        <f ca="1">CU18*(_xlfn.XLOOKUP(CT$3,TabCalc[Ticker],TabCalc[M])+CV18)</f>
        <v>0</v>
      </c>
      <c r="CU18" s="1133"/>
      <c r="CV18" s="1127"/>
      <c r="CW18" s="1130">
        <f ca="1">CX18*(_xlfn.XLOOKUP(CW$3,TabCalc[Ticker],TabCalc[M])+CY18)</f>
        <v>0</v>
      </c>
      <c r="CX18" s="1132"/>
      <c r="CY18" s="1127"/>
      <c r="CZ18" s="1130">
        <f ca="1">DA18*(_xlfn.XLOOKUP(CZ$3,TabCalc[Ticker],TabCalc[M])+DB18)</f>
        <v>0</v>
      </c>
      <c r="DA18" s="1132"/>
      <c r="DB18" s="1127"/>
      <c r="DC18" s="1130">
        <f ca="1">DD18*(_xlfn.XLOOKUP(DC$3,TabCalc[Ticker],TabCalc[M])+DE18)</f>
        <v>0</v>
      </c>
      <c r="DD18" s="1132"/>
      <c r="DE18" s="1127"/>
      <c r="DF18" s="1130">
        <f ca="1">DG18*(_xlfn.XLOOKUP(DF$3,TabCalc[Ticker],TabCalc[M])+DH18)</f>
        <v>0</v>
      </c>
      <c r="DG18" s="1132"/>
      <c r="DH18" s="1127"/>
      <c r="DI18" s="1130">
        <f ca="1">DJ18*(_xlfn.XLOOKUP(DI$3,TabCalc[Ticker],TabCalc[M])+DK18)</f>
        <v>0</v>
      </c>
      <c r="DJ18" s="1132"/>
      <c r="DK18" s="1127"/>
      <c r="DL18" s="1130">
        <f ca="1">DM18*(_xlfn.XLOOKUP(DL$3,TabCalc[Ticker],TabCalc[M])+DN18)</f>
        <v>0</v>
      </c>
      <c r="DM18" s="1132"/>
      <c r="DN18" s="1127"/>
      <c r="DO18" s="1130">
        <f ca="1">DP18*(_xlfn.XLOOKUP(DO$3,TabCalc[Ticker],TabCalc[M])+DQ18)</f>
        <v>0</v>
      </c>
      <c r="DP18" s="1132"/>
      <c r="DQ18" s="1127"/>
      <c r="DR18" s="1130">
        <f ca="1">DS18*(_xlfn.XLOOKUP(DR$3,TabCalc[Ticker],TabCalc[M])+DT18)</f>
        <v>0</v>
      </c>
      <c r="DS18" s="1132"/>
      <c r="DT18" s="1127"/>
      <c r="DU18" s="1130">
        <f ca="1">DV18*(_xlfn.XLOOKUP(DU$3,TabCalc[Ticker],TabCalc[M])+DW18)</f>
        <v>0</v>
      </c>
      <c r="DV18" s="1132"/>
      <c r="DW18" s="1127"/>
      <c r="DX18" s="1130">
        <f ca="1">DY18*(_xlfn.XLOOKUP(DX$3,TabCalc[Ticker],TabCalc[M])+DZ18)</f>
        <v>0</v>
      </c>
      <c r="DY18" s="1132"/>
      <c r="DZ18" s="1127"/>
      <c r="EA18" s="1130">
        <f ca="1">EB18*(_xlfn.XLOOKUP(EA$3,TabCalc[Ticker],TabCalc[M])+EC18)</f>
        <v>0</v>
      </c>
      <c r="EB18" s="1132"/>
      <c r="EC18" s="1127"/>
      <c r="ED18" s="1130">
        <f ca="1">EE18*(_xlfn.XLOOKUP(ED$3,TabCalc[Ticker],TabCalc[M])+EF18)</f>
        <v>0</v>
      </c>
      <c r="EE18" s="1132"/>
      <c r="EF18" s="1127"/>
      <c r="EG18" s="1130">
        <f ca="1">EH18*(_xlfn.XLOOKUP(EG$3,TabCalc[Ticker],TabCalc[M])+EI18)</f>
        <v>0</v>
      </c>
      <c r="EH18" s="1132"/>
      <c r="EI18" s="1127"/>
      <c r="EJ18" s="1130" t="e">
        <f ca="1">EK18*(_xlfn.XLOOKUP(EJ$3,TabCalc[Ticker],TabCalc[M])+EL18)</f>
        <v>#N/A</v>
      </c>
      <c r="EK18" s="1132"/>
      <c r="EL18" s="1127"/>
      <c r="EM18" s="1130">
        <f ca="1">EN18*(_xlfn.XLOOKUP(EM$3,TabCalc[Ticker],TabCalc[M])+EO18)</f>
        <v>0</v>
      </c>
      <c r="EN18" s="1132"/>
      <c r="EO18" s="1127"/>
      <c r="EP18" s="1130">
        <f ca="1">EQ18*(_xlfn.XLOOKUP(EP$3,TabCalc[Ticker],TabCalc[M])+ER18)</f>
        <v>0</v>
      </c>
      <c r="EQ18" s="1132"/>
      <c r="ER18" s="1127"/>
      <c r="ES18" s="1130">
        <f ca="1">ET18*(_xlfn.XLOOKUP(ES$3,TabCalc[Ticker],TabCalc[M])+EU18)</f>
        <v>0</v>
      </c>
      <c r="ET18" s="1132"/>
      <c r="EU18" s="1127"/>
      <c r="EV18" s="1130">
        <f ca="1">EW18*(_xlfn.XLOOKUP(EV$3,TabCalc[Ticker],TabCalc[M])+EX18)</f>
        <v>0</v>
      </c>
      <c r="EW18" s="1132"/>
      <c r="EX18" s="1134"/>
      <c r="EY18" s="1130">
        <f ca="1">EZ18*(_xlfn.XLOOKUP(EY$3,TabCalc[Ticker],TabCalc[M])+FA18)</f>
        <v>0</v>
      </c>
      <c r="EZ18" s="1132"/>
      <c r="FA18" s="1134"/>
      <c r="FB18" s="1130">
        <f ca="1">FC18*(_xlfn.XLOOKUP(FB$3,TabCalc[Ticker],TabCalc[M])+FD18)</f>
        <v>0</v>
      </c>
      <c r="FC18" s="1132"/>
      <c r="FD18" s="1134"/>
      <c r="FE18" s="1130">
        <f ca="1">FF18*(_xlfn.XLOOKUP(FE$3,TabCalc[Ticker],TabCalc[M])+FG18)</f>
        <v>0</v>
      </c>
      <c r="FF18" s="1132"/>
      <c r="FG18" s="1127"/>
      <c r="FH18" s="1130">
        <f ca="1">FI18*(_xlfn.XLOOKUP(FH$3,TabCalc[Ticker],TabCalc[M])+FJ18)</f>
        <v>0</v>
      </c>
      <c r="FI18" s="1132"/>
      <c r="FJ18" s="1127"/>
      <c r="FK18" s="1130">
        <f ca="1">FL18*(_xlfn.XLOOKUP(FK$3,TabCalc[Ticker],TabCalc[M])+FM18)</f>
        <v>0</v>
      </c>
      <c r="FL18" s="1132"/>
      <c r="FM18" s="1127"/>
      <c r="FN18" s="1130">
        <f ca="1">FO18*(_xlfn.XLOOKUP(FN$3,TabCalc[Ticker],TabCalc[M])+FP18)</f>
        <v>0</v>
      </c>
      <c r="FO18" s="1132"/>
      <c r="FP18" s="1127"/>
      <c r="FQ18" s="1130">
        <f ca="1">FR18*(_xlfn.XLOOKUP(FQ$3,TabCalc[Ticker],TabCalc[M])+FS18)</f>
        <v>0</v>
      </c>
      <c r="FR18" s="1132"/>
      <c r="FS18" s="1127"/>
      <c r="FT18" s="1130">
        <f ca="1">FU18*(_xlfn.XLOOKUP(FT$3,TabCalc[Ticker],TabCalc[M])+FV18)</f>
        <v>0</v>
      </c>
      <c r="FU18" s="1132"/>
      <c r="FV18" s="1127"/>
      <c r="FW18" s="1130">
        <f ca="1">FX18*(_xlfn.XLOOKUP(FW$3,TabCalc[Ticker],TabCalc[M])+FY18)</f>
        <v>0</v>
      </c>
      <c r="FX18" s="1132"/>
      <c r="FY18" s="1127"/>
      <c r="FZ18" s="1130">
        <f ca="1">GA18*(_xlfn.XLOOKUP(FZ$3,TabCalc[Ticker],TabCalc[M])+GB18)</f>
        <v>0</v>
      </c>
      <c r="GA18" s="1132"/>
      <c r="GB18" s="1127"/>
      <c r="GC18" s="1130">
        <f ca="1">GD18*(_xlfn.XLOOKUP(GC$3,TabCalc[Ticker],TabCalc[M])+GE18)</f>
        <v>0</v>
      </c>
      <c r="GD18" s="1132"/>
      <c r="GE18" s="1127"/>
      <c r="GF18" s="1130">
        <f ca="1">GG18*(_xlfn.XLOOKUP(GF$3,TabCalc[Ticker],TabCalc[M])+GH18)</f>
        <v>0</v>
      </c>
      <c r="GG18" s="1132"/>
      <c r="GH18" s="1127"/>
      <c r="GI18" s="1130">
        <f ca="1">GJ18*(_xlfn.XLOOKUP(GI$3,TabCalc[Ticker],TabCalc[M])+GK18)</f>
        <v>0</v>
      </c>
      <c r="GJ18" s="1132"/>
      <c r="GK18" s="1127"/>
      <c r="GL18" s="1130">
        <f ca="1">GM18*(_xlfn.XLOOKUP(GL$3,TabCalc[Ticker],TabCalc[M])+GN18)</f>
        <v>0</v>
      </c>
      <c r="GM18" s="1132"/>
      <c r="GN18" s="1127"/>
      <c r="GO18" s="1130">
        <f ca="1">GP18*(_xlfn.XLOOKUP(GO$3,TabCalc[Ticker],TabCalc[M])+GQ18)</f>
        <v>0</v>
      </c>
      <c r="GP18" s="1132"/>
      <c r="GQ18" s="1127"/>
      <c r="GR18" s="1130">
        <f ca="1">GS18*(_xlfn.XLOOKUP(GR$3,TabCalc[Ticker],TabCalc[M])+GT18)</f>
        <v>0</v>
      </c>
      <c r="GS18" s="1132"/>
      <c r="GT18" s="1127"/>
      <c r="GU18" s="1130">
        <f ca="1">GV18*(_xlfn.XLOOKUP(GU$3,TabCalc[Ticker],TabCalc[M])+GW18)</f>
        <v>0</v>
      </c>
      <c r="GV18" s="1132"/>
      <c r="GW18" s="1127"/>
      <c r="GX18" s="1130">
        <f ca="1">GY18*(_xlfn.XLOOKUP(GX$3,TabCalc[Ticker],TabCalc[M])+GZ18)</f>
        <v>0</v>
      </c>
      <c r="GY18" s="1132"/>
      <c r="GZ18" s="1127"/>
      <c r="HA18" s="1130">
        <f ca="1">HB18*(_xlfn.XLOOKUP(HA$3,TabCalc[Ticker],TabCalc[M])+HC18)</f>
        <v>0</v>
      </c>
      <c r="HB18" s="1132"/>
      <c r="HC18" s="1127"/>
      <c r="HD18" s="1130">
        <f ca="1">HE18*(_xlfn.XLOOKUP(HD$3,TabCalc[Ticker],TabCalc[M])+HF18)</f>
        <v>0</v>
      </c>
      <c r="HE18" s="1132"/>
      <c r="HF18" s="1127"/>
      <c r="HG18" s="1130">
        <f ca="1">HH18*(_xlfn.XLOOKUP(HG$3,TabCalc[Ticker],TabCalc[M])+HI18)</f>
        <v>0</v>
      </c>
      <c r="HH18" s="1132"/>
      <c r="HI18" s="1127"/>
      <c r="HJ18" s="1130">
        <f ca="1">HK18*(_xlfn.XLOOKUP(HJ$3,TabCalc[Ticker],TabCalc[M])+HL18)</f>
        <v>0</v>
      </c>
      <c r="HK18" s="1132"/>
      <c r="HL18" s="1127"/>
      <c r="HM18" s="1130">
        <f ca="1">HN18*(_xlfn.XLOOKUP(HM$3,TabCalc[Ticker],TabCalc[M])+HO18)</f>
        <v>0</v>
      </c>
      <c r="HN18" s="1132"/>
      <c r="HO18" s="1127"/>
      <c r="HP18" s="1130">
        <f ca="1">HQ18*(_xlfn.XLOOKUP(HP$3,TabCalc[Ticker],TabCalc[M])+HR18)</f>
        <v>0</v>
      </c>
      <c r="HQ18" s="1132"/>
      <c r="HR18" s="1127"/>
      <c r="HS18" s="1130">
        <f ca="1">HT18*(_xlfn.XLOOKUP(HS$3,TabCalc[Ticker],TabCalc[M])+HU18)</f>
        <v>0</v>
      </c>
      <c r="HT18" s="1132"/>
      <c r="HU18" s="1127"/>
      <c r="HV18" s="1130">
        <f ca="1">HW18*(_xlfn.XLOOKUP(HV$3,TabCalc[Ticker],TabCalc[M])+HX18)</f>
        <v>0</v>
      </c>
      <c r="HW18" s="1132"/>
      <c r="HX18" s="1127"/>
      <c r="HY18" s="1130">
        <f ca="1">HZ18*(_xlfn.XLOOKUP(HY$3,TabCalc[Ticker],TabCalc[M])+IA18)</f>
        <v>0</v>
      </c>
      <c r="HZ18" s="1132"/>
      <c r="IA18" s="1127"/>
      <c r="IB18" s="1130">
        <f ca="1">IC18*(_xlfn.XLOOKUP(IB$3,TabCalc[Ticker],TabCalc[M])+ID18)</f>
        <v>0</v>
      </c>
      <c r="IC18" s="1132"/>
      <c r="ID18" s="1127"/>
      <c r="IE18" s="1130">
        <f ca="1">IF18*(_xlfn.XLOOKUP(IE$3,TabCalc[Ticker],TabCalc[M])+IG18)</f>
        <v>0</v>
      </c>
      <c r="IF18" s="1132"/>
      <c r="IG18" s="1127"/>
      <c r="IH18" s="1130">
        <f ca="1">II18*(_xlfn.XLOOKUP(IH$3,TabCalc[Ticker],TabCalc[M])+IJ18)</f>
        <v>0</v>
      </c>
      <c r="II18" s="1132"/>
      <c r="IJ18" s="1127"/>
      <c r="IK18" s="1130">
        <f ca="1">IL18*(_xlfn.XLOOKUP(IK$3,TabCalc[Ticker],TabCalc[M])+IM18)</f>
        <v>0</v>
      </c>
      <c r="IL18" s="1132"/>
      <c r="IM18" s="1127"/>
      <c r="IN18" s="1130">
        <f ca="1">IO18*(_xlfn.XLOOKUP(IN$3,TabCalc[Ticker],TabCalc[M])+IP18)</f>
        <v>0</v>
      </c>
      <c r="IO18" s="1132"/>
      <c r="IP18" s="1127"/>
      <c r="IQ18" s="1130">
        <f ca="1">IR18*(_xlfn.XLOOKUP(IQ$3,TabCalc[Ticker],TabCalc[M]))</f>
        <v>0</v>
      </c>
      <c r="IR18" s="1132"/>
      <c r="IS18" s="1127"/>
      <c r="IT18" s="1130">
        <f ca="1">IU18*(_xlfn.XLOOKUP(IT$3,TabCalc[Ticker],TabCalc[M])+IV18)</f>
        <v>0</v>
      </c>
      <c r="IU18" s="1132"/>
      <c r="IV18" s="1127"/>
      <c r="IW18" s="1130">
        <f ca="1">IX18*(_xlfn.XLOOKUP(IW$3,TabCalc[Ticker],TabCalc[M])+IY18)</f>
        <v>0</v>
      </c>
      <c r="IX18" s="1132"/>
      <c r="IY18" s="1127"/>
      <c r="IZ18" s="1130">
        <f ca="1">JA18*(_xlfn.XLOOKUP(IZ$3,TabCalc[Ticker],TabCalc[M])+JB18)</f>
        <v>0</v>
      </c>
      <c r="JA18" s="1132"/>
      <c r="JB18" s="1127"/>
      <c r="JC18" s="1130">
        <f ca="1">JD18*(_xlfn.XLOOKUP(JC$3,TabCalc[Ticker],TabCalc[M])+JE18)</f>
        <v>0</v>
      </c>
      <c r="JD18" s="1132"/>
      <c r="JE18" s="1127"/>
      <c r="JF18" s="1130">
        <f ca="1">JG18*(_xlfn.XLOOKUP(JF$3,TabCalc[Ticker],TabCalc[M])+JH18)</f>
        <v>0</v>
      </c>
      <c r="JG18" s="1132"/>
      <c r="JH18" s="1127"/>
      <c r="JI18" s="1130">
        <f ca="1">JJ18*(_xlfn.XLOOKUP(JI$3,TabCalc[Ticker],TabCalc[M])+JK18)</f>
        <v>0</v>
      </c>
      <c r="JJ18" s="1132"/>
      <c r="JK18" s="1127"/>
      <c r="JL18" s="1130">
        <f ca="1">JM18*(_xlfn.XLOOKUP(JL$3,TabCalc[Ticker],TabCalc[M])+JN18)</f>
        <v>0</v>
      </c>
      <c r="JM18" s="1132"/>
      <c r="JN18" s="1127"/>
      <c r="JO18" s="1130">
        <f ca="1">JP18*(_xlfn.XLOOKUP(JO$3,TabCalc[Ticker],TabCalc[M])+JQ18)</f>
        <v>0</v>
      </c>
      <c r="JP18" s="1132"/>
      <c r="JQ18" s="1127"/>
      <c r="JR18" s="1130">
        <f ca="1">JS18*(_xlfn.XLOOKUP(JR$3,TabCalc[Ticker],TabCalc[M])+JT18)</f>
        <v>0</v>
      </c>
      <c r="JS18" s="1132"/>
      <c r="JT18" s="1127"/>
      <c r="JU18" s="1130">
        <f ca="1">JV18*(_xlfn.XLOOKUP(JU$3,TabCalc[Ticker],TabCalc[M])+JW18)</f>
        <v>0</v>
      </c>
      <c r="JV18" s="1137"/>
      <c r="JW18" s="1127"/>
      <c r="JX18" s="1130">
        <f ca="1">JY18*(_xlfn.XLOOKUP(JX$3,TabCalc[Ticker],TabCalc[M])+JZ18)</f>
        <v>0</v>
      </c>
      <c r="JY18" s="1132"/>
      <c r="JZ18" s="1134"/>
    </row>
    <row r="19" spans="1:286" x14ac:dyDescent="0.3">
      <c r="A19">
        <v>16</v>
      </c>
      <c r="B19" s="1130">
        <f ca="1">C19*(_xlfn.XLOOKUP(B$3,TabCalc[Ticker],TabCalc[M])+D19)</f>
        <v>0</v>
      </c>
      <c r="C19" s="1133"/>
      <c r="D19" s="1127"/>
      <c r="E19" s="1130">
        <f ca="1">F19*(_xlfn.XLOOKUP(E$3,TabCalc[Ticker],TabCalc[M])+G19)</f>
        <v>0</v>
      </c>
      <c r="F19" s="1132"/>
      <c r="G19" s="1127"/>
      <c r="H19" s="1130">
        <f ca="1">I19*(_xlfn.XLOOKUP(H$3,TabCalc[Ticker],TabCalc[M])+J19)</f>
        <v>0</v>
      </c>
      <c r="I19" s="1133"/>
      <c r="J19" s="1127"/>
      <c r="K19" s="1130">
        <f ca="1">L19*(_xlfn.XLOOKUP(K$3,TabCalc[Ticker],TabCalc[M])+M19)</f>
        <v>-2926.9999999999995</v>
      </c>
      <c r="L19" s="1133">
        <v>250</v>
      </c>
      <c r="M19" s="1127">
        <v>-232.89</v>
      </c>
      <c r="N19" s="1130">
        <f ca="1">O19*(_xlfn.XLOOKUP(N$3,TabCalc[Ticker],TabCalc[M])+P19)</f>
        <v>0</v>
      </c>
      <c r="O19" s="1132"/>
      <c r="P19" s="1127"/>
      <c r="Q19" s="1130">
        <f ca="1">R19*(_xlfn.XLOOKUP(Q$3,TabCalc[Ticker],TabCalc[M])+S19)</f>
        <v>0</v>
      </c>
      <c r="R19" s="1133"/>
      <c r="S19" s="1127"/>
      <c r="T19" s="1130">
        <f ca="1">U19*(_xlfn.XLOOKUP(T$3,TabCalc[Ticker],TabCalc[M])+V19)</f>
        <v>0</v>
      </c>
      <c r="U19" s="1133"/>
      <c r="V19" s="1128"/>
      <c r="W19" s="1130">
        <f ca="1">X19*(_xlfn.XLOOKUP(W$3,TabCalc[Ticker],TabCalc[M])+Y19)</f>
        <v>0</v>
      </c>
      <c r="X19" s="1133"/>
      <c r="Y19" s="1127"/>
      <c r="Z19" s="1130">
        <f ca="1">AA19*(_xlfn.XLOOKUP(Z$3,TabCalc[Ticker],TabCalc[M])+AB19)</f>
        <v>0</v>
      </c>
      <c r="AA19" s="1133"/>
      <c r="AB19" s="1127"/>
      <c r="AC19" s="1130">
        <f ca="1">AD19*(_xlfn.XLOOKUP(AC$3,TabCalc[Ticker],TabCalc[M])+AE19)</f>
        <v>0</v>
      </c>
      <c r="AD19" s="1132"/>
      <c r="AE19" s="1127"/>
      <c r="AF19" s="1130">
        <f ca="1">AG19*(_xlfn.XLOOKUP(AF$3,TabCalc[Ticker],TabCalc[M])+AH19)</f>
        <v>0</v>
      </c>
      <c r="AG19" s="1132"/>
      <c r="AH19" s="1127"/>
      <c r="AI19" s="1130">
        <f ca="1">AJ19*(_xlfn.XLOOKUP(AI$3,TabCalc[Ticker],TabCalc[M])+AK19)</f>
        <v>0</v>
      </c>
      <c r="AJ19" s="1132"/>
      <c r="AK19" s="1127"/>
      <c r="AL19" s="1130">
        <f ca="1">AM19*(_xlfn.XLOOKUP(AL$3,TabCalc[Ticker],TabCalc[M])+AN19)</f>
        <v>0</v>
      </c>
      <c r="AM19" s="1132"/>
      <c r="AN19" s="1127"/>
      <c r="AO19" s="1130">
        <f ca="1">AP19*(_xlfn.XLOOKUP(AO$3,TabCalc[Ticker],TabCalc[M])+AQ19)</f>
        <v>0</v>
      </c>
      <c r="AP19" s="1132"/>
      <c r="AQ19" s="1127"/>
      <c r="AR19" s="1130">
        <f ca="1">AS19*(_xlfn.XLOOKUP(AR$3,TabCalc[Ticker],TabCalc[M])+AT19)</f>
        <v>0</v>
      </c>
      <c r="AS19" s="1132"/>
      <c r="AT19" s="1127"/>
      <c r="AU19" s="1130">
        <f ca="1">AV19*(_xlfn.XLOOKUP(AU$3,TabCalc[Ticker],TabCalc[M])+AW19)</f>
        <v>0</v>
      </c>
      <c r="AV19" s="1132"/>
      <c r="AW19" s="1127"/>
      <c r="AX19" s="1130">
        <f ca="1">AY19*(_xlfn.XLOOKUP(AX$3,TabCalc[Ticker],TabCalc[M])+AZ19)</f>
        <v>0</v>
      </c>
      <c r="AY19" s="1132"/>
      <c r="AZ19" s="1127"/>
      <c r="BA19" s="1130">
        <f ca="1">BB19*(_xlfn.XLOOKUP(BA$3,TabCalc[Ticker],TabCalc[M])+BC19)</f>
        <v>0</v>
      </c>
      <c r="BB19" s="1132"/>
      <c r="BC19" s="1127"/>
      <c r="BD19" s="1130">
        <f ca="1">BE19*(_xlfn.XLOOKUP(BD$3,TabCalc[Ticker],TabCalc[M])+BF19)</f>
        <v>0</v>
      </c>
      <c r="BE19" s="1132"/>
      <c r="BF19" s="1127"/>
      <c r="BG19" s="1130">
        <f ca="1">BH19*(_xlfn.XLOOKUP(BG$3,TabCalc[Ticker],TabCalc[M])+BI19)</f>
        <v>0</v>
      </c>
      <c r="BH19" s="1132"/>
      <c r="BI19" s="1127"/>
      <c r="BJ19" s="1130">
        <f ca="1">BK19*(_xlfn.XLOOKUP(BJ$3,TabCalc[Ticker],TabCalc[M])+BL19)</f>
        <v>0</v>
      </c>
      <c r="BK19" s="1132"/>
      <c r="BL19" s="1127"/>
      <c r="BM19" s="1130">
        <f ca="1">BN19*(_xlfn.XLOOKUP(BM$3,TabCalc[Ticker],TabCalc[M])+BO19)</f>
        <v>0</v>
      </c>
      <c r="BN19" s="1132"/>
      <c r="BO19" s="1127"/>
      <c r="BP19" s="1130">
        <f ca="1">BQ19*(_xlfn.XLOOKUP(BP$3,TabCalc[Ticker],TabCalc[M])+BR19)</f>
        <v>0</v>
      </c>
      <c r="BQ19" s="1132"/>
      <c r="BR19" s="1127"/>
      <c r="BS19" s="1130">
        <f ca="1">BT19*(_xlfn.XLOOKUP(BS$3,TabCalc[Ticker],TabCalc[M])+BU19)</f>
        <v>0</v>
      </c>
      <c r="BT19" s="1132"/>
      <c r="BU19" s="1127"/>
      <c r="BV19" s="1130">
        <f ca="1">BW19*(_xlfn.XLOOKUP(BV$3,TabCalc[Ticker],TabCalc[M])+BX19)</f>
        <v>0</v>
      </c>
      <c r="BW19" s="1132"/>
      <c r="BX19" s="1127"/>
      <c r="BY19" s="1130">
        <f ca="1">BZ19*(_xlfn.XLOOKUP(BY$3,TabCalc[Ticker],TabCalc[M])+CA19)</f>
        <v>0</v>
      </c>
      <c r="BZ19" s="1132"/>
      <c r="CA19" s="1127"/>
      <c r="CB19" s="1130">
        <f ca="1">CC19*(_xlfn.XLOOKUP(CB$3,TabCalc[Ticker],TabCalc[M])+CD19)</f>
        <v>0</v>
      </c>
      <c r="CC19" s="1132"/>
      <c r="CD19" s="1127"/>
      <c r="CE19" s="1130">
        <f ca="1">CF19*(_xlfn.XLOOKUP(CE$3,TabCalc[Ticker],TabCalc[M])+CG19)</f>
        <v>0</v>
      </c>
      <c r="CF19" s="1132"/>
      <c r="CG19" s="1127"/>
      <c r="CH19" s="1130">
        <f ca="1">CI19*(_xlfn.XLOOKUP(CH$3,TabCalc[Ticker],TabCalc[M])+CJ19)</f>
        <v>0</v>
      </c>
      <c r="CI19" s="1132"/>
      <c r="CJ19" s="1127"/>
      <c r="CK19" s="1130">
        <f ca="1">CL19*(_xlfn.XLOOKUP(CK$3,TabCalc[Ticker],TabCalc[M])+CM19)</f>
        <v>0</v>
      </c>
      <c r="CL19" s="1132"/>
      <c r="CM19" s="1127"/>
      <c r="CN19" s="1130">
        <f ca="1">CO19*(_xlfn.XLOOKUP(CN$3,TabCalc[Ticker],TabCalc[M])+CP19)</f>
        <v>0</v>
      </c>
      <c r="CO19" s="1132"/>
      <c r="CP19" s="1127"/>
      <c r="CQ19" s="1130">
        <f ca="1">CR19*(_xlfn.XLOOKUP(CQ$3,TabCalc[Ticker],TabCalc[M])+CS19)</f>
        <v>0</v>
      </c>
      <c r="CR19" s="1132"/>
      <c r="CS19" s="1127"/>
      <c r="CT19" s="1130">
        <f ca="1">CU19*(_xlfn.XLOOKUP(CT$3,TabCalc[Ticker],TabCalc[M])+CV19)</f>
        <v>0</v>
      </c>
      <c r="CU19" s="1132"/>
      <c r="CV19" s="1127"/>
      <c r="CW19" s="1130">
        <f ca="1">CX19*(_xlfn.XLOOKUP(CW$3,TabCalc[Ticker],TabCalc[M])+CY19)</f>
        <v>0</v>
      </c>
      <c r="CX19" s="1132"/>
      <c r="CY19" s="1127"/>
      <c r="CZ19" s="1130">
        <f ca="1">DA19*(_xlfn.XLOOKUP(CZ$3,TabCalc[Ticker],TabCalc[M])+DB19)</f>
        <v>0</v>
      </c>
      <c r="DA19" s="1132"/>
      <c r="DB19" s="1127"/>
      <c r="DC19" s="1130">
        <f ca="1">DD19*(_xlfn.XLOOKUP(DC$3,TabCalc[Ticker],TabCalc[M])+DE19)</f>
        <v>0</v>
      </c>
      <c r="DD19" s="1132"/>
      <c r="DE19" s="1127"/>
      <c r="DF19" s="1130">
        <f ca="1">DG19*(_xlfn.XLOOKUP(DF$3,TabCalc[Ticker],TabCalc[M])+DH19)</f>
        <v>0</v>
      </c>
      <c r="DG19" s="1132"/>
      <c r="DH19" s="1127"/>
      <c r="DI19" s="1130">
        <f ca="1">DJ19*(_xlfn.XLOOKUP(DI$3,TabCalc[Ticker],TabCalc[M])+DK19)</f>
        <v>0</v>
      </c>
      <c r="DJ19" s="1132"/>
      <c r="DK19" s="1127"/>
      <c r="DL19" s="1130">
        <f ca="1">DM19*(_xlfn.XLOOKUP(DL$3,TabCalc[Ticker],TabCalc[M])+DN19)</f>
        <v>0</v>
      </c>
      <c r="DM19" s="1132"/>
      <c r="DN19" s="1127"/>
      <c r="DO19" s="1130">
        <f ca="1">DP19*(_xlfn.XLOOKUP(DO$3,TabCalc[Ticker],TabCalc[M])+DQ19)</f>
        <v>0</v>
      </c>
      <c r="DP19" s="1132"/>
      <c r="DQ19" s="1127"/>
      <c r="DR19" s="1130">
        <f ca="1">DS19*(_xlfn.XLOOKUP(DR$3,TabCalc[Ticker],TabCalc[M])+DT19)</f>
        <v>0</v>
      </c>
      <c r="DS19" s="1132"/>
      <c r="DT19" s="1127"/>
      <c r="DU19" s="1130">
        <f ca="1">DV19*(_xlfn.XLOOKUP(DU$3,TabCalc[Ticker],TabCalc[M])+DW19)</f>
        <v>0</v>
      </c>
      <c r="DV19" s="1132"/>
      <c r="DW19" s="1127"/>
      <c r="DX19" s="1130">
        <f ca="1">DY19*(_xlfn.XLOOKUP(DX$3,TabCalc[Ticker],TabCalc[M])+DZ19)</f>
        <v>0</v>
      </c>
      <c r="DY19" s="1132"/>
      <c r="DZ19" s="1127"/>
      <c r="EA19" s="1130">
        <f ca="1">EB19*(_xlfn.XLOOKUP(EA$3,TabCalc[Ticker],TabCalc[M])+EC19)</f>
        <v>0</v>
      </c>
      <c r="EB19" s="1132"/>
      <c r="EC19" s="1127"/>
      <c r="ED19" s="1130">
        <f ca="1">EE19*(_xlfn.XLOOKUP(ED$3,TabCalc[Ticker],TabCalc[M])+EF19)</f>
        <v>0</v>
      </c>
      <c r="EE19" s="1132"/>
      <c r="EF19" s="1127"/>
      <c r="EG19" s="1130">
        <f ca="1">EH19*(_xlfn.XLOOKUP(EG$3,TabCalc[Ticker],TabCalc[M])+EI19)</f>
        <v>0</v>
      </c>
      <c r="EH19" s="1132"/>
      <c r="EI19" s="1127"/>
      <c r="EJ19" s="1130" t="e">
        <f ca="1">EK19*(_xlfn.XLOOKUP(EJ$3,TabCalc[Ticker],TabCalc[M])+EL19)</f>
        <v>#N/A</v>
      </c>
      <c r="EK19" s="1132"/>
      <c r="EL19" s="1127"/>
      <c r="EM19" s="1130">
        <f ca="1">EN19*(_xlfn.XLOOKUP(EM$3,TabCalc[Ticker],TabCalc[M])+EO19)</f>
        <v>0</v>
      </c>
      <c r="EN19" s="1132"/>
      <c r="EO19" s="1127"/>
      <c r="EP19" s="1130">
        <f ca="1">EQ19*(_xlfn.XLOOKUP(EP$3,TabCalc[Ticker],TabCalc[M])+ER19)</f>
        <v>0</v>
      </c>
      <c r="EQ19" s="1132"/>
      <c r="ER19" s="1127"/>
      <c r="ES19" s="1130">
        <f ca="1">ET19*(_xlfn.XLOOKUP(ES$3,TabCalc[Ticker],TabCalc[M])+EU19)</f>
        <v>0</v>
      </c>
      <c r="ET19" s="1132"/>
      <c r="EU19" s="1127"/>
      <c r="EV19" s="1130">
        <f ca="1">EW19*(_xlfn.XLOOKUP(EV$3,TabCalc[Ticker],TabCalc[M])+EX19)</f>
        <v>0</v>
      </c>
      <c r="EW19" s="1132"/>
      <c r="EX19" s="1134"/>
      <c r="EY19" s="1130">
        <f ca="1">EZ19*(_xlfn.XLOOKUP(EY$3,TabCalc[Ticker],TabCalc[M])+FA19)</f>
        <v>0</v>
      </c>
      <c r="EZ19" s="1132"/>
      <c r="FA19" s="1134"/>
      <c r="FB19" s="1130">
        <f ca="1">FC19*(_xlfn.XLOOKUP(FB$3,TabCalc[Ticker],TabCalc[M])+FD19)</f>
        <v>0</v>
      </c>
      <c r="FC19" s="1132"/>
      <c r="FD19" s="1134"/>
      <c r="FE19" s="1130">
        <f ca="1">FF19*(_xlfn.XLOOKUP(FE$3,TabCalc[Ticker],TabCalc[M])+FG19)</f>
        <v>0</v>
      </c>
      <c r="FF19" s="1132"/>
      <c r="FG19" s="1127"/>
      <c r="FH19" s="1130">
        <f ca="1">FI19*(_xlfn.XLOOKUP(FH$3,TabCalc[Ticker],TabCalc[M])+FJ19)</f>
        <v>0</v>
      </c>
      <c r="FI19" s="1132"/>
      <c r="FJ19" s="1127"/>
      <c r="FK19" s="1130">
        <f ca="1">FL19*(_xlfn.XLOOKUP(FK$3,TabCalc[Ticker],TabCalc[M])+FM19)</f>
        <v>0</v>
      </c>
      <c r="FL19" s="1132"/>
      <c r="FM19" s="1127"/>
      <c r="FN19" s="1130">
        <f ca="1">FO19*(_xlfn.XLOOKUP(FN$3,TabCalc[Ticker],TabCalc[M])+FP19)</f>
        <v>0</v>
      </c>
      <c r="FO19" s="1132"/>
      <c r="FP19" s="1127"/>
      <c r="FQ19" s="1130">
        <f ca="1">FR19*(_xlfn.XLOOKUP(FQ$3,TabCalc[Ticker],TabCalc[M])+FS19)</f>
        <v>0</v>
      </c>
      <c r="FR19" s="1132"/>
      <c r="FS19" s="1127"/>
      <c r="FT19" s="1130">
        <f ca="1">FU19*(_xlfn.XLOOKUP(FT$3,TabCalc[Ticker],TabCalc[M])+FV19)</f>
        <v>0</v>
      </c>
      <c r="FU19" s="1132"/>
      <c r="FV19" s="1127"/>
      <c r="FW19" s="1130">
        <f ca="1">FX19*(_xlfn.XLOOKUP(FW$3,TabCalc[Ticker],TabCalc[M])+FY19)</f>
        <v>0</v>
      </c>
      <c r="FX19" s="1132"/>
      <c r="FY19" s="1127"/>
      <c r="FZ19" s="1130">
        <f ca="1">GA19*(_xlfn.XLOOKUP(FZ$3,TabCalc[Ticker],TabCalc[M])+GB19)</f>
        <v>0</v>
      </c>
      <c r="GA19" s="1132"/>
      <c r="GB19" s="1127"/>
      <c r="GC19" s="1130">
        <f ca="1">GD19*(_xlfn.XLOOKUP(GC$3,TabCalc[Ticker],TabCalc[M])+GE19)</f>
        <v>0</v>
      </c>
      <c r="GD19" s="1132"/>
      <c r="GE19" s="1127"/>
      <c r="GF19" s="1130">
        <f ca="1">GG19*(_xlfn.XLOOKUP(GF$3,TabCalc[Ticker],TabCalc[M])+GH19)</f>
        <v>0</v>
      </c>
      <c r="GG19" s="1132"/>
      <c r="GH19" s="1127"/>
      <c r="GI19" s="1130">
        <f ca="1">GJ19*(_xlfn.XLOOKUP(GI$3,TabCalc[Ticker],TabCalc[M])+GK19)</f>
        <v>0</v>
      </c>
      <c r="GJ19" s="1132"/>
      <c r="GK19" s="1127"/>
      <c r="GL19" s="1130">
        <f ca="1">GM19*(_xlfn.XLOOKUP(GL$3,TabCalc[Ticker],TabCalc[M])+GN19)</f>
        <v>0</v>
      </c>
      <c r="GM19" s="1132"/>
      <c r="GN19" s="1127"/>
      <c r="GO19" s="1130">
        <f ca="1">GP19*(_xlfn.XLOOKUP(GO$3,TabCalc[Ticker],TabCalc[M])+GQ19)</f>
        <v>0</v>
      </c>
      <c r="GP19" s="1132"/>
      <c r="GQ19" s="1127"/>
      <c r="GR19" s="1130">
        <f ca="1">GS19*(_xlfn.XLOOKUP(GR$3,TabCalc[Ticker],TabCalc[M])+GT19)</f>
        <v>0</v>
      </c>
      <c r="GS19" s="1132"/>
      <c r="GT19" s="1127"/>
      <c r="GU19" s="1130">
        <f ca="1">GV19*(_xlfn.XLOOKUP(GU$3,TabCalc[Ticker],TabCalc[M])+GW19)</f>
        <v>0</v>
      </c>
      <c r="GV19" s="1132"/>
      <c r="GW19" s="1127"/>
      <c r="GX19" s="1130">
        <f ca="1">GY19*(_xlfn.XLOOKUP(GX$3,TabCalc[Ticker],TabCalc[M])+GZ19)</f>
        <v>0</v>
      </c>
      <c r="GY19" s="1132"/>
      <c r="GZ19" s="1127"/>
      <c r="HA19" s="1130">
        <f ca="1">HB19*(_xlfn.XLOOKUP(HA$3,TabCalc[Ticker],TabCalc[M])+HC19)</f>
        <v>0</v>
      </c>
      <c r="HB19" s="1132"/>
      <c r="HC19" s="1127"/>
      <c r="HD19" s="1130">
        <f ca="1">HE19*(_xlfn.XLOOKUP(HD$3,TabCalc[Ticker],TabCalc[M])+HF19)</f>
        <v>0</v>
      </c>
      <c r="HE19" s="1132"/>
      <c r="HF19" s="1127"/>
      <c r="HG19" s="1130">
        <f ca="1">HH19*(_xlfn.XLOOKUP(HG$3,TabCalc[Ticker],TabCalc[M])+HI19)</f>
        <v>0</v>
      </c>
      <c r="HH19" s="1132"/>
      <c r="HI19" s="1127"/>
      <c r="HJ19" s="1130">
        <f ca="1">HK19*(_xlfn.XLOOKUP(HJ$3,TabCalc[Ticker],TabCalc[M])+HL19)</f>
        <v>0</v>
      </c>
      <c r="HK19" s="1132"/>
      <c r="HL19" s="1127"/>
      <c r="HM19" s="1130">
        <f ca="1">HN19*(_xlfn.XLOOKUP(HM$3,TabCalc[Ticker],TabCalc[M])+HO19)</f>
        <v>0</v>
      </c>
      <c r="HN19" s="1132"/>
      <c r="HO19" s="1127"/>
      <c r="HP19" s="1130">
        <f ca="1">HQ19*(_xlfn.XLOOKUP(HP$3,TabCalc[Ticker],TabCalc[M])+HR19)</f>
        <v>0</v>
      </c>
      <c r="HQ19" s="1132"/>
      <c r="HR19" s="1127"/>
      <c r="HS19" s="1130">
        <f ca="1">HT19*(_xlfn.XLOOKUP(HS$3,TabCalc[Ticker],TabCalc[M])+HU19)</f>
        <v>0</v>
      </c>
      <c r="HT19" s="1132"/>
      <c r="HU19" s="1127"/>
      <c r="HV19" s="1130">
        <f ca="1">HW19*(_xlfn.XLOOKUP(HV$3,TabCalc[Ticker],TabCalc[M])+HX19)</f>
        <v>0</v>
      </c>
      <c r="HW19" s="1132"/>
      <c r="HX19" s="1127"/>
      <c r="HY19" s="1130">
        <f ca="1">HZ19*(_xlfn.XLOOKUP(HY$3,TabCalc[Ticker],TabCalc[M])+IA19)</f>
        <v>0</v>
      </c>
      <c r="HZ19" s="1132"/>
      <c r="IA19" s="1127"/>
      <c r="IB19" s="1130">
        <f ca="1">IC19*(_xlfn.XLOOKUP(IB$3,TabCalc[Ticker],TabCalc[M])+ID19)</f>
        <v>0</v>
      </c>
      <c r="IC19" s="1132"/>
      <c r="ID19" s="1127"/>
      <c r="IE19" s="1130">
        <f ca="1">IF19*(_xlfn.XLOOKUP(IE$3,TabCalc[Ticker],TabCalc[M])+IG19)</f>
        <v>0</v>
      </c>
      <c r="IF19" s="1132"/>
      <c r="IG19" s="1127"/>
      <c r="IH19" s="1130">
        <f ca="1">II19*(_xlfn.XLOOKUP(IH$3,TabCalc[Ticker],TabCalc[M])+IJ19)</f>
        <v>0</v>
      </c>
      <c r="II19" s="1132"/>
      <c r="IJ19" s="1127"/>
      <c r="IK19" s="1130">
        <f ca="1">IL19*(_xlfn.XLOOKUP(IK$3,TabCalc[Ticker],TabCalc[M])+IM19)</f>
        <v>0</v>
      </c>
      <c r="IL19" s="1132"/>
      <c r="IM19" s="1127"/>
      <c r="IN19" s="1130">
        <f ca="1">IO19*(_xlfn.XLOOKUP(IN$3,TabCalc[Ticker],TabCalc[M])+IP19)</f>
        <v>0</v>
      </c>
      <c r="IO19" s="1132"/>
      <c r="IP19" s="1127"/>
      <c r="IQ19" s="1130">
        <f ca="1">IR19*(_xlfn.XLOOKUP(IQ$3,TabCalc[Ticker],TabCalc[M]))</f>
        <v>0</v>
      </c>
      <c r="IR19" s="1132"/>
      <c r="IS19" s="1127"/>
      <c r="IT19" s="1130">
        <f ca="1">IU19*(_xlfn.XLOOKUP(IT$3,TabCalc[Ticker],TabCalc[M])+IV19)</f>
        <v>0</v>
      </c>
      <c r="IU19" s="1132"/>
      <c r="IV19" s="1127"/>
      <c r="IW19" s="1130">
        <f ca="1">IX19*(_xlfn.XLOOKUP(IW$3,TabCalc[Ticker],TabCalc[M])+IY19)</f>
        <v>0</v>
      </c>
      <c r="IX19" s="1132"/>
      <c r="IY19" s="1127"/>
      <c r="IZ19" s="1130">
        <f ca="1">JA19*(_xlfn.XLOOKUP(IZ$3,TabCalc[Ticker],TabCalc[M])+JB19)</f>
        <v>0</v>
      </c>
      <c r="JA19" s="1132"/>
      <c r="JB19" s="1127"/>
      <c r="JC19" s="1130">
        <f ca="1">JD19*(_xlfn.XLOOKUP(JC$3,TabCalc[Ticker],TabCalc[M])+JE19)</f>
        <v>0</v>
      </c>
      <c r="JD19" s="1132"/>
      <c r="JE19" s="1127"/>
      <c r="JF19" s="1130">
        <f ca="1">JG19*(_xlfn.XLOOKUP(JF$3,TabCalc[Ticker],TabCalc[M])+JH19)</f>
        <v>0</v>
      </c>
      <c r="JG19" s="1132"/>
      <c r="JH19" s="1127"/>
      <c r="JI19" s="1130">
        <f ca="1">JJ19*(_xlfn.XLOOKUP(JI$3,TabCalc[Ticker],TabCalc[M])+JK19)</f>
        <v>0</v>
      </c>
      <c r="JJ19" s="1132"/>
      <c r="JK19" s="1127"/>
      <c r="JL19" s="1130">
        <f ca="1">JM19*(_xlfn.XLOOKUP(JL$3,TabCalc[Ticker],TabCalc[M])+JN19)</f>
        <v>0</v>
      </c>
      <c r="JM19" s="1132"/>
      <c r="JN19" s="1127"/>
      <c r="JO19" s="1130">
        <f ca="1">JP19*(_xlfn.XLOOKUP(JO$3,TabCalc[Ticker],TabCalc[M])+JQ19)</f>
        <v>0</v>
      </c>
      <c r="JP19" s="1132"/>
      <c r="JQ19" s="1127"/>
      <c r="JR19" s="1130">
        <f ca="1">JS19*(_xlfn.XLOOKUP(JR$3,TabCalc[Ticker],TabCalc[M])+JT19)</f>
        <v>0</v>
      </c>
      <c r="JS19" s="1132"/>
      <c r="JT19" s="1127"/>
      <c r="JU19" s="1130">
        <f ca="1">JV19*(_xlfn.XLOOKUP(JU$3,TabCalc[Ticker],TabCalc[M])+JW19)</f>
        <v>0</v>
      </c>
      <c r="JV19" s="1137"/>
      <c r="JW19" s="1127"/>
      <c r="JX19" s="1130">
        <f ca="1">JY19*(_xlfn.XLOOKUP(JX$3,TabCalc[Ticker],TabCalc[M])+JZ19)</f>
        <v>0</v>
      </c>
      <c r="JY19" s="1132"/>
      <c r="JZ19" s="1134"/>
    </row>
    <row r="20" spans="1:286" x14ac:dyDescent="0.3">
      <c r="A20">
        <v>17</v>
      </c>
      <c r="B20" s="1130">
        <f ca="1">C20*(_xlfn.XLOOKUP(B$3,TabCalc[Ticker],TabCalc[M])+D20)</f>
        <v>0</v>
      </c>
      <c r="C20" s="1133"/>
      <c r="D20" s="1127"/>
      <c r="E20" s="1130">
        <f ca="1">F20*(_xlfn.XLOOKUP(E$3,TabCalc[Ticker],TabCalc[M])+G20)</f>
        <v>0</v>
      </c>
      <c r="F20" s="1132"/>
      <c r="G20" s="1127"/>
      <c r="H20" s="1130">
        <f ca="1">I20*(_xlfn.XLOOKUP(H$3,TabCalc[Ticker],TabCalc[M])+J20)</f>
        <v>0</v>
      </c>
      <c r="I20" s="1133"/>
      <c r="J20" s="1127"/>
      <c r="K20" s="1130">
        <f ca="1">L20*(_xlfn.XLOOKUP(K$3,TabCalc[Ticker],TabCalc[M])+M20)</f>
        <v>-6210.2000000000089</v>
      </c>
      <c r="L20" s="1133">
        <v>400</v>
      </c>
      <c r="M20" s="1127">
        <v>-236.70750000000001</v>
      </c>
      <c r="N20" s="1130">
        <f ca="1">O20*(_xlfn.XLOOKUP(N$3,TabCalc[Ticker],TabCalc[M])+P20)</f>
        <v>0</v>
      </c>
      <c r="O20" s="1132"/>
      <c r="P20" s="1127"/>
      <c r="Q20" s="1130">
        <f ca="1">R20*(_xlfn.XLOOKUP(Q$3,TabCalc[Ticker],TabCalc[M])+S20)</f>
        <v>0</v>
      </c>
      <c r="R20" s="1133"/>
      <c r="S20" s="1127"/>
      <c r="T20" s="1130">
        <f ca="1">U20*(_xlfn.XLOOKUP(T$3,TabCalc[Ticker],TabCalc[M])+V20)</f>
        <v>0</v>
      </c>
      <c r="U20" s="1133"/>
      <c r="V20" s="1128"/>
      <c r="W20" s="1130">
        <f ca="1">X20*(_xlfn.XLOOKUP(W$3,TabCalc[Ticker],TabCalc[M])+Y20)</f>
        <v>0</v>
      </c>
      <c r="X20" s="1133"/>
      <c r="Y20" s="1127"/>
      <c r="Z20" s="1130">
        <f ca="1">AA20*(_xlfn.XLOOKUP(Z$3,TabCalc[Ticker],TabCalc[M])+AB20)</f>
        <v>0</v>
      </c>
      <c r="AA20" s="1133"/>
      <c r="AB20" s="1127"/>
      <c r="AC20" s="1130">
        <f ca="1">AD20*(_xlfn.XLOOKUP(AC$3,TabCalc[Ticker],TabCalc[M])+AE20)</f>
        <v>0</v>
      </c>
      <c r="AD20" s="1132"/>
      <c r="AE20" s="1127"/>
      <c r="AF20" s="1130">
        <f ca="1">AG20*(_xlfn.XLOOKUP(AF$3,TabCalc[Ticker],TabCalc[M])+AH20)</f>
        <v>0</v>
      </c>
      <c r="AG20" s="1132"/>
      <c r="AH20" s="1127"/>
      <c r="AI20" s="1130">
        <f ca="1">AJ20*(_xlfn.XLOOKUP(AI$3,TabCalc[Ticker],TabCalc[M])+AK20)</f>
        <v>0</v>
      </c>
      <c r="AJ20" s="1132"/>
      <c r="AK20" s="1127"/>
      <c r="AL20" s="1130">
        <f ca="1">AM20*(_xlfn.XLOOKUP(AL$3,TabCalc[Ticker],TabCalc[M])+AN20)</f>
        <v>0</v>
      </c>
      <c r="AM20" s="1132"/>
      <c r="AN20" s="1127"/>
      <c r="AO20" s="1130">
        <f ca="1">AP20*(_xlfn.XLOOKUP(AO$3,TabCalc[Ticker],TabCalc[M])+AQ20)</f>
        <v>0</v>
      </c>
      <c r="AP20" s="1132"/>
      <c r="AQ20" s="1127"/>
      <c r="AR20" s="1130">
        <f ca="1">AS20*(_xlfn.XLOOKUP(AR$3,TabCalc[Ticker],TabCalc[M])+AT20)</f>
        <v>0</v>
      </c>
      <c r="AS20" s="1132"/>
      <c r="AT20" s="1127"/>
      <c r="AU20" s="1130">
        <f ca="1">AV20*(_xlfn.XLOOKUP(AU$3,TabCalc[Ticker],TabCalc[M])+AW20)</f>
        <v>0</v>
      </c>
      <c r="AV20" s="1132"/>
      <c r="AW20" s="1127"/>
      <c r="AX20" s="1130">
        <f ca="1">AY20*(_xlfn.XLOOKUP(AX$3,TabCalc[Ticker],TabCalc[M])+AZ20)</f>
        <v>0</v>
      </c>
      <c r="AY20" s="1132"/>
      <c r="AZ20" s="1127"/>
      <c r="BA20" s="1130">
        <f ca="1">BB20*(_xlfn.XLOOKUP(BA$3,TabCalc[Ticker],TabCalc[M])+BC20)</f>
        <v>0</v>
      </c>
      <c r="BB20" s="1132"/>
      <c r="BC20" s="1127"/>
      <c r="BD20" s="1130">
        <f ca="1">BE20*(_xlfn.XLOOKUP(BD$3,TabCalc[Ticker],TabCalc[M])+BF20)</f>
        <v>0</v>
      </c>
      <c r="BE20" s="1132"/>
      <c r="BF20" s="1127"/>
      <c r="BG20" s="1130">
        <f ca="1">BH20*(_xlfn.XLOOKUP(BG$3,TabCalc[Ticker],TabCalc[M])+BI20)</f>
        <v>0</v>
      </c>
      <c r="BH20" s="1132"/>
      <c r="BI20" s="1127"/>
      <c r="BJ20" s="1130">
        <f ca="1">BK20*(_xlfn.XLOOKUP(BJ$3,TabCalc[Ticker],TabCalc[M])+BL20)</f>
        <v>0</v>
      </c>
      <c r="BK20" s="1132"/>
      <c r="BL20" s="1127"/>
      <c r="BM20" s="1130">
        <f ca="1">BN20*(_xlfn.XLOOKUP(BM$3,TabCalc[Ticker],TabCalc[M])+BO20)</f>
        <v>0</v>
      </c>
      <c r="BN20" s="1132"/>
      <c r="BO20" s="1127"/>
      <c r="BP20" s="1130">
        <f ca="1">BQ20*(_xlfn.XLOOKUP(BP$3,TabCalc[Ticker],TabCalc[M])+BR20)</f>
        <v>0</v>
      </c>
      <c r="BQ20" s="1132"/>
      <c r="BR20" s="1127"/>
      <c r="BS20" s="1130">
        <f ca="1">BT20*(_xlfn.XLOOKUP(BS$3,TabCalc[Ticker],TabCalc[M])+BU20)</f>
        <v>0</v>
      </c>
      <c r="BT20" s="1132"/>
      <c r="BU20" s="1127"/>
      <c r="BV20" s="1130">
        <f ca="1">BW20*(_xlfn.XLOOKUP(BV$3,TabCalc[Ticker],TabCalc[M])+BX20)</f>
        <v>0</v>
      </c>
      <c r="BW20" s="1132"/>
      <c r="BX20" s="1127"/>
      <c r="BY20" s="1130">
        <f ca="1">BZ20*(_xlfn.XLOOKUP(BY$3,TabCalc[Ticker],TabCalc[M])+CA20)</f>
        <v>0</v>
      </c>
      <c r="BZ20" s="1132"/>
      <c r="CA20" s="1127"/>
      <c r="CB20" s="1130">
        <f ca="1">CC20*(_xlfn.XLOOKUP(CB$3,TabCalc[Ticker],TabCalc[M])+CD20)</f>
        <v>0</v>
      </c>
      <c r="CC20" s="1132"/>
      <c r="CD20" s="1127"/>
      <c r="CE20" s="1130">
        <f ca="1">CF20*(_xlfn.XLOOKUP(CE$3,TabCalc[Ticker],TabCalc[M])+CG20)</f>
        <v>0</v>
      </c>
      <c r="CF20" s="1132"/>
      <c r="CG20" s="1127"/>
      <c r="CH20" s="1130">
        <f ca="1">CI20*(_xlfn.XLOOKUP(CH$3,TabCalc[Ticker],TabCalc[M])+CJ20)</f>
        <v>0</v>
      </c>
      <c r="CI20" s="1132"/>
      <c r="CJ20" s="1127"/>
      <c r="CK20" s="1130">
        <f ca="1">CL20*(_xlfn.XLOOKUP(CK$3,TabCalc[Ticker],TabCalc[M])+CM20)</f>
        <v>0</v>
      </c>
      <c r="CL20" s="1132"/>
      <c r="CM20" s="1127"/>
      <c r="CN20" s="1130">
        <f ca="1">CO20*(_xlfn.XLOOKUP(CN$3,TabCalc[Ticker],TabCalc[M])+CP20)</f>
        <v>0</v>
      </c>
      <c r="CO20" s="1132"/>
      <c r="CP20" s="1127"/>
      <c r="CQ20" s="1130">
        <f ca="1">CR20*(_xlfn.XLOOKUP(CQ$3,TabCalc[Ticker],TabCalc[M])+CS20)</f>
        <v>0</v>
      </c>
      <c r="CR20" s="1132"/>
      <c r="CS20" s="1127"/>
      <c r="CT20" s="1130">
        <f ca="1">CU20*(_xlfn.XLOOKUP(CT$3,TabCalc[Ticker],TabCalc[M])+CV20)</f>
        <v>0</v>
      </c>
      <c r="CU20" s="1132"/>
      <c r="CV20" s="1127"/>
      <c r="CW20" s="1130">
        <f ca="1">CX20*(_xlfn.XLOOKUP(CW$3,TabCalc[Ticker],TabCalc[M])+CY20)</f>
        <v>0</v>
      </c>
      <c r="CX20" s="1132"/>
      <c r="CY20" s="1127"/>
      <c r="CZ20" s="1130">
        <f ca="1">DA20*(_xlfn.XLOOKUP(CZ$3,TabCalc[Ticker],TabCalc[M])+DB20)</f>
        <v>0</v>
      </c>
      <c r="DA20" s="1132"/>
      <c r="DB20" s="1127"/>
      <c r="DC20" s="1130">
        <f ca="1">DD20*(_xlfn.XLOOKUP(DC$3,TabCalc[Ticker],TabCalc[M])+DE20)</f>
        <v>0</v>
      </c>
      <c r="DD20" s="1132"/>
      <c r="DE20" s="1127"/>
      <c r="DF20" s="1130">
        <f ca="1">DG20*(_xlfn.XLOOKUP(DF$3,TabCalc[Ticker],TabCalc[M])+DH20)</f>
        <v>0</v>
      </c>
      <c r="DG20" s="1132"/>
      <c r="DH20" s="1127"/>
      <c r="DI20" s="1130">
        <f ca="1">DJ20*(_xlfn.XLOOKUP(DI$3,TabCalc[Ticker],TabCalc[M])+DK20)</f>
        <v>0</v>
      </c>
      <c r="DJ20" s="1132"/>
      <c r="DK20" s="1127"/>
      <c r="DL20" s="1130">
        <f ca="1">DM20*(_xlfn.XLOOKUP(DL$3,TabCalc[Ticker],TabCalc[M])+DN20)</f>
        <v>0</v>
      </c>
      <c r="DM20" s="1132"/>
      <c r="DN20" s="1127"/>
      <c r="DO20" s="1130">
        <f ca="1">DP20*(_xlfn.XLOOKUP(DO$3,TabCalc[Ticker],TabCalc[M])+DQ20)</f>
        <v>0</v>
      </c>
      <c r="DP20" s="1132"/>
      <c r="DQ20" s="1127"/>
      <c r="DR20" s="1130">
        <f ca="1">DS20*(_xlfn.XLOOKUP(DR$3,TabCalc[Ticker],TabCalc[M])+DT20)</f>
        <v>0</v>
      </c>
      <c r="DS20" s="1132"/>
      <c r="DT20" s="1127"/>
      <c r="DU20" s="1130">
        <f ca="1">DV20*(_xlfn.XLOOKUP(DU$3,TabCalc[Ticker],TabCalc[M])+DW20)</f>
        <v>0</v>
      </c>
      <c r="DV20" s="1132"/>
      <c r="DW20" s="1127"/>
      <c r="DX20" s="1130">
        <f ca="1">DY20*(_xlfn.XLOOKUP(DX$3,TabCalc[Ticker],TabCalc[M])+DZ20)</f>
        <v>0</v>
      </c>
      <c r="DY20" s="1132"/>
      <c r="DZ20" s="1127"/>
      <c r="EA20" s="1130">
        <f ca="1">EB20*(_xlfn.XLOOKUP(EA$3,TabCalc[Ticker],TabCalc[M])+EC20)</f>
        <v>0</v>
      </c>
      <c r="EB20" s="1132"/>
      <c r="EC20" s="1127"/>
      <c r="ED20" s="1130">
        <f ca="1">EE20*(_xlfn.XLOOKUP(ED$3,TabCalc[Ticker],TabCalc[M])+EF20)</f>
        <v>0</v>
      </c>
      <c r="EE20" s="1132"/>
      <c r="EF20" s="1127"/>
      <c r="EG20" s="1130">
        <f ca="1">EH20*(_xlfn.XLOOKUP(EG$3,TabCalc[Ticker],TabCalc[M])+EI20)</f>
        <v>0</v>
      </c>
      <c r="EH20" s="1132"/>
      <c r="EI20" s="1127"/>
      <c r="EJ20" s="1130" t="e">
        <f ca="1">EK20*(_xlfn.XLOOKUP(EJ$3,TabCalc[Ticker],TabCalc[M])+EL20)</f>
        <v>#N/A</v>
      </c>
      <c r="EK20" s="1132"/>
      <c r="EL20" s="1127"/>
      <c r="EM20" s="1130">
        <f ca="1">EN20*(_xlfn.XLOOKUP(EM$3,TabCalc[Ticker],TabCalc[M])+EO20)</f>
        <v>0</v>
      </c>
      <c r="EN20" s="1132"/>
      <c r="EO20" s="1127"/>
      <c r="EP20" s="1130">
        <f ca="1">EQ20*(_xlfn.XLOOKUP(EP$3,TabCalc[Ticker],TabCalc[M])+ER20)</f>
        <v>0</v>
      </c>
      <c r="EQ20" s="1132"/>
      <c r="ER20" s="1127"/>
      <c r="ES20" s="1130">
        <f ca="1">ET20*(_xlfn.XLOOKUP(ES$3,TabCalc[Ticker],TabCalc[M])+EU20)</f>
        <v>0</v>
      </c>
      <c r="ET20" s="1132"/>
      <c r="EU20" s="1127"/>
      <c r="EV20" s="1130">
        <f ca="1">EW20*(_xlfn.XLOOKUP(EV$3,TabCalc[Ticker],TabCalc[M])+EX20)</f>
        <v>0</v>
      </c>
      <c r="EW20" s="1132"/>
      <c r="EX20" s="1134"/>
      <c r="EY20" s="1130">
        <f ca="1">EZ20*(_xlfn.XLOOKUP(EY$3,TabCalc[Ticker],TabCalc[M])+FA20)</f>
        <v>0</v>
      </c>
      <c r="EZ20" s="1132"/>
      <c r="FA20" s="1134"/>
      <c r="FB20" s="1130">
        <f ca="1">FC20*(_xlfn.XLOOKUP(FB$3,TabCalc[Ticker],TabCalc[M])+FD20)</f>
        <v>0</v>
      </c>
      <c r="FC20" s="1132"/>
      <c r="FD20" s="1134"/>
      <c r="FE20" s="1130">
        <f ca="1">FF20*(_xlfn.XLOOKUP(FE$3,TabCalc[Ticker],TabCalc[M])+FG20)</f>
        <v>0</v>
      </c>
      <c r="FF20" s="1132"/>
      <c r="FG20" s="1127"/>
      <c r="FH20" s="1130">
        <f ca="1">FI20*(_xlfn.XLOOKUP(FH$3,TabCalc[Ticker],TabCalc[M])+FJ20)</f>
        <v>0</v>
      </c>
      <c r="FI20" s="1132"/>
      <c r="FJ20" s="1127"/>
      <c r="FK20" s="1130">
        <f ca="1">FL20*(_xlfn.XLOOKUP(FK$3,TabCalc[Ticker],TabCalc[M])+FM20)</f>
        <v>0</v>
      </c>
      <c r="FL20" s="1132"/>
      <c r="FM20" s="1127"/>
      <c r="FN20" s="1130">
        <f ca="1">FO20*(_xlfn.XLOOKUP(FN$3,TabCalc[Ticker],TabCalc[M])+FP20)</f>
        <v>0</v>
      </c>
      <c r="FO20" s="1132"/>
      <c r="FP20" s="1127"/>
      <c r="FQ20" s="1130">
        <f ca="1">FR20*(_xlfn.XLOOKUP(FQ$3,TabCalc[Ticker],TabCalc[M])+FS20)</f>
        <v>0</v>
      </c>
      <c r="FR20" s="1132"/>
      <c r="FS20" s="1127"/>
      <c r="FT20" s="1130">
        <f ca="1">FU20*(_xlfn.XLOOKUP(FT$3,TabCalc[Ticker],TabCalc[M])+FV20)</f>
        <v>0</v>
      </c>
      <c r="FU20" s="1132"/>
      <c r="FV20" s="1127"/>
      <c r="FW20" s="1130">
        <f ca="1">FX20*(_xlfn.XLOOKUP(FW$3,TabCalc[Ticker],TabCalc[M])+FY20)</f>
        <v>0</v>
      </c>
      <c r="FX20" s="1132"/>
      <c r="FY20" s="1127"/>
      <c r="FZ20" s="1130">
        <f ca="1">GA20*(_xlfn.XLOOKUP(FZ$3,TabCalc[Ticker],TabCalc[M])+GB20)</f>
        <v>0</v>
      </c>
      <c r="GA20" s="1132"/>
      <c r="GB20" s="1127"/>
      <c r="GC20" s="1130">
        <f ca="1">GD20*(_xlfn.XLOOKUP(GC$3,TabCalc[Ticker],TabCalc[M])+GE20)</f>
        <v>0</v>
      </c>
      <c r="GD20" s="1132"/>
      <c r="GE20" s="1127"/>
      <c r="GF20" s="1130">
        <f ca="1">GG20*(_xlfn.XLOOKUP(GF$3,TabCalc[Ticker],TabCalc[M])+GH20)</f>
        <v>0</v>
      </c>
      <c r="GG20" s="1132"/>
      <c r="GH20" s="1127"/>
      <c r="GI20" s="1130">
        <f ca="1">GJ20*(_xlfn.XLOOKUP(GI$3,TabCalc[Ticker],TabCalc[M])+GK20)</f>
        <v>0</v>
      </c>
      <c r="GJ20" s="1132"/>
      <c r="GK20" s="1127"/>
      <c r="GL20" s="1130">
        <f ca="1">GM20*(_xlfn.XLOOKUP(GL$3,TabCalc[Ticker],TabCalc[M])+GN20)</f>
        <v>0</v>
      </c>
      <c r="GM20" s="1132"/>
      <c r="GN20" s="1127"/>
      <c r="GO20" s="1130">
        <f ca="1">GP20*(_xlfn.XLOOKUP(GO$3,TabCalc[Ticker],TabCalc[M])+GQ20)</f>
        <v>0</v>
      </c>
      <c r="GP20" s="1132"/>
      <c r="GQ20" s="1127"/>
      <c r="GR20" s="1130">
        <f ca="1">GS20*(_xlfn.XLOOKUP(GR$3,TabCalc[Ticker],TabCalc[M])+GT20)</f>
        <v>0</v>
      </c>
      <c r="GS20" s="1132"/>
      <c r="GT20" s="1127"/>
      <c r="GU20" s="1130">
        <f ca="1">GV20*(_xlfn.XLOOKUP(GU$3,TabCalc[Ticker],TabCalc[M])+GW20)</f>
        <v>0</v>
      </c>
      <c r="GV20" s="1132"/>
      <c r="GW20" s="1127"/>
      <c r="GX20" s="1130">
        <f ca="1">GY20*(_xlfn.XLOOKUP(GX$3,TabCalc[Ticker],TabCalc[M])+GZ20)</f>
        <v>0</v>
      </c>
      <c r="GY20" s="1132"/>
      <c r="GZ20" s="1127"/>
      <c r="HA20" s="1130">
        <f ca="1">HB20*(_xlfn.XLOOKUP(HA$3,TabCalc[Ticker],TabCalc[M])+HC20)</f>
        <v>0</v>
      </c>
      <c r="HB20" s="1132"/>
      <c r="HC20" s="1127"/>
      <c r="HD20" s="1130">
        <f ca="1">HE20*(_xlfn.XLOOKUP(HD$3,TabCalc[Ticker],TabCalc[M])+HF20)</f>
        <v>0</v>
      </c>
      <c r="HE20" s="1132"/>
      <c r="HF20" s="1127"/>
      <c r="HG20" s="1130">
        <f ca="1">HH20*(_xlfn.XLOOKUP(HG$3,TabCalc[Ticker],TabCalc[M])+HI20)</f>
        <v>0</v>
      </c>
      <c r="HH20" s="1132"/>
      <c r="HI20" s="1127"/>
      <c r="HJ20" s="1130">
        <f ca="1">HK20*(_xlfn.XLOOKUP(HJ$3,TabCalc[Ticker],TabCalc[M])+HL20)</f>
        <v>0</v>
      </c>
      <c r="HK20" s="1132"/>
      <c r="HL20" s="1127"/>
      <c r="HM20" s="1130">
        <f ca="1">HN20*(_xlfn.XLOOKUP(HM$3,TabCalc[Ticker],TabCalc[M])+HO20)</f>
        <v>0</v>
      </c>
      <c r="HN20" s="1132"/>
      <c r="HO20" s="1127"/>
      <c r="HP20" s="1130">
        <f ca="1">HQ20*(_xlfn.XLOOKUP(HP$3,TabCalc[Ticker],TabCalc[M])+HR20)</f>
        <v>0</v>
      </c>
      <c r="HQ20" s="1132"/>
      <c r="HR20" s="1127"/>
      <c r="HS20" s="1130">
        <f ca="1">HT20*(_xlfn.XLOOKUP(HS$3,TabCalc[Ticker],TabCalc[M])+HU20)</f>
        <v>0</v>
      </c>
      <c r="HT20" s="1132"/>
      <c r="HU20" s="1127"/>
      <c r="HV20" s="1130">
        <f ca="1">HW20*(_xlfn.XLOOKUP(HV$3,TabCalc[Ticker],TabCalc[M])+HX20)</f>
        <v>0</v>
      </c>
      <c r="HW20" s="1132"/>
      <c r="HX20" s="1127"/>
      <c r="HY20" s="1130">
        <f ca="1">HZ20*(_xlfn.XLOOKUP(HY$3,TabCalc[Ticker],TabCalc[M])+IA20)</f>
        <v>0</v>
      </c>
      <c r="HZ20" s="1132"/>
      <c r="IA20" s="1127"/>
      <c r="IB20" s="1130">
        <f ca="1">IC20*(_xlfn.XLOOKUP(IB$3,TabCalc[Ticker],TabCalc[M])+ID20)</f>
        <v>0</v>
      </c>
      <c r="IC20" s="1132"/>
      <c r="ID20" s="1127"/>
      <c r="IE20" s="1130">
        <f ca="1">IF20*(_xlfn.XLOOKUP(IE$3,TabCalc[Ticker],TabCalc[M])+IG20)</f>
        <v>0</v>
      </c>
      <c r="IF20" s="1132"/>
      <c r="IG20" s="1127"/>
      <c r="IH20" s="1130">
        <f ca="1">II20*(_xlfn.XLOOKUP(IH$3,TabCalc[Ticker],TabCalc[M])+IJ20)</f>
        <v>0</v>
      </c>
      <c r="II20" s="1132"/>
      <c r="IJ20" s="1127"/>
      <c r="IK20" s="1130">
        <f ca="1">IL20*(_xlfn.XLOOKUP(IK$3,TabCalc[Ticker],TabCalc[M])+IM20)</f>
        <v>0</v>
      </c>
      <c r="IL20" s="1132"/>
      <c r="IM20" s="1127"/>
      <c r="IN20" s="1130">
        <f ca="1">IO20*(_xlfn.XLOOKUP(IN$3,TabCalc[Ticker],TabCalc[M])+IP20)</f>
        <v>0</v>
      </c>
      <c r="IO20" s="1132"/>
      <c r="IP20" s="1127"/>
      <c r="IQ20" s="1130">
        <f ca="1">IR20*(_xlfn.XLOOKUP(IQ$3,TabCalc[Ticker],TabCalc[M]))</f>
        <v>0</v>
      </c>
      <c r="IR20" s="1132"/>
      <c r="IS20" s="1127"/>
      <c r="IT20" s="1130">
        <f ca="1">IU20*(_xlfn.XLOOKUP(IT$3,TabCalc[Ticker],TabCalc[M])+IV20)</f>
        <v>0</v>
      </c>
      <c r="IU20" s="1132"/>
      <c r="IV20" s="1127"/>
      <c r="IW20" s="1130">
        <f ca="1">IX20*(_xlfn.XLOOKUP(IW$3,TabCalc[Ticker],TabCalc[M])+IY20)</f>
        <v>0</v>
      </c>
      <c r="IX20" s="1132"/>
      <c r="IY20" s="1127"/>
      <c r="IZ20" s="1130">
        <f ca="1">JA20*(_xlfn.XLOOKUP(IZ$3,TabCalc[Ticker],TabCalc[M])+JB20)</f>
        <v>0</v>
      </c>
      <c r="JA20" s="1132"/>
      <c r="JB20" s="1127"/>
      <c r="JC20" s="1130">
        <f ca="1">JD20*(_xlfn.XLOOKUP(JC$3,TabCalc[Ticker],TabCalc[M])+JE20)</f>
        <v>0</v>
      </c>
      <c r="JD20" s="1132"/>
      <c r="JE20" s="1127"/>
      <c r="JF20" s="1130">
        <f ca="1">JG20*(_xlfn.XLOOKUP(JF$3,TabCalc[Ticker],TabCalc[M])+JH20)</f>
        <v>0</v>
      </c>
      <c r="JG20" s="1132"/>
      <c r="JH20" s="1127"/>
      <c r="JI20" s="1130">
        <f ca="1">JJ20*(_xlfn.XLOOKUP(JI$3,TabCalc[Ticker],TabCalc[M])+JK20)</f>
        <v>0</v>
      </c>
      <c r="JJ20" s="1132"/>
      <c r="JK20" s="1127"/>
      <c r="JL20" s="1130">
        <f ca="1">JM20*(_xlfn.XLOOKUP(JL$3,TabCalc[Ticker],TabCalc[M])+JN20)</f>
        <v>0</v>
      </c>
      <c r="JM20" s="1132"/>
      <c r="JN20" s="1127"/>
      <c r="JO20" s="1130">
        <f ca="1">JP20*(_xlfn.XLOOKUP(JO$3,TabCalc[Ticker],TabCalc[M])+JQ20)</f>
        <v>0</v>
      </c>
      <c r="JP20" s="1132"/>
      <c r="JQ20" s="1127"/>
      <c r="JR20" s="1130">
        <f ca="1">JS20*(_xlfn.XLOOKUP(JR$3,TabCalc[Ticker],TabCalc[M])+JT20)</f>
        <v>0</v>
      </c>
      <c r="JS20" s="1132"/>
      <c r="JT20" s="1127"/>
      <c r="JU20" s="1130">
        <f ca="1">JV20*(_xlfn.XLOOKUP(JU$3,TabCalc[Ticker],TabCalc[M])+JW20)</f>
        <v>0</v>
      </c>
      <c r="JV20" s="1137"/>
      <c r="JW20" s="1127"/>
      <c r="JX20" s="1130">
        <f ca="1">JY20*(_xlfn.XLOOKUP(JX$3,TabCalc[Ticker],TabCalc[M])+JZ20)</f>
        <v>0</v>
      </c>
      <c r="JY20" s="1132"/>
      <c r="JZ20" s="1134"/>
    </row>
    <row r="21" spans="1:286" x14ac:dyDescent="0.3">
      <c r="A21">
        <v>18</v>
      </c>
      <c r="B21" s="1130">
        <f ca="1">C21*(_xlfn.XLOOKUP(B$3,TabCalc[Ticker],TabCalc[M])+D21)</f>
        <v>0</v>
      </c>
      <c r="C21" s="1133"/>
      <c r="D21" s="1127"/>
      <c r="E21" s="1130">
        <f ca="1">F21*(_xlfn.XLOOKUP(E$3,TabCalc[Ticker],TabCalc[M])+G21)</f>
        <v>0</v>
      </c>
      <c r="F21" s="1132"/>
      <c r="G21" s="1127"/>
      <c r="H21" s="1130">
        <f ca="1">I21*(_xlfn.XLOOKUP(H$3,TabCalc[Ticker],TabCalc[M])+J21)</f>
        <v>0</v>
      </c>
      <c r="I21" s="1133"/>
      <c r="J21" s="1127"/>
      <c r="K21" s="1130">
        <f ca="1">L21*(_xlfn.XLOOKUP(K$3,TabCalc[Ticker],TabCalc[M])+M21)</f>
        <v>0</v>
      </c>
      <c r="L21" s="1133"/>
      <c r="M21" s="1127"/>
      <c r="N21" s="1130">
        <f ca="1">O21*(_xlfn.XLOOKUP(N$3,TabCalc[Ticker],TabCalc[M])+P21)</f>
        <v>0</v>
      </c>
      <c r="O21" s="1132"/>
      <c r="P21" s="1127"/>
      <c r="Q21" s="1130">
        <f ca="1">R21*(_xlfn.XLOOKUP(Q$3,TabCalc[Ticker],TabCalc[M])+S21)</f>
        <v>0</v>
      </c>
      <c r="R21" s="1133"/>
      <c r="S21" s="1127"/>
      <c r="T21" s="1130">
        <f ca="1">U21*(_xlfn.XLOOKUP(T$3,TabCalc[Ticker],TabCalc[M])+V21)</f>
        <v>0</v>
      </c>
      <c r="U21" s="1133"/>
      <c r="V21" s="1128"/>
      <c r="W21" s="1130">
        <f ca="1">X21*(_xlfn.XLOOKUP(W$3,TabCalc[Ticker],TabCalc[M])+Y21)</f>
        <v>0</v>
      </c>
      <c r="X21" s="1133"/>
      <c r="Y21" s="1127"/>
      <c r="Z21" s="1130">
        <f ca="1">AA21*(_xlfn.XLOOKUP(Z$3,TabCalc[Ticker],TabCalc[M])+AB21)</f>
        <v>0</v>
      </c>
      <c r="AA21" s="1133"/>
      <c r="AB21" s="1127"/>
      <c r="AC21" s="1130">
        <f ca="1">AD21*(_xlfn.XLOOKUP(AC$3,TabCalc[Ticker],TabCalc[M])+AE21)</f>
        <v>0</v>
      </c>
      <c r="AD21" s="1132"/>
      <c r="AE21" s="1127"/>
      <c r="AF21" s="1130">
        <f ca="1">AG21*(_xlfn.XLOOKUP(AF$3,TabCalc[Ticker],TabCalc[M])+AH21)</f>
        <v>0</v>
      </c>
      <c r="AG21" s="1132"/>
      <c r="AH21" s="1127"/>
      <c r="AI21" s="1130">
        <f ca="1">AJ21*(_xlfn.XLOOKUP(AI$3,TabCalc[Ticker],TabCalc[M])+AK21)</f>
        <v>0</v>
      </c>
      <c r="AJ21" s="1132"/>
      <c r="AK21" s="1127"/>
      <c r="AL21" s="1130">
        <f ca="1">AM21*(_xlfn.XLOOKUP(AL$3,TabCalc[Ticker],TabCalc[M])+AN21)</f>
        <v>0</v>
      </c>
      <c r="AM21" s="1132"/>
      <c r="AN21" s="1127"/>
      <c r="AO21" s="1130">
        <f ca="1">AP21*(_xlfn.XLOOKUP(AO$3,TabCalc[Ticker],TabCalc[M])+AQ21)</f>
        <v>0</v>
      </c>
      <c r="AP21" s="1132"/>
      <c r="AQ21" s="1127"/>
      <c r="AR21" s="1130">
        <f ca="1">AS21*(_xlfn.XLOOKUP(AR$3,TabCalc[Ticker],TabCalc[M])+AT21)</f>
        <v>0</v>
      </c>
      <c r="AS21" s="1132"/>
      <c r="AT21" s="1127"/>
      <c r="AU21" s="1130">
        <f ca="1">AV21*(_xlfn.XLOOKUP(AU$3,TabCalc[Ticker],TabCalc[M])+AW21)</f>
        <v>0</v>
      </c>
      <c r="AV21" s="1132"/>
      <c r="AW21" s="1127"/>
      <c r="AX21" s="1130">
        <f ca="1">AY21*(_xlfn.XLOOKUP(AX$3,TabCalc[Ticker],TabCalc[M])+AZ21)</f>
        <v>0</v>
      </c>
      <c r="AY21" s="1132"/>
      <c r="AZ21" s="1127"/>
      <c r="BA21" s="1130">
        <f ca="1">BB21*(_xlfn.XLOOKUP(BA$3,TabCalc[Ticker],TabCalc[M])+BC21)</f>
        <v>0</v>
      </c>
      <c r="BB21" s="1132"/>
      <c r="BC21" s="1127"/>
      <c r="BD21" s="1130">
        <f ca="1">BE21*(_xlfn.XLOOKUP(BD$3,TabCalc[Ticker],TabCalc[M])+BF21)</f>
        <v>0</v>
      </c>
      <c r="BE21" s="1132"/>
      <c r="BF21" s="1127"/>
      <c r="BG21" s="1130">
        <f ca="1">BH21*(_xlfn.XLOOKUP(BG$3,TabCalc[Ticker],TabCalc[M])+BI21)</f>
        <v>0</v>
      </c>
      <c r="BH21" s="1132"/>
      <c r="BI21" s="1127"/>
      <c r="BJ21" s="1130">
        <f ca="1">BK21*(_xlfn.XLOOKUP(BJ$3,TabCalc[Ticker],TabCalc[M])+BL21)</f>
        <v>0</v>
      </c>
      <c r="BK21" s="1132"/>
      <c r="BL21" s="1127"/>
      <c r="BM21" s="1130">
        <f ca="1">BN21*(_xlfn.XLOOKUP(BM$3,TabCalc[Ticker],TabCalc[M])+BO21)</f>
        <v>0</v>
      </c>
      <c r="BN21" s="1132"/>
      <c r="BO21" s="1127"/>
      <c r="BP21" s="1130">
        <f ca="1">BQ21*(_xlfn.XLOOKUP(BP$3,TabCalc[Ticker],TabCalc[M])+BR21)</f>
        <v>0</v>
      </c>
      <c r="BQ21" s="1132"/>
      <c r="BR21" s="1127"/>
      <c r="BS21" s="1130">
        <f ca="1">BT21*(_xlfn.XLOOKUP(BS$3,TabCalc[Ticker],TabCalc[M])+BU21)</f>
        <v>0</v>
      </c>
      <c r="BT21" s="1132"/>
      <c r="BU21" s="1127"/>
      <c r="BV21" s="1130">
        <f ca="1">BW21*(_xlfn.XLOOKUP(BV$3,TabCalc[Ticker],TabCalc[M])+BX21)</f>
        <v>0</v>
      </c>
      <c r="BW21" s="1132"/>
      <c r="BX21" s="1127"/>
      <c r="BY21" s="1130">
        <f ca="1">BZ21*(_xlfn.XLOOKUP(BY$3,TabCalc[Ticker],TabCalc[M])+CA21)</f>
        <v>0</v>
      </c>
      <c r="BZ21" s="1132"/>
      <c r="CA21" s="1127"/>
      <c r="CB21" s="1130">
        <f ca="1">CC21*(_xlfn.XLOOKUP(CB$3,TabCalc[Ticker],TabCalc[M])+CD21)</f>
        <v>0</v>
      </c>
      <c r="CC21" s="1132"/>
      <c r="CD21" s="1127"/>
      <c r="CE21" s="1130">
        <f ca="1">CF21*(_xlfn.XLOOKUP(CE$3,TabCalc[Ticker],TabCalc[M])+CG21)</f>
        <v>0</v>
      </c>
      <c r="CF21" s="1132"/>
      <c r="CG21" s="1127"/>
      <c r="CH21" s="1130">
        <f ca="1">CI21*(_xlfn.XLOOKUP(CH$3,TabCalc[Ticker],TabCalc[M])+CJ21)</f>
        <v>0</v>
      </c>
      <c r="CI21" s="1132"/>
      <c r="CJ21" s="1127"/>
      <c r="CK21" s="1130">
        <f ca="1">CL21*(_xlfn.XLOOKUP(CK$3,TabCalc[Ticker],TabCalc[M])+CM21)</f>
        <v>0</v>
      </c>
      <c r="CL21" s="1132"/>
      <c r="CM21" s="1127"/>
      <c r="CN21" s="1130">
        <f ca="1">CO21*(_xlfn.XLOOKUP(CN$3,TabCalc[Ticker],TabCalc[M])+CP21)</f>
        <v>0</v>
      </c>
      <c r="CO21" s="1132"/>
      <c r="CP21" s="1127"/>
      <c r="CQ21" s="1130">
        <f ca="1">CR21*(_xlfn.XLOOKUP(CQ$3,TabCalc[Ticker],TabCalc[M])+CS21)</f>
        <v>0</v>
      </c>
      <c r="CR21" s="1132"/>
      <c r="CS21" s="1127"/>
      <c r="CT21" s="1130">
        <f ca="1">CU21*(_xlfn.XLOOKUP(CT$3,TabCalc[Ticker],TabCalc[M])+CV21)</f>
        <v>0</v>
      </c>
      <c r="CU21" s="1132"/>
      <c r="CV21" s="1127"/>
      <c r="CW21" s="1130">
        <f ca="1">CX21*(_xlfn.XLOOKUP(CW$3,TabCalc[Ticker],TabCalc[M])+CY21)</f>
        <v>0</v>
      </c>
      <c r="CX21" s="1132"/>
      <c r="CY21" s="1127"/>
      <c r="CZ21" s="1130">
        <f ca="1">DA21*(_xlfn.XLOOKUP(CZ$3,TabCalc[Ticker],TabCalc[M])+DB21)</f>
        <v>0</v>
      </c>
      <c r="DA21" s="1132"/>
      <c r="DB21" s="1127"/>
      <c r="DC21" s="1130">
        <f ca="1">DD21*(_xlfn.XLOOKUP(DC$3,TabCalc[Ticker],TabCalc[M])+DE21)</f>
        <v>0</v>
      </c>
      <c r="DD21" s="1132"/>
      <c r="DE21" s="1127"/>
      <c r="DF21" s="1130">
        <f ca="1">DG21*(_xlfn.XLOOKUP(DF$3,TabCalc[Ticker],TabCalc[M])+DH21)</f>
        <v>0</v>
      </c>
      <c r="DG21" s="1132"/>
      <c r="DH21" s="1127"/>
      <c r="DI21" s="1130">
        <f ca="1">DJ21*(_xlfn.XLOOKUP(DI$3,TabCalc[Ticker],TabCalc[M])+DK21)</f>
        <v>0</v>
      </c>
      <c r="DJ21" s="1132"/>
      <c r="DK21" s="1127"/>
      <c r="DL21" s="1130">
        <f ca="1">DM21*(_xlfn.XLOOKUP(DL$3,TabCalc[Ticker],TabCalc[M])+DN21)</f>
        <v>0</v>
      </c>
      <c r="DM21" s="1132"/>
      <c r="DN21" s="1127"/>
      <c r="DO21" s="1130">
        <f ca="1">DP21*(_xlfn.XLOOKUP(DO$3,TabCalc[Ticker],TabCalc[M])+DQ21)</f>
        <v>0</v>
      </c>
      <c r="DP21" s="1132"/>
      <c r="DQ21" s="1127"/>
      <c r="DR21" s="1130">
        <f ca="1">DS21*(_xlfn.XLOOKUP(DR$3,TabCalc[Ticker],TabCalc[M])+DT21)</f>
        <v>0</v>
      </c>
      <c r="DS21" s="1132"/>
      <c r="DT21" s="1127"/>
      <c r="DU21" s="1130">
        <f ca="1">DV21*(_xlfn.XLOOKUP(DU$3,TabCalc[Ticker],TabCalc[M])+DW21)</f>
        <v>0</v>
      </c>
      <c r="DV21" s="1132"/>
      <c r="DW21" s="1127"/>
      <c r="DX21" s="1130">
        <f ca="1">DY21*(_xlfn.XLOOKUP(DX$3,TabCalc[Ticker],TabCalc[M])+DZ21)</f>
        <v>0</v>
      </c>
      <c r="DY21" s="1132"/>
      <c r="DZ21" s="1127"/>
      <c r="EA21" s="1130">
        <f ca="1">EB21*(_xlfn.XLOOKUP(EA$3,TabCalc[Ticker],TabCalc[M])+EC21)</f>
        <v>0</v>
      </c>
      <c r="EB21" s="1132"/>
      <c r="EC21" s="1127"/>
      <c r="ED21" s="1130">
        <f ca="1">EE21*(_xlfn.XLOOKUP(ED$3,TabCalc[Ticker],TabCalc[M])+EF21)</f>
        <v>0</v>
      </c>
      <c r="EE21" s="1132"/>
      <c r="EF21" s="1127"/>
      <c r="EG21" s="1130">
        <f ca="1">EH21*(_xlfn.XLOOKUP(EG$3,TabCalc[Ticker],TabCalc[M])+EI21)</f>
        <v>0</v>
      </c>
      <c r="EH21" s="1132"/>
      <c r="EI21" s="1127"/>
      <c r="EJ21" s="1130" t="e">
        <f ca="1">EK21*(_xlfn.XLOOKUP(EJ$3,TabCalc[Ticker],TabCalc[M])+EL21)</f>
        <v>#N/A</v>
      </c>
      <c r="EK21" s="1132"/>
      <c r="EL21" s="1127"/>
      <c r="EM21" s="1130">
        <f ca="1">EN21*(_xlfn.XLOOKUP(EM$3,TabCalc[Ticker],TabCalc[M])+EO21)</f>
        <v>0</v>
      </c>
      <c r="EN21" s="1132"/>
      <c r="EO21" s="1127"/>
      <c r="EP21" s="1130">
        <f ca="1">EQ21*(_xlfn.XLOOKUP(EP$3,TabCalc[Ticker],TabCalc[M])+ER21)</f>
        <v>0</v>
      </c>
      <c r="EQ21" s="1132"/>
      <c r="ER21" s="1127"/>
      <c r="ES21" s="1130">
        <f ca="1">ET21*(_xlfn.XLOOKUP(ES$3,TabCalc[Ticker],TabCalc[M])+EU21)</f>
        <v>0</v>
      </c>
      <c r="ET21" s="1132"/>
      <c r="EU21" s="1127"/>
      <c r="EV21" s="1130">
        <f ca="1">EW21*(_xlfn.XLOOKUP(EV$3,TabCalc[Ticker],TabCalc[M])+EX21)</f>
        <v>0</v>
      </c>
      <c r="EW21" s="1132"/>
      <c r="EX21" s="1134"/>
      <c r="EY21" s="1130">
        <f ca="1">EZ21*(_xlfn.XLOOKUP(EY$3,TabCalc[Ticker],TabCalc[M])+FA21)</f>
        <v>0</v>
      </c>
      <c r="EZ21" s="1132"/>
      <c r="FA21" s="1134"/>
      <c r="FB21" s="1130">
        <f ca="1">FC21*(_xlfn.XLOOKUP(FB$3,TabCalc[Ticker],TabCalc[M])+FD21)</f>
        <v>0</v>
      </c>
      <c r="FC21" s="1132"/>
      <c r="FD21" s="1134"/>
      <c r="FE21" s="1130">
        <f ca="1">FF21*(_xlfn.XLOOKUP(FE$3,TabCalc[Ticker],TabCalc[M])+FG21)</f>
        <v>0</v>
      </c>
      <c r="FF21" s="1132"/>
      <c r="FG21" s="1127"/>
      <c r="FH21" s="1130">
        <f ca="1">FI21*(_xlfn.XLOOKUP(FH$3,TabCalc[Ticker],TabCalc[M])+FJ21)</f>
        <v>0</v>
      </c>
      <c r="FI21" s="1132"/>
      <c r="FJ21" s="1127"/>
      <c r="FK21" s="1130">
        <f ca="1">FL21*(_xlfn.XLOOKUP(FK$3,TabCalc[Ticker],TabCalc[M])+FM21)</f>
        <v>0</v>
      </c>
      <c r="FL21" s="1132"/>
      <c r="FM21" s="1127"/>
      <c r="FN21" s="1130">
        <f ca="1">FO21*(_xlfn.XLOOKUP(FN$3,TabCalc[Ticker],TabCalc[M])+FP21)</f>
        <v>0</v>
      </c>
      <c r="FO21" s="1132"/>
      <c r="FP21" s="1127"/>
      <c r="FQ21" s="1130">
        <f ca="1">FR21*(_xlfn.XLOOKUP(FQ$3,TabCalc[Ticker],TabCalc[M])+FS21)</f>
        <v>0</v>
      </c>
      <c r="FR21" s="1132"/>
      <c r="FS21" s="1127"/>
      <c r="FT21" s="1130">
        <f ca="1">FU21*(_xlfn.XLOOKUP(FT$3,TabCalc[Ticker],TabCalc[M])+FV21)</f>
        <v>0</v>
      </c>
      <c r="FU21" s="1132"/>
      <c r="FV21" s="1127"/>
      <c r="FW21" s="1130">
        <f ca="1">FX21*(_xlfn.XLOOKUP(FW$3,TabCalc[Ticker],TabCalc[M])+FY21)</f>
        <v>0</v>
      </c>
      <c r="FX21" s="1132"/>
      <c r="FY21" s="1127"/>
      <c r="FZ21" s="1130">
        <f ca="1">GA21*(_xlfn.XLOOKUP(FZ$3,TabCalc[Ticker],TabCalc[M])+GB21)</f>
        <v>0</v>
      </c>
      <c r="GA21" s="1132"/>
      <c r="GB21" s="1127"/>
      <c r="GC21" s="1130">
        <f ca="1">GD21*(_xlfn.XLOOKUP(GC$3,TabCalc[Ticker],TabCalc[M])+GE21)</f>
        <v>0</v>
      </c>
      <c r="GD21" s="1132"/>
      <c r="GE21" s="1127"/>
      <c r="GF21" s="1130">
        <f ca="1">GG21*(_xlfn.XLOOKUP(GF$3,TabCalc[Ticker],TabCalc[M])+GH21)</f>
        <v>0</v>
      </c>
      <c r="GG21" s="1132"/>
      <c r="GH21" s="1127"/>
      <c r="GI21" s="1130">
        <f ca="1">GJ21*(_xlfn.XLOOKUP(GI$3,TabCalc[Ticker],TabCalc[M])+GK21)</f>
        <v>0</v>
      </c>
      <c r="GJ21" s="1132"/>
      <c r="GK21" s="1127"/>
      <c r="GL21" s="1130">
        <f ca="1">GM21*(_xlfn.XLOOKUP(GL$3,TabCalc[Ticker],TabCalc[M])+GN21)</f>
        <v>0</v>
      </c>
      <c r="GM21" s="1132"/>
      <c r="GN21" s="1127"/>
      <c r="GO21" s="1130">
        <f ca="1">GP21*(_xlfn.XLOOKUP(GO$3,TabCalc[Ticker],TabCalc[M])+GQ21)</f>
        <v>0</v>
      </c>
      <c r="GP21" s="1132"/>
      <c r="GQ21" s="1127"/>
      <c r="GR21" s="1130">
        <f ca="1">GS21*(_xlfn.XLOOKUP(GR$3,TabCalc[Ticker],TabCalc[M])+GT21)</f>
        <v>0</v>
      </c>
      <c r="GS21" s="1132"/>
      <c r="GT21" s="1127"/>
      <c r="GU21" s="1130">
        <f ca="1">GV21*(_xlfn.XLOOKUP(GU$3,TabCalc[Ticker],TabCalc[M])+GW21)</f>
        <v>0</v>
      </c>
      <c r="GV21" s="1132"/>
      <c r="GW21" s="1127"/>
      <c r="GX21" s="1130">
        <f ca="1">GY21*(_xlfn.XLOOKUP(GX$3,TabCalc[Ticker],TabCalc[M])+GZ21)</f>
        <v>0</v>
      </c>
      <c r="GY21" s="1132"/>
      <c r="GZ21" s="1127"/>
      <c r="HA21" s="1130">
        <f ca="1">HB21*(_xlfn.XLOOKUP(HA$3,TabCalc[Ticker],TabCalc[M])+HC21)</f>
        <v>0</v>
      </c>
      <c r="HB21" s="1132"/>
      <c r="HC21" s="1127"/>
      <c r="HD21" s="1130">
        <f ca="1">HE21*(_xlfn.XLOOKUP(HD$3,TabCalc[Ticker],TabCalc[M])+HF21)</f>
        <v>0</v>
      </c>
      <c r="HE21" s="1132"/>
      <c r="HF21" s="1127"/>
      <c r="HG21" s="1130">
        <f ca="1">HH21*(_xlfn.XLOOKUP(HG$3,TabCalc[Ticker],TabCalc[M])+HI21)</f>
        <v>0</v>
      </c>
      <c r="HH21" s="1132"/>
      <c r="HI21" s="1127"/>
      <c r="HJ21" s="1130">
        <f ca="1">HK21*(_xlfn.XLOOKUP(HJ$3,TabCalc[Ticker],TabCalc[M])+HL21)</f>
        <v>0</v>
      </c>
      <c r="HK21" s="1132"/>
      <c r="HL21" s="1127"/>
      <c r="HM21" s="1130">
        <f ca="1">HN21*(_xlfn.XLOOKUP(HM$3,TabCalc[Ticker],TabCalc[M])+HO21)</f>
        <v>0</v>
      </c>
      <c r="HN21" s="1132"/>
      <c r="HO21" s="1127"/>
      <c r="HP21" s="1130">
        <f ca="1">HQ21*(_xlfn.XLOOKUP(HP$3,TabCalc[Ticker],TabCalc[M])+HR21)</f>
        <v>0</v>
      </c>
      <c r="HQ21" s="1132"/>
      <c r="HR21" s="1127"/>
      <c r="HS21" s="1130">
        <f ca="1">HT21*(_xlfn.XLOOKUP(HS$3,TabCalc[Ticker],TabCalc[M])+HU21)</f>
        <v>0</v>
      </c>
      <c r="HT21" s="1132"/>
      <c r="HU21" s="1127"/>
      <c r="HV21" s="1130">
        <f ca="1">HW21*(_xlfn.XLOOKUP(HV$3,TabCalc[Ticker],TabCalc[M])+HX21)</f>
        <v>0</v>
      </c>
      <c r="HW21" s="1132"/>
      <c r="HX21" s="1127"/>
      <c r="HY21" s="1130">
        <f ca="1">HZ21*(_xlfn.XLOOKUP(HY$3,TabCalc[Ticker],TabCalc[M])+IA21)</f>
        <v>0</v>
      </c>
      <c r="HZ21" s="1132"/>
      <c r="IA21" s="1127"/>
      <c r="IB21" s="1130">
        <f ca="1">IC21*(_xlfn.XLOOKUP(IB$3,TabCalc[Ticker],TabCalc[M])+ID21)</f>
        <v>0</v>
      </c>
      <c r="IC21" s="1132"/>
      <c r="ID21" s="1127"/>
      <c r="IE21" s="1130">
        <f ca="1">IF21*(_xlfn.XLOOKUP(IE$3,TabCalc[Ticker],TabCalc[M])+IG21)</f>
        <v>0</v>
      </c>
      <c r="IF21" s="1132"/>
      <c r="IG21" s="1127"/>
      <c r="IH21" s="1130">
        <f ca="1">II21*(_xlfn.XLOOKUP(IH$3,TabCalc[Ticker],TabCalc[M])+IJ21)</f>
        <v>0</v>
      </c>
      <c r="II21" s="1132"/>
      <c r="IJ21" s="1127"/>
      <c r="IK21" s="1130">
        <f ca="1">IL21*(_xlfn.XLOOKUP(IK$3,TabCalc[Ticker],TabCalc[M])+IM21)</f>
        <v>0</v>
      </c>
      <c r="IL21" s="1132"/>
      <c r="IM21" s="1127"/>
      <c r="IN21" s="1130">
        <f ca="1">IO21*(_xlfn.XLOOKUP(IN$3,TabCalc[Ticker],TabCalc[M])+IP21)</f>
        <v>0</v>
      </c>
      <c r="IO21" s="1132"/>
      <c r="IP21" s="1127"/>
      <c r="IQ21" s="1130">
        <f ca="1">IR21*(_xlfn.XLOOKUP(IQ$3,TabCalc[Ticker],TabCalc[M]))</f>
        <v>0</v>
      </c>
      <c r="IR21" s="1132"/>
      <c r="IS21" s="1127"/>
      <c r="IT21" s="1130">
        <f ca="1">IU21*(_xlfn.XLOOKUP(IT$3,TabCalc[Ticker],TabCalc[M])+IV21)</f>
        <v>0</v>
      </c>
      <c r="IU21" s="1132"/>
      <c r="IV21" s="1127"/>
      <c r="IW21" s="1130">
        <f ca="1">IX21*(_xlfn.XLOOKUP(IW$3,TabCalc[Ticker],TabCalc[M])+IY21)</f>
        <v>0</v>
      </c>
      <c r="IX21" s="1132"/>
      <c r="IY21" s="1127"/>
      <c r="IZ21" s="1130">
        <f ca="1">JA21*(_xlfn.XLOOKUP(IZ$3,TabCalc[Ticker],TabCalc[M])+JB21)</f>
        <v>0</v>
      </c>
      <c r="JA21" s="1132"/>
      <c r="JB21" s="1127"/>
      <c r="JC21" s="1130">
        <f ca="1">JD21*(_xlfn.XLOOKUP(JC$3,TabCalc[Ticker],TabCalc[M])+JE21)</f>
        <v>0</v>
      </c>
      <c r="JD21" s="1132"/>
      <c r="JE21" s="1127"/>
      <c r="JF21" s="1130">
        <f ca="1">JG21*(_xlfn.XLOOKUP(JF$3,TabCalc[Ticker],TabCalc[M])+JH21)</f>
        <v>0</v>
      </c>
      <c r="JG21" s="1132"/>
      <c r="JH21" s="1127"/>
      <c r="JI21" s="1130">
        <f ca="1">JJ21*(_xlfn.XLOOKUP(JI$3,TabCalc[Ticker],TabCalc[M])+JK21)</f>
        <v>0</v>
      </c>
      <c r="JJ21" s="1132"/>
      <c r="JK21" s="1127"/>
      <c r="JL21" s="1130">
        <f ca="1">JM21*(_xlfn.XLOOKUP(JL$3,TabCalc[Ticker],TabCalc[M])+JN21)</f>
        <v>0</v>
      </c>
      <c r="JM21" s="1132"/>
      <c r="JN21" s="1127"/>
      <c r="JO21" s="1130">
        <f ca="1">JP21*(_xlfn.XLOOKUP(JO$3,TabCalc[Ticker],TabCalc[M])+JQ21)</f>
        <v>0</v>
      </c>
      <c r="JP21" s="1132"/>
      <c r="JQ21" s="1127"/>
      <c r="JR21" s="1130">
        <f ca="1">JS21*(_xlfn.XLOOKUP(JR$3,TabCalc[Ticker],TabCalc[M])+JT21)</f>
        <v>0</v>
      </c>
      <c r="JS21" s="1132"/>
      <c r="JT21" s="1127"/>
      <c r="JU21" s="1130">
        <f ca="1">JV21*(_xlfn.XLOOKUP(JU$3,TabCalc[Ticker],TabCalc[M])+JW21)</f>
        <v>0</v>
      </c>
      <c r="JV21" s="1137"/>
      <c r="JW21" s="1127"/>
      <c r="JX21" s="1130">
        <f ca="1">JY21*(_xlfn.XLOOKUP(JX$3,TabCalc[Ticker],TabCalc[M])+JZ21)</f>
        <v>0</v>
      </c>
      <c r="JY21" s="1132"/>
      <c r="JZ21" s="1134"/>
    </row>
    <row r="22" spans="1:286" x14ac:dyDescent="0.3">
      <c r="A22">
        <v>19</v>
      </c>
      <c r="B22" s="1130">
        <f ca="1">C22*(_xlfn.XLOOKUP(B$3,TabCalc[Ticker],TabCalc[M])+D22)</f>
        <v>0</v>
      </c>
      <c r="C22" s="1133"/>
      <c r="D22" s="1127"/>
      <c r="E22" s="1130">
        <f ca="1">F22*(_xlfn.XLOOKUP(E$3,TabCalc[Ticker],TabCalc[M])+G22)</f>
        <v>0</v>
      </c>
      <c r="F22" s="1132"/>
      <c r="G22" s="1127"/>
      <c r="H22" s="1130">
        <f ca="1">I22*(_xlfn.XLOOKUP(H$3,TabCalc[Ticker],TabCalc[M])+J22)</f>
        <v>0</v>
      </c>
      <c r="I22" s="1133"/>
      <c r="J22" s="1127"/>
      <c r="K22" s="1130">
        <f ca="1">L22*(_xlfn.XLOOKUP(K$3,TabCalc[Ticker],TabCalc[M])+M22)</f>
        <v>0</v>
      </c>
      <c r="L22" s="1133"/>
      <c r="M22" s="1127"/>
      <c r="N22" s="1130">
        <f ca="1">O22*(_xlfn.XLOOKUP(N$3,TabCalc[Ticker],TabCalc[M])+P22)</f>
        <v>0</v>
      </c>
      <c r="O22" s="1132"/>
      <c r="P22" s="1127"/>
      <c r="Q22" s="1130">
        <f ca="1">R22*(_xlfn.XLOOKUP(Q$3,TabCalc[Ticker],TabCalc[M])+S22)</f>
        <v>0</v>
      </c>
      <c r="R22" s="1133"/>
      <c r="S22" s="1127"/>
      <c r="T22" s="1130">
        <f ca="1">U22*(_xlfn.XLOOKUP(T$3,TabCalc[Ticker],TabCalc[M])+V22)</f>
        <v>0</v>
      </c>
      <c r="U22" s="1133"/>
      <c r="V22" s="1128"/>
      <c r="W22" s="1130">
        <f ca="1">X22*(_xlfn.XLOOKUP(W$3,TabCalc[Ticker],TabCalc[M])+Y22)</f>
        <v>0</v>
      </c>
      <c r="X22" s="1133"/>
      <c r="Y22" s="1127"/>
      <c r="Z22" s="1130">
        <f ca="1">AA22*(_xlfn.XLOOKUP(Z$3,TabCalc[Ticker],TabCalc[M])+AB22)</f>
        <v>0</v>
      </c>
      <c r="AA22" s="1133"/>
      <c r="AB22" s="1127"/>
      <c r="AC22" s="1130">
        <f ca="1">AD22*(_xlfn.XLOOKUP(AC$3,TabCalc[Ticker],TabCalc[M])+AE22)</f>
        <v>0</v>
      </c>
      <c r="AD22" s="1132"/>
      <c r="AE22" s="1127"/>
      <c r="AF22" s="1130">
        <f ca="1">AG22*(_xlfn.XLOOKUP(AF$3,TabCalc[Ticker],TabCalc[M])+AH22)</f>
        <v>0</v>
      </c>
      <c r="AG22" s="1132"/>
      <c r="AH22" s="1127"/>
      <c r="AI22" s="1130">
        <f ca="1">AJ22*(_xlfn.XLOOKUP(AI$3,TabCalc[Ticker],TabCalc[M])+AK22)</f>
        <v>0</v>
      </c>
      <c r="AJ22" s="1132"/>
      <c r="AK22" s="1127"/>
      <c r="AL22" s="1130">
        <f ca="1">AM22*(_xlfn.XLOOKUP(AL$3,TabCalc[Ticker],TabCalc[M])+AN22)</f>
        <v>0</v>
      </c>
      <c r="AM22" s="1132"/>
      <c r="AN22" s="1127"/>
      <c r="AO22" s="1130">
        <f ca="1">AP22*(_xlfn.XLOOKUP(AO$3,TabCalc[Ticker],TabCalc[M])+AQ22)</f>
        <v>0</v>
      </c>
      <c r="AP22" s="1132"/>
      <c r="AQ22" s="1127"/>
      <c r="AR22" s="1130">
        <f ca="1">AS22*(_xlfn.XLOOKUP(AR$3,TabCalc[Ticker],TabCalc[M])+AT22)</f>
        <v>0</v>
      </c>
      <c r="AS22" s="1132"/>
      <c r="AT22" s="1127"/>
      <c r="AU22" s="1130">
        <f ca="1">AV22*(_xlfn.XLOOKUP(AU$3,TabCalc[Ticker],TabCalc[M])+AW22)</f>
        <v>0</v>
      </c>
      <c r="AV22" s="1132"/>
      <c r="AW22" s="1127"/>
      <c r="AX22" s="1130">
        <f ca="1">AY22*(_xlfn.XLOOKUP(AX$3,TabCalc[Ticker],TabCalc[M])+AZ22)</f>
        <v>0</v>
      </c>
      <c r="AY22" s="1132"/>
      <c r="AZ22" s="1127"/>
      <c r="BA22" s="1130">
        <f ca="1">BB22*(_xlfn.XLOOKUP(BA$3,TabCalc[Ticker],TabCalc[M])+BC22)</f>
        <v>0</v>
      </c>
      <c r="BB22" s="1132"/>
      <c r="BC22" s="1127"/>
      <c r="BD22" s="1130">
        <f ca="1">BE22*(_xlfn.XLOOKUP(BD$3,TabCalc[Ticker],TabCalc[M])+BF22)</f>
        <v>0</v>
      </c>
      <c r="BE22" s="1132"/>
      <c r="BF22" s="1127"/>
      <c r="BG22" s="1130">
        <f ca="1">BH22*(_xlfn.XLOOKUP(BG$3,TabCalc[Ticker],TabCalc[M])+BI22)</f>
        <v>0</v>
      </c>
      <c r="BH22" s="1132"/>
      <c r="BI22" s="1127"/>
      <c r="BJ22" s="1130">
        <f ca="1">BK22*(_xlfn.XLOOKUP(BJ$3,TabCalc[Ticker],TabCalc[M])+BL22)</f>
        <v>0</v>
      </c>
      <c r="BK22" s="1132"/>
      <c r="BL22" s="1127"/>
      <c r="BM22" s="1130">
        <f ca="1">BN22*(_xlfn.XLOOKUP(BM$3,TabCalc[Ticker],TabCalc[M])+BO22)</f>
        <v>0</v>
      </c>
      <c r="BN22" s="1132"/>
      <c r="BO22" s="1127"/>
      <c r="BP22" s="1130">
        <f ca="1">BQ22*(_xlfn.XLOOKUP(BP$3,TabCalc[Ticker],TabCalc[M])+BR22)</f>
        <v>0</v>
      </c>
      <c r="BQ22" s="1132"/>
      <c r="BR22" s="1127"/>
      <c r="BS22" s="1130">
        <f ca="1">BT22*(_xlfn.XLOOKUP(BS$3,TabCalc[Ticker],TabCalc[M])+BU22)</f>
        <v>0</v>
      </c>
      <c r="BT22" s="1132"/>
      <c r="BU22" s="1127"/>
      <c r="BV22" s="1130">
        <f ca="1">BW22*(_xlfn.XLOOKUP(BV$3,TabCalc[Ticker],TabCalc[M])+BX22)</f>
        <v>0</v>
      </c>
      <c r="BW22" s="1132"/>
      <c r="BX22" s="1127"/>
      <c r="BY22" s="1130">
        <f ca="1">BZ22*(_xlfn.XLOOKUP(BY$3,TabCalc[Ticker],TabCalc[M])+CA22)</f>
        <v>0</v>
      </c>
      <c r="BZ22" s="1132"/>
      <c r="CA22" s="1127"/>
      <c r="CB22" s="1130">
        <f ca="1">CC22*(_xlfn.XLOOKUP(CB$3,TabCalc[Ticker],TabCalc[M])+CD22)</f>
        <v>0</v>
      </c>
      <c r="CC22" s="1132"/>
      <c r="CD22" s="1127"/>
      <c r="CE22" s="1130">
        <f ca="1">CF22*(_xlfn.XLOOKUP(CE$3,TabCalc[Ticker],TabCalc[M])+CG22)</f>
        <v>0</v>
      </c>
      <c r="CF22" s="1132"/>
      <c r="CG22" s="1127"/>
      <c r="CH22" s="1130">
        <f ca="1">CI22*(_xlfn.XLOOKUP(CH$3,TabCalc[Ticker],TabCalc[M])+CJ22)</f>
        <v>0</v>
      </c>
      <c r="CI22" s="1132"/>
      <c r="CJ22" s="1127"/>
      <c r="CK22" s="1130">
        <f ca="1">CL22*(_xlfn.XLOOKUP(CK$3,TabCalc[Ticker],TabCalc[M])+CM22)</f>
        <v>0</v>
      </c>
      <c r="CL22" s="1132"/>
      <c r="CM22" s="1127"/>
      <c r="CN22" s="1130">
        <f ca="1">CO22*(_xlfn.XLOOKUP(CN$3,TabCalc[Ticker],TabCalc[M])+CP22)</f>
        <v>0</v>
      </c>
      <c r="CO22" s="1132"/>
      <c r="CP22" s="1127"/>
      <c r="CQ22" s="1130">
        <f ca="1">CR22*(_xlfn.XLOOKUP(CQ$3,TabCalc[Ticker],TabCalc[M])+CS22)</f>
        <v>0</v>
      </c>
      <c r="CR22" s="1132"/>
      <c r="CS22" s="1127"/>
      <c r="CT22" s="1130">
        <f ca="1">CU22*(_xlfn.XLOOKUP(CT$3,TabCalc[Ticker],TabCalc[M])+CV22)</f>
        <v>0</v>
      </c>
      <c r="CU22" s="1132"/>
      <c r="CV22" s="1127"/>
      <c r="CW22" s="1130">
        <f ca="1">CX22*(_xlfn.XLOOKUP(CW$3,TabCalc[Ticker],TabCalc[M])+CY22)</f>
        <v>0</v>
      </c>
      <c r="CX22" s="1132"/>
      <c r="CY22" s="1127"/>
      <c r="CZ22" s="1130">
        <f ca="1">DA22*(_xlfn.XLOOKUP(CZ$3,TabCalc[Ticker],TabCalc[M])+DB22)</f>
        <v>0</v>
      </c>
      <c r="DA22" s="1132"/>
      <c r="DB22" s="1127"/>
      <c r="DC22" s="1130">
        <f ca="1">DD22*(_xlfn.XLOOKUP(DC$3,TabCalc[Ticker],TabCalc[M])+DE22)</f>
        <v>0</v>
      </c>
      <c r="DD22" s="1132"/>
      <c r="DE22" s="1127"/>
      <c r="DF22" s="1130">
        <f ca="1">DG22*(_xlfn.XLOOKUP(DF$3,TabCalc[Ticker],TabCalc[M])+DH22)</f>
        <v>0</v>
      </c>
      <c r="DG22" s="1132"/>
      <c r="DH22" s="1127"/>
      <c r="DI22" s="1130">
        <f ca="1">DJ22*(_xlfn.XLOOKUP(DI$3,TabCalc[Ticker],TabCalc[M])+DK22)</f>
        <v>0</v>
      </c>
      <c r="DJ22" s="1132"/>
      <c r="DK22" s="1127"/>
      <c r="DL22" s="1130">
        <f ca="1">DM22*(_xlfn.XLOOKUP(DL$3,TabCalc[Ticker],TabCalc[M])+DN22)</f>
        <v>0</v>
      </c>
      <c r="DM22" s="1132"/>
      <c r="DN22" s="1127"/>
      <c r="DO22" s="1130">
        <f ca="1">DP22*(_xlfn.XLOOKUP(DO$3,TabCalc[Ticker],TabCalc[M])+DQ22)</f>
        <v>0</v>
      </c>
      <c r="DP22" s="1132"/>
      <c r="DQ22" s="1127"/>
      <c r="DR22" s="1130">
        <f ca="1">DS22*(_xlfn.XLOOKUP(DR$3,TabCalc[Ticker],TabCalc[M])+DT22)</f>
        <v>0</v>
      </c>
      <c r="DS22" s="1132"/>
      <c r="DT22" s="1127"/>
      <c r="DU22" s="1130">
        <f ca="1">DV22*(_xlfn.XLOOKUP(DU$3,TabCalc[Ticker],TabCalc[M])+DW22)</f>
        <v>0</v>
      </c>
      <c r="DV22" s="1132"/>
      <c r="DW22" s="1127"/>
      <c r="DX22" s="1130">
        <f ca="1">DY22*(_xlfn.XLOOKUP(DX$3,TabCalc[Ticker],TabCalc[M])+DZ22)</f>
        <v>0</v>
      </c>
      <c r="DY22" s="1132"/>
      <c r="DZ22" s="1127"/>
      <c r="EA22" s="1130">
        <f ca="1">EB22*(_xlfn.XLOOKUP(EA$3,TabCalc[Ticker],TabCalc[M])+EC22)</f>
        <v>0</v>
      </c>
      <c r="EB22" s="1132"/>
      <c r="EC22" s="1127"/>
      <c r="ED22" s="1130">
        <f ca="1">EE22*(_xlfn.XLOOKUP(ED$3,TabCalc[Ticker],TabCalc[M])+EF22)</f>
        <v>0</v>
      </c>
      <c r="EE22" s="1132"/>
      <c r="EF22" s="1127"/>
      <c r="EG22" s="1130">
        <f ca="1">EH22*(_xlfn.XLOOKUP(EG$3,TabCalc[Ticker],TabCalc[M])+EI22)</f>
        <v>0</v>
      </c>
      <c r="EH22" s="1132"/>
      <c r="EI22" s="1127"/>
      <c r="EJ22" s="1130" t="e">
        <f ca="1">EK22*(_xlfn.XLOOKUP(EJ$3,TabCalc[Ticker],TabCalc[M])+EL22)</f>
        <v>#N/A</v>
      </c>
      <c r="EK22" s="1132"/>
      <c r="EL22" s="1127"/>
      <c r="EM22" s="1130">
        <f ca="1">EN22*(_xlfn.XLOOKUP(EM$3,TabCalc[Ticker],TabCalc[M])+EO22)</f>
        <v>0</v>
      </c>
      <c r="EN22" s="1132"/>
      <c r="EO22" s="1127"/>
      <c r="EP22" s="1130">
        <f ca="1">EQ22*(_xlfn.XLOOKUP(EP$3,TabCalc[Ticker],TabCalc[M])+ER22)</f>
        <v>0</v>
      </c>
      <c r="EQ22" s="1132"/>
      <c r="ER22" s="1127"/>
      <c r="ES22" s="1130">
        <f ca="1">ET22*(_xlfn.XLOOKUP(ES$3,TabCalc[Ticker],TabCalc[M])+EU22)</f>
        <v>0</v>
      </c>
      <c r="ET22" s="1132"/>
      <c r="EU22" s="1127"/>
      <c r="EV22" s="1130">
        <f ca="1">EW22*(_xlfn.XLOOKUP(EV$3,TabCalc[Ticker],TabCalc[M])+EX22)</f>
        <v>0</v>
      </c>
      <c r="EW22" s="1132"/>
      <c r="EX22" s="1134"/>
      <c r="EY22" s="1130">
        <f ca="1">EZ22*(_xlfn.XLOOKUP(EY$3,TabCalc[Ticker],TabCalc[M])+FA22)</f>
        <v>0</v>
      </c>
      <c r="EZ22" s="1132"/>
      <c r="FA22" s="1134"/>
      <c r="FB22" s="1130">
        <f ca="1">FC22*(_xlfn.XLOOKUP(FB$3,TabCalc[Ticker],TabCalc[M])+FD22)</f>
        <v>0</v>
      </c>
      <c r="FC22" s="1132"/>
      <c r="FD22" s="1134"/>
      <c r="FE22" s="1130">
        <f ca="1">FF22*(_xlfn.XLOOKUP(FE$3,TabCalc[Ticker],TabCalc[M])+FG22)</f>
        <v>0</v>
      </c>
      <c r="FF22" s="1132"/>
      <c r="FG22" s="1127"/>
      <c r="FH22" s="1130">
        <f ca="1">FI22*(_xlfn.XLOOKUP(FH$3,TabCalc[Ticker],TabCalc[M])+FJ22)</f>
        <v>0</v>
      </c>
      <c r="FI22" s="1132"/>
      <c r="FJ22" s="1127"/>
      <c r="FK22" s="1130">
        <f ca="1">FL22*(_xlfn.XLOOKUP(FK$3,TabCalc[Ticker],TabCalc[M])+FM22)</f>
        <v>0</v>
      </c>
      <c r="FL22" s="1132"/>
      <c r="FM22" s="1127"/>
      <c r="FN22" s="1130">
        <f ca="1">FO22*(_xlfn.XLOOKUP(FN$3,TabCalc[Ticker],TabCalc[M])+FP22)</f>
        <v>0</v>
      </c>
      <c r="FO22" s="1132"/>
      <c r="FP22" s="1127"/>
      <c r="FQ22" s="1130">
        <f ca="1">FR22*(_xlfn.XLOOKUP(FQ$3,TabCalc[Ticker],TabCalc[M])+FS22)</f>
        <v>0</v>
      </c>
      <c r="FR22" s="1132"/>
      <c r="FS22" s="1127"/>
      <c r="FT22" s="1130">
        <f ca="1">FU22*(_xlfn.XLOOKUP(FT$3,TabCalc[Ticker],TabCalc[M])+FV22)</f>
        <v>0</v>
      </c>
      <c r="FU22" s="1132"/>
      <c r="FV22" s="1127"/>
      <c r="FW22" s="1130">
        <f ca="1">FX22*(_xlfn.XLOOKUP(FW$3,TabCalc[Ticker],TabCalc[M])+FY22)</f>
        <v>0</v>
      </c>
      <c r="FX22" s="1132"/>
      <c r="FY22" s="1127"/>
      <c r="FZ22" s="1130">
        <f ca="1">GA22*(_xlfn.XLOOKUP(FZ$3,TabCalc[Ticker],TabCalc[M])+GB22)</f>
        <v>0</v>
      </c>
      <c r="GA22" s="1132"/>
      <c r="GB22" s="1127"/>
      <c r="GC22" s="1130">
        <f ca="1">GD22*(_xlfn.XLOOKUP(GC$3,TabCalc[Ticker],TabCalc[M])+GE22)</f>
        <v>0</v>
      </c>
      <c r="GD22" s="1132"/>
      <c r="GE22" s="1127"/>
      <c r="GF22" s="1130">
        <f ca="1">GG22*(_xlfn.XLOOKUP(GF$3,TabCalc[Ticker],TabCalc[M])+GH22)</f>
        <v>0</v>
      </c>
      <c r="GG22" s="1132"/>
      <c r="GH22" s="1127"/>
      <c r="GI22" s="1130">
        <f ca="1">GJ22*(_xlfn.XLOOKUP(GI$3,TabCalc[Ticker],TabCalc[M])+GK22)</f>
        <v>0</v>
      </c>
      <c r="GJ22" s="1132"/>
      <c r="GK22" s="1127"/>
      <c r="GL22" s="1130">
        <f ca="1">GM22*(_xlfn.XLOOKUP(GL$3,TabCalc[Ticker],TabCalc[M])+GN22)</f>
        <v>0</v>
      </c>
      <c r="GM22" s="1132"/>
      <c r="GN22" s="1127"/>
      <c r="GO22" s="1130">
        <f ca="1">GP22*(_xlfn.XLOOKUP(GO$3,TabCalc[Ticker],TabCalc[M])+GQ22)</f>
        <v>0</v>
      </c>
      <c r="GP22" s="1132"/>
      <c r="GQ22" s="1127"/>
      <c r="GR22" s="1130">
        <f ca="1">GS22*(_xlfn.XLOOKUP(GR$3,TabCalc[Ticker],TabCalc[M])+GT22)</f>
        <v>0</v>
      </c>
      <c r="GS22" s="1132"/>
      <c r="GT22" s="1127"/>
      <c r="GU22" s="1130">
        <f ca="1">GV22*(_xlfn.XLOOKUP(GU$3,TabCalc[Ticker],TabCalc[M])+GW22)</f>
        <v>0</v>
      </c>
      <c r="GV22" s="1132"/>
      <c r="GW22" s="1127"/>
      <c r="GX22" s="1130">
        <f ca="1">GY22*(_xlfn.XLOOKUP(GX$3,TabCalc[Ticker],TabCalc[M])+GZ22)</f>
        <v>0</v>
      </c>
      <c r="GY22" s="1132"/>
      <c r="GZ22" s="1127"/>
      <c r="HA22" s="1130">
        <f ca="1">HB22*(_xlfn.XLOOKUP(HA$3,TabCalc[Ticker],TabCalc[M])+HC22)</f>
        <v>0</v>
      </c>
      <c r="HB22" s="1132"/>
      <c r="HC22" s="1127"/>
      <c r="HD22" s="1130">
        <f ca="1">HE22*(_xlfn.XLOOKUP(HD$3,TabCalc[Ticker],TabCalc[M])+HF22)</f>
        <v>0</v>
      </c>
      <c r="HE22" s="1132"/>
      <c r="HF22" s="1127"/>
      <c r="HG22" s="1130">
        <f ca="1">HH22*(_xlfn.XLOOKUP(HG$3,TabCalc[Ticker],TabCalc[M])+HI22)</f>
        <v>0</v>
      </c>
      <c r="HH22" s="1132"/>
      <c r="HI22" s="1127"/>
      <c r="HJ22" s="1130">
        <f ca="1">HK22*(_xlfn.XLOOKUP(HJ$3,TabCalc[Ticker],TabCalc[M])+HL22)</f>
        <v>0</v>
      </c>
      <c r="HK22" s="1132"/>
      <c r="HL22" s="1127"/>
      <c r="HM22" s="1130">
        <f ca="1">HN22*(_xlfn.XLOOKUP(HM$3,TabCalc[Ticker],TabCalc[M])+HO22)</f>
        <v>0</v>
      </c>
      <c r="HN22" s="1132"/>
      <c r="HO22" s="1127"/>
      <c r="HP22" s="1130">
        <f ca="1">HQ22*(_xlfn.XLOOKUP(HP$3,TabCalc[Ticker],TabCalc[M])+HR22)</f>
        <v>0</v>
      </c>
      <c r="HQ22" s="1132"/>
      <c r="HR22" s="1127"/>
      <c r="HS22" s="1130">
        <f ca="1">HT22*(_xlfn.XLOOKUP(HS$3,TabCalc[Ticker],TabCalc[M])+HU22)</f>
        <v>0</v>
      </c>
      <c r="HT22" s="1132"/>
      <c r="HU22" s="1127"/>
      <c r="HV22" s="1130">
        <f ca="1">HW22*(_xlfn.XLOOKUP(HV$3,TabCalc[Ticker],TabCalc[M])+HX22)</f>
        <v>0</v>
      </c>
      <c r="HW22" s="1132"/>
      <c r="HX22" s="1127"/>
      <c r="HY22" s="1130">
        <f ca="1">HZ22*(_xlfn.XLOOKUP(HY$3,TabCalc[Ticker],TabCalc[M])+IA22)</f>
        <v>0</v>
      </c>
      <c r="HZ22" s="1132"/>
      <c r="IA22" s="1127"/>
      <c r="IB22" s="1130">
        <f ca="1">IC22*(_xlfn.XLOOKUP(IB$3,TabCalc[Ticker],TabCalc[M])+ID22)</f>
        <v>0</v>
      </c>
      <c r="IC22" s="1132"/>
      <c r="ID22" s="1127"/>
      <c r="IE22" s="1130">
        <f ca="1">IF22*(_xlfn.XLOOKUP(IE$3,TabCalc[Ticker],TabCalc[M])+IG22)</f>
        <v>0</v>
      </c>
      <c r="IF22" s="1132"/>
      <c r="IG22" s="1127"/>
      <c r="IH22" s="1130">
        <f ca="1">II22*(_xlfn.XLOOKUP(IH$3,TabCalc[Ticker],TabCalc[M])+IJ22)</f>
        <v>0</v>
      </c>
      <c r="II22" s="1132"/>
      <c r="IJ22" s="1127"/>
      <c r="IK22" s="1130">
        <f ca="1">IL22*(_xlfn.XLOOKUP(IK$3,TabCalc[Ticker],TabCalc[M])+IM22)</f>
        <v>0</v>
      </c>
      <c r="IL22" s="1132"/>
      <c r="IM22" s="1127"/>
      <c r="IN22" s="1130">
        <f ca="1">IO22*(_xlfn.XLOOKUP(IN$3,TabCalc[Ticker],TabCalc[M])+IP22)</f>
        <v>0</v>
      </c>
      <c r="IO22" s="1132"/>
      <c r="IP22" s="1127"/>
      <c r="IQ22" s="1130">
        <f ca="1">IR22*(_xlfn.XLOOKUP(IQ$3,TabCalc[Ticker],TabCalc[M]))</f>
        <v>0</v>
      </c>
      <c r="IR22" s="1132"/>
      <c r="IS22" s="1127"/>
      <c r="IT22" s="1130">
        <f ca="1">IU22*(_xlfn.XLOOKUP(IT$3,TabCalc[Ticker],TabCalc[M])+IV22)</f>
        <v>0</v>
      </c>
      <c r="IU22" s="1132"/>
      <c r="IV22" s="1127"/>
      <c r="IW22" s="1130">
        <f ca="1">IX22*(_xlfn.XLOOKUP(IW$3,TabCalc[Ticker],TabCalc[M])+IY22)</f>
        <v>0</v>
      </c>
      <c r="IX22" s="1132"/>
      <c r="IY22" s="1127"/>
      <c r="IZ22" s="1130">
        <f ca="1">JA22*(_xlfn.XLOOKUP(IZ$3,TabCalc[Ticker],TabCalc[M])+JB22)</f>
        <v>0</v>
      </c>
      <c r="JA22" s="1132"/>
      <c r="JB22" s="1127"/>
      <c r="JC22" s="1130">
        <f ca="1">JD22*(_xlfn.XLOOKUP(JC$3,TabCalc[Ticker],TabCalc[M])+JE22)</f>
        <v>0</v>
      </c>
      <c r="JD22" s="1132"/>
      <c r="JE22" s="1127"/>
      <c r="JF22" s="1130">
        <f ca="1">JG22*(_xlfn.XLOOKUP(JF$3,TabCalc[Ticker],TabCalc[M])+JH22)</f>
        <v>0</v>
      </c>
      <c r="JG22" s="1132"/>
      <c r="JH22" s="1127"/>
      <c r="JI22" s="1130">
        <f ca="1">JJ22*(_xlfn.XLOOKUP(JI$3,TabCalc[Ticker],TabCalc[M])+JK22)</f>
        <v>0</v>
      </c>
      <c r="JJ22" s="1132"/>
      <c r="JK22" s="1127"/>
      <c r="JL22" s="1130">
        <f ca="1">JM22*(_xlfn.XLOOKUP(JL$3,TabCalc[Ticker],TabCalc[M])+JN22)</f>
        <v>0</v>
      </c>
      <c r="JM22" s="1132"/>
      <c r="JN22" s="1127"/>
      <c r="JO22" s="1130">
        <f ca="1">JP22*(_xlfn.XLOOKUP(JO$3,TabCalc[Ticker],TabCalc[M])+JQ22)</f>
        <v>0</v>
      </c>
      <c r="JP22" s="1132"/>
      <c r="JQ22" s="1127"/>
      <c r="JR22" s="1130">
        <f ca="1">JS22*(_xlfn.XLOOKUP(JR$3,TabCalc[Ticker],TabCalc[M])+JT22)</f>
        <v>0</v>
      </c>
      <c r="JS22" s="1132"/>
      <c r="JT22" s="1127"/>
      <c r="JU22" s="1130">
        <f ca="1">JV22*(_xlfn.XLOOKUP(JU$3,TabCalc[Ticker],TabCalc[M])+JW22)</f>
        <v>0</v>
      </c>
      <c r="JV22" s="1137"/>
      <c r="JW22" s="1127"/>
      <c r="JX22" s="1130">
        <f ca="1">JY22*(_xlfn.XLOOKUP(JX$3,TabCalc[Ticker],TabCalc[M])+JZ22)</f>
        <v>0</v>
      </c>
      <c r="JY22" s="1132"/>
      <c r="JZ22" s="1134"/>
    </row>
    <row r="23" spans="1:286" x14ac:dyDescent="0.3">
      <c r="A23">
        <v>20</v>
      </c>
      <c r="B23" s="1130">
        <f ca="1">C23*(_xlfn.XLOOKUP(B$3,TabCalc[Ticker],TabCalc[M])+D23)</f>
        <v>0</v>
      </c>
      <c r="C23" s="1133"/>
      <c r="D23" s="1127"/>
      <c r="E23" s="1130">
        <f ca="1">F23*(_xlfn.XLOOKUP(E$3,TabCalc[Ticker],TabCalc[M])+G23)</f>
        <v>0</v>
      </c>
      <c r="F23" s="1132"/>
      <c r="G23" s="1127"/>
      <c r="H23" s="1130">
        <f ca="1">I23*(_xlfn.XLOOKUP(H$3,TabCalc[Ticker],TabCalc[M])+J23)</f>
        <v>0</v>
      </c>
      <c r="I23" s="1133"/>
      <c r="J23" s="1127"/>
      <c r="K23" s="1130">
        <f ca="1">L23*(_xlfn.XLOOKUP(K$3,TabCalc[Ticker],TabCalc[M])+M23)</f>
        <v>0</v>
      </c>
      <c r="L23" s="1133"/>
      <c r="M23" s="1127"/>
      <c r="N23" s="1130">
        <f ca="1">O23*(_xlfn.XLOOKUP(N$3,TabCalc[Ticker],TabCalc[M])+P23)</f>
        <v>0</v>
      </c>
      <c r="O23" s="1132"/>
      <c r="P23" s="1127"/>
      <c r="Q23" s="1130">
        <f ca="1">R23*(_xlfn.XLOOKUP(Q$3,TabCalc[Ticker],TabCalc[M])+S23)</f>
        <v>0</v>
      </c>
      <c r="R23" s="1133"/>
      <c r="S23" s="1127"/>
      <c r="T23" s="1130">
        <f ca="1">U23*(_xlfn.XLOOKUP(T$3,TabCalc[Ticker],TabCalc[M])+V23)</f>
        <v>0</v>
      </c>
      <c r="U23" s="1133"/>
      <c r="V23" s="1128"/>
      <c r="W23" s="1130">
        <f ca="1">X23*(_xlfn.XLOOKUP(W$3,TabCalc[Ticker],TabCalc[M])+Y23)</f>
        <v>0</v>
      </c>
      <c r="X23" s="1133"/>
      <c r="Y23" s="1127"/>
      <c r="Z23" s="1130">
        <f ca="1">AA23*(_xlfn.XLOOKUP(Z$3,TabCalc[Ticker],TabCalc[M])+AB23)</f>
        <v>0</v>
      </c>
      <c r="AA23" s="1133"/>
      <c r="AB23" s="1127"/>
      <c r="AC23" s="1130">
        <f ca="1">AD23*(_xlfn.XLOOKUP(AC$3,TabCalc[Ticker],TabCalc[M])+AE23)</f>
        <v>0</v>
      </c>
      <c r="AD23" s="1132"/>
      <c r="AE23" s="1127"/>
      <c r="AF23" s="1130">
        <f ca="1">AG23*(_xlfn.XLOOKUP(AF$3,TabCalc[Ticker],TabCalc[M])+AH23)</f>
        <v>0</v>
      </c>
      <c r="AG23" s="1132"/>
      <c r="AH23" s="1127"/>
      <c r="AI23" s="1130">
        <f ca="1">AJ23*(_xlfn.XLOOKUP(AI$3,TabCalc[Ticker],TabCalc[M])+AK23)</f>
        <v>0</v>
      </c>
      <c r="AJ23" s="1132"/>
      <c r="AK23" s="1127"/>
      <c r="AL23" s="1130">
        <f ca="1">AM23*(_xlfn.XLOOKUP(AL$3,TabCalc[Ticker],TabCalc[M])+AN23)</f>
        <v>0</v>
      </c>
      <c r="AM23" s="1132"/>
      <c r="AN23" s="1127"/>
      <c r="AO23" s="1130">
        <f ca="1">AP23*(_xlfn.XLOOKUP(AO$3,TabCalc[Ticker],TabCalc[M])+AQ23)</f>
        <v>0</v>
      </c>
      <c r="AP23" s="1132"/>
      <c r="AQ23" s="1127"/>
      <c r="AR23" s="1130">
        <f ca="1">AS23*(_xlfn.XLOOKUP(AR$3,TabCalc[Ticker],TabCalc[M])+AT23)</f>
        <v>0</v>
      </c>
      <c r="AS23" s="1132"/>
      <c r="AT23" s="1127"/>
      <c r="AU23" s="1130">
        <f ca="1">AV23*(_xlfn.XLOOKUP(AU$3,TabCalc[Ticker],TabCalc[M])+AW23)</f>
        <v>0</v>
      </c>
      <c r="AV23" s="1132"/>
      <c r="AW23" s="1127"/>
      <c r="AX23" s="1130">
        <f ca="1">AY23*(_xlfn.XLOOKUP(AX$3,TabCalc[Ticker],TabCalc[M])+AZ23)</f>
        <v>0</v>
      </c>
      <c r="AY23" s="1132"/>
      <c r="AZ23" s="1127"/>
      <c r="BA23" s="1130">
        <f ca="1">BB23*(_xlfn.XLOOKUP(BA$3,TabCalc[Ticker],TabCalc[M])+BC23)</f>
        <v>0</v>
      </c>
      <c r="BB23" s="1132"/>
      <c r="BC23" s="1127"/>
      <c r="BD23" s="1130">
        <f ca="1">BE23*(_xlfn.XLOOKUP(BD$3,TabCalc[Ticker],TabCalc[M])+BF23)</f>
        <v>0</v>
      </c>
      <c r="BE23" s="1132"/>
      <c r="BF23" s="1127"/>
      <c r="BG23" s="1130">
        <f ca="1">BH23*(_xlfn.XLOOKUP(BG$3,TabCalc[Ticker],TabCalc[M])+BI23)</f>
        <v>0</v>
      </c>
      <c r="BH23" s="1132"/>
      <c r="BI23" s="1127"/>
      <c r="BJ23" s="1130">
        <f ca="1">BK23*(_xlfn.XLOOKUP(BJ$3,TabCalc[Ticker],TabCalc[M])+BL23)</f>
        <v>0</v>
      </c>
      <c r="BK23" s="1132"/>
      <c r="BL23" s="1127"/>
      <c r="BM23" s="1130">
        <f ca="1">BN23*(_xlfn.XLOOKUP(BM$3,TabCalc[Ticker],TabCalc[M])+BO23)</f>
        <v>0</v>
      </c>
      <c r="BN23" s="1132"/>
      <c r="BO23" s="1127"/>
      <c r="BP23" s="1130">
        <f ca="1">BQ23*(_xlfn.XLOOKUP(BP$3,TabCalc[Ticker],TabCalc[M])+BR23)</f>
        <v>0</v>
      </c>
      <c r="BQ23" s="1132"/>
      <c r="BR23" s="1127"/>
      <c r="BS23" s="1130">
        <f ca="1">BT23*(_xlfn.XLOOKUP(BS$3,TabCalc[Ticker],TabCalc[M])+BU23)</f>
        <v>0</v>
      </c>
      <c r="BT23" s="1132"/>
      <c r="BU23" s="1127"/>
      <c r="BV23" s="1130">
        <f ca="1">BW23*(_xlfn.XLOOKUP(BV$3,TabCalc[Ticker],TabCalc[M])+BX23)</f>
        <v>0</v>
      </c>
      <c r="BW23" s="1132"/>
      <c r="BX23" s="1127"/>
      <c r="BY23" s="1130">
        <f ca="1">BZ23*(_xlfn.XLOOKUP(BY$3,TabCalc[Ticker],TabCalc[M])+CA23)</f>
        <v>0</v>
      </c>
      <c r="BZ23" s="1132"/>
      <c r="CA23" s="1127"/>
      <c r="CB23" s="1130">
        <f ca="1">CC23*(_xlfn.XLOOKUP(CB$3,TabCalc[Ticker],TabCalc[M])+CD23)</f>
        <v>0</v>
      </c>
      <c r="CC23" s="1132"/>
      <c r="CD23" s="1127"/>
      <c r="CE23" s="1130">
        <f ca="1">CF23*(_xlfn.XLOOKUP(CE$3,TabCalc[Ticker],TabCalc[M])+CG23)</f>
        <v>0</v>
      </c>
      <c r="CF23" s="1132"/>
      <c r="CG23" s="1127"/>
      <c r="CH23" s="1130">
        <f ca="1">CI23*(_xlfn.XLOOKUP(CH$3,TabCalc[Ticker],TabCalc[M])+CJ23)</f>
        <v>0</v>
      </c>
      <c r="CI23" s="1132"/>
      <c r="CJ23" s="1127"/>
      <c r="CK23" s="1130">
        <f ca="1">CL23*(_xlfn.XLOOKUP(CK$3,TabCalc[Ticker],TabCalc[M])+CM23)</f>
        <v>0</v>
      </c>
      <c r="CL23" s="1132"/>
      <c r="CM23" s="1127"/>
      <c r="CN23" s="1130">
        <f ca="1">CO23*(_xlfn.XLOOKUP(CN$3,TabCalc[Ticker],TabCalc[M])+CP23)</f>
        <v>0</v>
      </c>
      <c r="CO23" s="1132"/>
      <c r="CP23" s="1127"/>
      <c r="CQ23" s="1130">
        <f ca="1">CR23*(_xlfn.XLOOKUP(CQ$3,TabCalc[Ticker],TabCalc[M])+CS23)</f>
        <v>0</v>
      </c>
      <c r="CR23" s="1132"/>
      <c r="CS23" s="1127"/>
      <c r="CT23" s="1130">
        <f ca="1">CU23*(_xlfn.XLOOKUP(CT$3,TabCalc[Ticker],TabCalc[M])+CV23)</f>
        <v>0</v>
      </c>
      <c r="CU23" s="1132"/>
      <c r="CV23" s="1127"/>
      <c r="CW23" s="1130">
        <f ca="1">CX23*(_xlfn.XLOOKUP(CW$3,TabCalc[Ticker],TabCalc[M])+CY23)</f>
        <v>0</v>
      </c>
      <c r="CX23" s="1132"/>
      <c r="CY23" s="1127"/>
      <c r="CZ23" s="1130">
        <f ca="1">DA23*(_xlfn.XLOOKUP(CZ$3,TabCalc[Ticker],TabCalc[M])+DB23)</f>
        <v>0</v>
      </c>
      <c r="DA23" s="1132"/>
      <c r="DB23" s="1127"/>
      <c r="DC23" s="1130">
        <f ca="1">DD23*(_xlfn.XLOOKUP(DC$3,TabCalc[Ticker],TabCalc[M])+DE23)</f>
        <v>0</v>
      </c>
      <c r="DD23" s="1132"/>
      <c r="DE23" s="1127"/>
      <c r="DF23" s="1130">
        <f ca="1">DG23*(_xlfn.XLOOKUP(DF$3,TabCalc[Ticker],TabCalc[M])+DH23)</f>
        <v>0</v>
      </c>
      <c r="DG23" s="1132"/>
      <c r="DH23" s="1127"/>
      <c r="DI23" s="1130">
        <f ca="1">DJ23*(_xlfn.XLOOKUP(DI$3,TabCalc[Ticker],TabCalc[M])+DK23)</f>
        <v>0</v>
      </c>
      <c r="DJ23" s="1132"/>
      <c r="DK23" s="1127"/>
      <c r="DL23" s="1130">
        <f ca="1">DM23*(_xlfn.XLOOKUP(DL$3,TabCalc[Ticker],TabCalc[M])+DN23)</f>
        <v>0</v>
      </c>
      <c r="DM23" s="1132"/>
      <c r="DN23" s="1127"/>
      <c r="DO23" s="1130">
        <f ca="1">DP23*(_xlfn.XLOOKUP(DO$3,TabCalc[Ticker],TabCalc[M])+DQ23)</f>
        <v>0</v>
      </c>
      <c r="DP23" s="1132"/>
      <c r="DQ23" s="1127"/>
      <c r="DR23" s="1130">
        <f ca="1">DS23*(_xlfn.XLOOKUP(DR$3,TabCalc[Ticker],TabCalc[M])+DT23)</f>
        <v>0</v>
      </c>
      <c r="DS23" s="1132"/>
      <c r="DT23" s="1127"/>
      <c r="DU23" s="1130">
        <f ca="1">DV23*(_xlfn.XLOOKUP(DU$3,TabCalc[Ticker],TabCalc[M])+DW23)</f>
        <v>0</v>
      </c>
      <c r="DV23" s="1132"/>
      <c r="DW23" s="1127"/>
      <c r="DX23" s="1130">
        <f ca="1">DY23*(_xlfn.XLOOKUP(DX$3,TabCalc[Ticker],TabCalc[M])+DZ23)</f>
        <v>0</v>
      </c>
      <c r="DY23" s="1132"/>
      <c r="DZ23" s="1127"/>
      <c r="EA23" s="1130">
        <f ca="1">EB23*(_xlfn.XLOOKUP(EA$3,TabCalc[Ticker],TabCalc[M])+EC23)</f>
        <v>0</v>
      </c>
      <c r="EB23" s="1132"/>
      <c r="EC23" s="1127"/>
      <c r="ED23" s="1130">
        <f ca="1">EE23*(_xlfn.XLOOKUP(ED$3,TabCalc[Ticker],TabCalc[M])+EF23)</f>
        <v>0</v>
      </c>
      <c r="EE23" s="1132"/>
      <c r="EF23" s="1127"/>
      <c r="EG23" s="1130">
        <f ca="1">EH23*(_xlfn.XLOOKUP(EG$3,TabCalc[Ticker],TabCalc[M])+EI23)</f>
        <v>0</v>
      </c>
      <c r="EH23" s="1132"/>
      <c r="EI23" s="1127"/>
      <c r="EJ23" s="1130" t="e">
        <f ca="1">EK23*(_xlfn.XLOOKUP(EJ$3,TabCalc[Ticker],TabCalc[M])+EL23)</f>
        <v>#N/A</v>
      </c>
      <c r="EK23" s="1132"/>
      <c r="EL23" s="1127"/>
      <c r="EM23" s="1130">
        <f ca="1">EN23*(_xlfn.XLOOKUP(EM$3,TabCalc[Ticker],TabCalc[M])+EO23)</f>
        <v>0</v>
      </c>
      <c r="EN23" s="1132"/>
      <c r="EO23" s="1127"/>
      <c r="EP23" s="1130">
        <f ca="1">EQ23*(_xlfn.XLOOKUP(EP$3,TabCalc[Ticker],TabCalc[M])+ER23)</f>
        <v>0</v>
      </c>
      <c r="EQ23" s="1132"/>
      <c r="ER23" s="1127"/>
      <c r="ES23" s="1130">
        <f ca="1">ET23*(_xlfn.XLOOKUP(ES$3,TabCalc[Ticker],TabCalc[M])+EU23)</f>
        <v>0</v>
      </c>
      <c r="ET23" s="1132"/>
      <c r="EU23" s="1127"/>
      <c r="EV23" s="1130">
        <f ca="1">EW23*(_xlfn.XLOOKUP(EV$3,TabCalc[Ticker],TabCalc[M])+EX23)</f>
        <v>0</v>
      </c>
      <c r="EW23" s="1132"/>
      <c r="EX23" s="1134"/>
      <c r="EY23" s="1130">
        <f ca="1">EZ23*(_xlfn.XLOOKUP(EY$3,TabCalc[Ticker],TabCalc[M])+FA23)</f>
        <v>0</v>
      </c>
      <c r="EZ23" s="1132"/>
      <c r="FA23" s="1134"/>
      <c r="FB23" s="1130">
        <f ca="1">FC23*(_xlfn.XLOOKUP(FB$3,TabCalc[Ticker],TabCalc[M])+FD23)</f>
        <v>0</v>
      </c>
      <c r="FC23" s="1132"/>
      <c r="FD23" s="1134"/>
      <c r="FE23" s="1130">
        <f ca="1">FF23*(_xlfn.XLOOKUP(FE$3,TabCalc[Ticker],TabCalc[M])+FG23)</f>
        <v>0</v>
      </c>
      <c r="FF23" s="1132"/>
      <c r="FG23" s="1127"/>
      <c r="FH23" s="1130">
        <f ca="1">FI23*(_xlfn.XLOOKUP(FH$3,TabCalc[Ticker],TabCalc[M])+FJ23)</f>
        <v>0</v>
      </c>
      <c r="FI23" s="1132"/>
      <c r="FJ23" s="1127"/>
      <c r="FK23" s="1130">
        <f ca="1">FL23*(_xlfn.XLOOKUP(FK$3,TabCalc[Ticker],TabCalc[M])+FM23)</f>
        <v>0</v>
      </c>
      <c r="FL23" s="1132"/>
      <c r="FM23" s="1127"/>
      <c r="FN23" s="1130">
        <f ca="1">FO23*(_xlfn.XLOOKUP(FN$3,TabCalc[Ticker],TabCalc[M])+FP23)</f>
        <v>0</v>
      </c>
      <c r="FO23" s="1132"/>
      <c r="FP23" s="1127"/>
      <c r="FQ23" s="1130">
        <f ca="1">FR23*(_xlfn.XLOOKUP(FQ$3,TabCalc[Ticker],TabCalc[M])+FS23)</f>
        <v>0</v>
      </c>
      <c r="FR23" s="1132"/>
      <c r="FS23" s="1127"/>
      <c r="FT23" s="1130">
        <f ca="1">FU23*(_xlfn.XLOOKUP(FT$3,TabCalc[Ticker],TabCalc[M])+FV23)</f>
        <v>0</v>
      </c>
      <c r="FU23" s="1132"/>
      <c r="FV23" s="1127"/>
      <c r="FW23" s="1130">
        <f ca="1">FX23*(_xlfn.XLOOKUP(FW$3,TabCalc[Ticker],TabCalc[M])+FY23)</f>
        <v>0</v>
      </c>
      <c r="FX23" s="1132"/>
      <c r="FY23" s="1127"/>
      <c r="FZ23" s="1130">
        <f ca="1">GA23*(_xlfn.XLOOKUP(FZ$3,TabCalc[Ticker],TabCalc[M])+GB23)</f>
        <v>0</v>
      </c>
      <c r="GA23" s="1132"/>
      <c r="GB23" s="1127"/>
      <c r="GC23" s="1130">
        <f ca="1">GD23*(_xlfn.XLOOKUP(GC$3,TabCalc[Ticker],TabCalc[M])+GE23)</f>
        <v>0</v>
      </c>
      <c r="GD23" s="1132"/>
      <c r="GE23" s="1127"/>
      <c r="GF23" s="1130">
        <f ca="1">GG23*(_xlfn.XLOOKUP(GF$3,TabCalc[Ticker],TabCalc[M])+GH23)</f>
        <v>0</v>
      </c>
      <c r="GG23" s="1132"/>
      <c r="GH23" s="1127"/>
      <c r="GI23" s="1130">
        <f ca="1">GJ23*(_xlfn.XLOOKUP(GI$3,TabCalc[Ticker],TabCalc[M])+GK23)</f>
        <v>0</v>
      </c>
      <c r="GJ23" s="1132"/>
      <c r="GK23" s="1127"/>
      <c r="GL23" s="1130">
        <f ca="1">GM23*(_xlfn.XLOOKUP(GL$3,TabCalc[Ticker],TabCalc[M])+GN23)</f>
        <v>0</v>
      </c>
      <c r="GM23" s="1132"/>
      <c r="GN23" s="1127"/>
      <c r="GO23" s="1130">
        <f ca="1">GP23*(_xlfn.XLOOKUP(GO$3,TabCalc[Ticker],TabCalc[M])+GQ23)</f>
        <v>0</v>
      </c>
      <c r="GP23" s="1132"/>
      <c r="GQ23" s="1127"/>
      <c r="GR23" s="1130">
        <f ca="1">GS23*(_xlfn.XLOOKUP(GR$3,TabCalc[Ticker],TabCalc[M])+GT23)</f>
        <v>0</v>
      </c>
      <c r="GS23" s="1132"/>
      <c r="GT23" s="1127"/>
      <c r="GU23" s="1130">
        <f ca="1">GV23*(_xlfn.XLOOKUP(GU$3,TabCalc[Ticker],TabCalc[M])+GW23)</f>
        <v>0</v>
      </c>
      <c r="GV23" s="1132"/>
      <c r="GW23" s="1127"/>
      <c r="GX23" s="1130">
        <f ca="1">GY23*(_xlfn.XLOOKUP(GX$3,TabCalc[Ticker],TabCalc[M])+GZ23)</f>
        <v>0</v>
      </c>
      <c r="GY23" s="1132"/>
      <c r="GZ23" s="1127"/>
      <c r="HA23" s="1130">
        <f ca="1">HB23*(_xlfn.XLOOKUP(HA$3,TabCalc[Ticker],TabCalc[M])+HC23)</f>
        <v>0</v>
      </c>
      <c r="HB23" s="1132"/>
      <c r="HC23" s="1127"/>
      <c r="HD23" s="1130">
        <f ca="1">HE23*(_xlfn.XLOOKUP(HD$3,TabCalc[Ticker],TabCalc[M])+HF23)</f>
        <v>0</v>
      </c>
      <c r="HE23" s="1132"/>
      <c r="HF23" s="1127"/>
      <c r="HG23" s="1130">
        <f ca="1">HH23*(_xlfn.XLOOKUP(HG$3,TabCalc[Ticker],TabCalc[M])+HI23)</f>
        <v>0</v>
      </c>
      <c r="HH23" s="1132"/>
      <c r="HI23" s="1127"/>
      <c r="HJ23" s="1130">
        <f ca="1">HK23*(_xlfn.XLOOKUP(HJ$3,TabCalc[Ticker],TabCalc[M])+HL23)</f>
        <v>0</v>
      </c>
      <c r="HK23" s="1132"/>
      <c r="HL23" s="1127"/>
      <c r="HM23" s="1130">
        <f ca="1">HN23*(_xlfn.XLOOKUP(HM$3,TabCalc[Ticker],TabCalc[M])+HO23)</f>
        <v>0</v>
      </c>
      <c r="HN23" s="1132"/>
      <c r="HO23" s="1127"/>
      <c r="HP23" s="1130">
        <f ca="1">HQ23*(_xlfn.XLOOKUP(HP$3,TabCalc[Ticker],TabCalc[M])+HR23)</f>
        <v>0</v>
      </c>
      <c r="HQ23" s="1132"/>
      <c r="HR23" s="1127"/>
      <c r="HS23" s="1130">
        <f ca="1">HT23*(_xlfn.XLOOKUP(HS$3,TabCalc[Ticker],TabCalc[M])+HU23)</f>
        <v>0</v>
      </c>
      <c r="HT23" s="1132"/>
      <c r="HU23" s="1127"/>
      <c r="HV23" s="1130">
        <f ca="1">HW23*(_xlfn.XLOOKUP(HV$3,TabCalc[Ticker],TabCalc[M])+HX23)</f>
        <v>0</v>
      </c>
      <c r="HW23" s="1132"/>
      <c r="HX23" s="1127"/>
      <c r="HY23" s="1130">
        <f ca="1">HZ23*(_xlfn.XLOOKUP(HY$3,TabCalc[Ticker],TabCalc[M])+IA23)</f>
        <v>0</v>
      </c>
      <c r="HZ23" s="1132"/>
      <c r="IA23" s="1127"/>
      <c r="IB23" s="1130">
        <f ca="1">IC23*(_xlfn.XLOOKUP(IB$3,TabCalc[Ticker],TabCalc[M])+ID23)</f>
        <v>0</v>
      </c>
      <c r="IC23" s="1132"/>
      <c r="ID23" s="1127"/>
      <c r="IE23" s="1130">
        <f ca="1">IF23*(_xlfn.XLOOKUP(IE$3,TabCalc[Ticker],TabCalc[M])+IG23)</f>
        <v>0</v>
      </c>
      <c r="IF23" s="1132"/>
      <c r="IG23" s="1127"/>
      <c r="IH23" s="1130">
        <f ca="1">II23*(_xlfn.XLOOKUP(IH$3,TabCalc[Ticker],TabCalc[M])+IJ23)</f>
        <v>0</v>
      </c>
      <c r="II23" s="1132"/>
      <c r="IJ23" s="1127"/>
      <c r="IK23" s="1130">
        <f ca="1">IL23*(_xlfn.XLOOKUP(IK$3,TabCalc[Ticker],TabCalc[M])+IM23)</f>
        <v>0</v>
      </c>
      <c r="IL23" s="1132"/>
      <c r="IM23" s="1127"/>
      <c r="IN23" s="1130">
        <f ca="1">IO23*(_xlfn.XLOOKUP(IN$3,TabCalc[Ticker],TabCalc[M])+IP23)</f>
        <v>0</v>
      </c>
      <c r="IO23" s="1132"/>
      <c r="IP23" s="1127"/>
      <c r="IQ23" s="1130">
        <f ca="1">IR23*(_xlfn.XLOOKUP(IQ$3,TabCalc[Ticker],TabCalc[M]))</f>
        <v>0</v>
      </c>
      <c r="IR23" s="1132"/>
      <c r="IS23" s="1127"/>
      <c r="IT23" s="1130">
        <f ca="1">IU23*(_xlfn.XLOOKUP(IT$3,TabCalc[Ticker],TabCalc[M])+IV23)</f>
        <v>0</v>
      </c>
      <c r="IU23" s="1132"/>
      <c r="IV23" s="1127"/>
      <c r="IW23" s="1130">
        <f ca="1">IX23*(_xlfn.XLOOKUP(IW$3,TabCalc[Ticker],TabCalc[M])+IY23)</f>
        <v>0</v>
      </c>
      <c r="IX23" s="1132"/>
      <c r="IY23" s="1127"/>
      <c r="IZ23" s="1130">
        <f ca="1">JA23*(_xlfn.XLOOKUP(IZ$3,TabCalc[Ticker],TabCalc[M])+JB23)</f>
        <v>0</v>
      </c>
      <c r="JA23" s="1132"/>
      <c r="JB23" s="1127"/>
      <c r="JC23" s="1130">
        <f ca="1">JD23*(_xlfn.XLOOKUP(JC$3,TabCalc[Ticker],TabCalc[M])+JE23)</f>
        <v>0</v>
      </c>
      <c r="JD23" s="1132"/>
      <c r="JE23" s="1127"/>
      <c r="JF23" s="1130">
        <f ca="1">JG23*(_xlfn.XLOOKUP(JF$3,TabCalc[Ticker],TabCalc[M])+JH23)</f>
        <v>0</v>
      </c>
      <c r="JG23" s="1132"/>
      <c r="JH23" s="1127"/>
      <c r="JI23" s="1130">
        <f ca="1">JJ23*(_xlfn.XLOOKUP(JI$3,TabCalc[Ticker],TabCalc[M])+JK23)</f>
        <v>0</v>
      </c>
      <c r="JJ23" s="1132"/>
      <c r="JK23" s="1127"/>
      <c r="JL23" s="1130">
        <f ca="1">JM23*(_xlfn.XLOOKUP(JL$3,TabCalc[Ticker],TabCalc[M])+JN23)</f>
        <v>0</v>
      </c>
      <c r="JM23" s="1132"/>
      <c r="JN23" s="1127"/>
      <c r="JO23" s="1130">
        <f ca="1">JP23*(_xlfn.XLOOKUP(JO$3,TabCalc[Ticker],TabCalc[M])+JQ23)</f>
        <v>0</v>
      </c>
      <c r="JP23" s="1132"/>
      <c r="JQ23" s="1127"/>
      <c r="JR23" s="1130">
        <f ca="1">JS23*(_xlfn.XLOOKUP(JR$3,TabCalc[Ticker],TabCalc[M])+JT23)</f>
        <v>0</v>
      </c>
      <c r="JS23" s="1132"/>
      <c r="JT23" s="1127"/>
      <c r="JU23" s="1130">
        <f ca="1">JV23*(_xlfn.XLOOKUP(JU$3,TabCalc[Ticker],TabCalc[M])+JW23)</f>
        <v>0</v>
      </c>
      <c r="JV23" s="1137"/>
      <c r="JW23" s="1127"/>
      <c r="JX23" s="1130">
        <f ca="1">JY23*(_xlfn.XLOOKUP(JX$3,TabCalc[Ticker],TabCalc[M])+JZ23)</f>
        <v>0</v>
      </c>
      <c r="JY23" s="1132"/>
      <c r="JZ23" s="1134"/>
    </row>
    <row r="24" spans="1:286" x14ac:dyDescent="0.3">
      <c r="A24">
        <v>21</v>
      </c>
      <c r="B24" s="1130">
        <f ca="1">C24*(_xlfn.XLOOKUP(B$3,TabCalc[Ticker],TabCalc[M])+D24)</f>
        <v>0</v>
      </c>
      <c r="C24" s="1132"/>
      <c r="D24" s="1127"/>
      <c r="E24" s="1130">
        <f ca="1">F24*(_xlfn.XLOOKUP(E$3,TabCalc[Ticker],TabCalc[M])+G24)</f>
        <v>0</v>
      </c>
      <c r="F24" s="1132"/>
      <c r="G24" s="1127"/>
      <c r="H24" s="1130">
        <f ca="1">I24*(_xlfn.XLOOKUP(H$3,TabCalc[Ticker],TabCalc[M])+J24)</f>
        <v>0</v>
      </c>
      <c r="I24" s="1132"/>
      <c r="J24" s="1127"/>
      <c r="K24" s="1130">
        <f ca="1">L24*(_xlfn.XLOOKUP(K$3,TabCalc[Ticker],TabCalc[M])+M24)</f>
        <v>0</v>
      </c>
      <c r="L24" s="1132"/>
      <c r="M24" s="1127"/>
      <c r="N24" s="1130">
        <f ca="1">O24*(_xlfn.XLOOKUP(N$3,TabCalc[Ticker],TabCalc[M])+P24)</f>
        <v>0</v>
      </c>
      <c r="O24" s="1132"/>
      <c r="P24" s="1127"/>
      <c r="Q24" s="1130">
        <f ca="1">R24*(_xlfn.XLOOKUP(Q$3,TabCalc[Ticker],TabCalc[M])+S24)</f>
        <v>0</v>
      </c>
      <c r="R24" s="1133"/>
      <c r="S24" s="1127"/>
      <c r="T24" s="1130">
        <f ca="1">U24*(_xlfn.XLOOKUP(T$3,TabCalc[Ticker],TabCalc[M])+V24)</f>
        <v>0</v>
      </c>
      <c r="U24" s="1133"/>
      <c r="V24" s="1128"/>
      <c r="W24" s="1130">
        <f ca="1">X24*(_xlfn.XLOOKUP(W$3,TabCalc[Ticker],TabCalc[M])+Y24)</f>
        <v>0</v>
      </c>
      <c r="X24" s="1132"/>
      <c r="Y24" s="1127"/>
      <c r="Z24" s="1130">
        <f ca="1">AA24*(_xlfn.XLOOKUP(Z$3,TabCalc[Ticker],TabCalc[M])+AB24)</f>
        <v>0</v>
      </c>
      <c r="AA24" s="1133"/>
      <c r="AB24" s="1127"/>
      <c r="AC24" s="1130">
        <f ca="1">AD24*(_xlfn.XLOOKUP(AC$3,TabCalc[Ticker],TabCalc[M])+AE24)</f>
        <v>0</v>
      </c>
      <c r="AD24" s="1132"/>
      <c r="AE24" s="1127"/>
      <c r="AF24" s="1130">
        <f ca="1">AG24*(_xlfn.XLOOKUP(AF$3,TabCalc[Ticker],TabCalc[M])+AH24)</f>
        <v>0</v>
      </c>
      <c r="AG24" s="1132"/>
      <c r="AH24" s="1127"/>
      <c r="AI24" s="1130">
        <f ca="1">AJ24*(_xlfn.XLOOKUP(AI$3,TabCalc[Ticker],TabCalc[M])+AK24)</f>
        <v>0</v>
      </c>
      <c r="AJ24" s="1132"/>
      <c r="AK24" s="1127"/>
      <c r="AL24" s="1130">
        <f ca="1">AM24*(_xlfn.XLOOKUP(AL$3,TabCalc[Ticker],TabCalc[M])+AN24)</f>
        <v>0</v>
      </c>
      <c r="AM24" s="1132"/>
      <c r="AN24" s="1127"/>
      <c r="AO24" s="1130">
        <f ca="1">AP24*(_xlfn.XLOOKUP(AO$3,TabCalc[Ticker],TabCalc[M])+AQ24)</f>
        <v>0</v>
      </c>
      <c r="AP24" s="1132"/>
      <c r="AQ24" s="1127"/>
      <c r="AR24" s="1130">
        <f ca="1">AS24*(_xlfn.XLOOKUP(AR$3,TabCalc[Ticker],TabCalc[M])+AT24)</f>
        <v>0</v>
      </c>
      <c r="AS24" s="1132"/>
      <c r="AT24" s="1127"/>
      <c r="AU24" s="1130">
        <f ca="1">AV24*(_xlfn.XLOOKUP(AU$3,TabCalc[Ticker],TabCalc[M])+AW24)</f>
        <v>0</v>
      </c>
      <c r="AV24" s="1132"/>
      <c r="AW24" s="1127"/>
      <c r="AX24" s="1130">
        <f ca="1">AY24*(_xlfn.XLOOKUP(AX$3,TabCalc[Ticker],TabCalc[M])+AZ24)</f>
        <v>0</v>
      </c>
      <c r="AY24" s="1132"/>
      <c r="AZ24" s="1127"/>
      <c r="BA24" s="1130">
        <f ca="1">BB24*(_xlfn.XLOOKUP(BA$3,TabCalc[Ticker],TabCalc[M])+BC24)</f>
        <v>0</v>
      </c>
      <c r="BB24" s="1132"/>
      <c r="BC24" s="1127"/>
      <c r="BD24" s="1130">
        <f ca="1">BE24*(_xlfn.XLOOKUP(BD$3,TabCalc[Ticker],TabCalc[M])+BF24)</f>
        <v>0</v>
      </c>
      <c r="BE24" s="1132"/>
      <c r="BF24" s="1127"/>
      <c r="BG24" s="1130">
        <f ca="1">BH24*(_xlfn.XLOOKUP(BG$3,TabCalc[Ticker],TabCalc[M])+BI24)</f>
        <v>0</v>
      </c>
      <c r="BH24" s="1132"/>
      <c r="BI24" s="1127"/>
      <c r="BJ24" s="1130">
        <f ca="1">BK24*(_xlfn.XLOOKUP(BJ$3,TabCalc[Ticker],TabCalc[M])+BL24)</f>
        <v>0</v>
      </c>
      <c r="BK24" s="1132"/>
      <c r="BL24" s="1127"/>
      <c r="BM24" s="1130">
        <f ca="1">BN24*(_xlfn.XLOOKUP(BM$3,TabCalc[Ticker],TabCalc[M])+BO24)</f>
        <v>0</v>
      </c>
      <c r="BN24" s="1132"/>
      <c r="BO24" s="1127"/>
      <c r="BP24" s="1130">
        <f ca="1">BQ24*(_xlfn.XLOOKUP(BP$3,TabCalc[Ticker],TabCalc[M])+BR24)</f>
        <v>0</v>
      </c>
      <c r="BQ24" s="1132"/>
      <c r="BR24" s="1127"/>
      <c r="BS24" s="1130">
        <f ca="1">BT24*(_xlfn.XLOOKUP(BS$3,TabCalc[Ticker],TabCalc[M])+BU24)</f>
        <v>0</v>
      </c>
      <c r="BT24" s="1132"/>
      <c r="BU24" s="1127"/>
      <c r="BV24" s="1130">
        <f ca="1">BW24*(_xlfn.XLOOKUP(BV$3,TabCalc[Ticker],TabCalc[M])+BX24)</f>
        <v>0</v>
      </c>
      <c r="BW24" s="1132"/>
      <c r="BX24" s="1127"/>
      <c r="BY24" s="1130">
        <f ca="1">BZ24*(_xlfn.XLOOKUP(BY$3,TabCalc[Ticker],TabCalc[M])+CA24)</f>
        <v>0</v>
      </c>
      <c r="BZ24" s="1132"/>
      <c r="CA24" s="1127"/>
      <c r="CB24" s="1130">
        <f ca="1">CC24*(_xlfn.XLOOKUP(CB$3,TabCalc[Ticker],TabCalc[M])+CD24)</f>
        <v>0</v>
      </c>
      <c r="CC24" s="1132"/>
      <c r="CD24" s="1127"/>
      <c r="CE24" s="1130">
        <f ca="1">CF24*(_xlfn.XLOOKUP(CE$3,TabCalc[Ticker],TabCalc[M])+CG24)</f>
        <v>0</v>
      </c>
      <c r="CF24" s="1132"/>
      <c r="CG24" s="1127"/>
      <c r="CH24" s="1130">
        <f ca="1">CI24*(_xlfn.XLOOKUP(CH$3,TabCalc[Ticker],TabCalc[M])+CJ24)</f>
        <v>0</v>
      </c>
      <c r="CI24" s="1132"/>
      <c r="CJ24" s="1127"/>
      <c r="CK24" s="1130">
        <f ca="1">CL24*(_xlfn.XLOOKUP(CK$3,TabCalc[Ticker],TabCalc[M])+CM24)</f>
        <v>0</v>
      </c>
      <c r="CL24" s="1132"/>
      <c r="CM24" s="1127"/>
      <c r="CN24" s="1130">
        <f ca="1">CO24*(_xlfn.XLOOKUP(CN$3,TabCalc[Ticker],TabCalc[M])+CP24)</f>
        <v>0</v>
      </c>
      <c r="CO24" s="1132"/>
      <c r="CP24" s="1127"/>
      <c r="CQ24" s="1130">
        <f ca="1">CR24*(_xlfn.XLOOKUP(CQ$3,TabCalc[Ticker],TabCalc[M])+CS24)</f>
        <v>0</v>
      </c>
      <c r="CR24" s="1132"/>
      <c r="CS24" s="1127"/>
      <c r="CT24" s="1130">
        <f ca="1">CU24*(_xlfn.XLOOKUP(CT$3,TabCalc[Ticker],TabCalc[M])+CV24)</f>
        <v>0</v>
      </c>
      <c r="CU24" s="1132"/>
      <c r="CV24" s="1127"/>
      <c r="CW24" s="1130">
        <f ca="1">CX24*(_xlfn.XLOOKUP(CW$3,TabCalc[Ticker],TabCalc[M])+CY24)</f>
        <v>0</v>
      </c>
      <c r="CX24" s="1132"/>
      <c r="CY24" s="1127"/>
      <c r="CZ24" s="1130">
        <f ca="1">DA24*(_xlfn.XLOOKUP(CZ$3,TabCalc[Ticker],TabCalc[M])+DB24)</f>
        <v>0</v>
      </c>
      <c r="DA24" s="1132"/>
      <c r="DB24" s="1127"/>
      <c r="DC24" s="1130">
        <f ca="1">DD24*(_xlfn.XLOOKUP(DC$3,TabCalc[Ticker],TabCalc[M])+DE24)</f>
        <v>0</v>
      </c>
      <c r="DD24" s="1132"/>
      <c r="DE24" s="1127"/>
      <c r="DF24" s="1130">
        <f ca="1">DG24*(_xlfn.XLOOKUP(DF$3,TabCalc[Ticker],TabCalc[M])+DH24)</f>
        <v>0</v>
      </c>
      <c r="DG24" s="1132"/>
      <c r="DH24" s="1127"/>
      <c r="DI24" s="1130">
        <f ca="1">DJ24*(_xlfn.XLOOKUP(DI$3,TabCalc[Ticker],TabCalc[M])+DK24)</f>
        <v>0</v>
      </c>
      <c r="DJ24" s="1132"/>
      <c r="DK24" s="1127"/>
      <c r="DL24" s="1130">
        <f ca="1">DM24*(_xlfn.XLOOKUP(DL$3,TabCalc[Ticker],TabCalc[M])+DN24)</f>
        <v>0</v>
      </c>
      <c r="DM24" s="1132"/>
      <c r="DN24" s="1127"/>
      <c r="DO24" s="1130">
        <f ca="1">DP24*(_xlfn.XLOOKUP(DO$3,TabCalc[Ticker],TabCalc[M])+DQ24)</f>
        <v>0</v>
      </c>
      <c r="DP24" s="1132"/>
      <c r="DQ24" s="1127"/>
      <c r="DR24" s="1130">
        <f ca="1">DS24*(_xlfn.XLOOKUP(DR$3,TabCalc[Ticker],TabCalc[M])+DT24)</f>
        <v>0</v>
      </c>
      <c r="DS24" s="1132"/>
      <c r="DT24" s="1127"/>
      <c r="DU24" s="1130">
        <f ca="1">DV24*(_xlfn.XLOOKUP(DU$3,TabCalc[Ticker],TabCalc[M])+DW24)</f>
        <v>0</v>
      </c>
      <c r="DV24" s="1132"/>
      <c r="DW24" s="1127"/>
      <c r="DX24" s="1130">
        <f ca="1">DY24*(_xlfn.XLOOKUP(DX$3,TabCalc[Ticker],TabCalc[M])+DZ24)</f>
        <v>0</v>
      </c>
      <c r="DY24" s="1132"/>
      <c r="DZ24" s="1127"/>
      <c r="EA24" s="1130">
        <f ca="1">EB24*(_xlfn.XLOOKUP(EA$3,TabCalc[Ticker],TabCalc[M])+EC24)</f>
        <v>0</v>
      </c>
      <c r="EB24" s="1132"/>
      <c r="EC24" s="1127"/>
      <c r="ED24" s="1130">
        <f ca="1">EE24*(_xlfn.XLOOKUP(ED$3,TabCalc[Ticker],TabCalc[M])+EF24)</f>
        <v>0</v>
      </c>
      <c r="EE24" s="1132"/>
      <c r="EF24" s="1127"/>
      <c r="EG24" s="1130">
        <f ca="1">EH24*(_xlfn.XLOOKUP(EG$3,TabCalc[Ticker],TabCalc[M])+EI24)</f>
        <v>0</v>
      </c>
      <c r="EH24" s="1132"/>
      <c r="EI24" s="1127"/>
      <c r="EJ24" s="1130" t="e">
        <f ca="1">EK24*(_xlfn.XLOOKUP(EJ$3,TabCalc[Ticker],TabCalc[M])+EL24)</f>
        <v>#N/A</v>
      </c>
      <c r="EK24" s="1132"/>
      <c r="EL24" s="1127"/>
      <c r="EM24" s="1130">
        <f ca="1">EN24*(_xlfn.XLOOKUP(EM$3,TabCalc[Ticker],TabCalc[M])+EO24)</f>
        <v>0</v>
      </c>
      <c r="EN24" s="1132"/>
      <c r="EO24" s="1127"/>
      <c r="EP24" s="1130">
        <f ca="1">EQ24*(_xlfn.XLOOKUP(EP$3,TabCalc[Ticker],TabCalc[M])+ER24)</f>
        <v>0</v>
      </c>
      <c r="EQ24" s="1132"/>
      <c r="ER24" s="1127"/>
      <c r="ES24" s="1130">
        <f ca="1">ET24*(_xlfn.XLOOKUP(ES$3,TabCalc[Ticker],TabCalc[M])+EU24)</f>
        <v>0</v>
      </c>
      <c r="ET24" s="1132"/>
      <c r="EU24" s="1127"/>
      <c r="EV24" s="1130">
        <f ca="1">EW24*(_xlfn.XLOOKUP(EV$3,TabCalc[Ticker],TabCalc[M])+EX24)</f>
        <v>0</v>
      </c>
      <c r="EW24" s="1132"/>
      <c r="EX24" s="1134"/>
      <c r="EY24" s="1130">
        <f ca="1">EZ24*(_xlfn.XLOOKUP(EY$3,TabCalc[Ticker],TabCalc[M])+FA24)</f>
        <v>0</v>
      </c>
      <c r="EZ24" s="1132"/>
      <c r="FA24" s="1134"/>
      <c r="FB24" s="1130">
        <f ca="1">FC24*(_xlfn.XLOOKUP(FB$3,TabCalc[Ticker],TabCalc[M])+FD24)</f>
        <v>0</v>
      </c>
      <c r="FC24" s="1132"/>
      <c r="FD24" s="1134"/>
      <c r="FE24" s="1130">
        <f ca="1">FF24*(_xlfn.XLOOKUP(FE$3,TabCalc[Ticker],TabCalc[M])+FG24)</f>
        <v>0</v>
      </c>
      <c r="FF24" s="1132"/>
      <c r="FG24" s="1127"/>
      <c r="FH24" s="1130">
        <f ca="1">FI24*(_xlfn.XLOOKUP(FH$3,TabCalc[Ticker],TabCalc[M])+FJ24)</f>
        <v>0</v>
      </c>
      <c r="FI24" s="1132"/>
      <c r="FJ24" s="1127"/>
      <c r="FK24" s="1130">
        <f ca="1">FL24*(_xlfn.XLOOKUP(FK$3,TabCalc[Ticker],TabCalc[M])+FM24)</f>
        <v>0</v>
      </c>
      <c r="FL24" s="1132"/>
      <c r="FM24" s="1127"/>
      <c r="FN24" s="1130">
        <f ca="1">FO24*(_xlfn.XLOOKUP(FN$3,TabCalc[Ticker],TabCalc[M])+FP24)</f>
        <v>0</v>
      </c>
      <c r="FO24" s="1132"/>
      <c r="FP24" s="1127"/>
      <c r="FQ24" s="1130">
        <f ca="1">FR24*(_xlfn.XLOOKUP(FQ$3,TabCalc[Ticker],TabCalc[M])+FS24)</f>
        <v>0</v>
      </c>
      <c r="FR24" s="1132"/>
      <c r="FS24" s="1127"/>
      <c r="FT24" s="1130">
        <f ca="1">FU24*(_xlfn.XLOOKUP(FT$3,TabCalc[Ticker],TabCalc[M])+FV24)</f>
        <v>0</v>
      </c>
      <c r="FU24" s="1132"/>
      <c r="FV24" s="1127"/>
      <c r="FW24" s="1130">
        <f ca="1">FX24*(_xlfn.XLOOKUP(FW$3,TabCalc[Ticker],TabCalc[M])+FY24)</f>
        <v>0</v>
      </c>
      <c r="FX24" s="1132"/>
      <c r="FY24" s="1127"/>
      <c r="FZ24" s="1130">
        <f ca="1">GA24*(_xlfn.XLOOKUP(FZ$3,TabCalc[Ticker],TabCalc[M])+GB24)</f>
        <v>0</v>
      </c>
      <c r="GA24" s="1132"/>
      <c r="GB24" s="1127"/>
      <c r="GC24" s="1130">
        <f ca="1">GD24*(_xlfn.XLOOKUP(GC$3,TabCalc[Ticker],TabCalc[M])+GE24)</f>
        <v>0</v>
      </c>
      <c r="GD24" s="1132"/>
      <c r="GE24" s="1127"/>
      <c r="GF24" s="1130">
        <f ca="1">GG24*(_xlfn.XLOOKUP(GF$3,TabCalc[Ticker],TabCalc[M])+GH24)</f>
        <v>0</v>
      </c>
      <c r="GG24" s="1132"/>
      <c r="GH24" s="1127"/>
      <c r="GI24" s="1130">
        <f ca="1">GJ24*(_xlfn.XLOOKUP(GI$3,TabCalc[Ticker],TabCalc[M])+GK24)</f>
        <v>0</v>
      </c>
      <c r="GJ24" s="1132"/>
      <c r="GK24" s="1127"/>
      <c r="GL24" s="1130">
        <f ca="1">GM24*(_xlfn.XLOOKUP(GL$3,TabCalc[Ticker],TabCalc[M])+GN24)</f>
        <v>0</v>
      </c>
      <c r="GM24" s="1132"/>
      <c r="GN24" s="1127"/>
      <c r="GO24" s="1130">
        <f ca="1">GP24*(_xlfn.XLOOKUP(GO$3,TabCalc[Ticker],TabCalc[M])+GQ24)</f>
        <v>0</v>
      </c>
      <c r="GP24" s="1132"/>
      <c r="GQ24" s="1127"/>
      <c r="GR24" s="1130">
        <f ca="1">GS24*(_xlfn.XLOOKUP(GR$3,TabCalc[Ticker],TabCalc[M])+GT24)</f>
        <v>0</v>
      </c>
      <c r="GS24" s="1132"/>
      <c r="GT24" s="1127"/>
      <c r="GU24" s="1130">
        <f ca="1">GV24*(_xlfn.XLOOKUP(GU$3,TabCalc[Ticker],TabCalc[M])+GW24)</f>
        <v>0</v>
      </c>
      <c r="GV24" s="1132"/>
      <c r="GW24" s="1127"/>
      <c r="GX24" s="1130">
        <f ca="1">GY24*(_xlfn.XLOOKUP(GX$3,TabCalc[Ticker],TabCalc[M])+GZ24)</f>
        <v>0</v>
      </c>
      <c r="GY24" s="1132"/>
      <c r="GZ24" s="1127"/>
      <c r="HA24" s="1130">
        <f ca="1">HB24*(_xlfn.XLOOKUP(HA$3,TabCalc[Ticker],TabCalc[M])+HC24)</f>
        <v>0</v>
      </c>
      <c r="HB24" s="1132"/>
      <c r="HC24" s="1127"/>
      <c r="HD24" s="1130">
        <f ca="1">HE24*(_xlfn.XLOOKUP(HD$3,TabCalc[Ticker],TabCalc[M])+HF24)</f>
        <v>0</v>
      </c>
      <c r="HE24" s="1132"/>
      <c r="HF24" s="1127"/>
      <c r="HG24" s="1130">
        <f ca="1">HH24*(_xlfn.XLOOKUP(HG$3,TabCalc[Ticker],TabCalc[M])+HI24)</f>
        <v>0</v>
      </c>
      <c r="HH24" s="1132"/>
      <c r="HI24" s="1127"/>
      <c r="HJ24" s="1130">
        <f ca="1">HK24*(_xlfn.XLOOKUP(HJ$3,TabCalc[Ticker],TabCalc[M])+HL24)</f>
        <v>0</v>
      </c>
      <c r="HK24" s="1132"/>
      <c r="HL24" s="1127"/>
      <c r="HM24" s="1130">
        <f ca="1">HN24*(_xlfn.XLOOKUP(HM$3,TabCalc[Ticker],TabCalc[M])+HO24)</f>
        <v>0</v>
      </c>
      <c r="HN24" s="1132"/>
      <c r="HO24" s="1127"/>
      <c r="HP24" s="1130">
        <f ca="1">HQ24*(_xlfn.XLOOKUP(HP$3,TabCalc[Ticker],TabCalc[M])+HR24)</f>
        <v>0</v>
      </c>
      <c r="HQ24" s="1132"/>
      <c r="HR24" s="1127"/>
      <c r="HS24" s="1130">
        <f ca="1">HT24*(_xlfn.XLOOKUP(HS$3,TabCalc[Ticker],TabCalc[M])+HU24)</f>
        <v>0</v>
      </c>
      <c r="HT24" s="1132"/>
      <c r="HU24" s="1127"/>
      <c r="HV24" s="1130">
        <f ca="1">HW24*(_xlfn.XLOOKUP(HV$3,TabCalc[Ticker],TabCalc[M])+HX24)</f>
        <v>0</v>
      </c>
      <c r="HW24" s="1132"/>
      <c r="HX24" s="1127"/>
      <c r="HY24" s="1130">
        <f ca="1">HZ24*(_xlfn.XLOOKUP(HY$3,TabCalc[Ticker],TabCalc[M])+IA24)</f>
        <v>0</v>
      </c>
      <c r="HZ24" s="1132"/>
      <c r="IA24" s="1127"/>
      <c r="IB24" s="1130">
        <f ca="1">IC24*(_xlfn.XLOOKUP(IB$3,TabCalc[Ticker],TabCalc[M])+ID24)</f>
        <v>0</v>
      </c>
      <c r="IC24" s="1132"/>
      <c r="ID24" s="1127"/>
      <c r="IE24" s="1130">
        <f ca="1">IF24*(_xlfn.XLOOKUP(IE$3,TabCalc[Ticker],TabCalc[M])+IG24)</f>
        <v>0</v>
      </c>
      <c r="IF24" s="1132"/>
      <c r="IG24" s="1127"/>
      <c r="IH24" s="1130">
        <f ca="1">II24*(_xlfn.XLOOKUP(IH$3,TabCalc[Ticker],TabCalc[M])+IJ24)</f>
        <v>0</v>
      </c>
      <c r="II24" s="1132"/>
      <c r="IJ24" s="1127"/>
      <c r="IK24" s="1130">
        <f ca="1">IL24*(_xlfn.XLOOKUP(IK$3,TabCalc[Ticker],TabCalc[M])+IM24)</f>
        <v>0</v>
      </c>
      <c r="IL24" s="1132"/>
      <c r="IM24" s="1127"/>
      <c r="IN24" s="1130">
        <f ca="1">IO24*(_xlfn.XLOOKUP(IN$3,TabCalc[Ticker],TabCalc[M])+IP24)</f>
        <v>0</v>
      </c>
      <c r="IO24" s="1132"/>
      <c r="IP24" s="1127"/>
      <c r="IQ24" s="1130">
        <f ca="1">IR24*(_xlfn.XLOOKUP(IQ$3,TabCalc[Ticker],TabCalc[M]))</f>
        <v>0</v>
      </c>
      <c r="IR24" s="1132"/>
      <c r="IS24" s="1127"/>
      <c r="IT24" s="1130">
        <f ca="1">IU24*(_xlfn.XLOOKUP(IT$3,TabCalc[Ticker],TabCalc[M])+IV24)</f>
        <v>0</v>
      </c>
      <c r="IU24" s="1132"/>
      <c r="IV24" s="1127"/>
      <c r="IW24" s="1130">
        <f ca="1">IX24*(_xlfn.XLOOKUP(IW$3,TabCalc[Ticker],TabCalc[M])+IY24)</f>
        <v>0</v>
      </c>
      <c r="IX24" s="1132"/>
      <c r="IY24" s="1127"/>
      <c r="IZ24" s="1130">
        <f ca="1">JA24*(_xlfn.XLOOKUP(IZ$3,TabCalc[Ticker],TabCalc[M])+JB24)</f>
        <v>0</v>
      </c>
      <c r="JA24" s="1132"/>
      <c r="JB24" s="1127"/>
      <c r="JC24" s="1130">
        <f ca="1">JD24*(_xlfn.XLOOKUP(JC$3,TabCalc[Ticker],TabCalc[M])+JE24)</f>
        <v>0</v>
      </c>
      <c r="JD24" s="1132"/>
      <c r="JE24" s="1127"/>
      <c r="JF24" s="1130">
        <f ca="1">JG24*(_xlfn.XLOOKUP(JF$3,TabCalc[Ticker],TabCalc[M])+JH24)</f>
        <v>0</v>
      </c>
      <c r="JG24" s="1132"/>
      <c r="JH24" s="1127"/>
      <c r="JI24" s="1130">
        <f ca="1">JJ24*(_xlfn.XLOOKUP(JI$3,TabCalc[Ticker],TabCalc[M])+JK24)</f>
        <v>0</v>
      </c>
      <c r="JJ24" s="1132"/>
      <c r="JK24" s="1127"/>
      <c r="JL24" s="1130">
        <f ca="1">JM24*(_xlfn.XLOOKUP(JL$3,TabCalc[Ticker],TabCalc[M])+JN24)</f>
        <v>0</v>
      </c>
      <c r="JM24" s="1132"/>
      <c r="JN24" s="1127"/>
      <c r="JO24" s="1130">
        <f ca="1">JP24*(_xlfn.XLOOKUP(JO$3,TabCalc[Ticker],TabCalc[M])+JQ24)</f>
        <v>0</v>
      </c>
      <c r="JP24" s="1132"/>
      <c r="JQ24" s="1127"/>
      <c r="JR24" s="1130">
        <f ca="1">JS24*(_xlfn.XLOOKUP(JR$3,TabCalc[Ticker],TabCalc[M])+JT24)</f>
        <v>0</v>
      </c>
      <c r="JS24" s="1132"/>
      <c r="JT24" s="1127"/>
      <c r="JU24" s="1130">
        <f ca="1">JV24*(_xlfn.XLOOKUP(JU$3,TabCalc[Ticker],TabCalc[M])+JW24)</f>
        <v>0</v>
      </c>
      <c r="JV24" s="1137"/>
      <c r="JW24" s="1127"/>
      <c r="JX24" s="1130">
        <f ca="1">JY24*(_xlfn.XLOOKUP(JX$3,TabCalc[Ticker],TabCalc[M])+JZ24)</f>
        <v>0</v>
      </c>
      <c r="JY24" s="1132"/>
      <c r="JZ24" s="1134"/>
    </row>
    <row r="25" spans="1:286" x14ac:dyDescent="0.3">
      <c r="A25">
        <v>22</v>
      </c>
      <c r="B25" s="1130">
        <f ca="1">C25*(_xlfn.XLOOKUP(B$3,TabCalc[Ticker],TabCalc[M])+D25)</f>
        <v>0</v>
      </c>
      <c r="C25" s="1132"/>
      <c r="D25" s="1127"/>
      <c r="E25" s="1130">
        <f ca="1">F25*(_xlfn.XLOOKUP(E$3,TabCalc[Ticker],TabCalc[M])+G25)</f>
        <v>0</v>
      </c>
      <c r="F25" s="1132"/>
      <c r="G25" s="1127"/>
      <c r="H25" s="1130">
        <f ca="1">I25*(_xlfn.XLOOKUP(H$3,TabCalc[Ticker],TabCalc[M])+J25)</f>
        <v>0</v>
      </c>
      <c r="I25" s="1132"/>
      <c r="J25" s="1127"/>
      <c r="K25" s="1130">
        <f ca="1">L25*(_xlfn.XLOOKUP(K$3,TabCalc[Ticker],TabCalc[M])+M25)</f>
        <v>0</v>
      </c>
      <c r="L25" s="1132"/>
      <c r="M25" s="1127"/>
      <c r="N25" s="1130">
        <f ca="1">O25*(_xlfn.XLOOKUP(N$3,TabCalc[Ticker],TabCalc[M])+P25)</f>
        <v>0</v>
      </c>
      <c r="O25" s="1132"/>
      <c r="P25" s="1127"/>
      <c r="Q25" s="1130">
        <f ca="1">R25*(_xlfn.XLOOKUP(Q$3,TabCalc[Ticker],TabCalc[M])+S25)</f>
        <v>0</v>
      </c>
      <c r="R25" s="1133"/>
      <c r="S25" s="1127"/>
      <c r="T25" s="1130">
        <f ca="1">U25*(_xlfn.XLOOKUP(T$3,TabCalc[Ticker],TabCalc[M])+V25)</f>
        <v>0</v>
      </c>
      <c r="U25" s="1133"/>
      <c r="V25" s="1128"/>
      <c r="W25" s="1130">
        <f ca="1">X25*(_xlfn.XLOOKUP(W$3,TabCalc[Ticker],TabCalc[M])+Y25)</f>
        <v>0</v>
      </c>
      <c r="X25" s="1132"/>
      <c r="Y25" s="1127"/>
      <c r="Z25" s="1130">
        <f ca="1">AA25*(_xlfn.XLOOKUP(Z$3,TabCalc[Ticker],TabCalc[M])+AB25)</f>
        <v>0</v>
      </c>
      <c r="AA25" s="1133"/>
      <c r="AB25" s="1127"/>
      <c r="AC25" s="1130">
        <f ca="1">AD25*(_xlfn.XLOOKUP(AC$3,TabCalc[Ticker],TabCalc[M])+AE25)</f>
        <v>0</v>
      </c>
      <c r="AD25" s="1132"/>
      <c r="AE25" s="1127"/>
      <c r="AF25" s="1130">
        <f ca="1">AG25*(_xlfn.XLOOKUP(AF$3,TabCalc[Ticker],TabCalc[M])+AH25)</f>
        <v>0</v>
      </c>
      <c r="AG25" s="1132"/>
      <c r="AH25" s="1127"/>
      <c r="AI25" s="1130">
        <f ca="1">AJ25*(_xlfn.XLOOKUP(AI$3,TabCalc[Ticker],TabCalc[M])+AK25)</f>
        <v>0</v>
      </c>
      <c r="AJ25" s="1132"/>
      <c r="AK25" s="1127"/>
      <c r="AL25" s="1130">
        <f ca="1">AM25*(_xlfn.XLOOKUP(AL$3,TabCalc[Ticker],TabCalc[M])+AN25)</f>
        <v>0</v>
      </c>
      <c r="AM25" s="1132"/>
      <c r="AN25" s="1127"/>
      <c r="AO25" s="1130">
        <f ca="1">AP25*(_xlfn.XLOOKUP(AO$3,TabCalc[Ticker],TabCalc[M])+AQ25)</f>
        <v>0</v>
      </c>
      <c r="AP25" s="1132"/>
      <c r="AQ25" s="1127"/>
      <c r="AR25" s="1130">
        <f ca="1">AS25*(_xlfn.XLOOKUP(AR$3,TabCalc[Ticker],TabCalc[M])+AT25)</f>
        <v>0</v>
      </c>
      <c r="AS25" s="1132"/>
      <c r="AT25" s="1127"/>
      <c r="AU25" s="1130">
        <f ca="1">AV25*(_xlfn.XLOOKUP(AU$3,TabCalc[Ticker],TabCalc[M])+AW25)</f>
        <v>0</v>
      </c>
      <c r="AV25" s="1132"/>
      <c r="AW25" s="1127"/>
      <c r="AX25" s="1130">
        <f ca="1">AY25*(_xlfn.XLOOKUP(AX$3,TabCalc[Ticker],TabCalc[M])+AZ25)</f>
        <v>0</v>
      </c>
      <c r="AY25" s="1132"/>
      <c r="AZ25" s="1127"/>
      <c r="BA25" s="1130">
        <f ca="1">BB25*(_xlfn.XLOOKUP(BA$3,TabCalc[Ticker],TabCalc[M])+BC25)</f>
        <v>0</v>
      </c>
      <c r="BB25" s="1132"/>
      <c r="BC25" s="1127"/>
      <c r="BD25" s="1130">
        <f ca="1">BE25*(_xlfn.XLOOKUP(BD$3,TabCalc[Ticker],TabCalc[M])+BF25)</f>
        <v>0</v>
      </c>
      <c r="BE25" s="1132"/>
      <c r="BF25" s="1127"/>
      <c r="BG25" s="1130">
        <f ca="1">BH25*(_xlfn.XLOOKUP(BG$3,TabCalc[Ticker],TabCalc[M])+BI25)</f>
        <v>0</v>
      </c>
      <c r="BH25" s="1132"/>
      <c r="BI25" s="1127"/>
      <c r="BJ25" s="1130">
        <f ca="1">BK25*(_xlfn.XLOOKUP(BJ$3,TabCalc[Ticker],TabCalc[M])+BL25)</f>
        <v>0</v>
      </c>
      <c r="BK25" s="1132"/>
      <c r="BL25" s="1127"/>
      <c r="BM25" s="1130">
        <f ca="1">BN25*(_xlfn.XLOOKUP(BM$3,TabCalc[Ticker],TabCalc[M])+BO25)</f>
        <v>0</v>
      </c>
      <c r="BN25" s="1132"/>
      <c r="BO25" s="1127"/>
      <c r="BP25" s="1130">
        <f ca="1">BQ25*(_xlfn.XLOOKUP(BP$3,TabCalc[Ticker],TabCalc[M])+BR25)</f>
        <v>0</v>
      </c>
      <c r="BQ25" s="1132"/>
      <c r="BR25" s="1127"/>
      <c r="BS25" s="1130">
        <f ca="1">BT25*(_xlfn.XLOOKUP(BS$3,TabCalc[Ticker],TabCalc[M])+BU25)</f>
        <v>0</v>
      </c>
      <c r="BT25" s="1132"/>
      <c r="BU25" s="1127"/>
      <c r="BV25" s="1130">
        <f ca="1">BW25*(_xlfn.XLOOKUP(BV$3,TabCalc[Ticker],TabCalc[M])+BX25)</f>
        <v>0</v>
      </c>
      <c r="BW25" s="1132"/>
      <c r="BX25" s="1127"/>
      <c r="BY25" s="1130">
        <f ca="1">BZ25*(_xlfn.XLOOKUP(BY$3,TabCalc[Ticker],TabCalc[M])+CA25)</f>
        <v>0</v>
      </c>
      <c r="BZ25" s="1132"/>
      <c r="CA25" s="1127"/>
      <c r="CB25" s="1130">
        <f ca="1">CC25*(_xlfn.XLOOKUP(CB$3,TabCalc[Ticker],TabCalc[M])+CD25)</f>
        <v>0</v>
      </c>
      <c r="CC25" s="1132"/>
      <c r="CD25" s="1127"/>
      <c r="CE25" s="1130">
        <f ca="1">CF25*(_xlfn.XLOOKUP(CE$3,TabCalc[Ticker],TabCalc[M])+CG25)</f>
        <v>0</v>
      </c>
      <c r="CF25" s="1132"/>
      <c r="CG25" s="1127"/>
      <c r="CH25" s="1130">
        <f ca="1">CI25*(_xlfn.XLOOKUP(CH$3,TabCalc[Ticker],TabCalc[M])+CJ25)</f>
        <v>0</v>
      </c>
      <c r="CI25" s="1132"/>
      <c r="CJ25" s="1127"/>
      <c r="CK25" s="1130">
        <f ca="1">CL25*(_xlfn.XLOOKUP(CK$3,TabCalc[Ticker],TabCalc[M])+CM25)</f>
        <v>0</v>
      </c>
      <c r="CL25" s="1132"/>
      <c r="CM25" s="1127"/>
      <c r="CN25" s="1130">
        <f ca="1">CO25*(_xlfn.XLOOKUP(CN$3,TabCalc[Ticker],TabCalc[M])+CP25)</f>
        <v>0</v>
      </c>
      <c r="CO25" s="1132"/>
      <c r="CP25" s="1127"/>
      <c r="CQ25" s="1130">
        <f ca="1">CR25*(_xlfn.XLOOKUP(CQ$3,TabCalc[Ticker],TabCalc[M])+CS25)</f>
        <v>0</v>
      </c>
      <c r="CR25" s="1132"/>
      <c r="CS25" s="1127"/>
      <c r="CT25" s="1130">
        <f ca="1">CU25*(_xlfn.XLOOKUP(CT$3,TabCalc[Ticker],TabCalc[M])+CV25)</f>
        <v>0</v>
      </c>
      <c r="CU25" s="1132"/>
      <c r="CV25" s="1127"/>
      <c r="CW25" s="1130">
        <f ca="1">CX25*(_xlfn.XLOOKUP(CW$3,TabCalc[Ticker],TabCalc[M])+CY25)</f>
        <v>0</v>
      </c>
      <c r="CX25" s="1132"/>
      <c r="CY25" s="1127"/>
      <c r="CZ25" s="1130">
        <f ca="1">DA25*(_xlfn.XLOOKUP(CZ$3,TabCalc[Ticker],TabCalc[M])+DB25)</f>
        <v>0</v>
      </c>
      <c r="DA25" s="1132"/>
      <c r="DB25" s="1127"/>
      <c r="DC25" s="1130">
        <f ca="1">DD25*(_xlfn.XLOOKUP(DC$3,TabCalc[Ticker],TabCalc[M])+DE25)</f>
        <v>0</v>
      </c>
      <c r="DD25" s="1132"/>
      <c r="DE25" s="1127"/>
      <c r="DF25" s="1130">
        <f ca="1">DG25*(_xlfn.XLOOKUP(DF$3,TabCalc[Ticker],TabCalc[M])+DH25)</f>
        <v>0</v>
      </c>
      <c r="DG25" s="1132"/>
      <c r="DH25" s="1127"/>
      <c r="DI25" s="1130">
        <f ca="1">DJ25*(_xlfn.XLOOKUP(DI$3,TabCalc[Ticker],TabCalc[M])+DK25)</f>
        <v>0</v>
      </c>
      <c r="DJ25" s="1132"/>
      <c r="DK25" s="1127"/>
      <c r="DL25" s="1130">
        <f ca="1">DM25*(_xlfn.XLOOKUP(DL$3,TabCalc[Ticker],TabCalc[M])+DN25)</f>
        <v>0</v>
      </c>
      <c r="DM25" s="1132"/>
      <c r="DN25" s="1127"/>
      <c r="DO25" s="1130">
        <f ca="1">DP25*(_xlfn.XLOOKUP(DO$3,TabCalc[Ticker],TabCalc[M])+DQ25)</f>
        <v>0</v>
      </c>
      <c r="DP25" s="1132"/>
      <c r="DQ25" s="1127"/>
      <c r="DR25" s="1130">
        <f ca="1">DS25*(_xlfn.XLOOKUP(DR$3,TabCalc[Ticker],TabCalc[M])+DT25)</f>
        <v>0</v>
      </c>
      <c r="DS25" s="1132"/>
      <c r="DT25" s="1127"/>
      <c r="DU25" s="1130">
        <f ca="1">DV25*(_xlfn.XLOOKUP(DU$3,TabCalc[Ticker],TabCalc[M])+DW25)</f>
        <v>0</v>
      </c>
      <c r="DV25" s="1132"/>
      <c r="DW25" s="1127"/>
      <c r="DX25" s="1130">
        <f ca="1">DY25*(_xlfn.XLOOKUP(DX$3,TabCalc[Ticker],TabCalc[M])+DZ25)</f>
        <v>0</v>
      </c>
      <c r="DY25" s="1132"/>
      <c r="DZ25" s="1127"/>
      <c r="EA25" s="1130">
        <f ca="1">EB25*(_xlfn.XLOOKUP(EA$3,TabCalc[Ticker],TabCalc[M])+EC25)</f>
        <v>0</v>
      </c>
      <c r="EB25" s="1132"/>
      <c r="EC25" s="1127"/>
      <c r="ED25" s="1130">
        <f ca="1">EE25*(_xlfn.XLOOKUP(ED$3,TabCalc[Ticker],TabCalc[M])+EF25)</f>
        <v>0</v>
      </c>
      <c r="EE25" s="1132"/>
      <c r="EF25" s="1127"/>
      <c r="EG25" s="1130">
        <f ca="1">EH25*(_xlfn.XLOOKUP(EG$3,TabCalc[Ticker],TabCalc[M])+EI25)</f>
        <v>0</v>
      </c>
      <c r="EH25" s="1132"/>
      <c r="EI25" s="1127"/>
      <c r="EJ25" s="1130" t="e">
        <f ca="1">EK25*(_xlfn.XLOOKUP(EJ$3,TabCalc[Ticker],TabCalc[M])+EL25)</f>
        <v>#N/A</v>
      </c>
      <c r="EK25" s="1132"/>
      <c r="EL25" s="1127"/>
      <c r="EM25" s="1130">
        <f ca="1">EN25*(_xlfn.XLOOKUP(EM$3,TabCalc[Ticker],TabCalc[M])+EO25)</f>
        <v>0</v>
      </c>
      <c r="EN25" s="1132"/>
      <c r="EO25" s="1127"/>
      <c r="EP25" s="1130">
        <f ca="1">EQ25*(_xlfn.XLOOKUP(EP$3,TabCalc[Ticker],TabCalc[M])+ER25)</f>
        <v>0</v>
      </c>
      <c r="EQ25" s="1132"/>
      <c r="ER25" s="1127"/>
      <c r="ES25" s="1130">
        <f ca="1">ET25*(_xlfn.XLOOKUP(ES$3,TabCalc[Ticker],TabCalc[M])+EU25)</f>
        <v>0</v>
      </c>
      <c r="ET25" s="1132"/>
      <c r="EU25" s="1127"/>
      <c r="EV25" s="1130">
        <f ca="1">EW25*(_xlfn.XLOOKUP(EV$3,TabCalc[Ticker],TabCalc[M])+EX25)</f>
        <v>0</v>
      </c>
      <c r="EW25" s="1132"/>
      <c r="EX25" s="1134"/>
      <c r="EY25" s="1130">
        <f ca="1">EZ25*(_xlfn.XLOOKUP(EY$3,TabCalc[Ticker],TabCalc[M])+FA25)</f>
        <v>0</v>
      </c>
      <c r="EZ25" s="1132"/>
      <c r="FA25" s="1134"/>
      <c r="FB25" s="1130">
        <f ca="1">FC25*(_xlfn.XLOOKUP(FB$3,TabCalc[Ticker],TabCalc[M])+FD25)</f>
        <v>0</v>
      </c>
      <c r="FC25" s="1132"/>
      <c r="FD25" s="1134"/>
      <c r="FE25" s="1130">
        <f ca="1">FF25*(_xlfn.XLOOKUP(FE$3,TabCalc[Ticker],TabCalc[M])+FG25)</f>
        <v>0</v>
      </c>
      <c r="FF25" s="1132"/>
      <c r="FG25" s="1127"/>
      <c r="FH25" s="1130">
        <f ca="1">FI25*(_xlfn.XLOOKUP(FH$3,TabCalc[Ticker],TabCalc[M])+FJ25)</f>
        <v>0</v>
      </c>
      <c r="FI25" s="1132"/>
      <c r="FJ25" s="1127"/>
      <c r="FK25" s="1130">
        <f ca="1">FL25*(_xlfn.XLOOKUP(FK$3,TabCalc[Ticker],TabCalc[M])+FM25)</f>
        <v>0</v>
      </c>
      <c r="FL25" s="1132"/>
      <c r="FM25" s="1127"/>
      <c r="FN25" s="1130">
        <f ca="1">FO25*(_xlfn.XLOOKUP(FN$3,TabCalc[Ticker],TabCalc[M])+FP25)</f>
        <v>0</v>
      </c>
      <c r="FO25" s="1132"/>
      <c r="FP25" s="1127"/>
      <c r="FQ25" s="1130">
        <f ca="1">FR25*(_xlfn.XLOOKUP(FQ$3,TabCalc[Ticker],TabCalc[M])+FS25)</f>
        <v>0</v>
      </c>
      <c r="FR25" s="1132"/>
      <c r="FS25" s="1127"/>
      <c r="FT25" s="1130">
        <f ca="1">FU25*(_xlfn.XLOOKUP(FT$3,TabCalc[Ticker],TabCalc[M])+FV25)</f>
        <v>0</v>
      </c>
      <c r="FU25" s="1132"/>
      <c r="FV25" s="1127"/>
      <c r="FW25" s="1130">
        <f ca="1">FX25*(_xlfn.XLOOKUP(FW$3,TabCalc[Ticker],TabCalc[M])+FY25)</f>
        <v>0</v>
      </c>
      <c r="FX25" s="1132"/>
      <c r="FY25" s="1127"/>
      <c r="FZ25" s="1130">
        <f ca="1">GA25*(_xlfn.XLOOKUP(FZ$3,TabCalc[Ticker],TabCalc[M])+GB25)</f>
        <v>0</v>
      </c>
      <c r="GA25" s="1132"/>
      <c r="GB25" s="1127"/>
      <c r="GC25" s="1130">
        <f ca="1">GD25*(_xlfn.XLOOKUP(GC$3,TabCalc[Ticker],TabCalc[M])+GE25)</f>
        <v>0</v>
      </c>
      <c r="GD25" s="1132"/>
      <c r="GE25" s="1127"/>
      <c r="GF25" s="1130">
        <f ca="1">GG25*(_xlfn.XLOOKUP(GF$3,TabCalc[Ticker],TabCalc[M])+GH25)</f>
        <v>0</v>
      </c>
      <c r="GG25" s="1132"/>
      <c r="GH25" s="1127"/>
      <c r="GI25" s="1130">
        <f ca="1">GJ25*(_xlfn.XLOOKUP(GI$3,TabCalc[Ticker],TabCalc[M])+GK25)</f>
        <v>0</v>
      </c>
      <c r="GJ25" s="1132"/>
      <c r="GK25" s="1127"/>
      <c r="GL25" s="1130">
        <f ca="1">GM25*(_xlfn.XLOOKUP(GL$3,TabCalc[Ticker],TabCalc[M])+GN25)</f>
        <v>0</v>
      </c>
      <c r="GM25" s="1132"/>
      <c r="GN25" s="1127"/>
      <c r="GO25" s="1130">
        <f ca="1">GP25*(_xlfn.XLOOKUP(GO$3,TabCalc[Ticker],TabCalc[M])+GQ25)</f>
        <v>0</v>
      </c>
      <c r="GP25" s="1132"/>
      <c r="GQ25" s="1127"/>
      <c r="GR25" s="1130">
        <f ca="1">GS25*(_xlfn.XLOOKUP(GR$3,TabCalc[Ticker],TabCalc[M])+GT25)</f>
        <v>0</v>
      </c>
      <c r="GS25" s="1132"/>
      <c r="GT25" s="1127"/>
      <c r="GU25" s="1130">
        <f ca="1">GV25*(_xlfn.XLOOKUP(GU$3,TabCalc[Ticker],TabCalc[M])+GW25)</f>
        <v>0</v>
      </c>
      <c r="GV25" s="1132"/>
      <c r="GW25" s="1127"/>
      <c r="GX25" s="1130">
        <f ca="1">GY25*(_xlfn.XLOOKUP(GX$3,TabCalc[Ticker],TabCalc[M])+GZ25)</f>
        <v>0</v>
      </c>
      <c r="GY25" s="1132"/>
      <c r="GZ25" s="1127"/>
      <c r="HA25" s="1130">
        <f ca="1">HB25*(_xlfn.XLOOKUP(HA$3,TabCalc[Ticker],TabCalc[M])+HC25)</f>
        <v>0</v>
      </c>
      <c r="HB25" s="1132"/>
      <c r="HC25" s="1127"/>
      <c r="HD25" s="1130">
        <f ca="1">HE25*(_xlfn.XLOOKUP(HD$3,TabCalc[Ticker],TabCalc[M])+HF25)</f>
        <v>0</v>
      </c>
      <c r="HE25" s="1132"/>
      <c r="HF25" s="1127"/>
      <c r="HG25" s="1130">
        <f ca="1">HH25*(_xlfn.XLOOKUP(HG$3,TabCalc[Ticker],TabCalc[M])+HI25)</f>
        <v>0</v>
      </c>
      <c r="HH25" s="1132"/>
      <c r="HI25" s="1127"/>
      <c r="HJ25" s="1130">
        <f ca="1">HK25*(_xlfn.XLOOKUP(HJ$3,TabCalc[Ticker],TabCalc[M])+HL25)</f>
        <v>0</v>
      </c>
      <c r="HK25" s="1132"/>
      <c r="HL25" s="1127"/>
      <c r="HM25" s="1130">
        <f ca="1">HN25*(_xlfn.XLOOKUP(HM$3,TabCalc[Ticker],TabCalc[M])+HO25)</f>
        <v>0</v>
      </c>
      <c r="HN25" s="1132"/>
      <c r="HO25" s="1127"/>
      <c r="HP25" s="1130">
        <f ca="1">HQ25*(_xlfn.XLOOKUP(HP$3,TabCalc[Ticker],TabCalc[M])+HR25)</f>
        <v>0</v>
      </c>
      <c r="HQ25" s="1132"/>
      <c r="HR25" s="1127"/>
      <c r="HS25" s="1130">
        <f ca="1">HT25*(_xlfn.XLOOKUP(HS$3,TabCalc[Ticker],TabCalc[M])+HU25)</f>
        <v>0</v>
      </c>
      <c r="HT25" s="1132"/>
      <c r="HU25" s="1127"/>
      <c r="HV25" s="1130">
        <f ca="1">HW25*(_xlfn.XLOOKUP(HV$3,TabCalc[Ticker],TabCalc[M])+HX25)</f>
        <v>0</v>
      </c>
      <c r="HW25" s="1132"/>
      <c r="HX25" s="1127"/>
      <c r="HY25" s="1130">
        <f ca="1">HZ25*(_xlfn.XLOOKUP(HY$3,TabCalc[Ticker],TabCalc[M])+IA25)</f>
        <v>0</v>
      </c>
      <c r="HZ25" s="1132"/>
      <c r="IA25" s="1127"/>
      <c r="IB25" s="1130">
        <f ca="1">IC25*(_xlfn.XLOOKUP(IB$3,TabCalc[Ticker],TabCalc[M])+ID25)</f>
        <v>0</v>
      </c>
      <c r="IC25" s="1132"/>
      <c r="ID25" s="1127"/>
      <c r="IE25" s="1130">
        <f ca="1">IF25*(_xlfn.XLOOKUP(IE$3,TabCalc[Ticker],TabCalc[M])+IG25)</f>
        <v>0</v>
      </c>
      <c r="IF25" s="1132"/>
      <c r="IG25" s="1127"/>
      <c r="IH25" s="1130">
        <f ca="1">II25*(_xlfn.XLOOKUP(IH$3,TabCalc[Ticker],TabCalc[M])+IJ25)</f>
        <v>0</v>
      </c>
      <c r="II25" s="1132"/>
      <c r="IJ25" s="1127"/>
      <c r="IK25" s="1130">
        <f ca="1">IL25*(_xlfn.XLOOKUP(IK$3,TabCalc[Ticker],TabCalc[M])+IM25)</f>
        <v>0</v>
      </c>
      <c r="IL25" s="1132"/>
      <c r="IM25" s="1127"/>
      <c r="IN25" s="1130">
        <f ca="1">IO25*(_xlfn.XLOOKUP(IN$3,TabCalc[Ticker],TabCalc[M])+IP25)</f>
        <v>0</v>
      </c>
      <c r="IO25" s="1132"/>
      <c r="IP25" s="1127"/>
      <c r="IQ25" s="1130">
        <f ca="1">IR25*(_xlfn.XLOOKUP(IQ$3,TabCalc[Ticker],TabCalc[M]))</f>
        <v>0</v>
      </c>
      <c r="IR25" s="1132"/>
      <c r="IS25" s="1127"/>
      <c r="IT25" s="1130">
        <f ca="1">IU25*(_xlfn.XLOOKUP(IT$3,TabCalc[Ticker],TabCalc[M])+IV25)</f>
        <v>0</v>
      </c>
      <c r="IU25" s="1132"/>
      <c r="IV25" s="1127"/>
      <c r="IW25" s="1130">
        <f ca="1">IX25*(_xlfn.XLOOKUP(IW$3,TabCalc[Ticker],TabCalc[M])+IY25)</f>
        <v>0</v>
      </c>
      <c r="IX25" s="1132"/>
      <c r="IY25" s="1127"/>
      <c r="IZ25" s="1130">
        <f ca="1">JA25*(_xlfn.XLOOKUP(IZ$3,TabCalc[Ticker],TabCalc[M])+JB25)</f>
        <v>0</v>
      </c>
      <c r="JA25" s="1132"/>
      <c r="JB25" s="1127"/>
      <c r="JC25" s="1130">
        <f ca="1">JD25*(_xlfn.XLOOKUP(JC$3,TabCalc[Ticker],TabCalc[M])+JE25)</f>
        <v>0</v>
      </c>
      <c r="JD25" s="1132"/>
      <c r="JE25" s="1127"/>
      <c r="JF25" s="1130">
        <f ca="1">JG25*(_xlfn.XLOOKUP(JF$3,TabCalc[Ticker],TabCalc[M])+JH25)</f>
        <v>0</v>
      </c>
      <c r="JG25" s="1132"/>
      <c r="JH25" s="1127"/>
      <c r="JI25" s="1130">
        <f ca="1">JJ25*(_xlfn.XLOOKUP(JI$3,TabCalc[Ticker],TabCalc[M])+JK25)</f>
        <v>0</v>
      </c>
      <c r="JJ25" s="1132"/>
      <c r="JK25" s="1127"/>
      <c r="JL25" s="1130">
        <f ca="1">JM25*(_xlfn.XLOOKUP(JL$3,TabCalc[Ticker],TabCalc[M])+JN25)</f>
        <v>0</v>
      </c>
      <c r="JM25" s="1132"/>
      <c r="JN25" s="1127"/>
      <c r="JO25" s="1130">
        <f ca="1">JP25*(_xlfn.XLOOKUP(JO$3,TabCalc[Ticker],TabCalc[M])+JQ25)</f>
        <v>0</v>
      </c>
      <c r="JP25" s="1132"/>
      <c r="JQ25" s="1127"/>
      <c r="JR25" s="1130">
        <f ca="1">JS25*(_xlfn.XLOOKUP(JR$3,TabCalc[Ticker],TabCalc[M])+JT25)</f>
        <v>0</v>
      </c>
      <c r="JS25" s="1132"/>
      <c r="JT25" s="1127"/>
      <c r="JU25" s="1130">
        <f ca="1">JV25*(_xlfn.XLOOKUP(JU$3,TabCalc[Ticker],TabCalc[M])+JW25)</f>
        <v>0</v>
      </c>
      <c r="JV25" s="1137"/>
      <c r="JW25" s="1127"/>
      <c r="JX25" s="1130">
        <f ca="1">JY25*(_xlfn.XLOOKUP(JX$3,TabCalc[Ticker],TabCalc[M])+JZ25)</f>
        <v>0</v>
      </c>
      <c r="JY25" s="1132"/>
      <c r="JZ25" s="1134"/>
    </row>
    <row r="26" spans="1:286" x14ac:dyDescent="0.3">
      <c r="A26">
        <v>23</v>
      </c>
      <c r="B26" s="1130">
        <f ca="1">C26*(_xlfn.XLOOKUP(B$3,TabCalc[Ticker],TabCalc[M])+D26)</f>
        <v>0</v>
      </c>
      <c r="C26" s="1132"/>
      <c r="D26" s="1127"/>
      <c r="E26" s="1130">
        <f ca="1">F26*(_xlfn.XLOOKUP(E$3,TabCalc[Ticker],TabCalc[M])+G26)</f>
        <v>0</v>
      </c>
      <c r="F26" s="1132"/>
      <c r="G26" s="1127"/>
      <c r="H26" s="1130">
        <f ca="1">I26*(_xlfn.XLOOKUP(H$3,TabCalc[Ticker],TabCalc[M])+J26)</f>
        <v>0</v>
      </c>
      <c r="I26" s="1132"/>
      <c r="J26" s="1127"/>
      <c r="K26" s="1130">
        <f ca="1">L26*(_xlfn.XLOOKUP(K$3,TabCalc[Ticker],TabCalc[M])+M26)</f>
        <v>0</v>
      </c>
      <c r="L26" s="1132"/>
      <c r="M26" s="1127"/>
      <c r="N26" s="1130">
        <f ca="1">O26*(_xlfn.XLOOKUP(N$3,TabCalc[Ticker],TabCalc[M])+P26)</f>
        <v>0</v>
      </c>
      <c r="O26" s="1132"/>
      <c r="P26" s="1127"/>
      <c r="Q26" s="1130">
        <f ca="1">R26*(_xlfn.XLOOKUP(Q$3,TabCalc[Ticker],TabCalc[M])+S26)</f>
        <v>0</v>
      </c>
      <c r="R26" s="1132"/>
      <c r="S26" s="1127"/>
      <c r="T26" s="1130">
        <f ca="1">U26*(_xlfn.XLOOKUP(T$3,TabCalc[Ticker],TabCalc[M])+V26)</f>
        <v>0</v>
      </c>
      <c r="U26" s="1132"/>
      <c r="V26" s="1128"/>
      <c r="W26" s="1130">
        <f ca="1">X26*(_xlfn.XLOOKUP(W$3,TabCalc[Ticker],TabCalc[M])+Y26)</f>
        <v>0</v>
      </c>
      <c r="X26" s="1132"/>
      <c r="Y26" s="1127"/>
      <c r="Z26" s="1130">
        <f ca="1">AA26*(_xlfn.XLOOKUP(Z$3,TabCalc[Ticker],TabCalc[M])+AB26)</f>
        <v>0</v>
      </c>
      <c r="AA26" s="1133"/>
      <c r="AB26" s="1127"/>
      <c r="AC26" s="1130">
        <f ca="1">AD26*(_xlfn.XLOOKUP(AC$3,TabCalc[Ticker],TabCalc[M])+AE26)</f>
        <v>0</v>
      </c>
      <c r="AD26" s="1132"/>
      <c r="AE26" s="1127"/>
      <c r="AF26" s="1130">
        <f ca="1">AG26*(_xlfn.XLOOKUP(AF$3,TabCalc[Ticker],TabCalc[M])+AH26)</f>
        <v>0</v>
      </c>
      <c r="AG26" s="1132"/>
      <c r="AH26" s="1127"/>
      <c r="AI26" s="1130">
        <f ca="1">AJ26*(_xlfn.XLOOKUP(AI$3,TabCalc[Ticker],TabCalc[M])+AK26)</f>
        <v>0</v>
      </c>
      <c r="AJ26" s="1132"/>
      <c r="AK26" s="1127"/>
      <c r="AL26" s="1130">
        <f ca="1">AM26*(_xlfn.XLOOKUP(AL$3,TabCalc[Ticker],TabCalc[M])+AN26)</f>
        <v>0</v>
      </c>
      <c r="AM26" s="1132"/>
      <c r="AN26" s="1127"/>
      <c r="AO26" s="1130">
        <f ca="1">AP26*(_xlfn.XLOOKUP(AO$3,TabCalc[Ticker],TabCalc[M])+AQ26)</f>
        <v>0</v>
      </c>
      <c r="AP26" s="1132"/>
      <c r="AQ26" s="1127"/>
      <c r="AR26" s="1130">
        <f ca="1">AS26*(_xlfn.XLOOKUP(AR$3,TabCalc[Ticker],TabCalc[M])+AT26)</f>
        <v>0</v>
      </c>
      <c r="AS26" s="1132"/>
      <c r="AT26" s="1127"/>
      <c r="AU26" s="1130">
        <f ca="1">AV26*(_xlfn.XLOOKUP(AU$3,TabCalc[Ticker],TabCalc[M])+AW26)</f>
        <v>0</v>
      </c>
      <c r="AV26" s="1132"/>
      <c r="AW26" s="1127"/>
      <c r="AX26" s="1130">
        <f ca="1">AY26*(_xlfn.XLOOKUP(AX$3,TabCalc[Ticker],TabCalc[M])+AZ26)</f>
        <v>0</v>
      </c>
      <c r="AY26" s="1132"/>
      <c r="AZ26" s="1127"/>
      <c r="BA26" s="1130">
        <f ca="1">BB26*(_xlfn.XLOOKUP(BA$3,TabCalc[Ticker],TabCalc[M])+BC26)</f>
        <v>0</v>
      </c>
      <c r="BB26" s="1132"/>
      <c r="BC26" s="1127"/>
      <c r="BD26" s="1130">
        <f ca="1">BE26*(_xlfn.XLOOKUP(BD$3,TabCalc[Ticker],TabCalc[M])+BF26)</f>
        <v>0</v>
      </c>
      <c r="BE26" s="1132"/>
      <c r="BF26" s="1127"/>
      <c r="BG26" s="1130">
        <f ca="1">BH26*(_xlfn.XLOOKUP(BG$3,TabCalc[Ticker],TabCalc[M])+BI26)</f>
        <v>0</v>
      </c>
      <c r="BH26" s="1132"/>
      <c r="BI26" s="1127"/>
      <c r="BJ26" s="1130">
        <f ca="1">BK26*(_xlfn.XLOOKUP(BJ$3,TabCalc[Ticker],TabCalc[M])+BL26)</f>
        <v>0</v>
      </c>
      <c r="BK26" s="1132"/>
      <c r="BL26" s="1127"/>
      <c r="BM26" s="1130">
        <f ca="1">BN26*(_xlfn.XLOOKUP(BM$3,TabCalc[Ticker],TabCalc[M])+BO26)</f>
        <v>0</v>
      </c>
      <c r="BN26" s="1132"/>
      <c r="BO26" s="1127"/>
      <c r="BP26" s="1130">
        <f ca="1">BQ26*(_xlfn.XLOOKUP(BP$3,TabCalc[Ticker],TabCalc[M])+BR26)</f>
        <v>0</v>
      </c>
      <c r="BQ26" s="1132"/>
      <c r="BR26" s="1127"/>
      <c r="BS26" s="1130">
        <f ca="1">BT26*(_xlfn.XLOOKUP(BS$3,TabCalc[Ticker],TabCalc[M])+BU26)</f>
        <v>0</v>
      </c>
      <c r="BT26" s="1132"/>
      <c r="BU26" s="1127"/>
      <c r="BV26" s="1130">
        <f ca="1">BW26*(_xlfn.XLOOKUP(BV$3,TabCalc[Ticker],TabCalc[M])+BX26)</f>
        <v>0</v>
      </c>
      <c r="BW26" s="1132"/>
      <c r="BX26" s="1127"/>
      <c r="BY26" s="1130">
        <f ca="1">BZ26*(_xlfn.XLOOKUP(BY$3,TabCalc[Ticker],TabCalc[M])+CA26)</f>
        <v>0</v>
      </c>
      <c r="BZ26" s="1132"/>
      <c r="CA26" s="1127"/>
      <c r="CB26" s="1130">
        <f ca="1">CC26*(_xlfn.XLOOKUP(CB$3,TabCalc[Ticker],TabCalc[M])+CD26)</f>
        <v>0</v>
      </c>
      <c r="CC26" s="1132"/>
      <c r="CD26" s="1127"/>
      <c r="CE26" s="1130">
        <f ca="1">CF26*(_xlfn.XLOOKUP(CE$3,TabCalc[Ticker],TabCalc[M])+CG26)</f>
        <v>0</v>
      </c>
      <c r="CF26" s="1132"/>
      <c r="CG26" s="1127"/>
      <c r="CH26" s="1130">
        <f ca="1">CI26*(_xlfn.XLOOKUP(CH$3,TabCalc[Ticker],TabCalc[M])+CJ26)</f>
        <v>0</v>
      </c>
      <c r="CI26" s="1132"/>
      <c r="CJ26" s="1127"/>
      <c r="CK26" s="1130">
        <f ca="1">CL26*(_xlfn.XLOOKUP(CK$3,TabCalc[Ticker],TabCalc[M])+CM26)</f>
        <v>0</v>
      </c>
      <c r="CL26" s="1132"/>
      <c r="CM26" s="1127"/>
      <c r="CN26" s="1130">
        <f ca="1">CO26*(_xlfn.XLOOKUP(CN$3,TabCalc[Ticker],TabCalc[M])+CP26)</f>
        <v>0</v>
      </c>
      <c r="CO26" s="1132"/>
      <c r="CP26" s="1127"/>
      <c r="CQ26" s="1130">
        <f ca="1">CR26*(_xlfn.XLOOKUP(CQ$3,TabCalc[Ticker],TabCalc[M])+CS26)</f>
        <v>0</v>
      </c>
      <c r="CR26" s="1132"/>
      <c r="CS26" s="1127"/>
      <c r="CT26" s="1130">
        <f ca="1">CU26*(_xlfn.XLOOKUP(CT$3,TabCalc[Ticker],TabCalc[M])+CV26)</f>
        <v>0</v>
      </c>
      <c r="CU26" s="1132"/>
      <c r="CV26" s="1127"/>
      <c r="CW26" s="1130">
        <f ca="1">CX26*(_xlfn.XLOOKUP(CW$3,TabCalc[Ticker],TabCalc[M])+CY26)</f>
        <v>0</v>
      </c>
      <c r="CX26" s="1132"/>
      <c r="CY26" s="1127"/>
      <c r="CZ26" s="1130">
        <f ca="1">DA26*(_xlfn.XLOOKUP(CZ$3,TabCalc[Ticker],TabCalc[M])+DB26)</f>
        <v>0</v>
      </c>
      <c r="DA26" s="1132"/>
      <c r="DB26" s="1127"/>
      <c r="DC26" s="1130">
        <f ca="1">DD26*(_xlfn.XLOOKUP(DC$3,TabCalc[Ticker],TabCalc[M])+DE26)</f>
        <v>0</v>
      </c>
      <c r="DD26" s="1132"/>
      <c r="DE26" s="1127"/>
      <c r="DF26" s="1130">
        <f ca="1">DG26*(_xlfn.XLOOKUP(DF$3,TabCalc[Ticker],TabCalc[M])+DH26)</f>
        <v>0</v>
      </c>
      <c r="DG26" s="1132"/>
      <c r="DH26" s="1127"/>
      <c r="DI26" s="1130">
        <f ca="1">DJ26*(_xlfn.XLOOKUP(DI$3,TabCalc[Ticker],TabCalc[M])+DK26)</f>
        <v>0</v>
      </c>
      <c r="DJ26" s="1132"/>
      <c r="DK26" s="1127"/>
      <c r="DL26" s="1130">
        <f ca="1">DM26*(_xlfn.XLOOKUP(DL$3,TabCalc[Ticker],TabCalc[M])+DN26)</f>
        <v>0</v>
      </c>
      <c r="DM26" s="1132"/>
      <c r="DN26" s="1127"/>
      <c r="DO26" s="1130">
        <f ca="1">DP26*(_xlfn.XLOOKUP(DO$3,TabCalc[Ticker],TabCalc[M])+DQ26)</f>
        <v>0</v>
      </c>
      <c r="DP26" s="1132"/>
      <c r="DQ26" s="1127"/>
      <c r="DR26" s="1130">
        <f ca="1">DS26*(_xlfn.XLOOKUP(DR$3,TabCalc[Ticker],TabCalc[M])+DT26)</f>
        <v>0</v>
      </c>
      <c r="DS26" s="1132"/>
      <c r="DT26" s="1127"/>
      <c r="DU26" s="1130">
        <f ca="1">DV26*(_xlfn.XLOOKUP(DU$3,TabCalc[Ticker],TabCalc[M])+DW26)</f>
        <v>0</v>
      </c>
      <c r="DV26" s="1132"/>
      <c r="DW26" s="1127"/>
      <c r="DX26" s="1130">
        <f ca="1">DY26*(_xlfn.XLOOKUP(DX$3,TabCalc[Ticker],TabCalc[M])+DZ26)</f>
        <v>0</v>
      </c>
      <c r="DY26" s="1132"/>
      <c r="DZ26" s="1127"/>
      <c r="EA26" s="1130">
        <f ca="1">EB26*(_xlfn.XLOOKUP(EA$3,TabCalc[Ticker],TabCalc[M])+EC26)</f>
        <v>0</v>
      </c>
      <c r="EB26" s="1132"/>
      <c r="EC26" s="1127"/>
      <c r="ED26" s="1130">
        <f ca="1">EE26*(_xlfn.XLOOKUP(ED$3,TabCalc[Ticker],TabCalc[M])+EF26)</f>
        <v>0</v>
      </c>
      <c r="EE26" s="1132"/>
      <c r="EF26" s="1127"/>
      <c r="EG26" s="1130">
        <f ca="1">EH26*(_xlfn.XLOOKUP(EG$3,TabCalc[Ticker],TabCalc[M])+EI26)</f>
        <v>0</v>
      </c>
      <c r="EH26" s="1132"/>
      <c r="EI26" s="1127"/>
      <c r="EJ26" s="1130" t="e">
        <f ca="1">EK26*(_xlfn.XLOOKUP(EJ$3,TabCalc[Ticker],TabCalc[M])+EL26)</f>
        <v>#N/A</v>
      </c>
      <c r="EK26" s="1132"/>
      <c r="EL26" s="1127"/>
      <c r="EM26" s="1130">
        <f ca="1">EN26*(_xlfn.XLOOKUP(EM$3,TabCalc[Ticker],TabCalc[M])+EO26)</f>
        <v>0</v>
      </c>
      <c r="EN26" s="1132"/>
      <c r="EO26" s="1127"/>
      <c r="EP26" s="1130">
        <f ca="1">EQ26*(_xlfn.XLOOKUP(EP$3,TabCalc[Ticker],TabCalc[M])+ER26)</f>
        <v>0</v>
      </c>
      <c r="EQ26" s="1132"/>
      <c r="ER26" s="1127"/>
      <c r="ES26" s="1130">
        <f ca="1">ET26*(_xlfn.XLOOKUP(ES$3,TabCalc[Ticker],TabCalc[M])+EU26)</f>
        <v>0</v>
      </c>
      <c r="ET26" s="1132"/>
      <c r="EU26" s="1127"/>
      <c r="EV26" s="1130">
        <f ca="1">EW26*(_xlfn.XLOOKUP(EV$3,TabCalc[Ticker],TabCalc[M])+EX26)</f>
        <v>0</v>
      </c>
      <c r="EW26" s="1132"/>
      <c r="EX26" s="1134"/>
      <c r="EY26" s="1130">
        <f ca="1">EZ26*(_xlfn.XLOOKUP(EY$3,TabCalc[Ticker],TabCalc[M])+FA26)</f>
        <v>0</v>
      </c>
      <c r="EZ26" s="1132"/>
      <c r="FA26" s="1134"/>
      <c r="FB26" s="1130">
        <f ca="1">FC26*(_xlfn.XLOOKUP(FB$3,TabCalc[Ticker],TabCalc[M])+FD26)</f>
        <v>0</v>
      </c>
      <c r="FC26" s="1132"/>
      <c r="FD26" s="1134"/>
      <c r="FE26" s="1130">
        <f ca="1">FF26*(_xlfn.XLOOKUP(FE$3,TabCalc[Ticker],TabCalc[M])+FG26)</f>
        <v>0</v>
      </c>
      <c r="FF26" s="1132"/>
      <c r="FG26" s="1127"/>
      <c r="FH26" s="1130">
        <f ca="1">FI26*(_xlfn.XLOOKUP(FH$3,TabCalc[Ticker],TabCalc[M])+FJ26)</f>
        <v>0</v>
      </c>
      <c r="FI26" s="1132"/>
      <c r="FJ26" s="1127"/>
      <c r="FK26" s="1130">
        <f ca="1">FL26*(_xlfn.XLOOKUP(FK$3,TabCalc[Ticker],TabCalc[M])+FM26)</f>
        <v>0</v>
      </c>
      <c r="FL26" s="1132"/>
      <c r="FM26" s="1127"/>
      <c r="FN26" s="1130">
        <f ca="1">FO26*(_xlfn.XLOOKUP(FN$3,TabCalc[Ticker],TabCalc[M])+FP26)</f>
        <v>0</v>
      </c>
      <c r="FO26" s="1132"/>
      <c r="FP26" s="1127"/>
      <c r="FQ26" s="1130">
        <f ca="1">FR26*(_xlfn.XLOOKUP(FQ$3,TabCalc[Ticker],TabCalc[M])+FS26)</f>
        <v>0</v>
      </c>
      <c r="FR26" s="1132"/>
      <c r="FS26" s="1127"/>
      <c r="FT26" s="1130">
        <f ca="1">FU26*(_xlfn.XLOOKUP(FT$3,TabCalc[Ticker],TabCalc[M])+FV26)</f>
        <v>0</v>
      </c>
      <c r="FU26" s="1132"/>
      <c r="FV26" s="1127"/>
      <c r="FW26" s="1130">
        <f ca="1">FX26*(_xlfn.XLOOKUP(FW$3,TabCalc[Ticker],TabCalc[M])+FY26)</f>
        <v>0</v>
      </c>
      <c r="FX26" s="1132"/>
      <c r="FY26" s="1127"/>
      <c r="FZ26" s="1130">
        <f ca="1">GA26*(_xlfn.XLOOKUP(FZ$3,TabCalc[Ticker],TabCalc[M])+GB26)</f>
        <v>0</v>
      </c>
      <c r="GA26" s="1132"/>
      <c r="GB26" s="1127"/>
      <c r="GC26" s="1130">
        <f ca="1">GD26*(_xlfn.XLOOKUP(GC$3,TabCalc[Ticker],TabCalc[M])+GE26)</f>
        <v>0</v>
      </c>
      <c r="GD26" s="1132"/>
      <c r="GE26" s="1127"/>
      <c r="GF26" s="1130">
        <f ca="1">GG26*(_xlfn.XLOOKUP(GF$3,TabCalc[Ticker],TabCalc[M])+GH26)</f>
        <v>0</v>
      </c>
      <c r="GG26" s="1132"/>
      <c r="GH26" s="1127"/>
      <c r="GI26" s="1130">
        <f ca="1">GJ26*(_xlfn.XLOOKUP(GI$3,TabCalc[Ticker],TabCalc[M])+GK26)</f>
        <v>0</v>
      </c>
      <c r="GJ26" s="1132"/>
      <c r="GK26" s="1127"/>
      <c r="GL26" s="1130">
        <f ca="1">GM26*(_xlfn.XLOOKUP(GL$3,TabCalc[Ticker],TabCalc[M])+GN26)</f>
        <v>0</v>
      </c>
      <c r="GM26" s="1132"/>
      <c r="GN26" s="1127"/>
      <c r="GO26" s="1130">
        <f ca="1">GP26*(_xlfn.XLOOKUP(GO$3,TabCalc[Ticker],TabCalc[M])+GQ26)</f>
        <v>0</v>
      </c>
      <c r="GP26" s="1132"/>
      <c r="GQ26" s="1127"/>
      <c r="GR26" s="1130">
        <f ca="1">GS26*(_xlfn.XLOOKUP(GR$3,TabCalc[Ticker],TabCalc[M])+GT26)</f>
        <v>0</v>
      </c>
      <c r="GS26" s="1132"/>
      <c r="GT26" s="1127"/>
      <c r="GU26" s="1130">
        <f ca="1">GV26*(_xlfn.XLOOKUP(GU$3,TabCalc[Ticker],TabCalc[M])+GW26)</f>
        <v>0</v>
      </c>
      <c r="GV26" s="1132"/>
      <c r="GW26" s="1127"/>
      <c r="GX26" s="1130">
        <f ca="1">GY26*(_xlfn.XLOOKUP(GX$3,TabCalc[Ticker],TabCalc[M])+GZ26)</f>
        <v>0</v>
      </c>
      <c r="GY26" s="1132"/>
      <c r="GZ26" s="1127"/>
      <c r="HA26" s="1130">
        <f ca="1">HB26*(_xlfn.XLOOKUP(HA$3,TabCalc[Ticker],TabCalc[M])+HC26)</f>
        <v>0</v>
      </c>
      <c r="HB26" s="1132"/>
      <c r="HC26" s="1127"/>
      <c r="HD26" s="1130">
        <f ca="1">HE26*(_xlfn.XLOOKUP(HD$3,TabCalc[Ticker],TabCalc[M])+HF26)</f>
        <v>0</v>
      </c>
      <c r="HE26" s="1132"/>
      <c r="HF26" s="1127"/>
      <c r="HG26" s="1130">
        <f ca="1">HH26*(_xlfn.XLOOKUP(HG$3,TabCalc[Ticker],TabCalc[M])+HI26)</f>
        <v>0</v>
      </c>
      <c r="HH26" s="1132"/>
      <c r="HI26" s="1127"/>
      <c r="HJ26" s="1130">
        <f ca="1">HK26*(_xlfn.XLOOKUP(HJ$3,TabCalc[Ticker],TabCalc[M])+HL26)</f>
        <v>0</v>
      </c>
      <c r="HK26" s="1132"/>
      <c r="HL26" s="1127"/>
      <c r="HM26" s="1130">
        <f ca="1">HN26*(_xlfn.XLOOKUP(HM$3,TabCalc[Ticker],TabCalc[M])+HO26)</f>
        <v>0</v>
      </c>
      <c r="HN26" s="1132"/>
      <c r="HO26" s="1127"/>
      <c r="HP26" s="1130">
        <f ca="1">HQ26*(_xlfn.XLOOKUP(HP$3,TabCalc[Ticker],TabCalc[M])+HR26)</f>
        <v>0</v>
      </c>
      <c r="HQ26" s="1132"/>
      <c r="HR26" s="1127"/>
      <c r="HS26" s="1130">
        <f ca="1">HT26*(_xlfn.XLOOKUP(HS$3,TabCalc[Ticker],TabCalc[M])+HU26)</f>
        <v>0</v>
      </c>
      <c r="HT26" s="1132"/>
      <c r="HU26" s="1127"/>
      <c r="HV26" s="1130">
        <f ca="1">HW26*(_xlfn.XLOOKUP(HV$3,TabCalc[Ticker],TabCalc[M])+HX26)</f>
        <v>0</v>
      </c>
      <c r="HW26" s="1132"/>
      <c r="HX26" s="1127"/>
      <c r="HY26" s="1130">
        <f ca="1">HZ26*(_xlfn.XLOOKUP(HY$3,TabCalc[Ticker],TabCalc[M])+IA26)</f>
        <v>0</v>
      </c>
      <c r="HZ26" s="1132"/>
      <c r="IA26" s="1127"/>
      <c r="IB26" s="1130">
        <f ca="1">IC26*(_xlfn.XLOOKUP(IB$3,TabCalc[Ticker],TabCalc[M])+ID26)</f>
        <v>0</v>
      </c>
      <c r="IC26" s="1132"/>
      <c r="ID26" s="1127"/>
      <c r="IE26" s="1130">
        <f ca="1">IF26*(_xlfn.XLOOKUP(IE$3,TabCalc[Ticker],TabCalc[M])+IG26)</f>
        <v>0</v>
      </c>
      <c r="IF26" s="1132"/>
      <c r="IG26" s="1127"/>
      <c r="IH26" s="1130">
        <f ca="1">II26*(_xlfn.XLOOKUP(IH$3,TabCalc[Ticker],TabCalc[M])+IJ26)</f>
        <v>0</v>
      </c>
      <c r="II26" s="1132"/>
      <c r="IJ26" s="1127"/>
      <c r="IK26" s="1130">
        <f ca="1">IL26*(_xlfn.XLOOKUP(IK$3,TabCalc[Ticker],TabCalc[M])+IM26)</f>
        <v>0</v>
      </c>
      <c r="IL26" s="1132"/>
      <c r="IM26" s="1127"/>
      <c r="IN26" s="1130">
        <f ca="1">IO26*(_xlfn.XLOOKUP(IN$3,TabCalc[Ticker],TabCalc[M])+IP26)</f>
        <v>0</v>
      </c>
      <c r="IO26" s="1132"/>
      <c r="IP26" s="1127"/>
      <c r="IQ26" s="1130">
        <f ca="1">IR26*(_xlfn.XLOOKUP(IQ$3,TabCalc[Ticker],TabCalc[M]))</f>
        <v>0</v>
      </c>
      <c r="IR26" s="1132"/>
      <c r="IS26" s="1127"/>
      <c r="IT26" s="1130">
        <f ca="1">IU26*(_xlfn.XLOOKUP(IT$3,TabCalc[Ticker],TabCalc[M])+IV26)</f>
        <v>0</v>
      </c>
      <c r="IU26" s="1132"/>
      <c r="IV26" s="1127"/>
      <c r="IW26" s="1130">
        <f ca="1">IX26*(_xlfn.XLOOKUP(IW$3,TabCalc[Ticker],TabCalc[M])+IY26)</f>
        <v>0</v>
      </c>
      <c r="IX26" s="1132"/>
      <c r="IY26" s="1127"/>
      <c r="IZ26" s="1130">
        <f ca="1">JA26*(_xlfn.XLOOKUP(IZ$3,TabCalc[Ticker],TabCalc[M])+JB26)</f>
        <v>0</v>
      </c>
      <c r="JA26" s="1132"/>
      <c r="JB26" s="1127"/>
      <c r="JC26" s="1130">
        <f ca="1">JD26*(_xlfn.XLOOKUP(JC$3,TabCalc[Ticker],TabCalc[M])+JE26)</f>
        <v>0</v>
      </c>
      <c r="JD26" s="1132"/>
      <c r="JE26" s="1127"/>
      <c r="JF26" s="1130">
        <f ca="1">JG26*(_xlfn.XLOOKUP(JF$3,TabCalc[Ticker],TabCalc[M])+JH26)</f>
        <v>0</v>
      </c>
      <c r="JG26" s="1132"/>
      <c r="JH26" s="1127"/>
      <c r="JI26" s="1130">
        <f ca="1">JJ26*(_xlfn.XLOOKUP(JI$3,TabCalc[Ticker],TabCalc[M])+JK26)</f>
        <v>0</v>
      </c>
      <c r="JJ26" s="1132"/>
      <c r="JK26" s="1127"/>
      <c r="JL26" s="1130">
        <f ca="1">JM26*(_xlfn.XLOOKUP(JL$3,TabCalc[Ticker],TabCalc[M])+JN26)</f>
        <v>0</v>
      </c>
      <c r="JM26" s="1132"/>
      <c r="JN26" s="1127"/>
      <c r="JO26" s="1130">
        <f ca="1">JP26*(_xlfn.XLOOKUP(JO$3,TabCalc[Ticker],TabCalc[M])+JQ26)</f>
        <v>0</v>
      </c>
      <c r="JP26" s="1132"/>
      <c r="JQ26" s="1127"/>
      <c r="JR26" s="1130">
        <f ca="1">JS26*(_xlfn.XLOOKUP(JR$3,TabCalc[Ticker],TabCalc[M])+JT26)</f>
        <v>0</v>
      </c>
      <c r="JS26" s="1132"/>
      <c r="JT26" s="1127"/>
      <c r="JU26" s="1130">
        <f ca="1">JV26*(_xlfn.XLOOKUP(JU$3,TabCalc[Ticker],TabCalc[M])+JW26)</f>
        <v>0</v>
      </c>
      <c r="JV26" s="1137"/>
      <c r="JW26" s="1127"/>
      <c r="JX26" s="1130">
        <f ca="1">JY26*(_xlfn.XLOOKUP(JX$3,TabCalc[Ticker],TabCalc[M])+JZ26)</f>
        <v>0</v>
      </c>
      <c r="JY26" s="1132"/>
      <c r="JZ26" s="1134"/>
    </row>
    <row r="27" spans="1:286" x14ac:dyDescent="0.3">
      <c r="A27">
        <v>24</v>
      </c>
      <c r="B27" s="1130">
        <f ca="1">C27*(_xlfn.XLOOKUP(B$3,TabCalc[Ticker],TabCalc[M])+D27)</f>
        <v>0</v>
      </c>
      <c r="C27" s="1132"/>
      <c r="D27" s="1127"/>
      <c r="E27" s="1130">
        <f ca="1">F27*(_xlfn.XLOOKUP(E$3,TabCalc[Ticker],TabCalc[M])+G27)</f>
        <v>0</v>
      </c>
      <c r="F27" s="1132"/>
      <c r="G27" s="1127"/>
      <c r="H27" s="1130">
        <f ca="1">I27*(_xlfn.XLOOKUP(H$3,TabCalc[Ticker],TabCalc[M])+J27)</f>
        <v>0</v>
      </c>
      <c r="I27" s="1132"/>
      <c r="J27" s="1127"/>
      <c r="K27" s="1130">
        <f ca="1">L27*(_xlfn.XLOOKUP(K$3,TabCalc[Ticker],TabCalc[M])+M27)</f>
        <v>0</v>
      </c>
      <c r="L27" s="1132"/>
      <c r="M27" s="1127"/>
      <c r="N27" s="1130">
        <f ca="1">O27*(_xlfn.XLOOKUP(N$3,TabCalc[Ticker],TabCalc[M])+P27)</f>
        <v>0</v>
      </c>
      <c r="O27" s="1132"/>
      <c r="P27" s="1127"/>
      <c r="Q27" s="1130">
        <f ca="1">R27*(_xlfn.XLOOKUP(Q$3,TabCalc[Ticker],TabCalc[M])+S27)</f>
        <v>0</v>
      </c>
      <c r="R27" s="1132"/>
      <c r="S27" s="1127"/>
      <c r="T27" s="1130">
        <f ca="1">U27*(_xlfn.XLOOKUP(T$3,TabCalc[Ticker],TabCalc[M])+V27)</f>
        <v>0</v>
      </c>
      <c r="U27" s="1132"/>
      <c r="V27" s="1128"/>
      <c r="W27" s="1130">
        <f ca="1">X27*(_xlfn.XLOOKUP(W$3,TabCalc[Ticker],TabCalc[M])+Y27)</f>
        <v>0</v>
      </c>
      <c r="X27" s="1132"/>
      <c r="Y27" s="1127"/>
      <c r="Z27" s="1130">
        <f ca="1">AA27*(_xlfn.XLOOKUP(Z$3,TabCalc[Ticker],TabCalc[M])+AB27)</f>
        <v>0</v>
      </c>
      <c r="AA27" s="1133"/>
      <c r="AB27" s="1127"/>
      <c r="AC27" s="1130">
        <f ca="1">AD27*(_xlfn.XLOOKUP(AC$3,TabCalc[Ticker],TabCalc[M])+AE27)</f>
        <v>0</v>
      </c>
      <c r="AD27" s="1132"/>
      <c r="AE27" s="1127"/>
      <c r="AF27" s="1130">
        <f ca="1">AG27*(_xlfn.XLOOKUP(AF$3,TabCalc[Ticker],TabCalc[M])+AH27)</f>
        <v>0</v>
      </c>
      <c r="AG27" s="1132"/>
      <c r="AH27" s="1127"/>
      <c r="AI27" s="1130">
        <f ca="1">AJ27*(_xlfn.XLOOKUP(AI$3,TabCalc[Ticker],TabCalc[M])+AK27)</f>
        <v>0</v>
      </c>
      <c r="AJ27" s="1132"/>
      <c r="AK27" s="1127"/>
      <c r="AL27" s="1130">
        <f ca="1">AM27*(_xlfn.XLOOKUP(AL$3,TabCalc[Ticker],TabCalc[M])+AN27)</f>
        <v>0</v>
      </c>
      <c r="AM27" s="1132"/>
      <c r="AN27" s="1127"/>
      <c r="AO27" s="1130">
        <f ca="1">AP27*(_xlfn.XLOOKUP(AO$3,TabCalc[Ticker],TabCalc[M])+AQ27)</f>
        <v>0</v>
      </c>
      <c r="AP27" s="1132"/>
      <c r="AQ27" s="1127"/>
      <c r="AR27" s="1130">
        <f ca="1">AS27*(_xlfn.XLOOKUP(AR$3,TabCalc[Ticker],TabCalc[M])+AT27)</f>
        <v>0</v>
      </c>
      <c r="AS27" s="1132"/>
      <c r="AT27" s="1127"/>
      <c r="AU27" s="1130">
        <f ca="1">AV27*(_xlfn.XLOOKUP(AU$3,TabCalc[Ticker],TabCalc[M])+AW27)</f>
        <v>0</v>
      </c>
      <c r="AV27" s="1132"/>
      <c r="AW27" s="1127"/>
      <c r="AX27" s="1130">
        <f ca="1">AY27*(_xlfn.XLOOKUP(AX$3,TabCalc[Ticker],TabCalc[M])+AZ27)</f>
        <v>0</v>
      </c>
      <c r="AY27" s="1132"/>
      <c r="AZ27" s="1127"/>
      <c r="BA27" s="1130">
        <f ca="1">BB27*(_xlfn.XLOOKUP(BA$3,TabCalc[Ticker],TabCalc[M])+BC27)</f>
        <v>0</v>
      </c>
      <c r="BB27" s="1132"/>
      <c r="BC27" s="1127"/>
      <c r="BD27" s="1130">
        <f ca="1">BE27*(_xlfn.XLOOKUP(BD$3,TabCalc[Ticker],TabCalc[M])+BF27)</f>
        <v>0</v>
      </c>
      <c r="BE27" s="1132"/>
      <c r="BF27" s="1127"/>
      <c r="BG27" s="1130">
        <f ca="1">BH27*(_xlfn.XLOOKUP(BG$3,TabCalc[Ticker],TabCalc[M])+BI27)</f>
        <v>0</v>
      </c>
      <c r="BH27" s="1132"/>
      <c r="BI27" s="1127"/>
      <c r="BJ27" s="1130">
        <f ca="1">BK27*(_xlfn.XLOOKUP(BJ$3,TabCalc[Ticker],TabCalc[M])+BL27)</f>
        <v>0</v>
      </c>
      <c r="BK27" s="1132"/>
      <c r="BL27" s="1127"/>
      <c r="BM27" s="1130">
        <f ca="1">BN27*(_xlfn.XLOOKUP(BM$3,TabCalc[Ticker],TabCalc[M])+BO27)</f>
        <v>0</v>
      </c>
      <c r="BN27" s="1132"/>
      <c r="BO27" s="1127"/>
      <c r="BP27" s="1130">
        <f ca="1">BQ27*(_xlfn.XLOOKUP(BP$3,TabCalc[Ticker],TabCalc[M])+BR27)</f>
        <v>0</v>
      </c>
      <c r="BQ27" s="1132"/>
      <c r="BR27" s="1127"/>
      <c r="BS27" s="1130">
        <f ca="1">BT27*(_xlfn.XLOOKUP(BS$3,TabCalc[Ticker],TabCalc[M])+BU27)</f>
        <v>0</v>
      </c>
      <c r="BT27" s="1132"/>
      <c r="BU27" s="1127"/>
      <c r="BV27" s="1130">
        <f ca="1">BW27*(_xlfn.XLOOKUP(BV$3,TabCalc[Ticker],TabCalc[M])+BX27)</f>
        <v>0</v>
      </c>
      <c r="BW27" s="1132"/>
      <c r="BX27" s="1127"/>
      <c r="BY27" s="1130">
        <f ca="1">BZ27*(_xlfn.XLOOKUP(BY$3,TabCalc[Ticker],TabCalc[M])+CA27)</f>
        <v>0</v>
      </c>
      <c r="BZ27" s="1132"/>
      <c r="CA27" s="1127"/>
      <c r="CB27" s="1130">
        <f ca="1">CC27*(_xlfn.XLOOKUP(CB$3,TabCalc[Ticker],TabCalc[M])+CD27)</f>
        <v>0</v>
      </c>
      <c r="CC27" s="1132"/>
      <c r="CD27" s="1127"/>
      <c r="CE27" s="1130">
        <f ca="1">CF27*(_xlfn.XLOOKUP(CE$3,TabCalc[Ticker],TabCalc[M])+CG27)</f>
        <v>0</v>
      </c>
      <c r="CF27" s="1132"/>
      <c r="CG27" s="1127"/>
      <c r="CH27" s="1130">
        <f ca="1">CI27*(_xlfn.XLOOKUP(CH$3,TabCalc[Ticker],TabCalc[M])+CJ27)</f>
        <v>0</v>
      </c>
      <c r="CI27" s="1132"/>
      <c r="CJ27" s="1127"/>
      <c r="CK27" s="1130">
        <f ca="1">CL27*(_xlfn.XLOOKUP(CK$3,TabCalc[Ticker],TabCalc[M])+CM27)</f>
        <v>0</v>
      </c>
      <c r="CL27" s="1132"/>
      <c r="CM27" s="1127"/>
      <c r="CN27" s="1130">
        <f ca="1">CO27*(_xlfn.XLOOKUP(CN$3,TabCalc[Ticker],TabCalc[M])+CP27)</f>
        <v>0</v>
      </c>
      <c r="CO27" s="1132"/>
      <c r="CP27" s="1127"/>
      <c r="CQ27" s="1130">
        <f ca="1">CR27*(_xlfn.XLOOKUP(CQ$3,TabCalc[Ticker],TabCalc[M])+CS27)</f>
        <v>0</v>
      </c>
      <c r="CR27" s="1132"/>
      <c r="CS27" s="1127"/>
      <c r="CT27" s="1130">
        <f ca="1">CU27*(_xlfn.XLOOKUP(CT$3,TabCalc[Ticker],TabCalc[M])+CV27)</f>
        <v>0</v>
      </c>
      <c r="CU27" s="1132"/>
      <c r="CV27" s="1127"/>
      <c r="CW27" s="1130">
        <f ca="1">CX27*(_xlfn.XLOOKUP(CW$3,TabCalc[Ticker],TabCalc[M])+CY27)</f>
        <v>0</v>
      </c>
      <c r="CX27" s="1132"/>
      <c r="CY27" s="1127"/>
      <c r="CZ27" s="1130">
        <f ca="1">DA27*(_xlfn.XLOOKUP(CZ$3,TabCalc[Ticker],TabCalc[M])+DB27)</f>
        <v>0</v>
      </c>
      <c r="DA27" s="1132"/>
      <c r="DB27" s="1127"/>
      <c r="DC27" s="1130">
        <f ca="1">DD27*(_xlfn.XLOOKUP(DC$3,TabCalc[Ticker],TabCalc[M])+DE27)</f>
        <v>0</v>
      </c>
      <c r="DD27" s="1132"/>
      <c r="DE27" s="1127"/>
      <c r="DF27" s="1130">
        <f ca="1">DG27*(_xlfn.XLOOKUP(DF$3,TabCalc[Ticker],TabCalc[M])+DH27)</f>
        <v>0</v>
      </c>
      <c r="DG27" s="1132"/>
      <c r="DH27" s="1127"/>
      <c r="DI27" s="1130">
        <f ca="1">DJ27*(_xlfn.XLOOKUP(DI$3,TabCalc[Ticker],TabCalc[M])+DK27)</f>
        <v>0</v>
      </c>
      <c r="DJ27" s="1132"/>
      <c r="DK27" s="1127"/>
      <c r="DL27" s="1130">
        <f ca="1">DM27*(_xlfn.XLOOKUP(DL$3,TabCalc[Ticker],TabCalc[M])+DN27)</f>
        <v>0</v>
      </c>
      <c r="DM27" s="1132"/>
      <c r="DN27" s="1127"/>
      <c r="DO27" s="1130">
        <f ca="1">DP27*(_xlfn.XLOOKUP(DO$3,TabCalc[Ticker],TabCalc[M])+DQ27)</f>
        <v>0</v>
      </c>
      <c r="DP27" s="1132"/>
      <c r="DQ27" s="1127"/>
      <c r="DR27" s="1130">
        <f ca="1">DS27*(_xlfn.XLOOKUP(DR$3,TabCalc[Ticker],TabCalc[M])+DT27)</f>
        <v>0</v>
      </c>
      <c r="DS27" s="1132"/>
      <c r="DT27" s="1127"/>
      <c r="DU27" s="1130">
        <f ca="1">DV27*(_xlfn.XLOOKUP(DU$3,TabCalc[Ticker],TabCalc[M])+DW27)</f>
        <v>0</v>
      </c>
      <c r="DV27" s="1132"/>
      <c r="DW27" s="1127"/>
      <c r="DX27" s="1130">
        <f ca="1">DY27*(_xlfn.XLOOKUP(DX$3,TabCalc[Ticker],TabCalc[M])+DZ27)</f>
        <v>0</v>
      </c>
      <c r="DY27" s="1132"/>
      <c r="DZ27" s="1127"/>
      <c r="EA27" s="1130">
        <f ca="1">EB27*(_xlfn.XLOOKUP(EA$3,TabCalc[Ticker],TabCalc[M])+EC27)</f>
        <v>0</v>
      </c>
      <c r="EB27" s="1132"/>
      <c r="EC27" s="1127"/>
      <c r="ED27" s="1130">
        <f ca="1">EE27*(_xlfn.XLOOKUP(ED$3,TabCalc[Ticker],TabCalc[M])+EF27)</f>
        <v>0</v>
      </c>
      <c r="EE27" s="1132"/>
      <c r="EF27" s="1127"/>
      <c r="EG27" s="1130">
        <f ca="1">EH27*(_xlfn.XLOOKUP(EG$3,TabCalc[Ticker],TabCalc[M])+EI27)</f>
        <v>0</v>
      </c>
      <c r="EH27" s="1132"/>
      <c r="EI27" s="1127"/>
      <c r="EJ27" s="1130" t="e">
        <f ca="1">EK27*(_xlfn.XLOOKUP(EJ$3,TabCalc[Ticker],TabCalc[M])+EL27)</f>
        <v>#N/A</v>
      </c>
      <c r="EK27" s="1132"/>
      <c r="EL27" s="1127"/>
      <c r="EM27" s="1130">
        <f ca="1">EN27*(_xlfn.XLOOKUP(EM$3,TabCalc[Ticker],TabCalc[M])+EO27)</f>
        <v>0</v>
      </c>
      <c r="EN27" s="1132"/>
      <c r="EO27" s="1127"/>
      <c r="EP27" s="1130">
        <f ca="1">EQ27*(_xlfn.XLOOKUP(EP$3,TabCalc[Ticker],TabCalc[M])+ER27)</f>
        <v>0</v>
      </c>
      <c r="EQ27" s="1132"/>
      <c r="ER27" s="1127"/>
      <c r="ES27" s="1130">
        <f ca="1">ET27*(_xlfn.XLOOKUP(ES$3,TabCalc[Ticker],TabCalc[M])+EU27)</f>
        <v>0</v>
      </c>
      <c r="ET27" s="1132"/>
      <c r="EU27" s="1127"/>
      <c r="EV27" s="1130">
        <f ca="1">EW27*(_xlfn.XLOOKUP(EV$3,TabCalc[Ticker],TabCalc[M])+EX27)</f>
        <v>0</v>
      </c>
      <c r="EW27" s="1132"/>
      <c r="EX27" s="1134"/>
      <c r="EY27" s="1130">
        <f ca="1">EZ27*(_xlfn.XLOOKUP(EY$3,TabCalc[Ticker],TabCalc[M])+FA27)</f>
        <v>0</v>
      </c>
      <c r="EZ27" s="1132"/>
      <c r="FA27" s="1134"/>
      <c r="FB27" s="1130">
        <f ca="1">FC27*(_xlfn.XLOOKUP(FB$3,TabCalc[Ticker],TabCalc[M])+FD27)</f>
        <v>0</v>
      </c>
      <c r="FC27" s="1132"/>
      <c r="FD27" s="1134"/>
      <c r="FE27" s="1130">
        <f ca="1">FF27*(_xlfn.XLOOKUP(FE$3,TabCalc[Ticker],TabCalc[M])+FG27)</f>
        <v>0</v>
      </c>
      <c r="FF27" s="1132"/>
      <c r="FG27" s="1127"/>
      <c r="FH27" s="1130">
        <f ca="1">FI27*(_xlfn.XLOOKUP(FH$3,TabCalc[Ticker],TabCalc[M])+FJ27)</f>
        <v>0</v>
      </c>
      <c r="FI27" s="1132"/>
      <c r="FJ27" s="1127"/>
      <c r="FK27" s="1130">
        <f ca="1">FL27*(_xlfn.XLOOKUP(FK$3,TabCalc[Ticker],TabCalc[M])+FM27)</f>
        <v>0</v>
      </c>
      <c r="FL27" s="1132"/>
      <c r="FM27" s="1127"/>
      <c r="FN27" s="1130">
        <f ca="1">FO27*(_xlfn.XLOOKUP(FN$3,TabCalc[Ticker],TabCalc[M])+FP27)</f>
        <v>0</v>
      </c>
      <c r="FO27" s="1132"/>
      <c r="FP27" s="1127"/>
      <c r="FQ27" s="1130">
        <f ca="1">FR27*(_xlfn.XLOOKUP(FQ$3,TabCalc[Ticker],TabCalc[M])+FS27)</f>
        <v>0</v>
      </c>
      <c r="FR27" s="1132"/>
      <c r="FS27" s="1127"/>
      <c r="FT27" s="1130">
        <f ca="1">FU27*(_xlfn.XLOOKUP(FT$3,TabCalc[Ticker],TabCalc[M])+FV27)</f>
        <v>0</v>
      </c>
      <c r="FU27" s="1132"/>
      <c r="FV27" s="1127"/>
      <c r="FW27" s="1130">
        <f ca="1">FX27*(_xlfn.XLOOKUP(FW$3,TabCalc[Ticker],TabCalc[M])+FY27)</f>
        <v>0</v>
      </c>
      <c r="FX27" s="1132"/>
      <c r="FY27" s="1127"/>
      <c r="FZ27" s="1130">
        <f ca="1">GA27*(_xlfn.XLOOKUP(FZ$3,TabCalc[Ticker],TabCalc[M])+GB27)</f>
        <v>0</v>
      </c>
      <c r="GA27" s="1132"/>
      <c r="GB27" s="1127"/>
      <c r="GC27" s="1130">
        <f ca="1">GD27*(_xlfn.XLOOKUP(GC$3,TabCalc[Ticker],TabCalc[M])+GE27)</f>
        <v>0</v>
      </c>
      <c r="GD27" s="1132"/>
      <c r="GE27" s="1127"/>
      <c r="GF27" s="1130">
        <f ca="1">GG27*(_xlfn.XLOOKUP(GF$3,TabCalc[Ticker],TabCalc[M])+GH27)</f>
        <v>0</v>
      </c>
      <c r="GG27" s="1132"/>
      <c r="GH27" s="1127"/>
      <c r="GI27" s="1130">
        <f ca="1">GJ27*(_xlfn.XLOOKUP(GI$3,TabCalc[Ticker],TabCalc[M])+GK27)</f>
        <v>0</v>
      </c>
      <c r="GJ27" s="1132"/>
      <c r="GK27" s="1127"/>
      <c r="GL27" s="1130">
        <f ca="1">GM27*(_xlfn.XLOOKUP(GL$3,TabCalc[Ticker],TabCalc[M])+GN27)</f>
        <v>0</v>
      </c>
      <c r="GM27" s="1132"/>
      <c r="GN27" s="1127"/>
      <c r="GO27" s="1130">
        <f ca="1">GP27*(_xlfn.XLOOKUP(GO$3,TabCalc[Ticker],TabCalc[M])+GQ27)</f>
        <v>0</v>
      </c>
      <c r="GP27" s="1132"/>
      <c r="GQ27" s="1127"/>
      <c r="GR27" s="1130">
        <f ca="1">GS27*(_xlfn.XLOOKUP(GR$3,TabCalc[Ticker],TabCalc[M])+GT27)</f>
        <v>0</v>
      </c>
      <c r="GS27" s="1132"/>
      <c r="GT27" s="1127"/>
      <c r="GU27" s="1130">
        <f ca="1">GV27*(_xlfn.XLOOKUP(GU$3,TabCalc[Ticker],TabCalc[M])+GW27)</f>
        <v>0</v>
      </c>
      <c r="GV27" s="1132"/>
      <c r="GW27" s="1127"/>
      <c r="GX27" s="1130">
        <f ca="1">GY27*(_xlfn.XLOOKUP(GX$3,TabCalc[Ticker],TabCalc[M])+GZ27)</f>
        <v>0</v>
      </c>
      <c r="GY27" s="1132"/>
      <c r="GZ27" s="1127"/>
      <c r="HA27" s="1130">
        <f ca="1">HB27*(_xlfn.XLOOKUP(HA$3,TabCalc[Ticker],TabCalc[M])+HC27)</f>
        <v>0</v>
      </c>
      <c r="HB27" s="1132"/>
      <c r="HC27" s="1127"/>
      <c r="HD27" s="1130">
        <f ca="1">HE27*(_xlfn.XLOOKUP(HD$3,TabCalc[Ticker],TabCalc[M])+HF27)</f>
        <v>0</v>
      </c>
      <c r="HE27" s="1132"/>
      <c r="HF27" s="1127"/>
      <c r="HG27" s="1130">
        <f ca="1">HH27*(_xlfn.XLOOKUP(HG$3,TabCalc[Ticker],TabCalc[M])+HI27)</f>
        <v>0</v>
      </c>
      <c r="HH27" s="1132"/>
      <c r="HI27" s="1127"/>
      <c r="HJ27" s="1130">
        <f ca="1">HK27*(_xlfn.XLOOKUP(HJ$3,TabCalc[Ticker],TabCalc[M])+HL27)</f>
        <v>0</v>
      </c>
      <c r="HK27" s="1132"/>
      <c r="HL27" s="1127"/>
      <c r="HM27" s="1130">
        <f ca="1">HN27*(_xlfn.XLOOKUP(HM$3,TabCalc[Ticker],TabCalc[M])+HO27)</f>
        <v>0</v>
      </c>
      <c r="HN27" s="1132"/>
      <c r="HO27" s="1127"/>
      <c r="HP27" s="1130">
        <f ca="1">HQ27*(_xlfn.XLOOKUP(HP$3,TabCalc[Ticker],TabCalc[M])+HR27)</f>
        <v>0</v>
      </c>
      <c r="HQ27" s="1132"/>
      <c r="HR27" s="1127"/>
      <c r="HS27" s="1130">
        <f ca="1">HT27*(_xlfn.XLOOKUP(HS$3,TabCalc[Ticker],TabCalc[M])+HU27)</f>
        <v>0</v>
      </c>
      <c r="HT27" s="1132"/>
      <c r="HU27" s="1127"/>
      <c r="HV27" s="1130">
        <f ca="1">HW27*(_xlfn.XLOOKUP(HV$3,TabCalc[Ticker],TabCalc[M])+HX27)</f>
        <v>0</v>
      </c>
      <c r="HW27" s="1132"/>
      <c r="HX27" s="1127"/>
      <c r="HY27" s="1130">
        <f ca="1">HZ27*(_xlfn.XLOOKUP(HY$3,TabCalc[Ticker],TabCalc[M])+IA27)</f>
        <v>0</v>
      </c>
      <c r="HZ27" s="1132"/>
      <c r="IA27" s="1127"/>
      <c r="IB27" s="1130">
        <f ca="1">IC27*(_xlfn.XLOOKUP(IB$3,TabCalc[Ticker],TabCalc[M])+ID27)</f>
        <v>0</v>
      </c>
      <c r="IC27" s="1132"/>
      <c r="ID27" s="1127"/>
      <c r="IE27" s="1130">
        <f ca="1">IF27*(_xlfn.XLOOKUP(IE$3,TabCalc[Ticker],TabCalc[M])+IG27)</f>
        <v>0</v>
      </c>
      <c r="IF27" s="1132"/>
      <c r="IG27" s="1127"/>
      <c r="IH27" s="1130">
        <f ca="1">II27*(_xlfn.XLOOKUP(IH$3,TabCalc[Ticker],TabCalc[M])+IJ27)</f>
        <v>0</v>
      </c>
      <c r="II27" s="1132"/>
      <c r="IJ27" s="1127"/>
      <c r="IK27" s="1130">
        <f ca="1">IL27*(_xlfn.XLOOKUP(IK$3,TabCalc[Ticker],TabCalc[M])+IM27)</f>
        <v>0</v>
      </c>
      <c r="IL27" s="1132"/>
      <c r="IM27" s="1127"/>
      <c r="IN27" s="1130">
        <f ca="1">IO27*(_xlfn.XLOOKUP(IN$3,TabCalc[Ticker],TabCalc[M])+IP27)</f>
        <v>0</v>
      </c>
      <c r="IO27" s="1132"/>
      <c r="IP27" s="1127"/>
      <c r="IQ27" s="1130">
        <f ca="1">IR27*(_xlfn.XLOOKUP(IQ$3,TabCalc[Ticker],TabCalc[M]))</f>
        <v>0</v>
      </c>
      <c r="IR27" s="1132"/>
      <c r="IS27" s="1127"/>
      <c r="IT27" s="1130">
        <f ca="1">IU27*(_xlfn.XLOOKUP(IT$3,TabCalc[Ticker],TabCalc[M])+IV27)</f>
        <v>0</v>
      </c>
      <c r="IU27" s="1132"/>
      <c r="IV27" s="1127"/>
      <c r="IW27" s="1130">
        <f ca="1">IX27*(_xlfn.XLOOKUP(IW$3,TabCalc[Ticker],TabCalc[M])+IY27)</f>
        <v>0</v>
      </c>
      <c r="IX27" s="1132"/>
      <c r="IY27" s="1127"/>
      <c r="IZ27" s="1130">
        <f ca="1">JA27*(_xlfn.XLOOKUP(IZ$3,TabCalc[Ticker],TabCalc[M])+JB27)</f>
        <v>0</v>
      </c>
      <c r="JA27" s="1132"/>
      <c r="JB27" s="1127"/>
      <c r="JC27" s="1130">
        <f ca="1">JD27*(_xlfn.XLOOKUP(JC$3,TabCalc[Ticker],TabCalc[M])+JE27)</f>
        <v>0</v>
      </c>
      <c r="JD27" s="1132"/>
      <c r="JE27" s="1127"/>
      <c r="JF27" s="1130">
        <f ca="1">JG27*(_xlfn.XLOOKUP(JF$3,TabCalc[Ticker],TabCalc[M])+JH27)</f>
        <v>0</v>
      </c>
      <c r="JG27" s="1132"/>
      <c r="JH27" s="1127"/>
      <c r="JI27" s="1130">
        <f ca="1">JJ27*(_xlfn.XLOOKUP(JI$3,TabCalc[Ticker],TabCalc[M])+JK27)</f>
        <v>0</v>
      </c>
      <c r="JJ27" s="1132"/>
      <c r="JK27" s="1127"/>
      <c r="JL27" s="1130">
        <f ca="1">JM27*(_xlfn.XLOOKUP(JL$3,TabCalc[Ticker],TabCalc[M])+JN27)</f>
        <v>0</v>
      </c>
      <c r="JM27" s="1132"/>
      <c r="JN27" s="1127"/>
      <c r="JO27" s="1130">
        <f ca="1">JP27*(_xlfn.XLOOKUP(JO$3,TabCalc[Ticker],TabCalc[M])+JQ27)</f>
        <v>0</v>
      </c>
      <c r="JP27" s="1132"/>
      <c r="JQ27" s="1127"/>
      <c r="JR27" s="1130">
        <f ca="1">JS27*(_xlfn.XLOOKUP(JR$3,TabCalc[Ticker],TabCalc[M])+JT27)</f>
        <v>0</v>
      </c>
      <c r="JS27" s="1132"/>
      <c r="JT27" s="1127"/>
      <c r="JU27" s="1130">
        <f ca="1">JV27*(_xlfn.XLOOKUP(JU$3,TabCalc[Ticker],TabCalc[M])+JW27)</f>
        <v>0</v>
      </c>
      <c r="JV27" s="1137"/>
      <c r="JW27" s="1127"/>
      <c r="JX27" s="1130">
        <f ca="1">JY27*(_xlfn.XLOOKUP(JX$3,TabCalc[Ticker],TabCalc[M])+JZ27)</f>
        <v>0</v>
      </c>
      <c r="JY27" s="1132"/>
      <c r="JZ27" s="1134"/>
    </row>
    <row r="28" spans="1:286" x14ac:dyDescent="0.3">
      <c r="A28">
        <v>25</v>
      </c>
      <c r="B28" s="1130">
        <f ca="1">C28*(_xlfn.XLOOKUP(B$3,TabCalc[Ticker],TabCalc[M])+D28)</f>
        <v>0</v>
      </c>
      <c r="C28" s="1132"/>
      <c r="D28" s="1127"/>
      <c r="E28" s="1130">
        <f ca="1">F28*(_xlfn.XLOOKUP(E$3,TabCalc[Ticker],TabCalc[M])+G28)</f>
        <v>0</v>
      </c>
      <c r="F28" s="1132"/>
      <c r="G28" s="1127"/>
      <c r="H28" s="1130">
        <f ca="1">I28*(_xlfn.XLOOKUP(H$3,TabCalc[Ticker],TabCalc[M])+J28)</f>
        <v>0</v>
      </c>
      <c r="I28" s="1132"/>
      <c r="J28" s="1127"/>
      <c r="K28" s="1130">
        <f ca="1">L28*(_xlfn.XLOOKUP(K$3,TabCalc[Ticker],TabCalc[M])+M28)</f>
        <v>0</v>
      </c>
      <c r="L28" s="1132"/>
      <c r="M28" s="1127"/>
      <c r="N28" s="1130">
        <f ca="1">O28*(_xlfn.XLOOKUP(N$3,TabCalc[Ticker],TabCalc[M])+P28)</f>
        <v>0</v>
      </c>
      <c r="O28" s="1132"/>
      <c r="P28" s="1127"/>
      <c r="Q28" s="1130">
        <f ca="1">R28*(_xlfn.XLOOKUP(Q$3,TabCalc[Ticker],TabCalc[M])+S28)</f>
        <v>0</v>
      </c>
      <c r="R28" s="1132"/>
      <c r="S28" s="1127"/>
      <c r="T28" s="1130">
        <f ca="1">U28*(_xlfn.XLOOKUP(T$3,TabCalc[Ticker],TabCalc[M])+V28)</f>
        <v>0</v>
      </c>
      <c r="U28" s="1132"/>
      <c r="V28" s="1128"/>
      <c r="W28" s="1130">
        <f ca="1">X28*(_xlfn.XLOOKUP(W$3,TabCalc[Ticker],TabCalc[M])+Y28)</f>
        <v>0</v>
      </c>
      <c r="X28" s="1132"/>
      <c r="Y28" s="1127"/>
      <c r="Z28" s="1130">
        <f ca="1">AA28*(_xlfn.XLOOKUP(Z$3,TabCalc[Ticker],TabCalc[M])+AB28)</f>
        <v>0</v>
      </c>
      <c r="AA28" s="1133"/>
      <c r="AB28" s="1127"/>
      <c r="AC28" s="1130">
        <f ca="1">AD28*(_xlfn.XLOOKUP(AC$3,TabCalc[Ticker],TabCalc[M])+AE28)</f>
        <v>0</v>
      </c>
      <c r="AD28" s="1132"/>
      <c r="AE28" s="1127"/>
      <c r="AF28" s="1130">
        <f ca="1">AG28*(_xlfn.XLOOKUP(AF$3,TabCalc[Ticker],TabCalc[M])+AH28)</f>
        <v>0</v>
      </c>
      <c r="AG28" s="1132"/>
      <c r="AH28" s="1127"/>
      <c r="AI28" s="1130">
        <f ca="1">AJ28*(_xlfn.XLOOKUP(AI$3,TabCalc[Ticker],TabCalc[M])+AK28)</f>
        <v>0</v>
      </c>
      <c r="AJ28" s="1132"/>
      <c r="AK28" s="1127"/>
      <c r="AL28" s="1130">
        <f ca="1">AM28*(_xlfn.XLOOKUP(AL$3,TabCalc[Ticker],TabCalc[M])+AN28)</f>
        <v>0</v>
      </c>
      <c r="AM28" s="1132"/>
      <c r="AN28" s="1127"/>
      <c r="AO28" s="1130">
        <f ca="1">AP28*(_xlfn.XLOOKUP(AO$3,TabCalc[Ticker],TabCalc[M])+AQ28)</f>
        <v>0</v>
      </c>
      <c r="AP28" s="1132"/>
      <c r="AQ28" s="1127"/>
      <c r="AR28" s="1130">
        <f ca="1">AS28*(_xlfn.XLOOKUP(AR$3,TabCalc[Ticker],TabCalc[M])+AT28)</f>
        <v>0</v>
      </c>
      <c r="AS28" s="1132"/>
      <c r="AT28" s="1127"/>
      <c r="AU28" s="1130">
        <f ca="1">AV28*(_xlfn.XLOOKUP(AU$3,TabCalc[Ticker],TabCalc[M])+AW28)</f>
        <v>0</v>
      </c>
      <c r="AV28" s="1132"/>
      <c r="AW28" s="1127"/>
      <c r="AX28" s="1130">
        <f ca="1">AY28*(_xlfn.XLOOKUP(AX$3,TabCalc[Ticker],TabCalc[M])+AZ28)</f>
        <v>0</v>
      </c>
      <c r="AY28" s="1132"/>
      <c r="AZ28" s="1127"/>
      <c r="BA28" s="1130">
        <f ca="1">BB28*(_xlfn.XLOOKUP(BA$3,TabCalc[Ticker],TabCalc[M])+BC28)</f>
        <v>0</v>
      </c>
      <c r="BB28" s="1132"/>
      <c r="BC28" s="1127"/>
      <c r="BD28" s="1130">
        <f ca="1">BE28*(_xlfn.XLOOKUP(BD$3,TabCalc[Ticker],TabCalc[M])+BF28)</f>
        <v>0</v>
      </c>
      <c r="BE28" s="1132"/>
      <c r="BF28" s="1127"/>
      <c r="BG28" s="1130">
        <f ca="1">BH28*(_xlfn.XLOOKUP(BG$3,TabCalc[Ticker],TabCalc[M])+BI28)</f>
        <v>0</v>
      </c>
      <c r="BH28" s="1132"/>
      <c r="BI28" s="1127"/>
      <c r="BJ28" s="1130">
        <f ca="1">BK28*(_xlfn.XLOOKUP(BJ$3,TabCalc[Ticker],TabCalc[M])+BL28)</f>
        <v>0</v>
      </c>
      <c r="BK28" s="1132"/>
      <c r="BL28" s="1127"/>
      <c r="BM28" s="1130">
        <f ca="1">BN28*(_xlfn.XLOOKUP(BM$3,TabCalc[Ticker],TabCalc[M])+BO28)</f>
        <v>0</v>
      </c>
      <c r="BN28" s="1132"/>
      <c r="BO28" s="1127"/>
      <c r="BP28" s="1130">
        <f ca="1">BQ28*(_xlfn.XLOOKUP(BP$3,TabCalc[Ticker],TabCalc[M])+BR28)</f>
        <v>0</v>
      </c>
      <c r="BQ28" s="1132"/>
      <c r="BR28" s="1127"/>
      <c r="BS28" s="1130">
        <f ca="1">BT28*(_xlfn.XLOOKUP(BS$3,TabCalc[Ticker],TabCalc[M])+BU28)</f>
        <v>0</v>
      </c>
      <c r="BT28" s="1132"/>
      <c r="BU28" s="1127"/>
      <c r="BV28" s="1130">
        <f ca="1">BW28*(_xlfn.XLOOKUP(BV$3,TabCalc[Ticker],TabCalc[M])+BX28)</f>
        <v>0</v>
      </c>
      <c r="BW28" s="1132"/>
      <c r="BX28" s="1127"/>
      <c r="BY28" s="1130">
        <f ca="1">BZ28*(_xlfn.XLOOKUP(BY$3,TabCalc[Ticker],TabCalc[M])+CA28)</f>
        <v>0</v>
      </c>
      <c r="BZ28" s="1132"/>
      <c r="CA28" s="1127"/>
      <c r="CB28" s="1130">
        <f ca="1">CC28*(_xlfn.XLOOKUP(CB$3,TabCalc[Ticker],TabCalc[M])+CD28)</f>
        <v>0</v>
      </c>
      <c r="CC28" s="1132"/>
      <c r="CD28" s="1127"/>
      <c r="CE28" s="1130">
        <f ca="1">CF28*(_xlfn.XLOOKUP(CE$3,TabCalc[Ticker],TabCalc[M])+CG28)</f>
        <v>0</v>
      </c>
      <c r="CF28" s="1132"/>
      <c r="CG28" s="1127"/>
      <c r="CH28" s="1130">
        <f ca="1">CI28*(_xlfn.XLOOKUP(CH$3,TabCalc[Ticker],TabCalc[M])+CJ28)</f>
        <v>0</v>
      </c>
      <c r="CI28" s="1132"/>
      <c r="CJ28" s="1127"/>
      <c r="CK28" s="1130">
        <f ca="1">CL28*(_xlfn.XLOOKUP(CK$3,TabCalc[Ticker],TabCalc[M])+CM28)</f>
        <v>0</v>
      </c>
      <c r="CL28" s="1132"/>
      <c r="CM28" s="1127"/>
      <c r="CN28" s="1130">
        <f ca="1">CO28*(_xlfn.XLOOKUP(CN$3,TabCalc[Ticker],TabCalc[M])+CP28)</f>
        <v>0</v>
      </c>
      <c r="CO28" s="1132"/>
      <c r="CP28" s="1127"/>
      <c r="CQ28" s="1130">
        <f ca="1">CR28*(_xlfn.XLOOKUP(CQ$3,TabCalc[Ticker],TabCalc[M])+CS28)</f>
        <v>0</v>
      </c>
      <c r="CR28" s="1132"/>
      <c r="CS28" s="1127"/>
      <c r="CT28" s="1130">
        <f ca="1">CU28*(_xlfn.XLOOKUP(CT$3,TabCalc[Ticker],TabCalc[M])+CV28)</f>
        <v>0</v>
      </c>
      <c r="CU28" s="1132"/>
      <c r="CV28" s="1127"/>
      <c r="CW28" s="1130">
        <f ca="1">CX28*(_xlfn.XLOOKUP(CW$3,TabCalc[Ticker],TabCalc[M])+CY28)</f>
        <v>0</v>
      </c>
      <c r="CX28" s="1132"/>
      <c r="CY28" s="1127"/>
      <c r="CZ28" s="1130">
        <f ca="1">DA28*(_xlfn.XLOOKUP(CZ$3,TabCalc[Ticker],TabCalc[M])+DB28)</f>
        <v>0</v>
      </c>
      <c r="DA28" s="1132"/>
      <c r="DB28" s="1127"/>
      <c r="DC28" s="1130">
        <f ca="1">DD28*(_xlfn.XLOOKUP(DC$3,TabCalc[Ticker],TabCalc[M])+DE28)</f>
        <v>0</v>
      </c>
      <c r="DD28" s="1132"/>
      <c r="DE28" s="1127"/>
      <c r="DF28" s="1130">
        <f ca="1">DG28*(_xlfn.XLOOKUP(DF$3,TabCalc[Ticker],TabCalc[M])+DH28)</f>
        <v>0</v>
      </c>
      <c r="DG28" s="1132"/>
      <c r="DH28" s="1127"/>
      <c r="DI28" s="1130">
        <f ca="1">DJ28*(_xlfn.XLOOKUP(DI$3,TabCalc[Ticker],TabCalc[M])+DK28)</f>
        <v>0</v>
      </c>
      <c r="DJ28" s="1132"/>
      <c r="DK28" s="1127"/>
      <c r="DL28" s="1130">
        <f ca="1">DM28*(_xlfn.XLOOKUP(DL$3,TabCalc[Ticker],TabCalc[M])+DN28)</f>
        <v>0</v>
      </c>
      <c r="DM28" s="1132"/>
      <c r="DN28" s="1127"/>
      <c r="DO28" s="1130">
        <f ca="1">DP28*(_xlfn.XLOOKUP(DO$3,TabCalc[Ticker],TabCalc[M])+DQ28)</f>
        <v>0</v>
      </c>
      <c r="DP28" s="1132"/>
      <c r="DQ28" s="1127"/>
      <c r="DR28" s="1130">
        <f ca="1">DS28*(_xlfn.XLOOKUP(DR$3,TabCalc[Ticker],TabCalc[M])+DT28)</f>
        <v>0</v>
      </c>
      <c r="DS28" s="1132"/>
      <c r="DT28" s="1127"/>
      <c r="DU28" s="1130">
        <f ca="1">DV28*(_xlfn.XLOOKUP(DU$3,TabCalc[Ticker],TabCalc[M])+DW28)</f>
        <v>0</v>
      </c>
      <c r="DV28" s="1132"/>
      <c r="DW28" s="1127"/>
      <c r="DX28" s="1130">
        <f ca="1">DY28*(_xlfn.XLOOKUP(DX$3,TabCalc[Ticker],TabCalc[M])+DZ28)</f>
        <v>0</v>
      </c>
      <c r="DY28" s="1132"/>
      <c r="DZ28" s="1127"/>
      <c r="EA28" s="1130">
        <f ca="1">EB28*(_xlfn.XLOOKUP(EA$3,TabCalc[Ticker],TabCalc[M])+EC28)</f>
        <v>0</v>
      </c>
      <c r="EB28" s="1132"/>
      <c r="EC28" s="1127"/>
      <c r="ED28" s="1130">
        <f ca="1">EE28*(_xlfn.XLOOKUP(ED$3,TabCalc[Ticker],TabCalc[M])+EF28)</f>
        <v>0</v>
      </c>
      <c r="EE28" s="1132"/>
      <c r="EF28" s="1127"/>
      <c r="EG28" s="1130">
        <f ca="1">EH28*(_xlfn.XLOOKUP(EG$3,TabCalc[Ticker],TabCalc[M])+EI28)</f>
        <v>0</v>
      </c>
      <c r="EH28" s="1132"/>
      <c r="EI28" s="1127"/>
      <c r="EJ28" s="1130" t="e">
        <f ca="1">EK28*(_xlfn.XLOOKUP(EJ$3,TabCalc[Ticker],TabCalc[M])+EL28)</f>
        <v>#N/A</v>
      </c>
      <c r="EK28" s="1132"/>
      <c r="EL28" s="1127"/>
      <c r="EM28" s="1130">
        <f ca="1">EN28*(_xlfn.XLOOKUP(EM$3,TabCalc[Ticker],TabCalc[M])+EO28)</f>
        <v>0</v>
      </c>
      <c r="EN28" s="1132"/>
      <c r="EO28" s="1127"/>
      <c r="EP28" s="1130">
        <f ca="1">EQ28*(_xlfn.XLOOKUP(EP$3,TabCalc[Ticker],TabCalc[M])+ER28)</f>
        <v>0</v>
      </c>
      <c r="EQ28" s="1132"/>
      <c r="ER28" s="1127"/>
      <c r="ES28" s="1130">
        <f ca="1">ET28*(_xlfn.XLOOKUP(ES$3,TabCalc[Ticker],TabCalc[M])+EU28)</f>
        <v>0</v>
      </c>
      <c r="ET28" s="1132"/>
      <c r="EU28" s="1127"/>
      <c r="EV28" s="1130">
        <f ca="1">EW28*(_xlfn.XLOOKUP(EV$3,TabCalc[Ticker],TabCalc[M])+EX28)</f>
        <v>0</v>
      </c>
      <c r="EW28" s="1132"/>
      <c r="EX28" s="1134"/>
      <c r="EY28" s="1130">
        <f ca="1">EZ28*(_xlfn.XLOOKUP(EY$3,TabCalc[Ticker],TabCalc[M])+FA28)</f>
        <v>0</v>
      </c>
      <c r="EZ28" s="1132"/>
      <c r="FA28" s="1134"/>
      <c r="FB28" s="1130">
        <f ca="1">FC28*(_xlfn.XLOOKUP(FB$3,TabCalc[Ticker],TabCalc[M])+FD28)</f>
        <v>0</v>
      </c>
      <c r="FC28" s="1132"/>
      <c r="FD28" s="1134"/>
      <c r="FE28" s="1130">
        <f ca="1">FF28*(_xlfn.XLOOKUP(FE$3,TabCalc[Ticker],TabCalc[M])+FG28)</f>
        <v>0</v>
      </c>
      <c r="FF28" s="1132"/>
      <c r="FG28" s="1127"/>
      <c r="FH28" s="1130">
        <f ca="1">FI28*(_xlfn.XLOOKUP(FH$3,TabCalc[Ticker],TabCalc[M])+FJ28)</f>
        <v>0</v>
      </c>
      <c r="FI28" s="1132"/>
      <c r="FJ28" s="1127"/>
      <c r="FK28" s="1130">
        <f ca="1">FL28*(_xlfn.XLOOKUP(FK$3,TabCalc[Ticker],TabCalc[M])+FM28)</f>
        <v>0</v>
      </c>
      <c r="FL28" s="1132"/>
      <c r="FM28" s="1127"/>
      <c r="FN28" s="1130">
        <f ca="1">FO28*(_xlfn.XLOOKUP(FN$3,TabCalc[Ticker],TabCalc[M])+FP28)</f>
        <v>0</v>
      </c>
      <c r="FO28" s="1132"/>
      <c r="FP28" s="1127"/>
      <c r="FQ28" s="1130">
        <f ca="1">FR28*(_xlfn.XLOOKUP(FQ$3,TabCalc[Ticker],TabCalc[M])+FS28)</f>
        <v>0</v>
      </c>
      <c r="FR28" s="1132"/>
      <c r="FS28" s="1127"/>
      <c r="FT28" s="1130">
        <f ca="1">FU28*(_xlfn.XLOOKUP(FT$3,TabCalc[Ticker],TabCalc[M])+FV28)</f>
        <v>0</v>
      </c>
      <c r="FU28" s="1132"/>
      <c r="FV28" s="1127"/>
      <c r="FW28" s="1130">
        <f ca="1">FX28*(_xlfn.XLOOKUP(FW$3,TabCalc[Ticker],TabCalc[M])+FY28)</f>
        <v>0</v>
      </c>
      <c r="FX28" s="1132"/>
      <c r="FY28" s="1127"/>
      <c r="FZ28" s="1130">
        <f ca="1">GA28*(_xlfn.XLOOKUP(FZ$3,TabCalc[Ticker],TabCalc[M])+GB28)</f>
        <v>0</v>
      </c>
      <c r="GA28" s="1132"/>
      <c r="GB28" s="1127"/>
      <c r="GC28" s="1130">
        <f ca="1">GD28*(_xlfn.XLOOKUP(GC$3,TabCalc[Ticker],TabCalc[M])+GE28)</f>
        <v>0</v>
      </c>
      <c r="GD28" s="1132"/>
      <c r="GE28" s="1127"/>
      <c r="GF28" s="1130">
        <f ca="1">GG28*(_xlfn.XLOOKUP(GF$3,TabCalc[Ticker],TabCalc[M])+GH28)</f>
        <v>0</v>
      </c>
      <c r="GG28" s="1132"/>
      <c r="GH28" s="1127"/>
      <c r="GI28" s="1130">
        <f ca="1">GJ28*(_xlfn.XLOOKUP(GI$3,TabCalc[Ticker],TabCalc[M])+GK28)</f>
        <v>0</v>
      </c>
      <c r="GJ28" s="1132"/>
      <c r="GK28" s="1127"/>
      <c r="GL28" s="1130">
        <f ca="1">GM28*(_xlfn.XLOOKUP(GL$3,TabCalc[Ticker],TabCalc[M])+GN28)</f>
        <v>0</v>
      </c>
      <c r="GM28" s="1132"/>
      <c r="GN28" s="1127"/>
      <c r="GO28" s="1130">
        <f ca="1">GP28*(_xlfn.XLOOKUP(GO$3,TabCalc[Ticker],TabCalc[M])+GQ28)</f>
        <v>0</v>
      </c>
      <c r="GP28" s="1132"/>
      <c r="GQ28" s="1127"/>
      <c r="GR28" s="1130">
        <f ca="1">GS28*(_xlfn.XLOOKUP(GR$3,TabCalc[Ticker],TabCalc[M])+GT28)</f>
        <v>0</v>
      </c>
      <c r="GS28" s="1132"/>
      <c r="GT28" s="1127"/>
      <c r="GU28" s="1130">
        <f ca="1">GV28*(_xlfn.XLOOKUP(GU$3,TabCalc[Ticker],TabCalc[M])+GW28)</f>
        <v>0</v>
      </c>
      <c r="GV28" s="1132"/>
      <c r="GW28" s="1127"/>
      <c r="GX28" s="1130">
        <f ca="1">GY28*(_xlfn.XLOOKUP(GX$3,TabCalc[Ticker],TabCalc[M])+GZ28)</f>
        <v>0</v>
      </c>
      <c r="GY28" s="1132"/>
      <c r="GZ28" s="1127"/>
      <c r="HA28" s="1130">
        <f ca="1">HB28*(_xlfn.XLOOKUP(HA$3,TabCalc[Ticker],TabCalc[M])+HC28)</f>
        <v>0</v>
      </c>
      <c r="HB28" s="1132"/>
      <c r="HC28" s="1127"/>
      <c r="HD28" s="1130">
        <f ca="1">HE28*(_xlfn.XLOOKUP(HD$3,TabCalc[Ticker],TabCalc[M])+HF28)</f>
        <v>0</v>
      </c>
      <c r="HE28" s="1132"/>
      <c r="HF28" s="1127"/>
      <c r="HG28" s="1130">
        <f ca="1">HH28*(_xlfn.XLOOKUP(HG$3,TabCalc[Ticker],TabCalc[M])+HI28)</f>
        <v>0</v>
      </c>
      <c r="HH28" s="1132"/>
      <c r="HI28" s="1127"/>
      <c r="HJ28" s="1130">
        <f ca="1">HK28*(_xlfn.XLOOKUP(HJ$3,TabCalc[Ticker],TabCalc[M])+HL28)</f>
        <v>0</v>
      </c>
      <c r="HK28" s="1132"/>
      <c r="HL28" s="1127"/>
      <c r="HM28" s="1130">
        <f ca="1">HN28*(_xlfn.XLOOKUP(HM$3,TabCalc[Ticker],TabCalc[M])+HO28)</f>
        <v>0</v>
      </c>
      <c r="HN28" s="1132"/>
      <c r="HO28" s="1127"/>
      <c r="HP28" s="1130">
        <f ca="1">HQ28*(_xlfn.XLOOKUP(HP$3,TabCalc[Ticker],TabCalc[M])+HR28)</f>
        <v>0</v>
      </c>
      <c r="HQ28" s="1132"/>
      <c r="HR28" s="1127"/>
      <c r="HS28" s="1130">
        <f ca="1">HT28*(_xlfn.XLOOKUP(HS$3,TabCalc[Ticker],TabCalc[M])+HU28)</f>
        <v>0</v>
      </c>
      <c r="HT28" s="1132"/>
      <c r="HU28" s="1127"/>
      <c r="HV28" s="1130">
        <f ca="1">HW28*(_xlfn.XLOOKUP(HV$3,TabCalc[Ticker],TabCalc[M])+HX28)</f>
        <v>0</v>
      </c>
      <c r="HW28" s="1132"/>
      <c r="HX28" s="1127"/>
      <c r="HY28" s="1130">
        <f ca="1">HZ28*(_xlfn.XLOOKUP(HY$3,TabCalc[Ticker],TabCalc[M])+IA28)</f>
        <v>0</v>
      </c>
      <c r="HZ28" s="1132"/>
      <c r="IA28" s="1127"/>
      <c r="IB28" s="1130">
        <f ca="1">IC28*(_xlfn.XLOOKUP(IB$3,TabCalc[Ticker],TabCalc[M])+ID28)</f>
        <v>0</v>
      </c>
      <c r="IC28" s="1132"/>
      <c r="ID28" s="1127"/>
      <c r="IE28" s="1130">
        <f ca="1">IF28*(_xlfn.XLOOKUP(IE$3,TabCalc[Ticker],TabCalc[M])+IG28)</f>
        <v>0</v>
      </c>
      <c r="IF28" s="1132"/>
      <c r="IG28" s="1127"/>
      <c r="IH28" s="1130">
        <f ca="1">II28*(_xlfn.XLOOKUP(IH$3,TabCalc[Ticker],TabCalc[M])+IJ28)</f>
        <v>0</v>
      </c>
      <c r="II28" s="1132"/>
      <c r="IJ28" s="1127"/>
      <c r="IK28" s="1130">
        <f ca="1">IL28*(_xlfn.XLOOKUP(IK$3,TabCalc[Ticker],TabCalc[M])+IM28)</f>
        <v>0</v>
      </c>
      <c r="IL28" s="1132"/>
      <c r="IM28" s="1127"/>
      <c r="IN28" s="1130">
        <f ca="1">IO28*(_xlfn.XLOOKUP(IN$3,TabCalc[Ticker],TabCalc[M])+IP28)</f>
        <v>0</v>
      </c>
      <c r="IO28" s="1132"/>
      <c r="IP28" s="1127"/>
      <c r="IQ28" s="1130">
        <f ca="1">IR28*(_xlfn.XLOOKUP(IQ$3,TabCalc[Ticker],TabCalc[M]))</f>
        <v>0</v>
      </c>
      <c r="IR28" s="1132"/>
      <c r="IS28" s="1127"/>
      <c r="IT28" s="1130">
        <f ca="1">IU28*(_xlfn.XLOOKUP(IT$3,TabCalc[Ticker],TabCalc[M])+IV28)</f>
        <v>0</v>
      </c>
      <c r="IU28" s="1132"/>
      <c r="IV28" s="1127"/>
      <c r="IW28" s="1130">
        <f ca="1">IX28*(_xlfn.XLOOKUP(IW$3,TabCalc[Ticker],TabCalc[M])+IY28)</f>
        <v>0</v>
      </c>
      <c r="IX28" s="1132"/>
      <c r="IY28" s="1127"/>
      <c r="IZ28" s="1130">
        <f ca="1">JA28*(_xlfn.XLOOKUP(IZ$3,TabCalc[Ticker],TabCalc[M])+JB28)</f>
        <v>0</v>
      </c>
      <c r="JA28" s="1132"/>
      <c r="JB28" s="1127"/>
      <c r="JC28" s="1130">
        <f ca="1">JD28*(_xlfn.XLOOKUP(JC$3,TabCalc[Ticker],TabCalc[M])+JE28)</f>
        <v>0</v>
      </c>
      <c r="JD28" s="1132"/>
      <c r="JE28" s="1127"/>
      <c r="JF28" s="1130">
        <f ca="1">JG28*(_xlfn.XLOOKUP(JF$3,TabCalc[Ticker],TabCalc[M])+JH28)</f>
        <v>0</v>
      </c>
      <c r="JG28" s="1132"/>
      <c r="JH28" s="1127"/>
      <c r="JI28" s="1130">
        <f ca="1">JJ28*(_xlfn.XLOOKUP(JI$3,TabCalc[Ticker],TabCalc[M])+JK28)</f>
        <v>0</v>
      </c>
      <c r="JJ28" s="1132"/>
      <c r="JK28" s="1127"/>
      <c r="JL28" s="1130">
        <f ca="1">JM28*(_xlfn.XLOOKUP(JL$3,TabCalc[Ticker],TabCalc[M])+JN28)</f>
        <v>0</v>
      </c>
      <c r="JM28" s="1132"/>
      <c r="JN28" s="1127"/>
      <c r="JO28" s="1130">
        <f ca="1">JP28*(_xlfn.XLOOKUP(JO$3,TabCalc[Ticker],TabCalc[M])+JQ28)</f>
        <v>0</v>
      </c>
      <c r="JP28" s="1132"/>
      <c r="JQ28" s="1127"/>
      <c r="JR28" s="1130">
        <f ca="1">JS28*(_xlfn.XLOOKUP(JR$3,TabCalc[Ticker],TabCalc[M])+JT28)</f>
        <v>0</v>
      </c>
      <c r="JS28" s="1132"/>
      <c r="JT28" s="1127"/>
      <c r="JU28" s="1130">
        <f ca="1">JV28*(_xlfn.XLOOKUP(JU$3,TabCalc[Ticker],TabCalc[M])+JW28)</f>
        <v>0</v>
      </c>
      <c r="JV28" s="1137"/>
      <c r="JW28" s="1127"/>
      <c r="JX28" s="1130">
        <f ca="1">JY28*(_xlfn.XLOOKUP(JX$3,TabCalc[Ticker],TabCalc[M])+JZ28)</f>
        <v>0</v>
      </c>
      <c r="JY28" s="1132"/>
      <c r="JZ28" s="1134"/>
    </row>
    <row r="29" spans="1:286" x14ac:dyDescent="0.3">
      <c r="A29">
        <v>26</v>
      </c>
      <c r="B29" s="1130">
        <f ca="1">C29*(_xlfn.XLOOKUP(B$3,TabCalc[Ticker],TabCalc[M])+D29)</f>
        <v>0</v>
      </c>
      <c r="C29" s="1132"/>
      <c r="D29" s="1127"/>
      <c r="E29" s="1130">
        <f ca="1">F29*(_xlfn.XLOOKUP(E$3,TabCalc[Ticker],TabCalc[M])+G29)</f>
        <v>0</v>
      </c>
      <c r="F29" s="1132"/>
      <c r="G29" s="1127"/>
      <c r="H29" s="1130">
        <f ca="1">I29*(_xlfn.XLOOKUP(H$3,TabCalc[Ticker],TabCalc[M])+J29)</f>
        <v>0</v>
      </c>
      <c r="I29" s="1132"/>
      <c r="J29" s="1127"/>
      <c r="K29" s="1130">
        <f ca="1">L29*(_xlfn.XLOOKUP(K$3,TabCalc[Ticker],TabCalc[M])+M29)</f>
        <v>0</v>
      </c>
      <c r="L29" s="1132"/>
      <c r="M29" s="1127"/>
      <c r="N29" s="1130">
        <f ca="1">O29*(_xlfn.XLOOKUP(N$3,TabCalc[Ticker],TabCalc[M])+P29)</f>
        <v>0</v>
      </c>
      <c r="O29" s="1132"/>
      <c r="P29" s="1127"/>
      <c r="Q29" s="1130">
        <f ca="1">R29*(_xlfn.XLOOKUP(Q$3,TabCalc[Ticker],TabCalc[M])+S29)</f>
        <v>0</v>
      </c>
      <c r="R29" s="1132"/>
      <c r="S29" s="1127"/>
      <c r="T29" s="1130">
        <f ca="1">U29*(_xlfn.XLOOKUP(T$3,TabCalc[Ticker],TabCalc[M])+V29)</f>
        <v>0</v>
      </c>
      <c r="U29" s="1132"/>
      <c r="V29" s="1128"/>
      <c r="W29" s="1130">
        <f ca="1">X29*(_xlfn.XLOOKUP(W$3,TabCalc[Ticker],TabCalc[M])+Y29)</f>
        <v>0</v>
      </c>
      <c r="X29" s="1132"/>
      <c r="Y29" s="1127"/>
      <c r="Z29" s="1130">
        <f ca="1">AA29*(_xlfn.XLOOKUP(Z$3,TabCalc[Ticker],TabCalc[M])+AB29)</f>
        <v>0</v>
      </c>
      <c r="AA29" s="1133"/>
      <c r="AB29" s="1127"/>
      <c r="AC29" s="1130">
        <f ca="1">AD29*(_xlfn.XLOOKUP(AC$3,TabCalc[Ticker],TabCalc[M])+AE29)</f>
        <v>0</v>
      </c>
      <c r="AD29" s="1132"/>
      <c r="AE29" s="1127"/>
      <c r="AF29" s="1130">
        <f ca="1">AG29*(_xlfn.XLOOKUP(AF$3,TabCalc[Ticker],TabCalc[M])+AH29)</f>
        <v>0</v>
      </c>
      <c r="AG29" s="1132"/>
      <c r="AH29" s="1127"/>
      <c r="AI29" s="1130">
        <f ca="1">AJ29*(_xlfn.XLOOKUP(AI$3,TabCalc[Ticker],TabCalc[M])+AK29)</f>
        <v>0</v>
      </c>
      <c r="AJ29" s="1132"/>
      <c r="AK29" s="1127"/>
      <c r="AL29" s="1130">
        <f ca="1">AM29*(_xlfn.XLOOKUP(AL$3,TabCalc[Ticker],TabCalc[M])+AN29)</f>
        <v>0</v>
      </c>
      <c r="AM29" s="1132"/>
      <c r="AN29" s="1127"/>
      <c r="AO29" s="1130">
        <f ca="1">AP29*(_xlfn.XLOOKUP(AO$3,TabCalc[Ticker],TabCalc[M])+AQ29)</f>
        <v>0</v>
      </c>
      <c r="AP29" s="1132"/>
      <c r="AQ29" s="1127"/>
      <c r="AR29" s="1130">
        <f ca="1">AS29*(_xlfn.XLOOKUP(AR$3,TabCalc[Ticker],TabCalc[M])+AT29)</f>
        <v>0</v>
      </c>
      <c r="AS29" s="1132"/>
      <c r="AT29" s="1127"/>
      <c r="AU29" s="1130">
        <f ca="1">AV29*(_xlfn.XLOOKUP(AU$3,TabCalc[Ticker],TabCalc[M])+AW29)</f>
        <v>0</v>
      </c>
      <c r="AV29" s="1132"/>
      <c r="AW29" s="1127"/>
      <c r="AX29" s="1130">
        <f ca="1">AY29*(_xlfn.XLOOKUP(AX$3,TabCalc[Ticker],TabCalc[M])+AZ29)</f>
        <v>0</v>
      </c>
      <c r="AY29" s="1132"/>
      <c r="AZ29" s="1127"/>
      <c r="BA29" s="1130">
        <f ca="1">BB29*(_xlfn.XLOOKUP(BA$3,TabCalc[Ticker],TabCalc[M])+BC29)</f>
        <v>0</v>
      </c>
      <c r="BB29" s="1132"/>
      <c r="BC29" s="1127"/>
      <c r="BD29" s="1130">
        <f ca="1">BE29*(_xlfn.XLOOKUP(BD$3,TabCalc[Ticker],TabCalc[M])+BF29)</f>
        <v>0</v>
      </c>
      <c r="BE29" s="1132"/>
      <c r="BF29" s="1127"/>
      <c r="BG29" s="1130">
        <f ca="1">BH29*(_xlfn.XLOOKUP(BG$3,TabCalc[Ticker],TabCalc[M])+BI29)</f>
        <v>0</v>
      </c>
      <c r="BH29" s="1132"/>
      <c r="BI29" s="1127"/>
      <c r="BJ29" s="1130">
        <f ca="1">BK29*(_xlfn.XLOOKUP(BJ$3,TabCalc[Ticker],TabCalc[M])+BL29)</f>
        <v>0</v>
      </c>
      <c r="BK29" s="1132"/>
      <c r="BL29" s="1127"/>
      <c r="BM29" s="1130">
        <f ca="1">BN29*(_xlfn.XLOOKUP(BM$3,TabCalc[Ticker],TabCalc[M])+BO29)</f>
        <v>0</v>
      </c>
      <c r="BN29" s="1132"/>
      <c r="BO29" s="1127"/>
      <c r="BP29" s="1130">
        <f ca="1">BQ29*(_xlfn.XLOOKUP(BP$3,TabCalc[Ticker],TabCalc[M])+BR29)</f>
        <v>0</v>
      </c>
      <c r="BQ29" s="1132"/>
      <c r="BR29" s="1127"/>
      <c r="BS29" s="1130">
        <f ca="1">BT29*(_xlfn.XLOOKUP(BS$3,TabCalc[Ticker],TabCalc[M])+BU29)</f>
        <v>0</v>
      </c>
      <c r="BT29" s="1132"/>
      <c r="BU29" s="1127"/>
      <c r="BV29" s="1130">
        <f ca="1">BW29*(_xlfn.XLOOKUP(BV$3,TabCalc[Ticker],TabCalc[M])+BX29)</f>
        <v>0</v>
      </c>
      <c r="BW29" s="1132"/>
      <c r="BX29" s="1127"/>
      <c r="BY29" s="1130">
        <f ca="1">BZ29*(_xlfn.XLOOKUP(BY$3,TabCalc[Ticker],TabCalc[M])+CA29)</f>
        <v>0</v>
      </c>
      <c r="BZ29" s="1132"/>
      <c r="CA29" s="1127"/>
      <c r="CB29" s="1130">
        <f ca="1">CC29*(_xlfn.XLOOKUP(CB$3,TabCalc[Ticker],TabCalc[M])+CD29)</f>
        <v>0</v>
      </c>
      <c r="CC29" s="1132"/>
      <c r="CD29" s="1127"/>
      <c r="CE29" s="1130">
        <f ca="1">CF29*(_xlfn.XLOOKUP(CE$3,TabCalc[Ticker],TabCalc[M])+CG29)</f>
        <v>0</v>
      </c>
      <c r="CF29" s="1132"/>
      <c r="CG29" s="1127"/>
      <c r="CH29" s="1130">
        <f ca="1">CI29*(_xlfn.XLOOKUP(CH$3,TabCalc[Ticker],TabCalc[M])+CJ29)</f>
        <v>0</v>
      </c>
      <c r="CI29" s="1132"/>
      <c r="CJ29" s="1127"/>
      <c r="CK29" s="1130">
        <f ca="1">CL29*(_xlfn.XLOOKUP(CK$3,TabCalc[Ticker],TabCalc[M])+CM29)</f>
        <v>0</v>
      </c>
      <c r="CL29" s="1132"/>
      <c r="CM29" s="1127"/>
      <c r="CN29" s="1130">
        <f ca="1">CO29*(_xlfn.XLOOKUP(CN$3,TabCalc[Ticker],TabCalc[M])+CP29)</f>
        <v>0</v>
      </c>
      <c r="CO29" s="1132"/>
      <c r="CP29" s="1127"/>
      <c r="CQ29" s="1130">
        <f ca="1">CR29*(_xlfn.XLOOKUP(CQ$3,TabCalc[Ticker],TabCalc[M])+CS29)</f>
        <v>0</v>
      </c>
      <c r="CR29" s="1132"/>
      <c r="CS29" s="1127"/>
      <c r="CT29" s="1130">
        <f ca="1">CU29*(_xlfn.XLOOKUP(CT$3,TabCalc[Ticker],TabCalc[M])+CV29)</f>
        <v>0</v>
      </c>
      <c r="CU29" s="1132"/>
      <c r="CV29" s="1127"/>
      <c r="CW29" s="1130">
        <f ca="1">CX29*(_xlfn.XLOOKUP(CW$3,TabCalc[Ticker],TabCalc[M])+CY29)</f>
        <v>0</v>
      </c>
      <c r="CX29" s="1132"/>
      <c r="CY29" s="1127"/>
      <c r="CZ29" s="1130">
        <f ca="1">DA29*(_xlfn.XLOOKUP(CZ$3,TabCalc[Ticker],TabCalc[M])+DB29)</f>
        <v>0</v>
      </c>
      <c r="DA29" s="1132"/>
      <c r="DB29" s="1127"/>
      <c r="DC29" s="1130">
        <f ca="1">DD29*(_xlfn.XLOOKUP(DC$3,TabCalc[Ticker],TabCalc[M])+DE29)</f>
        <v>0</v>
      </c>
      <c r="DD29" s="1132"/>
      <c r="DE29" s="1127"/>
      <c r="DF29" s="1130">
        <f ca="1">DG29*(_xlfn.XLOOKUP(DF$3,TabCalc[Ticker],TabCalc[M])+DH29)</f>
        <v>0</v>
      </c>
      <c r="DG29" s="1132"/>
      <c r="DH29" s="1127"/>
      <c r="DI29" s="1130">
        <f ca="1">DJ29*(_xlfn.XLOOKUP(DI$3,TabCalc[Ticker],TabCalc[M])+DK29)</f>
        <v>0</v>
      </c>
      <c r="DJ29" s="1132"/>
      <c r="DK29" s="1127"/>
      <c r="DL29" s="1130">
        <f ca="1">DM29*(_xlfn.XLOOKUP(DL$3,TabCalc[Ticker],TabCalc[M])+DN29)</f>
        <v>0</v>
      </c>
      <c r="DM29" s="1132"/>
      <c r="DN29" s="1127"/>
      <c r="DO29" s="1130">
        <f ca="1">DP29*(_xlfn.XLOOKUP(DO$3,TabCalc[Ticker],TabCalc[M])+DQ29)</f>
        <v>0</v>
      </c>
      <c r="DP29" s="1132"/>
      <c r="DQ29" s="1127"/>
      <c r="DR29" s="1130">
        <f ca="1">DS29*(_xlfn.XLOOKUP(DR$3,TabCalc[Ticker],TabCalc[M])+DT29)</f>
        <v>0</v>
      </c>
      <c r="DS29" s="1132"/>
      <c r="DT29" s="1127"/>
      <c r="DU29" s="1130">
        <f ca="1">DV29*(_xlfn.XLOOKUP(DU$3,TabCalc[Ticker],TabCalc[M])+DW29)</f>
        <v>0</v>
      </c>
      <c r="DV29" s="1132"/>
      <c r="DW29" s="1127"/>
      <c r="DX29" s="1130">
        <f ca="1">DY29*(_xlfn.XLOOKUP(DX$3,TabCalc[Ticker],TabCalc[M])+DZ29)</f>
        <v>0</v>
      </c>
      <c r="DY29" s="1132"/>
      <c r="DZ29" s="1127"/>
      <c r="EA29" s="1130">
        <f ca="1">EB29*(_xlfn.XLOOKUP(EA$3,TabCalc[Ticker],TabCalc[M])+EC29)</f>
        <v>0</v>
      </c>
      <c r="EB29" s="1132"/>
      <c r="EC29" s="1127"/>
      <c r="ED29" s="1130">
        <f ca="1">EE29*(_xlfn.XLOOKUP(ED$3,TabCalc[Ticker],TabCalc[M])+EF29)</f>
        <v>0</v>
      </c>
      <c r="EE29" s="1132"/>
      <c r="EF29" s="1127"/>
      <c r="EG29" s="1130">
        <f ca="1">EH29*(_xlfn.XLOOKUP(EG$3,TabCalc[Ticker],TabCalc[M])+EI29)</f>
        <v>0</v>
      </c>
      <c r="EH29" s="1132"/>
      <c r="EI29" s="1127"/>
      <c r="EJ29" s="1130" t="e">
        <f ca="1">EK29*(_xlfn.XLOOKUP(EJ$3,TabCalc[Ticker],TabCalc[M])+EL29)</f>
        <v>#N/A</v>
      </c>
      <c r="EK29" s="1132"/>
      <c r="EL29" s="1127"/>
      <c r="EM29" s="1130">
        <f ca="1">EN29*(_xlfn.XLOOKUP(EM$3,TabCalc[Ticker],TabCalc[M])+EO29)</f>
        <v>0</v>
      </c>
      <c r="EN29" s="1132"/>
      <c r="EO29" s="1127"/>
      <c r="EP29" s="1130">
        <f ca="1">EQ29*(_xlfn.XLOOKUP(EP$3,TabCalc[Ticker],TabCalc[M])+ER29)</f>
        <v>0</v>
      </c>
      <c r="EQ29" s="1132"/>
      <c r="ER29" s="1127"/>
      <c r="ES29" s="1130">
        <f ca="1">ET29*(_xlfn.XLOOKUP(ES$3,TabCalc[Ticker],TabCalc[M])+EU29)</f>
        <v>0</v>
      </c>
      <c r="ET29" s="1132"/>
      <c r="EU29" s="1127"/>
      <c r="EV29" s="1130">
        <f ca="1">EW29*(_xlfn.XLOOKUP(EV$3,TabCalc[Ticker],TabCalc[M])+EX29)</f>
        <v>0</v>
      </c>
      <c r="EW29" s="1132"/>
      <c r="EX29" s="1134"/>
      <c r="EY29" s="1130">
        <f ca="1">EZ29*(_xlfn.XLOOKUP(EY$3,TabCalc[Ticker],TabCalc[M])+FA29)</f>
        <v>0</v>
      </c>
      <c r="EZ29" s="1132"/>
      <c r="FA29" s="1134"/>
      <c r="FB29" s="1130">
        <f ca="1">FC29*(_xlfn.XLOOKUP(FB$3,TabCalc[Ticker],TabCalc[M])+FD29)</f>
        <v>0</v>
      </c>
      <c r="FC29" s="1132"/>
      <c r="FD29" s="1134"/>
      <c r="FE29" s="1130">
        <f ca="1">FF29*(_xlfn.XLOOKUP(FE$3,TabCalc[Ticker],TabCalc[M])+FG29)</f>
        <v>0</v>
      </c>
      <c r="FF29" s="1132"/>
      <c r="FG29" s="1127"/>
      <c r="FH29" s="1130">
        <f ca="1">FI29*(_xlfn.XLOOKUP(FH$3,TabCalc[Ticker],TabCalc[M])+FJ29)</f>
        <v>0</v>
      </c>
      <c r="FI29" s="1132"/>
      <c r="FJ29" s="1127"/>
      <c r="FK29" s="1130">
        <f ca="1">FL29*(_xlfn.XLOOKUP(FK$3,TabCalc[Ticker],TabCalc[M])+FM29)</f>
        <v>0</v>
      </c>
      <c r="FL29" s="1132"/>
      <c r="FM29" s="1127"/>
      <c r="FN29" s="1130">
        <f ca="1">FO29*(_xlfn.XLOOKUP(FN$3,TabCalc[Ticker],TabCalc[M])+FP29)</f>
        <v>0</v>
      </c>
      <c r="FO29" s="1132"/>
      <c r="FP29" s="1127"/>
      <c r="FQ29" s="1130">
        <f ca="1">FR29*(_xlfn.XLOOKUP(FQ$3,TabCalc[Ticker],TabCalc[M])+FS29)</f>
        <v>0</v>
      </c>
      <c r="FR29" s="1132"/>
      <c r="FS29" s="1127"/>
      <c r="FT29" s="1130">
        <f ca="1">FU29*(_xlfn.XLOOKUP(FT$3,TabCalc[Ticker],TabCalc[M])+FV29)</f>
        <v>0</v>
      </c>
      <c r="FU29" s="1132"/>
      <c r="FV29" s="1127"/>
      <c r="FW29" s="1130">
        <f ca="1">FX29*(_xlfn.XLOOKUP(FW$3,TabCalc[Ticker],TabCalc[M])+FY29)</f>
        <v>0</v>
      </c>
      <c r="FX29" s="1132"/>
      <c r="FY29" s="1127"/>
      <c r="FZ29" s="1130">
        <f ca="1">GA29*(_xlfn.XLOOKUP(FZ$3,TabCalc[Ticker],TabCalc[M])+GB29)</f>
        <v>0</v>
      </c>
      <c r="GA29" s="1132"/>
      <c r="GB29" s="1127"/>
      <c r="GC29" s="1130">
        <f ca="1">GD29*(_xlfn.XLOOKUP(GC$3,TabCalc[Ticker],TabCalc[M])+GE29)</f>
        <v>0</v>
      </c>
      <c r="GD29" s="1132"/>
      <c r="GE29" s="1127"/>
      <c r="GF29" s="1130">
        <f ca="1">GG29*(_xlfn.XLOOKUP(GF$3,TabCalc[Ticker],TabCalc[M])+GH29)</f>
        <v>0</v>
      </c>
      <c r="GG29" s="1132"/>
      <c r="GH29" s="1127"/>
      <c r="GI29" s="1130">
        <f ca="1">GJ29*(_xlfn.XLOOKUP(GI$3,TabCalc[Ticker],TabCalc[M])+GK29)</f>
        <v>0</v>
      </c>
      <c r="GJ29" s="1132"/>
      <c r="GK29" s="1127"/>
      <c r="GL29" s="1130">
        <f ca="1">GM29*(_xlfn.XLOOKUP(GL$3,TabCalc[Ticker],TabCalc[M])+GN29)</f>
        <v>0</v>
      </c>
      <c r="GM29" s="1132"/>
      <c r="GN29" s="1127"/>
      <c r="GO29" s="1130">
        <f ca="1">GP29*(_xlfn.XLOOKUP(GO$3,TabCalc[Ticker],TabCalc[M])+GQ29)</f>
        <v>0</v>
      </c>
      <c r="GP29" s="1132"/>
      <c r="GQ29" s="1127"/>
      <c r="GR29" s="1130">
        <f ca="1">GS29*(_xlfn.XLOOKUP(GR$3,TabCalc[Ticker],TabCalc[M])+GT29)</f>
        <v>0</v>
      </c>
      <c r="GS29" s="1132"/>
      <c r="GT29" s="1127"/>
      <c r="GU29" s="1130">
        <f ca="1">GV29*(_xlfn.XLOOKUP(GU$3,TabCalc[Ticker],TabCalc[M])+GW29)</f>
        <v>0</v>
      </c>
      <c r="GV29" s="1132"/>
      <c r="GW29" s="1127"/>
      <c r="GX29" s="1130">
        <f ca="1">GY29*(_xlfn.XLOOKUP(GX$3,TabCalc[Ticker],TabCalc[M])+GZ29)</f>
        <v>0</v>
      </c>
      <c r="GY29" s="1132"/>
      <c r="GZ29" s="1127"/>
      <c r="HA29" s="1130">
        <f ca="1">HB29*(_xlfn.XLOOKUP(HA$3,TabCalc[Ticker],TabCalc[M])+HC29)</f>
        <v>0</v>
      </c>
      <c r="HB29" s="1132"/>
      <c r="HC29" s="1127"/>
      <c r="HD29" s="1130">
        <f ca="1">HE29*(_xlfn.XLOOKUP(HD$3,TabCalc[Ticker],TabCalc[M])+HF29)</f>
        <v>0</v>
      </c>
      <c r="HE29" s="1132"/>
      <c r="HF29" s="1127"/>
      <c r="HG29" s="1130">
        <f ca="1">HH29*(_xlfn.XLOOKUP(HG$3,TabCalc[Ticker],TabCalc[M])+HI29)</f>
        <v>0</v>
      </c>
      <c r="HH29" s="1132"/>
      <c r="HI29" s="1127"/>
      <c r="HJ29" s="1130">
        <f ca="1">HK29*(_xlfn.XLOOKUP(HJ$3,TabCalc[Ticker],TabCalc[M])+HL29)</f>
        <v>0</v>
      </c>
      <c r="HK29" s="1132"/>
      <c r="HL29" s="1127"/>
      <c r="HM29" s="1130">
        <f ca="1">HN29*(_xlfn.XLOOKUP(HM$3,TabCalc[Ticker],TabCalc[M])+HO29)</f>
        <v>0</v>
      </c>
      <c r="HN29" s="1132"/>
      <c r="HO29" s="1127"/>
      <c r="HP29" s="1130">
        <f ca="1">HQ29*(_xlfn.XLOOKUP(HP$3,TabCalc[Ticker],TabCalc[M])+HR29)</f>
        <v>0</v>
      </c>
      <c r="HQ29" s="1132"/>
      <c r="HR29" s="1127"/>
      <c r="HS29" s="1130">
        <f ca="1">HT29*(_xlfn.XLOOKUP(HS$3,TabCalc[Ticker],TabCalc[M])+HU29)</f>
        <v>0</v>
      </c>
      <c r="HT29" s="1132"/>
      <c r="HU29" s="1127"/>
      <c r="HV29" s="1130">
        <f ca="1">HW29*(_xlfn.XLOOKUP(HV$3,TabCalc[Ticker],TabCalc[M])+HX29)</f>
        <v>0</v>
      </c>
      <c r="HW29" s="1132"/>
      <c r="HX29" s="1127"/>
      <c r="HY29" s="1130">
        <f ca="1">HZ29*(_xlfn.XLOOKUP(HY$3,TabCalc[Ticker],TabCalc[M])+IA29)</f>
        <v>0</v>
      </c>
      <c r="HZ29" s="1132"/>
      <c r="IA29" s="1127"/>
      <c r="IB29" s="1130">
        <f ca="1">IC29*(_xlfn.XLOOKUP(IB$3,TabCalc[Ticker],TabCalc[M])+ID29)</f>
        <v>0</v>
      </c>
      <c r="IC29" s="1132"/>
      <c r="ID29" s="1127"/>
      <c r="IE29" s="1130">
        <f ca="1">IF29*(_xlfn.XLOOKUP(IE$3,TabCalc[Ticker],TabCalc[M])+IG29)</f>
        <v>0</v>
      </c>
      <c r="IF29" s="1132"/>
      <c r="IG29" s="1127"/>
      <c r="IH29" s="1130">
        <f ca="1">II29*(_xlfn.XLOOKUP(IH$3,TabCalc[Ticker],TabCalc[M])+IJ29)</f>
        <v>0</v>
      </c>
      <c r="II29" s="1132"/>
      <c r="IJ29" s="1127"/>
      <c r="IK29" s="1130">
        <f ca="1">IL29*(_xlfn.XLOOKUP(IK$3,TabCalc[Ticker],TabCalc[M])+IM29)</f>
        <v>0</v>
      </c>
      <c r="IL29" s="1132"/>
      <c r="IM29" s="1127"/>
      <c r="IN29" s="1130">
        <f ca="1">IO29*(_xlfn.XLOOKUP(IN$3,TabCalc[Ticker],TabCalc[M])+IP29)</f>
        <v>0</v>
      </c>
      <c r="IO29" s="1132"/>
      <c r="IP29" s="1127"/>
      <c r="IQ29" s="1130">
        <f ca="1">IR29*(_xlfn.XLOOKUP(IQ$3,TabCalc[Ticker],TabCalc[M]))</f>
        <v>0</v>
      </c>
      <c r="IR29" s="1132"/>
      <c r="IS29" s="1127"/>
      <c r="IT29" s="1130">
        <f ca="1">IU29*(_xlfn.XLOOKUP(IT$3,TabCalc[Ticker],TabCalc[M])+IV29)</f>
        <v>0</v>
      </c>
      <c r="IU29" s="1132"/>
      <c r="IV29" s="1127"/>
      <c r="IW29" s="1130">
        <f ca="1">IX29*(_xlfn.XLOOKUP(IW$3,TabCalc[Ticker],TabCalc[M])+IY29)</f>
        <v>0</v>
      </c>
      <c r="IX29" s="1132"/>
      <c r="IY29" s="1127"/>
      <c r="IZ29" s="1130">
        <f ca="1">JA29*(_xlfn.XLOOKUP(IZ$3,TabCalc[Ticker],TabCalc[M])+JB29)</f>
        <v>0</v>
      </c>
      <c r="JA29" s="1132"/>
      <c r="JB29" s="1127"/>
      <c r="JC29" s="1130">
        <f ca="1">JD29*(_xlfn.XLOOKUP(JC$3,TabCalc[Ticker],TabCalc[M])+JE29)</f>
        <v>0</v>
      </c>
      <c r="JD29" s="1132"/>
      <c r="JE29" s="1127"/>
      <c r="JF29" s="1130">
        <f ca="1">JG29*(_xlfn.XLOOKUP(JF$3,TabCalc[Ticker],TabCalc[M])+JH29)</f>
        <v>0</v>
      </c>
      <c r="JG29" s="1132"/>
      <c r="JH29" s="1127"/>
      <c r="JI29" s="1130">
        <f ca="1">JJ29*(_xlfn.XLOOKUP(JI$3,TabCalc[Ticker],TabCalc[M])+JK29)</f>
        <v>0</v>
      </c>
      <c r="JJ29" s="1132"/>
      <c r="JK29" s="1127"/>
      <c r="JL29" s="1130">
        <f ca="1">JM29*(_xlfn.XLOOKUP(JL$3,TabCalc[Ticker],TabCalc[M])+JN29)</f>
        <v>0</v>
      </c>
      <c r="JM29" s="1132"/>
      <c r="JN29" s="1127"/>
      <c r="JO29" s="1130">
        <f ca="1">JP29*(_xlfn.XLOOKUP(JO$3,TabCalc[Ticker],TabCalc[M])+JQ29)</f>
        <v>0</v>
      </c>
      <c r="JP29" s="1132"/>
      <c r="JQ29" s="1127"/>
      <c r="JR29" s="1130">
        <f ca="1">JS29*(_xlfn.XLOOKUP(JR$3,TabCalc[Ticker],TabCalc[M])+JT29)</f>
        <v>0</v>
      </c>
      <c r="JS29" s="1132"/>
      <c r="JT29" s="1127"/>
      <c r="JU29" s="1130">
        <f ca="1">JV29*(_xlfn.XLOOKUP(JU$3,TabCalc[Ticker],TabCalc[M])+JW29)</f>
        <v>0</v>
      </c>
      <c r="JV29" s="1137"/>
      <c r="JW29" s="1127"/>
      <c r="JX29" s="1130">
        <f ca="1">JY29*(_xlfn.XLOOKUP(JX$3,TabCalc[Ticker],TabCalc[M])+JZ29)</f>
        <v>0</v>
      </c>
      <c r="JY29" s="1132"/>
      <c r="JZ29" s="1134"/>
    </row>
    <row r="30" spans="1:286" x14ac:dyDescent="0.3">
      <c r="A30">
        <v>27</v>
      </c>
      <c r="B30" s="1130">
        <f ca="1">C30*(_xlfn.XLOOKUP(B$3,TabCalc[Ticker],TabCalc[M])+D30)</f>
        <v>0</v>
      </c>
      <c r="C30" s="1132"/>
      <c r="D30" s="1127"/>
      <c r="E30" s="1130">
        <f ca="1">F30*(_xlfn.XLOOKUP(E$3,TabCalc[Ticker],TabCalc[M])+G30)</f>
        <v>0</v>
      </c>
      <c r="F30" s="1132"/>
      <c r="G30" s="1127"/>
      <c r="H30" s="1130">
        <f ca="1">I30*(_xlfn.XLOOKUP(H$3,TabCalc[Ticker],TabCalc[M])+J30)</f>
        <v>0</v>
      </c>
      <c r="I30" s="1132"/>
      <c r="J30" s="1127"/>
      <c r="K30" s="1130">
        <f ca="1">L30*(_xlfn.XLOOKUP(K$3,TabCalc[Ticker],TabCalc[M])+M30)</f>
        <v>0</v>
      </c>
      <c r="L30" s="1132"/>
      <c r="M30" s="1127"/>
      <c r="N30" s="1130">
        <f ca="1">O30*(_xlfn.XLOOKUP(N$3,TabCalc[Ticker],TabCalc[M])+P30)</f>
        <v>0</v>
      </c>
      <c r="O30" s="1132"/>
      <c r="P30" s="1127"/>
      <c r="Q30" s="1130">
        <f ca="1">R30*(_xlfn.XLOOKUP(Q$3,TabCalc[Ticker],TabCalc[M])+S30)</f>
        <v>0</v>
      </c>
      <c r="R30" s="1132"/>
      <c r="S30" s="1127"/>
      <c r="T30" s="1130">
        <f ca="1">U30*(_xlfn.XLOOKUP(T$3,TabCalc[Ticker],TabCalc[M])+V30)</f>
        <v>0</v>
      </c>
      <c r="U30" s="1132"/>
      <c r="V30" s="1128"/>
      <c r="W30" s="1130">
        <f ca="1">X30*(_xlfn.XLOOKUP(W$3,TabCalc[Ticker],TabCalc[M])+Y30)</f>
        <v>0</v>
      </c>
      <c r="X30" s="1132"/>
      <c r="Y30" s="1127"/>
      <c r="Z30" s="1130">
        <f ca="1">AA30*(_xlfn.XLOOKUP(Z$3,TabCalc[Ticker],TabCalc[M])+AB30)</f>
        <v>0</v>
      </c>
      <c r="AA30" s="1133"/>
      <c r="AB30" s="1127"/>
      <c r="AC30" s="1130">
        <f ca="1">AD30*(_xlfn.XLOOKUP(AC$3,TabCalc[Ticker],TabCalc[M])+AE30)</f>
        <v>0</v>
      </c>
      <c r="AD30" s="1132"/>
      <c r="AE30" s="1127"/>
      <c r="AF30" s="1130">
        <f ca="1">AG30*(_xlfn.XLOOKUP(AF$3,TabCalc[Ticker],TabCalc[M])+AH30)</f>
        <v>0</v>
      </c>
      <c r="AG30" s="1132"/>
      <c r="AH30" s="1127"/>
      <c r="AI30" s="1130">
        <f ca="1">AJ30*(_xlfn.XLOOKUP(AI$3,TabCalc[Ticker],TabCalc[M])+AK30)</f>
        <v>0</v>
      </c>
      <c r="AJ30" s="1132"/>
      <c r="AK30" s="1127"/>
      <c r="AL30" s="1130">
        <f ca="1">AM30*(_xlfn.XLOOKUP(AL$3,TabCalc[Ticker],TabCalc[M])+AN30)</f>
        <v>0</v>
      </c>
      <c r="AM30" s="1132"/>
      <c r="AN30" s="1127"/>
      <c r="AO30" s="1130">
        <f ca="1">AP30*(_xlfn.XLOOKUP(AO$3,TabCalc[Ticker],TabCalc[M])+AQ30)</f>
        <v>0</v>
      </c>
      <c r="AP30" s="1132"/>
      <c r="AQ30" s="1127"/>
      <c r="AR30" s="1130">
        <f ca="1">AS30*(_xlfn.XLOOKUP(AR$3,TabCalc[Ticker],TabCalc[M])+AT30)</f>
        <v>0</v>
      </c>
      <c r="AS30" s="1132"/>
      <c r="AT30" s="1127"/>
      <c r="AU30" s="1130">
        <f ca="1">AV30*(_xlfn.XLOOKUP(AU$3,TabCalc[Ticker],TabCalc[M])+AW30)</f>
        <v>0</v>
      </c>
      <c r="AV30" s="1132"/>
      <c r="AW30" s="1127"/>
      <c r="AX30" s="1130">
        <f ca="1">AY30*(_xlfn.XLOOKUP(AX$3,TabCalc[Ticker],TabCalc[M])+AZ30)</f>
        <v>0</v>
      </c>
      <c r="AY30" s="1132"/>
      <c r="AZ30" s="1127"/>
      <c r="BA30" s="1130">
        <f ca="1">BB30*(_xlfn.XLOOKUP(BA$3,TabCalc[Ticker],TabCalc[M])+BC30)</f>
        <v>0</v>
      </c>
      <c r="BB30" s="1132"/>
      <c r="BC30" s="1127"/>
      <c r="BD30" s="1130">
        <f ca="1">BE30*(_xlfn.XLOOKUP(BD$3,TabCalc[Ticker],TabCalc[M])+BF30)</f>
        <v>0</v>
      </c>
      <c r="BE30" s="1132"/>
      <c r="BF30" s="1127"/>
      <c r="BG30" s="1130">
        <f ca="1">BH30*(_xlfn.XLOOKUP(BG$3,TabCalc[Ticker],TabCalc[M])+BI30)</f>
        <v>0</v>
      </c>
      <c r="BH30" s="1132"/>
      <c r="BI30" s="1127"/>
      <c r="BJ30" s="1130">
        <f ca="1">BK30*(_xlfn.XLOOKUP(BJ$3,TabCalc[Ticker],TabCalc[M])+BL30)</f>
        <v>0</v>
      </c>
      <c r="BK30" s="1132"/>
      <c r="BL30" s="1127"/>
      <c r="BM30" s="1130">
        <f ca="1">BN30*(_xlfn.XLOOKUP(BM$3,TabCalc[Ticker],TabCalc[M])+BO30)</f>
        <v>0</v>
      </c>
      <c r="BN30" s="1132"/>
      <c r="BO30" s="1127"/>
      <c r="BP30" s="1130">
        <f ca="1">BQ30*(_xlfn.XLOOKUP(BP$3,TabCalc[Ticker],TabCalc[M])+BR30)</f>
        <v>0</v>
      </c>
      <c r="BQ30" s="1132"/>
      <c r="BR30" s="1127"/>
      <c r="BS30" s="1130">
        <f ca="1">BT30*(_xlfn.XLOOKUP(BS$3,TabCalc[Ticker],TabCalc[M])+BU30)</f>
        <v>0</v>
      </c>
      <c r="BT30" s="1132"/>
      <c r="BU30" s="1127"/>
      <c r="BV30" s="1130">
        <f ca="1">BW30*(_xlfn.XLOOKUP(BV$3,TabCalc[Ticker],TabCalc[M])+BX30)</f>
        <v>0</v>
      </c>
      <c r="BW30" s="1132"/>
      <c r="BX30" s="1127"/>
      <c r="BY30" s="1130">
        <f ca="1">BZ30*(_xlfn.XLOOKUP(BY$3,TabCalc[Ticker],TabCalc[M])+CA30)</f>
        <v>0</v>
      </c>
      <c r="BZ30" s="1132"/>
      <c r="CA30" s="1127"/>
      <c r="CB30" s="1130">
        <f ca="1">CC30*(_xlfn.XLOOKUP(CB$3,TabCalc[Ticker],TabCalc[M])+CD30)</f>
        <v>0</v>
      </c>
      <c r="CC30" s="1132"/>
      <c r="CD30" s="1127"/>
      <c r="CE30" s="1130">
        <f ca="1">CF30*(_xlfn.XLOOKUP(CE$3,TabCalc[Ticker],TabCalc[M])+CG30)</f>
        <v>0</v>
      </c>
      <c r="CF30" s="1132"/>
      <c r="CG30" s="1127"/>
      <c r="CH30" s="1130">
        <f ca="1">CI30*(_xlfn.XLOOKUP(CH$3,TabCalc[Ticker],TabCalc[M])+CJ30)</f>
        <v>0</v>
      </c>
      <c r="CI30" s="1132"/>
      <c r="CJ30" s="1127"/>
      <c r="CK30" s="1130">
        <f ca="1">CL30*(_xlfn.XLOOKUP(CK$3,TabCalc[Ticker],TabCalc[M])+CM30)</f>
        <v>0</v>
      </c>
      <c r="CL30" s="1132"/>
      <c r="CM30" s="1127"/>
      <c r="CN30" s="1130">
        <f ca="1">CO30*(_xlfn.XLOOKUP(CN$3,TabCalc[Ticker],TabCalc[M])+CP30)</f>
        <v>0</v>
      </c>
      <c r="CO30" s="1132"/>
      <c r="CP30" s="1127"/>
      <c r="CQ30" s="1130">
        <f ca="1">CR30*(_xlfn.XLOOKUP(CQ$3,TabCalc[Ticker],TabCalc[M])+CS30)</f>
        <v>0</v>
      </c>
      <c r="CR30" s="1132"/>
      <c r="CS30" s="1127"/>
      <c r="CT30" s="1130">
        <f ca="1">CU30*(_xlfn.XLOOKUP(CT$3,TabCalc[Ticker],TabCalc[M])+CV30)</f>
        <v>0</v>
      </c>
      <c r="CU30" s="1132"/>
      <c r="CV30" s="1127"/>
      <c r="CW30" s="1130">
        <f ca="1">CX30*(_xlfn.XLOOKUP(CW$3,TabCalc[Ticker],TabCalc[M])+CY30)</f>
        <v>0</v>
      </c>
      <c r="CX30" s="1132"/>
      <c r="CY30" s="1127"/>
      <c r="CZ30" s="1130">
        <f ca="1">DA30*(_xlfn.XLOOKUP(CZ$3,TabCalc[Ticker],TabCalc[M])+DB30)</f>
        <v>0</v>
      </c>
      <c r="DA30" s="1132"/>
      <c r="DB30" s="1127"/>
      <c r="DC30" s="1130">
        <f ca="1">DD30*(_xlfn.XLOOKUP(DC$3,TabCalc[Ticker],TabCalc[M])+DE30)</f>
        <v>0</v>
      </c>
      <c r="DD30" s="1132"/>
      <c r="DE30" s="1127"/>
      <c r="DF30" s="1130">
        <f ca="1">DG30*(_xlfn.XLOOKUP(DF$3,TabCalc[Ticker],TabCalc[M])+DH30)</f>
        <v>0</v>
      </c>
      <c r="DG30" s="1132"/>
      <c r="DH30" s="1127"/>
      <c r="DI30" s="1130">
        <f ca="1">DJ30*(_xlfn.XLOOKUP(DI$3,TabCalc[Ticker],TabCalc[M])+DK30)</f>
        <v>0</v>
      </c>
      <c r="DJ30" s="1132"/>
      <c r="DK30" s="1127"/>
      <c r="DL30" s="1130">
        <f ca="1">DM30*(_xlfn.XLOOKUP(DL$3,TabCalc[Ticker],TabCalc[M])+DN30)</f>
        <v>0</v>
      </c>
      <c r="DM30" s="1132"/>
      <c r="DN30" s="1127"/>
      <c r="DO30" s="1130">
        <f ca="1">DP30*(_xlfn.XLOOKUP(DO$3,TabCalc[Ticker],TabCalc[M])+DQ30)</f>
        <v>0</v>
      </c>
      <c r="DP30" s="1132"/>
      <c r="DQ30" s="1127"/>
      <c r="DR30" s="1130">
        <f ca="1">DS30*(_xlfn.XLOOKUP(DR$3,TabCalc[Ticker],TabCalc[M])+DT30)</f>
        <v>0</v>
      </c>
      <c r="DS30" s="1132"/>
      <c r="DT30" s="1127"/>
      <c r="DU30" s="1130">
        <f ca="1">DV30*(_xlfn.XLOOKUP(DU$3,TabCalc[Ticker],TabCalc[M])+DW30)</f>
        <v>0</v>
      </c>
      <c r="DV30" s="1132"/>
      <c r="DW30" s="1127"/>
      <c r="DX30" s="1130">
        <f ca="1">DY30*(_xlfn.XLOOKUP(DX$3,TabCalc[Ticker],TabCalc[M])+DZ30)</f>
        <v>0</v>
      </c>
      <c r="DY30" s="1132"/>
      <c r="DZ30" s="1127"/>
      <c r="EA30" s="1130">
        <f ca="1">EB30*(_xlfn.XLOOKUP(EA$3,TabCalc[Ticker],TabCalc[M])+EC30)</f>
        <v>0</v>
      </c>
      <c r="EB30" s="1132"/>
      <c r="EC30" s="1127"/>
      <c r="ED30" s="1130">
        <f ca="1">EE30*(_xlfn.XLOOKUP(ED$3,TabCalc[Ticker],TabCalc[M])+EF30)</f>
        <v>0</v>
      </c>
      <c r="EE30" s="1132"/>
      <c r="EF30" s="1127"/>
      <c r="EG30" s="1130">
        <f ca="1">EH30*(_xlfn.XLOOKUP(EG$3,TabCalc[Ticker],TabCalc[M])+EI30)</f>
        <v>0</v>
      </c>
      <c r="EH30" s="1132"/>
      <c r="EI30" s="1127"/>
      <c r="EJ30" s="1130" t="e">
        <f ca="1">EK30*(_xlfn.XLOOKUP(EJ$3,TabCalc[Ticker],TabCalc[M])+EL30)</f>
        <v>#N/A</v>
      </c>
      <c r="EK30" s="1132"/>
      <c r="EL30" s="1127"/>
      <c r="EM30" s="1130">
        <f ca="1">EN30*(_xlfn.XLOOKUP(EM$3,TabCalc[Ticker],TabCalc[M])+EO30)</f>
        <v>0</v>
      </c>
      <c r="EN30" s="1132"/>
      <c r="EO30" s="1127"/>
      <c r="EP30" s="1130">
        <f ca="1">EQ30*(_xlfn.XLOOKUP(EP$3,TabCalc[Ticker],TabCalc[M])+ER30)</f>
        <v>0</v>
      </c>
      <c r="EQ30" s="1132"/>
      <c r="ER30" s="1127"/>
      <c r="ES30" s="1130">
        <f ca="1">ET30*(_xlfn.XLOOKUP(ES$3,TabCalc[Ticker],TabCalc[M])+EU30)</f>
        <v>0</v>
      </c>
      <c r="ET30" s="1132"/>
      <c r="EU30" s="1127"/>
      <c r="EV30" s="1130">
        <f ca="1">EW30*(_xlfn.XLOOKUP(EV$3,TabCalc[Ticker],TabCalc[M])+EX30)</f>
        <v>0</v>
      </c>
      <c r="EW30" s="1132"/>
      <c r="EX30" s="1134"/>
      <c r="EY30" s="1130">
        <f ca="1">EZ30*(_xlfn.XLOOKUP(EY$3,TabCalc[Ticker],TabCalc[M])+FA30)</f>
        <v>0</v>
      </c>
      <c r="EZ30" s="1132"/>
      <c r="FA30" s="1134"/>
      <c r="FB30" s="1130">
        <f ca="1">FC30*(_xlfn.XLOOKUP(FB$3,TabCalc[Ticker],TabCalc[M])+FD30)</f>
        <v>0</v>
      </c>
      <c r="FC30" s="1132"/>
      <c r="FD30" s="1134"/>
      <c r="FE30" s="1130">
        <f ca="1">FF30*(_xlfn.XLOOKUP(FE$3,TabCalc[Ticker],TabCalc[M])+FG30)</f>
        <v>0</v>
      </c>
      <c r="FF30" s="1132"/>
      <c r="FG30" s="1127"/>
      <c r="FH30" s="1130">
        <f ca="1">FI30*(_xlfn.XLOOKUP(FH$3,TabCalc[Ticker],TabCalc[M])+FJ30)</f>
        <v>0</v>
      </c>
      <c r="FI30" s="1132"/>
      <c r="FJ30" s="1127"/>
      <c r="FK30" s="1130">
        <f ca="1">FL30*(_xlfn.XLOOKUP(FK$3,TabCalc[Ticker],TabCalc[M])+FM30)</f>
        <v>0</v>
      </c>
      <c r="FL30" s="1132"/>
      <c r="FM30" s="1127"/>
      <c r="FN30" s="1130">
        <f ca="1">FO30*(_xlfn.XLOOKUP(FN$3,TabCalc[Ticker],TabCalc[M])+FP30)</f>
        <v>0</v>
      </c>
      <c r="FO30" s="1132"/>
      <c r="FP30" s="1127"/>
      <c r="FQ30" s="1130">
        <f ca="1">FR30*(_xlfn.XLOOKUP(FQ$3,TabCalc[Ticker],TabCalc[M])+FS30)</f>
        <v>0</v>
      </c>
      <c r="FR30" s="1132"/>
      <c r="FS30" s="1127"/>
      <c r="FT30" s="1130">
        <f ca="1">FU30*(_xlfn.XLOOKUP(FT$3,TabCalc[Ticker],TabCalc[M])+FV30)</f>
        <v>0</v>
      </c>
      <c r="FU30" s="1132"/>
      <c r="FV30" s="1127"/>
      <c r="FW30" s="1130">
        <f ca="1">FX30*(_xlfn.XLOOKUP(FW$3,TabCalc[Ticker],TabCalc[M])+FY30)</f>
        <v>0</v>
      </c>
      <c r="FX30" s="1132"/>
      <c r="FY30" s="1127"/>
      <c r="FZ30" s="1130">
        <f ca="1">GA30*(_xlfn.XLOOKUP(FZ$3,TabCalc[Ticker],TabCalc[M])+GB30)</f>
        <v>0</v>
      </c>
      <c r="GA30" s="1132"/>
      <c r="GB30" s="1127"/>
      <c r="GC30" s="1130">
        <f ca="1">GD30*(_xlfn.XLOOKUP(GC$3,TabCalc[Ticker],TabCalc[M])+GE30)</f>
        <v>0</v>
      </c>
      <c r="GD30" s="1132"/>
      <c r="GE30" s="1127"/>
      <c r="GF30" s="1130">
        <f ca="1">GG30*(_xlfn.XLOOKUP(GF$3,TabCalc[Ticker],TabCalc[M])+GH30)</f>
        <v>0</v>
      </c>
      <c r="GG30" s="1132"/>
      <c r="GH30" s="1127"/>
      <c r="GI30" s="1130">
        <f ca="1">GJ30*(_xlfn.XLOOKUP(GI$3,TabCalc[Ticker],TabCalc[M])+GK30)</f>
        <v>0</v>
      </c>
      <c r="GJ30" s="1132"/>
      <c r="GK30" s="1127"/>
      <c r="GL30" s="1130">
        <f ca="1">GM30*(_xlfn.XLOOKUP(GL$3,TabCalc[Ticker],TabCalc[M])+GN30)</f>
        <v>0</v>
      </c>
      <c r="GM30" s="1132"/>
      <c r="GN30" s="1127"/>
      <c r="GO30" s="1130">
        <f ca="1">GP30*(_xlfn.XLOOKUP(GO$3,TabCalc[Ticker],TabCalc[M])+GQ30)</f>
        <v>0</v>
      </c>
      <c r="GP30" s="1132"/>
      <c r="GQ30" s="1127"/>
      <c r="GR30" s="1130">
        <f ca="1">GS30*(_xlfn.XLOOKUP(GR$3,TabCalc[Ticker],TabCalc[M])+GT30)</f>
        <v>0</v>
      </c>
      <c r="GS30" s="1132"/>
      <c r="GT30" s="1127"/>
      <c r="GU30" s="1130">
        <f ca="1">GV30*(_xlfn.XLOOKUP(GU$3,TabCalc[Ticker],TabCalc[M])+GW30)</f>
        <v>0</v>
      </c>
      <c r="GV30" s="1132"/>
      <c r="GW30" s="1127"/>
      <c r="GX30" s="1130">
        <f ca="1">GY30*(_xlfn.XLOOKUP(GX$3,TabCalc[Ticker],TabCalc[M])+GZ30)</f>
        <v>0</v>
      </c>
      <c r="GY30" s="1132"/>
      <c r="GZ30" s="1127"/>
      <c r="HA30" s="1130">
        <f ca="1">HB30*(_xlfn.XLOOKUP(HA$3,TabCalc[Ticker],TabCalc[M])+HC30)</f>
        <v>0</v>
      </c>
      <c r="HB30" s="1132"/>
      <c r="HC30" s="1127"/>
      <c r="HD30" s="1130">
        <f ca="1">HE30*(_xlfn.XLOOKUP(HD$3,TabCalc[Ticker],TabCalc[M])+HF30)</f>
        <v>0</v>
      </c>
      <c r="HE30" s="1132"/>
      <c r="HF30" s="1127"/>
      <c r="HG30" s="1130">
        <f ca="1">HH30*(_xlfn.XLOOKUP(HG$3,TabCalc[Ticker],TabCalc[M])+HI30)</f>
        <v>0</v>
      </c>
      <c r="HH30" s="1132"/>
      <c r="HI30" s="1127"/>
      <c r="HJ30" s="1130">
        <f ca="1">HK30*(_xlfn.XLOOKUP(HJ$3,TabCalc[Ticker],TabCalc[M])+HL30)</f>
        <v>0</v>
      </c>
      <c r="HK30" s="1132"/>
      <c r="HL30" s="1127"/>
      <c r="HM30" s="1130">
        <f ca="1">HN30*(_xlfn.XLOOKUP(HM$3,TabCalc[Ticker],TabCalc[M])+HO30)</f>
        <v>0</v>
      </c>
      <c r="HN30" s="1132"/>
      <c r="HO30" s="1127"/>
      <c r="HP30" s="1130">
        <f ca="1">HQ30*(_xlfn.XLOOKUP(HP$3,TabCalc[Ticker],TabCalc[M])+HR30)</f>
        <v>0</v>
      </c>
      <c r="HQ30" s="1132"/>
      <c r="HR30" s="1127"/>
      <c r="HS30" s="1130">
        <f ca="1">HT30*(_xlfn.XLOOKUP(HS$3,TabCalc[Ticker],TabCalc[M])+HU30)</f>
        <v>0</v>
      </c>
      <c r="HT30" s="1132"/>
      <c r="HU30" s="1127"/>
      <c r="HV30" s="1130">
        <f ca="1">HW30*(_xlfn.XLOOKUP(HV$3,TabCalc[Ticker],TabCalc[M])+HX30)</f>
        <v>0</v>
      </c>
      <c r="HW30" s="1132"/>
      <c r="HX30" s="1127"/>
      <c r="HY30" s="1130">
        <f ca="1">HZ30*(_xlfn.XLOOKUP(HY$3,TabCalc[Ticker],TabCalc[M])+IA30)</f>
        <v>0</v>
      </c>
      <c r="HZ30" s="1132"/>
      <c r="IA30" s="1127"/>
      <c r="IB30" s="1130">
        <f ca="1">IC30*(_xlfn.XLOOKUP(IB$3,TabCalc[Ticker],TabCalc[M])+ID30)</f>
        <v>0</v>
      </c>
      <c r="IC30" s="1132"/>
      <c r="ID30" s="1127"/>
      <c r="IE30" s="1130">
        <f ca="1">IF30*(_xlfn.XLOOKUP(IE$3,TabCalc[Ticker],TabCalc[M])+IG30)</f>
        <v>0</v>
      </c>
      <c r="IF30" s="1132"/>
      <c r="IG30" s="1127"/>
      <c r="IH30" s="1130">
        <f ca="1">II30*(_xlfn.XLOOKUP(IH$3,TabCalc[Ticker],TabCalc[M])+IJ30)</f>
        <v>0</v>
      </c>
      <c r="II30" s="1132"/>
      <c r="IJ30" s="1127"/>
      <c r="IK30" s="1130">
        <f ca="1">IL30*(_xlfn.XLOOKUP(IK$3,TabCalc[Ticker],TabCalc[M])+IM30)</f>
        <v>0</v>
      </c>
      <c r="IL30" s="1132"/>
      <c r="IM30" s="1127"/>
      <c r="IN30" s="1130">
        <f ca="1">IO30*(_xlfn.XLOOKUP(IN$3,TabCalc[Ticker],TabCalc[M])+IP30)</f>
        <v>0</v>
      </c>
      <c r="IO30" s="1132"/>
      <c r="IP30" s="1127"/>
      <c r="IQ30" s="1130">
        <f ca="1">IR30*(_xlfn.XLOOKUP(IQ$3,TabCalc[Ticker],TabCalc[M]))</f>
        <v>0</v>
      </c>
      <c r="IR30" s="1132"/>
      <c r="IS30" s="1127"/>
      <c r="IT30" s="1130">
        <f ca="1">IU30*(_xlfn.XLOOKUP(IT$3,TabCalc[Ticker],TabCalc[M])+IV30)</f>
        <v>0</v>
      </c>
      <c r="IU30" s="1132"/>
      <c r="IV30" s="1127"/>
      <c r="IW30" s="1130">
        <f ca="1">IX30*(_xlfn.XLOOKUP(IW$3,TabCalc[Ticker],TabCalc[M])+IY30)</f>
        <v>0</v>
      </c>
      <c r="IX30" s="1132"/>
      <c r="IY30" s="1127"/>
      <c r="IZ30" s="1130">
        <f ca="1">JA30*(_xlfn.XLOOKUP(IZ$3,TabCalc[Ticker],TabCalc[M])+JB30)</f>
        <v>0</v>
      </c>
      <c r="JA30" s="1132"/>
      <c r="JB30" s="1127"/>
      <c r="JC30" s="1130">
        <f ca="1">JD30*(_xlfn.XLOOKUP(JC$3,TabCalc[Ticker],TabCalc[M])+JE30)</f>
        <v>0</v>
      </c>
      <c r="JD30" s="1132"/>
      <c r="JE30" s="1127"/>
      <c r="JF30" s="1130">
        <f ca="1">JG30*(_xlfn.XLOOKUP(JF$3,TabCalc[Ticker],TabCalc[M])+JH30)</f>
        <v>0</v>
      </c>
      <c r="JG30" s="1132"/>
      <c r="JH30" s="1127"/>
      <c r="JI30" s="1130">
        <f ca="1">JJ30*(_xlfn.XLOOKUP(JI$3,TabCalc[Ticker],TabCalc[M])+JK30)</f>
        <v>0</v>
      </c>
      <c r="JJ30" s="1132"/>
      <c r="JK30" s="1127"/>
      <c r="JL30" s="1130">
        <f ca="1">JM30*(_xlfn.XLOOKUP(JL$3,TabCalc[Ticker],TabCalc[M])+JN30)</f>
        <v>0</v>
      </c>
      <c r="JM30" s="1132"/>
      <c r="JN30" s="1127"/>
      <c r="JO30" s="1130">
        <f ca="1">JP30*(_xlfn.XLOOKUP(JO$3,TabCalc[Ticker],TabCalc[M])+JQ30)</f>
        <v>0</v>
      </c>
      <c r="JP30" s="1132"/>
      <c r="JQ30" s="1127"/>
      <c r="JR30" s="1130">
        <f ca="1">JS30*(_xlfn.XLOOKUP(JR$3,TabCalc[Ticker],TabCalc[M])+JT30)</f>
        <v>0</v>
      </c>
      <c r="JS30" s="1132"/>
      <c r="JT30" s="1127"/>
      <c r="JU30" s="1130">
        <f ca="1">JV30*(_xlfn.XLOOKUP(JU$3,TabCalc[Ticker],TabCalc[M])+JW30)</f>
        <v>0</v>
      </c>
      <c r="JV30" s="1137"/>
      <c r="JW30" s="1127"/>
      <c r="JX30" s="1130">
        <f ca="1">JY30*(_xlfn.XLOOKUP(JX$3,TabCalc[Ticker],TabCalc[M])+JZ30)</f>
        <v>0</v>
      </c>
      <c r="JY30" s="1132"/>
      <c r="JZ30" s="1134"/>
    </row>
    <row r="31" spans="1:286" x14ac:dyDescent="0.3">
      <c r="A31">
        <v>28</v>
      </c>
      <c r="B31" s="1130">
        <f ca="1">C31*(_xlfn.XLOOKUP(B$3,TabCalc[Ticker],TabCalc[M])+D31)</f>
        <v>0</v>
      </c>
      <c r="C31" s="1132"/>
      <c r="D31" s="1127"/>
      <c r="E31" s="1130">
        <f ca="1">F31*(_xlfn.XLOOKUP(E$3,TabCalc[Ticker],TabCalc[M])+G31)</f>
        <v>0</v>
      </c>
      <c r="F31" s="1132"/>
      <c r="G31" s="1127"/>
      <c r="H31" s="1130">
        <f ca="1">I31*(_xlfn.XLOOKUP(H$3,TabCalc[Ticker],TabCalc[M])+J31)</f>
        <v>0</v>
      </c>
      <c r="I31" s="1132"/>
      <c r="J31" s="1127"/>
      <c r="K31" s="1130">
        <f ca="1">L31*(_xlfn.XLOOKUP(K$3,TabCalc[Ticker],TabCalc[M])+M31)</f>
        <v>0</v>
      </c>
      <c r="L31" s="1132"/>
      <c r="M31" s="1127"/>
      <c r="N31" s="1130">
        <f ca="1">O31*(_xlfn.XLOOKUP(N$3,TabCalc[Ticker],TabCalc[M])+P31)</f>
        <v>0</v>
      </c>
      <c r="O31" s="1132"/>
      <c r="P31" s="1127"/>
      <c r="Q31" s="1130">
        <f ca="1">R31*(_xlfn.XLOOKUP(Q$3,TabCalc[Ticker],TabCalc[M])+S31)</f>
        <v>0</v>
      </c>
      <c r="R31" s="1132"/>
      <c r="S31" s="1127"/>
      <c r="T31" s="1130">
        <f ca="1">U31*(_xlfn.XLOOKUP(T$3,TabCalc[Ticker],TabCalc[M])+V31)</f>
        <v>0</v>
      </c>
      <c r="U31" s="1132"/>
      <c r="V31" s="1128"/>
      <c r="W31" s="1130">
        <f ca="1">X31*(_xlfn.XLOOKUP(W$3,TabCalc[Ticker],TabCalc[M])+Y31)</f>
        <v>0</v>
      </c>
      <c r="X31" s="1132"/>
      <c r="Y31" s="1127"/>
      <c r="Z31" s="1130">
        <f ca="1">AA31*(_xlfn.XLOOKUP(Z$3,TabCalc[Ticker],TabCalc[M])+AB31)</f>
        <v>0</v>
      </c>
      <c r="AA31" s="1133"/>
      <c r="AB31" s="1127"/>
      <c r="AC31" s="1130">
        <f ca="1">AD31*(_xlfn.XLOOKUP(AC$3,TabCalc[Ticker],TabCalc[M])+AE31)</f>
        <v>0</v>
      </c>
      <c r="AD31" s="1132"/>
      <c r="AE31" s="1127"/>
      <c r="AF31" s="1130">
        <f ca="1">AG31*(_xlfn.XLOOKUP(AF$3,TabCalc[Ticker],TabCalc[M])+AH31)</f>
        <v>0</v>
      </c>
      <c r="AG31" s="1132"/>
      <c r="AH31" s="1127"/>
      <c r="AI31" s="1130">
        <f ca="1">AJ31*(_xlfn.XLOOKUP(AI$3,TabCalc[Ticker],TabCalc[M])+AK31)</f>
        <v>0</v>
      </c>
      <c r="AJ31" s="1132"/>
      <c r="AK31" s="1127"/>
      <c r="AL31" s="1130">
        <f ca="1">AM31*(_xlfn.XLOOKUP(AL$3,TabCalc[Ticker],TabCalc[M])+AN31)</f>
        <v>0</v>
      </c>
      <c r="AM31" s="1132"/>
      <c r="AN31" s="1127"/>
      <c r="AO31" s="1130">
        <f ca="1">AP31*(_xlfn.XLOOKUP(AO$3,TabCalc[Ticker],TabCalc[M])+AQ31)</f>
        <v>0</v>
      </c>
      <c r="AP31" s="1132"/>
      <c r="AQ31" s="1127"/>
      <c r="AR31" s="1130">
        <f ca="1">AS31*(_xlfn.XLOOKUP(AR$3,TabCalc[Ticker],TabCalc[M])+AT31)</f>
        <v>0</v>
      </c>
      <c r="AS31" s="1132"/>
      <c r="AT31" s="1127"/>
      <c r="AU31" s="1130">
        <f ca="1">AV31*(_xlfn.XLOOKUP(AU$3,TabCalc[Ticker],TabCalc[M])+AW31)</f>
        <v>0</v>
      </c>
      <c r="AV31" s="1132"/>
      <c r="AW31" s="1127"/>
      <c r="AX31" s="1130">
        <f ca="1">AY31*(_xlfn.XLOOKUP(AX$3,TabCalc[Ticker],TabCalc[M])+AZ31)</f>
        <v>0</v>
      </c>
      <c r="AY31" s="1132"/>
      <c r="AZ31" s="1127"/>
      <c r="BA31" s="1130">
        <f ca="1">BB31*(_xlfn.XLOOKUP(BA$3,TabCalc[Ticker],TabCalc[M])+BC31)</f>
        <v>0</v>
      </c>
      <c r="BB31" s="1132"/>
      <c r="BC31" s="1127"/>
      <c r="BD31" s="1130">
        <f ca="1">BE31*(_xlfn.XLOOKUP(BD$3,TabCalc[Ticker],TabCalc[M])+BF31)</f>
        <v>0</v>
      </c>
      <c r="BE31" s="1132"/>
      <c r="BF31" s="1127"/>
      <c r="BG31" s="1130">
        <f ca="1">BH31*(_xlfn.XLOOKUP(BG$3,TabCalc[Ticker],TabCalc[M])+BI31)</f>
        <v>0</v>
      </c>
      <c r="BH31" s="1132"/>
      <c r="BI31" s="1127"/>
      <c r="BJ31" s="1130">
        <f ca="1">BK31*(_xlfn.XLOOKUP(BJ$3,TabCalc[Ticker],TabCalc[M])+BL31)</f>
        <v>0</v>
      </c>
      <c r="BK31" s="1132"/>
      <c r="BL31" s="1127"/>
      <c r="BM31" s="1130">
        <f ca="1">BN31*(_xlfn.XLOOKUP(BM$3,TabCalc[Ticker],TabCalc[M])+BO31)</f>
        <v>0</v>
      </c>
      <c r="BN31" s="1132"/>
      <c r="BO31" s="1127"/>
      <c r="BP31" s="1130">
        <f ca="1">BQ31*(_xlfn.XLOOKUP(BP$3,TabCalc[Ticker],TabCalc[M])+BR31)</f>
        <v>0</v>
      </c>
      <c r="BQ31" s="1132"/>
      <c r="BR31" s="1127"/>
      <c r="BS31" s="1130">
        <f ca="1">BT31*(_xlfn.XLOOKUP(BS$3,TabCalc[Ticker],TabCalc[M])+BU31)</f>
        <v>0</v>
      </c>
      <c r="BT31" s="1132"/>
      <c r="BU31" s="1127"/>
      <c r="BV31" s="1130">
        <f ca="1">BW31*(_xlfn.XLOOKUP(BV$3,TabCalc[Ticker],TabCalc[M])+BX31)</f>
        <v>0</v>
      </c>
      <c r="BW31" s="1132"/>
      <c r="BX31" s="1127"/>
      <c r="BY31" s="1130">
        <f ca="1">BZ31*(_xlfn.XLOOKUP(BY$3,TabCalc[Ticker],TabCalc[M])+CA31)</f>
        <v>0</v>
      </c>
      <c r="BZ31" s="1132"/>
      <c r="CA31" s="1127"/>
      <c r="CB31" s="1130">
        <f ca="1">CC31*(_xlfn.XLOOKUP(CB$3,TabCalc[Ticker],TabCalc[M])+CD31)</f>
        <v>0</v>
      </c>
      <c r="CC31" s="1132"/>
      <c r="CD31" s="1127"/>
      <c r="CE31" s="1130">
        <f ca="1">CF31*(_xlfn.XLOOKUP(CE$3,TabCalc[Ticker],TabCalc[M])+CG31)</f>
        <v>0</v>
      </c>
      <c r="CF31" s="1132"/>
      <c r="CG31" s="1127"/>
      <c r="CH31" s="1130">
        <f ca="1">CI31*(_xlfn.XLOOKUP(CH$3,TabCalc[Ticker],TabCalc[M])+CJ31)</f>
        <v>0</v>
      </c>
      <c r="CI31" s="1132"/>
      <c r="CJ31" s="1127"/>
      <c r="CK31" s="1130">
        <f ca="1">CL31*(_xlfn.XLOOKUP(CK$3,TabCalc[Ticker],TabCalc[M])+CM31)</f>
        <v>0</v>
      </c>
      <c r="CL31" s="1132"/>
      <c r="CM31" s="1127"/>
      <c r="CN31" s="1130">
        <f ca="1">CO31*(_xlfn.XLOOKUP(CN$3,TabCalc[Ticker],TabCalc[M])+CP31)</f>
        <v>0</v>
      </c>
      <c r="CO31" s="1132"/>
      <c r="CP31" s="1127"/>
      <c r="CQ31" s="1130">
        <f ca="1">CR31*(_xlfn.XLOOKUP(CQ$3,TabCalc[Ticker],TabCalc[M])+CS31)</f>
        <v>0</v>
      </c>
      <c r="CR31" s="1132"/>
      <c r="CS31" s="1127"/>
      <c r="CT31" s="1130">
        <f ca="1">CU31*(_xlfn.XLOOKUP(CT$3,TabCalc[Ticker],TabCalc[M])+CV31)</f>
        <v>0</v>
      </c>
      <c r="CU31" s="1132"/>
      <c r="CV31" s="1127"/>
      <c r="CW31" s="1130">
        <f ca="1">CX31*(_xlfn.XLOOKUP(CW$3,TabCalc[Ticker],TabCalc[M])+CY31)</f>
        <v>0</v>
      </c>
      <c r="CX31" s="1132"/>
      <c r="CY31" s="1127"/>
      <c r="CZ31" s="1130">
        <f ca="1">DA31*(_xlfn.XLOOKUP(CZ$3,TabCalc[Ticker],TabCalc[M])+DB31)</f>
        <v>0</v>
      </c>
      <c r="DA31" s="1132"/>
      <c r="DB31" s="1127"/>
      <c r="DC31" s="1130">
        <f ca="1">DD31*(_xlfn.XLOOKUP(DC$3,TabCalc[Ticker],TabCalc[M])+DE31)</f>
        <v>0</v>
      </c>
      <c r="DD31" s="1132"/>
      <c r="DE31" s="1127"/>
      <c r="DF31" s="1130">
        <f ca="1">DG31*(_xlfn.XLOOKUP(DF$3,TabCalc[Ticker],TabCalc[M])+DH31)</f>
        <v>0</v>
      </c>
      <c r="DG31" s="1132"/>
      <c r="DH31" s="1127"/>
      <c r="DI31" s="1130">
        <f ca="1">DJ31*(_xlfn.XLOOKUP(DI$3,TabCalc[Ticker],TabCalc[M])+DK31)</f>
        <v>0</v>
      </c>
      <c r="DJ31" s="1132"/>
      <c r="DK31" s="1127"/>
      <c r="DL31" s="1130">
        <f ca="1">DM31*(_xlfn.XLOOKUP(DL$3,TabCalc[Ticker],TabCalc[M])+DN31)</f>
        <v>0</v>
      </c>
      <c r="DM31" s="1132"/>
      <c r="DN31" s="1127"/>
      <c r="DO31" s="1130">
        <f ca="1">DP31*(_xlfn.XLOOKUP(DO$3,TabCalc[Ticker],TabCalc[M])+DQ31)</f>
        <v>0</v>
      </c>
      <c r="DP31" s="1132"/>
      <c r="DQ31" s="1127"/>
      <c r="DR31" s="1130">
        <f ca="1">DS31*(_xlfn.XLOOKUP(DR$3,TabCalc[Ticker],TabCalc[M])+DT31)</f>
        <v>0</v>
      </c>
      <c r="DS31" s="1132"/>
      <c r="DT31" s="1127"/>
      <c r="DU31" s="1130">
        <f ca="1">DV31*(_xlfn.XLOOKUP(DU$3,TabCalc[Ticker],TabCalc[M])+DW31)</f>
        <v>0</v>
      </c>
      <c r="DV31" s="1132"/>
      <c r="DW31" s="1127"/>
      <c r="DX31" s="1130">
        <f ca="1">DY31*(_xlfn.XLOOKUP(DX$3,TabCalc[Ticker],TabCalc[M])+DZ31)</f>
        <v>0</v>
      </c>
      <c r="DY31" s="1132"/>
      <c r="DZ31" s="1127"/>
      <c r="EA31" s="1130">
        <f ca="1">EB31*(_xlfn.XLOOKUP(EA$3,TabCalc[Ticker],TabCalc[M])+EC31)</f>
        <v>0</v>
      </c>
      <c r="EB31" s="1132"/>
      <c r="EC31" s="1127"/>
      <c r="ED31" s="1130">
        <f ca="1">EE31*(_xlfn.XLOOKUP(ED$3,TabCalc[Ticker],TabCalc[M])+EF31)</f>
        <v>0</v>
      </c>
      <c r="EE31" s="1132"/>
      <c r="EF31" s="1127"/>
      <c r="EG31" s="1130">
        <f ca="1">EH31*(_xlfn.XLOOKUP(EG$3,TabCalc[Ticker],TabCalc[M])+EI31)</f>
        <v>0</v>
      </c>
      <c r="EH31" s="1132"/>
      <c r="EI31" s="1127"/>
      <c r="EJ31" s="1130" t="e">
        <f ca="1">EK31*(_xlfn.XLOOKUP(EJ$3,TabCalc[Ticker],TabCalc[M])+EL31)</f>
        <v>#N/A</v>
      </c>
      <c r="EK31" s="1132"/>
      <c r="EL31" s="1127"/>
      <c r="EM31" s="1130">
        <f ca="1">EN31*(_xlfn.XLOOKUP(EM$3,TabCalc[Ticker],TabCalc[M])+EO31)</f>
        <v>0</v>
      </c>
      <c r="EN31" s="1132"/>
      <c r="EO31" s="1127"/>
      <c r="EP31" s="1130">
        <f ca="1">EQ31*(_xlfn.XLOOKUP(EP$3,TabCalc[Ticker],TabCalc[M])+ER31)</f>
        <v>0</v>
      </c>
      <c r="EQ31" s="1132"/>
      <c r="ER31" s="1127"/>
      <c r="ES31" s="1130">
        <f ca="1">ET31*(_xlfn.XLOOKUP(ES$3,TabCalc[Ticker],TabCalc[M])+EU31)</f>
        <v>0</v>
      </c>
      <c r="ET31" s="1132"/>
      <c r="EU31" s="1127"/>
      <c r="EV31" s="1130">
        <f ca="1">EW31*(_xlfn.XLOOKUP(EV$3,TabCalc[Ticker],TabCalc[M])+EX31)</f>
        <v>0</v>
      </c>
      <c r="EW31" s="1132"/>
      <c r="EX31" s="1134"/>
      <c r="EY31" s="1130">
        <f ca="1">EZ31*(_xlfn.XLOOKUP(EY$3,TabCalc[Ticker],TabCalc[M])+FA31)</f>
        <v>0</v>
      </c>
      <c r="EZ31" s="1132"/>
      <c r="FA31" s="1134"/>
      <c r="FB31" s="1130">
        <f ca="1">FC31*(_xlfn.XLOOKUP(FB$3,TabCalc[Ticker],TabCalc[M])+FD31)</f>
        <v>0</v>
      </c>
      <c r="FC31" s="1132"/>
      <c r="FD31" s="1134"/>
      <c r="FE31" s="1130">
        <f ca="1">FF31*(_xlfn.XLOOKUP(FE$3,TabCalc[Ticker],TabCalc[M])+FG31)</f>
        <v>0</v>
      </c>
      <c r="FF31" s="1132"/>
      <c r="FG31" s="1127"/>
      <c r="FH31" s="1130">
        <f ca="1">FI31*(_xlfn.XLOOKUP(FH$3,TabCalc[Ticker],TabCalc[M])+FJ31)</f>
        <v>0</v>
      </c>
      <c r="FI31" s="1132"/>
      <c r="FJ31" s="1127"/>
      <c r="FK31" s="1130">
        <f ca="1">FL31*(_xlfn.XLOOKUP(FK$3,TabCalc[Ticker],TabCalc[M])+FM31)</f>
        <v>0</v>
      </c>
      <c r="FL31" s="1132"/>
      <c r="FM31" s="1127"/>
      <c r="FN31" s="1130">
        <f ca="1">FO31*(_xlfn.XLOOKUP(FN$3,TabCalc[Ticker],TabCalc[M])+FP31)</f>
        <v>0</v>
      </c>
      <c r="FO31" s="1132"/>
      <c r="FP31" s="1127"/>
      <c r="FQ31" s="1130">
        <f ca="1">FR31*(_xlfn.XLOOKUP(FQ$3,TabCalc[Ticker],TabCalc[M])+FS31)</f>
        <v>0</v>
      </c>
      <c r="FR31" s="1132"/>
      <c r="FS31" s="1127"/>
      <c r="FT31" s="1130">
        <f ca="1">FU31*(_xlfn.XLOOKUP(FT$3,TabCalc[Ticker],TabCalc[M])+FV31)</f>
        <v>0</v>
      </c>
      <c r="FU31" s="1132"/>
      <c r="FV31" s="1127"/>
      <c r="FW31" s="1130">
        <f ca="1">FX31*(_xlfn.XLOOKUP(FW$3,TabCalc[Ticker],TabCalc[M])+FY31)</f>
        <v>0</v>
      </c>
      <c r="FX31" s="1132"/>
      <c r="FY31" s="1127"/>
      <c r="FZ31" s="1130">
        <f ca="1">GA31*(_xlfn.XLOOKUP(FZ$3,TabCalc[Ticker],TabCalc[M])+GB31)</f>
        <v>0</v>
      </c>
      <c r="GA31" s="1132"/>
      <c r="GB31" s="1127"/>
      <c r="GC31" s="1130">
        <f ca="1">GD31*(_xlfn.XLOOKUP(GC$3,TabCalc[Ticker],TabCalc[M])+GE31)</f>
        <v>0</v>
      </c>
      <c r="GD31" s="1132"/>
      <c r="GE31" s="1127"/>
      <c r="GF31" s="1130">
        <f ca="1">GG31*(_xlfn.XLOOKUP(GF$3,TabCalc[Ticker],TabCalc[M])+GH31)</f>
        <v>0</v>
      </c>
      <c r="GG31" s="1132"/>
      <c r="GH31" s="1127"/>
      <c r="GI31" s="1130">
        <f ca="1">GJ31*(_xlfn.XLOOKUP(GI$3,TabCalc[Ticker],TabCalc[M])+GK31)</f>
        <v>0</v>
      </c>
      <c r="GJ31" s="1132"/>
      <c r="GK31" s="1127"/>
      <c r="GL31" s="1130">
        <f ca="1">GM31*(_xlfn.XLOOKUP(GL$3,TabCalc[Ticker],TabCalc[M])+GN31)</f>
        <v>0</v>
      </c>
      <c r="GM31" s="1132"/>
      <c r="GN31" s="1127"/>
      <c r="GO31" s="1130">
        <f ca="1">GP31*(_xlfn.XLOOKUP(GO$3,TabCalc[Ticker],TabCalc[M])+GQ31)</f>
        <v>0</v>
      </c>
      <c r="GP31" s="1132"/>
      <c r="GQ31" s="1127"/>
      <c r="GR31" s="1130">
        <f ca="1">GS31*(_xlfn.XLOOKUP(GR$3,TabCalc[Ticker],TabCalc[M])+GT31)</f>
        <v>0</v>
      </c>
      <c r="GS31" s="1132"/>
      <c r="GT31" s="1127"/>
      <c r="GU31" s="1130">
        <f ca="1">GV31*(_xlfn.XLOOKUP(GU$3,TabCalc[Ticker],TabCalc[M])+GW31)</f>
        <v>0</v>
      </c>
      <c r="GV31" s="1132"/>
      <c r="GW31" s="1127"/>
      <c r="GX31" s="1130">
        <f ca="1">GY31*(_xlfn.XLOOKUP(GX$3,TabCalc[Ticker],TabCalc[M])+GZ31)</f>
        <v>0</v>
      </c>
      <c r="GY31" s="1132"/>
      <c r="GZ31" s="1127"/>
      <c r="HA31" s="1130">
        <f ca="1">HB31*(_xlfn.XLOOKUP(HA$3,TabCalc[Ticker],TabCalc[M])+HC31)</f>
        <v>0</v>
      </c>
      <c r="HB31" s="1132"/>
      <c r="HC31" s="1127"/>
      <c r="HD31" s="1130">
        <f ca="1">HE31*(_xlfn.XLOOKUP(HD$3,TabCalc[Ticker],TabCalc[M])+HF31)</f>
        <v>0</v>
      </c>
      <c r="HE31" s="1132"/>
      <c r="HF31" s="1127"/>
      <c r="HG31" s="1130">
        <f ca="1">HH31*(_xlfn.XLOOKUP(HG$3,TabCalc[Ticker],TabCalc[M])+HI31)</f>
        <v>0</v>
      </c>
      <c r="HH31" s="1132"/>
      <c r="HI31" s="1127"/>
      <c r="HJ31" s="1130">
        <f ca="1">HK31*(_xlfn.XLOOKUP(HJ$3,TabCalc[Ticker],TabCalc[M])+HL31)</f>
        <v>0</v>
      </c>
      <c r="HK31" s="1132"/>
      <c r="HL31" s="1127"/>
      <c r="HM31" s="1130">
        <f ca="1">HN31*(_xlfn.XLOOKUP(HM$3,TabCalc[Ticker],TabCalc[M])+HO31)</f>
        <v>0</v>
      </c>
      <c r="HN31" s="1132"/>
      <c r="HO31" s="1127"/>
      <c r="HP31" s="1130">
        <f ca="1">HQ31*(_xlfn.XLOOKUP(HP$3,TabCalc[Ticker],TabCalc[M])+HR31)</f>
        <v>0</v>
      </c>
      <c r="HQ31" s="1132"/>
      <c r="HR31" s="1127"/>
      <c r="HS31" s="1130">
        <f ca="1">HT31*(_xlfn.XLOOKUP(HS$3,TabCalc[Ticker],TabCalc[M])+HU31)</f>
        <v>0</v>
      </c>
      <c r="HT31" s="1132"/>
      <c r="HU31" s="1127"/>
      <c r="HV31" s="1130">
        <f ca="1">HW31*(_xlfn.XLOOKUP(HV$3,TabCalc[Ticker],TabCalc[M])+HX31)</f>
        <v>0</v>
      </c>
      <c r="HW31" s="1132"/>
      <c r="HX31" s="1127"/>
      <c r="HY31" s="1130">
        <f ca="1">HZ31*(_xlfn.XLOOKUP(HY$3,TabCalc[Ticker],TabCalc[M])+IA31)</f>
        <v>0</v>
      </c>
      <c r="HZ31" s="1132"/>
      <c r="IA31" s="1127"/>
      <c r="IB31" s="1130">
        <f ca="1">IC31*(_xlfn.XLOOKUP(IB$3,TabCalc[Ticker],TabCalc[M])+ID31)</f>
        <v>0</v>
      </c>
      <c r="IC31" s="1132"/>
      <c r="ID31" s="1127"/>
      <c r="IE31" s="1130">
        <f ca="1">IF31*(_xlfn.XLOOKUP(IE$3,TabCalc[Ticker],TabCalc[M])+IG31)</f>
        <v>0</v>
      </c>
      <c r="IF31" s="1132"/>
      <c r="IG31" s="1127"/>
      <c r="IH31" s="1130">
        <f ca="1">II31*(_xlfn.XLOOKUP(IH$3,TabCalc[Ticker],TabCalc[M])+IJ31)</f>
        <v>0</v>
      </c>
      <c r="II31" s="1132"/>
      <c r="IJ31" s="1127"/>
      <c r="IK31" s="1130">
        <f ca="1">IL31*(_xlfn.XLOOKUP(IK$3,TabCalc[Ticker],TabCalc[M])+IM31)</f>
        <v>0</v>
      </c>
      <c r="IL31" s="1132"/>
      <c r="IM31" s="1127"/>
      <c r="IN31" s="1130">
        <f ca="1">IO31*(_xlfn.XLOOKUP(IN$3,TabCalc[Ticker],TabCalc[M])+IP31)</f>
        <v>0</v>
      </c>
      <c r="IO31" s="1132"/>
      <c r="IP31" s="1127"/>
      <c r="IQ31" s="1130">
        <f ca="1">IR31*(_xlfn.XLOOKUP(IQ$3,TabCalc[Ticker],TabCalc[M]))</f>
        <v>0</v>
      </c>
      <c r="IR31" s="1132"/>
      <c r="IS31" s="1127"/>
      <c r="IT31" s="1130">
        <f ca="1">IU31*(_xlfn.XLOOKUP(IT$3,TabCalc[Ticker],TabCalc[M])+IV31)</f>
        <v>0</v>
      </c>
      <c r="IU31" s="1132"/>
      <c r="IV31" s="1127"/>
      <c r="IW31" s="1130">
        <f ca="1">IX31*(_xlfn.XLOOKUP(IW$3,TabCalc[Ticker],TabCalc[M])+IY31)</f>
        <v>0</v>
      </c>
      <c r="IX31" s="1132"/>
      <c r="IY31" s="1127"/>
      <c r="IZ31" s="1130">
        <f ca="1">JA31*(_xlfn.XLOOKUP(IZ$3,TabCalc[Ticker],TabCalc[M])+JB31)</f>
        <v>0</v>
      </c>
      <c r="JA31" s="1132"/>
      <c r="JB31" s="1127"/>
      <c r="JC31" s="1130">
        <f ca="1">JD31*(_xlfn.XLOOKUP(JC$3,TabCalc[Ticker],TabCalc[M])+JE31)</f>
        <v>0</v>
      </c>
      <c r="JD31" s="1132"/>
      <c r="JE31" s="1127"/>
      <c r="JF31" s="1130">
        <f ca="1">JG31*(_xlfn.XLOOKUP(JF$3,TabCalc[Ticker],TabCalc[M])+JH31)</f>
        <v>0</v>
      </c>
      <c r="JG31" s="1132"/>
      <c r="JH31" s="1127"/>
      <c r="JI31" s="1130">
        <f ca="1">JJ31*(_xlfn.XLOOKUP(JI$3,TabCalc[Ticker],TabCalc[M])+JK31)</f>
        <v>0</v>
      </c>
      <c r="JJ31" s="1132"/>
      <c r="JK31" s="1127"/>
      <c r="JL31" s="1130">
        <f ca="1">JM31*(_xlfn.XLOOKUP(JL$3,TabCalc[Ticker],TabCalc[M])+JN31)</f>
        <v>0</v>
      </c>
      <c r="JM31" s="1132"/>
      <c r="JN31" s="1127"/>
      <c r="JO31" s="1130">
        <f ca="1">JP31*(_xlfn.XLOOKUP(JO$3,TabCalc[Ticker],TabCalc[M])+JQ31)</f>
        <v>0</v>
      </c>
      <c r="JP31" s="1132"/>
      <c r="JQ31" s="1127"/>
      <c r="JR31" s="1130">
        <f ca="1">JS31*(_xlfn.XLOOKUP(JR$3,TabCalc[Ticker],TabCalc[M])+JT31)</f>
        <v>0</v>
      </c>
      <c r="JS31" s="1132"/>
      <c r="JT31" s="1127"/>
      <c r="JU31" s="1130">
        <f ca="1">JV31*(_xlfn.XLOOKUP(JU$3,TabCalc[Ticker],TabCalc[M])+JW31)</f>
        <v>0</v>
      </c>
      <c r="JV31" s="1137"/>
      <c r="JW31" s="1127"/>
      <c r="JX31" s="1130">
        <f ca="1">JY31*(_xlfn.XLOOKUP(JX$3,TabCalc[Ticker],TabCalc[M])+JZ31)</f>
        <v>0</v>
      </c>
      <c r="JY31" s="1132"/>
      <c r="JZ31" s="1134"/>
    </row>
    <row r="32" spans="1:286" x14ac:dyDescent="0.3">
      <c r="A32">
        <v>29</v>
      </c>
      <c r="B32" s="1130">
        <f ca="1">C32*(_xlfn.XLOOKUP(B$3,TabCalc[Ticker],TabCalc[M])+D32)</f>
        <v>0</v>
      </c>
      <c r="C32" s="1132"/>
      <c r="D32" s="1127"/>
      <c r="E32" s="1130">
        <f ca="1">F32*(_xlfn.XLOOKUP(E$3,TabCalc[Ticker],TabCalc[M])+G32)</f>
        <v>0</v>
      </c>
      <c r="F32" s="1132"/>
      <c r="G32" s="1127"/>
      <c r="H32" s="1130">
        <f ca="1">I32*(_xlfn.XLOOKUP(H$3,TabCalc[Ticker],TabCalc[M])+J32)</f>
        <v>0</v>
      </c>
      <c r="I32" s="1132"/>
      <c r="J32" s="1127"/>
      <c r="K32" s="1130">
        <f ca="1">L32*(_xlfn.XLOOKUP(K$3,TabCalc[Ticker],TabCalc[M])+M32)</f>
        <v>0</v>
      </c>
      <c r="L32" s="1132"/>
      <c r="M32" s="1127"/>
      <c r="N32" s="1130">
        <f ca="1">O32*(_xlfn.XLOOKUP(N$3,TabCalc[Ticker],TabCalc[M])+P32)</f>
        <v>0</v>
      </c>
      <c r="O32" s="1132"/>
      <c r="P32" s="1127"/>
      <c r="Q32" s="1130">
        <f ca="1">R32*(_xlfn.XLOOKUP(Q$3,TabCalc[Ticker],TabCalc[M])+S32)</f>
        <v>0</v>
      </c>
      <c r="R32" s="1132"/>
      <c r="S32" s="1127"/>
      <c r="T32" s="1130">
        <f ca="1">U32*(_xlfn.XLOOKUP(T$3,TabCalc[Ticker],TabCalc[M])+V32)</f>
        <v>0</v>
      </c>
      <c r="U32" s="1132"/>
      <c r="V32" s="1128"/>
      <c r="W32" s="1130">
        <f ca="1">X32*(_xlfn.XLOOKUP(W$3,TabCalc[Ticker],TabCalc[M])+Y32)</f>
        <v>0</v>
      </c>
      <c r="X32" s="1132"/>
      <c r="Y32" s="1127"/>
      <c r="Z32" s="1130">
        <f ca="1">AA32*(_xlfn.XLOOKUP(Z$3,TabCalc[Ticker],TabCalc[M])+AB32)</f>
        <v>0</v>
      </c>
      <c r="AA32" s="1133"/>
      <c r="AB32" s="1127"/>
      <c r="AC32" s="1130">
        <f ca="1">AD32*(_xlfn.XLOOKUP(AC$3,TabCalc[Ticker],TabCalc[M])+AE32)</f>
        <v>0</v>
      </c>
      <c r="AD32" s="1132"/>
      <c r="AE32" s="1127"/>
      <c r="AF32" s="1130">
        <f ca="1">AG32*(_xlfn.XLOOKUP(AF$3,TabCalc[Ticker],TabCalc[M])+AH32)</f>
        <v>0</v>
      </c>
      <c r="AG32" s="1132"/>
      <c r="AH32" s="1127"/>
      <c r="AI32" s="1130">
        <f ca="1">AJ32*(_xlfn.XLOOKUP(AI$3,TabCalc[Ticker],TabCalc[M])+AK32)</f>
        <v>0</v>
      </c>
      <c r="AJ32" s="1132"/>
      <c r="AK32" s="1127"/>
      <c r="AL32" s="1130">
        <f ca="1">AM32*(_xlfn.XLOOKUP(AL$3,TabCalc[Ticker],TabCalc[M])+AN32)</f>
        <v>0</v>
      </c>
      <c r="AM32" s="1132"/>
      <c r="AN32" s="1127"/>
      <c r="AO32" s="1130">
        <f ca="1">AP32*(_xlfn.XLOOKUP(AO$3,TabCalc[Ticker],TabCalc[M])+AQ32)</f>
        <v>0</v>
      </c>
      <c r="AP32" s="1132"/>
      <c r="AQ32" s="1127"/>
      <c r="AR32" s="1130">
        <f ca="1">AS32*(_xlfn.XLOOKUP(AR$3,TabCalc[Ticker],TabCalc[M])+AT32)</f>
        <v>0</v>
      </c>
      <c r="AS32" s="1132"/>
      <c r="AT32" s="1127"/>
      <c r="AU32" s="1130">
        <f ca="1">AV32*(_xlfn.XLOOKUP(AU$3,TabCalc[Ticker],TabCalc[M])+AW32)</f>
        <v>0</v>
      </c>
      <c r="AV32" s="1132"/>
      <c r="AW32" s="1127"/>
      <c r="AX32" s="1130">
        <f ca="1">AY32*(_xlfn.XLOOKUP(AX$3,TabCalc[Ticker],TabCalc[M])+AZ32)</f>
        <v>0</v>
      </c>
      <c r="AY32" s="1132"/>
      <c r="AZ32" s="1127"/>
      <c r="BA32" s="1130">
        <f ca="1">BB32*(_xlfn.XLOOKUP(BA$3,TabCalc[Ticker],TabCalc[M])+BC32)</f>
        <v>0</v>
      </c>
      <c r="BB32" s="1132"/>
      <c r="BC32" s="1127"/>
      <c r="BD32" s="1130">
        <f ca="1">BE32*(_xlfn.XLOOKUP(BD$3,TabCalc[Ticker],TabCalc[M])+BF32)</f>
        <v>0</v>
      </c>
      <c r="BE32" s="1132"/>
      <c r="BF32" s="1127"/>
      <c r="BG32" s="1130">
        <f ca="1">BH32*(_xlfn.XLOOKUP(BG$3,TabCalc[Ticker],TabCalc[M])+BI32)</f>
        <v>0</v>
      </c>
      <c r="BH32" s="1132"/>
      <c r="BI32" s="1127"/>
      <c r="BJ32" s="1130">
        <f ca="1">BK32*(_xlfn.XLOOKUP(BJ$3,TabCalc[Ticker],TabCalc[M])+BL32)</f>
        <v>0</v>
      </c>
      <c r="BK32" s="1132"/>
      <c r="BL32" s="1127"/>
      <c r="BM32" s="1130">
        <f ca="1">BN32*(_xlfn.XLOOKUP(BM$3,TabCalc[Ticker],TabCalc[M])+BO32)</f>
        <v>0</v>
      </c>
      <c r="BN32" s="1132"/>
      <c r="BO32" s="1127"/>
      <c r="BP32" s="1130">
        <f ca="1">BQ32*(_xlfn.XLOOKUP(BP$3,TabCalc[Ticker],TabCalc[M])+BR32)</f>
        <v>0</v>
      </c>
      <c r="BQ32" s="1132"/>
      <c r="BR32" s="1127"/>
      <c r="BS32" s="1130">
        <f ca="1">BT32*(_xlfn.XLOOKUP(BS$3,TabCalc[Ticker],TabCalc[M])+BU32)</f>
        <v>0</v>
      </c>
      <c r="BT32" s="1132"/>
      <c r="BU32" s="1127"/>
      <c r="BV32" s="1130">
        <f ca="1">BW32*(_xlfn.XLOOKUP(BV$3,TabCalc[Ticker],TabCalc[M])+BX32)</f>
        <v>0</v>
      </c>
      <c r="BW32" s="1132"/>
      <c r="BX32" s="1127"/>
      <c r="BY32" s="1130">
        <f ca="1">BZ32*(_xlfn.XLOOKUP(BY$3,TabCalc[Ticker],TabCalc[M])+CA32)</f>
        <v>0</v>
      </c>
      <c r="BZ32" s="1132"/>
      <c r="CA32" s="1127"/>
      <c r="CB32" s="1130">
        <f ca="1">CC32*(_xlfn.XLOOKUP(CB$3,TabCalc[Ticker],TabCalc[M])+CD32)</f>
        <v>0</v>
      </c>
      <c r="CC32" s="1132"/>
      <c r="CD32" s="1127"/>
      <c r="CE32" s="1130">
        <f ca="1">CF32*(_xlfn.XLOOKUP(CE$3,TabCalc[Ticker],TabCalc[M])+CG32)</f>
        <v>0</v>
      </c>
      <c r="CF32" s="1132"/>
      <c r="CG32" s="1127"/>
      <c r="CH32" s="1130">
        <f ca="1">CI32*(_xlfn.XLOOKUP(CH$3,TabCalc[Ticker],TabCalc[M])+CJ32)</f>
        <v>0</v>
      </c>
      <c r="CI32" s="1132"/>
      <c r="CJ32" s="1127"/>
      <c r="CK32" s="1130">
        <f ca="1">CL32*(_xlfn.XLOOKUP(CK$3,TabCalc[Ticker],TabCalc[M])+CM32)</f>
        <v>0</v>
      </c>
      <c r="CL32" s="1132"/>
      <c r="CM32" s="1127"/>
      <c r="CN32" s="1130">
        <f ca="1">CO32*(_xlfn.XLOOKUP(CN$3,TabCalc[Ticker],TabCalc[M])+CP32)</f>
        <v>0</v>
      </c>
      <c r="CO32" s="1132"/>
      <c r="CP32" s="1127"/>
      <c r="CQ32" s="1130">
        <f ca="1">CR32*(_xlfn.XLOOKUP(CQ$3,TabCalc[Ticker],TabCalc[M])+CS32)</f>
        <v>0</v>
      </c>
      <c r="CR32" s="1132"/>
      <c r="CS32" s="1127"/>
      <c r="CT32" s="1130">
        <f ca="1">CU32*(_xlfn.XLOOKUP(CT$3,TabCalc[Ticker],TabCalc[M])+CV32)</f>
        <v>0</v>
      </c>
      <c r="CU32" s="1132"/>
      <c r="CV32" s="1127"/>
      <c r="CW32" s="1130">
        <f ca="1">CX32*(_xlfn.XLOOKUP(CW$3,TabCalc[Ticker],TabCalc[M])+CY32)</f>
        <v>0</v>
      </c>
      <c r="CX32" s="1132"/>
      <c r="CY32" s="1127"/>
      <c r="CZ32" s="1130">
        <f ca="1">DA32*(_xlfn.XLOOKUP(CZ$3,TabCalc[Ticker],TabCalc[M])+DB32)</f>
        <v>0</v>
      </c>
      <c r="DA32" s="1132"/>
      <c r="DB32" s="1127"/>
      <c r="DC32" s="1130">
        <f ca="1">DD32*(_xlfn.XLOOKUP(DC$3,TabCalc[Ticker],TabCalc[M])+DE32)</f>
        <v>0</v>
      </c>
      <c r="DD32" s="1132"/>
      <c r="DE32" s="1127"/>
      <c r="DF32" s="1130">
        <f ca="1">DG32*(_xlfn.XLOOKUP(DF$3,TabCalc[Ticker],TabCalc[M])+DH32)</f>
        <v>0</v>
      </c>
      <c r="DG32" s="1132"/>
      <c r="DH32" s="1127"/>
      <c r="DI32" s="1130">
        <f ca="1">DJ32*(_xlfn.XLOOKUP(DI$3,TabCalc[Ticker],TabCalc[M])+DK32)</f>
        <v>0</v>
      </c>
      <c r="DJ32" s="1132"/>
      <c r="DK32" s="1127"/>
      <c r="DL32" s="1130">
        <f ca="1">DM32*(_xlfn.XLOOKUP(DL$3,TabCalc[Ticker],TabCalc[M])+DN32)</f>
        <v>0</v>
      </c>
      <c r="DM32" s="1132"/>
      <c r="DN32" s="1127"/>
      <c r="DO32" s="1130">
        <f ca="1">DP32*(_xlfn.XLOOKUP(DO$3,TabCalc[Ticker],TabCalc[M])+DQ32)</f>
        <v>0</v>
      </c>
      <c r="DP32" s="1132"/>
      <c r="DQ32" s="1127"/>
      <c r="DR32" s="1130">
        <f ca="1">DS32*(_xlfn.XLOOKUP(DR$3,TabCalc[Ticker],TabCalc[M])+DT32)</f>
        <v>0</v>
      </c>
      <c r="DS32" s="1132"/>
      <c r="DT32" s="1127"/>
      <c r="DU32" s="1130">
        <f ca="1">DV32*(_xlfn.XLOOKUP(DU$3,TabCalc[Ticker],TabCalc[M])+DW32)</f>
        <v>0</v>
      </c>
      <c r="DV32" s="1132"/>
      <c r="DW32" s="1127"/>
      <c r="DX32" s="1130">
        <f ca="1">DY32*(_xlfn.XLOOKUP(DX$3,TabCalc[Ticker],TabCalc[M])+DZ32)</f>
        <v>0</v>
      </c>
      <c r="DY32" s="1132"/>
      <c r="DZ32" s="1127"/>
      <c r="EA32" s="1130">
        <f ca="1">EB32*(_xlfn.XLOOKUP(EA$3,TabCalc[Ticker],TabCalc[M])+EC32)</f>
        <v>0</v>
      </c>
      <c r="EB32" s="1132"/>
      <c r="EC32" s="1127"/>
      <c r="ED32" s="1130">
        <f ca="1">EE32*(_xlfn.XLOOKUP(ED$3,TabCalc[Ticker],TabCalc[M])+EF32)</f>
        <v>0</v>
      </c>
      <c r="EE32" s="1132"/>
      <c r="EF32" s="1127"/>
      <c r="EG32" s="1130">
        <f ca="1">EH32*(_xlfn.XLOOKUP(EG$3,TabCalc[Ticker],TabCalc[M])+EI32)</f>
        <v>0</v>
      </c>
      <c r="EH32" s="1132"/>
      <c r="EI32" s="1127"/>
      <c r="EJ32" s="1130" t="e">
        <f ca="1">EK32*(_xlfn.XLOOKUP(EJ$3,TabCalc[Ticker],TabCalc[M])+EL32)</f>
        <v>#N/A</v>
      </c>
      <c r="EK32" s="1132"/>
      <c r="EL32" s="1127"/>
      <c r="EM32" s="1130">
        <f ca="1">EN32*(_xlfn.XLOOKUP(EM$3,TabCalc[Ticker],TabCalc[M])+EO32)</f>
        <v>0</v>
      </c>
      <c r="EN32" s="1132"/>
      <c r="EO32" s="1127"/>
      <c r="EP32" s="1130">
        <f ca="1">EQ32*(_xlfn.XLOOKUP(EP$3,TabCalc[Ticker],TabCalc[M])+ER32)</f>
        <v>0</v>
      </c>
      <c r="EQ32" s="1132"/>
      <c r="ER32" s="1127"/>
      <c r="ES32" s="1130">
        <f ca="1">ET32*(_xlfn.XLOOKUP(ES$3,TabCalc[Ticker],TabCalc[M])+EU32)</f>
        <v>0</v>
      </c>
      <c r="ET32" s="1132"/>
      <c r="EU32" s="1127"/>
      <c r="EV32" s="1130">
        <f ca="1">EW32*(_xlfn.XLOOKUP(EV$3,TabCalc[Ticker],TabCalc[M])+EX32)</f>
        <v>0</v>
      </c>
      <c r="EW32" s="1132"/>
      <c r="EX32" s="1134"/>
      <c r="EY32" s="1130">
        <f ca="1">EZ32*(_xlfn.XLOOKUP(EY$3,TabCalc[Ticker],TabCalc[M])+FA32)</f>
        <v>0</v>
      </c>
      <c r="EZ32" s="1132"/>
      <c r="FA32" s="1134"/>
      <c r="FB32" s="1130">
        <f ca="1">FC32*(_xlfn.XLOOKUP(FB$3,TabCalc[Ticker],TabCalc[M])+FD32)</f>
        <v>0</v>
      </c>
      <c r="FC32" s="1132"/>
      <c r="FD32" s="1134"/>
      <c r="FE32" s="1130">
        <f ca="1">FF32*(_xlfn.XLOOKUP(FE$3,TabCalc[Ticker],TabCalc[M])+FG32)</f>
        <v>0</v>
      </c>
      <c r="FF32" s="1132"/>
      <c r="FG32" s="1127"/>
      <c r="FH32" s="1130">
        <f ca="1">FI32*(_xlfn.XLOOKUP(FH$3,TabCalc[Ticker],TabCalc[M])+FJ32)</f>
        <v>0</v>
      </c>
      <c r="FI32" s="1132"/>
      <c r="FJ32" s="1127"/>
      <c r="FK32" s="1130">
        <f ca="1">FL32*(_xlfn.XLOOKUP(FK$3,TabCalc[Ticker],TabCalc[M])+FM32)</f>
        <v>0</v>
      </c>
      <c r="FL32" s="1132"/>
      <c r="FM32" s="1127"/>
      <c r="FN32" s="1130">
        <f ca="1">FO32*(_xlfn.XLOOKUP(FN$3,TabCalc[Ticker],TabCalc[M])+FP32)</f>
        <v>0</v>
      </c>
      <c r="FO32" s="1132"/>
      <c r="FP32" s="1127"/>
      <c r="FQ32" s="1130">
        <f ca="1">FR32*(_xlfn.XLOOKUP(FQ$3,TabCalc[Ticker],TabCalc[M])+FS32)</f>
        <v>0</v>
      </c>
      <c r="FR32" s="1132"/>
      <c r="FS32" s="1127"/>
      <c r="FT32" s="1130">
        <f ca="1">FU32*(_xlfn.XLOOKUP(FT$3,TabCalc[Ticker],TabCalc[M])+FV32)</f>
        <v>0</v>
      </c>
      <c r="FU32" s="1132"/>
      <c r="FV32" s="1127"/>
      <c r="FW32" s="1130">
        <f ca="1">FX32*(_xlfn.XLOOKUP(FW$3,TabCalc[Ticker],TabCalc[M])+FY32)</f>
        <v>0</v>
      </c>
      <c r="FX32" s="1132"/>
      <c r="FY32" s="1127"/>
      <c r="FZ32" s="1130">
        <f ca="1">GA32*(_xlfn.XLOOKUP(FZ$3,TabCalc[Ticker],TabCalc[M])+GB32)</f>
        <v>0</v>
      </c>
      <c r="GA32" s="1132"/>
      <c r="GB32" s="1127"/>
      <c r="GC32" s="1130">
        <f ca="1">GD32*(_xlfn.XLOOKUP(GC$3,TabCalc[Ticker],TabCalc[M])+GE32)</f>
        <v>0</v>
      </c>
      <c r="GD32" s="1132"/>
      <c r="GE32" s="1127"/>
      <c r="GF32" s="1130">
        <f ca="1">GG32*(_xlfn.XLOOKUP(GF$3,TabCalc[Ticker],TabCalc[M])+GH32)</f>
        <v>0</v>
      </c>
      <c r="GG32" s="1132"/>
      <c r="GH32" s="1127"/>
      <c r="GI32" s="1130">
        <f ca="1">GJ32*(_xlfn.XLOOKUP(GI$3,TabCalc[Ticker],TabCalc[M])+GK32)</f>
        <v>0</v>
      </c>
      <c r="GJ32" s="1132"/>
      <c r="GK32" s="1127"/>
      <c r="GL32" s="1130">
        <f ca="1">GM32*(_xlfn.XLOOKUP(GL$3,TabCalc[Ticker],TabCalc[M])+GN32)</f>
        <v>0</v>
      </c>
      <c r="GM32" s="1132"/>
      <c r="GN32" s="1127"/>
      <c r="GO32" s="1130">
        <f ca="1">GP32*(_xlfn.XLOOKUP(GO$3,TabCalc[Ticker],TabCalc[M])+GQ32)</f>
        <v>0</v>
      </c>
      <c r="GP32" s="1132"/>
      <c r="GQ32" s="1127"/>
      <c r="GR32" s="1130">
        <f ca="1">GS32*(_xlfn.XLOOKUP(GR$3,TabCalc[Ticker],TabCalc[M])+GT32)</f>
        <v>0</v>
      </c>
      <c r="GS32" s="1132"/>
      <c r="GT32" s="1127"/>
      <c r="GU32" s="1130">
        <f ca="1">GV32*(_xlfn.XLOOKUP(GU$3,TabCalc[Ticker],TabCalc[M])+GW32)</f>
        <v>0</v>
      </c>
      <c r="GV32" s="1132"/>
      <c r="GW32" s="1127"/>
      <c r="GX32" s="1130">
        <f ca="1">GY32*(_xlfn.XLOOKUP(GX$3,TabCalc[Ticker],TabCalc[M])+GZ32)</f>
        <v>0</v>
      </c>
      <c r="GY32" s="1132"/>
      <c r="GZ32" s="1127"/>
      <c r="HA32" s="1130">
        <f ca="1">HB32*(_xlfn.XLOOKUP(HA$3,TabCalc[Ticker],TabCalc[M])+HC32)</f>
        <v>0</v>
      </c>
      <c r="HB32" s="1132"/>
      <c r="HC32" s="1127"/>
      <c r="HD32" s="1130">
        <f ca="1">HE32*(_xlfn.XLOOKUP(HD$3,TabCalc[Ticker],TabCalc[M])+HF32)</f>
        <v>0</v>
      </c>
      <c r="HE32" s="1132"/>
      <c r="HF32" s="1127"/>
      <c r="HG32" s="1130">
        <f ca="1">HH32*(_xlfn.XLOOKUP(HG$3,TabCalc[Ticker],TabCalc[M])+HI32)</f>
        <v>0</v>
      </c>
      <c r="HH32" s="1132"/>
      <c r="HI32" s="1127"/>
      <c r="HJ32" s="1130">
        <f ca="1">HK32*(_xlfn.XLOOKUP(HJ$3,TabCalc[Ticker],TabCalc[M])+HL32)</f>
        <v>0</v>
      </c>
      <c r="HK32" s="1132"/>
      <c r="HL32" s="1127"/>
      <c r="HM32" s="1130">
        <f ca="1">HN32*(_xlfn.XLOOKUP(HM$3,TabCalc[Ticker],TabCalc[M])+HO32)</f>
        <v>0</v>
      </c>
      <c r="HN32" s="1132"/>
      <c r="HO32" s="1127"/>
      <c r="HP32" s="1130">
        <f ca="1">HQ32*(_xlfn.XLOOKUP(HP$3,TabCalc[Ticker],TabCalc[M])+HR32)</f>
        <v>0</v>
      </c>
      <c r="HQ32" s="1132"/>
      <c r="HR32" s="1127"/>
      <c r="HS32" s="1130">
        <f ca="1">HT32*(_xlfn.XLOOKUP(HS$3,TabCalc[Ticker],TabCalc[M])+HU32)</f>
        <v>0</v>
      </c>
      <c r="HT32" s="1132"/>
      <c r="HU32" s="1127"/>
      <c r="HV32" s="1130">
        <f ca="1">HW32*(_xlfn.XLOOKUP(HV$3,TabCalc[Ticker],TabCalc[M])+HX32)</f>
        <v>0</v>
      </c>
      <c r="HW32" s="1132"/>
      <c r="HX32" s="1127"/>
      <c r="HY32" s="1130">
        <f ca="1">HZ32*(_xlfn.XLOOKUP(HY$3,TabCalc[Ticker],TabCalc[M])+IA32)</f>
        <v>0</v>
      </c>
      <c r="HZ32" s="1132"/>
      <c r="IA32" s="1127"/>
      <c r="IB32" s="1130">
        <f ca="1">IC32*(_xlfn.XLOOKUP(IB$3,TabCalc[Ticker],TabCalc[M])+ID32)</f>
        <v>0</v>
      </c>
      <c r="IC32" s="1132"/>
      <c r="ID32" s="1127"/>
      <c r="IE32" s="1130">
        <f ca="1">IF32*(_xlfn.XLOOKUP(IE$3,TabCalc[Ticker],TabCalc[M])+IG32)</f>
        <v>0</v>
      </c>
      <c r="IF32" s="1132"/>
      <c r="IG32" s="1127"/>
      <c r="IH32" s="1130">
        <f ca="1">II32*(_xlfn.XLOOKUP(IH$3,TabCalc[Ticker],TabCalc[M])+IJ32)</f>
        <v>0</v>
      </c>
      <c r="II32" s="1132"/>
      <c r="IJ32" s="1127"/>
      <c r="IK32" s="1130">
        <f ca="1">IL32*(_xlfn.XLOOKUP(IK$3,TabCalc[Ticker],TabCalc[M])+IM32)</f>
        <v>0</v>
      </c>
      <c r="IL32" s="1132"/>
      <c r="IM32" s="1127"/>
      <c r="IN32" s="1130">
        <f ca="1">IO32*(_xlfn.XLOOKUP(IN$3,TabCalc[Ticker],TabCalc[M])+IP32)</f>
        <v>0</v>
      </c>
      <c r="IO32" s="1132"/>
      <c r="IP32" s="1127"/>
      <c r="IQ32" s="1130">
        <f ca="1">IR32*(_xlfn.XLOOKUP(IQ$3,TabCalc[Ticker],TabCalc[M]))</f>
        <v>0</v>
      </c>
      <c r="IR32" s="1132"/>
      <c r="IS32" s="1127"/>
      <c r="IT32" s="1130">
        <f ca="1">IU32*(_xlfn.XLOOKUP(IT$3,TabCalc[Ticker],TabCalc[M])+IV32)</f>
        <v>0</v>
      </c>
      <c r="IU32" s="1132"/>
      <c r="IV32" s="1127"/>
      <c r="IW32" s="1130">
        <f ca="1">IX32*(_xlfn.XLOOKUP(IW$3,TabCalc[Ticker],TabCalc[M])+IY32)</f>
        <v>0</v>
      </c>
      <c r="IX32" s="1132"/>
      <c r="IY32" s="1127"/>
      <c r="IZ32" s="1130">
        <f ca="1">JA32*(_xlfn.XLOOKUP(IZ$3,TabCalc[Ticker],TabCalc[M])+JB32)</f>
        <v>0</v>
      </c>
      <c r="JA32" s="1132"/>
      <c r="JB32" s="1127"/>
      <c r="JC32" s="1130">
        <f ca="1">JD32*(_xlfn.XLOOKUP(JC$3,TabCalc[Ticker],TabCalc[M])+JE32)</f>
        <v>0</v>
      </c>
      <c r="JD32" s="1132"/>
      <c r="JE32" s="1127"/>
      <c r="JF32" s="1130">
        <f ca="1">JG32*(_xlfn.XLOOKUP(JF$3,TabCalc[Ticker],TabCalc[M])+JH32)</f>
        <v>0</v>
      </c>
      <c r="JG32" s="1132"/>
      <c r="JH32" s="1127"/>
      <c r="JI32" s="1130">
        <f ca="1">JJ32*(_xlfn.XLOOKUP(JI$3,TabCalc[Ticker],TabCalc[M])+JK32)</f>
        <v>0</v>
      </c>
      <c r="JJ32" s="1132"/>
      <c r="JK32" s="1127"/>
      <c r="JL32" s="1130">
        <f ca="1">JM32*(_xlfn.XLOOKUP(JL$3,TabCalc[Ticker],TabCalc[M])+JN32)</f>
        <v>0</v>
      </c>
      <c r="JM32" s="1132"/>
      <c r="JN32" s="1127"/>
      <c r="JO32" s="1130">
        <f ca="1">JP32*(_xlfn.XLOOKUP(JO$3,TabCalc[Ticker],TabCalc[M])+JQ32)</f>
        <v>0</v>
      </c>
      <c r="JP32" s="1132"/>
      <c r="JQ32" s="1127"/>
      <c r="JR32" s="1130">
        <f ca="1">JS32*(_xlfn.XLOOKUP(JR$3,TabCalc[Ticker],TabCalc[M])+JT32)</f>
        <v>0</v>
      </c>
      <c r="JS32" s="1132"/>
      <c r="JT32" s="1127"/>
      <c r="JU32" s="1130">
        <f ca="1">JV32*(_xlfn.XLOOKUP(JU$3,TabCalc[Ticker],TabCalc[M])+JW32)</f>
        <v>0</v>
      </c>
      <c r="JV32" s="1137"/>
      <c r="JW32" s="1127"/>
      <c r="JX32" s="1130">
        <f ca="1">JY32*(_xlfn.XLOOKUP(JX$3,TabCalc[Ticker],TabCalc[M])+JZ32)</f>
        <v>0</v>
      </c>
      <c r="JY32" s="1132"/>
      <c r="JZ32" s="1134"/>
    </row>
    <row r="33" spans="1:289" x14ac:dyDescent="0.3">
      <c r="A33">
        <v>30</v>
      </c>
      <c r="B33" s="1130">
        <f ca="1">C33*(_xlfn.XLOOKUP(B$3,TabCalc[Ticker],TabCalc[M])+D33)</f>
        <v>0</v>
      </c>
      <c r="C33" s="1132"/>
      <c r="D33" s="1127"/>
      <c r="E33" s="1130">
        <f ca="1">F33*(_xlfn.XLOOKUP(E$3,TabCalc[Ticker],TabCalc[M])+G33)</f>
        <v>0</v>
      </c>
      <c r="F33" s="1132"/>
      <c r="G33" s="1127"/>
      <c r="H33" s="1130">
        <f ca="1">I33*(_xlfn.XLOOKUP(H$3,TabCalc[Ticker],TabCalc[M])+J33)</f>
        <v>0</v>
      </c>
      <c r="I33" s="1132"/>
      <c r="J33" s="1127"/>
      <c r="K33" s="1130">
        <f ca="1">L33*(_xlfn.XLOOKUP(K$3,TabCalc[Ticker],TabCalc[M])+M33)</f>
        <v>0</v>
      </c>
      <c r="L33" s="1132"/>
      <c r="M33" s="1127"/>
      <c r="N33" s="1130">
        <f ca="1">O33*(_xlfn.XLOOKUP(N$3,TabCalc[Ticker],TabCalc[M])+P33)</f>
        <v>0</v>
      </c>
      <c r="O33" s="1132"/>
      <c r="P33" s="1127"/>
      <c r="Q33" s="1130">
        <f ca="1">R33*(_xlfn.XLOOKUP(Q$3,TabCalc[Ticker],TabCalc[M])+S33)</f>
        <v>0</v>
      </c>
      <c r="R33" s="1132"/>
      <c r="S33" s="1127"/>
      <c r="T33" s="1130">
        <f ca="1">U33*(_xlfn.XLOOKUP(T$3,TabCalc[Ticker],TabCalc[M])+V33)</f>
        <v>0</v>
      </c>
      <c r="U33" s="1132"/>
      <c r="V33" s="1128"/>
      <c r="W33" s="1130">
        <f ca="1">X33*(_xlfn.XLOOKUP(W$3,TabCalc[Ticker],TabCalc[M])+Y33)</f>
        <v>0</v>
      </c>
      <c r="X33" s="1132"/>
      <c r="Y33" s="1127"/>
      <c r="Z33" s="1130">
        <f ca="1">AA33*(_xlfn.XLOOKUP(Z$3,TabCalc[Ticker],TabCalc[M])+AB33)</f>
        <v>0</v>
      </c>
      <c r="AA33" s="1133"/>
      <c r="AB33" s="1127"/>
      <c r="AC33" s="1130">
        <f ca="1">AD33*(_xlfn.XLOOKUP(AC$3,TabCalc[Ticker],TabCalc[M])+AE33)</f>
        <v>0</v>
      </c>
      <c r="AD33" s="1132"/>
      <c r="AE33" s="1127"/>
      <c r="AF33" s="1130">
        <f ca="1">AG33*(_xlfn.XLOOKUP(AF$3,TabCalc[Ticker],TabCalc[M])+AH33)</f>
        <v>0</v>
      </c>
      <c r="AG33" s="1132"/>
      <c r="AH33" s="1127"/>
      <c r="AI33" s="1130">
        <f ca="1">AJ33*(_xlfn.XLOOKUP(AI$3,TabCalc[Ticker],TabCalc[M])+AK33)</f>
        <v>0</v>
      </c>
      <c r="AJ33" s="1132"/>
      <c r="AK33" s="1127"/>
      <c r="AL33" s="1130">
        <f ca="1">AM33*(_xlfn.XLOOKUP(AL$3,TabCalc[Ticker],TabCalc[M])+AN33)</f>
        <v>0</v>
      </c>
      <c r="AM33" s="1132"/>
      <c r="AN33" s="1127"/>
      <c r="AO33" s="1130">
        <f ca="1">AP33*(_xlfn.XLOOKUP(AO$3,TabCalc[Ticker],TabCalc[M])+AQ33)</f>
        <v>0</v>
      </c>
      <c r="AP33" s="1132"/>
      <c r="AQ33" s="1127"/>
      <c r="AR33" s="1130">
        <f ca="1">AS33*(_xlfn.XLOOKUP(AR$3,TabCalc[Ticker],TabCalc[M])+AT33)</f>
        <v>0</v>
      </c>
      <c r="AS33" s="1132"/>
      <c r="AT33" s="1127"/>
      <c r="AU33" s="1130">
        <f ca="1">AV33*(_xlfn.XLOOKUP(AU$3,TabCalc[Ticker],TabCalc[M])+AW33)</f>
        <v>0</v>
      </c>
      <c r="AV33" s="1132"/>
      <c r="AW33" s="1127"/>
      <c r="AX33" s="1130">
        <f ca="1">AY33*(_xlfn.XLOOKUP(AX$3,TabCalc[Ticker],TabCalc[M])+AZ33)</f>
        <v>0</v>
      </c>
      <c r="AY33" s="1132"/>
      <c r="AZ33" s="1127"/>
      <c r="BA33" s="1130">
        <f ca="1">BB33*(_xlfn.XLOOKUP(BA$3,TabCalc[Ticker],TabCalc[M])+BC33)</f>
        <v>0</v>
      </c>
      <c r="BB33" s="1132"/>
      <c r="BC33" s="1127"/>
      <c r="BD33" s="1130">
        <f ca="1">BE33*(_xlfn.XLOOKUP(BD$3,TabCalc[Ticker],TabCalc[M])+BF33)</f>
        <v>0</v>
      </c>
      <c r="BE33" s="1132"/>
      <c r="BF33" s="1127"/>
      <c r="BG33" s="1130">
        <f ca="1">BH33*(_xlfn.XLOOKUP(BG$3,TabCalc[Ticker],TabCalc[M])+BI33)</f>
        <v>0</v>
      </c>
      <c r="BH33" s="1132"/>
      <c r="BI33" s="1127"/>
      <c r="BJ33" s="1130">
        <f ca="1">BK33*(_xlfn.XLOOKUP(BJ$3,TabCalc[Ticker],TabCalc[M])+BL33)</f>
        <v>0</v>
      </c>
      <c r="BK33" s="1132"/>
      <c r="BL33" s="1127"/>
      <c r="BM33" s="1130">
        <f ca="1">BN33*(_xlfn.XLOOKUP(BM$3,TabCalc[Ticker],TabCalc[M])+BO33)</f>
        <v>0</v>
      </c>
      <c r="BN33" s="1132"/>
      <c r="BO33" s="1127"/>
      <c r="BP33" s="1130">
        <f ca="1">BQ33*(_xlfn.XLOOKUP(BP$3,TabCalc[Ticker],TabCalc[M])+BR33)</f>
        <v>0</v>
      </c>
      <c r="BQ33" s="1132"/>
      <c r="BR33" s="1127"/>
      <c r="BS33" s="1130">
        <f ca="1">BT33*(_xlfn.XLOOKUP(BS$3,TabCalc[Ticker],TabCalc[M])+BU33)</f>
        <v>0</v>
      </c>
      <c r="BT33" s="1132"/>
      <c r="BU33" s="1127"/>
      <c r="BV33" s="1130">
        <f ca="1">BW33*(_xlfn.XLOOKUP(BV$3,TabCalc[Ticker],TabCalc[M])+BX33)</f>
        <v>0</v>
      </c>
      <c r="BW33" s="1132"/>
      <c r="BX33" s="1127"/>
      <c r="BY33" s="1130">
        <f ca="1">BZ33*(_xlfn.XLOOKUP(BY$3,TabCalc[Ticker],TabCalc[M])+CA33)</f>
        <v>0</v>
      </c>
      <c r="BZ33" s="1132"/>
      <c r="CA33" s="1127"/>
      <c r="CB33" s="1130">
        <f ca="1">CC33*(_xlfn.XLOOKUP(CB$3,TabCalc[Ticker],TabCalc[M])+CD33)</f>
        <v>0</v>
      </c>
      <c r="CC33" s="1132"/>
      <c r="CD33" s="1127"/>
      <c r="CE33" s="1130">
        <f ca="1">CF33*(_xlfn.XLOOKUP(CE$3,TabCalc[Ticker],TabCalc[M])+CG33)</f>
        <v>0</v>
      </c>
      <c r="CF33" s="1132"/>
      <c r="CG33" s="1127"/>
      <c r="CH33" s="1130">
        <f ca="1">CI33*(_xlfn.XLOOKUP(CH$3,TabCalc[Ticker],TabCalc[M])+CJ33)</f>
        <v>0</v>
      </c>
      <c r="CI33" s="1132"/>
      <c r="CJ33" s="1127"/>
      <c r="CK33" s="1130">
        <f ca="1">CL33*(_xlfn.XLOOKUP(CK$3,TabCalc[Ticker],TabCalc[M])+CM33)</f>
        <v>0</v>
      </c>
      <c r="CL33" s="1132"/>
      <c r="CM33" s="1127"/>
      <c r="CN33" s="1130">
        <f ca="1">CO33*(_xlfn.XLOOKUP(CN$3,TabCalc[Ticker],TabCalc[M])+CP33)</f>
        <v>0</v>
      </c>
      <c r="CO33" s="1132"/>
      <c r="CP33" s="1127"/>
      <c r="CQ33" s="1130">
        <f ca="1">CR33*(_xlfn.XLOOKUP(CQ$3,TabCalc[Ticker],TabCalc[M])+CS33)</f>
        <v>0</v>
      </c>
      <c r="CR33" s="1132"/>
      <c r="CS33" s="1127"/>
      <c r="CT33" s="1130">
        <f ca="1">CU33*(_xlfn.XLOOKUP(CT$3,TabCalc[Ticker],TabCalc[M])+CV33)</f>
        <v>0</v>
      </c>
      <c r="CU33" s="1132"/>
      <c r="CV33" s="1127"/>
      <c r="CW33" s="1130">
        <f ca="1">CX33*(_xlfn.XLOOKUP(CW$3,TabCalc[Ticker],TabCalc[M])+CY33)</f>
        <v>0</v>
      </c>
      <c r="CX33" s="1132"/>
      <c r="CY33" s="1127"/>
      <c r="CZ33" s="1130">
        <f ca="1">DA33*(_xlfn.XLOOKUP(CZ$3,TabCalc[Ticker],TabCalc[M])+DB33)</f>
        <v>0</v>
      </c>
      <c r="DA33" s="1132"/>
      <c r="DB33" s="1127"/>
      <c r="DC33" s="1130">
        <f ca="1">DD33*(_xlfn.XLOOKUP(DC$3,TabCalc[Ticker],TabCalc[M])+DE33)</f>
        <v>0</v>
      </c>
      <c r="DD33" s="1132"/>
      <c r="DE33" s="1127"/>
      <c r="DF33" s="1130">
        <f ca="1">DG33*(_xlfn.XLOOKUP(DF$3,TabCalc[Ticker],TabCalc[M])+DH33)</f>
        <v>0</v>
      </c>
      <c r="DG33" s="1132"/>
      <c r="DH33" s="1127"/>
      <c r="DI33" s="1130">
        <f ca="1">DJ33*(_xlfn.XLOOKUP(DI$3,TabCalc[Ticker],TabCalc[M])+DK33)</f>
        <v>0</v>
      </c>
      <c r="DJ33" s="1132"/>
      <c r="DK33" s="1127"/>
      <c r="DL33" s="1130">
        <f ca="1">DM33*(_xlfn.XLOOKUP(DL$3,TabCalc[Ticker],TabCalc[M])+DN33)</f>
        <v>0</v>
      </c>
      <c r="DM33" s="1132"/>
      <c r="DN33" s="1127"/>
      <c r="DO33" s="1130">
        <f ca="1">DP33*(_xlfn.XLOOKUP(DO$3,TabCalc[Ticker],TabCalc[M])+DQ33)</f>
        <v>0</v>
      </c>
      <c r="DP33" s="1132"/>
      <c r="DQ33" s="1127"/>
      <c r="DR33" s="1130">
        <f ca="1">DS33*(_xlfn.XLOOKUP(DR$3,TabCalc[Ticker],TabCalc[M])+DT33)</f>
        <v>0</v>
      </c>
      <c r="DS33" s="1132"/>
      <c r="DT33" s="1127"/>
      <c r="DU33" s="1130">
        <f ca="1">DV33*(_xlfn.XLOOKUP(DU$3,TabCalc[Ticker],TabCalc[M])+DW33)</f>
        <v>0</v>
      </c>
      <c r="DV33" s="1132"/>
      <c r="DW33" s="1127"/>
      <c r="DX33" s="1130">
        <f ca="1">DY33*(_xlfn.XLOOKUP(DX$3,TabCalc[Ticker],TabCalc[M])+DZ33)</f>
        <v>0</v>
      </c>
      <c r="DY33" s="1132"/>
      <c r="DZ33" s="1127"/>
      <c r="EA33" s="1130">
        <f ca="1">EB33*(_xlfn.XLOOKUP(EA$3,TabCalc[Ticker],TabCalc[M])+EC33)</f>
        <v>0</v>
      </c>
      <c r="EB33" s="1132"/>
      <c r="EC33" s="1127"/>
      <c r="ED33" s="1130">
        <f ca="1">EE33*(_xlfn.XLOOKUP(ED$3,TabCalc[Ticker],TabCalc[M])+EF33)</f>
        <v>0</v>
      </c>
      <c r="EE33" s="1132"/>
      <c r="EF33" s="1127"/>
      <c r="EG33" s="1130">
        <f ca="1">EH33*(_xlfn.XLOOKUP(EG$3,TabCalc[Ticker],TabCalc[M])+EI33)</f>
        <v>0</v>
      </c>
      <c r="EH33" s="1132"/>
      <c r="EI33" s="1127"/>
      <c r="EJ33" s="1130" t="e">
        <f ca="1">EK33*(_xlfn.XLOOKUP(EJ$3,TabCalc[Ticker],TabCalc[M])+EL33)</f>
        <v>#N/A</v>
      </c>
      <c r="EK33" s="1132"/>
      <c r="EL33" s="1127"/>
      <c r="EM33" s="1130">
        <f ca="1">EN33*(_xlfn.XLOOKUP(EM$3,TabCalc[Ticker],TabCalc[M])+EO33)</f>
        <v>0</v>
      </c>
      <c r="EN33" s="1132"/>
      <c r="EO33" s="1127"/>
      <c r="EP33" s="1130">
        <f ca="1">EQ33*(_xlfn.XLOOKUP(EP$3,TabCalc[Ticker],TabCalc[M])+ER33)</f>
        <v>0</v>
      </c>
      <c r="EQ33" s="1132"/>
      <c r="ER33" s="1127"/>
      <c r="ES33" s="1130">
        <f ca="1">ET33*(_xlfn.XLOOKUP(ES$3,TabCalc[Ticker],TabCalc[M])+EU33)</f>
        <v>0</v>
      </c>
      <c r="ET33" s="1132"/>
      <c r="EU33" s="1127"/>
      <c r="EV33" s="1130">
        <f ca="1">EW33*(_xlfn.XLOOKUP(EV$3,TabCalc[Ticker],TabCalc[M])+EX33)</f>
        <v>0</v>
      </c>
      <c r="EW33" s="1132"/>
      <c r="EX33" s="1134"/>
      <c r="EY33" s="1130">
        <f ca="1">EZ33*(_xlfn.XLOOKUP(EY$3,TabCalc[Ticker],TabCalc[M])+FA33)</f>
        <v>0</v>
      </c>
      <c r="EZ33" s="1132"/>
      <c r="FA33" s="1134"/>
      <c r="FB33" s="1130">
        <f ca="1">FC33*(_xlfn.XLOOKUP(FB$3,TabCalc[Ticker],TabCalc[M])+FD33)</f>
        <v>0</v>
      </c>
      <c r="FC33" s="1132"/>
      <c r="FD33" s="1134"/>
      <c r="FE33" s="1130">
        <f ca="1">FF33*(_xlfn.XLOOKUP(FE$3,TabCalc[Ticker],TabCalc[M])+FG33)</f>
        <v>0</v>
      </c>
      <c r="FF33" s="1132"/>
      <c r="FG33" s="1127"/>
      <c r="FH33" s="1130">
        <f ca="1">FI33*(_xlfn.XLOOKUP(FH$3,TabCalc[Ticker],TabCalc[M])+FJ33)</f>
        <v>0</v>
      </c>
      <c r="FI33" s="1132"/>
      <c r="FJ33" s="1127"/>
      <c r="FK33" s="1130">
        <f ca="1">FL33*(_xlfn.XLOOKUP(FK$3,TabCalc[Ticker],TabCalc[M])+FM33)</f>
        <v>0</v>
      </c>
      <c r="FL33" s="1132"/>
      <c r="FM33" s="1127"/>
      <c r="FN33" s="1130">
        <f ca="1">FO33*(_xlfn.XLOOKUP(FN$3,TabCalc[Ticker],TabCalc[M])+FP33)</f>
        <v>0</v>
      </c>
      <c r="FO33" s="1132"/>
      <c r="FP33" s="1127"/>
      <c r="FQ33" s="1130">
        <f ca="1">FR33*(_xlfn.XLOOKUP(FQ$3,TabCalc[Ticker],TabCalc[M])+FS33)</f>
        <v>0</v>
      </c>
      <c r="FR33" s="1132"/>
      <c r="FS33" s="1127"/>
      <c r="FT33" s="1130">
        <f ca="1">FU33*(_xlfn.XLOOKUP(FT$3,TabCalc[Ticker],TabCalc[M])+FV33)</f>
        <v>0</v>
      </c>
      <c r="FU33" s="1132"/>
      <c r="FV33" s="1127"/>
      <c r="FW33" s="1130">
        <f ca="1">FX33*(_xlfn.XLOOKUP(FW$3,TabCalc[Ticker],TabCalc[M])+FY33)</f>
        <v>0</v>
      </c>
      <c r="FX33" s="1132"/>
      <c r="FY33" s="1127"/>
      <c r="FZ33" s="1130">
        <f ca="1">GA33*(_xlfn.XLOOKUP(FZ$3,TabCalc[Ticker],TabCalc[M])+GB33)</f>
        <v>0</v>
      </c>
      <c r="GA33" s="1132"/>
      <c r="GB33" s="1127"/>
      <c r="GC33" s="1130">
        <f ca="1">GD33*(_xlfn.XLOOKUP(GC$3,TabCalc[Ticker],TabCalc[M])+GE33)</f>
        <v>0</v>
      </c>
      <c r="GD33" s="1132"/>
      <c r="GE33" s="1127"/>
      <c r="GF33" s="1130">
        <f ca="1">GG33*(_xlfn.XLOOKUP(GF$3,TabCalc[Ticker],TabCalc[M])+GH33)</f>
        <v>0</v>
      </c>
      <c r="GG33" s="1132"/>
      <c r="GH33" s="1127"/>
      <c r="GI33" s="1130">
        <f ca="1">GJ33*(_xlfn.XLOOKUP(GI$3,TabCalc[Ticker],TabCalc[M])+GK33)</f>
        <v>0</v>
      </c>
      <c r="GJ33" s="1132"/>
      <c r="GK33" s="1127"/>
      <c r="GL33" s="1130">
        <f ca="1">GM33*(_xlfn.XLOOKUP(GL$3,TabCalc[Ticker],TabCalc[M])+GN33)</f>
        <v>0</v>
      </c>
      <c r="GM33" s="1132"/>
      <c r="GN33" s="1127"/>
      <c r="GO33" s="1130">
        <f ca="1">GP33*(_xlfn.XLOOKUP(GO$3,TabCalc[Ticker],TabCalc[M])+GQ33)</f>
        <v>0</v>
      </c>
      <c r="GP33" s="1132"/>
      <c r="GQ33" s="1127"/>
      <c r="GR33" s="1130">
        <f ca="1">GS33*(_xlfn.XLOOKUP(GR$3,TabCalc[Ticker],TabCalc[M])+GT33)</f>
        <v>0</v>
      </c>
      <c r="GS33" s="1132"/>
      <c r="GT33" s="1127"/>
      <c r="GU33" s="1130">
        <f ca="1">GV33*(_xlfn.XLOOKUP(GU$3,TabCalc[Ticker],TabCalc[M])+GW33)</f>
        <v>0</v>
      </c>
      <c r="GV33" s="1132"/>
      <c r="GW33" s="1127"/>
      <c r="GX33" s="1130">
        <f ca="1">GY33*(_xlfn.XLOOKUP(GX$3,TabCalc[Ticker],TabCalc[M])+GZ33)</f>
        <v>0</v>
      </c>
      <c r="GY33" s="1132"/>
      <c r="GZ33" s="1127"/>
      <c r="HA33" s="1130">
        <f ca="1">HB33*(_xlfn.XLOOKUP(HA$3,TabCalc[Ticker],TabCalc[M])+HC33)</f>
        <v>0</v>
      </c>
      <c r="HB33" s="1132"/>
      <c r="HC33" s="1127"/>
      <c r="HD33" s="1130">
        <f ca="1">HE33*(_xlfn.XLOOKUP(HD$3,TabCalc[Ticker],TabCalc[M])+HF33)</f>
        <v>0</v>
      </c>
      <c r="HE33" s="1132"/>
      <c r="HF33" s="1127"/>
      <c r="HG33" s="1130">
        <f ca="1">HH33*(_xlfn.XLOOKUP(HG$3,TabCalc[Ticker],TabCalc[M])+HI33)</f>
        <v>0</v>
      </c>
      <c r="HH33" s="1132"/>
      <c r="HI33" s="1127"/>
      <c r="HJ33" s="1130">
        <f ca="1">HK33*(_xlfn.XLOOKUP(HJ$3,TabCalc[Ticker],TabCalc[M])+HL33)</f>
        <v>0</v>
      </c>
      <c r="HK33" s="1132"/>
      <c r="HL33" s="1127"/>
      <c r="HM33" s="1130">
        <f ca="1">HN33*(_xlfn.XLOOKUP(HM$3,TabCalc[Ticker],TabCalc[M])+HO33)</f>
        <v>0</v>
      </c>
      <c r="HN33" s="1132"/>
      <c r="HO33" s="1127"/>
      <c r="HP33" s="1130">
        <f ca="1">HQ33*(_xlfn.XLOOKUP(HP$3,TabCalc[Ticker],TabCalc[M])+HR33)</f>
        <v>0</v>
      </c>
      <c r="HQ33" s="1132"/>
      <c r="HR33" s="1127"/>
      <c r="HS33" s="1130">
        <f ca="1">HT33*(_xlfn.XLOOKUP(HS$3,TabCalc[Ticker],TabCalc[M])+HU33)</f>
        <v>0</v>
      </c>
      <c r="HT33" s="1132"/>
      <c r="HU33" s="1127"/>
      <c r="HV33" s="1130">
        <f ca="1">HW33*(_xlfn.XLOOKUP(HV$3,TabCalc[Ticker],TabCalc[M])+HX33)</f>
        <v>0</v>
      </c>
      <c r="HW33" s="1132"/>
      <c r="HX33" s="1127"/>
      <c r="HY33" s="1130">
        <f ca="1">HZ33*(_xlfn.XLOOKUP(HY$3,TabCalc[Ticker],TabCalc[M])+IA33)</f>
        <v>0</v>
      </c>
      <c r="HZ33" s="1132"/>
      <c r="IA33" s="1127"/>
      <c r="IB33" s="1130">
        <f ca="1">IC33*(_xlfn.XLOOKUP(IB$3,TabCalc[Ticker],TabCalc[M])+ID33)</f>
        <v>0</v>
      </c>
      <c r="IC33" s="1132"/>
      <c r="ID33" s="1127"/>
      <c r="IE33" s="1130">
        <f ca="1">IF33*(_xlfn.XLOOKUP(IE$3,TabCalc[Ticker],TabCalc[M])+IG33)</f>
        <v>0</v>
      </c>
      <c r="IF33" s="1132"/>
      <c r="IG33" s="1127"/>
      <c r="IH33" s="1130">
        <f ca="1">II33*(_xlfn.XLOOKUP(IH$3,TabCalc[Ticker],TabCalc[M])+IJ33)</f>
        <v>0</v>
      </c>
      <c r="II33" s="1132"/>
      <c r="IJ33" s="1127"/>
      <c r="IK33" s="1130">
        <f ca="1">IL33*(_xlfn.XLOOKUP(IK$3,TabCalc[Ticker],TabCalc[M])+IM33)</f>
        <v>0</v>
      </c>
      <c r="IL33" s="1132"/>
      <c r="IM33" s="1127"/>
      <c r="IN33" s="1130">
        <f ca="1">IO33*(_xlfn.XLOOKUP(IN$3,TabCalc[Ticker],TabCalc[M])+IP33)</f>
        <v>0</v>
      </c>
      <c r="IO33" s="1132"/>
      <c r="IP33" s="1127"/>
      <c r="IQ33" s="1130">
        <f ca="1">IR33*(_xlfn.XLOOKUP(IQ$3,TabCalc[Ticker],TabCalc[M]))</f>
        <v>0</v>
      </c>
      <c r="IR33" s="1132"/>
      <c r="IS33" s="1127"/>
      <c r="IT33" s="1130">
        <f ca="1">IU33*(_xlfn.XLOOKUP(IT$3,TabCalc[Ticker],TabCalc[M])+IV33)</f>
        <v>0</v>
      </c>
      <c r="IU33" s="1132"/>
      <c r="IV33" s="1127"/>
      <c r="IW33" s="1130">
        <f ca="1">IX33*(_xlfn.XLOOKUP(IW$3,TabCalc[Ticker],TabCalc[M])+IY33)</f>
        <v>0</v>
      </c>
      <c r="IX33" s="1132"/>
      <c r="IY33" s="1127"/>
      <c r="IZ33" s="1130">
        <f ca="1">JA33*(_xlfn.XLOOKUP(IZ$3,TabCalc[Ticker],TabCalc[M])+JB33)</f>
        <v>0</v>
      </c>
      <c r="JA33" s="1132"/>
      <c r="JB33" s="1127"/>
      <c r="JC33" s="1130">
        <f ca="1">JD33*(_xlfn.XLOOKUP(JC$3,TabCalc[Ticker],TabCalc[M])+JE33)</f>
        <v>0</v>
      </c>
      <c r="JD33" s="1132"/>
      <c r="JE33" s="1127"/>
      <c r="JF33" s="1130">
        <f ca="1">JG33*(_xlfn.XLOOKUP(JF$3,TabCalc[Ticker],TabCalc[M])+JH33)</f>
        <v>0</v>
      </c>
      <c r="JG33" s="1132"/>
      <c r="JH33" s="1127"/>
      <c r="JI33" s="1130">
        <f ca="1">JJ33*(_xlfn.XLOOKUP(JI$3,TabCalc[Ticker],TabCalc[M])+JK33)</f>
        <v>0</v>
      </c>
      <c r="JJ33" s="1132"/>
      <c r="JK33" s="1127"/>
      <c r="JL33" s="1130">
        <f ca="1">JM33*(_xlfn.XLOOKUP(JL$3,TabCalc[Ticker],TabCalc[M])+JN33)</f>
        <v>0</v>
      </c>
      <c r="JM33" s="1132"/>
      <c r="JN33" s="1127"/>
      <c r="JO33" s="1130">
        <f ca="1">JP33*(_xlfn.XLOOKUP(JO$3,TabCalc[Ticker],TabCalc[M])+JQ33)</f>
        <v>0</v>
      </c>
      <c r="JP33" s="1132"/>
      <c r="JQ33" s="1127"/>
      <c r="JR33" s="1130">
        <f ca="1">JS33*(_xlfn.XLOOKUP(JR$3,TabCalc[Ticker],TabCalc[M])+JT33)</f>
        <v>0</v>
      </c>
      <c r="JS33" s="1132"/>
      <c r="JT33" s="1127"/>
      <c r="JU33" s="1130">
        <f ca="1">JV33*(_xlfn.XLOOKUP(JU$3,TabCalc[Ticker],TabCalc[M])+JW33)</f>
        <v>0</v>
      </c>
      <c r="JV33" s="1137"/>
      <c r="JW33" s="1127"/>
      <c r="JX33" s="1130">
        <f ca="1">JY33*(_xlfn.XLOOKUP(JX$3,TabCalc[Ticker],TabCalc[M])+JZ33)</f>
        <v>0</v>
      </c>
      <c r="JY33" s="1132"/>
      <c r="JZ33" s="1134"/>
    </row>
    <row r="34" spans="1:289" x14ac:dyDescent="0.3">
      <c r="A34">
        <v>31</v>
      </c>
      <c r="B34" s="1130">
        <f ca="1">C34*(_xlfn.XLOOKUP(B$3,TabCalc[Ticker],TabCalc[M])+D34)</f>
        <v>0</v>
      </c>
      <c r="C34" s="1132"/>
      <c r="D34" s="1127"/>
      <c r="E34" s="1130">
        <f ca="1">F34*(_xlfn.XLOOKUP(E$3,TabCalc[Ticker],TabCalc[M])+G34)</f>
        <v>0</v>
      </c>
      <c r="F34" s="1132"/>
      <c r="G34" s="1127"/>
      <c r="H34" s="1130">
        <f ca="1">I34*(_xlfn.XLOOKUP(H$3,TabCalc[Ticker],TabCalc[M])+J34)</f>
        <v>0</v>
      </c>
      <c r="I34" s="1132"/>
      <c r="J34" s="1127"/>
      <c r="K34" s="1130">
        <f ca="1">L34*(_xlfn.XLOOKUP(K$3,TabCalc[Ticker],TabCalc[M])+M34)</f>
        <v>0</v>
      </c>
      <c r="L34" s="1132"/>
      <c r="M34" s="1127"/>
      <c r="N34" s="1130">
        <f ca="1">O34*(_xlfn.XLOOKUP(N$3,TabCalc[Ticker],TabCalc[M])+P34)</f>
        <v>0</v>
      </c>
      <c r="O34" s="1132"/>
      <c r="P34" s="1127"/>
      <c r="Q34" s="1130">
        <f ca="1">R34*(_xlfn.XLOOKUP(Q$3,TabCalc[Ticker],TabCalc[M])+S34)</f>
        <v>0</v>
      </c>
      <c r="R34" s="1132"/>
      <c r="S34" s="1127"/>
      <c r="T34" s="1130">
        <f ca="1">U34*(_xlfn.XLOOKUP(T$3,TabCalc[Ticker],TabCalc[M])+V34)</f>
        <v>0</v>
      </c>
      <c r="U34" s="1132"/>
      <c r="V34" s="1128"/>
      <c r="W34" s="1130">
        <f ca="1">X34*(_xlfn.XLOOKUP(W$3,TabCalc[Ticker],TabCalc[M])+Y34)</f>
        <v>0</v>
      </c>
      <c r="X34" s="1132"/>
      <c r="Y34" s="1127"/>
      <c r="Z34" s="1130">
        <f ca="1">AA34*(_xlfn.XLOOKUP(Z$3,TabCalc[Ticker],TabCalc[M])+AB34)</f>
        <v>0</v>
      </c>
      <c r="AA34" s="1133"/>
      <c r="AB34" s="1127"/>
      <c r="AC34" s="1130">
        <f ca="1">AD34*(_xlfn.XLOOKUP(AC$3,TabCalc[Ticker],TabCalc[M])+AE34)</f>
        <v>0</v>
      </c>
      <c r="AD34" s="1132"/>
      <c r="AE34" s="1127"/>
      <c r="AF34" s="1130">
        <f ca="1">AG34*(_xlfn.XLOOKUP(AF$3,TabCalc[Ticker],TabCalc[M])+AH34)</f>
        <v>0</v>
      </c>
      <c r="AG34" s="1132"/>
      <c r="AH34" s="1127"/>
      <c r="AI34" s="1130">
        <f ca="1">AJ34*(_xlfn.XLOOKUP(AI$3,TabCalc[Ticker],TabCalc[M])+AK34)</f>
        <v>0</v>
      </c>
      <c r="AJ34" s="1132"/>
      <c r="AK34" s="1127"/>
      <c r="AL34" s="1130">
        <f ca="1">AM34*(_xlfn.XLOOKUP(AL$3,TabCalc[Ticker],TabCalc[M])+AN34)</f>
        <v>0</v>
      </c>
      <c r="AM34" s="1132"/>
      <c r="AN34" s="1127"/>
      <c r="AO34" s="1130">
        <f ca="1">AP34*(_xlfn.XLOOKUP(AO$3,TabCalc[Ticker],TabCalc[M])+AQ34)</f>
        <v>0</v>
      </c>
      <c r="AP34" s="1132"/>
      <c r="AQ34" s="1127"/>
      <c r="AR34" s="1130">
        <f ca="1">AS34*(_xlfn.XLOOKUP(AR$3,TabCalc[Ticker],TabCalc[M])+AT34)</f>
        <v>0</v>
      </c>
      <c r="AS34" s="1132"/>
      <c r="AT34" s="1127"/>
      <c r="AU34" s="1130">
        <f ca="1">AV34*(_xlfn.XLOOKUP(AU$3,TabCalc[Ticker],TabCalc[M])+AW34)</f>
        <v>0</v>
      </c>
      <c r="AV34" s="1132"/>
      <c r="AW34" s="1127"/>
      <c r="AX34" s="1130">
        <f ca="1">AY34*(_xlfn.XLOOKUP(AX$3,TabCalc[Ticker],TabCalc[M])+AZ34)</f>
        <v>0</v>
      </c>
      <c r="AY34" s="1132"/>
      <c r="AZ34" s="1127"/>
      <c r="BA34" s="1130">
        <f ca="1">BB34*(_xlfn.XLOOKUP(BA$3,TabCalc[Ticker],TabCalc[M])+BC34)</f>
        <v>0</v>
      </c>
      <c r="BB34" s="1132"/>
      <c r="BC34" s="1127"/>
      <c r="BD34" s="1130">
        <f ca="1">BE34*(_xlfn.XLOOKUP(BD$3,TabCalc[Ticker],TabCalc[M])+BF34)</f>
        <v>0</v>
      </c>
      <c r="BE34" s="1132"/>
      <c r="BF34" s="1127"/>
      <c r="BG34" s="1130">
        <f ca="1">BH34*(_xlfn.XLOOKUP(BG$3,TabCalc[Ticker],TabCalc[M])+BI34)</f>
        <v>0</v>
      </c>
      <c r="BH34" s="1132"/>
      <c r="BI34" s="1127"/>
      <c r="BJ34" s="1130">
        <f ca="1">BK34*(_xlfn.XLOOKUP(BJ$3,TabCalc[Ticker],TabCalc[M])+BL34)</f>
        <v>0</v>
      </c>
      <c r="BK34" s="1132"/>
      <c r="BL34" s="1127"/>
      <c r="BM34" s="1130">
        <f ca="1">BN34*(_xlfn.XLOOKUP(BM$3,TabCalc[Ticker],TabCalc[M])+BO34)</f>
        <v>0</v>
      </c>
      <c r="BN34" s="1132"/>
      <c r="BO34" s="1127"/>
      <c r="BP34" s="1130">
        <f ca="1">BQ34*(_xlfn.XLOOKUP(BP$3,TabCalc[Ticker],TabCalc[M])+BR34)</f>
        <v>0</v>
      </c>
      <c r="BQ34" s="1132"/>
      <c r="BR34" s="1127"/>
      <c r="BS34" s="1130">
        <f ca="1">BT34*(_xlfn.XLOOKUP(BS$3,TabCalc[Ticker],TabCalc[M])+BU34)</f>
        <v>0</v>
      </c>
      <c r="BT34" s="1132"/>
      <c r="BU34" s="1127"/>
      <c r="BV34" s="1130">
        <f ca="1">BW34*(_xlfn.XLOOKUP(BV$3,TabCalc[Ticker],TabCalc[M])+BX34)</f>
        <v>0</v>
      </c>
      <c r="BW34" s="1132"/>
      <c r="BX34" s="1127"/>
      <c r="BY34" s="1130">
        <f ca="1">BZ34*(_xlfn.XLOOKUP(BY$3,TabCalc[Ticker],TabCalc[M])+CA34)</f>
        <v>0</v>
      </c>
      <c r="BZ34" s="1132"/>
      <c r="CA34" s="1127"/>
      <c r="CB34" s="1130">
        <f ca="1">CC34*(_xlfn.XLOOKUP(CB$3,TabCalc[Ticker],TabCalc[M])+CD34)</f>
        <v>0</v>
      </c>
      <c r="CC34" s="1132"/>
      <c r="CD34" s="1127"/>
      <c r="CE34" s="1130">
        <f ca="1">CF34*(_xlfn.XLOOKUP(CE$3,TabCalc[Ticker],TabCalc[M])+CG34)</f>
        <v>0</v>
      </c>
      <c r="CF34" s="1132"/>
      <c r="CG34" s="1127"/>
      <c r="CH34" s="1130">
        <f ca="1">CI34*(_xlfn.XLOOKUP(CH$3,TabCalc[Ticker],TabCalc[M])+CJ34)</f>
        <v>0</v>
      </c>
      <c r="CI34" s="1132"/>
      <c r="CJ34" s="1127"/>
      <c r="CK34" s="1130">
        <f ca="1">CL34*(_xlfn.XLOOKUP(CK$3,TabCalc[Ticker],TabCalc[M])+CM34)</f>
        <v>0</v>
      </c>
      <c r="CL34" s="1132"/>
      <c r="CM34" s="1127"/>
      <c r="CN34" s="1130">
        <f ca="1">CO34*(_xlfn.XLOOKUP(CN$3,TabCalc[Ticker],TabCalc[M])+CP34)</f>
        <v>0</v>
      </c>
      <c r="CO34" s="1132"/>
      <c r="CP34" s="1127"/>
      <c r="CQ34" s="1130">
        <f ca="1">CR34*(_xlfn.XLOOKUP(CQ$3,TabCalc[Ticker],TabCalc[M])+CS34)</f>
        <v>0</v>
      </c>
      <c r="CR34" s="1132"/>
      <c r="CS34" s="1127"/>
      <c r="CT34" s="1130">
        <f ca="1">CU34*(_xlfn.XLOOKUP(CT$3,TabCalc[Ticker],TabCalc[M])+CV34)</f>
        <v>0</v>
      </c>
      <c r="CU34" s="1132"/>
      <c r="CV34" s="1127"/>
      <c r="CW34" s="1130">
        <f ca="1">CX34*(_xlfn.XLOOKUP(CW$3,TabCalc[Ticker],TabCalc[M])+CY34)</f>
        <v>0</v>
      </c>
      <c r="CX34" s="1132"/>
      <c r="CY34" s="1127"/>
      <c r="CZ34" s="1130">
        <f ca="1">DA34*(_xlfn.XLOOKUP(CZ$3,TabCalc[Ticker],TabCalc[M])+DB34)</f>
        <v>0</v>
      </c>
      <c r="DA34" s="1132"/>
      <c r="DB34" s="1127"/>
      <c r="DC34" s="1130">
        <f ca="1">DD34*(_xlfn.XLOOKUP(DC$3,TabCalc[Ticker],TabCalc[M])+DE34)</f>
        <v>0</v>
      </c>
      <c r="DD34" s="1132"/>
      <c r="DE34" s="1127"/>
      <c r="DF34" s="1130">
        <f ca="1">DG34*(_xlfn.XLOOKUP(DF$3,TabCalc[Ticker],TabCalc[M])+DH34)</f>
        <v>0</v>
      </c>
      <c r="DG34" s="1132"/>
      <c r="DH34" s="1127"/>
      <c r="DI34" s="1130">
        <f ca="1">DJ34*(_xlfn.XLOOKUP(DI$3,TabCalc[Ticker],TabCalc[M])+DK34)</f>
        <v>0</v>
      </c>
      <c r="DJ34" s="1132"/>
      <c r="DK34" s="1127"/>
      <c r="DL34" s="1130">
        <f ca="1">DM34*(_xlfn.XLOOKUP(DL$3,TabCalc[Ticker],TabCalc[M])+DN34)</f>
        <v>0</v>
      </c>
      <c r="DM34" s="1132"/>
      <c r="DN34" s="1127"/>
      <c r="DO34" s="1130">
        <f ca="1">DP34*(_xlfn.XLOOKUP(DO$3,TabCalc[Ticker],TabCalc[M])+DQ34)</f>
        <v>0</v>
      </c>
      <c r="DP34" s="1132"/>
      <c r="DQ34" s="1127"/>
      <c r="DR34" s="1130">
        <f ca="1">DS34*(_xlfn.XLOOKUP(DR$3,TabCalc[Ticker],TabCalc[M])+DT34)</f>
        <v>0</v>
      </c>
      <c r="DS34" s="1132"/>
      <c r="DT34" s="1127"/>
      <c r="DU34" s="1130">
        <f ca="1">DV34*(_xlfn.XLOOKUP(DU$3,TabCalc[Ticker],TabCalc[M])+DW34)</f>
        <v>0</v>
      </c>
      <c r="DV34" s="1132"/>
      <c r="DW34" s="1127"/>
      <c r="DX34" s="1130">
        <f ca="1">DY34*(_xlfn.XLOOKUP(DX$3,TabCalc[Ticker],TabCalc[M])+DZ34)</f>
        <v>0</v>
      </c>
      <c r="DY34" s="1132"/>
      <c r="DZ34" s="1127"/>
      <c r="EA34" s="1130">
        <f ca="1">EB34*(_xlfn.XLOOKUP(EA$3,TabCalc[Ticker],TabCalc[M])+EC34)</f>
        <v>0</v>
      </c>
      <c r="EB34" s="1132"/>
      <c r="EC34" s="1127"/>
      <c r="ED34" s="1130">
        <f ca="1">EE34*(_xlfn.XLOOKUP(ED$3,TabCalc[Ticker],TabCalc[M])+EF34)</f>
        <v>0</v>
      </c>
      <c r="EE34" s="1132"/>
      <c r="EF34" s="1127"/>
      <c r="EG34" s="1130">
        <f ca="1">EH34*(_xlfn.XLOOKUP(EG$3,TabCalc[Ticker],TabCalc[M])+EI34)</f>
        <v>0</v>
      </c>
      <c r="EH34" s="1132"/>
      <c r="EI34" s="1127"/>
      <c r="EJ34" s="1130" t="e">
        <f ca="1">EK34*(_xlfn.XLOOKUP(EJ$3,TabCalc[Ticker],TabCalc[M])+EL34)</f>
        <v>#N/A</v>
      </c>
      <c r="EK34" s="1132"/>
      <c r="EL34" s="1127"/>
      <c r="EM34" s="1130">
        <f ca="1">EN34*(_xlfn.XLOOKUP(EM$3,TabCalc[Ticker],TabCalc[M])+EO34)</f>
        <v>0</v>
      </c>
      <c r="EN34" s="1132"/>
      <c r="EO34" s="1127"/>
      <c r="EP34" s="1130">
        <f ca="1">EQ34*(_xlfn.XLOOKUP(EP$3,TabCalc[Ticker],TabCalc[M])+ER34)</f>
        <v>0</v>
      </c>
      <c r="EQ34" s="1132"/>
      <c r="ER34" s="1127"/>
      <c r="ES34" s="1130">
        <f ca="1">ET34*(_xlfn.XLOOKUP(ES$3,TabCalc[Ticker],TabCalc[M])+EU34)</f>
        <v>0</v>
      </c>
      <c r="ET34" s="1132"/>
      <c r="EU34" s="1127"/>
      <c r="EV34" s="1130">
        <f ca="1">EW34*(_xlfn.XLOOKUP(EV$3,TabCalc[Ticker],TabCalc[M])+EX34)</f>
        <v>0</v>
      </c>
      <c r="EW34" s="1132"/>
      <c r="EX34" s="1134"/>
      <c r="EY34" s="1130">
        <f ca="1">EZ34*(_xlfn.XLOOKUP(EY$3,TabCalc[Ticker],TabCalc[M])+FA34)</f>
        <v>0</v>
      </c>
      <c r="EZ34" s="1132"/>
      <c r="FA34" s="1134"/>
      <c r="FB34" s="1130">
        <f ca="1">FC34*(_xlfn.XLOOKUP(FB$3,TabCalc[Ticker],TabCalc[M])+FD34)</f>
        <v>0</v>
      </c>
      <c r="FC34" s="1132"/>
      <c r="FD34" s="1134"/>
      <c r="FE34" s="1130">
        <f ca="1">FF34*(_xlfn.XLOOKUP(FE$3,TabCalc[Ticker],TabCalc[M])+FG34)</f>
        <v>0</v>
      </c>
      <c r="FF34" s="1132"/>
      <c r="FG34" s="1127"/>
      <c r="FH34" s="1130">
        <f ca="1">FI34*(_xlfn.XLOOKUP(FH$3,TabCalc[Ticker],TabCalc[M])+FJ34)</f>
        <v>0</v>
      </c>
      <c r="FI34" s="1132"/>
      <c r="FJ34" s="1127"/>
      <c r="FK34" s="1130">
        <f ca="1">FL34*(_xlfn.XLOOKUP(FK$3,TabCalc[Ticker],TabCalc[M])+FM34)</f>
        <v>0</v>
      </c>
      <c r="FL34" s="1132"/>
      <c r="FM34" s="1127"/>
      <c r="FN34" s="1130">
        <f ca="1">FO34*(_xlfn.XLOOKUP(FN$3,TabCalc[Ticker],TabCalc[M])+FP34)</f>
        <v>0</v>
      </c>
      <c r="FO34" s="1132"/>
      <c r="FP34" s="1127"/>
      <c r="FQ34" s="1130">
        <f ca="1">FR34*(_xlfn.XLOOKUP(FQ$3,TabCalc[Ticker],TabCalc[M])+FS34)</f>
        <v>0</v>
      </c>
      <c r="FR34" s="1132"/>
      <c r="FS34" s="1127"/>
      <c r="FT34" s="1130">
        <f ca="1">FU34*(_xlfn.XLOOKUP(FT$3,TabCalc[Ticker],TabCalc[M])+FV34)</f>
        <v>0</v>
      </c>
      <c r="FU34" s="1132"/>
      <c r="FV34" s="1127"/>
      <c r="FW34" s="1130">
        <f ca="1">FX34*(_xlfn.XLOOKUP(FW$3,TabCalc[Ticker],TabCalc[M])+FY34)</f>
        <v>0</v>
      </c>
      <c r="FX34" s="1132"/>
      <c r="FY34" s="1127"/>
      <c r="FZ34" s="1130">
        <f ca="1">GA34*(_xlfn.XLOOKUP(FZ$3,TabCalc[Ticker],TabCalc[M])+GB34)</f>
        <v>0</v>
      </c>
      <c r="GA34" s="1132"/>
      <c r="GB34" s="1127"/>
      <c r="GC34" s="1130">
        <f ca="1">GD34*(_xlfn.XLOOKUP(GC$3,TabCalc[Ticker],TabCalc[M])+GE34)</f>
        <v>0</v>
      </c>
      <c r="GD34" s="1132"/>
      <c r="GE34" s="1127"/>
      <c r="GF34" s="1130">
        <f ca="1">GG34*(_xlfn.XLOOKUP(GF$3,TabCalc[Ticker],TabCalc[M])+GH34)</f>
        <v>0</v>
      </c>
      <c r="GG34" s="1132"/>
      <c r="GH34" s="1127"/>
      <c r="GI34" s="1130">
        <f ca="1">GJ34*(_xlfn.XLOOKUP(GI$3,TabCalc[Ticker],TabCalc[M])+GK34)</f>
        <v>0</v>
      </c>
      <c r="GJ34" s="1132"/>
      <c r="GK34" s="1127"/>
      <c r="GL34" s="1130">
        <f ca="1">GM34*(_xlfn.XLOOKUP(GL$3,TabCalc[Ticker],TabCalc[M])+GN34)</f>
        <v>0</v>
      </c>
      <c r="GM34" s="1132"/>
      <c r="GN34" s="1127"/>
      <c r="GO34" s="1130">
        <f ca="1">GP34*(_xlfn.XLOOKUP(GO$3,TabCalc[Ticker],TabCalc[M])+GQ34)</f>
        <v>0</v>
      </c>
      <c r="GP34" s="1132"/>
      <c r="GQ34" s="1127"/>
      <c r="GR34" s="1130">
        <f ca="1">GS34*(_xlfn.XLOOKUP(GR$3,TabCalc[Ticker],TabCalc[M])+GT34)</f>
        <v>0</v>
      </c>
      <c r="GS34" s="1132"/>
      <c r="GT34" s="1127"/>
      <c r="GU34" s="1130">
        <f ca="1">GV34*(_xlfn.XLOOKUP(GU$3,TabCalc[Ticker],TabCalc[M])+GW34)</f>
        <v>0</v>
      </c>
      <c r="GV34" s="1132"/>
      <c r="GW34" s="1127"/>
      <c r="GX34" s="1130">
        <f ca="1">GY34*(_xlfn.XLOOKUP(GX$3,TabCalc[Ticker],TabCalc[M])+GZ34)</f>
        <v>0</v>
      </c>
      <c r="GY34" s="1132"/>
      <c r="GZ34" s="1127"/>
      <c r="HA34" s="1130">
        <f ca="1">HB34*(_xlfn.XLOOKUP(HA$3,TabCalc[Ticker],TabCalc[M])+HC34)</f>
        <v>0</v>
      </c>
      <c r="HB34" s="1132"/>
      <c r="HC34" s="1127"/>
      <c r="HD34" s="1130">
        <f ca="1">HE34*(_xlfn.XLOOKUP(HD$3,TabCalc[Ticker],TabCalc[M])+HF34)</f>
        <v>0</v>
      </c>
      <c r="HE34" s="1132"/>
      <c r="HF34" s="1127"/>
      <c r="HG34" s="1130">
        <f ca="1">HH34*(_xlfn.XLOOKUP(HG$3,TabCalc[Ticker],TabCalc[M])+HI34)</f>
        <v>0</v>
      </c>
      <c r="HH34" s="1132"/>
      <c r="HI34" s="1127"/>
      <c r="HJ34" s="1130">
        <f ca="1">HK34*(_xlfn.XLOOKUP(HJ$3,TabCalc[Ticker],TabCalc[M])+HL34)</f>
        <v>0</v>
      </c>
      <c r="HK34" s="1132"/>
      <c r="HL34" s="1127"/>
      <c r="HM34" s="1130">
        <f ca="1">HN34*(_xlfn.XLOOKUP(HM$3,TabCalc[Ticker],TabCalc[M])+HO34)</f>
        <v>0</v>
      </c>
      <c r="HN34" s="1132"/>
      <c r="HO34" s="1127"/>
      <c r="HP34" s="1130">
        <f ca="1">HQ34*(_xlfn.XLOOKUP(HP$3,TabCalc[Ticker],TabCalc[M])+HR34)</f>
        <v>0</v>
      </c>
      <c r="HQ34" s="1132"/>
      <c r="HR34" s="1127"/>
      <c r="HS34" s="1130">
        <f ca="1">HT34*(_xlfn.XLOOKUP(HS$3,TabCalc[Ticker],TabCalc[M])+HU34)</f>
        <v>0</v>
      </c>
      <c r="HT34" s="1132"/>
      <c r="HU34" s="1127"/>
      <c r="HV34" s="1130">
        <f ca="1">HW34*(_xlfn.XLOOKUP(HV$3,TabCalc[Ticker],TabCalc[M])+HX34)</f>
        <v>0</v>
      </c>
      <c r="HW34" s="1132"/>
      <c r="HX34" s="1127"/>
      <c r="HY34" s="1130">
        <f ca="1">HZ34*(_xlfn.XLOOKUP(HY$3,TabCalc[Ticker],TabCalc[M])+IA34)</f>
        <v>0</v>
      </c>
      <c r="HZ34" s="1132"/>
      <c r="IA34" s="1127"/>
      <c r="IB34" s="1130">
        <f ca="1">IC34*(_xlfn.XLOOKUP(IB$3,TabCalc[Ticker],TabCalc[M])+ID34)</f>
        <v>0</v>
      </c>
      <c r="IC34" s="1132"/>
      <c r="ID34" s="1127"/>
      <c r="IE34" s="1130">
        <f ca="1">IF34*(_xlfn.XLOOKUP(IE$3,TabCalc[Ticker],TabCalc[M])+IG34)</f>
        <v>0</v>
      </c>
      <c r="IF34" s="1132"/>
      <c r="IG34" s="1127"/>
      <c r="IH34" s="1130">
        <f ca="1">II34*(_xlfn.XLOOKUP(IH$3,TabCalc[Ticker],TabCalc[M])+IJ34)</f>
        <v>0</v>
      </c>
      <c r="II34" s="1132"/>
      <c r="IJ34" s="1127"/>
      <c r="IK34" s="1130">
        <f ca="1">IL34*(_xlfn.XLOOKUP(IK$3,TabCalc[Ticker],TabCalc[M])+IM34)</f>
        <v>0</v>
      </c>
      <c r="IL34" s="1132"/>
      <c r="IM34" s="1127"/>
      <c r="IN34" s="1130">
        <f ca="1">IO34*(_xlfn.XLOOKUP(IN$3,TabCalc[Ticker],TabCalc[M])+IP34)</f>
        <v>0</v>
      </c>
      <c r="IO34" s="1132"/>
      <c r="IP34" s="1127"/>
      <c r="IQ34" s="1130">
        <f ca="1">IR34*(_xlfn.XLOOKUP(IQ$3,TabCalc[Ticker],TabCalc[M]))</f>
        <v>0</v>
      </c>
      <c r="IR34" s="1132"/>
      <c r="IS34" s="1127"/>
      <c r="IT34" s="1130">
        <f ca="1">IU34*(_xlfn.XLOOKUP(IT$3,TabCalc[Ticker],TabCalc[M])+IV34)</f>
        <v>0</v>
      </c>
      <c r="IU34" s="1132"/>
      <c r="IV34" s="1127"/>
      <c r="IW34" s="1130">
        <f ca="1">IX34*(_xlfn.XLOOKUP(IW$3,TabCalc[Ticker],TabCalc[M])+IY34)</f>
        <v>0</v>
      </c>
      <c r="IX34" s="1132"/>
      <c r="IY34" s="1127"/>
      <c r="IZ34" s="1130">
        <f ca="1">JA34*(_xlfn.XLOOKUP(IZ$3,TabCalc[Ticker],TabCalc[M])+JB34)</f>
        <v>0</v>
      </c>
      <c r="JA34" s="1132"/>
      <c r="JB34" s="1127"/>
      <c r="JC34" s="1130">
        <f ca="1">JD34*(_xlfn.XLOOKUP(JC$3,TabCalc[Ticker],TabCalc[M])+JE34)</f>
        <v>0</v>
      </c>
      <c r="JD34" s="1132"/>
      <c r="JE34" s="1127"/>
      <c r="JF34" s="1130">
        <f ca="1">JG34*(_xlfn.XLOOKUP(JF$3,TabCalc[Ticker],TabCalc[M])+JH34)</f>
        <v>0</v>
      </c>
      <c r="JG34" s="1132"/>
      <c r="JH34" s="1127"/>
      <c r="JI34" s="1130">
        <f ca="1">JJ34*(_xlfn.XLOOKUP(JI$3,TabCalc[Ticker],TabCalc[M])+JK34)</f>
        <v>0</v>
      </c>
      <c r="JJ34" s="1132"/>
      <c r="JK34" s="1127"/>
      <c r="JL34" s="1130">
        <f ca="1">JM34*(_xlfn.XLOOKUP(JL$3,TabCalc[Ticker],TabCalc[M])+JN34)</f>
        <v>0</v>
      </c>
      <c r="JM34" s="1132"/>
      <c r="JN34" s="1127"/>
      <c r="JO34" s="1130">
        <f ca="1">JP34*(_xlfn.XLOOKUP(JO$3,TabCalc[Ticker],TabCalc[M])+JQ34)</f>
        <v>0</v>
      </c>
      <c r="JP34" s="1132"/>
      <c r="JQ34" s="1127"/>
      <c r="JR34" s="1130">
        <f ca="1">JS34*(_xlfn.XLOOKUP(JR$3,TabCalc[Ticker],TabCalc[M])+JT34)</f>
        <v>0</v>
      </c>
      <c r="JS34" s="1132"/>
      <c r="JT34" s="1127"/>
      <c r="JU34" s="1130">
        <f ca="1">JV34*(_xlfn.XLOOKUP(JU$3,TabCalc[Ticker],TabCalc[M])+JW34)</f>
        <v>0</v>
      </c>
      <c r="JV34" s="1137"/>
      <c r="JW34" s="1127"/>
      <c r="JX34" s="1130">
        <f ca="1">JY34*(_xlfn.XLOOKUP(JX$3,TabCalc[Ticker],TabCalc[M])+JZ34)</f>
        <v>0</v>
      </c>
      <c r="JY34" s="1132"/>
      <c r="JZ34" s="1134"/>
    </row>
    <row r="35" spans="1:289" x14ac:dyDescent="0.3">
      <c r="A35">
        <v>32</v>
      </c>
      <c r="B35" s="1130">
        <f ca="1">C35*(_xlfn.XLOOKUP(B$3,TabCalc[Ticker],TabCalc[M])+D35)</f>
        <v>0</v>
      </c>
      <c r="C35" s="1132"/>
      <c r="D35" s="1127"/>
      <c r="E35" s="1130">
        <f ca="1">F35*(_xlfn.XLOOKUP(E$3,TabCalc[Ticker],TabCalc[M])+G35)</f>
        <v>0</v>
      </c>
      <c r="F35" s="1132"/>
      <c r="G35" s="1127"/>
      <c r="H35" s="1130">
        <f ca="1">I35*(_xlfn.XLOOKUP(H$3,TabCalc[Ticker],TabCalc[M])+J35)</f>
        <v>0</v>
      </c>
      <c r="I35" s="1132"/>
      <c r="J35" s="1127"/>
      <c r="K35" s="1130">
        <f ca="1">L35*(_xlfn.XLOOKUP(K$3,TabCalc[Ticker],TabCalc[M])+M35)</f>
        <v>0</v>
      </c>
      <c r="L35" s="1132"/>
      <c r="M35" s="1127"/>
      <c r="N35" s="1130">
        <f ca="1">O35*(_xlfn.XLOOKUP(N$3,TabCalc[Ticker],TabCalc[M])+P35)</f>
        <v>0</v>
      </c>
      <c r="O35" s="1132"/>
      <c r="P35" s="1127"/>
      <c r="Q35" s="1130">
        <f ca="1">R35*(_xlfn.XLOOKUP(Q$3,TabCalc[Ticker],TabCalc[M])+S35)</f>
        <v>0</v>
      </c>
      <c r="R35" s="1132"/>
      <c r="S35" s="1127"/>
      <c r="T35" s="1130">
        <f ca="1">U35*(_xlfn.XLOOKUP(T$3,TabCalc[Ticker],TabCalc[M])+V35)</f>
        <v>0</v>
      </c>
      <c r="U35" s="1132"/>
      <c r="V35" s="1128"/>
      <c r="W35" s="1130">
        <f ca="1">X35*(_xlfn.XLOOKUP(W$3,TabCalc[Ticker],TabCalc[M])+Y35)</f>
        <v>0</v>
      </c>
      <c r="X35" s="1132"/>
      <c r="Y35" s="1127"/>
      <c r="Z35" s="1130">
        <f ca="1">AA35*(_xlfn.XLOOKUP(Z$3,TabCalc[Ticker],TabCalc[M])+AB35)</f>
        <v>0</v>
      </c>
      <c r="AA35" s="1133"/>
      <c r="AB35" s="1127"/>
      <c r="AC35" s="1130">
        <f ca="1">AD35*(_xlfn.XLOOKUP(AC$3,TabCalc[Ticker],TabCalc[M])+AE35)</f>
        <v>0</v>
      </c>
      <c r="AD35" s="1132"/>
      <c r="AE35" s="1127"/>
      <c r="AF35" s="1130">
        <f ca="1">AG35*(_xlfn.XLOOKUP(AF$3,TabCalc[Ticker],TabCalc[M])+AH35)</f>
        <v>0</v>
      </c>
      <c r="AG35" s="1132"/>
      <c r="AH35" s="1127"/>
      <c r="AI35" s="1130">
        <f ca="1">AJ35*(_xlfn.XLOOKUP(AI$3,TabCalc[Ticker],TabCalc[M])+AK35)</f>
        <v>0</v>
      </c>
      <c r="AJ35" s="1132"/>
      <c r="AK35" s="1127"/>
      <c r="AL35" s="1130">
        <f ca="1">AM35*(_xlfn.XLOOKUP(AL$3,TabCalc[Ticker],TabCalc[M])+AN35)</f>
        <v>0</v>
      </c>
      <c r="AM35" s="1132"/>
      <c r="AN35" s="1127"/>
      <c r="AO35" s="1130">
        <f ca="1">AP35*(_xlfn.XLOOKUP(AO$3,TabCalc[Ticker],TabCalc[M])+AQ35)</f>
        <v>0</v>
      </c>
      <c r="AP35" s="1132"/>
      <c r="AQ35" s="1127"/>
      <c r="AR35" s="1130">
        <f ca="1">AS35*(_xlfn.XLOOKUP(AR$3,TabCalc[Ticker],TabCalc[M])+AT35)</f>
        <v>0</v>
      </c>
      <c r="AS35" s="1132"/>
      <c r="AT35" s="1127"/>
      <c r="AU35" s="1130">
        <f ca="1">AV35*(_xlfn.XLOOKUP(AU$3,TabCalc[Ticker],TabCalc[M])+AW35)</f>
        <v>0</v>
      </c>
      <c r="AV35" s="1132"/>
      <c r="AW35" s="1127"/>
      <c r="AX35" s="1130">
        <f ca="1">AY35*(_xlfn.XLOOKUP(AX$3,TabCalc[Ticker],TabCalc[M])+AZ35)</f>
        <v>0</v>
      </c>
      <c r="AY35" s="1132"/>
      <c r="AZ35" s="1127"/>
      <c r="BA35" s="1130">
        <f ca="1">BB35*(_xlfn.XLOOKUP(BA$3,TabCalc[Ticker],TabCalc[M])+BC35)</f>
        <v>0</v>
      </c>
      <c r="BB35" s="1132"/>
      <c r="BC35" s="1127"/>
      <c r="BD35" s="1130">
        <f ca="1">BE35*(_xlfn.XLOOKUP(BD$3,TabCalc[Ticker],TabCalc[M])+BF35)</f>
        <v>0</v>
      </c>
      <c r="BE35" s="1132"/>
      <c r="BF35" s="1127"/>
      <c r="BG35" s="1130">
        <f ca="1">BH35*(_xlfn.XLOOKUP(BG$3,TabCalc[Ticker],TabCalc[M])+BI35)</f>
        <v>0</v>
      </c>
      <c r="BH35" s="1132"/>
      <c r="BI35" s="1127"/>
      <c r="BJ35" s="1130">
        <f ca="1">BK35*(_xlfn.XLOOKUP(BJ$3,TabCalc[Ticker],TabCalc[M])+BL35)</f>
        <v>0</v>
      </c>
      <c r="BK35" s="1132"/>
      <c r="BL35" s="1127"/>
      <c r="BM35" s="1130">
        <f ca="1">BN35*(_xlfn.XLOOKUP(BM$3,TabCalc[Ticker],TabCalc[M])+BO35)</f>
        <v>0</v>
      </c>
      <c r="BN35" s="1132"/>
      <c r="BO35" s="1127"/>
      <c r="BP35" s="1130">
        <f ca="1">BQ35*(_xlfn.XLOOKUP(BP$3,TabCalc[Ticker],TabCalc[M])+BR35)</f>
        <v>0</v>
      </c>
      <c r="BQ35" s="1132"/>
      <c r="BR35" s="1127"/>
      <c r="BS35" s="1130">
        <f ca="1">BT35*(_xlfn.XLOOKUP(BS$3,TabCalc[Ticker],TabCalc[M])+BU35)</f>
        <v>0</v>
      </c>
      <c r="BT35" s="1132"/>
      <c r="BU35" s="1127"/>
      <c r="BV35" s="1130">
        <f ca="1">BW35*(_xlfn.XLOOKUP(BV$3,TabCalc[Ticker],TabCalc[M])+BX35)</f>
        <v>0</v>
      </c>
      <c r="BW35" s="1132"/>
      <c r="BX35" s="1127"/>
      <c r="BY35" s="1130">
        <f ca="1">BZ35*(_xlfn.XLOOKUP(BY$3,TabCalc[Ticker],TabCalc[M])+CA35)</f>
        <v>0</v>
      </c>
      <c r="BZ35" s="1132"/>
      <c r="CA35" s="1127"/>
      <c r="CB35" s="1130">
        <f ca="1">CC35*(_xlfn.XLOOKUP(CB$3,TabCalc[Ticker],TabCalc[M])+CD35)</f>
        <v>0</v>
      </c>
      <c r="CC35" s="1132"/>
      <c r="CD35" s="1127"/>
      <c r="CE35" s="1130">
        <f ca="1">CF35*(_xlfn.XLOOKUP(CE$3,TabCalc[Ticker],TabCalc[M])+CG35)</f>
        <v>0</v>
      </c>
      <c r="CF35" s="1132"/>
      <c r="CG35" s="1127"/>
      <c r="CH35" s="1130">
        <f ca="1">CI35*(_xlfn.XLOOKUP(CH$3,TabCalc[Ticker],TabCalc[M])+CJ35)</f>
        <v>0</v>
      </c>
      <c r="CI35" s="1132"/>
      <c r="CJ35" s="1127"/>
      <c r="CK35" s="1130">
        <f ca="1">CL35*(_xlfn.XLOOKUP(CK$3,TabCalc[Ticker],TabCalc[M])+CM35)</f>
        <v>0</v>
      </c>
      <c r="CL35" s="1132"/>
      <c r="CM35" s="1127"/>
      <c r="CN35" s="1130">
        <f ca="1">CO35*(_xlfn.XLOOKUP(CN$3,TabCalc[Ticker],TabCalc[M])+CP35)</f>
        <v>0</v>
      </c>
      <c r="CO35" s="1132"/>
      <c r="CP35" s="1127"/>
      <c r="CQ35" s="1130">
        <f ca="1">CR35*(_xlfn.XLOOKUP(CQ$3,TabCalc[Ticker],TabCalc[M])+CS35)</f>
        <v>0</v>
      </c>
      <c r="CR35" s="1132"/>
      <c r="CS35" s="1127"/>
      <c r="CT35" s="1130">
        <f ca="1">CU35*(_xlfn.XLOOKUP(CT$3,TabCalc[Ticker],TabCalc[M])+CV35)</f>
        <v>0</v>
      </c>
      <c r="CU35" s="1132"/>
      <c r="CV35" s="1127"/>
      <c r="CW35" s="1130">
        <f ca="1">CX35*(_xlfn.XLOOKUP(CW$3,TabCalc[Ticker],TabCalc[M])+CY35)</f>
        <v>0</v>
      </c>
      <c r="CX35" s="1132"/>
      <c r="CY35" s="1127"/>
      <c r="CZ35" s="1130">
        <f ca="1">DA35*(_xlfn.XLOOKUP(CZ$3,TabCalc[Ticker],TabCalc[M])+DB35)</f>
        <v>0</v>
      </c>
      <c r="DA35" s="1132"/>
      <c r="DB35" s="1127"/>
      <c r="DC35" s="1130">
        <f ca="1">DD35*(_xlfn.XLOOKUP(DC$3,TabCalc[Ticker],TabCalc[M])+DE35)</f>
        <v>0</v>
      </c>
      <c r="DD35" s="1132"/>
      <c r="DE35" s="1127"/>
      <c r="DF35" s="1130">
        <f ca="1">DG35*(_xlfn.XLOOKUP(DF$3,TabCalc[Ticker],TabCalc[M])+DH35)</f>
        <v>0</v>
      </c>
      <c r="DG35" s="1132"/>
      <c r="DH35" s="1127"/>
      <c r="DI35" s="1130">
        <f ca="1">DJ35*(_xlfn.XLOOKUP(DI$3,TabCalc[Ticker],TabCalc[M])+DK35)</f>
        <v>0</v>
      </c>
      <c r="DJ35" s="1132"/>
      <c r="DK35" s="1127"/>
      <c r="DL35" s="1130">
        <f ca="1">DM35*(_xlfn.XLOOKUP(DL$3,TabCalc[Ticker],TabCalc[M])+DN35)</f>
        <v>0</v>
      </c>
      <c r="DM35" s="1132"/>
      <c r="DN35" s="1127"/>
      <c r="DO35" s="1130">
        <f ca="1">DP35*(_xlfn.XLOOKUP(DO$3,TabCalc[Ticker],TabCalc[M])+DQ35)</f>
        <v>0</v>
      </c>
      <c r="DP35" s="1132"/>
      <c r="DQ35" s="1127"/>
      <c r="DR35" s="1130">
        <f ca="1">DS35*(_xlfn.XLOOKUP(DR$3,TabCalc[Ticker],TabCalc[M])+DT35)</f>
        <v>0</v>
      </c>
      <c r="DS35" s="1132"/>
      <c r="DT35" s="1127"/>
      <c r="DU35" s="1130">
        <f ca="1">DV35*(_xlfn.XLOOKUP(DU$3,TabCalc[Ticker],TabCalc[M])+DW35)</f>
        <v>0</v>
      </c>
      <c r="DV35" s="1132"/>
      <c r="DW35" s="1127"/>
      <c r="DX35" s="1130">
        <f ca="1">DY35*(_xlfn.XLOOKUP(DX$3,TabCalc[Ticker],TabCalc[M])+DZ35)</f>
        <v>0</v>
      </c>
      <c r="DY35" s="1132"/>
      <c r="DZ35" s="1127"/>
      <c r="EA35" s="1130">
        <f ca="1">EB35*(_xlfn.XLOOKUP(EA$3,TabCalc[Ticker],TabCalc[M])+EC35)</f>
        <v>0</v>
      </c>
      <c r="EB35" s="1132"/>
      <c r="EC35" s="1127"/>
      <c r="ED35" s="1130">
        <f ca="1">EE35*(_xlfn.XLOOKUP(ED$3,TabCalc[Ticker],TabCalc[M])+EF35)</f>
        <v>0</v>
      </c>
      <c r="EE35" s="1132"/>
      <c r="EF35" s="1127"/>
      <c r="EG35" s="1130">
        <f ca="1">EH35*(_xlfn.XLOOKUP(EG$3,TabCalc[Ticker],TabCalc[M])+EI35)</f>
        <v>0</v>
      </c>
      <c r="EH35" s="1132"/>
      <c r="EI35" s="1127"/>
      <c r="EJ35" s="1130" t="e">
        <f ca="1">EK35*(_xlfn.XLOOKUP(EJ$3,TabCalc[Ticker],TabCalc[M])+EL35)</f>
        <v>#N/A</v>
      </c>
      <c r="EK35" s="1132"/>
      <c r="EL35" s="1127"/>
      <c r="EM35" s="1130">
        <f ca="1">EN35*(_xlfn.XLOOKUP(EM$3,TabCalc[Ticker],TabCalc[M])+EO35)</f>
        <v>0</v>
      </c>
      <c r="EN35" s="1132"/>
      <c r="EO35" s="1127"/>
      <c r="EP35" s="1130">
        <f ca="1">EQ35*(_xlfn.XLOOKUP(EP$3,TabCalc[Ticker],TabCalc[M])+ER35)</f>
        <v>0</v>
      </c>
      <c r="EQ35" s="1132"/>
      <c r="ER35" s="1127"/>
      <c r="ES35" s="1130">
        <f ca="1">ET35*(_xlfn.XLOOKUP(ES$3,TabCalc[Ticker],TabCalc[M])+EU35)</f>
        <v>0</v>
      </c>
      <c r="ET35" s="1132"/>
      <c r="EU35" s="1127"/>
      <c r="EV35" s="1130">
        <f ca="1">EW35*(_xlfn.XLOOKUP(EV$3,TabCalc[Ticker],TabCalc[M])+EX35)</f>
        <v>0</v>
      </c>
      <c r="EW35" s="1132"/>
      <c r="EX35" s="1134"/>
      <c r="EY35" s="1130">
        <f ca="1">EZ35*(_xlfn.XLOOKUP(EY$3,TabCalc[Ticker],TabCalc[M])+FA35)</f>
        <v>0</v>
      </c>
      <c r="EZ35" s="1132"/>
      <c r="FA35" s="1134"/>
      <c r="FB35" s="1130">
        <f ca="1">FC35*(_xlfn.XLOOKUP(FB$3,TabCalc[Ticker],TabCalc[M])+FD35)</f>
        <v>0</v>
      </c>
      <c r="FC35" s="1132"/>
      <c r="FD35" s="1134"/>
      <c r="FE35" s="1130">
        <f ca="1">FF35*(_xlfn.XLOOKUP(FE$3,TabCalc[Ticker],TabCalc[M])+FG35)</f>
        <v>0</v>
      </c>
      <c r="FF35" s="1132"/>
      <c r="FG35" s="1127"/>
      <c r="FH35" s="1130">
        <f ca="1">FI35*(_xlfn.XLOOKUP(FH$3,TabCalc[Ticker],TabCalc[M])+FJ35)</f>
        <v>0</v>
      </c>
      <c r="FI35" s="1132"/>
      <c r="FJ35" s="1127"/>
      <c r="FK35" s="1130">
        <f ca="1">FL35*(_xlfn.XLOOKUP(FK$3,TabCalc[Ticker],TabCalc[M])+FM35)</f>
        <v>0</v>
      </c>
      <c r="FL35" s="1132"/>
      <c r="FM35" s="1127"/>
      <c r="FN35" s="1130">
        <f ca="1">FO35*(_xlfn.XLOOKUP(FN$3,TabCalc[Ticker],TabCalc[M])+FP35)</f>
        <v>0</v>
      </c>
      <c r="FO35" s="1132"/>
      <c r="FP35" s="1127"/>
      <c r="FQ35" s="1130">
        <f ca="1">FR35*(_xlfn.XLOOKUP(FQ$3,TabCalc[Ticker],TabCalc[M])+FS35)</f>
        <v>0</v>
      </c>
      <c r="FR35" s="1132"/>
      <c r="FS35" s="1127"/>
      <c r="FT35" s="1130">
        <f ca="1">FU35*(_xlfn.XLOOKUP(FT$3,TabCalc[Ticker],TabCalc[M])+FV35)</f>
        <v>0</v>
      </c>
      <c r="FU35" s="1132"/>
      <c r="FV35" s="1127"/>
      <c r="FW35" s="1130">
        <f ca="1">FX35*(_xlfn.XLOOKUP(FW$3,TabCalc[Ticker],TabCalc[M])+FY35)</f>
        <v>0</v>
      </c>
      <c r="FX35" s="1132"/>
      <c r="FY35" s="1127"/>
      <c r="FZ35" s="1130">
        <f ca="1">GA35*(_xlfn.XLOOKUP(FZ$3,TabCalc[Ticker],TabCalc[M])+GB35)</f>
        <v>0</v>
      </c>
      <c r="GA35" s="1132"/>
      <c r="GB35" s="1127"/>
      <c r="GC35" s="1130">
        <f ca="1">GD35*(_xlfn.XLOOKUP(GC$3,TabCalc[Ticker],TabCalc[M])+GE35)</f>
        <v>0</v>
      </c>
      <c r="GD35" s="1132"/>
      <c r="GE35" s="1127"/>
      <c r="GF35" s="1130">
        <f ca="1">GG35*(_xlfn.XLOOKUP(GF$3,TabCalc[Ticker],TabCalc[M])+GH35)</f>
        <v>0</v>
      </c>
      <c r="GG35" s="1132"/>
      <c r="GH35" s="1127"/>
      <c r="GI35" s="1130">
        <f ca="1">GJ35*(_xlfn.XLOOKUP(GI$3,TabCalc[Ticker],TabCalc[M])+GK35)</f>
        <v>0</v>
      </c>
      <c r="GJ35" s="1132"/>
      <c r="GK35" s="1127"/>
      <c r="GL35" s="1130">
        <f ca="1">GM35*(_xlfn.XLOOKUP(GL$3,TabCalc[Ticker],TabCalc[M])+GN35)</f>
        <v>0</v>
      </c>
      <c r="GM35" s="1132"/>
      <c r="GN35" s="1127"/>
      <c r="GO35" s="1130">
        <f ca="1">GP35*(_xlfn.XLOOKUP(GO$3,TabCalc[Ticker],TabCalc[M])+GQ35)</f>
        <v>0</v>
      </c>
      <c r="GP35" s="1132"/>
      <c r="GQ35" s="1127"/>
      <c r="GR35" s="1130">
        <f ca="1">GS35*(_xlfn.XLOOKUP(GR$3,TabCalc[Ticker],TabCalc[M])+GT35)</f>
        <v>0</v>
      </c>
      <c r="GS35" s="1132"/>
      <c r="GT35" s="1127"/>
      <c r="GU35" s="1130">
        <f ca="1">GV35*(_xlfn.XLOOKUP(GU$3,TabCalc[Ticker],TabCalc[M])+GW35)</f>
        <v>0</v>
      </c>
      <c r="GV35" s="1132"/>
      <c r="GW35" s="1127"/>
      <c r="GX35" s="1130">
        <f ca="1">GY35*(_xlfn.XLOOKUP(GX$3,TabCalc[Ticker],TabCalc[M])+GZ35)</f>
        <v>0</v>
      </c>
      <c r="GY35" s="1132"/>
      <c r="GZ35" s="1127"/>
      <c r="HA35" s="1130">
        <f ca="1">HB35*(_xlfn.XLOOKUP(HA$3,TabCalc[Ticker],TabCalc[M])+HC35)</f>
        <v>0</v>
      </c>
      <c r="HB35" s="1132"/>
      <c r="HC35" s="1127"/>
      <c r="HD35" s="1130">
        <f ca="1">HE35*(_xlfn.XLOOKUP(HD$3,TabCalc[Ticker],TabCalc[M])+HF35)</f>
        <v>0</v>
      </c>
      <c r="HE35" s="1132"/>
      <c r="HF35" s="1127"/>
      <c r="HG35" s="1130">
        <f ca="1">HH35*(_xlfn.XLOOKUP(HG$3,TabCalc[Ticker],TabCalc[M])+HI35)</f>
        <v>0</v>
      </c>
      <c r="HH35" s="1132"/>
      <c r="HI35" s="1127"/>
      <c r="HJ35" s="1130">
        <f ca="1">HK35*(_xlfn.XLOOKUP(HJ$3,TabCalc[Ticker],TabCalc[M])+HL35)</f>
        <v>0</v>
      </c>
      <c r="HK35" s="1132"/>
      <c r="HL35" s="1127"/>
      <c r="HM35" s="1130">
        <f ca="1">HN35*(_xlfn.XLOOKUP(HM$3,TabCalc[Ticker],TabCalc[M])+HO35)</f>
        <v>0</v>
      </c>
      <c r="HN35" s="1132"/>
      <c r="HO35" s="1127"/>
      <c r="HP35" s="1130">
        <f ca="1">HQ35*(_xlfn.XLOOKUP(HP$3,TabCalc[Ticker],TabCalc[M])+HR35)</f>
        <v>0</v>
      </c>
      <c r="HQ35" s="1132"/>
      <c r="HR35" s="1127"/>
      <c r="HS35" s="1130">
        <f ca="1">HT35*(_xlfn.XLOOKUP(HS$3,TabCalc[Ticker],TabCalc[M])+HU35)</f>
        <v>0</v>
      </c>
      <c r="HT35" s="1132"/>
      <c r="HU35" s="1127"/>
      <c r="HV35" s="1130">
        <f ca="1">HW35*(_xlfn.XLOOKUP(HV$3,TabCalc[Ticker],TabCalc[M])+HX35)</f>
        <v>0</v>
      </c>
      <c r="HW35" s="1132"/>
      <c r="HX35" s="1127"/>
      <c r="HY35" s="1130">
        <f ca="1">HZ35*(_xlfn.XLOOKUP(HY$3,TabCalc[Ticker],TabCalc[M])+IA35)</f>
        <v>0</v>
      </c>
      <c r="HZ35" s="1132"/>
      <c r="IA35" s="1127"/>
      <c r="IB35" s="1130">
        <f ca="1">IC35*(_xlfn.XLOOKUP(IB$3,TabCalc[Ticker],TabCalc[M])+ID35)</f>
        <v>0</v>
      </c>
      <c r="IC35" s="1132"/>
      <c r="ID35" s="1127"/>
      <c r="IE35" s="1130">
        <f ca="1">IF35*(_xlfn.XLOOKUP(IE$3,TabCalc[Ticker],TabCalc[M])+IG35)</f>
        <v>0</v>
      </c>
      <c r="IF35" s="1132"/>
      <c r="IG35" s="1127"/>
      <c r="IH35" s="1130">
        <f ca="1">II35*(_xlfn.XLOOKUP(IH$3,TabCalc[Ticker],TabCalc[M])+IJ35)</f>
        <v>0</v>
      </c>
      <c r="II35" s="1132"/>
      <c r="IJ35" s="1127"/>
      <c r="IK35" s="1130">
        <f ca="1">IL35*(_xlfn.XLOOKUP(IK$3,TabCalc[Ticker],TabCalc[M])+IM35)</f>
        <v>0</v>
      </c>
      <c r="IL35" s="1132"/>
      <c r="IM35" s="1127"/>
      <c r="IN35" s="1130">
        <f ca="1">IO35*(_xlfn.XLOOKUP(IN$3,TabCalc[Ticker],TabCalc[M])+IP35)</f>
        <v>0</v>
      </c>
      <c r="IO35" s="1132"/>
      <c r="IP35" s="1127"/>
      <c r="IQ35" s="1130">
        <f ca="1">IR35*(_xlfn.XLOOKUP(IQ$3,TabCalc[Ticker],TabCalc[M]))</f>
        <v>0</v>
      </c>
      <c r="IR35" s="1132"/>
      <c r="IS35" s="1127"/>
      <c r="IT35" s="1130">
        <f ca="1">IU35*(_xlfn.XLOOKUP(IT$3,TabCalc[Ticker],TabCalc[M])+IV35)</f>
        <v>0</v>
      </c>
      <c r="IU35" s="1132"/>
      <c r="IV35" s="1127"/>
      <c r="IW35" s="1130">
        <f ca="1">IX35*(_xlfn.XLOOKUP(IW$3,TabCalc[Ticker],TabCalc[M])+IY35)</f>
        <v>0</v>
      </c>
      <c r="IX35" s="1132"/>
      <c r="IY35" s="1127"/>
      <c r="IZ35" s="1130">
        <f ca="1">JA35*(_xlfn.XLOOKUP(IZ$3,TabCalc[Ticker],TabCalc[M])+JB35)</f>
        <v>0</v>
      </c>
      <c r="JA35" s="1132"/>
      <c r="JB35" s="1127"/>
      <c r="JC35" s="1130">
        <f ca="1">JD35*(_xlfn.XLOOKUP(JC$3,TabCalc[Ticker],TabCalc[M])+JE35)</f>
        <v>0</v>
      </c>
      <c r="JD35" s="1132"/>
      <c r="JE35" s="1127"/>
      <c r="JF35" s="1130">
        <f ca="1">JG35*(_xlfn.XLOOKUP(JF$3,TabCalc[Ticker],TabCalc[M])+JH35)</f>
        <v>0</v>
      </c>
      <c r="JG35" s="1132"/>
      <c r="JH35" s="1127"/>
      <c r="JI35" s="1130">
        <f ca="1">JJ35*(_xlfn.XLOOKUP(JI$3,TabCalc[Ticker],TabCalc[M])+JK35)</f>
        <v>0</v>
      </c>
      <c r="JJ35" s="1132"/>
      <c r="JK35" s="1127"/>
      <c r="JL35" s="1130">
        <f ca="1">JM35*(_xlfn.XLOOKUP(JL$3,TabCalc[Ticker],TabCalc[M])+JN35)</f>
        <v>0</v>
      </c>
      <c r="JM35" s="1132"/>
      <c r="JN35" s="1127"/>
      <c r="JO35" s="1130">
        <f ca="1">JP35*(_xlfn.XLOOKUP(JO$3,TabCalc[Ticker],TabCalc[M])+JQ35)</f>
        <v>0</v>
      </c>
      <c r="JP35" s="1132"/>
      <c r="JQ35" s="1127"/>
      <c r="JR35" s="1130">
        <f ca="1">JS35*(_xlfn.XLOOKUP(JR$3,TabCalc[Ticker],TabCalc[M])+JT35)</f>
        <v>0</v>
      </c>
      <c r="JS35" s="1132"/>
      <c r="JT35" s="1127"/>
      <c r="JU35" s="1130">
        <f ca="1">JV35*(_xlfn.XLOOKUP(JU$3,TabCalc[Ticker],TabCalc[M])+JW35)</f>
        <v>0</v>
      </c>
      <c r="JV35" s="1137"/>
      <c r="JW35" s="1127"/>
      <c r="JX35" s="1130">
        <f ca="1">JY35*(_xlfn.XLOOKUP(JX$3,TabCalc[Ticker],TabCalc[M])+JZ35)</f>
        <v>0</v>
      </c>
      <c r="JY35" s="1132"/>
      <c r="JZ35" s="1134"/>
    </row>
    <row r="36" spans="1:289" x14ac:dyDescent="0.3">
      <c r="A36">
        <v>33</v>
      </c>
      <c r="B36" s="1130">
        <f ca="1">C36*(_xlfn.XLOOKUP(B$3,TabCalc[Ticker],TabCalc[M])+D36)</f>
        <v>0</v>
      </c>
      <c r="C36" s="1132"/>
      <c r="D36" s="1127"/>
      <c r="E36" s="1130">
        <f ca="1">F36*(_xlfn.XLOOKUP(E$3,TabCalc[Ticker],TabCalc[M])+G36)</f>
        <v>0</v>
      </c>
      <c r="F36" s="1132"/>
      <c r="G36" s="1127"/>
      <c r="H36" s="1130">
        <f ca="1">I36*(_xlfn.XLOOKUP(H$3,TabCalc[Ticker],TabCalc[M])+J36)</f>
        <v>0</v>
      </c>
      <c r="I36" s="1132"/>
      <c r="J36" s="1127"/>
      <c r="K36" s="1130">
        <f ca="1">L36*(_xlfn.XLOOKUP(K$3,TabCalc[Ticker],TabCalc[M])+M36)</f>
        <v>0</v>
      </c>
      <c r="L36" s="1132"/>
      <c r="M36" s="1127"/>
      <c r="N36" s="1130">
        <f ca="1">O36*(_xlfn.XLOOKUP(N$3,TabCalc[Ticker],TabCalc[M])+P36)</f>
        <v>0</v>
      </c>
      <c r="O36" s="1132"/>
      <c r="P36" s="1127"/>
      <c r="Q36" s="1130">
        <f ca="1">R36*(_xlfn.XLOOKUP(Q$3,TabCalc[Ticker],TabCalc[M])+S36)</f>
        <v>0</v>
      </c>
      <c r="R36" s="1132"/>
      <c r="S36" s="1127"/>
      <c r="T36" s="1130">
        <f ca="1">U36*(_xlfn.XLOOKUP(T$3,TabCalc[Ticker],TabCalc[M])+V36)</f>
        <v>0</v>
      </c>
      <c r="U36" s="1128"/>
      <c r="V36" s="1128"/>
      <c r="W36" s="1130">
        <f ca="1">X36*(_xlfn.XLOOKUP(W$3,TabCalc[Ticker],TabCalc[M])+Y36)</f>
        <v>0</v>
      </c>
      <c r="X36" s="1132"/>
      <c r="Y36" s="1127"/>
      <c r="Z36" s="1130">
        <f ca="1">AA36*(_xlfn.XLOOKUP(Z$3,TabCalc[Ticker],TabCalc[M])+AB36)</f>
        <v>0</v>
      </c>
      <c r="AA36" s="1133"/>
      <c r="AB36" s="1127"/>
      <c r="AC36" s="1130">
        <f ca="1">AD36*(_xlfn.XLOOKUP(AC$3,TabCalc[Ticker],TabCalc[M])+AE36)</f>
        <v>0</v>
      </c>
      <c r="AD36" s="1132"/>
      <c r="AE36" s="1127"/>
      <c r="AF36" s="1130">
        <f ca="1">AG36*(_xlfn.XLOOKUP(AF$3,TabCalc[Ticker],TabCalc[M])+AH36)</f>
        <v>0</v>
      </c>
      <c r="AG36" s="1132"/>
      <c r="AH36" s="1127"/>
      <c r="AI36" s="1130">
        <f ca="1">AJ36*(_xlfn.XLOOKUP(AI$3,TabCalc[Ticker],TabCalc[M])+AK36)</f>
        <v>0</v>
      </c>
      <c r="AJ36" s="1132"/>
      <c r="AK36" s="1127"/>
      <c r="AL36" s="1130">
        <f ca="1">AM36*(_xlfn.XLOOKUP(AL$3,TabCalc[Ticker],TabCalc[M])+AN36)</f>
        <v>0</v>
      </c>
      <c r="AM36" s="1132"/>
      <c r="AN36" s="1127"/>
      <c r="AO36" s="1130">
        <f ca="1">AP36*(_xlfn.XLOOKUP(AO$3,TabCalc[Ticker],TabCalc[M])+AQ36)</f>
        <v>0</v>
      </c>
      <c r="AP36" s="1132"/>
      <c r="AQ36" s="1127"/>
      <c r="AR36" s="1130">
        <f ca="1">AS36*(_xlfn.XLOOKUP(AR$3,TabCalc[Ticker],TabCalc[M])+AT36)</f>
        <v>0</v>
      </c>
      <c r="AS36" s="1132"/>
      <c r="AT36" s="1127"/>
      <c r="AU36" s="1130">
        <f ca="1">AV36*(_xlfn.XLOOKUP(AU$3,TabCalc[Ticker],TabCalc[M])+AW36)</f>
        <v>0</v>
      </c>
      <c r="AV36" s="1132"/>
      <c r="AW36" s="1127"/>
      <c r="AX36" s="1130">
        <f ca="1">AY36*(_xlfn.XLOOKUP(AX$3,TabCalc[Ticker],TabCalc[M])+AZ36)</f>
        <v>0</v>
      </c>
      <c r="AY36" s="1132"/>
      <c r="AZ36" s="1127"/>
      <c r="BA36" s="1130">
        <f ca="1">BB36*(_xlfn.XLOOKUP(BA$3,TabCalc[Ticker],TabCalc[M])+BC36)</f>
        <v>0</v>
      </c>
      <c r="BB36" s="1132"/>
      <c r="BC36" s="1127"/>
      <c r="BD36" s="1130">
        <f ca="1">BE36*(_xlfn.XLOOKUP(BD$3,TabCalc[Ticker],TabCalc[M])+BF36)</f>
        <v>0</v>
      </c>
      <c r="BE36" s="1132"/>
      <c r="BF36" s="1127"/>
      <c r="BG36" s="1130">
        <f ca="1">BH36*(_xlfn.XLOOKUP(BG$3,TabCalc[Ticker],TabCalc[M])+BI36)</f>
        <v>0</v>
      </c>
      <c r="BH36" s="1132"/>
      <c r="BI36" s="1127"/>
      <c r="BJ36" s="1130">
        <f ca="1">BK36*(_xlfn.XLOOKUP(BJ$3,TabCalc[Ticker],TabCalc[M])+BL36)</f>
        <v>0</v>
      </c>
      <c r="BK36" s="1132"/>
      <c r="BL36" s="1127"/>
      <c r="BM36" s="1130">
        <f ca="1">BN36*(_xlfn.XLOOKUP(BM$3,TabCalc[Ticker],TabCalc[M])+BO36)</f>
        <v>0</v>
      </c>
      <c r="BN36" s="1132"/>
      <c r="BO36" s="1127"/>
      <c r="BP36" s="1130">
        <f ca="1">BQ36*(_xlfn.XLOOKUP(BP$3,TabCalc[Ticker],TabCalc[M])+BR36)</f>
        <v>0</v>
      </c>
      <c r="BQ36" s="1132"/>
      <c r="BR36" s="1127"/>
      <c r="BS36" s="1130">
        <f ca="1">BT36*(_xlfn.XLOOKUP(BS$3,TabCalc[Ticker],TabCalc[M])+BU36)</f>
        <v>0</v>
      </c>
      <c r="BT36" s="1132"/>
      <c r="BU36" s="1127"/>
      <c r="BV36" s="1130">
        <f ca="1">BW36*(_xlfn.XLOOKUP(BV$3,TabCalc[Ticker],TabCalc[M])+BX36)</f>
        <v>0</v>
      </c>
      <c r="BW36" s="1132"/>
      <c r="BX36" s="1127"/>
      <c r="BY36" s="1130">
        <f ca="1">BZ36*(_xlfn.XLOOKUP(BY$3,TabCalc[Ticker],TabCalc[M])+CA36)</f>
        <v>0</v>
      </c>
      <c r="BZ36" s="1132"/>
      <c r="CA36" s="1127"/>
      <c r="CB36" s="1130">
        <f ca="1">CC36*(_xlfn.XLOOKUP(CB$3,TabCalc[Ticker],TabCalc[M])+CD36)</f>
        <v>0</v>
      </c>
      <c r="CC36" s="1132"/>
      <c r="CD36" s="1127"/>
      <c r="CE36" s="1130">
        <f ca="1">CF36*(_xlfn.XLOOKUP(CE$3,TabCalc[Ticker],TabCalc[M])+CG36)</f>
        <v>0</v>
      </c>
      <c r="CF36" s="1132"/>
      <c r="CG36" s="1127"/>
      <c r="CH36" s="1130">
        <f ca="1">CI36*(_xlfn.XLOOKUP(CH$3,TabCalc[Ticker],TabCalc[M])+CJ36)</f>
        <v>0</v>
      </c>
      <c r="CI36" s="1132"/>
      <c r="CJ36" s="1127"/>
      <c r="CK36" s="1130">
        <f ca="1">CL36*(_xlfn.XLOOKUP(CK$3,TabCalc[Ticker],TabCalc[M])+CM36)</f>
        <v>0</v>
      </c>
      <c r="CL36" s="1132"/>
      <c r="CM36" s="1127"/>
      <c r="CN36" s="1130">
        <f ca="1">CO36*(_xlfn.XLOOKUP(CN$3,TabCalc[Ticker],TabCalc[M])+CP36)</f>
        <v>0</v>
      </c>
      <c r="CO36" s="1132"/>
      <c r="CP36" s="1127"/>
      <c r="CQ36" s="1130">
        <f ca="1">CR36*(_xlfn.XLOOKUP(CQ$3,TabCalc[Ticker],TabCalc[M])+CS36)</f>
        <v>0</v>
      </c>
      <c r="CR36" s="1132"/>
      <c r="CS36" s="1127"/>
      <c r="CT36" s="1130">
        <f ca="1">CU36*(_xlfn.XLOOKUP(CT$3,TabCalc[Ticker],TabCalc[M])+CV36)</f>
        <v>0</v>
      </c>
      <c r="CU36" s="1132"/>
      <c r="CV36" s="1127"/>
      <c r="CW36" s="1130">
        <f ca="1">CX36*(_xlfn.XLOOKUP(CW$3,TabCalc[Ticker],TabCalc[M])+CY36)</f>
        <v>0</v>
      </c>
      <c r="CX36" s="1132"/>
      <c r="CY36" s="1127"/>
      <c r="CZ36" s="1130">
        <f ca="1">DA36*(_xlfn.XLOOKUP(CZ$3,TabCalc[Ticker],TabCalc[M])+DB36)</f>
        <v>0</v>
      </c>
      <c r="DA36" s="1132"/>
      <c r="DB36" s="1127"/>
      <c r="DC36" s="1130">
        <f ca="1">DD36*(_xlfn.XLOOKUP(DC$3,TabCalc[Ticker],TabCalc[M])+DE36)</f>
        <v>0</v>
      </c>
      <c r="DD36" s="1132"/>
      <c r="DE36" s="1127"/>
      <c r="DF36" s="1130">
        <f ca="1">DG36*(_xlfn.XLOOKUP(DF$3,TabCalc[Ticker],TabCalc[M])+DH36)</f>
        <v>0</v>
      </c>
      <c r="DG36" s="1132"/>
      <c r="DH36" s="1127"/>
      <c r="DI36" s="1130">
        <f ca="1">DJ36*(_xlfn.XLOOKUP(DI$3,TabCalc[Ticker],TabCalc[M])+DK36)</f>
        <v>0</v>
      </c>
      <c r="DJ36" s="1132"/>
      <c r="DK36" s="1127"/>
      <c r="DL36" s="1130">
        <f ca="1">DM36*(_xlfn.XLOOKUP(DL$3,TabCalc[Ticker],TabCalc[M])+DN36)</f>
        <v>0</v>
      </c>
      <c r="DM36" s="1132"/>
      <c r="DN36" s="1127"/>
      <c r="DO36" s="1130">
        <f ca="1">DP36*(_xlfn.XLOOKUP(DO$3,TabCalc[Ticker],TabCalc[M])+DQ36)</f>
        <v>0</v>
      </c>
      <c r="DP36" s="1132"/>
      <c r="DQ36" s="1127"/>
      <c r="DR36" s="1130">
        <f ca="1">DS36*(_xlfn.XLOOKUP(DR$3,TabCalc[Ticker],TabCalc[M])+DT36)</f>
        <v>0</v>
      </c>
      <c r="DS36" s="1132"/>
      <c r="DT36" s="1127"/>
      <c r="DU36" s="1130">
        <f ca="1">DV36*(_xlfn.XLOOKUP(DU$3,TabCalc[Ticker],TabCalc[M])+DW36)</f>
        <v>0</v>
      </c>
      <c r="DV36" s="1132"/>
      <c r="DW36" s="1127"/>
      <c r="DX36" s="1130">
        <f ca="1">DY36*(_xlfn.XLOOKUP(DX$3,TabCalc[Ticker],TabCalc[M])+DZ36)</f>
        <v>0</v>
      </c>
      <c r="DY36" s="1132"/>
      <c r="DZ36" s="1127"/>
      <c r="EA36" s="1130">
        <f ca="1">EB36*(_xlfn.XLOOKUP(EA$3,TabCalc[Ticker],TabCalc[M])+EC36)</f>
        <v>0</v>
      </c>
      <c r="EB36" s="1132"/>
      <c r="EC36" s="1127"/>
      <c r="ED36" s="1130">
        <f ca="1">EE36*(_xlfn.XLOOKUP(ED$3,TabCalc[Ticker],TabCalc[M])+EF36)</f>
        <v>0</v>
      </c>
      <c r="EE36" s="1132"/>
      <c r="EF36" s="1127"/>
      <c r="EG36" s="1130">
        <f ca="1">EH36*(_xlfn.XLOOKUP(EG$3,TabCalc[Ticker],TabCalc[M])+EI36)</f>
        <v>0</v>
      </c>
      <c r="EH36" s="1132"/>
      <c r="EI36" s="1127"/>
      <c r="EJ36" s="1130" t="e">
        <f ca="1">EK36*(_xlfn.XLOOKUP(EJ$3,TabCalc[Ticker],TabCalc[M])+EL36)</f>
        <v>#N/A</v>
      </c>
      <c r="EK36" s="1132"/>
      <c r="EL36" s="1127"/>
      <c r="EM36" s="1130">
        <f ca="1">EN36*(_xlfn.XLOOKUP(EM$3,TabCalc[Ticker],TabCalc[M])+EO36)</f>
        <v>0</v>
      </c>
      <c r="EN36" s="1132"/>
      <c r="EO36" s="1127"/>
      <c r="EP36" s="1130">
        <f ca="1">EQ36*(_xlfn.XLOOKUP(EP$3,TabCalc[Ticker],TabCalc[M])+ER36)</f>
        <v>0</v>
      </c>
      <c r="EQ36" s="1132"/>
      <c r="ER36" s="1127"/>
      <c r="ES36" s="1130">
        <f ca="1">ET36*(_xlfn.XLOOKUP(ES$3,TabCalc[Ticker],TabCalc[M])+EU36)</f>
        <v>0</v>
      </c>
      <c r="ET36" s="1132"/>
      <c r="EU36" s="1127"/>
      <c r="EV36" s="1130">
        <f ca="1">EW36*(_xlfn.XLOOKUP(EV$3,TabCalc[Ticker],TabCalc[M])+EX36)</f>
        <v>0</v>
      </c>
      <c r="EW36" s="1132"/>
      <c r="EX36" s="1134"/>
      <c r="EY36" s="1130">
        <f ca="1">EZ36*(_xlfn.XLOOKUP(EY$3,TabCalc[Ticker],TabCalc[M])+FA36)</f>
        <v>0</v>
      </c>
      <c r="EZ36" s="1132"/>
      <c r="FA36" s="1134"/>
      <c r="FB36" s="1130">
        <f ca="1">FC36*(_xlfn.XLOOKUP(FB$3,TabCalc[Ticker],TabCalc[M])+FD36)</f>
        <v>0</v>
      </c>
      <c r="FC36" s="1132"/>
      <c r="FD36" s="1134"/>
      <c r="FE36" s="1130">
        <f ca="1">FF36*(_xlfn.XLOOKUP(FE$3,TabCalc[Ticker],TabCalc[M])+FG36)</f>
        <v>0</v>
      </c>
      <c r="FF36" s="1132"/>
      <c r="FG36" s="1127"/>
      <c r="FH36" s="1130">
        <f ca="1">FI36*(_xlfn.XLOOKUP(FH$3,TabCalc[Ticker],TabCalc[M])+FJ36)</f>
        <v>0</v>
      </c>
      <c r="FI36" s="1132"/>
      <c r="FJ36" s="1127"/>
      <c r="FK36" s="1130">
        <f ca="1">FL36*(_xlfn.XLOOKUP(FK$3,TabCalc[Ticker],TabCalc[M])+FM36)</f>
        <v>0</v>
      </c>
      <c r="FL36" s="1132"/>
      <c r="FM36" s="1127"/>
      <c r="FN36" s="1130">
        <f ca="1">FO36*(_xlfn.XLOOKUP(FN$3,TabCalc[Ticker],TabCalc[M])+FP36)</f>
        <v>0</v>
      </c>
      <c r="FO36" s="1132"/>
      <c r="FP36" s="1127"/>
      <c r="FQ36" s="1130">
        <f ca="1">FR36*(_xlfn.XLOOKUP(FQ$3,TabCalc[Ticker],TabCalc[M])+FS36)</f>
        <v>0</v>
      </c>
      <c r="FR36" s="1132"/>
      <c r="FS36" s="1127"/>
      <c r="FT36" s="1130">
        <f ca="1">FU36*(_xlfn.XLOOKUP(FT$3,TabCalc[Ticker],TabCalc[M])+FV36)</f>
        <v>0</v>
      </c>
      <c r="FU36" s="1132"/>
      <c r="FV36" s="1127"/>
      <c r="FW36" s="1130">
        <f ca="1">FX36*(_xlfn.XLOOKUP(FW$3,TabCalc[Ticker],TabCalc[M])+FY36)</f>
        <v>0</v>
      </c>
      <c r="FX36" s="1132"/>
      <c r="FY36" s="1127"/>
      <c r="FZ36" s="1130">
        <f ca="1">GA36*(_xlfn.XLOOKUP(FZ$3,TabCalc[Ticker],TabCalc[M])+GB36)</f>
        <v>0</v>
      </c>
      <c r="GA36" s="1132"/>
      <c r="GB36" s="1127"/>
      <c r="GC36" s="1130">
        <f ca="1">GD36*(_xlfn.XLOOKUP(GC$3,TabCalc[Ticker],TabCalc[M])+GE36)</f>
        <v>0</v>
      </c>
      <c r="GD36" s="1132"/>
      <c r="GE36" s="1127"/>
      <c r="GF36" s="1130">
        <f ca="1">GG36*(_xlfn.XLOOKUP(GF$3,TabCalc[Ticker],TabCalc[M])+GH36)</f>
        <v>0</v>
      </c>
      <c r="GG36" s="1132"/>
      <c r="GH36" s="1127"/>
      <c r="GI36" s="1130">
        <f ca="1">GJ36*(_xlfn.XLOOKUP(GI$3,TabCalc[Ticker],TabCalc[M])+GK36)</f>
        <v>0</v>
      </c>
      <c r="GJ36" s="1132"/>
      <c r="GK36" s="1127"/>
      <c r="GL36" s="1130">
        <f ca="1">GM36*(_xlfn.XLOOKUP(GL$3,TabCalc[Ticker],TabCalc[M])+GN36)</f>
        <v>0</v>
      </c>
      <c r="GM36" s="1132"/>
      <c r="GN36" s="1127"/>
      <c r="GO36" s="1130">
        <f ca="1">GP36*(_xlfn.XLOOKUP(GO$3,TabCalc[Ticker],TabCalc[M])+GQ36)</f>
        <v>0</v>
      </c>
      <c r="GP36" s="1132"/>
      <c r="GQ36" s="1127"/>
      <c r="GR36" s="1130">
        <f ca="1">GS36*(_xlfn.XLOOKUP(GR$3,TabCalc[Ticker],TabCalc[M])+GT36)</f>
        <v>0</v>
      </c>
      <c r="GS36" s="1132"/>
      <c r="GT36" s="1127"/>
      <c r="GU36" s="1130">
        <f ca="1">GV36*(_xlfn.XLOOKUP(GU$3,TabCalc[Ticker],TabCalc[M])+GW36)</f>
        <v>0</v>
      </c>
      <c r="GV36" s="1132"/>
      <c r="GW36" s="1127"/>
      <c r="GX36" s="1130">
        <f ca="1">GY36*(_xlfn.XLOOKUP(GX$3,TabCalc[Ticker],TabCalc[M])+GZ36)</f>
        <v>0</v>
      </c>
      <c r="GY36" s="1132"/>
      <c r="GZ36" s="1127"/>
      <c r="HA36" s="1130">
        <f ca="1">HB36*(_xlfn.XLOOKUP(HA$3,TabCalc[Ticker],TabCalc[M])+HC36)</f>
        <v>0</v>
      </c>
      <c r="HB36" s="1132"/>
      <c r="HC36" s="1127"/>
      <c r="HD36" s="1130">
        <f ca="1">HE36*(_xlfn.XLOOKUP(HD$3,TabCalc[Ticker],TabCalc[M])+HF36)</f>
        <v>0</v>
      </c>
      <c r="HE36" s="1132"/>
      <c r="HF36" s="1127"/>
      <c r="HG36" s="1130">
        <f ca="1">HH36*(_xlfn.XLOOKUP(HG$3,TabCalc[Ticker],TabCalc[M])+HI36)</f>
        <v>0</v>
      </c>
      <c r="HH36" s="1132"/>
      <c r="HI36" s="1127"/>
      <c r="HJ36" s="1130">
        <f ca="1">HK36*(_xlfn.XLOOKUP(HJ$3,TabCalc[Ticker],TabCalc[M])+HL36)</f>
        <v>0</v>
      </c>
      <c r="HK36" s="1132"/>
      <c r="HL36" s="1127"/>
      <c r="HM36" s="1130">
        <f ca="1">HN36*(_xlfn.XLOOKUP(HM$3,TabCalc[Ticker],TabCalc[M])+HO36)</f>
        <v>0</v>
      </c>
      <c r="HN36" s="1132"/>
      <c r="HO36" s="1127"/>
      <c r="HP36" s="1130">
        <f ca="1">HQ36*(_xlfn.XLOOKUP(HP$3,TabCalc[Ticker],TabCalc[M])+HR36)</f>
        <v>0</v>
      </c>
      <c r="HQ36" s="1132"/>
      <c r="HR36" s="1127"/>
      <c r="HS36" s="1130">
        <f ca="1">HT36*(_xlfn.XLOOKUP(HS$3,TabCalc[Ticker],TabCalc[M])+HU36)</f>
        <v>0</v>
      </c>
      <c r="HT36" s="1132"/>
      <c r="HU36" s="1127"/>
      <c r="HV36" s="1130">
        <f ca="1">HW36*(_xlfn.XLOOKUP(HV$3,TabCalc[Ticker],TabCalc[M])+HX36)</f>
        <v>0</v>
      </c>
      <c r="HW36" s="1132"/>
      <c r="HX36" s="1127"/>
      <c r="HY36" s="1130">
        <f ca="1">HZ36*(_xlfn.XLOOKUP(HY$3,TabCalc[Ticker],TabCalc[M])+IA36)</f>
        <v>0</v>
      </c>
      <c r="HZ36" s="1132"/>
      <c r="IA36" s="1127"/>
      <c r="IB36" s="1130">
        <f ca="1">IC36*(_xlfn.XLOOKUP(IB$3,TabCalc[Ticker],TabCalc[M])+ID36)</f>
        <v>0</v>
      </c>
      <c r="IC36" s="1132"/>
      <c r="ID36" s="1127"/>
      <c r="IE36" s="1130">
        <f ca="1">IF36*(_xlfn.XLOOKUP(IE$3,TabCalc[Ticker],TabCalc[M])+IG36)</f>
        <v>0</v>
      </c>
      <c r="IF36" s="1132"/>
      <c r="IG36" s="1127"/>
      <c r="IH36" s="1130">
        <f ca="1">II36*(_xlfn.XLOOKUP(IH$3,TabCalc[Ticker],TabCalc[M])+IJ36)</f>
        <v>0</v>
      </c>
      <c r="II36" s="1132"/>
      <c r="IJ36" s="1127"/>
      <c r="IK36" s="1130">
        <f ca="1">IL36*(_xlfn.XLOOKUP(IK$3,TabCalc[Ticker],TabCalc[M])+IM36)</f>
        <v>0</v>
      </c>
      <c r="IL36" s="1132"/>
      <c r="IM36" s="1127"/>
      <c r="IN36" s="1130">
        <f ca="1">IO36*(_xlfn.XLOOKUP(IN$3,TabCalc[Ticker],TabCalc[M])+IP36)</f>
        <v>0</v>
      </c>
      <c r="IO36" s="1132"/>
      <c r="IP36" s="1127"/>
      <c r="IQ36" s="1130">
        <f ca="1">IR36*(_xlfn.XLOOKUP(IQ$3,TabCalc[Ticker],TabCalc[M]))</f>
        <v>0</v>
      </c>
      <c r="IR36" s="1132"/>
      <c r="IS36" s="1127"/>
      <c r="IT36" s="1130">
        <f ca="1">IU36*(_xlfn.XLOOKUP(IT$3,TabCalc[Ticker],TabCalc[M])+IV36)</f>
        <v>0</v>
      </c>
      <c r="IU36" s="1132"/>
      <c r="IV36" s="1127"/>
      <c r="IW36" s="1130">
        <f ca="1">IX36*(_xlfn.XLOOKUP(IW$3,TabCalc[Ticker],TabCalc[M])+IY36)</f>
        <v>0</v>
      </c>
      <c r="IX36" s="1132"/>
      <c r="IY36" s="1127"/>
      <c r="IZ36" s="1130">
        <f ca="1">JA36*(_xlfn.XLOOKUP(IZ$3,TabCalc[Ticker],TabCalc[M])+JB36)</f>
        <v>0</v>
      </c>
      <c r="JA36" s="1132"/>
      <c r="JB36" s="1127"/>
      <c r="JC36" s="1130">
        <f ca="1">JD36*(_xlfn.XLOOKUP(JC$3,TabCalc[Ticker],TabCalc[M])+JE36)</f>
        <v>0</v>
      </c>
      <c r="JD36" s="1132"/>
      <c r="JE36" s="1127"/>
      <c r="JF36" s="1130">
        <f ca="1">JG36*(_xlfn.XLOOKUP(JF$3,TabCalc[Ticker],TabCalc[M])+JH36)</f>
        <v>0</v>
      </c>
      <c r="JG36" s="1132"/>
      <c r="JH36" s="1127"/>
      <c r="JI36" s="1130">
        <f ca="1">JJ36*(_xlfn.XLOOKUP(JI$3,TabCalc[Ticker],TabCalc[M])+JK36)</f>
        <v>0</v>
      </c>
      <c r="JJ36" s="1132"/>
      <c r="JK36" s="1127"/>
      <c r="JL36" s="1130">
        <f ca="1">JM36*(_xlfn.XLOOKUP(JL$3,TabCalc[Ticker],TabCalc[M])+JN36)</f>
        <v>0</v>
      </c>
      <c r="JM36" s="1132"/>
      <c r="JN36" s="1127"/>
      <c r="JO36" s="1130">
        <f ca="1">JP36*(_xlfn.XLOOKUP(JO$3,TabCalc[Ticker],TabCalc[M])+JQ36)</f>
        <v>0</v>
      </c>
      <c r="JP36" s="1132"/>
      <c r="JQ36" s="1127"/>
      <c r="JR36" s="1130">
        <f ca="1">JS36*(_xlfn.XLOOKUP(JR$3,TabCalc[Ticker],TabCalc[M])+JT36)</f>
        <v>0</v>
      </c>
      <c r="JS36" s="1132"/>
      <c r="JT36" s="1127"/>
      <c r="JU36" s="1130">
        <f ca="1">JV36*(_xlfn.XLOOKUP(JU$3,TabCalc[Ticker],TabCalc[M])+JW36)</f>
        <v>0</v>
      </c>
      <c r="JV36" s="1137"/>
      <c r="JW36" s="1127"/>
      <c r="JX36" s="1130">
        <f ca="1">JY36*(_xlfn.XLOOKUP(JX$3,TabCalc[Ticker],TabCalc[M])+JZ36)</f>
        <v>0</v>
      </c>
      <c r="JY36" s="1132"/>
      <c r="JZ36" s="1134"/>
    </row>
    <row r="37" spans="1:289" x14ac:dyDescent="0.3">
      <c r="A37">
        <v>34</v>
      </c>
      <c r="B37" s="1139">
        <f ca="1">SUBTOTAL(109,TabConsolid[AAPL])</f>
        <v>551107.39005801117</v>
      </c>
      <c r="C37" s="1286">
        <f>SUBTOTAL(109,TabConsolid[AAPL1])</f>
        <v>9500.0000010000003</v>
      </c>
      <c r="D37" s="1287">
        <f>SUBTOTAL(101,TabConsolid[AAPL2])</f>
        <v>-216.09535121457489</v>
      </c>
      <c r="E37" s="1139">
        <f ca="1">SUBTOTAL(109,TabConsolid[ADEA])</f>
        <v>-4073.9000008147782</v>
      </c>
      <c r="F37" s="1286">
        <f>SUBTOTAL(109,TabConsolid[ADEA1])</f>
        <v>5000.0000010000003</v>
      </c>
      <c r="G37" s="1287">
        <f>SUBTOTAL(101,TabConsolid[ADEA2])</f>
        <v>-13.346195</v>
      </c>
      <c r="H37" s="1139">
        <f ca="1">SUBTOTAL(109,TabConsolid[AET])</f>
        <v>-3474362.8807042367</v>
      </c>
      <c r="I37" s="1286">
        <f>SUBTOTAL(109,TabConsolid[AET1])</f>
        <v>820000.00000100001</v>
      </c>
      <c r="J37" s="1287">
        <f>SUBTOTAL(101,TabConsolid[AET2])</f>
        <v>-47.194938300253277</v>
      </c>
      <c r="K37" s="1139">
        <f ca="1">SUBTOTAL(109,TabConsolid[AMZN])</f>
        <v>216281.22001802328</v>
      </c>
      <c r="L37" s="1286">
        <f>SUBTOTAL(109,TabConsolid[AMZN1])</f>
        <v>12000.000001</v>
      </c>
      <c r="M37" s="1287">
        <f>SUBTOTAL(101,TabConsolid[AMZN2])</f>
        <v>-208.8289744117647</v>
      </c>
      <c r="N37" s="1139">
        <f ca="1">SUBTOTAL(109,TabConsolid[ALDNE])</f>
        <v>-1211781.0412641962</v>
      </c>
      <c r="O37" s="1286">
        <f>SUBTOTAL(109,TabConsolid[ALDNE1])</f>
        <v>2530000.0000009998</v>
      </c>
      <c r="P37" s="1287">
        <f>SUBTOTAL(101,TabConsolid[ALDNE2])</f>
        <v>-1.3916734477079684</v>
      </c>
      <c r="Q37" s="1139">
        <f ca="1">SUBTOTAL(109,TabConsolid[ASML])</f>
        <v>784950.00023086776</v>
      </c>
      <c r="R37" s="1286">
        <f>SUBTOTAL(109,TabConsolid[ASML1])</f>
        <v>3400.0000009999999</v>
      </c>
      <c r="S37" s="1287">
        <f>SUBTOTAL(101,TabConsolid[ASML2])</f>
        <v>-668.13802521008404</v>
      </c>
      <c r="T37" s="1140"/>
      <c r="U37" s="868"/>
      <c r="V37" s="868"/>
      <c r="W37" s="1140"/>
      <c r="X37" s="868"/>
      <c r="Y37" s="868"/>
      <c r="Z37" s="1140"/>
      <c r="AA37" s="868"/>
      <c r="AB37" s="868"/>
      <c r="AC37" s="1140"/>
      <c r="AD37" s="868"/>
      <c r="AE37" s="868"/>
      <c r="AF37" s="1140"/>
      <c r="AG37" s="868"/>
      <c r="AH37" s="868"/>
      <c r="AI37" s="1140"/>
      <c r="AJ37" s="868"/>
      <c r="AK37" s="868"/>
      <c r="AL37" s="1140"/>
      <c r="AM37" s="868"/>
      <c r="AN37" s="868"/>
      <c r="AO37" s="1140"/>
      <c r="AP37" s="868"/>
      <c r="AQ37" s="868"/>
      <c r="AR37" s="1140"/>
      <c r="AS37" s="868"/>
      <c r="AT37" s="868"/>
      <c r="AU37" s="1140"/>
      <c r="AV37" s="868"/>
      <c r="AW37" s="868"/>
      <c r="AX37" s="1140"/>
      <c r="AY37" s="868"/>
      <c r="AZ37" s="868"/>
      <c r="BA37" s="1140"/>
      <c r="BB37" s="868"/>
      <c r="BC37" s="868"/>
      <c r="BD37" s="1140"/>
      <c r="BE37" s="868"/>
      <c r="BF37" s="868"/>
      <c r="BG37" s="1140"/>
      <c r="BH37" s="868"/>
      <c r="BI37" s="868"/>
      <c r="BJ37" s="1140"/>
      <c r="BK37" s="868"/>
      <c r="BL37" s="868"/>
      <c r="BM37" s="1140"/>
      <c r="BN37" s="868"/>
      <c r="BO37" s="868"/>
      <c r="BP37" s="1140"/>
      <c r="BQ37" s="868"/>
      <c r="BR37" s="868"/>
      <c r="BS37" s="1140"/>
      <c r="BT37" s="868"/>
      <c r="BU37" s="868"/>
      <c r="BV37" s="1140"/>
      <c r="BW37" s="868"/>
      <c r="BX37" s="868"/>
      <c r="BY37" s="1140"/>
      <c r="BZ37" s="868"/>
      <c r="CA37" s="868"/>
      <c r="CB37" s="1140"/>
      <c r="CC37" s="868"/>
      <c r="CD37" s="868"/>
      <c r="CE37" s="1140"/>
      <c r="CF37" s="868"/>
      <c r="CG37" s="868"/>
      <c r="CH37" s="1140"/>
      <c r="CI37" s="868"/>
      <c r="CJ37" s="868"/>
      <c r="CK37" s="1140"/>
      <c r="CL37" s="868"/>
      <c r="CM37" s="868"/>
      <c r="CN37" s="1140"/>
      <c r="CO37" s="868"/>
      <c r="CP37" s="868"/>
      <c r="CQ37" s="1140"/>
      <c r="CR37" s="868"/>
      <c r="CS37" s="868"/>
      <c r="CT37" s="1140"/>
      <c r="CU37" s="868"/>
      <c r="CV37" s="868"/>
      <c r="CW37" s="1140"/>
      <c r="CX37" s="868"/>
      <c r="CY37" s="868"/>
      <c r="CZ37" s="1140"/>
      <c r="DA37" s="868"/>
      <c r="DB37" s="868"/>
      <c r="DC37" s="1140"/>
      <c r="DD37" s="868"/>
      <c r="DE37" s="868"/>
      <c r="DF37" s="1140"/>
      <c r="DG37" s="868"/>
      <c r="DH37" s="868"/>
      <c r="DI37" s="1140"/>
      <c r="DJ37" s="868"/>
      <c r="DK37" s="868"/>
      <c r="DL37" s="1140"/>
      <c r="DM37" s="868"/>
      <c r="DN37" s="868"/>
      <c r="DO37" s="1140"/>
      <c r="DP37" s="868"/>
      <c r="DQ37" s="868"/>
      <c r="DR37" s="1140"/>
      <c r="DS37" s="868"/>
      <c r="DT37" s="868"/>
      <c r="DU37" s="1140"/>
      <c r="DV37" s="868"/>
      <c r="DW37" s="868"/>
      <c r="DX37" s="1140"/>
      <c r="DY37" s="868"/>
      <c r="DZ37" s="868"/>
      <c r="EA37" s="1140"/>
      <c r="EB37" s="868"/>
      <c r="EC37" s="868"/>
      <c r="ED37" s="1140"/>
      <c r="EE37" s="868"/>
      <c r="EF37" s="868"/>
      <c r="EG37" s="1140"/>
      <c r="EH37" s="868"/>
      <c r="EI37" s="868"/>
      <c r="EJ37" s="1140"/>
      <c r="EK37" s="868"/>
      <c r="EL37" s="868"/>
      <c r="EM37" s="1140"/>
      <c r="EN37" s="868"/>
      <c r="EO37" s="868"/>
      <c r="EP37" s="1140"/>
      <c r="EQ37" s="868"/>
      <c r="ER37" s="868"/>
      <c r="ES37" s="1140"/>
      <c r="ET37" s="868"/>
      <c r="EU37" s="868"/>
      <c r="EV37" s="1140"/>
      <c r="EW37" s="868"/>
      <c r="EX37" s="868"/>
      <c r="EY37" s="1140"/>
      <c r="EZ37" s="868"/>
      <c r="FA37" s="868"/>
      <c r="FB37" s="1140"/>
      <c r="FC37" s="868"/>
      <c r="FD37" s="868"/>
      <c r="FE37" s="1140"/>
      <c r="FF37" s="868"/>
      <c r="FG37" s="868"/>
      <c r="FH37" s="1140"/>
      <c r="FI37" s="868"/>
      <c r="FJ37" s="868"/>
      <c r="FK37" s="1140"/>
      <c r="FL37" s="868"/>
      <c r="FM37" s="868"/>
      <c r="FN37" s="1140"/>
      <c r="FO37" s="868"/>
      <c r="FP37" s="868"/>
      <c r="FQ37" s="1140"/>
      <c r="FR37" s="868"/>
      <c r="FS37" s="868"/>
      <c r="FT37" s="1140"/>
      <c r="FU37" s="868"/>
      <c r="FV37" s="868"/>
      <c r="FW37" s="1140"/>
      <c r="FX37" s="868"/>
      <c r="FY37" s="868"/>
      <c r="FZ37" s="1140"/>
      <c r="GA37" s="868"/>
      <c r="GB37" s="868"/>
      <c r="GC37" s="1140"/>
      <c r="GD37" s="868"/>
      <c r="GE37" s="868"/>
      <c r="GF37" s="1140"/>
      <c r="GG37" s="868"/>
      <c r="GH37" s="868"/>
      <c r="GI37" s="1140"/>
      <c r="GJ37" s="868"/>
      <c r="GK37" s="868"/>
      <c r="GL37" s="1139">
        <f ca="1">SUBTOTAL(109,TabConsolid[SAFAAPL])</f>
        <v>24561.540870175821</v>
      </c>
      <c r="GM37" s="1286">
        <f>SUBTOTAL(109,TabConsolid[SAFAAPL1])</f>
        <v>350.000001</v>
      </c>
      <c r="GN37" s="1287">
        <f>SUBTOTAL(101,TabConsolid[SAFAAPL2])</f>
        <v>-201.20116304761905</v>
      </c>
      <c r="GO37" s="1139">
        <f ca="1">SUBTOTAL(109,TabConsolid[SAFAMZN])</f>
        <v>24723.000016481976</v>
      </c>
      <c r="GP37" s="1286">
        <f>SUBTOTAL(109,TabConsolid[SAFAMZN1])</f>
        <v>1500.0000009999999</v>
      </c>
      <c r="GQ37" s="1287">
        <f>SUBTOTAL(101,TabConsolid[SAFAMZN2])</f>
        <v>-206.8</v>
      </c>
      <c r="GR37" s="1139">
        <f ca="1">SUBTOTAL(109,TabConsolid[SAFASML])</f>
        <v>58056.762232227047</v>
      </c>
      <c r="GS37" s="1286">
        <f>SUBTOTAL(109,TabConsolid[SAFASML1])</f>
        <v>250.000001</v>
      </c>
      <c r="GT37" s="1287">
        <f>SUBTOTAL(101,TabConsolid[SAFASML2])</f>
        <v>-648.63138800000002</v>
      </c>
      <c r="GU37" s="1139">
        <f ca="1">SUBTOTAL(109,TabConsolid[SAFDDD])</f>
        <v>-136201.50000123819</v>
      </c>
      <c r="GV37" s="1286">
        <f>SUBTOTAL(109,TabConsolid[SAFDDD1])</f>
        <v>110000.00000100001</v>
      </c>
      <c r="GW37" s="1287">
        <f>SUBTOTAL(101,TabConsolid[SAFDDD2])</f>
        <v>-3.4038564935064932</v>
      </c>
      <c r="GX37" s="1139">
        <f ca="1">SUBTOTAL(109,TabConsolid[SAFDIS])</f>
        <v>-6288.1000052400886</v>
      </c>
      <c r="GY37" s="1286">
        <f>SUBTOTAL(109,TabConsolid[SAFDIS1])</f>
        <v>1200.0000009999999</v>
      </c>
      <c r="GZ37" s="1287">
        <f>SUBTOTAL(101,TabConsolid[SAFDIS2])</f>
        <v>-110.71002777777778</v>
      </c>
      <c r="HA37" s="1139">
        <f ca="1">SUBTOTAL(109,TabConsolid[SAFGM])</f>
        <v>6.9114999999999991E-5</v>
      </c>
      <c r="HB37" s="1286">
        <f>SUBTOTAL(109,TabConsolid[SAFGM1])</f>
        <v>9.9999999999999995E-7</v>
      </c>
      <c r="HC37" s="1287" t="e">
        <f>SUBTOTAL(101,TabConsolid[SAFGM2])</f>
        <v>#DIV/0!</v>
      </c>
      <c r="HD37" s="1139">
        <f ca="1">SUBTOTAL(109,TabConsolid[SAFIAG])</f>
        <v>3.7760000000000002E-4</v>
      </c>
      <c r="HE37" s="1287">
        <f>SUBTOTAL(109,TabConsolid[SAFIAG1])</f>
        <v>9.9999999999999995E-7</v>
      </c>
      <c r="HF37" s="88" t="e">
        <f>SUBTOTAL(101,TabConsolid[SAFIAG2])</f>
        <v>#DIV/0!</v>
      </c>
      <c r="HG37" s="1139">
        <f ca="1">SUBTOTAL(109,TabConsolid[SAFMRNA])</f>
        <v>-187270.57553745413</v>
      </c>
      <c r="HH37" s="1286">
        <f>SUBTOTAL(109,TabConsolid[SAFMRNA1])</f>
        <v>5000.0000010000003</v>
      </c>
      <c r="HI37" s="1287">
        <f>SUBTOTAL(101,TabConsolid[SAFMRNA2])</f>
        <v>-88.492152516666678</v>
      </c>
      <c r="HJ37" s="1139">
        <f ca="1">SUBTOTAL(109,TabConsolid[BLNK])</f>
        <v>-99814.000000831787</v>
      </c>
      <c r="HK37" s="1286">
        <f>SUBTOTAL(109,TabConsolid[BLNK1])</f>
        <v>120000.00000100001</v>
      </c>
      <c r="HL37" s="1287">
        <f>SUBTOTAL(101,TabConsolid[BLNK2])</f>
        <v>-2.4977690476190477</v>
      </c>
      <c r="HM37" s="1139">
        <f ca="1">SUBTOTAL(109,TabConsolid[ENI])</f>
        <v>22566.500001327448</v>
      </c>
      <c r="HN37" s="1286">
        <f>SUBTOTAL(109,TabConsolid[ENI1])</f>
        <v>17000.000001</v>
      </c>
      <c r="HO37" s="1287">
        <f>SUBTOTAL(101,TabConsolid[ENI2])</f>
        <v>-14.893519607843137</v>
      </c>
      <c r="HP37" s="1139">
        <f ca="1">SUBTOTAL(109,TabConsolid[EZJ])</f>
        <v>33800.000001127773</v>
      </c>
      <c r="HQ37" s="1286">
        <f>SUBTOTAL(109,TabConsolid[EZJ1])</f>
        <v>30000.000001</v>
      </c>
      <c r="HR37" s="1287">
        <f>SUBTOTAL(101,TabConsolid[EZJ2])</f>
        <v>-464.29444444444442</v>
      </c>
      <c r="HS37" s="1139">
        <f ca="1">SUBTOTAL(109,TabConsolid[F])</f>
        <v>1.2994999999999998E-5</v>
      </c>
      <c r="HT37" s="1286">
        <f>SUBTOTAL(109,TabConsolid[F1])</f>
        <v>9.9999999999999995E-7</v>
      </c>
      <c r="HU37" s="1287" t="e">
        <f>SUBTOTAL(101,TabConsolid[F2])</f>
        <v>#DIV/0!</v>
      </c>
      <c r="HV37" s="1139">
        <f ca="1">SUBTOTAL(109,TabConsolid[GLE])</f>
        <v>5.6819999999999995E-5</v>
      </c>
      <c r="HW37" s="1286">
        <f>SUBTOTAL(109,TabConsolid[GLE1])</f>
        <v>9.9999999999999995E-7</v>
      </c>
      <c r="HX37" s="1287" t="e">
        <f>SUBTOTAL(101,TabConsolid[GLE2])</f>
        <v>#DIV/0!</v>
      </c>
      <c r="HY37" s="1139">
        <f ca="1">SUBTOTAL(109,TabConsolid[GNRC])</f>
        <v>-30643.000034047782</v>
      </c>
      <c r="HZ37" s="1286">
        <f>SUBTOTAL(109,TabConsolid[GNRC1])</f>
        <v>900.000001</v>
      </c>
      <c r="IA37" s="1287">
        <f>SUBTOTAL(101,TabConsolid[GNRC2])</f>
        <v>-179.29694444444442</v>
      </c>
      <c r="IB37" s="1139">
        <f ca="1">SUBTOTAL(109,TabConsolid[GS])</f>
        <v>7.808899999999999E-4</v>
      </c>
      <c r="IC37" s="1286">
        <f>SUBTOTAL(109,TabConsolid[GS1])</f>
        <v>9.9999999999999995E-7</v>
      </c>
      <c r="ID37" s="1287" t="e">
        <f>SUBTOTAL(101,TabConsolid[GS2])</f>
        <v>#DIV/0!</v>
      </c>
      <c r="IE37" s="1139">
        <f ca="1">SUBTOTAL(109,TabConsolid[LAZR])</f>
        <v>-322642.99562079151</v>
      </c>
      <c r="IF37" s="1286">
        <f>SUBTOTAL(109,TabConsolid[LAZR1])</f>
        <v>15518.000001</v>
      </c>
      <c r="IG37" s="1287">
        <f>SUBTOTAL(101,TabConsolid[LAZR2])</f>
        <v>-29.534333032607293</v>
      </c>
      <c r="IH37" s="1139">
        <f ca="1">SUBTOTAL(109,TabConsolid[LUV])</f>
        <v>1347.1200011226024</v>
      </c>
      <c r="II37" s="1286">
        <f>SUBTOTAL(109,TabConsolid[LUV1])</f>
        <v>1200.0000010000001</v>
      </c>
      <c r="IJ37" s="1287">
        <f>SUBTOTAL(101,TabConsolid[LUV2])</f>
        <v>-30.697399999999998</v>
      </c>
      <c r="IK37" s="1139">
        <f ca="1">SUBTOTAL(109,TabConsolid[MA])</f>
        <v>-6053.5000302674962</v>
      </c>
      <c r="IL37" s="1286">
        <f>SUBTOTAL(109,TabConsolid[MA1])</f>
        <v>200.000001</v>
      </c>
      <c r="IM37" s="1287">
        <f>SUBTOTAL(101,TabConsolid[MA2])</f>
        <v>-556.34999999999991</v>
      </c>
      <c r="IN37" s="1139">
        <f ca="1">SUBTOTAL(109,TabConsolid[NVAX])</f>
        <v>-15092.100003353798</v>
      </c>
      <c r="IO37" s="1286">
        <f>SUBTOTAL(109,TabConsolid[NVAX1])</f>
        <v>4500.0000010000003</v>
      </c>
      <c r="IP37" s="1287">
        <f>SUBTOTAL(101,TabConsolid[NVAX2])</f>
        <v>-9.7487999999999992</v>
      </c>
      <c r="IQ37" s="1139">
        <f ca="1">SUBTOTAL(109,TabConsolid[NVS])</f>
        <v>1.2684E-4</v>
      </c>
      <c r="IR37" s="1286">
        <f>SUBTOTAL(109,TabConsolid[NVS1])</f>
        <v>9.9999999999999995E-7</v>
      </c>
      <c r="IS37" s="1287" t="e">
        <f>SUBTOTAL(101,TabConsolid[NVS2])</f>
        <v>#DIV/0!</v>
      </c>
      <c r="IT37" s="1139">
        <f ca="1">SUBTOTAL(109,TabConsolid[ORA])</f>
        <v>42.00000003500017</v>
      </c>
      <c r="IU37" s="1286">
        <f>SUBTOTAL(109,TabConsolid[ORA1])</f>
        <v>1200.0000010000001</v>
      </c>
      <c r="IV37" s="1287">
        <f>SUBTOTAL(101,TabConsolid[ORA2])</f>
        <v>-13.744999999999999</v>
      </c>
      <c r="IW37" s="1139">
        <f ca="1">SUBTOTAL(109,TabConsolid[OXY])</f>
        <v>-51397.900012849481</v>
      </c>
      <c r="IX37" s="1286">
        <f>SUBTOTAL(109,TabConsolid[OXY1])</f>
        <v>4000.0000009999999</v>
      </c>
      <c r="IY37" s="1287">
        <f>SUBTOTAL(101,TabConsolid[OXY2])</f>
        <v>-54.12469500000001</v>
      </c>
      <c r="IZ37" s="1139">
        <f ca="1">SUBTOTAL(109,TabConsolid[PFE])</f>
        <v>120.00000007499887</v>
      </c>
      <c r="JA37" s="1286">
        <f>SUBTOTAL(109,TabConsolid[PFE1])</f>
        <v>1600.0000010000001</v>
      </c>
      <c r="JB37" s="1287">
        <f>SUBTOTAL(101,TabConsolid[PFE2])</f>
        <v>-24.94</v>
      </c>
      <c r="JC37" s="1139">
        <f ca="1">SUBTOTAL(109,TabConsolid[RIG])</f>
        <v>34415.000000800341</v>
      </c>
      <c r="JD37" s="1286">
        <f>SUBTOTAL(109,TabConsolid[RIG1])</f>
        <v>43000.000001</v>
      </c>
      <c r="JE37" s="1287">
        <f>SUBTOTAL(109,TabConsolid[RIG2])</f>
        <v>-18.729651162790699</v>
      </c>
      <c r="JF37" s="1139">
        <f ca="1">SUBTOTAL(109,TabConsolid[RRC])</f>
        <v>3.9075000000000001E-5</v>
      </c>
      <c r="JG37" s="1286">
        <f>SUBTOTAL(109,TabConsolid[RRC1])</f>
        <v>9.9999999999999995E-7</v>
      </c>
      <c r="JH37" s="1287" t="e">
        <f>SUBTOTAL(101,TabConsolid[RRC2])</f>
        <v>#DIV/0!</v>
      </c>
      <c r="JI37" s="1139">
        <f ca="1">SUBTOTAL(109,TabConsolid[XYZ])</f>
        <v>-11667.000019445</v>
      </c>
      <c r="JJ37" s="1286">
        <f>SUBTOTAL(109,TabConsolid[XYZ1])</f>
        <v>600.000001</v>
      </c>
      <c r="JK37" s="1287">
        <f>SUBTOTAL(101,TabConsolid[XYZ2])</f>
        <v>-76.94</v>
      </c>
      <c r="JL37" s="1139">
        <f ca="1">SUBTOTAL(109,TabConsolid[THC])</f>
        <v>49648.115033098751</v>
      </c>
      <c r="JM37" s="1286">
        <f>SUBTOTAL(109,TabConsolid[THC1])</f>
        <v>1500.0000009999999</v>
      </c>
      <c r="JN37" s="1287">
        <f>SUBTOTAL(101,TabConsolid[THC2])</f>
        <v>-159.27579133333333</v>
      </c>
      <c r="JO37" s="1139">
        <f ca="1">SUBTOTAL(109,TabConsolid[X])</f>
        <v>238.82796388279405</v>
      </c>
      <c r="JP37" s="1286">
        <f>SUBTOTAL(109,TabConsolid[X1])</f>
        <v>10.000000999999999</v>
      </c>
      <c r="JQ37" s="1287">
        <f>SUBTOTAL(101,TabConsolid[X2])</f>
        <v>-30.957205999999999</v>
      </c>
      <c r="JR37" s="1139">
        <f ca="1">SUBTOTAL(109,TabConsolid[LOCK])</f>
        <v>341167.50000442506</v>
      </c>
      <c r="JS37" s="1286">
        <f>SUBTOTAL(109,TabConsolid[LOCK1])</f>
        <v>77100.000000999993</v>
      </c>
      <c r="JT37" s="1287">
        <f>SUBTOTAL(101,TabConsolid[LOCK2])</f>
        <v>-5.34</v>
      </c>
      <c r="JU37" s="1139">
        <f ca="1">SUBTOTAL(109,TabConsolid[JBASML])</f>
        <v>32572.000162860004</v>
      </c>
      <c r="JV37" s="1285">
        <f>SUBTOTAL(109,TabConsolid[JBASML1])</f>
        <v>200.000001</v>
      </c>
      <c r="JW37" s="1287">
        <f>SUBTOTAL(101,TabConsolid[JBASML2])</f>
        <v>-723.74</v>
      </c>
      <c r="JX37" s="1139">
        <f ca="1">SUBTOTAL(109,TabConsolid[JBEOAN])</f>
        <v>17782.461000846786</v>
      </c>
      <c r="JY37" s="1286">
        <f>SUBTOTAL(109,TabConsolid[JBEOAN1])</f>
        <v>21000.000001</v>
      </c>
      <c r="JZ37" s="1284">
        <f>SUBTOTAL(101,TabConsolid[JBEOAN2])</f>
        <v>-14.382247020408164</v>
      </c>
    </row>
    <row r="38" spans="1:289" x14ac:dyDescent="0.3">
      <c r="A38">
        <v>35</v>
      </c>
      <c r="B38" s="1139"/>
      <c r="C38" s="1288">
        <f ca="1">C37*_xlfn.XLOOKUP(B$3,TabCalc[Ticker],TabCalc[M])</f>
        <v>2565285.00027003</v>
      </c>
      <c r="D38" s="1128"/>
      <c r="E38" s="1139"/>
      <c r="F38" s="1288">
        <f ca="1">F37*_xlfn.XLOOKUP(E$3,TabCalc[Ticker],TabCalc[M])</f>
        <v>61300.000012260003</v>
      </c>
      <c r="G38" s="1128"/>
      <c r="H38" s="1139"/>
      <c r="I38" s="1288">
        <f ca="1">I37*_xlfn.XLOOKUP(H$3,TabCalc[Ticker],TabCalc[M])</f>
        <v>36900000.000045002</v>
      </c>
      <c r="J38" s="1128"/>
      <c r="K38" s="1139"/>
      <c r="L38" s="1288">
        <f ca="1">L37*_xlfn.XLOOKUP(K$3,TabCalc[Ticker],TabCalc[M])</f>
        <v>2654184.0002211821</v>
      </c>
      <c r="M38" s="1128"/>
      <c r="N38" s="1139"/>
      <c r="O38" s="1288">
        <f ca="1">O37*_xlfn.XLOOKUP(N$3,TabCalc[Ticker],TabCalc[M])</f>
        <v>1740640.0000006878</v>
      </c>
      <c r="P38" s="1128"/>
      <c r="Q38" s="1139"/>
      <c r="R38" s="1288">
        <f ca="1">R37*_xlfn.XLOOKUP(Q$3,TabCalc[Ticker],TabCalc[M])</f>
        <v>3014440.0008866</v>
      </c>
      <c r="S38" s="1128"/>
      <c r="T38" s="1139"/>
      <c r="U38" s="1288">
        <f ca="1">U37*_xlfn.XLOOKUP(T$3,TabCalc[Ticker],TabCalc[M])</f>
        <v>0</v>
      </c>
      <c r="V38" s="1128"/>
      <c r="W38" s="1139"/>
      <c r="X38" s="1288">
        <f ca="1">X37*_xlfn.XLOOKUP(W$3,TabCalc[Ticker],TabCalc[M])</f>
        <v>0</v>
      </c>
      <c r="Y38" s="1128"/>
      <c r="Z38" s="1139"/>
      <c r="AA38" s="1288">
        <f ca="1">AA37*_xlfn.XLOOKUP(Z$3,TabCalc[Ticker],TabCalc[M])</f>
        <v>0</v>
      </c>
      <c r="AB38" s="1128"/>
      <c r="AC38" s="1139"/>
      <c r="AD38" s="1288">
        <f ca="1">AD37*_xlfn.XLOOKUP(AC$3,TabCalc[Ticker],TabCalc[M])</f>
        <v>0</v>
      </c>
      <c r="AE38" s="1128"/>
      <c r="AF38" s="1139"/>
      <c r="AG38" s="1288">
        <f ca="1">AG37*_xlfn.XLOOKUP(AF$3,TabCalc[Ticker],TabCalc[M])</f>
        <v>0</v>
      </c>
      <c r="AH38" s="1128"/>
      <c r="AI38" s="1139"/>
      <c r="AJ38" s="1288">
        <f ca="1">AJ37*_xlfn.XLOOKUP(AI$3,TabCalc[Ticker],TabCalc[M])</f>
        <v>0</v>
      </c>
      <c r="AK38" s="1128"/>
      <c r="AL38" s="1139"/>
      <c r="AM38" s="1288">
        <f ca="1">AM37*_xlfn.XLOOKUP(AL$3,TabCalc[Ticker],TabCalc[M])</f>
        <v>0</v>
      </c>
      <c r="AN38" s="1128"/>
      <c r="AO38" s="1139"/>
      <c r="AP38" s="1288">
        <f ca="1">AP37*_xlfn.XLOOKUP(AO$3,TabCalc[Ticker],TabCalc[M])</f>
        <v>0</v>
      </c>
      <c r="AQ38" s="1128"/>
      <c r="AR38" s="1139"/>
      <c r="AS38" s="1288">
        <f ca="1">AS37*_xlfn.XLOOKUP(AR$3,TabCalc[Ticker],TabCalc[M])</f>
        <v>0</v>
      </c>
      <c r="AT38" s="1128"/>
      <c r="AU38" s="1139"/>
      <c r="AV38" s="1288">
        <f ca="1">AV37*_xlfn.XLOOKUP(AU$3,TabCalc[Ticker],TabCalc[M])</f>
        <v>0</v>
      </c>
      <c r="AW38" s="1128"/>
      <c r="AX38" s="1139"/>
      <c r="AY38" s="1288">
        <f ca="1">AY37*_xlfn.XLOOKUP(AX$3,TabCalc[Ticker],TabCalc[M])</f>
        <v>0</v>
      </c>
      <c r="AZ38" s="1128"/>
      <c r="BA38" s="1139"/>
      <c r="BB38" s="1288">
        <f ca="1">BB37*_xlfn.XLOOKUP(BA$3,TabCalc[Ticker],TabCalc[M])</f>
        <v>0</v>
      </c>
      <c r="BC38" s="1128"/>
      <c r="BD38" s="1139"/>
      <c r="BE38" s="1288">
        <f ca="1">BE37*_xlfn.XLOOKUP(BD$3,TabCalc[Ticker],TabCalc[M])</f>
        <v>0</v>
      </c>
      <c r="BF38" s="1128"/>
      <c r="BG38" s="1139"/>
      <c r="BH38" s="1288">
        <f ca="1">BH37*_xlfn.XLOOKUP(BG$3,TabCalc[Ticker],TabCalc[M])</f>
        <v>0</v>
      </c>
      <c r="BI38" s="1128"/>
      <c r="BJ38" s="1139"/>
      <c r="BK38" s="1288">
        <f ca="1">BK37*_xlfn.XLOOKUP(BJ$3,TabCalc[Ticker],TabCalc[M])</f>
        <v>0</v>
      </c>
      <c r="BL38" s="1128"/>
      <c r="BM38" s="1139"/>
      <c r="BN38" s="1288">
        <f ca="1">BN37*_xlfn.XLOOKUP(BM$3,TabCalc[Ticker],TabCalc[M])</f>
        <v>0</v>
      </c>
      <c r="BO38" s="1128"/>
      <c r="BP38" s="1139"/>
      <c r="BQ38" s="1288">
        <f ca="1">BQ37*_xlfn.XLOOKUP(BP$3,TabCalc[Ticker],TabCalc[M])</f>
        <v>0</v>
      </c>
      <c r="BR38" s="1128"/>
      <c r="BS38" s="1139"/>
      <c r="BT38" s="1288">
        <f ca="1">BT37*_xlfn.XLOOKUP(BS$3,TabCalc[Ticker],TabCalc[M])</f>
        <v>0</v>
      </c>
      <c r="BU38" s="1128"/>
      <c r="BV38" s="1139"/>
      <c r="BW38" s="1288">
        <f ca="1">BW37*_xlfn.XLOOKUP(BV$3,TabCalc[Ticker],TabCalc[M])</f>
        <v>0</v>
      </c>
      <c r="BX38" s="1128"/>
      <c r="BY38" s="1139"/>
      <c r="BZ38" s="1288">
        <f ca="1">BZ37*_xlfn.XLOOKUP(BY$3,TabCalc[Ticker],TabCalc[M])</f>
        <v>0</v>
      </c>
      <c r="CA38" s="1128"/>
      <c r="CB38" s="1139"/>
      <c r="CC38" s="1288">
        <f ca="1">CC37*_xlfn.XLOOKUP(CB$3,TabCalc[Ticker],TabCalc[M])</f>
        <v>0</v>
      </c>
      <c r="CD38" s="1128"/>
      <c r="CE38" s="1139"/>
      <c r="CF38" s="1288">
        <f ca="1">CF37*_xlfn.XLOOKUP(CE$3,TabCalc[Ticker],TabCalc[M])</f>
        <v>0</v>
      </c>
      <c r="CG38" s="1128"/>
      <c r="CH38" s="1139"/>
      <c r="CI38" s="1288">
        <f ca="1">CI37*_xlfn.XLOOKUP(CH$3,TabCalc[Ticker],TabCalc[M])</f>
        <v>0</v>
      </c>
      <c r="CJ38" s="1128"/>
      <c r="CK38" s="1139"/>
      <c r="CL38" s="1288">
        <f ca="1">CL37*_xlfn.XLOOKUP(CK$3,TabCalc[Ticker],TabCalc[M])</f>
        <v>0</v>
      </c>
      <c r="CM38" s="1128"/>
      <c r="CN38" s="1139"/>
      <c r="CO38" s="1288">
        <f ca="1">CO37*_xlfn.XLOOKUP(CN$3,TabCalc[Ticker],TabCalc[M])</f>
        <v>0</v>
      </c>
      <c r="CP38" s="1128"/>
      <c r="CQ38" s="1139"/>
      <c r="CR38" s="1288">
        <f ca="1">CR37*_xlfn.XLOOKUP(CQ$3,TabCalc[Ticker],TabCalc[M])</f>
        <v>0</v>
      </c>
      <c r="CS38" s="1128"/>
      <c r="CT38" s="1139"/>
      <c r="CU38" s="1288">
        <f ca="1">CU37*_xlfn.XLOOKUP(CT$3,TabCalc[Ticker],TabCalc[M])</f>
        <v>0</v>
      </c>
      <c r="CV38" s="1128"/>
      <c r="CW38" s="1139"/>
      <c r="CX38" s="1288">
        <f ca="1">CX37*_xlfn.XLOOKUP(CW$3,TabCalc[Ticker],TabCalc[M])</f>
        <v>0</v>
      </c>
      <c r="CY38" s="1128"/>
      <c r="CZ38" s="1139"/>
      <c r="DA38" s="1288">
        <f ca="1">DA37*_xlfn.XLOOKUP(CZ$3,TabCalc[Ticker],TabCalc[M])</f>
        <v>0</v>
      </c>
      <c r="DB38" s="1128"/>
      <c r="DC38" s="1139"/>
      <c r="DD38" s="1288">
        <f ca="1">DD37*_xlfn.XLOOKUP(DC$3,TabCalc[Ticker],TabCalc[M])</f>
        <v>0</v>
      </c>
      <c r="DE38" s="1128"/>
      <c r="DF38" s="1139"/>
      <c r="DG38" s="1288">
        <f ca="1">DG37*_xlfn.XLOOKUP(DF$3,TabCalc[Ticker],TabCalc[M])</f>
        <v>0</v>
      </c>
      <c r="DH38" s="1128"/>
      <c r="DI38" s="1139"/>
      <c r="DJ38" s="1288">
        <f ca="1">DJ37*_xlfn.XLOOKUP(DI$3,TabCalc[Ticker],TabCalc[M])</f>
        <v>0</v>
      </c>
      <c r="DK38" s="1128"/>
      <c r="DL38" s="1139"/>
      <c r="DM38" s="1288">
        <f ca="1">DM37*_xlfn.XLOOKUP(DL$3,TabCalc[Ticker],TabCalc[M])</f>
        <v>0</v>
      </c>
      <c r="DN38" s="1128"/>
      <c r="DO38" s="1139"/>
      <c r="DP38" s="1288">
        <f ca="1">DP37*_xlfn.XLOOKUP(DO$3,TabCalc[Ticker],TabCalc[M])</f>
        <v>0</v>
      </c>
      <c r="DQ38" s="1128"/>
      <c r="DR38" s="1139"/>
      <c r="DS38" s="1288">
        <f ca="1">DS37*_xlfn.XLOOKUP(DR$3,TabCalc[Ticker],TabCalc[M])</f>
        <v>0</v>
      </c>
      <c r="DT38" s="1128"/>
      <c r="DU38" s="1139"/>
      <c r="DV38" s="1288">
        <f ca="1">DV37*_xlfn.XLOOKUP(DU$3,TabCalc[Ticker],TabCalc[M])</f>
        <v>0</v>
      </c>
      <c r="DW38" s="1128"/>
      <c r="DX38" s="1139"/>
      <c r="DY38" s="1288">
        <f ca="1">DY37*_xlfn.XLOOKUP(DX$3,TabCalc[Ticker],TabCalc[M])</f>
        <v>0</v>
      </c>
      <c r="DZ38" s="1128"/>
      <c r="EA38" s="1139"/>
      <c r="EB38" s="1288">
        <f ca="1">EB37*_xlfn.XLOOKUP(EA$3,TabCalc[Ticker],TabCalc[M])</f>
        <v>0</v>
      </c>
      <c r="EC38" s="1128"/>
      <c r="ED38" s="1139"/>
      <c r="EE38" s="1288">
        <f ca="1">EE37*_xlfn.XLOOKUP(ED$3,TabCalc[Ticker],TabCalc[M])</f>
        <v>0</v>
      </c>
      <c r="EF38" s="1128"/>
      <c r="EG38" s="1139"/>
      <c r="EH38" s="1288">
        <f ca="1">EH37*_xlfn.XLOOKUP(EG$3,TabCalc[Ticker],TabCalc[M])</f>
        <v>0</v>
      </c>
      <c r="EI38" s="1128"/>
      <c r="EJ38" s="1139"/>
      <c r="EK38" s="1288" t="e">
        <f ca="1">EK37*_xlfn.XLOOKUP(EJ$3,TabCalc[Ticker],TabCalc[M])</f>
        <v>#N/A</v>
      </c>
      <c r="EL38" s="1128"/>
      <c r="EM38" s="1139"/>
      <c r="EN38" s="1288">
        <f ca="1">EN37*_xlfn.XLOOKUP(EM$3,TabCalc[Ticker],TabCalc[M])</f>
        <v>0</v>
      </c>
      <c r="EO38" s="1128"/>
      <c r="EP38" s="1139"/>
      <c r="EQ38" s="1288">
        <f ca="1">EQ37*_xlfn.XLOOKUP(EP$3,TabCalc[Ticker],TabCalc[M])</f>
        <v>0</v>
      </c>
      <c r="ER38" s="1128"/>
      <c r="ES38" s="1139"/>
      <c r="ET38" s="1288">
        <f ca="1">ET37*_xlfn.XLOOKUP(ES$3,TabCalc[Ticker],TabCalc[M])</f>
        <v>0</v>
      </c>
      <c r="EU38" s="1128"/>
      <c r="EV38" s="1139"/>
      <c r="EW38" s="1288">
        <f ca="1">EW37*_xlfn.XLOOKUP(EV$3,TabCalc[Ticker],TabCalc[M])</f>
        <v>0</v>
      </c>
      <c r="EX38" s="1128"/>
      <c r="EY38" s="1139"/>
      <c r="EZ38" s="1288">
        <f ca="1">EZ37*_xlfn.XLOOKUP(EY$3,TabCalc[Ticker],TabCalc[M])</f>
        <v>0</v>
      </c>
      <c r="FA38" s="1128"/>
      <c r="FB38" s="1139"/>
      <c r="FC38" s="1288">
        <f ca="1">FC37*_xlfn.XLOOKUP(FB$3,TabCalc[Ticker],TabCalc[M])</f>
        <v>0</v>
      </c>
      <c r="FD38" s="1128"/>
      <c r="FE38" s="1139"/>
      <c r="FF38" s="1288">
        <f ca="1">FF37*_xlfn.XLOOKUP(FE$3,TabCalc[Ticker],TabCalc[M])</f>
        <v>0</v>
      </c>
      <c r="FG38" s="1128"/>
      <c r="FH38" s="1139"/>
      <c r="FI38" s="1288">
        <f ca="1">FI37*_xlfn.XLOOKUP(FH$3,TabCalc[Ticker],TabCalc[M])</f>
        <v>0</v>
      </c>
      <c r="FJ38" s="1128"/>
      <c r="FK38" s="1139"/>
      <c r="FL38" s="1288">
        <f ca="1">FL37*_xlfn.XLOOKUP(FK$3,TabCalc[Ticker],TabCalc[M])</f>
        <v>0</v>
      </c>
      <c r="FM38" s="1128"/>
      <c r="FN38" s="1139"/>
      <c r="FO38" s="1288">
        <f ca="1">FO37*_xlfn.XLOOKUP(FN$3,TabCalc[Ticker],TabCalc[M])</f>
        <v>0</v>
      </c>
      <c r="FP38" s="1128"/>
      <c r="FQ38" s="1139"/>
      <c r="FR38" s="1288">
        <f ca="1">FR37*_xlfn.XLOOKUP(FQ$3,TabCalc[Ticker],TabCalc[M])</f>
        <v>0</v>
      </c>
      <c r="FS38" s="1128"/>
      <c r="FT38" s="1139"/>
      <c r="FU38" s="1288">
        <f ca="1">FU37*_xlfn.XLOOKUP(FT$3,TabCalc[Ticker],TabCalc[M])</f>
        <v>0</v>
      </c>
      <c r="FV38" s="1128"/>
      <c r="FW38" s="1139"/>
      <c r="FX38" s="1288">
        <f ca="1">FX37*_xlfn.XLOOKUP(FW$3,TabCalc[Ticker],TabCalc[M])</f>
        <v>0</v>
      </c>
      <c r="FY38" s="1128"/>
      <c r="FZ38" s="1139"/>
      <c r="GA38" s="1288">
        <f ca="1">GA37*_xlfn.XLOOKUP(FZ$3,TabCalc[Ticker],TabCalc[M])</f>
        <v>0</v>
      </c>
      <c r="GB38" s="1128"/>
      <c r="GC38" s="1139"/>
      <c r="GD38" s="1288">
        <f ca="1">GD37*_xlfn.XLOOKUP(GC$3,TabCalc[Ticker],TabCalc[M])</f>
        <v>0</v>
      </c>
      <c r="GE38" s="1128"/>
      <c r="GF38" s="1139"/>
      <c r="GG38" s="1288">
        <f ca="1">GG37*_xlfn.XLOOKUP(GF$3,TabCalc[Ticker],TabCalc[M])</f>
        <v>0</v>
      </c>
      <c r="GH38" s="1128"/>
      <c r="GI38" s="1139"/>
      <c r="GJ38" s="1288">
        <f ca="1">GJ37*_xlfn.XLOOKUP(GI$3,TabCalc[Ticker],TabCalc[M])</f>
        <v>0</v>
      </c>
      <c r="GK38" s="1128"/>
      <c r="GL38" s="1139"/>
      <c r="GM38" s="1288">
        <f ca="1">GM37*_xlfn.XLOOKUP(GL$3,TabCalc[Ticker],TabCalc[M])</f>
        <v>94510.500270029996</v>
      </c>
      <c r="GN38" s="1128"/>
      <c r="GO38" s="1139"/>
      <c r="GP38" s="1288">
        <f ca="1">GP37*_xlfn.XLOOKUP(GO$3,TabCalc[Ticker],TabCalc[M])</f>
        <v>331773.00022118195</v>
      </c>
      <c r="GQ38" s="1128"/>
      <c r="GR38" s="1139"/>
      <c r="GS38" s="1288">
        <f ca="1">GS37*_xlfn.XLOOKUP(GR$3,TabCalc[Ticker],TabCalc[M])</f>
        <v>221650.0008866</v>
      </c>
      <c r="GT38" s="1128"/>
      <c r="GU38" s="1139"/>
      <c r="GV38" s="1288">
        <f ca="1">GV37*_xlfn.XLOOKUP(GU$3,TabCalc[Ticker],TabCalc[M])</f>
        <v>224950.00000204501</v>
      </c>
      <c r="GW38" s="1128"/>
      <c r="GX38" s="1139"/>
      <c r="GY38" s="1288">
        <f ca="1">GY37*_xlfn.XLOOKUP(GX$3,TabCalc[Ticker],TabCalc[M])</f>
        <v>126360.00010529999</v>
      </c>
      <c r="GZ38" s="1128"/>
      <c r="HA38" s="1139"/>
      <c r="HB38" s="1288">
        <f ca="1">HB37*_xlfn.XLOOKUP(HA$3,TabCalc[Ticker],TabCalc[M])</f>
        <v>6.9114999999999991E-5</v>
      </c>
      <c r="HC38" s="1128"/>
      <c r="HD38" s="1139"/>
      <c r="HE38" s="1288" t="e">
        <f ca="1">#REF!*_xlfn.XLOOKUP(HD$3,TabCalc[Ticker],TabCalc[M])</f>
        <v>#REF!</v>
      </c>
      <c r="HF38" s="1128"/>
      <c r="HG38" s="1139"/>
      <c r="HH38" s="1288">
        <f ca="1">HH37*_xlfn.XLOOKUP(HG$3,TabCalc[Ticker],TabCalc[M])</f>
        <v>121400.00002428002</v>
      </c>
      <c r="HI38" s="1128"/>
      <c r="HJ38" s="1139"/>
      <c r="HK38" s="1288">
        <f ca="1">HK37*_xlfn.XLOOKUP(HJ$3,TabCalc[Ticker],TabCalc[M])</f>
        <v>163800.000001365</v>
      </c>
      <c r="HL38" s="1128"/>
      <c r="HM38" s="1139"/>
      <c r="HN38" s="1288">
        <f ca="1">HN37*_xlfn.XLOOKUP(HM$3,TabCalc[Ticker],TabCalc[M])</f>
        <v>275706.00001621799</v>
      </c>
      <c r="HO38" s="1128"/>
      <c r="HP38" s="1139"/>
      <c r="HQ38" s="1288">
        <f ca="1">HQ37*_xlfn.XLOOKUP(HP$3,TabCalc[Ticker],TabCalc[M])</f>
        <v>13863000.0004621</v>
      </c>
      <c r="HR38" s="1128"/>
      <c r="HS38" s="1139"/>
      <c r="HT38" s="1288">
        <f ca="1">HT37*_xlfn.XLOOKUP(HS$3,TabCalc[Ticker],TabCalc[M])</f>
        <v>1.2994999999999998E-5</v>
      </c>
      <c r="HU38" s="1128"/>
      <c r="HV38" s="1139"/>
      <c r="HW38" s="1288">
        <f ca="1">HW37*_xlfn.XLOOKUP(HV$3,TabCalc[Ticker],TabCalc[M])</f>
        <v>5.6819999999999995E-5</v>
      </c>
      <c r="HX38" s="1128"/>
      <c r="HY38" s="1139"/>
      <c r="HZ38" s="1288">
        <f ca="1">HZ37*_xlfn.XLOOKUP(HY$3,TabCalc[Ticker],TabCalc[M])</f>
        <v>132201.00014689</v>
      </c>
      <c r="IA38" s="1128"/>
      <c r="IB38" s="1139"/>
      <c r="IC38" s="1288">
        <f ca="1">IC37*_xlfn.XLOOKUP(IB$3,TabCalc[Ticker],TabCalc[M])</f>
        <v>7.808899999999999E-4</v>
      </c>
      <c r="ID38" s="1128"/>
      <c r="IE38" s="1139"/>
      <c r="IF38" s="1288">
        <f ca="1">IF37*_xlfn.XLOOKUP(IE$3,TabCalc[Ticker],TabCalc[M])</f>
        <v>13745.8444008858</v>
      </c>
      <c r="IG38" s="1128"/>
      <c r="IH38" s="1139"/>
      <c r="II38" s="1288">
        <f ca="1">II37*_xlfn.XLOOKUP(IH$3,TabCalc[Ticker],TabCalc[M])</f>
        <v>38184.000031820004</v>
      </c>
      <c r="IJ38" s="1128"/>
      <c r="IK38" s="1139"/>
      <c r="IL38" s="1288">
        <f ca="1">IL37*_xlfn.XLOOKUP(IK$3,TabCalc[Ticker],TabCalc[M])</f>
        <v>105216.5005260825</v>
      </c>
      <c r="IM38" s="1128"/>
      <c r="IN38" s="1139"/>
      <c r="IO38" s="1288">
        <f ca="1">IO37*_xlfn.XLOOKUP(IN$3,TabCalc[Ticker],TabCalc[M])</f>
        <v>28777.500006394999</v>
      </c>
      <c r="IP38" s="1128"/>
      <c r="IQ38" s="1139"/>
      <c r="IR38" s="1288">
        <f ca="1">IR37*_xlfn.XLOOKUP(IQ$3,TabCalc[Ticker],TabCalc[M])</f>
        <v>1.2684E-4</v>
      </c>
      <c r="IS38" s="1128"/>
      <c r="IT38" s="1139"/>
      <c r="IU38" s="1288">
        <f ca="1">IU37*_xlfn.XLOOKUP(IT$3,TabCalc[Ticker],TabCalc[M])</f>
        <v>16536.000013780002</v>
      </c>
      <c r="IV38" s="1128"/>
      <c r="IW38" s="1139"/>
      <c r="IX38" s="1288">
        <f ca="1">IX37*_xlfn.XLOOKUP(IW$3,TabCalc[Ticker],TabCalc[M])</f>
        <v>165940.00004148501</v>
      </c>
      <c r="IY38" s="1128"/>
      <c r="IZ38" s="1139"/>
      <c r="JA38" s="1288">
        <f ca="1">JA37*_xlfn.XLOOKUP(IZ$3,TabCalc[Ticker],TabCalc[M])</f>
        <v>40024.000025015004</v>
      </c>
      <c r="JB38" s="1128"/>
      <c r="JC38" s="1139"/>
      <c r="JD38" s="1288">
        <f ca="1">JD37*_xlfn.XLOOKUP(JC$3,TabCalc[Ticker],TabCalc[M])</f>
        <v>176085.000004095</v>
      </c>
      <c r="JE38" s="1128"/>
      <c r="JF38" s="1139"/>
      <c r="JG38" s="1288">
        <f ca="1">JG37*_xlfn.XLOOKUP(JF$3,TabCalc[Ticker],TabCalc[M])</f>
        <v>3.9075000000000001E-5</v>
      </c>
      <c r="JH38" s="1128"/>
      <c r="JI38" s="1139"/>
      <c r="JJ38" s="1288">
        <f ca="1">JJ37*_xlfn.XLOOKUP(JI$3,TabCalc[Ticker],TabCalc[M])</f>
        <v>34497.000057494995</v>
      </c>
      <c r="JK38" s="1128"/>
      <c r="JL38" s="1139"/>
      <c r="JM38" s="1288">
        <f ca="1">JM37*_xlfn.XLOOKUP(JL$3,TabCalc[Ticker],TabCalc[M])</f>
        <v>290370.00019358</v>
      </c>
      <c r="JN38" s="1128"/>
      <c r="JO38" s="1139"/>
      <c r="JP38" s="1288">
        <f ca="1">JP37*_xlfn.XLOOKUP(JO$3,TabCalc[Ticker],TabCalc[M])</f>
        <v>548.40005483999994</v>
      </c>
      <c r="JQ38" s="1128"/>
      <c r="JR38" s="1139"/>
      <c r="JS38" s="1288">
        <f ca="1">JS37*_xlfn.XLOOKUP(JR$3,TabCalc[Ticker],TabCalc[M])</f>
        <v>752881.50000976503</v>
      </c>
      <c r="JT38" s="1128"/>
      <c r="JU38" s="1139"/>
      <c r="JV38" s="1288">
        <f ca="1">JV37*_xlfn.XLOOKUP(JU$3,TabCalc[Ticker],TabCalc[M])</f>
        <v>177320.0008866</v>
      </c>
      <c r="JW38" s="1128"/>
      <c r="JX38" s="1139"/>
      <c r="JY38" s="1288">
        <f ca="1">JY37*_xlfn.XLOOKUP(JX$3,TabCalc[Ticker],TabCalc[M])</f>
        <v>321300.0000153</v>
      </c>
      <c r="JZ38" s="1128"/>
      <c r="KA38" s="1139"/>
      <c r="KB38" s="1288" t="e">
        <f ca="1">KB37*_xlfn.XLOOKUP(KA$3,TabCalc[Ticker],TabCalc[M])</f>
        <v>#N/A</v>
      </c>
      <c r="KC38" s="1128"/>
    </row>
    <row r="39" spans="1:289" x14ac:dyDescent="0.3">
      <c r="A39">
        <v>36</v>
      </c>
      <c r="B39" s="1139">
        <v>2</v>
      </c>
      <c r="C39" s="1139">
        <v>3</v>
      </c>
      <c r="D39" s="1138">
        <v>4</v>
      </c>
      <c r="E39" s="1139">
        <v>5</v>
      </c>
      <c r="F39" s="1139">
        <v>6</v>
      </c>
      <c r="G39" s="1139">
        <v>7</v>
      </c>
      <c r="H39" s="1139">
        <v>8</v>
      </c>
      <c r="I39" s="1139">
        <v>9</v>
      </c>
      <c r="J39" s="1139">
        <v>10</v>
      </c>
      <c r="K39" s="1139">
        <v>11</v>
      </c>
      <c r="L39" s="1139">
        <v>12</v>
      </c>
      <c r="M39" s="1139">
        <v>13</v>
      </c>
      <c r="N39" s="1139">
        <v>14</v>
      </c>
      <c r="O39" s="1139">
        <v>15</v>
      </c>
      <c r="P39" s="1139">
        <v>16</v>
      </c>
      <c r="Q39" s="1139">
        <v>17</v>
      </c>
      <c r="R39" s="1139">
        <v>18</v>
      </c>
      <c r="S39" s="1139">
        <v>19</v>
      </c>
      <c r="T39" s="1139">
        <v>20</v>
      </c>
      <c r="U39" s="1139">
        <v>21</v>
      </c>
      <c r="V39" s="1139">
        <v>22</v>
      </c>
      <c r="W39" s="1139">
        <v>23</v>
      </c>
      <c r="X39" s="1139">
        <v>24</v>
      </c>
      <c r="Y39" s="1139">
        <v>25</v>
      </c>
      <c r="Z39" s="1139">
        <v>26</v>
      </c>
      <c r="AA39" s="1139">
        <v>27</v>
      </c>
      <c r="AB39" s="1139">
        <v>28</v>
      </c>
      <c r="AC39" s="1139">
        <v>29</v>
      </c>
      <c r="AD39" s="1139">
        <v>30</v>
      </c>
      <c r="AE39" s="1139">
        <v>31</v>
      </c>
      <c r="AF39" s="1139">
        <v>32</v>
      </c>
      <c r="AG39" s="1139">
        <v>33</v>
      </c>
      <c r="AH39" s="1139">
        <v>34</v>
      </c>
      <c r="AI39" s="1139">
        <v>35</v>
      </c>
      <c r="AJ39" s="1139">
        <v>36</v>
      </c>
      <c r="AK39" s="1139">
        <v>37</v>
      </c>
      <c r="AL39" s="1139">
        <v>38</v>
      </c>
      <c r="AM39" s="1139">
        <v>39</v>
      </c>
      <c r="AN39" s="1139">
        <v>40</v>
      </c>
      <c r="AO39" s="1139">
        <v>41</v>
      </c>
      <c r="AP39" s="1139">
        <v>42</v>
      </c>
      <c r="AQ39" s="1139">
        <v>43</v>
      </c>
      <c r="AR39" s="1139">
        <v>44</v>
      </c>
      <c r="AS39" s="1139">
        <v>45</v>
      </c>
      <c r="AT39" s="1139">
        <v>46</v>
      </c>
      <c r="AU39" s="1139">
        <v>47</v>
      </c>
      <c r="AV39" s="1139">
        <v>48</v>
      </c>
      <c r="AW39" s="1139">
        <v>49</v>
      </c>
      <c r="AX39" s="1139">
        <v>50</v>
      </c>
      <c r="AY39" s="1139">
        <v>51</v>
      </c>
      <c r="AZ39" s="1139">
        <v>52</v>
      </c>
      <c r="BA39" s="1139">
        <v>53</v>
      </c>
      <c r="BB39" s="1139">
        <v>54</v>
      </c>
      <c r="BC39" s="1139">
        <v>55</v>
      </c>
      <c r="BD39" s="1139">
        <v>56</v>
      </c>
      <c r="BE39" s="1139">
        <v>57</v>
      </c>
      <c r="BF39" s="1139">
        <v>58</v>
      </c>
      <c r="BG39" s="1139">
        <v>59</v>
      </c>
      <c r="BH39" s="1139">
        <v>60</v>
      </c>
      <c r="BI39" s="1139">
        <v>61</v>
      </c>
      <c r="BJ39" s="1139">
        <v>62</v>
      </c>
      <c r="BK39" s="1139">
        <v>63</v>
      </c>
      <c r="BL39" s="1139">
        <v>64</v>
      </c>
      <c r="BM39" s="1139">
        <v>65</v>
      </c>
      <c r="BN39" s="1139">
        <v>66</v>
      </c>
      <c r="BO39" s="1139">
        <v>67</v>
      </c>
      <c r="BP39" s="1139">
        <v>68</v>
      </c>
      <c r="BQ39" s="1139">
        <v>69</v>
      </c>
      <c r="BR39" s="1139">
        <v>70</v>
      </c>
      <c r="BS39" s="1139">
        <v>71</v>
      </c>
      <c r="BT39" s="1139">
        <v>72</v>
      </c>
      <c r="BU39" s="1139">
        <v>73</v>
      </c>
      <c r="BV39" s="1139">
        <v>74</v>
      </c>
      <c r="BW39" s="1139">
        <v>75</v>
      </c>
      <c r="BX39" s="1139">
        <v>76</v>
      </c>
      <c r="BY39" s="1139">
        <v>77</v>
      </c>
      <c r="BZ39" s="1139">
        <v>78</v>
      </c>
      <c r="CA39" s="1139">
        <v>79</v>
      </c>
      <c r="CB39" s="1139">
        <v>80</v>
      </c>
      <c r="CC39" s="1139">
        <v>81</v>
      </c>
      <c r="CD39" s="1139">
        <v>82</v>
      </c>
      <c r="CE39" s="1139">
        <v>83</v>
      </c>
      <c r="CF39" s="1139">
        <v>84</v>
      </c>
      <c r="CG39" s="1139">
        <v>85</v>
      </c>
      <c r="CH39" s="1139">
        <v>86</v>
      </c>
      <c r="CI39" s="1139">
        <v>87</v>
      </c>
      <c r="CJ39" s="1139">
        <v>88</v>
      </c>
      <c r="CK39" s="1139">
        <v>89</v>
      </c>
      <c r="CL39" s="1139">
        <v>90</v>
      </c>
      <c r="CM39" s="1139">
        <v>91</v>
      </c>
      <c r="CN39" s="1139">
        <v>92</v>
      </c>
      <c r="CO39" s="1139">
        <v>93</v>
      </c>
      <c r="CP39" s="1139">
        <v>94</v>
      </c>
      <c r="CQ39" s="1139">
        <v>95</v>
      </c>
      <c r="CR39" s="1139">
        <v>96</v>
      </c>
      <c r="CS39" s="1139">
        <v>97</v>
      </c>
      <c r="CT39" s="1139">
        <v>98</v>
      </c>
      <c r="CU39" s="1139">
        <v>99</v>
      </c>
      <c r="CV39" s="1139">
        <v>100</v>
      </c>
      <c r="CW39" s="1139">
        <v>101</v>
      </c>
      <c r="CX39" s="1139">
        <v>102</v>
      </c>
      <c r="CY39" s="1139">
        <v>103</v>
      </c>
      <c r="CZ39" s="1139">
        <v>104</v>
      </c>
      <c r="DA39" s="1139">
        <v>105</v>
      </c>
      <c r="DB39" s="1139">
        <v>106</v>
      </c>
      <c r="DC39" s="1139">
        <v>107</v>
      </c>
      <c r="DD39" s="1139">
        <v>108</v>
      </c>
      <c r="DE39" s="1139">
        <v>109</v>
      </c>
      <c r="DF39" s="1139">
        <v>110</v>
      </c>
      <c r="DG39" s="1139">
        <v>111</v>
      </c>
      <c r="DH39" s="1139">
        <v>112</v>
      </c>
      <c r="DI39" s="1139">
        <v>113</v>
      </c>
      <c r="DJ39" s="1139">
        <v>114</v>
      </c>
      <c r="DK39" s="1139">
        <v>115</v>
      </c>
      <c r="DL39" s="1139">
        <v>116</v>
      </c>
      <c r="DM39" s="1139">
        <v>117</v>
      </c>
      <c r="DN39" s="1139">
        <v>118</v>
      </c>
      <c r="DO39" s="1139">
        <v>119</v>
      </c>
      <c r="DP39" s="1139">
        <v>120</v>
      </c>
      <c r="DQ39" s="1139">
        <v>121</v>
      </c>
      <c r="DR39" s="1139">
        <v>122</v>
      </c>
      <c r="DS39" s="1139">
        <v>123</v>
      </c>
      <c r="DT39" s="1139">
        <v>124</v>
      </c>
      <c r="DU39" s="1139">
        <v>125</v>
      </c>
      <c r="DV39" s="1139">
        <v>126</v>
      </c>
      <c r="DW39" s="1139">
        <v>127</v>
      </c>
      <c r="DX39" s="1139">
        <v>128</v>
      </c>
      <c r="DY39" s="1139">
        <v>129</v>
      </c>
      <c r="DZ39" s="1139">
        <v>130</v>
      </c>
      <c r="EA39" s="1139">
        <v>131</v>
      </c>
      <c r="EB39" s="1139">
        <v>132</v>
      </c>
      <c r="EC39" s="1139">
        <v>133</v>
      </c>
      <c r="ED39" s="1139">
        <v>134</v>
      </c>
      <c r="EE39" s="1139">
        <v>135</v>
      </c>
      <c r="EF39" s="1139">
        <v>136</v>
      </c>
      <c r="EG39" s="1139">
        <v>137</v>
      </c>
      <c r="EH39" s="1139">
        <v>138</v>
      </c>
      <c r="EI39" s="1139">
        <v>139</v>
      </c>
      <c r="EJ39" s="1139">
        <v>140</v>
      </c>
      <c r="EK39" s="1139">
        <v>141</v>
      </c>
      <c r="EL39" s="1139">
        <v>142</v>
      </c>
      <c r="EM39" s="1139">
        <v>143</v>
      </c>
      <c r="EN39" s="1139">
        <v>144</v>
      </c>
      <c r="EO39" s="1139">
        <v>145</v>
      </c>
      <c r="EP39" s="1139">
        <v>146</v>
      </c>
      <c r="EQ39" s="1139">
        <v>147</v>
      </c>
      <c r="ER39" s="1139">
        <v>148</v>
      </c>
      <c r="ES39" s="1139">
        <v>149</v>
      </c>
      <c r="ET39" s="1139">
        <v>150</v>
      </c>
      <c r="EU39" s="1139">
        <v>151</v>
      </c>
      <c r="EV39" s="1139">
        <v>152</v>
      </c>
      <c r="EW39" s="1139">
        <v>153</v>
      </c>
      <c r="EX39" s="1139">
        <v>154</v>
      </c>
      <c r="EY39" s="1139">
        <v>155</v>
      </c>
      <c r="EZ39" s="1139">
        <v>156</v>
      </c>
      <c r="FA39" s="1139">
        <v>157</v>
      </c>
      <c r="FB39" s="1139">
        <v>158</v>
      </c>
      <c r="FC39" s="1139">
        <v>159</v>
      </c>
      <c r="FD39" s="1139">
        <v>160</v>
      </c>
      <c r="FE39" s="1139">
        <v>161</v>
      </c>
      <c r="FF39" s="1139">
        <v>162</v>
      </c>
      <c r="FG39" s="1139">
        <v>163</v>
      </c>
      <c r="FH39" s="1139">
        <v>164</v>
      </c>
      <c r="FI39" s="1139">
        <v>165</v>
      </c>
      <c r="FJ39" s="1139">
        <v>166</v>
      </c>
      <c r="FK39" s="1139">
        <v>167</v>
      </c>
      <c r="FL39" s="1139">
        <v>168</v>
      </c>
      <c r="FM39" s="1139">
        <v>169</v>
      </c>
      <c r="FN39" s="1139">
        <v>170</v>
      </c>
      <c r="FO39" s="1139">
        <v>171</v>
      </c>
      <c r="FP39" s="1139">
        <v>172</v>
      </c>
      <c r="FQ39" s="1139">
        <v>173</v>
      </c>
      <c r="FR39" s="1139">
        <v>174</v>
      </c>
      <c r="FS39" s="1139">
        <v>175</v>
      </c>
      <c r="FT39" s="1139">
        <v>176</v>
      </c>
      <c r="FU39" s="1139">
        <v>177</v>
      </c>
      <c r="FV39" s="1139">
        <v>178</v>
      </c>
      <c r="FW39" s="1139">
        <v>179</v>
      </c>
      <c r="FX39" s="1139">
        <v>180</v>
      </c>
      <c r="FY39" s="1139">
        <v>181</v>
      </c>
      <c r="FZ39" s="1139">
        <v>182</v>
      </c>
      <c r="GA39" s="1139">
        <v>183</v>
      </c>
      <c r="GB39" s="1139">
        <v>184</v>
      </c>
      <c r="GC39" s="1139">
        <v>185</v>
      </c>
      <c r="GD39" s="1139">
        <v>186</v>
      </c>
      <c r="GE39" s="1139">
        <v>187</v>
      </c>
      <c r="GF39" s="1139">
        <v>188</v>
      </c>
      <c r="GG39" s="1139">
        <v>189</v>
      </c>
      <c r="GH39" s="1139">
        <v>190</v>
      </c>
      <c r="GI39" s="1139">
        <v>191</v>
      </c>
      <c r="GJ39" s="1139">
        <v>192</v>
      </c>
      <c r="GK39" s="1139">
        <v>193</v>
      </c>
      <c r="GL39" s="1139">
        <v>194</v>
      </c>
      <c r="GM39" s="1139">
        <v>195</v>
      </c>
      <c r="GN39" s="1139">
        <v>196</v>
      </c>
      <c r="GO39" s="1139">
        <v>197</v>
      </c>
      <c r="GP39" s="1139">
        <v>198</v>
      </c>
      <c r="GQ39" s="1139">
        <v>199</v>
      </c>
      <c r="GR39" s="1139">
        <v>200</v>
      </c>
      <c r="GS39" s="1139">
        <v>201</v>
      </c>
      <c r="GT39" s="1139">
        <v>202</v>
      </c>
      <c r="GU39" s="1139">
        <v>203</v>
      </c>
      <c r="GV39" s="1139">
        <v>204</v>
      </c>
      <c r="GW39" s="1139">
        <v>205</v>
      </c>
      <c r="GX39" s="1139">
        <v>206</v>
      </c>
      <c r="GY39" s="1139">
        <v>207</v>
      </c>
      <c r="GZ39" s="1139">
        <v>208</v>
      </c>
      <c r="HA39" s="1139">
        <v>209</v>
      </c>
      <c r="HB39" s="1139">
        <v>210</v>
      </c>
      <c r="HC39" s="1139">
        <v>211</v>
      </c>
      <c r="HD39" s="1139">
        <v>212</v>
      </c>
      <c r="HE39" s="1139">
        <v>213</v>
      </c>
      <c r="HF39" s="1139">
        <v>214</v>
      </c>
      <c r="HG39" s="1139">
        <v>215</v>
      </c>
      <c r="HH39" s="1139">
        <v>216</v>
      </c>
      <c r="HI39" s="1139">
        <v>217</v>
      </c>
      <c r="HJ39" s="1139">
        <v>218</v>
      </c>
      <c r="HK39" s="1139">
        <v>219</v>
      </c>
      <c r="HL39" s="1139">
        <v>220</v>
      </c>
      <c r="HM39" s="1139">
        <v>221</v>
      </c>
      <c r="HN39" s="1139">
        <v>222</v>
      </c>
      <c r="HO39" s="1139">
        <v>223</v>
      </c>
      <c r="HP39" s="1139">
        <v>224</v>
      </c>
      <c r="HQ39" s="1139">
        <v>225</v>
      </c>
      <c r="HR39" s="1139">
        <v>226</v>
      </c>
      <c r="HS39" s="1139">
        <v>227</v>
      </c>
      <c r="HT39" s="1139">
        <v>228</v>
      </c>
      <c r="HU39" s="1139">
        <v>229</v>
      </c>
      <c r="HV39" s="1139">
        <v>230</v>
      </c>
      <c r="HW39" s="1139">
        <v>231</v>
      </c>
      <c r="HX39" s="1139">
        <v>232</v>
      </c>
      <c r="HY39" s="1139">
        <v>233</v>
      </c>
      <c r="HZ39" s="1139">
        <v>234</v>
      </c>
      <c r="IA39" s="1139">
        <v>235</v>
      </c>
      <c r="IB39" s="1139">
        <v>236</v>
      </c>
      <c r="IC39" s="1139">
        <v>237</v>
      </c>
      <c r="ID39" s="1139">
        <v>238</v>
      </c>
      <c r="IE39" s="1139">
        <v>239</v>
      </c>
      <c r="IF39" s="1139">
        <v>240</v>
      </c>
      <c r="IG39" s="1139">
        <v>241</v>
      </c>
      <c r="IH39" s="1139">
        <v>242</v>
      </c>
      <c r="II39" s="1139">
        <v>243</v>
      </c>
      <c r="IJ39" s="1139">
        <v>244</v>
      </c>
      <c r="IK39" s="1139">
        <v>245</v>
      </c>
      <c r="IL39" s="1139">
        <v>246</v>
      </c>
      <c r="IM39" s="1139">
        <v>247</v>
      </c>
      <c r="IN39" s="1139">
        <v>248</v>
      </c>
      <c r="IO39" s="1139">
        <v>249</v>
      </c>
      <c r="IP39" s="1139">
        <v>250</v>
      </c>
      <c r="IQ39" s="1139">
        <v>251</v>
      </c>
      <c r="IR39" s="1139">
        <v>252</v>
      </c>
      <c r="IS39" s="1139">
        <v>253</v>
      </c>
      <c r="IT39" s="1139">
        <v>254</v>
      </c>
      <c r="IU39" s="1139">
        <v>255</v>
      </c>
      <c r="IV39" s="1139">
        <v>256</v>
      </c>
      <c r="IW39" s="1139">
        <v>257</v>
      </c>
      <c r="IX39" s="1139">
        <v>258</v>
      </c>
      <c r="IY39" s="1139">
        <v>259</v>
      </c>
      <c r="IZ39" s="1139">
        <v>260</v>
      </c>
      <c r="JA39" s="1139">
        <v>261</v>
      </c>
      <c r="JB39" s="1139">
        <v>262</v>
      </c>
      <c r="JC39" s="1139">
        <v>263</v>
      </c>
      <c r="JD39" s="1139">
        <v>264</v>
      </c>
      <c r="JE39" s="1139">
        <v>265</v>
      </c>
      <c r="JF39" s="1139">
        <v>266</v>
      </c>
      <c r="JG39" s="1139">
        <v>267</v>
      </c>
      <c r="JH39" s="1139">
        <v>268</v>
      </c>
      <c r="JI39" s="1139">
        <v>269</v>
      </c>
      <c r="JJ39" s="1139">
        <v>270</v>
      </c>
      <c r="JK39" s="1139">
        <v>271</v>
      </c>
      <c r="JL39" s="1139">
        <v>272</v>
      </c>
      <c r="JM39" s="1139">
        <v>273</v>
      </c>
      <c r="JN39" s="1139">
        <v>274</v>
      </c>
      <c r="JO39" s="1139">
        <v>275</v>
      </c>
      <c r="JP39" s="1139">
        <v>276</v>
      </c>
      <c r="JQ39" s="1139"/>
      <c r="JR39" s="1139"/>
      <c r="JS39" s="1139"/>
      <c r="JT39" s="1139"/>
      <c r="JU39" s="1139"/>
      <c r="JV39" s="1140"/>
      <c r="JW39" s="1140"/>
      <c r="JX39" s="1139"/>
      <c r="JY39" s="1139"/>
      <c r="JZ39" s="1139"/>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77">
        <v>500</v>
      </c>
      <c r="C44" s="1278">
        <v>-195.75</v>
      </c>
      <c r="D44" s="994">
        <v>-224.34</v>
      </c>
      <c r="E44" s="995">
        <v>2900</v>
      </c>
      <c r="F44" s="1282">
        <v>762178</v>
      </c>
    </row>
    <row r="45" spans="1:289" x14ac:dyDescent="0.3">
      <c r="A45">
        <v>42</v>
      </c>
      <c r="B45" s="1279">
        <v>300</v>
      </c>
      <c r="C45" s="1280">
        <v>-196.66</v>
      </c>
      <c r="D45" s="992">
        <v>237.8</v>
      </c>
      <c r="E45" s="993"/>
      <c r="F45" s="1281"/>
    </row>
    <row r="46" spans="1:289" x14ac:dyDescent="0.3">
      <c r="A46">
        <v>43</v>
      </c>
      <c r="B46" s="1277">
        <v>500</v>
      </c>
      <c r="C46" s="1278">
        <v>-197.42</v>
      </c>
      <c r="D46" s="994">
        <v>-220.36</v>
      </c>
      <c r="E46" s="995">
        <v>500</v>
      </c>
      <c r="F46" s="1282">
        <v>131410</v>
      </c>
    </row>
    <row r="47" spans="1:289" x14ac:dyDescent="0.3">
      <c r="A47">
        <v>44</v>
      </c>
      <c r="B47" s="1279">
        <v>300</v>
      </c>
      <c r="C47" s="1280">
        <v>-200.7</v>
      </c>
      <c r="D47" s="992">
        <v>-233.95</v>
      </c>
      <c r="E47" s="993">
        <v>200</v>
      </c>
      <c r="F47" s="1281">
        <v>52564</v>
      </c>
    </row>
    <row r="48" spans="1:289" x14ac:dyDescent="0.3">
      <c r="A48">
        <v>45</v>
      </c>
      <c r="B48" s="1277">
        <v>3000</v>
      </c>
      <c r="C48" s="1278">
        <v>-201.75086999999999</v>
      </c>
      <c r="D48" s="994">
        <v>-230.7</v>
      </c>
      <c r="E48" s="995">
        <v>300</v>
      </c>
      <c r="F48" s="1282">
        <v>78846</v>
      </c>
    </row>
    <row r="49" spans="1:6" x14ac:dyDescent="0.3">
      <c r="A49">
        <v>46</v>
      </c>
      <c r="B49" s="1279">
        <v>1000</v>
      </c>
      <c r="C49" s="1280">
        <v>-206.73</v>
      </c>
      <c r="D49" s="992">
        <v>244.12</v>
      </c>
      <c r="E49" s="993"/>
      <c r="F49" s="1281"/>
    </row>
    <row r="50" spans="1:6" x14ac:dyDescent="0.3">
      <c r="A50">
        <v>47</v>
      </c>
      <c r="B50" s="1277">
        <v>500</v>
      </c>
      <c r="C50" s="1278">
        <v>-220.36</v>
      </c>
      <c r="D50" s="994">
        <v>-240.34</v>
      </c>
      <c r="E50" s="995">
        <v>300</v>
      </c>
      <c r="F50" s="1282">
        <v>78846</v>
      </c>
    </row>
    <row r="51" spans="1:6" x14ac:dyDescent="0.3">
      <c r="A51">
        <v>48</v>
      </c>
      <c r="B51" s="1279">
        <v>2900</v>
      </c>
      <c r="C51" s="1280">
        <v>-224.34</v>
      </c>
      <c r="D51" s="992">
        <v>-197.42</v>
      </c>
      <c r="E51" s="993">
        <v>500</v>
      </c>
      <c r="F51" s="1281">
        <v>131410</v>
      </c>
    </row>
    <row r="52" spans="1:6" x14ac:dyDescent="0.3">
      <c r="A52">
        <v>49</v>
      </c>
      <c r="B52" s="1277">
        <v>300</v>
      </c>
      <c r="C52" s="1278">
        <v>-230.7</v>
      </c>
      <c r="D52" s="994">
        <v>-206.73</v>
      </c>
      <c r="E52" s="995">
        <v>1000</v>
      </c>
      <c r="F52" s="1282">
        <v>262820</v>
      </c>
    </row>
    <row r="53" spans="1:6" x14ac:dyDescent="0.3">
      <c r="A53">
        <v>50</v>
      </c>
      <c r="B53" s="1279">
        <v>200</v>
      </c>
      <c r="C53" s="1280">
        <v>-233.95</v>
      </c>
      <c r="D53" s="992">
        <v>-201.75086999999999</v>
      </c>
      <c r="E53" s="993">
        <v>3000</v>
      </c>
      <c r="F53" s="1281">
        <v>788460</v>
      </c>
    </row>
    <row r="54" spans="1:6" x14ac:dyDescent="0.3">
      <c r="B54" s="1277">
        <v>300</v>
      </c>
      <c r="C54" s="1278">
        <v>-240.34</v>
      </c>
      <c r="D54" s="994">
        <v>-195.75</v>
      </c>
      <c r="E54" s="995">
        <v>500</v>
      </c>
      <c r="F54" s="1282">
        <v>131410</v>
      </c>
    </row>
    <row r="55" spans="1:6" x14ac:dyDescent="0.3">
      <c r="B55" s="1279">
        <v>200</v>
      </c>
      <c r="C55" s="1280">
        <v>-248.52</v>
      </c>
      <c r="D55" s="992">
        <v>-196.66</v>
      </c>
      <c r="E55" s="993">
        <v>300</v>
      </c>
      <c r="F55" s="1281">
        <v>78846</v>
      </c>
    </row>
    <row r="56" spans="1:6" x14ac:dyDescent="0.3">
      <c r="B56" s="82">
        <f>SUM(B44:B55)</f>
        <v>10000</v>
      </c>
      <c r="D56" s="994">
        <v>-200.7</v>
      </c>
      <c r="E56" s="995">
        <v>300</v>
      </c>
      <c r="F56" s="1282">
        <v>78846</v>
      </c>
    </row>
    <row r="57" spans="1:6" x14ac:dyDescent="0.3">
      <c r="D57" s="992">
        <v>230.35</v>
      </c>
      <c r="E57" s="993"/>
      <c r="F57" s="1281">
        <f>SUM(F39:F56)</f>
        <v>2575642</v>
      </c>
    </row>
    <row r="58" spans="1:6" x14ac:dyDescent="0.3">
      <c r="D58" s="994">
        <v>245.49494999999999</v>
      </c>
      <c r="E58" s="995"/>
      <c r="F58" s="1281"/>
    </row>
    <row r="59" spans="1:6" x14ac:dyDescent="0.3">
      <c r="D59" s="992">
        <v>253.62</v>
      </c>
      <c r="E59" s="993"/>
      <c r="F59" s="1282"/>
    </row>
    <row r="60" spans="1:6" x14ac:dyDescent="0.3">
      <c r="D60" s="994">
        <v>-248.52</v>
      </c>
      <c r="E60" s="995">
        <v>200</v>
      </c>
      <c r="F60" s="1281"/>
    </row>
    <row r="61" spans="1:6" x14ac:dyDescent="0.3">
      <c r="D61" s="992">
        <v>263.58</v>
      </c>
      <c r="E61" s="993"/>
      <c r="F61" s="1282"/>
    </row>
    <row r="62" spans="1:6" x14ac:dyDescent="0.3">
      <c r="D62" s="1275"/>
      <c r="E62" s="1276">
        <f>SUBTOTAL(109,TabFIFO[Remaining])</f>
        <v>12000</v>
      </c>
      <c r="F62" s="1281"/>
    </row>
    <row r="63" spans="1:6" x14ac:dyDescent="0.3">
      <c r="F63" s="1282"/>
    </row>
    <row r="64" spans="1:6" x14ac:dyDescent="0.3">
      <c r="F64" s="1281"/>
    </row>
    <row r="65" spans="6:6" x14ac:dyDescent="0.3">
      <c r="F65" s="1282">
        <v>52564</v>
      </c>
    </row>
    <row r="66" spans="6:6" x14ac:dyDescent="0.3">
      <c r="F66" s="1281"/>
    </row>
    <row r="67" spans="6:6" x14ac:dyDescent="0.3">
      <c r="F67" s="1283">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E72" zoomScale="90" zoomScaleNormal="90" workbookViewId="0">
      <selection activeCell="Y98" sqref="Y98"/>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2801</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1036234.65</v>
      </c>
      <c r="E2" s="288" t="s">
        <v>1133</v>
      </c>
      <c r="F2" s="288" t="s">
        <v>1133</v>
      </c>
      <c r="G2" s="288" t="s">
        <v>1132</v>
      </c>
      <c r="H2" s="288" t="s">
        <v>1132</v>
      </c>
      <c r="I2" s="288" t="s">
        <v>1697</v>
      </c>
      <c r="J2" s="563">
        <v>0.84770000000000001</v>
      </c>
      <c r="K2" s="288" t="s">
        <v>1697</v>
      </c>
      <c r="L2" s="563">
        <v>0.79339999999999999</v>
      </c>
      <c r="M2" s="289">
        <v>1036234.65</v>
      </c>
      <c r="N2" s="289">
        <v>0</v>
      </c>
      <c r="O2" s="288" t="s">
        <v>1697</v>
      </c>
      <c r="P2" s="288" t="s">
        <v>1697</v>
      </c>
      <c r="Q2" s="289">
        <v>1306068.3799999999</v>
      </c>
      <c r="R2" s="291">
        <v>3.5860458796489865E-2</v>
      </c>
    </row>
    <row r="3" spans="2:25" x14ac:dyDescent="0.3">
      <c r="B3" s="288" t="s">
        <v>1138</v>
      </c>
      <c r="C3" s="288" t="s">
        <v>1139</v>
      </c>
      <c r="D3" s="289">
        <v>1405499.43</v>
      </c>
      <c r="E3" s="288" t="s">
        <v>1140</v>
      </c>
      <c r="F3" s="288" t="s">
        <v>1140</v>
      </c>
      <c r="G3" s="288" t="s">
        <v>1132</v>
      </c>
      <c r="H3" s="288" t="s">
        <v>1132</v>
      </c>
      <c r="I3" s="288" t="s">
        <v>1697</v>
      </c>
      <c r="J3" s="563">
        <v>1.3250999999999999</v>
      </c>
      <c r="K3" s="288" t="s">
        <v>1697</v>
      </c>
      <c r="L3" s="563">
        <v>1.3141</v>
      </c>
      <c r="M3" s="289">
        <v>1405499.43</v>
      </c>
      <c r="N3" s="289">
        <v>0</v>
      </c>
      <c r="O3" s="288" t="s">
        <v>1697</v>
      </c>
      <c r="P3" s="288" t="s">
        <v>1697</v>
      </c>
      <c r="Q3" s="289">
        <v>1846901.36</v>
      </c>
      <c r="R3" s="291">
        <v>5.0710001969009537E-2</v>
      </c>
    </row>
    <row r="4" spans="2:25" x14ac:dyDescent="0.3">
      <c r="B4" s="288" t="s">
        <v>1141</v>
      </c>
      <c r="C4" s="288" t="s">
        <v>1142</v>
      </c>
      <c r="D4" s="289">
        <v>1985797.5</v>
      </c>
      <c r="E4" s="288" t="s">
        <v>1131</v>
      </c>
      <c r="F4" s="288" t="s">
        <v>1131</v>
      </c>
      <c r="G4" s="288" t="s">
        <v>1132</v>
      </c>
      <c r="H4" s="288" t="s">
        <v>1132</v>
      </c>
      <c r="I4" s="288" t="s">
        <v>1697</v>
      </c>
      <c r="J4" s="288" t="s">
        <v>1697</v>
      </c>
      <c r="K4" s="288" t="s">
        <v>1697</v>
      </c>
      <c r="L4" s="288" t="s">
        <v>1697</v>
      </c>
      <c r="M4" s="289">
        <v>1984335.94</v>
      </c>
      <c r="N4" s="289">
        <v>-1461.56</v>
      </c>
      <c r="O4" s="288" t="s">
        <v>1697</v>
      </c>
      <c r="P4" s="288" t="s">
        <v>1697</v>
      </c>
      <c r="Q4" s="289">
        <v>1984335.94</v>
      </c>
      <c r="R4" s="291">
        <v>5.4483515797820632E-2</v>
      </c>
    </row>
    <row r="5" spans="2:25" x14ac:dyDescent="0.3">
      <c r="B5" s="288" t="s">
        <v>1143</v>
      </c>
      <c r="C5" s="288" t="s">
        <v>1144</v>
      </c>
      <c r="D5" s="289">
        <v>0</v>
      </c>
      <c r="E5" s="288" t="s">
        <v>1145</v>
      </c>
      <c r="F5" s="288" t="s">
        <v>1145</v>
      </c>
      <c r="G5" s="288" t="s">
        <v>1132</v>
      </c>
      <c r="H5" s="288" t="s">
        <v>1132</v>
      </c>
      <c r="I5" s="288" t="s">
        <v>1697</v>
      </c>
      <c r="J5" s="288" t="s">
        <v>1132</v>
      </c>
      <c r="K5" s="288" t="s">
        <v>1697</v>
      </c>
      <c r="L5" s="563">
        <v>0.65469999999999995</v>
      </c>
      <c r="M5" s="289">
        <v>0</v>
      </c>
      <c r="N5" s="289">
        <v>0</v>
      </c>
      <c r="O5" s="288" t="s">
        <v>1697</v>
      </c>
      <c r="P5" s="288" t="s">
        <v>1697</v>
      </c>
      <c r="Q5" s="289">
        <v>0</v>
      </c>
      <c r="R5" s="291">
        <v>0</v>
      </c>
    </row>
    <row r="6" spans="2:25" x14ac:dyDescent="0.3">
      <c r="B6" s="288" t="s">
        <v>1146</v>
      </c>
      <c r="C6" s="288" t="s">
        <v>1147</v>
      </c>
      <c r="D6" s="289">
        <v>2045348.54</v>
      </c>
      <c r="E6" s="288" t="s">
        <v>1134</v>
      </c>
      <c r="F6" s="288" t="s">
        <v>1134</v>
      </c>
      <c r="G6" s="288" t="s">
        <v>1132</v>
      </c>
      <c r="H6" s="288" t="s">
        <v>1132</v>
      </c>
      <c r="I6" s="288" t="s">
        <v>1697</v>
      </c>
      <c r="J6" s="563">
        <v>1.1657</v>
      </c>
      <c r="K6" s="288" t="s">
        <v>1697</v>
      </c>
      <c r="L6" s="563">
        <v>1.1613</v>
      </c>
      <c r="M6" s="289">
        <v>2045348.54</v>
      </c>
      <c r="N6" s="289">
        <v>0</v>
      </c>
      <c r="O6" s="288" t="s">
        <v>1697</v>
      </c>
      <c r="P6" s="288" t="s">
        <v>1697</v>
      </c>
      <c r="Q6" s="289">
        <v>2375275.06</v>
      </c>
      <c r="R6" s="291">
        <v>6.5217453177650625E-2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154.43610000000001</v>
      </c>
      <c r="M7" s="289">
        <v>-4362</v>
      </c>
      <c r="N7" s="289">
        <v>-4362</v>
      </c>
      <c r="O7" s="288" t="s">
        <v>1697</v>
      </c>
      <c r="P7" s="288" t="s">
        <v>1697</v>
      </c>
      <c r="Q7" s="289">
        <v>-28.24</v>
      </c>
      <c r="R7" s="291">
        <v>-7.7538004282201047E-7</v>
      </c>
    </row>
    <row r="8" spans="2:25" x14ac:dyDescent="0.3">
      <c r="B8" s="288" t="s">
        <v>2725</v>
      </c>
      <c r="C8" s="288" t="s">
        <v>1697</v>
      </c>
      <c r="D8" s="289">
        <v>300000</v>
      </c>
      <c r="E8" s="288" t="s">
        <v>1131</v>
      </c>
      <c r="F8" s="288" t="s">
        <v>1131</v>
      </c>
      <c r="G8" s="288" t="s">
        <v>1132</v>
      </c>
      <c r="H8" s="288" t="s">
        <v>1132</v>
      </c>
      <c r="I8" s="292">
        <v>1</v>
      </c>
      <c r="J8" s="288" t="s">
        <v>1697</v>
      </c>
      <c r="K8" s="288" t="s">
        <v>1132</v>
      </c>
      <c r="L8" s="288" t="s">
        <v>1697</v>
      </c>
      <c r="M8" s="289">
        <v>301396.65999999997</v>
      </c>
      <c r="N8" s="289">
        <v>1396.66</v>
      </c>
      <c r="O8" s="291">
        <v>0</v>
      </c>
      <c r="P8" s="289">
        <v>0</v>
      </c>
      <c r="Q8" s="289">
        <v>301396.65999999997</v>
      </c>
      <c r="R8" s="291">
        <v>8.2753879297879224E-3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2.16</v>
      </c>
      <c r="L9" s="288" t="s">
        <v>1697</v>
      </c>
      <c r="M9" s="289">
        <v>183600</v>
      </c>
      <c r="N9" s="289">
        <v>0</v>
      </c>
      <c r="O9" s="291">
        <v>-0.51083762422786083</v>
      </c>
      <c r="P9" s="289">
        <v>-191735.49</v>
      </c>
      <c r="Q9" s="289">
        <v>183600</v>
      </c>
      <c r="R9" s="291">
        <v>5.041068550358397E-3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12.86</v>
      </c>
      <c r="L10" s="288" t="s">
        <v>1697</v>
      </c>
      <c r="M10" s="289">
        <v>64300</v>
      </c>
      <c r="N10" s="289">
        <v>0</v>
      </c>
      <c r="O10" s="291">
        <v>-1.755970693026828E-2</v>
      </c>
      <c r="P10" s="289">
        <v>-1149.27</v>
      </c>
      <c r="Q10" s="289">
        <v>64300</v>
      </c>
      <c r="R10" s="291">
        <v>1.7654722646407676E-3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0.45200000000000001</v>
      </c>
      <c r="L11" s="563">
        <v>1.3141</v>
      </c>
      <c r="M11" s="289">
        <v>370640</v>
      </c>
      <c r="N11" s="289">
        <v>0</v>
      </c>
      <c r="O11" s="291">
        <v>-5.7412768967346269E-2</v>
      </c>
      <c r="P11" s="289">
        <v>-29665.54</v>
      </c>
      <c r="Q11" s="289">
        <v>487040.77</v>
      </c>
      <c r="R11" s="291">
        <v>1.3372581200377655E-2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234.69</v>
      </c>
      <c r="L12" s="288" t="s">
        <v>1697</v>
      </c>
      <c r="M12" s="289">
        <v>2816280</v>
      </c>
      <c r="N12" s="289">
        <v>0</v>
      </c>
      <c r="O12" s="291">
        <v>0.19277705870269649</v>
      </c>
      <c r="P12" s="289">
        <v>455168.19</v>
      </c>
      <c r="Q12" s="289">
        <v>2816280</v>
      </c>
      <c r="R12" s="291">
        <v>7.7326037783242624E-2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272.41000000000003</v>
      </c>
      <c r="L13" s="288" t="s">
        <v>1697</v>
      </c>
      <c r="M13" s="289">
        <v>2587895</v>
      </c>
      <c r="N13" s="289">
        <v>0</v>
      </c>
      <c r="O13" s="291">
        <v>0.38481836728084673</v>
      </c>
      <c r="P13" s="289">
        <v>719133.68</v>
      </c>
      <c r="Q13" s="289">
        <v>2587895</v>
      </c>
      <c r="R13" s="291">
        <v>7.1055316427721921E-2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3500</v>
      </c>
      <c r="E14" s="288" t="s">
        <v>1134</v>
      </c>
      <c r="F14" s="288" t="s">
        <v>1134</v>
      </c>
      <c r="G14" s="288" t="s">
        <v>1132</v>
      </c>
      <c r="H14" s="288" t="s">
        <v>1132</v>
      </c>
      <c r="I14" s="289">
        <v>708.40494857142858</v>
      </c>
      <c r="J14" s="563">
        <v>1.1071</v>
      </c>
      <c r="K14" s="289">
        <v>874.1</v>
      </c>
      <c r="L14" s="563">
        <v>1.1613</v>
      </c>
      <c r="M14" s="289">
        <v>3059350</v>
      </c>
      <c r="N14" s="289">
        <v>0</v>
      </c>
      <c r="O14" s="291">
        <v>0.29427702141914613</v>
      </c>
      <c r="P14" s="289">
        <v>807801.88</v>
      </c>
      <c r="Q14" s="289">
        <v>3552840.81</v>
      </c>
      <c r="R14" s="291">
        <v>9.7549640913512287E-2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89.1</v>
      </c>
      <c r="L15" s="288" t="s">
        <v>1697</v>
      </c>
      <c r="M15" s="289">
        <v>44550</v>
      </c>
      <c r="N15" s="289">
        <v>0</v>
      </c>
      <c r="O15" s="291">
        <v>0.25316032688497253</v>
      </c>
      <c r="P15" s="289">
        <v>8999.8799999999992</v>
      </c>
      <c r="Q15" s="289">
        <v>44550</v>
      </c>
      <c r="R15" s="291">
        <v>1.2232004570722581E-3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3.03</v>
      </c>
      <c r="L16" s="288" t="s">
        <v>1697</v>
      </c>
      <c r="M16" s="289">
        <v>60600</v>
      </c>
      <c r="N16" s="289">
        <v>0</v>
      </c>
      <c r="O16" s="291">
        <v>0.58665159958569024</v>
      </c>
      <c r="P16" s="289">
        <v>22406.36</v>
      </c>
      <c r="Q16" s="289">
        <v>60600</v>
      </c>
      <c r="R16" s="291">
        <v>1.6638821032228695E-3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2.41</v>
      </c>
      <c r="L17" s="288" t="s">
        <v>1697</v>
      </c>
      <c r="M17" s="289">
        <v>30125</v>
      </c>
      <c r="N17" s="289">
        <v>0</v>
      </c>
      <c r="O17" s="291">
        <v>-0.8105288832286206</v>
      </c>
      <c r="P17" s="289">
        <v>-128870.21</v>
      </c>
      <c r="Q17" s="289">
        <v>30125</v>
      </c>
      <c r="R17" s="291">
        <v>8.2713611154437206E-4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1697</v>
      </c>
      <c r="K18" s="289">
        <v>342.46</v>
      </c>
      <c r="L18" s="288" t="s">
        <v>1697</v>
      </c>
      <c r="M18" s="289">
        <v>68492</v>
      </c>
      <c r="N18" s="289">
        <v>0</v>
      </c>
      <c r="O18" s="291">
        <v>0.24457094719459113</v>
      </c>
      <c r="P18" s="289">
        <v>13459.38</v>
      </c>
      <c r="Q18" s="289">
        <v>68492</v>
      </c>
      <c r="R18" s="291">
        <v>1.8805711718472076E-3</v>
      </c>
      <c r="S18" t="s">
        <v>32</v>
      </c>
      <c r="T18" s="288" t="s">
        <v>1161</v>
      </c>
      <c r="V18" s="565" t="str">
        <f ca="1">IFERROR(IF(D14=_xlfn.XLOOKUP(S18,Calc!H$3:H$56,Calc!G$3:G$56),"","Stock "&amp;TEXT(_xlfn.XLOOKUP(S18,Calc!H$3:H$56,Calc!G$3:G$56),"#,#0")),"!")</f>
        <v/>
      </c>
      <c r="W18" s="87">
        <f ca="1">IFERROR(_xlfn.XLOOKUP(S18,Calc!H$3:H$56,Calc!G$3:G$56),"")</f>
        <v>3500</v>
      </c>
      <c r="X18" s="87">
        <f t="shared" si="0"/>
        <v>3500</v>
      </c>
      <c r="Y18" s="164" t="str">
        <f t="shared" ca="1" si="1"/>
        <v/>
      </c>
    </row>
    <row r="19" spans="2:25" x14ac:dyDescent="0.3">
      <c r="B19" s="288" t="s">
        <v>1170</v>
      </c>
      <c r="C19" s="288" t="s">
        <v>1171</v>
      </c>
      <c r="D19" s="292">
        <v>1000</v>
      </c>
      <c r="E19" s="288" t="s">
        <v>1131</v>
      </c>
      <c r="F19" s="288" t="s">
        <v>1131</v>
      </c>
      <c r="G19" s="288" t="s">
        <v>1132</v>
      </c>
      <c r="H19" s="288" t="s">
        <v>1132</v>
      </c>
      <c r="I19" s="289">
        <v>63.14284</v>
      </c>
      <c r="J19" s="288" t="s">
        <v>1697</v>
      </c>
      <c r="K19" s="289">
        <v>78</v>
      </c>
      <c r="L19" s="288" t="s">
        <v>1697</v>
      </c>
      <c r="M19" s="289">
        <v>78000</v>
      </c>
      <c r="N19" s="289">
        <v>0</v>
      </c>
      <c r="O19" s="291">
        <v>0.23529445302111845</v>
      </c>
      <c r="P19" s="289">
        <v>14857.16</v>
      </c>
      <c r="Q19" s="289">
        <v>78000</v>
      </c>
      <c r="R19" s="291">
        <v>2.1416304298908224E-3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100.3</v>
      </c>
      <c r="L20" s="288" t="s">
        <v>1697</v>
      </c>
      <c r="M20" s="289">
        <v>10531.5</v>
      </c>
      <c r="N20" s="289">
        <v>0</v>
      </c>
      <c r="O20" s="291">
        <v>8.7266854973808445E-3</v>
      </c>
      <c r="P20" s="289">
        <v>91.11</v>
      </c>
      <c r="Q20" s="289">
        <v>10531.5</v>
      </c>
      <c r="R20" s="291">
        <v>2.8916129323583581E-4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77.81</v>
      </c>
      <c r="L21" s="288" t="s">
        <v>1697</v>
      </c>
      <c r="M21" s="289">
        <v>77.81</v>
      </c>
      <c r="N21" s="289">
        <v>0</v>
      </c>
      <c r="O21" s="291">
        <v>0.38599928749554685</v>
      </c>
      <c r="P21" s="289">
        <v>21.67</v>
      </c>
      <c r="Q21" s="289">
        <v>77.81</v>
      </c>
      <c r="R21" s="291">
        <v>2.1364136378180113E-6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23.99</v>
      </c>
      <c r="L22" s="563">
        <v>1.1613</v>
      </c>
      <c r="M22" s="289">
        <v>95960</v>
      </c>
      <c r="N22" s="289">
        <v>0</v>
      </c>
      <c r="O22" s="291">
        <v>-0.22579880060155413</v>
      </c>
      <c r="P22" s="289">
        <v>-32501.59</v>
      </c>
      <c r="Q22" s="289">
        <v>111438.9</v>
      </c>
      <c r="R22" s="291">
        <v>3.0597556322251324E-3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1697</v>
      </c>
      <c r="K23" s="289">
        <v>121.55</v>
      </c>
      <c r="L23" s="288" t="s">
        <v>1697</v>
      </c>
      <c r="M23" s="289">
        <v>170170</v>
      </c>
      <c r="N23" s="289">
        <v>0</v>
      </c>
      <c r="O23" s="291">
        <v>-1.5869217306336253E-2</v>
      </c>
      <c r="P23" s="289">
        <v>-2744.01</v>
      </c>
      <c r="Q23" s="289">
        <v>170170</v>
      </c>
      <c r="R23" s="291">
        <v>4.6723237212118107E-3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0.66600000000000004</v>
      </c>
      <c r="L24" s="563">
        <v>1.1613</v>
      </c>
      <c r="M24" s="289">
        <v>44588.7</v>
      </c>
      <c r="N24" s="289">
        <v>0</v>
      </c>
      <c r="O24" s="291">
        <v>-0.35984322552976539</v>
      </c>
      <c r="P24" s="289">
        <v>-29107.06</v>
      </c>
      <c r="Q24" s="289">
        <v>51781.11</v>
      </c>
      <c r="R24" s="291">
        <v>1.4217436008913328E-3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12.91</v>
      </c>
      <c r="L25" s="288" t="s">
        <v>1697</v>
      </c>
      <c r="M25" s="289">
        <v>77460</v>
      </c>
      <c r="N25" s="289">
        <v>0</v>
      </c>
      <c r="O25" s="291">
        <v>-0.22856581162226455</v>
      </c>
      <c r="P25" s="289">
        <v>-22950.38</v>
      </c>
      <c r="Q25" s="289">
        <v>77460</v>
      </c>
      <c r="R25" s="291">
        <v>2.1268037576838857E-3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15.25</v>
      </c>
      <c r="L26" s="563">
        <v>1.1613</v>
      </c>
      <c r="M26" s="289">
        <v>228750</v>
      </c>
      <c r="N26" s="289">
        <v>0</v>
      </c>
      <c r="O26" s="291">
        <v>-3.3410609925461091E-2</v>
      </c>
      <c r="P26" s="289">
        <v>-9182.27</v>
      </c>
      <c r="Q26" s="289">
        <v>265648.69</v>
      </c>
      <c r="R26" s="291">
        <v>7.293863053392741E-3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4.6920000000000002</v>
      </c>
      <c r="L27" s="563">
        <v>1.3141</v>
      </c>
      <c r="M27" s="289">
        <v>140760</v>
      </c>
      <c r="N27" s="289">
        <v>0</v>
      </c>
      <c r="O27" s="291">
        <v>-2.6516284862290275E-2</v>
      </c>
      <c r="P27" s="289">
        <v>-5038.21</v>
      </c>
      <c r="Q27" s="289">
        <v>184966.16</v>
      </c>
      <c r="R27" s="291">
        <v>5.0785789327699301E-3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1.3728400191607834E-6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2.3475564327649399E-4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16.474</v>
      </c>
      <c r="L30" s="563">
        <v>1.1613</v>
      </c>
      <c r="M30" s="289">
        <v>247110</v>
      </c>
      <c r="N30" s="289">
        <v>0</v>
      </c>
      <c r="O30" s="291">
        <v>8.8261459490086444E-2</v>
      </c>
      <c r="P30" s="289">
        <v>23274.2</v>
      </c>
      <c r="Q30" s="289">
        <v>286970.27</v>
      </c>
      <c r="R30" s="291">
        <v>7.8792854193075051E-3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1.657292471130898E-4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8.9999999999999993E-3</v>
      </c>
      <c r="L32" s="288" t="s">
        <v>1697</v>
      </c>
      <c r="M32" s="289">
        <v>0.02</v>
      </c>
      <c r="N32" s="289">
        <v>0</v>
      </c>
      <c r="O32" s="291">
        <v>-0.99999946867394574</v>
      </c>
      <c r="P32" s="289">
        <v>-37641.65</v>
      </c>
      <c r="Q32" s="289">
        <v>0.02</v>
      </c>
      <c r="R32" s="291">
        <v>5.4913600766431341E-10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119.29</v>
      </c>
      <c r="L33" s="288" t="s">
        <v>1697</v>
      </c>
      <c r="M33" s="289">
        <v>59645</v>
      </c>
      <c r="N33" s="289">
        <v>0</v>
      </c>
      <c r="O33" s="291">
        <v>5.2609472620506095E-2</v>
      </c>
      <c r="P33" s="289">
        <v>2981.06</v>
      </c>
      <c r="Q33" s="289">
        <v>59645</v>
      </c>
      <c r="R33" s="291">
        <v>1.6376608588568986E-3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30000</v>
      </c>
      <c r="E34" s="288" t="s">
        <v>1131</v>
      </c>
      <c r="F34" s="288" t="s">
        <v>1131</v>
      </c>
      <c r="G34" s="288" t="s">
        <v>1132</v>
      </c>
      <c r="H34" s="288" t="s">
        <v>1132</v>
      </c>
      <c r="I34" s="289">
        <v>9.0654509999999995</v>
      </c>
      <c r="J34" s="288" t="s">
        <v>1697</v>
      </c>
      <c r="K34" s="289">
        <v>2.54</v>
      </c>
      <c r="L34" s="288" t="s">
        <v>1697</v>
      </c>
      <c r="M34" s="289">
        <v>76200</v>
      </c>
      <c r="N34" s="289">
        <v>0</v>
      </c>
      <c r="O34" s="291">
        <v>-0.71981537377456462</v>
      </c>
      <c r="P34" s="289">
        <v>-195763.53</v>
      </c>
      <c r="Q34" s="289">
        <v>76200</v>
      </c>
      <c r="R34" s="291">
        <v>2.0922081892010341E-3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70.52</v>
      </c>
      <c r="L35" s="288" t="s">
        <v>1697</v>
      </c>
      <c r="M35" s="289">
        <v>705.2</v>
      </c>
      <c r="N35" s="289">
        <v>0</v>
      </c>
      <c r="O35" s="291">
        <v>0.50999957175281574</v>
      </c>
      <c r="P35" s="289">
        <v>238.18</v>
      </c>
      <c r="Q35" s="289">
        <v>705.2</v>
      </c>
      <c r="R35" s="291">
        <v>1.9362535630243693E-5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22.83</v>
      </c>
      <c r="L36" s="288" t="s">
        <v>1697</v>
      </c>
      <c r="M36" s="289">
        <v>210036</v>
      </c>
      <c r="N36" s="289">
        <v>0</v>
      </c>
      <c r="O36" s="291">
        <v>0.10308929179993159</v>
      </c>
      <c r="P36" s="289">
        <v>19628.93</v>
      </c>
      <c r="Q36" s="289">
        <v>210036</v>
      </c>
      <c r="R36" s="291">
        <v>5.7669165252890878E-3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24.53</v>
      </c>
      <c r="L37" s="288" t="s">
        <v>1697</v>
      </c>
      <c r="M37" s="289">
        <v>122650</v>
      </c>
      <c r="N37" s="289">
        <v>0</v>
      </c>
      <c r="O37" s="291">
        <v>-5.7094775620845244E-2</v>
      </c>
      <c r="P37" s="289">
        <v>-7426.7</v>
      </c>
      <c r="Q37" s="289">
        <v>122650</v>
      </c>
      <c r="R37" s="291">
        <v>3.3675765670014026E-3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100000</v>
      </c>
      <c r="E38" s="288" t="s">
        <v>1134</v>
      </c>
      <c r="F38" s="288" t="s">
        <v>1140</v>
      </c>
      <c r="G38" s="288" t="s">
        <v>1132</v>
      </c>
      <c r="H38" s="288" t="s">
        <v>1132</v>
      </c>
      <c r="I38" s="289">
        <v>1.854231</v>
      </c>
      <c r="J38" s="564">
        <v>1.3149999999999999</v>
      </c>
      <c r="K38" s="289">
        <v>3.875</v>
      </c>
      <c r="L38" s="563">
        <v>1.3141</v>
      </c>
      <c r="M38" s="289">
        <v>387500</v>
      </c>
      <c r="N38" s="289">
        <v>0</v>
      </c>
      <c r="O38" s="291">
        <v>1.0883271821080529</v>
      </c>
      <c r="P38" s="289">
        <v>265366.24</v>
      </c>
      <c r="Q38" s="289">
        <v>509195.71</v>
      </c>
      <c r="R38" s="291">
        <v>1.3980884965459774E-2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66.709999999999994</v>
      </c>
      <c r="L39" s="288" t="s">
        <v>1697</v>
      </c>
      <c r="M39" s="289">
        <v>400260</v>
      </c>
      <c r="N39" s="289">
        <v>0</v>
      </c>
      <c r="O39" s="291">
        <v>1.4333048524683423E-2</v>
      </c>
      <c r="P39" s="289">
        <v>5655.88</v>
      </c>
      <c r="Q39" s="289">
        <v>400260</v>
      </c>
      <c r="R39" s="291">
        <v>1.0989858921385905E-2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7.99</v>
      </c>
      <c r="L40" s="288" t="s">
        <v>1697</v>
      </c>
      <c r="M40" s="289">
        <v>79.900000000000006</v>
      </c>
      <c r="N40" s="289">
        <v>0</v>
      </c>
      <c r="O40" s="291">
        <v>0.78907299596954772</v>
      </c>
      <c r="P40" s="289">
        <v>35.24</v>
      </c>
      <c r="Q40" s="289">
        <v>79.900000000000006</v>
      </c>
      <c r="R40" s="291">
        <v>2.1937983506189323E-6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1.01</v>
      </c>
      <c r="L41" s="288" t="s">
        <v>1697</v>
      </c>
      <c r="M41" s="289">
        <v>523.17999999999995</v>
      </c>
      <c r="N41" s="289">
        <v>0</v>
      </c>
      <c r="O41" s="291">
        <v>-0.97620398043666823</v>
      </c>
      <c r="P41" s="289">
        <v>-21462.85</v>
      </c>
      <c r="Q41" s="289">
        <v>523.17999999999995</v>
      </c>
      <c r="R41" s="291">
        <v>1.4364848824490774E-5</v>
      </c>
      <c r="S41" t="s">
        <v>22</v>
      </c>
      <c r="T41" s="288" t="s">
        <v>1205</v>
      </c>
      <c r="V41" s="293" t="str">
        <f ca="1">IFERROR(IF(D37=_xlfn.XLOOKUP(S41,Calc!H$3:H$56,Calc!G$3:G$56),"","Stock "&amp;TEXT(_xlfn.XLOOKUP(S41,Calc!H$3:H$56,Calc!G$3:G$56),"#,#0")),"!")</f>
        <v>Stock 100,000</v>
      </c>
      <c r="W41" s="87">
        <f ca="1">IFERROR(_xlfn.XLOOKUP(S41,Calc!H$3:H$56,Calc!G$3:G$56),"")</f>
        <v>100000</v>
      </c>
      <c r="X41" s="87">
        <f t="shared" si="0"/>
        <v>100000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510.18</v>
      </c>
      <c r="L42" s="288" t="s">
        <v>1697</v>
      </c>
      <c r="M42" s="289">
        <v>4999764</v>
      </c>
      <c r="N42" s="289">
        <v>0</v>
      </c>
      <c r="O42" s="291">
        <v>0.70553608247412125</v>
      </c>
      <c r="P42" s="289">
        <v>2068272.81</v>
      </c>
      <c r="Q42" s="289">
        <v>4999764</v>
      </c>
      <c r="R42" s="291">
        <v>0.13727752211118791</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4174</v>
      </c>
      <c r="L43" s="563">
        <v>154.43610000000001</v>
      </c>
      <c r="M43" s="289">
        <v>62610000</v>
      </c>
      <c r="N43" s="289">
        <v>0</v>
      </c>
      <c r="O43" s="291">
        <v>0.9186914992173274</v>
      </c>
      <c r="P43" s="289">
        <v>194115.15</v>
      </c>
      <c r="Q43" s="289">
        <v>405410.4</v>
      </c>
      <c r="R43" s="291">
        <v>1.1131272426079619E-2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24.77</v>
      </c>
      <c r="L44" s="288" t="s">
        <v>1697</v>
      </c>
      <c r="M44" s="289">
        <v>297240</v>
      </c>
      <c r="N44" s="289">
        <v>0</v>
      </c>
      <c r="O44" s="291">
        <v>-0.65289582263205415</v>
      </c>
      <c r="P44" s="289">
        <v>-559102.32999999996</v>
      </c>
      <c r="Q44" s="289">
        <v>297240</v>
      </c>
      <c r="R44" s="291">
        <v>8.1612593459070258E-3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30000</v>
      </c>
      <c r="E45" s="288" t="s">
        <v>1131</v>
      </c>
      <c r="F45" s="288" t="s">
        <v>1131</v>
      </c>
      <c r="G45" s="288" t="s">
        <v>1132</v>
      </c>
      <c r="H45" s="288" t="s">
        <v>1132</v>
      </c>
      <c r="I45" s="289">
        <v>110.23509566666667</v>
      </c>
      <c r="J45" s="288" t="s">
        <v>1697</v>
      </c>
      <c r="K45" s="289">
        <v>111.239</v>
      </c>
      <c r="L45" s="288" t="s">
        <v>1697</v>
      </c>
      <c r="M45" s="289">
        <v>3337170</v>
      </c>
      <c r="N45" s="289">
        <v>0</v>
      </c>
      <c r="O45" s="291">
        <v>9.1069393759042015E-3</v>
      </c>
      <c r="P45" s="289">
        <v>30117.13</v>
      </c>
      <c r="Q45" s="289">
        <v>3337170</v>
      </c>
      <c r="R45" s="291">
        <v>9.1628010534855836E-2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87.8</v>
      </c>
      <c r="L46" s="288" t="s">
        <v>1697</v>
      </c>
      <c r="M46" s="289">
        <v>1756000</v>
      </c>
      <c r="N46" s="289">
        <v>0</v>
      </c>
      <c r="O46" s="291">
        <v>0.47275140675855687</v>
      </c>
      <c r="P46" s="289">
        <v>563673.86</v>
      </c>
      <c r="Q46" s="289">
        <v>1756000</v>
      </c>
      <c r="R46" s="291">
        <v>4.8214141472926714E-2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83.88</v>
      </c>
      <c r="L47" s="288" t="s">
        <v>1697</v>
      </c>
      <c r="M47" s="289">
        <v>83.88</v>
      </c>
      <c r="N47" s="289">
        <v>0</v>
      </c>
      <c r="O47" s="291">
        <v>0.17958093095204614</v>
      </c>
      <c r="P47" s="289">
        <v>12.77</v>
      </c>
      <c r="Q47" s="289">
        <v>83.88</v>
      </c>
      <c r="R47" s="291">
        <v>2.3030764161441303E-6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6.97</v>
      </c>
      <c r="L48" s="288" t="s">
        <v>1697</v>
      </c>
      <c r="M48" s="289">
        <v>13940</v>
      </c>
      <c r="N48" s="289">
        <v>0</v>
      </c>
      <c r="O48" s="291">
        <v>0.30331288297671427</v>
      </c>
      <c r="P48" s="289">
        <v>3244.18</v>
      </c>
      <c r="Q48" s="289">
        <v>13940</v>
      </c>
      <c r="R48" s="291">
        <v>3.8274779734202646E-4</v>
      </c>
      <c r="S48" t="s">
        <v>30</v>
      </c>
      <c r="T48" s="288" t="s">
        <v>1219</v>
      </c>
      <c r="V48" s="293" t="str">
        <f ca="1">IFERROR(IF(D45=_xlfn.XLOOKUP(S48,Calc!H$3:H$56,Calc!G$3:G$56),"","Stock "&amp;TEXT(_xlfn.XLOOKUP(S48,Calc!H$3:H$56,Calc!G$3:G$56),"#,#0")),"!")</f>
        <v/>
      </c>
      <c r="W48" s="87">
        <f ca="1">IFERROR(_xlfn.XLOOKUP(S48,Calc!H$3:H$56,Calc!G$3:G$56),"")</f>
        <v>30000</v>
      </c>
      <c r="X48" s="87">
        <f t="shared" si="3"/>
        <v>30000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1697</v>
      </c>
      <c r="K49" s="289">
        <v>38.51</v>
      </c>
      <c r="L49" s="288" t="s">
        <v>1697</v>
      </c>
      <c r="M49" s="289">
        <v>77020</v>
      </c>
      <c r="N49" s="289">
        <v>0</v>
      </c>
      <c r="O49" s="291">
        <v>0.34574404514375451</v>
      </c>
      <c r="P49" s="289">
        <v>19787.72</v>
      </c>
      <c r="Q49" s="289">
        <v>77020</v>
      </c>
      <c r="R49" s="291">
        <v>2.1147227655152708E-3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1697</v>
      </c>
      <c r="K51" s="289">
        <v>4.4000000000000004</v>
      </c>
      <c r="L51" s="288" t="s">
        <v>1697</v>
      </c>
      <c r="M51" s="289">
        <v>209000</v>
      </c>
      <c r="N51" s="289">
        <v>0</v>
      </c>
      <c r="O51" s="291">
        <v>-6.6674913271101241E-2</v>
      </c>
      <c r="P51" s="289">
        <v>-14930.55</v>
      </c>
      <c r="Q51" s="289">
        <v>209000</v>
      </c>
      <c r="R51" s="291">
        <v>5.7384712800920747E-3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0.71</v>
      </c>
      <c r="L52" s="288" t="s">
        <v>1697</v>
      </c>
      <c r="M52" s="289">
        <v>7100</v>
      </c>
      <c r="N52" s="289">
        <v>0</v>
      </c>
      <c r="O52" s="291">
        <v>-0.34720807328922548</v>
      </c>
      <c r="P52" s="289">
        <v>-3776.36</v>
      </c>
      <c r="Q52" s="289">
        <v>7100</v>
      </c>
      <c r="R52" s="291">
        <v>1.9494328272083125E-4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6.85</v>
      </c>
      <c r="L53" s="288" t="s">
        <v>1697</v>
      </c>
      <c r="M53" s="289">
        <v>27400</v>
      </c>
      <c r="N53" s="289">
        <v>0</v>
      </c>
      <c r="O53" s="291">
        <v>0.17310640717324599</v>
      </c>
      <c r="P53" s="289">
        <v>4043.21</v>
      </c>
      <c r="Q53" s="289">
        <v>27400</v>
      </c>
      <c r="R53" s="291">
        <v>7.5231633050010932E-4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41.94</v>
      </c>
      <c r="L54" s="288" t="s">
        <v>1697</v>
      </c>
      <c r="M54" s="289">
        <v>41940</v>
      </c>
      <c r="N54" s="289">
        <v>0</v>
      </c>
      <c r="O54" s="291">
        <v>0.65606584460937545</v>
      </c>
      <c r="P54" s="289">
        <v>16614.919999999998</v>
      </c>
      <c r="Q54" s="289">
        <v>41940</v>
      </c>
      <c r="R54" s="291">
        <v>1.1515382080720651E-3</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5.4913600766431341E-10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45.69</v>
      </c>
      <c r="L57" s="563">
        <v>1.1613</v>
      </c>
      <c r="M57" s="289">
        <v>2284.5</v>
      </c>
      <c r="N57" s="289">
        <v>0</v>
      </c>
      <c r="O57" s="291">
        <v>0.73939838976161132</v>
      </c>
      <c r="P57" s="289">
        <v>1127.76</v>
      </c>
      <c r="Q57" s="289">
        <v>2653</v>
      </c>
      <c r="R57" s="291">
        <v>7.2842891416671169E-5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211.1</v>
      </c>
      <c r="L58" s="563">
        <v>1.1613</v>
      </c>
      <c r="M58" s="289">
        <v>802180</v>
      </c>
      <c r="N58" s="289">
        <v>0</v>
      </c>
      <c r="O58" s="291">
        <v>-0.12039564698054846</v>
      </c>
      <c r="P58" s="289">
        <v>-127509.29</v>
      </c>
      <c r="Q58" s="289">
        <v>931576.26</v>
      </c>
      <c r="R58" s="291">
        <v>2.5578103412562624E-2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14.99</v>
      </c>
      <c r="L59" s="288" t="s">
        <v>1697</v>
      </c>
      <c r="M59" s="289">
        <v>374750</v>
      </c>
      <c r="N59" s="289">
        <v>0</v>
      </c>
      <c r="O59" s="291">
        <v>-9.4722073879037041E-2</v>
      </c>
      <c r="P59" s="289">
        <v>-39211.269999999997</v>
      </c>
      <c r="Q59" s="289">
        <v>374750</v>
      </c>
      <c r="R59" s="291">
        <v>1.0289435943610072E-2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57.98</v>
      </c>
      <c r="L60" s="563">
        <v>1.1613</v>
      </c>
      <c r="M60" s="289">
        <v>231920</v>
      </c>
      <c r="N60" s="289">
        <v>0</v>
      </c>
      <c r="O60" s="291">
        <v>5.7218796141444261E-2</v>
      </c>
      <c r="P60" s="289">
        <v>14576.68</v>
      </c>
      <c r="Q60" s="289">
        <v>269330.03000000003</v>
      </c>
      <c r="R60" s="291">
        <v>7.3949408709154899E-3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8.9499999999999993</v>
      </c>
      <c r="L61" s="288" t="s">
        <v>1697</v>
      </c>
      <c r="M61" s="289">
        <v>143200</v>
      </c>
      <c r="N61" s="289">
        <v>0</v>
      </c>
      <c r="O61" s="291">
        <v>-0.75200109742978061</v>
      </c>
      <c r="P61" s="289">
        <v>-434221.91</v>
      </c>
      <c r="Q61" s="289">
        <v>143200</v>
      </c>
      <c r="R61" s="291">
        <v>3.9318138148764841E-3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284.82</v>
      </c>
      <c r="L62" s="288" t="s">
        <v>1697</v>
      </c>
      <c r="M62" s="289">
        <v>1281690</v>
      </c>
      <c r="N62" s="289">
        <v>0</v>
      </c>
      <c r="O62" s="291">
        <v>0.39778753492055929</v>
      </c>
      <c r="P62" s="289">
        <v>364748.07</v>
      </c>
      <c r="Q62" s="289">
        <v>1281690</v>
      </c>
      <c r="R62" s="291">
        <v>3.5191106483163689E-2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0.32629999999999998</v>
      </c>
      <c r="L63" s="288" t="s">
        <v>1697</v>
      </c>
      <c r="M63" s="289">
        <v>138.68</v>
      </c>
      <c r="N63" s="289">
        <v>0</v>
      </c>
      <c r="O63" s="291">
        <v>-0.99180770918903538</v>
      </c>
      <c r="P63" s="289">
        <v>-16789.43</v>
      </c>
      <c r="Q63" s="289">
        <v>138.68</v>
      </c>
      <c r="R63" s="291">
        <v>3.8077090771443494E-6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404.35</v>
      </c>
      <c r="L64" s="288" t="s">
        <v>1697</v>
      </c>
      <c r="M64" s="289">
        <v>404.35</v>
      </c>
      <c r="N64" s="289">
        <v>0</v>
      </c>
      <c r="O64" s="291">
        <v>0.23828627426961474</v>
      </c>
      <c r="P64" s="289">
        <v>77.81</v>
      </c>
      <c r="Q64" s="289">
        <v>404.35</v>
      </c>
      <c r="R64" s="291">
        <v>1.1102157234953258E-5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1.9219760268250971E-9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105.8</v>
      </c>
      <c r="L66" s="288" t="s">
        <v>1697</v>
      </c>
      <c r="M66" s="289">
        <v>105800</v>
      </c>
      <c r="N66" s="289">
        <v>0</v>
      </c>
      <c r="O66" s="291">
        <v>-7.6313365841631745E-2</v>
      </c>
      <c r="P66" s="289">
        <v>-8741.01</v>
      </c>
      <c r="Q66" s="289">
        <v>105800</v>
      </c>
      <c r="R66" s="291">
        <v>2.9049294805442178E-3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29.15</v>
      </c>
      <c r="L67" s="563">
        <v>1.1613</v>
      </c>
      <c r="M67" s="289">
        <v>87450</v>
      </c>
      <c r="N67" s="289">
        <v>0</v>
      </c>
      <c r="O67" s="291">
        <v>-0.34401997778265525</v>
      </c>
      <c r="P67" s="289">
        <v>-53259.79</v>
      </c>
      <c r="Q67" s="289">
        <v>101556.19</v>
      </c>
      <c r="R67" s="291">
        <v>2.7884080365099236E-3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6.28</v>
      </c>
      <c r="L68" s="288" t="s">
        <v>1697</v>
      </c>
      <c r="M68" s="289">
        <v>45435.8</v>
      </c>
      <c r="N68" s="289">
        <v>0</v>
      </c>
      <c r="O68" s="291">
        <v>-0.32489111674282156</v>
      </c>
      <c r="P68" s="289">
        <v>-21865.64</v>
      </c>
      <c r="Q68" s="289">
        <v>45435.8</v>
      </c>
      <c r="R68" s="291">
        <v>1.2475216908517106E-3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10.72</v>
      </c>
      <c r="L69" s="288" t="s">
        <v>1697</v>
      </c>
      <c r="M69" s="289">
        <v>53600</v>
      </c>
      <c r="N69" s="289">
        <v>0</v>
      </c>
      <c r="O69" s="291">
        <v>-4.395932118257951E-2</v>
      </c>
      <c r="P69" s="289">
        <v>-2464.56</v>
      </c>
      <c r="Q69" s="289">
        <v>53600</v>
      </c>
      <c r="R69" s="291">
        <v>1.4716845005403598E-3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28.04</v>
      </c>
      <c r="L70" s="288" t="s">
        <v>1697</v>
      </c>
      <c r="M70" s="289">
        <v>84120</v>
      </c>
      <c r="N70" s="289">
        <v>0</v>
      </c>
      <c r="O70" s="291">
        <v>6.2563678663160496E-2</v>
      </c>
      <c r="P70" s="289">
        <v>4952.9799999999996</v>
      </c>
      <c r="Q70" s="289">
        <v>84120</v>
      </c>
      <c r="R70" s="291">
        <v>2.3096660482361023E-3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60</v>
      </c>
      <c r="L71" s="563">
        <v>0.79339999999999999</v>
      </c>
      <c r="M71" s="289">
        <v>1152000</v>
      </c>
      <c r="N71" s="289">
        <v>0</v>
      </c>
      <c r="O71" s="291">
        <v>1.6346278313504995E-2</v>
      </c>
      <c r="P71" s="289">
        <v>23352.720000000001</v>
      </c>
      <c r="Q71" s="289">
        <v>1451978.83</v>
      </c>
      <c r="R71" s="291">
        <v>3.986669289596504E-2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6.19</v>
      </c>
      <c r="L72" s="288" t="s">
        <v>1697</v>
      </c>
      <c r="M72" s="289">
        <v>61900</v>
      </c>
      <c r="N72" s="289">
        <v>0</v>
      </c>
      <c r="O72" s="291">
        <v>-0.25252162253283833</v>
      </c>
      <c r="P72" s="289">
        <v>-20911.759999999998</v>
      </c>
      <c r="Q72" s="289">
        <v>61900</v>
      </c>
      <c r="R72" s="291">
        <v>1.6995759437210501E-3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2622</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2684</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2618</v>
      </c>
      <c r="T86" s="353" t="s">
        <v>2619</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190"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190"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190"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190"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190"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190"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190" t="s">
        <v>1280</v>
      </c>
      <c r="V93" s="293"/>
      <c r="W93" s="87">
        <f ca="1">IFERROR(_xlfn.XLOOKUP(S93,Calc!H$55:H$65,Calc!G$55:G$65),"")</f>
        <v>7000</v>
      </c>
      <c r="X93" s="87">
        <f t="shared" si="7"/>
        <v>3000</v>
      </c>
      <c r="Y93" s="164" t="str">
        <f t="shared" ca="1" si="5"/>
        <v>ERROR</v>
      </c>
      <c r="Z93" t="s">
        <v>2621</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190"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190"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190"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190"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190" t="s">
        <v>1161</v>
      </c>
      <c r="U98" s="195"/>
      <c r="V98" s="629"/>
      <c r="W98" s="87" t="str">
        <f ca="1">IFERROR(_xlfn.XLOOKUP(S98,Calc!H$55:H$65,Calc!G$55:G$65),"")</f>
        <v/>
      </c>
      <c r="X98" s="87">
        <f t="shared" si="7"/>
        <v>200</v>
      </c>
      <c r="Y98" s="164" t="str">
        <f t="shared" ca="1" si="5"/>
        <v/>
      </c>
      <c r="Z98" t="s">
        <v>2620</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AMZN (All Trades Info)</v>
      </c>
      <c r="M1" t="str">
        <f>[0]!ChaRSITicker&amp;" (Last Trades Zoom)"</f>
        <v>AMZN (Last Trades Zoom)</v>
      </c>
      <c r="R1" s="319" t="str">
        <f>IDTICKER</f>
        <v>AMZN</v>
      </c>
      <c r="S1" s="319"/>
      <c r="V1" s="409"/>
      <c r="Z1" t="str">
        <f>[0]!ChaRSITicker&amp;" (2 Week Movement RSI:Agio)"</f>
        <v>AMZN (2 Week Movement RSI:Agio)</v>
      </c>
      <c r="AG1" t="str">
        <f ca="1">A51&amp;" "&amp;TRUNC(B51,2)</f>
        <v>Effective Cost/Share 203.15</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45952</v>
      </c>
      <c r="G32" s="166">
        <f ca="1">DataShift!G3</f>
        <v>45953</v>
      </c>
      <c r="H32" s="166">
        <f ca="1">DataShift!H3</f>
        <v>45954</v>
      </c>
      <c r="I32" s="166">
        <f ca="1">DataShift!I3</f>
        <v>45957</v>
      </c>
      <c r="J32" s="166">
        <f ca="1">DataShift!J3</f>
        <v>45958</v>
      </c>
      <c r="K32" s="166">
        <f ca="1">DataShift!K3</f>
        <v>45959</v>
      </c>
      <c r="L32" s="166">
        <f ca="1">DataShift!L3</f>
        <v>45960</v>
      </c>
      <c r="M32" s="166">
        <f ca="1">DataShift!M3</f>
        <v>45961</v>
      </c>
      <c r="N32" s="166">
        <f ca="1">DataShift!N3</f>
        <v>45964</v>
      </c>
      <c r="O32" s="166">
        <f ca="1">DataShift!O3</f>
        <v>45965</v>
      </c>
      <c r="P32" s="166">
        <f ca="1">DataShift!P3</f>
        <v>45966</v>
      </c>
      <c r="Q32" s="166">
        <f ca="1">DataShift!Q3</f>
        <v>45967</v>
      </c>
      <c r="R32" s="166">
        <f ca="1">DataShift!R3</f>
        <v>45968</v>
      </c>
      <c r="S32" s="166">
        <f ca="1">DataShift!S3</f>
        <v>45971</v>
      </c>
      <c r="T32" s="166">
        <f ca="1">DataShift!T3</f>
        <v>45972</v>
      </c>
      <c r="U32" s="166">
        <f ca="1">DataShift!U3</f>
        <v>45973</v>
      </c>
      <c r="V32" s="166">
        <f ca="1">DataShift!V3</f>
        <v>45974</v>
      </c>
      <c r="W32" s="166">
        <f ca="1">DataShift!W3</f>
        <v>45975</v>
      </c>
      <c r="X32" s="166">
        <f ca="1">DataShift!X3</f>
        <v>45978</v>
      </c>
      <c r="Y32" s="166">
        <f ca="1">DataShift!Y3</f>
        <v>45979</v>
      </c>
      <c r="Z32" s="166">
        <f ca="1">DataShift!Z3</f>
        <v>45980</v>
      </c>
      <c r="AA32" s="62"/>
      <c r="AB32" s="62"/>
    </row>
    <row r="33" spans="1:26" x14ac:dyDescent="0.3">
      <c r="A33" s="485" t="s">
        <v>1393</v>
      </c>
      <c r="B33" s="485"/>
      <c r="C33" s="485"/>
      <c r="D33" s="485"/>
      <c r="E33" s="485"/>
      <c r="F33" s="166">
        <f ca="1">F32</f>
        <v>45952</v>
      </c>
      <c r="G33" s="166"/>
      <c r="H33" s="166"/>
      <c r="I33" s="166"/>
      <c r="J33" s="166"/>
      <c r="K33" s="166"/>
      <c r="L33" s="166"/>
      <c r="M33" s="166"/>
      <c r="N33" s="166"/>
      <c r="O33" s="166"/>
      <c r="P33" s="166">
        <f ca="1">P32</f>
        <v>45966</v>
      </c>
      <c r="Q33" s="166"/>
      <c r="R33" s="166"/>
      <c r="S33" s="166"/>
      <c r="T33" s="166"/>
      <c r="U33" s="166"/>
      <c r="V33" s="166"/>
      <c r="W33" s="166"/>
      <c r="X33" s="166"/>
      <c r="Y33" s="166"/>
      <c r="Z33" s="166">
        <f ca="1">Z32</f>
        <v>45980</v>
      </c>
    </row>
    <row r="34" spans="1:26" x14ac:dyDescent="0.3">
      <c r="A34" s="485"/>
      <c r="B34" s="486" t="s">
        <v>1669</v>
      </c>
      <c r="C34" s="486" t="s">
        <v>1670</v>
      </c>
      <c r="D34" s="486" t="s">
        <v>1671</v>
      </c>
      <c r="E34" s="485"/>
    </row>
    <row r="35" spans="1:26" x14ac:dyDescent="0.3">
      <c r="A35" s="485" t="s">
        <v>662</v>
      </c>
      <c r="B35" s="487">
        <f ca="1">MIN(F35:Z35)</f>
        <v>31</v>
      </c>
      <c r="C35" s="487">
        <f ca="1">MAX(P35:Z35)</f>
        <v>66</v>
      </c>
      <c r="D35" s="485"/>
      <c r="E35" s="485"/>
      <c r="F35" s="94">
        <f ca="1">F57</f>
        <v>49</v>
      </c>
      <c r="G35" s="94">
        <f t="shared" ref="G35:Z35" ca="1" si="0">G57</f>
        <v>45</v>
      </c>
      <c r="H35" s="94">
        <f t="shared" ca="1" si="0"/>
        <v>44</v>
      </c>
      <c r="I35" s="94">
        <f t="shared" ca="1" si="0"/>
        <v>42</v>
      </c>
      <c r="J35" s="94">
        <f t="shared" ca="1" si="0"/>
        <v>46</v>
      </c>
      <c r="K35" s="94">
        <f t="shared" ca="1" si="0"/>
        <v>55</v>
      </c>
      <c r="L35" s="94">
        <f t="shared" ca="1" si="0"/>
        <v>58</v>
      </c>
      <c r="M35" s="94">
        <f t="shared" ca="1" si="0"/>
        <v>54</v>
      </c>
      <c r="N35" s="94">
        <f t="shared" ca="1" si="0"/>
        <v>59</v>
      </c>
      <c r="O35" s="94">
        <f t="shared" ca="1" si="0"/>
        <v>60</v>
      </c>
      <c r="P35" s="94">
        <f t="shared" ca="1" si="0"/>
        <v>61</v>
      </c>
      <c r="Q35" s="94">
        <f t="shared" ca="1" si="0"/>
        <v>66</v>
      </c>
      <c r="R35" s="94">
        <f t="shared" ca="1" si="0"/>
        <v>57</v>
      </c>
      <c r="S35" s="94">
        <f t="shared" ca="1" si="0"/>
        <v>51</v>
      </c>
      <c r="T35" s="94">
        <f t="shared" ca="1" si="0"/>
        <v>54</v>
      </c>
      <c r="U35" s="94">
        <f t="shared" ca="1" si="0"/>
        <v>49</v>
      </c>
      <c r="V35" s="94">
        <f t="shared" ca="1" si="0"/>
        <v>47</v>
      </c>
      <c r="W35" s="94">
        <f t="shared" ca="1" si="0"/>
        <v>43</v>
      </c>
      <c r="X35" s="94">
        <f t="shared" ca="1" si="0"/>
        <v>35</v>
      </c>
      <c r="Y35" s="94">
        <f t="shared" ca="1" si="0"/>
        <v>31</v>
      </c>
      <c r="Z35" s="94">
        <f t="shared" ca="1" si="0"/>
        <v>31</v>
      </c>
    </row>
    <row r="36" spans="1:26" x14ac:dyDescent="0.3">
      <c r="A36" s="485" t="s">
        <v>544</v>
      </c>
      <c r="B36" s="487">
        <f ca="1">MIN(F36:Z36)</f>
        <v>8.3155655847150288E-4</v>
      </c>
      <c r="C36" s="487">
        <f ca="1">MAX(P36:Z36)</f>
        <v>1.9825181304189066</v>
      </c>
      <c r="D36" s="485"/>
      <c r="E36" s="485"/>
      <c r="F36" s="90">
        <f ca="1">F58</f>
        <v>0.94732269094894184</v>
      </c>
      <c r="G36" s="90">
        <f t="shared" ref="G36:Z36" ca="1" si="1">G58</f>
        <v>0.76307702905125563</v>
      </c>
      <c r="H36" s="90">
        <f t="shared" ca="1" si="1"/>
        <v>0.89533238299505757</v>
      </c>
      <c r="I36" s="90">
        <f t="shared" ca="1" si="1"/>
        <v>0.97221744725581261</v>
      </c>
      <c r="J36" s="90">
        <f t="shared" ca="1" si="1"/>
        <v>0.79809917993253798</v>
      </c>
      <c r="K36" s="90">
        <f t="shared" ca="1" si="1"/>
        <v>1.015253951189238</v>
      </c>
      <c r="L36" s="90">
        <f t="shared" ca="1" si="1"/>
        <v>0.90204044987612564</v>
      </c>
      <c r="M36" s="90">
        <f t="shared" ca="1" si="1"/>
        <v>0.90220558528560924</v>
      </c>
      <c r="N36" s="90">
        <f t="shared" ca="1" si="1"/>
        <v>0.64920445918256142</v>
      </c>
      <c r="O36" s="90">
        <f t="shared" ca="1" si="1"/>
        <v>0.80093660307369696</v>
      </c>
      <c r="P36" s="90">
        <f t="shared" ca="1" si="1"/>
        <v>0.82910471818717135</v>
      </c>
      <c r="Q36" s="90">
        <f t="shared" ca="1" si="1"/>
        <v>1.0310410249263953</v>
      </c>
      <c r="R36" s="90">
        <f t="shared" ca="1" si="1"/>
        <v>1.9825181304189066</v>
      </c>
      <c r="S36" s="90">
        <f t="shared" ca="1" si="1"/>
        <v>0.75486270605619821</v>
      </c>
      <c r="T36" s="90">
        <f t="shared" ca="1" si="1"/>
        <v>0.75409060425367169</v>
      </c>
      <c r="U36" s="90">
        <f t="shared" ca="1" si="1"/>
        <v>0.61932402019166766</v>
      </c>
      <c r="V36" s="90">
        <f t="shared" ca="1" si="1"/>
        <v>0.6942070189669548</v>
      </c>
      <c r="W36" s="90">
        <f t="shared" ca="1" si="1"/>
        <v>0.7408131718550709</v>
      </c>
      <c r="X36" s="90">
        <f t="shared" ca="1" si="1"/>
        <v>8.3155655847150288E-4</v>
      </c>
      <c r="Y36" s="90">
        <f t="shared" ca="1" si="1"/>
        <v>0.55227376593669197</v>
      </c>
      <c r="Z36" s="90">
        <f t="shared" ca="1" si="1"/>
        <v>0.55227376593669197</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203.15856500000001</v>
      </c>
      <c r="P38">
        <f ca="1">MIN(P44:P45,P50:P51)</f>
        <v>203.15856500000001</v>
      </c>
      <c r="Z38">
        <f ca="1">MAX(Z44:Z45,Z50:Z51)</f>
        <v>221.51499999999999</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92.399999999999991</v>
      </c>
      <c r="P40" s="94">
        <f t="shared" ref="P40:P41" ca="1" si="2">F40</f>
        <v>92.399999999999991</v>
      </c>
      <c r="Z40" s="94">
        <v>0</v>
      </c>
    </row>
    <row r="41" spans="1:26" x14ac:dyDescent="0.3">
      <c r="A41" s="153" t="s">
        <v>1672</v>
      </c>
      <c r="B41" s="481">
        <v>1.3</v>
      </c>
      <c r="C41" s="153"/>
      <c r="D41" s="153"/>
      <c r="E41" s="153"/>
      <c r="F41" s="94">
        <f t="shared" ref="F41" ca="1" si="3">B41*MAX(C$35:C$36)</f>
        <v>85.8</v>
      </c>
      <c r="P41" s="94">
        <f t="shared" ca="1" si="2"/>
        <v>85.8</v>
      </c>
      <c r="Z41" s="94">
        <f t="shared" ref="Z41:Z43" ca="1" si="4">0.9*P41</f>
        <v>77.22</v>
      </c>
    </row>
    <row r="42" spans="1:26" x14ac:dyDescent="0.3">
      <c r="A42" s="153" t="s">
        <v>1673</v>
      </c>
      <c r="B42" s="481">
        <v>1.2</v>
      </c>
      <c r="C42" s="153"/>
      <c r="D42" s="153"/>
      <c r="E42" s="153"/>
      <c r="F42" s="94">
        <f t="shared" ref="F42:F43" ca="1" si="5">B42*MAX(C$35:C$36)</f>
        <v>79.2</v>
      </c>
      <c r="P42" s="94">
        <f t="shared" ref="P42:P43" ca="1" si="6">F42</f>
        <v>79.2</v>
      </c>
      <c r="Z42" s="94">
        <f t="shared" ca="1" si="4"/>
        <v>71.28</v>
      </c>
    </row>
    <row r="43" spans="1:26" x14ac:dyDescent="0.3">
      <c r="A43" s="153" t="s">
        <v>1674</v>
      </c>
      <c r="B43" s="481">
        <v>1.1000000000000001</v>
      </c>
      <c r="C43" s="153"/>
      <c r="D43" s="153"/>
      <c r="E43" s="153"/>
      <c r="F43" s="94">
        <f t="shared" ca="1" si="5"/>
        <v>72.600000000000009</v>
      </c>
      <c r="P43" s="94">
        <f t="shared" ca="1" si="6"/>
        <v>72.600000000000009</v>
      </c>
      <c r="Z43" s="94">
        <f t="shared" ca="1" si="4"/>
        <v>65.34</v>
      </c>
    </row>
    <row r="44" spans="1:26" x14ac:dyDescent="0.3">
      <c r="A44" s="485" t="s">
        <v>1675</v>
      </c>
      <c r="B44" s="488">
        <f ca="1">_xlfn.XLOOKUP(_xlfn.SINGLE(ChaRSITicker),TabCalc[Ticker],TabCalc[L_Sp])</f>
        <v>221.51499999999999</v>
      </c>
      <c r="C44" s="485"/>
      <c r="D44" s="485"/>
      <c r="E44" s="485"/>
      <c r="F44" s="489">
        <f ca="1">_xlfn.XLOOKUP(_xlfn.SINGLE(ChaRSITicker),TabCalc[Ticker],TabCalc[L_Sp])</f>
        <v>221.51499999999999</v>
      </c>
      <c r="P44">
        <f ca="1">F44</f>
        <v>221.51499999999999</v>
      </c>
      <c r="Z44">
        <f ca="1">P44</f>
        <v>221.51499999999999</v>
      </c>
    </row>
    <row r="45" spans="1:26" x14ac:dyDescent="0.3">
      <c r="A45" s="485" t="s">
        <v>1676</v>
      </c>
      <c r="B45" s="488">
        <f ca="1">ABS(_xlfn.XLOOKUP(_xlfn.SINGLE(ChaRSITicker),TabCalc[Ticker],TabCalc[L_Bp]))</f>
        <v>215.02</v>
      </c>
      <c r="C45" s="485"/>
      <c r="D45" s="485"/>
      <c r="E45" s="485"/>
      <c r="F45" s="489">
        <f ca="1">ABS(_xlfn.XLOOKUP(_xlfn.SINGLE(ChaRSITicker),TabCalc[Ticker],TabCalc[L_Bp]))</f>
        <v>215.02</v>
      </c>
      <c r="P45">
        <f ca="1">F45</f>
        <v>215.02</v>
      </c>
      <c r="Z45">
        <f ca="1">P45</f>
        <v>215.02</v>
      </c>
    </row>
    <row r="46" spans="1:26" x14ac:dyDescent="0.3">
      <c r="A46" s="485" t="s">
        <v>1677</v>
      </c>
      <c r="B46" s="488">
        <f ca="1">_xlfn.XLOOKUP(_xlfn.SINGLE(ChaRSITicker),TabCalc[Ticker],TabCalc[Min_SP])</f>
        <v>166.94</v>
      </c>
      <c r="C46" s="485"/>
      <c r="D46" s="485"/>
      <c r="E46" s="485"/>
      <c r="F46" s="489">
        <f ca="1">_xlfn.XLOOKUP(_xlfn.SINGLE(ChaRSITicker),TabCalc[Ticker],TabCalc[Min_SP])</f>
        <v>166.94</v>
      </c>
      <c r="P46">
        <f t="shared" ref="P46:P49" ca="1" si="7">F46</f>
        <v>166.94</v>
      </c>
      <c r="Z46">
        <f t="shared" ref="Z46:Z49" ca="1" si="8">P46</f>
        <v>166.94</v>
      </c>
    </row>
    <row r="47" spans="1:26" x14ac:dyDescent="0.3">
      <c r="A47" s="485" t="s">
        <v>1678</v>
      </c>
      <c r="B47" s="488">
        <f ca="1">ABS(_xlfn.XLOOKUP(_xlfn.SINGLE(ChaRSITicker),TabCalc[Ticker],TabCalc[Min_PP]))</f>
        <v>236.70750000000001</v>
      </c>
      <c r="C47" s="485"/>
      <c r="D47" s="485"/>
      <c r="E47" s="485"/>
      <c r="F47" s="489">
        <f ca="1">ABS(_xlfn.XLOOKUP(_xlfn.SINGLE(ChaRSITicker),TabCalc[Ticker],TabCalc[Min_PP]))</f>
        <v>236.70750000000001</v>
      </c>
      <c r="P47">
        <f t="shared" ca="1" si="7"/>
        <v>236.70750000000001</v>
      </c>
      <c r="Z47">
        <f t="shared" ca="1" si="8"/>
        <v>236.70750000000001</v>
      </c>
    </row>
    <row r="48" spans="1:26" x14ac:dyDescent="0.3">
      <c r="A48" s="485" t="s">
        <v>1679</v>
      </c>
      <c r="B48" s="488">
        <f ca="1">_xlfn.XLOOKUP(_xlfn.SINGLE(ChaRSITicker),TabCalc[Ticker],TabCalc[Max_SP])</f>
        <v>234.24</v>
      </c>
      <c r="C48" s="485"/>
      <c r="D48" s="485"/>
      <c r="E48" s="485"/>
      <c r="F48" s="489">
        <f ca="1">_xlfn.XLOOKUP(_xlfn.SINGLE(ChaRSITicker),TabCalc[Ticker],TabCalc[Max_SP])</f>
        <v>234.24</v>
      </c>
      <c r="P48">
        <f t="shared" ca="1" si="7"/>
        <v>234.24</v>
      </c>
      <c r="Z48">
        <f t="shared" ca="1" si="8"/>
        <v>234.24</v>
      </c>
    </row>
    <row r="49" spans="1:26" x14ac:dyDescent="0.3">
      <c r="A49" s="485" t="s">
        <v>1680</v>
      </c>
      <c r="B49" s="488">
        <f ca="1">ABS(_xlfn.XLOOKUP(_xlfn.SINGLE(ChaRSITicker),TabCalc[Ticker],TabCalc[Max_PP]))</f>
        <v>132.55000000000001</v>
      </c>
      <c r="C49" s="485"/>
      <c r="D49" s="485"/>
      <c r="E49" s="485"/>
      <c r="F49" s="489">
        <f ca="1">ABS(_xlfn.XLOOKUP(_xlfn.SINGLE(ChaRSITicker),TabCalc[Ticker],TabCalc[Max_PP]))</f>
        <v>132.55000000000001</v>
      </c>
      <c r="P49">
        <f t="shared" ca="1" si="7"/>
        <v>132.55000000000001</v>
      </c>
      <c r="Z49">
        <f t="shared" ca="1" si="8"/>
        <v>132.55000000000001</v>
      </c>
    </row>
    <row r="50" spans="1:26" x14ac:dyDescent="0.3">
      <c r="A50" s="195" t="s">
        <v>131</v>
      </c>
      <c r="B50" s="195">
        <f ca="1">_xlfn.XLOOKUP(_xlfn.SINGLE(ChaRSITicker),TabCalc[Ticker],TabCalc[M])</f>
        <v>221.18199999999999</v>
      </c>
      <c r="C50" s="195"/>
      <c r="D50" s="195"/>
      <c r="E50" s="195"/>
      <c r="F50" s="489">
        <f ca="1">_xlfn.XLOOKUP(_xlfn.SINGLE(ChaRSITicker),TabCalc[Ticker],TabCalc[M])</f>
        <v>221.18199999999999</v>
      </c>
      <c r="P50">
        <f ca="1">F50</f>
        <v>221.18199999999999</v>
      </c>
      <c r="Z50">
        <f ca="1">P50</f>
        <v>221.18199999999999</v>
      </c>
    </row>
    <row r="51" spans="1:26" x14ac:dyDescent="0.3">
      <c r="A51" s="195" t="s">
        <v>1850</v>
      </c>
      <c r="B51" s="526">
        <f ca="1">ABS(_xlfn.XLOOKUP(ChaRSITicker,TabCalc[Ticker],TabCalc[A]))</f>
        <v>203.15856500000001</v>
      </c>
      <c r="C51" s="195"/>
      <c r="D51" s="195"/>
      <c r="E51" s="195"/>
      <c r="F51" s="489">
        <f ca="1">B51</f>
        <v>203.15856500000001</v>
      </c>
      <c r="P51" s="489">
        <f ca="1">F51</f>
        <v>203.15856500000001</v>
      </c>
      <c r="Z51" s="86">
        <f ca="1">P51</f>
        <v>203.15856500000001</v>
      </c>
    </row>
    <row r="52" spans="1:26" x14ac:dyDescent="0.3">
      <c r="A52" s="490" t="s">
        <v>1724</v>
      </c>
      <c r="B52" s="491">
        <f ca="1">MIN(B51,B44:B49,F56:Z56)</f>
        <v>132.55000000000001</v>
      </c>
      <c r="C52" s="491">
        <f ca="1">MAX(B51,B44:B49,F56:Z56)</f>
        <v>250.2</v>
      </c>
      <c r="D52" t="s">
        <v>1728</v>
      </c>
    </row>
    <row r="53" spans="1:26" ht="23" customHeight="1" x14ac:dyDescent="0.3">
      <c r="A53" s="490" t="s">
        <v>1725</v>
      </c>
      <c r="B53" s="491">
        <f ca="1">MIN(B51,B44:B45,P56:Z56)</f>
        <v>203.15856500000001</v>
      </c>
      <c r="C53" s="491">
        <f ca="1">MAX(B51,B44:B45,P56:Z56)</f>
        <v>250.2</v>
      </c>
      <c r="D53" t="s">
        <v>1728</v>
      </c>
    </row>
    <row r="54" spans="1:26" x14ac:dyDescent="0.3">
      <c r="A54" s="490" t="s">
        <v>1726</v>
      </c>
      <c r="B54" s="490">
        <f ca="1">MIN(P56:Z56)</f>
        <v>221.18199999999999</v>
      </c>
      <c r="C54" s="491">
        <f ca="1">MAX(F56:Z56)</f>
        <v>250.2</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213.04</v>
      </c>
      <c r="C56" s="153">
        <f ca="1">MAX(F56:Z56)</f>
        <v>250.2</v>
      </c>
      <c r="D56" s="483">
        <f ca="1">AVERAGE(F56:Y56)</f>
        <v>226.18291999999997</v>
      </c>
      <c r="E56" s="153"/>
      <c r="F56" cm="1">
        <f t="array" aca="1" ref="F56" ca="1">_xlfn.XLOOKUP(_xlfn.SINGLE(ChaRSITicker),ListTickers,Tab1Price[Price0])</f>
        <v>216.39</v>
      </c>
      <c r="G56" cm="1">
        <f t="array" aca="1" ref="G56" ca="1">_xlfn.XLOOKUP(_xlfn.SINGLE(ChaRSITicker),ListTickers,Tab1Price[Price1])</f>
        <v>215.16</v>
      </c>
      <c r="H56" cm="1">
        <f t="array" aca="1" ref="H56" ca="1">_xlfn.XLOOKUP(_xlfn.SINGLE(ChaRSITicker),ListTickers,Tab1Price[Price2])</f>
        <v>214.47</v>
      </c>
      <c r="I56" cm="1">
        <f t="array" aca="1" ref="I56" ca="1">_xlfn.XLOOKUP(_xlfn.SINGLE(ChaRSITicker),ListTickers,Tab1Price[Price3])</f>
        <v>213.04</v>
      </c>
      <c r="J56" cm="1">
        <f t="array" aca="1" ref="J56" ca="1">_xlfn.XLOOKUP(_xlfn.SINGLE(ChaRSITicker),ListTickers,Tab1Price[Price4])</f>
        <v>216.48</v>
      </c>
      <c r="K56" cm="1">
        <f t="array" aca="1" ref="K56" ca="1">_xlfn.XLOOKUP(_xlfn.SINGLE(ChaRSITicker),ListTickers,Tab1Price[Price5])</f>
        <v>222.03</v>
      </c>
      <c r="L56" cm="1">
        <f t="array" aca="1" ref="L56" ca="1">_xlfn.XLOOKUP(_xlfn.SINGLE(ChaRSITicker),ListTickers,Tab1Price[Price6])</f>
        <v>217.95</v>
      </c>
      <c r="M56" cm="1">
        <f t="array" aca="1" ref="M56" ca="1">_xlfn.XLOOKUP(_xlfn.SINGLE(ChaRSITicker),ListTickers,Tab1Price[Price7])</f>
        <v>217.95</v>
      </c>
      <c r="N56" cm="1">
        <f t="array" aca="1" ref="N56" ca="1">_xlfn.XLOOKUP(_xlfn.SINGLE(ChaRSITicker),ListTickers,Tab1Price[Price8])</f>
        <v>221.09</v>
      </c>
      <c r="O56" cm="1">
        <f t="array" aca="1" ref="O56" ca="1">_xlfn.XLOOKUP(_xlfn.SINGLE(ChaRSITicker),ListTickers,Tab1Price[Price9])</f>
        <v>224.21</v>
      </c>
      <c r="P56" cm="1">
        <f t="array" aca="1" ref="P56" ca="1">_xlfn.XLOOKUP(_xlfn.SINGLE(ChaRSITicker),ListTickers,Tab1Price[Price10])</f>
        <v>226.97</v>
      </c>
      <c r="Q56" cm="1">
        <f t="array" aca="1" ref="Q56" ca="1">_xlfn.XLOOKUP(_xlfn.SINGLE(ChaRSITicker),ListTickers,Tab1Price[Price11])</f>
        <v>229.25</v>
      </c>
      <c r="R56" cm="1">
        <f t="array" aca="1" ref="R56" ca="1">_xlfn.XLOOKUP(_xlfn.SINGLE(ChaRSITicker),ListTickers,Tab1Price[Price12])</f>
        <v>222.86</v>
      </c>
      <c r="S56" cm="1">
        <f t="array" aca="1" ref="S56" ca="1">_xlfn.XLOOKUP(_xlfn.SINGLE(ChaRSITicker),ListTickers,Tab1Price[Price13])</f>
        <v>248.82</v>
      </c>
      <c r="T56" cm="1">
        <f t="array" aca="1" ref="T56" ca="1">_xlfn.XLOOKUP(_xlfn.SINGLE(ChaRSITicker),ListTickers,Tab1Price[Price14])</f>
        <v>250.2</v>
      </c>
      <c r="U56" cm="1">
        <f t="array" aca="1" ref="U56" ca="1">_xlfn.XLOOKUP(_xlfn.SINGLE(ChaRSITicker),ListTickers,Tab1Price[Price15])</f>
        <v>243.8064</v>
      </c>
      <c r="V56" cm="1">
        <f t="array" aca="1" ref="V56" ca="1">_xlfn.XLOOKUP(_xlfn.SINGLE(ChaRSITicker),ListTickers,Tab1Price[Price16])</f>
        <v>244.56</v>
      </c>
      <c r="W56" cm="1">
        <f t="array" aca="1" ref="W56" ca="1">_xlfn.XLOOKUP(_xlfn.SINGLE(ChaRSITicker),ListTickers,Tab1Price[Price17])</f>
        <v>234.69</v>
      </c>
      <c r="X56" cm="1">
        <f t="array" aca="1" ref="X56" ca="1">_xlfn.XLOOKUP(_xlfn.SINGLE(ChaRSITicker),ListTickers,Tab1Price[Price18])</f>
        <v>222.55</v>
      </c>
      <c r="Y56" cm="1">
        <f t="array" aca="1" ref="Y56" ca="1">_xlfn.XLOOKUP(_xlfn.SINGLE(ChaRSITicker),ListTickers,Tab1Price[Price19])</f>
        <v>221.18199999999999</v>
      </c>
      <c r="Z56" cm="1">
        <f t="array" aca="1" ref="Z56" ca="1">_xlfn.XLOOKUP(_xlfn.SINGLE(ChaRSITicker),ListTickers,Tab1Price[Price20])</f>
        <v>221.18199999999999</v>
      </c>
    </row>
    <row r="57" spans="1:26" x14ac:dyDescent="0.3">
      <c r="A57" s="153" t="s">
        <v>662</v>
      </c>
      <c r="B57" s="495">
        <f t="shared" ref="B57:B58" ca="1" si="9">MIN(F57:Z57)</f>
        <v>31</v>
      </c>
      <c r="C57" s="495">
        <v>100</v>
      </c>
      <c r="D57" s="483">
        <f ca="1">IFERROR(AVERAGEIF(F57:Y57, "&gt;0"), "")</f>
        <v>50.3</v>
      </c>
      <c r="E57" s="481">
        <v>1</v>
      </c>
      <c r="F57" s="87" cm="1">
        <f t="array" aca="1" ref="F57" ca="1">_xlfn.XLOOKUP(ChaRSITicker,ListTickers,Tab2RSI[RSI0])</f>
        <v>49</v>
      </c>
      <c r="G57" s="87" cm="1">
        <f t="array" aca="1" ref="G57" ca="1">_xlfn.XLOOKUP(ChaRSITicker,ListTickers,Tab2RSI[RSI1])</f>
        <v>45</v>
      </c>
      <c r="H57" s="87" cm="1">
        <f t="array" aca="1" ref="H57" ca="1">_xlfn.XLOOKUP(ChaRSITicker,ListTickers,Tab2RSI[RSI2])</f>
        <v>44</v>
      </c>
      <c r="I57" s="87" cm="1">
        <f t="array" aca="1" ref="I57" ca="1">_xlfn.XLOOKUP(ChaRSITicker,ListTickers,Tab2RSI[RSI3])</f>
        <v>42</v>
      </c>
      <c r="J57" s="87" cm="1">
        <f t="array" aca="1" ref="J57" ca="1">_xlfn.XLOOKUP(ChaRSITicker,ListTickers,Tab2RSI[RSI4])</f>
        <v>46</v>
      </c>
      <c r="K57" s="87" cm="1">
        <f t="array" aca="1" ref="K57" ca="1">_xlfn.XLOOKUP(ChaRSITicker,ListTickers,Tab2RSI[RSI5])</f>
        <v>55</v>
      </c>
      <c r="L57" s="87" cm="1">
        <f t="array" aca="1" ref="L57" ca="1">_xlfn.XLOOKUP(ChaRSITicker,ListTickers,Tab2RSI[RSI6])</f>
        <v>58</v>
      </c>
      <c r="M57" s="87" cm="1">
        <f t="array" aca="1" ref="M57" ca="1">_xlfn.XLOOKUP(ChaRSITicker,ListTickers,Tab2RSI[RSI7])</f>
        <v>54</v>
      </c>
      <c r="N57" s="87" cm="1">
        <f t="array" aca="1" ref="N57" ca="1">_xlfn.XLOOKUP(ChaRSITicker,ListTickers,Tab2RSI[RSI8])</f>
        <v>59</v>
      </c>
      <c r="O57" s="87" cm="1">
        <f t="array" aca="1" ref="O57" ca="1">_xlfn.XLOOKUP(ChaRSITicker,ListTickers,Tab2RSI[RSI9])</f>
        <v>60</v>
      </c>
      <c r="P57" s="87" cm="1">
        <f t="array" aca="1" ref="P57" ca="1">_xlfn.XLOOKUP(ChaRSITicker,ListTickers,Tab2RSI[RSI10])</f>
        <v>61</v>
      </c>
      <c r="Q57" s="87" cm="1">
        <f t="array" aca="1" ref="Q57" ca="1">_xlfn.XLOOKUP(ChaRSITicker,ListTickers,Tab2RSI[RSI11])</f>
        <v>66</v>
      </c>
      <c r="R57" s="87" cm="1">
        <f t="array" aca="1" ref="R57" ca="1">_xlfn.XLOOKUP(ChaRSITicker,ListTickers,Tab2RSI[RSI12])</f>
        <v>57</v>
      </c>
      <c r="S57" s="87" cm="1">
        <f t="array" aca="1" ref="S57" ca="1">_xlfn.XLOOKUP(ChaRSITicker,ListTickers,Tab2RSI[RSI13])</f>
        <v>51</v>
      </c>
      <c r="T57" s="87" cm="1">
        <f t="array" aca="1" ref="T57" ca="1">_xlfn.XLOOKUP(ChaRSITicker,ListTickers,Tab2RSI[RSI14])</f>
        <v>54</v>
      </c>
      <c r="U57" s="87" cm="1">
        <f t="array" aca="1" ref="U57" ca="1">_xlfn.XLOOKUP(ChaRSITicker,ListTickers,Tab2RSI[RSI15])</f>
        <v>49</v>
      </c>
      <c r="V57" s="87" cm="1">
        <f t="array" aca="1" ref="V57" ca="1">_xlfn.XLOOKUP(ChaRSITicker,ListTickers,Tab2RSI[RSI16])</f>
        <v>47</v>
      </c>
      <c r="W57" s="87" cm="1">
        <f t="array" aca="1" ref="W57" ca="1">_xlfn.XLOOKUP(ChaRSITicker,ListTickers,Tab2RSI[RSI17])</f>
        <v>43</v>
      </c>
      <c r="X57" s="87" cm="1">
        <f t="array" aca="1" ref="X57" ca="1">_xlfn.XLOOKUP(ChaRSITicker,ListTickers,Tab2RSI[RSI18])</f>
        <v>35</v>
      </c>
      <c r="Y57" s="87" cm="1">
        <f t="array" aca="1" ref="Y57" ca="1">_xlfn.XLOOKUP(ChaRSITicker,ListTickers,Tab2RSI[RSI19])</f>
        <v>31</v>
      </c>
      <c r="Z57" s="87" cm="1">
        <f t="array" aca="1" ref="Z57" ca="1">_xlfn.XLOOKUP(ChaRSITicker,ListTickers,Tab2RSI[RSI20])</f>
        <v>31</v>
      </c>
    </row>
    <row r="58" spans="1:26" x14ac:dyDescent="0.3">
      <c r="A58" s="153" t="s">
        <v>544</v>
      </c>
      <c r="B58" s="482">
        <f t="shared" ca="1" si="9"/>
        <v>8.3155655847150288E-4</v>
      </c>
      <c r="C58" s="482">
        <f t="shared" ref="C58" ca="1" si="10">MAX(F58:Z58)</f>
        <v>1.9825181304189066</v>
      </c>
      <c r="D58" s="483">
        <f ca="1">IFERROR(AVERAGEIF(F58:Y58, "&gt;0"), "")</f>
        <v>0.83023782480710173</v>
      </c>
      <c r="E58" s="153">
        <f ca="1">INT(C57/D58)</f>
        <v>120</v>
      </c>
      <c r="F58" s="90" cm="1">
        <f t="array" aca="1" ref="F58" ca="1">_xlfn.XLOOKUP(ChaRSITicker,ListTickers,Tab2Agiotage[XAgio0])</f>
        <v>0.94732269094894184</v>
      </c>
      <c r="G58" s="90" cm="1">
        <f t="array" aca="1" ref="G58" ca="1">_xlfn.XLOOKUP(ChaRSITicker,ListTickers,Tab2Agiotage[XAgio1])</f>
        <v>0.76307702905125563</v>
      </c>
      <c r="H58" s="90" cm="1">
        <f t="array" aca="1" ref="H58" ca="1">_xlfn.XLOOKUP(ChaRSITicker,ListTickers,Tab2Agiotage[XAgio2])</f>
        <v>0.89533238299505757</v>
      </c>
      <c r="I58" s="90" cm="1">
        <f t="array" aca="1" ref="I58" ca="1">_xlfn.XLOOKUP(ChaRSITicker,ListTickers,Tab2Agiotage[XAgio3])</f>
        <v>0.97221744725581261</v>
      </c>
      <c r="J58" s="90" cm="1">
        <f t="array" aca="1" ref="J58" ca="1">_xlfn.XLOOKUP(ChaRSITicker,ListTickers,Tab2Agiotage[XAgio4])</f>
        <v>0.79809917993253798</v>
      </c>
      <c r="K58" s="90" cm="1">
        <f t="array" aca="1" ref="K58" ca="1">_xlfn.XLOOKUP(ChaRSITicker,ListTickers,Tab2Agiotage[XAgio5])</f>
        <v>1.015253951189238</v>
      </c>
      <c r="L58" s="90" cm="1">
        <f t="array" aca="1" ref="L58" ca="1">_xlfn.XLOOKUP(ChaRSITicker,ListTickers,Tab2Agiotage[XAgio6])</f>
        <v>0.90204044987612564</v>
      </c>
      <c r="M58" s="90" cm="1">
        <f t="array" aca="1" ref="M58" ca="1">_xlfn.XLOOKUP(ChaRSITicker,ListTickers,Tab2Agiotage[XAgio7])</f>
        <v>0.90220558528560924</v>
      </c>
      <c r="N58" s="90" cm="1">
        <f t="array" aca="1" ref="N58" ca="1">_xlfn.XLOOKUP(ChaRSITicker,ListTickers,Tab2Agiotage[XAgio8])</f>
        <v>0.64920445918256142</v>
      </c>
      <c r="O58" s="90" cm="1">
        <f t="array" aca="1" ref="O58" ca="1">_xlfn.XLOOKUP(ChaRSITicker,ListTickers,Tab2Agiotage[XAgio9])</f>
        <v>0.80093660307369696</v>
      </c>
      <c r="P58" s="90" cm="1">
        <f t="array" aca="1" ref="P58" ca="1">_xlfn.XLOOKUP(ChaRSITicker,ListTickers,Tab2Agiotage[XAgio10])</f>
        <v>0.82910471818717135</v>
      </c>
      <c r="Q58" s="90" cm="1">
        <f t="array" aca="1" ref="Q58" ca="1">_xlfn.XLOOKUP(ChaRSITicker,ListTickers,Tab2Agiotage[XAgio11])</f>
        <v>1.0310410249263953</v>
      </c>
      <c r="R58" s="90" cm="1">
        <f t="array" aca="1" ref="R58" ca="1">_xlfn.XLOOKUP(ChaRSITicker,ListTickers,Tab2Agiotage[XAgio12])</f>
        <v>1.9825181304189066</v>
      </c>
      <c r="S58" s="90" cm="1">
        <f t="array" aca="1" ref="S58" ca="1">_xlfn.XLOOKUP(ChaRSITicker,ListTickers,Tab2Agiotage[XAgio13])</f>
        <v>0.75486270605619821</v>
      </c>
      <c r="T58" s="90" cm="1">
        <f t="array" aca="1" ref="T58" ca="1">_xlfn.XLOOKUP(ChaRSITicker,ListTickers,Tab2Agiotage[XAgio14])</f>
        <v>0.75409060425367169</v>
      </c>
      <c r="U58" s="90" cm="1">
        <f t="array" aca="1" ref="U58" ca="1">_xlfn.XLOOKUP(ChaRSITicker,ListTickers,Tab2Agiotage[XAgio15])</f>
        <v>0.61932402019166766</v>
      </c>
      <c r="V58" s="90" cm="1">
        <f t="array" aca="1" ref="V58" ca="1">_xlfn.XLOOKUP(ChaRSITicker,ListTickers,Tab2Agiotage[XAgio16])</f>
        <v>0.6942070189669548</v>
      </c>
      <c r="W58" s="90" cm="1">
        <f t="array" aca="1" ref="W58" ca="1">_xlfn.XLOOKUP(ChaRSITicker,ListTickers,Tab2Agiotage[XAgio17])</f>
        <v>0.7408131718550709</v>
      </c>
      <c r="X58" s="90" cm="1">
        <f t="array" aca="1" ref="X58" ca="1">_xlfn.XLOOKUP(ChaRSITicker,ListTickers,Tab2Agiotage[XAgio18])</f>
        <v>8.3155655847150288E-4</v>
      </c>
      <c r="Y58" s="90" cm="1">
        <f t="array" aca="1" ref="Y58" ca="1">_xlfn.XLOOKUP(ChaRSITicker,ListTickers,Tab2Agiotage[XAgio19])</f>
        <v>0.55227376593669197</v>
      </c>
      <c r="Z58" s="90" cm="1">
        <f t="array" aca="1" ref="Z58" ca="1">_xlfn.XLOOKUP(ChaRSITicker,ListTickers,Tab2Agiotage[XAgio20])</f>
        <v>0.55227376593669197</v>
      </c>
    </row>
    <row r="59" spans="1:26" x14ac:dyDescent="0.3">
      <c r="A59" s="153" t="s">
        <v>662</v>
      </c>
      <c r="B59" s="153"/>
      <c r="C59" s="153"/>
      <c r="D59" s="153"/>
      <c r="E59" s="153"/>
      <c r="F59" cm="1">
        <f t="array" aca="1" ref="F59" ca="1">_xlfn.XLOOKUP(ChaRSITicker,ListTickers,Tab2RSIConventional[RSIConv0])</f>
        <v>61</v>
      </c>
      <c r="G59" cm="1">
        <f t="array" aca="1" ref="G59" ca="1">_xlfn.XLOOKUP(ChaRSITicker,ListTickers,Tab2RSIConventional[RSIConv1])</f>
        <v>59</v>
      </c>
      <c r="H59" cm="1">
        <f t="array" aca="1" ref="H59" ca="1">_xlfn.XLOOKUP(ChaRSITicker,ListTickers,Tab2RSIConventional[RSIConv2])</f>
        <v>61</v>
      </c>
      <c r="I59" cm="1">
        <f t="array" aca="1" ref="I59" ca="1">_xlfn.XLOOKUP(ChaRSITicker,ListTickers,Tab2RSIConventional[RSIConv3])</f>
        <v>56</v>
      </c>
      <c r="J59" cm="1">
        <f t="array" aca="1" ref="J59" ca="1">_xlfn.XLOOKUP(ChaRSITicker,ListTickers,Tab2RSIConventional[RSIConv4])</f>
        <v>60</v>
      </c>
      <c r="K59" cm="1">
        <f t="array" aca="1" ref="K59" ca="1">_xlfn.XLOOKUP(ChaRSITicker,ListTickers,Tab2RSIConventional[RSIConv5])</f>
        <v>70</v>
      </c>
      <c r="L59" cm="1">
        <f t="array" aca="1" ref="L59" ca="1">_xlfn.XLOOKUP(ChaRSITicker,ListTickers,Tab2RSIConventional[RSIConv6])</f>
        <v>61</v>
      </c>
      <c r="M59" cm="1">
        <f t="array" aca="1" ref="M59" ca="1">_xlfn.XLOOKUP(ChaRSITicker,ListTickers,Tab2RSIConventional[RSIConv7])</f>
        <v>54</v>
      </c>
      <c r="N59" cm="1">
        <f t="array" aca="1" ref="N59" ca="1">_xlfn.XLOOKUP(ChaRSITicker,ListTickers,Tab2RSIConventional[RSIConv8])</f>
        <v>61</v>
      </c>
      <c r="O59" cm="1">
        <f t="array" aca="1" ref="O59" ca="1">_xlfn.XLOOKUP(ChaRSITicker,ListTickers,Tab2RSIConventional[RSIConv9])</f>
        <v>63</v>
      </c>
      <c r="P59" cm="1">
        <f t="array" aca="1" ref="P59" ca="1">_xlfn.XLOOKUP(ChaRSITicker,ListTickers,Tab2RSIConventional[RSIConv10])</f>
        <v>63</v>
      </c>
      <c r="Q59" cm="1">
        <f t="array" aca="1" ref="Q59" ca="1">_xlfn.XLOOKUP(ChaRSITicker,ListTickers,Tab2RSIConventional[RSIConv11])</f>
        <v>63</v>
      </c>
      <c r="R59" cm="1">
        <f t="array" aca="1" ref="R59" ca="1">_xlfn.XLOOKUP(ChaRSITicker,ListTickers,Tab2RSIConventional[RSIConv12])</f>
        <v>50</v>
      </c>
      <c r="S59" cm="1">
        <f t="array" aca="1" ref="S59" ca="1">_xlfn.XLOOKUP(ChaRSITicker,ListTickers,Tab2RSIConventional[RSIConv13])</f>
        <v>41</v>
      </c>
      <c r="T59" cm="1">
        <f t="array" aca="1" ref="T59" ca="1">_xlfn.XLOOKUP(ChaRSITicker,ListTickers,Tab2RSIConventional[RSIConv14])</f>
        <v>46</v>
      </c>
      <c r="U59" cm="1">
        <f t="array" aca="1" ref="U59" ca="1">_xlfn.XLOOKUP(ChaRSITicker,ListTickers,Tab2RSIConventional[RSIConv15])</f>
        <v>41</v>
      </c>
      <c r="V59" cm="1">
        <f t="array" aca="1" ref="V59" ca="1">_xlfn.XLOOKUP(ChaRSITicker,ListTickers,Tab2RSIConventional[RSIConv16])</f>
        <v>44</v>
      </c>
      <c r="W59" cm="1">
        <f t="array" aca="1" ref="W59" ca="1">_xlfn.XLOOKUP(ChaRSITicker,ListTickers,Tab2RSIConventional[RSIConv17])</f>
        <v>42</v>
      </c>
      <c r="X59" cm="1">
        <f t="array" aca="1" ref="X59" ca="1">_xlfn.XLOOKUP(ChaRSITicker,ListTickers,Tab2RSIConventional[RSIConv18])</f>
        <v>31</v>
      </c>
      <c r="Y59" cm="1">
        <f t="array" aca="1" ref="Y59" ca="1">_xlfn.XLOOKUP(ChaRSITicker,ListTickers,Tab2RSIConventional[RSIConv19])</f>
        <v>24</v>
      </c>
      <c r="Z59" cm="1">
        <f t="array" aca="1" ref="Z59" ca="1">_xlfn.XLOOKUP(ChaRSITicker,ListTickers,Tab2RSIConventional[RSIConv20])</f>
        <v>24</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AMZN History</v>
      </c>
      <c r="M1" t="str">
        <f>[0]!ChaRSITicker&amp;" (Last Trades Zoom)"</f>
        <v>AMZN (Last Trades Zoom)</v>
      </c>
      <c r="O1" s="1" t="str">
        <f ca="1">_xlfn.XLOOKUP(ChaChaTicker,TabCalc[Ticker],TabCalc[NAfter])&amp;" x "&amp;"A="&amp;TRUNC(B51,2)</f>
        <v>12000 x A=203.15</v>
      </c>
      <c r="R1" s="549" t="str">
        <f>IDTICKER</f>
        <v>AMZN</v>
      </c>
      <c r="S1" s="549"/>
      <c r="T1" s="550" t="s">
        <v>1781</v>
      </c>
      <c r="U1" s="551" t="s">
        <v>1782</v>
      </c>
      <c r="W1">
        <f ca="1">_xlfn.XLOOKUP(ChaChaTicker,TabCalc[Ticker],TabCalc[NAfter])</f>
        <v>12000</v>
      </c>
    </row>
    <row r="2" spans="5:23" ht="24" thickTop="1" thickBot="1" x14ac:dyDescent="0.35">
      <c r="R2" s="545">
        <f ca="1">TODAY()</f>
        <v>45980</v>
      </c>
      <c r="S2" s="546">
        <f ca="1">_xlfn.XLOOKUP(ChaChaTicker,TabCalc[Ticker],TabCalc[NAfter])</f>
        <v>12000</v>
      </c>
      <c r="T2" s="547">
        <f ca="1">_xlfn.XLOOKUP(ChaChaTicker,TabCalc[Ticker],TabCalc[L_Sn])</f>
        <v>200</v>
      </c>
      <c r="U2" s="548">
        <f ca="1">_xlfn.XLOOKUP(ChaChaTicker,TabCalc[Ticker],TabCalc[L_Bn])</f>
        <v>2000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45952</v>
      </c>
      <c r="G32" s="166">
        <f ca="1">DataShift!G3</f>
        <v>45953</v>
      </c>
      <c r="H32" s="166">
        <f ca="1">DataShift!H3</f>
        <v>45954</v>
      </c>
      <c r="I32" s="166">
        <f ca="1">DataShift!I3</f>
        <v>45957</v>
      </c>
      <c r="J32" s="166">
        <f ca="1">DataShift!J3</f>
        <v>45958</v>
      </c>
      <c r="K32" s="166">
        <f ca="1">DataShift!K3</f>
        <v>45959</v>
      </c>
      <c r="L32" s="166">
        <f ca="1">DataShift!L3</f>
        <v>45960</v>
      </c>
      <c r="M32" s="166">
        <f ca="1">DataShift!M3</f>
        <v>45961</v>
      </c>
      <c r="N32" s="166">
        <f ca="1">DataShift!N3</f>
        <v>45964</v>
      </c>
      <c r="O32" s="166">
        <f ca="1">DataShift!O3</f>
        <v>45965</v>
      </c>
      <c r="P32" s="166">
        <f ca="1">DataShift!P3</f>
        <v>45966</v>
      </c>
      <c r="Q32" s="166">
        <f ca="1">DataShift!Q3</f>
        <v>45967</v>
      </c>
      <c r="R32" s="166">
        <f ca="1">DataShift!R3</f>
        <v>45968</v>
      </c>
      <c r="S32" s="166">
        <f ca="1">DataShift!S3</f>
        <v>45971</v>
      </c>
      <c r="T32" s="166">
        <f ca="1">DataShift!T3</f>
        <v>45972</v>
      </c>
      <c r="U32" s="166">
        <f ca="1">DataShift!U3</f>
        <v>45973</v>
      </c>
      <c r="V32" s="166">
        <f ca="1">DataShift!V3</f>
        <v>45974</v>
      </c>
      <c r="W32" s="166">
        <f ca="1">DataShift!W3</f>
        <v>45975</v>
      </c>
      <c r="X32" s="166">
        <f ca="1">DataShift!X3</f>
        <v>45978</v>
      </c>
      <c r="Y32" s="166">
        <f ca="1">DataShift!Y3</f>
        <v>45979</v>
      </c>
      <c r="Z32" s="166">
        <f ca="1">DataShift!Z3</f>
        <v>45980</v>
      </c>
      <c r="AA32" s="62"/>
      <c r="AB32" s="62"/>
    </row>
    <row r="33" spans="1:26" x14ac:dyDescent="0.3">
      <c r="A33" s="485" t="s">
        <v>1393</v>
      </c>
      <c r="B33" s="485"/>
      <c r="C33" s="485"/>
      <c r="D33" s="485"/>
      <c r="E33" s="485"/>
      <c r="F33" s="166">
        <f ca="1">F32</f>
        <v>45952</v>
      </c>
      <c r="G33" s="166"/>
      <c r="H33" s="166"/>
      <c r="I33" s="166"/>
      <c r="J33" s="166"/>
      <c r="K33" s="166"/>
      <c r="L33" s="166"/>
      <c r="M33" s="166"/>
      <c r="N33" s="166"/>
      <c r="O33" s="166"/>
      <c r="P33" s="166">
        <f ca="1">P32</f>
        <v>45966</v>
      </c>
      <c r="Q33" s="166"/>
      <c r="R33" s="166"/>
      <c r="S33" s="166"/>
      <c r="T33" s="166"/>
      <c r="U33" s="166"/>
      <c r="V33" s="166"/>
      <c r="W33" s="166"/>
      <c r="X33" s="166"/>
      <c r="Y33" s="166"/>
      <c r="Z33" s="166">
        <f ca="1">Z32</f>
        <v>45980</v>
      </c>
    </row>
    <row r="34" spans="1:26" x14ac:dyDescent="0.3">
      <c r="A34" s="485"/>
      <c r="B34" s="486" t="s">
        <v>1669</v>
      </c>
      <c r="C34" s="486" t="s">
        <v>1670</v>
      </c>
      <c r="D34" s="486" t="s">
        <v>1671</v>
      </c>
      <c r="E34" s="485"/>
    </row>
    <row r="35" spans="1:26" x14ac:dyDescent="0.3">
      <c r="A35" s="485" t="s">
        <v>1667</v>
      </c>
      <c r="B35" s="487">
        <f ca="1">MIN(F35:Z35)</f>
        <v>-3457.2687912002184</v>
      </c>
      <c r="C35" s="487">
        <f ca="1">MAX(F35:Z35)</f>
        <v>1999.9999999999998</v>
      </c>
      <c r="D35" s="485"/>
      <c r="E35" s="485"/>
      <c r="F35" s="94">
        <f ca="1">100*F57*$E57</f>
        <v>-1304.5208097671334</v>
      </c>
      <c r="G35" s="94">
        <f t="shared" ref="G35:Z35" ca="1" si="0">100*G57*$E57</f>
        <v>-443.42161719389941</v>
      </c>
      <c r="H35" s="94">
        <f t="shared" ca="1" si="0"/>
        <v>-398.09650115068058</v>
      </c>
      <c r="I35" s="94">
        <f t="shared" ca="1" si="0"/>
        <v>-520.18566915005647</v>
      </c>
      <c r="J35" s="94">
        <f t="shared" ca="1" si="0"/>
        <v>1259.6637672114523</v>
      </c>
      <c r="K35" s="94">
        <f t="shared" ca="1" si="0"/>
        <v>1999.9999999999998</v>
      </c>
      <c r="L35" s="94">
        <f t="shared" ca="1" si="0"/>
        <v>-1433.5530678316493</v>
      </c>
      <c r="M35" s="94">
        <f t="shared" ca="1" si="0"/>
        <v>-1433.5530678316493</v>
      </c>
      <c r="N35" s="94">
        <f t="shared" ca="1" si="0"/>
        <v>1123.9224558255646</v>
      </c>
      <c r="O35" s="94">
        <f t="shared" ca="1" si="0"/>
        <v>1100.908842688302</v>
      </c>
      <c r="P35" s="94">
        <f t="shared" ca="1" si="0"/>
        <v>960.33077193119323</v>
      </c>
      <c r="Q35" s="94">
        <f t="shared" ca="1" si="0"/>
        <v>783.63303038577044</v>
      </c>
      <c r="R35" s="94">
        <f t="shared" ca="1" si="0"/>
        <v>-2520.2636813979793</v>
      </c>
      <c r="S35" s="94">
        <f t="shared" ca="1" si="0"/>
        <v>-1590.98178414011</v>
      </c>
      <c r="T35" s="94">
        <f t="shared" ca="1" si="0"/>
        <v>275.38323516792133</v>
      </c>
      <c r="U35" s="94">
        <f t="shared" ca="1" si="0"/>
        <v>-1993.5249834223973</v>
      </c>
      <c r="V35" s="94">
        <f t="shared" ca="1" si="0"/>
        <v>487.88859850996602</v>
      </c>
      <c r="W35" s="94">
        <f t="shared" ca="1" si="0"/>
        <v>-948.94098373444615</v>
      </c>
      <c r="X35" s="94">
        <f t="shared" ca="1" si="0"/>
        <v>-3457.2687912002184</v>
      </c>
      <c r="Y35" s="94">
        <f t="shared" ca="1" si="0"/>
        <v>-479.54128798221319</v>
      </c>
      <c r="Z35" s="94">
        <f t="shared" ca="1" si="0"/>
        <v>-479.54128798221319</v>
      </c>
    </row>
    <row r="36" spans="1:26" x14ac:dyDescent="0.3">
      <c r="A36" s="485" t="s">
        <v>1668</v>
      </c>
      <c r="B36" s="487">
        <f ca="1">MIN(F36:Z36)</f>
        <v>0.64871596401412246</v>
      </c>
      <c r="C36" s="487">
        <f ca="1">MAX(F36:Z36)</f>
        <v>15602.449584584778</v>
      </c>
      <c r="D36" s="485"/>
      <c r="E36" s="485"/>
      <c r="F36" s="94">
        <f ca="1">F58*$E58</f>
        <v>739.02772629320259</v>
      </c>
      <c r="G36" s="94">
        <f t="shared" ref="G36:Z36" ca="1" si="1">G58*$E58</f>
        <v>15602.449584584778</v>
      </c>
      <c r="H36" s="94">
        <f t="shared" ca="1" si="1"/>
        <v>698.46891835632675</v>
      </c>
      <c r="I36" s="94">
        <f t="shared" ca="1" si="1"/>
        <v>758.44868530312635</v>
      </c>
      <c r="J36" s="94">
        <f t="shared" ca="1" si="1"/>
        <v>622.61511091979401</v>
      </c>
      <c r="K36" s="94">
        <f t="shared" ca="1" si="1"/>
        <v>792.02242944902912</v>
      </c>
      <c r="L36" s="94">
        <f t="shared" ca="1" si="1"/>
        <v>703.7020321224212</v>
      </c>
      <c r="M36" s="94">
        <f t="shared" ca="1" si="1"/>
        <v>703.83085796747605</v>
      </c>
      <c r="N36" s="94">
        <f t="shared" ca="1" si="1"/>
        <v>506.45899222417705</v>
      </c>
      <c r="O36" s="94">
        <f t="shared" ca="1" si="1"/>
        <v>624.82864849529733</v>
      </c>
      <c r="P36" s="94">
        <f t="shared" ca="1" si="1"/>
        <v>646.80322829283557</v>
      </c>
      <c r="Q36" s="94">
        <f t="shared" ca="1" si="1"/>
        <v>804.33828055263507</v>
      </c>
      <c r="R36" s="94">
        <f t="shared" ca="1" si="1"/>
        <v>1546.6069590193131</v>
      </c>
      <c r="S36" s="94">
        <f t="shared" ca="1" si="1"/>
        <v>588.88536572625355</v>
      </c>
      <c r="T36" s="94">
        <f t="shared" ca="1" si="1"/>
        <v>588.28303175384929</v>
      </c>
      <c r="U36" s="94">
        <f t="shared" ca="1" si="1"/>
        <v>483.148590078143</v>
      </c>
      <c r="V36" s="94">
        <f t="shared" ca="1" si="1"/>
        <v>541.56650073484013</v>
      </c>
      <c r="W36" s="94">
        <f t="shared" ca="1" si="1"/>
        <v>577.92500827325421</v>
      </c>
      <c r="X36" s="94">
        <f t="shared" ca="1" si="1"/>
        <v>0.64871596401412246</v>
      </c>
      <c r="Y36" s="94">
        <f t="shared" ca="1" si="1"/>
        <v>430.84117949580053</v>
      </c>
      <c r="Z36" s="94">
        <f t="shared" ca="1" si="1"/>
        <v>430.84117949580053</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213.04</v>
      </c>
      <c r="P38">
        <f ca="1">F38</f>
        <v>213.04</v>
      </c>
      <c r="Z38">
        <f ca="1">MAX(P56:Z56)</f>
        <v>250.2</v>
      </c>
    </row>
    <row r="39" spans="1:26" x14ac:dyDescent="0.3">
      <c r="A39" s="481"/>
      <c r="B39" s="153"/>
      <c r="C39" s="153"/>
      <c r="D39" s="153"/>
      <c r="E39" s="153"/>
    </row>
    <row r="40" spans="1:26" x14ac:dyDescent="0.3">
      <c r="A40" s="481" t="s">
        <v>2090</v>
      </c>
      <c r="B40" s="481">
        <v>1.4</v>
      </c>
      <c r="C40" s="153"/>
      <c r="D40" s="153"/>
      <c r="E40" s="153"/>
      <c r="F40" s="489">
        <f ca="1">B40*MAX(C$35:C$36)</f>
        <v>21843.429418418687</v>
      </c>
      <c r="P40" s="489">
        <f ca="1">F40</f>
        <v>21843.429418418687</v>
      </c>
      <c r="Z40">
        <v>0</v>
      </c>
    </row>
    <row r="41" spans="1:26" x14ac:dyDescent="0.3">
      <c r="A41" s="153" t="s">
        <v>1672</v>
      </c>
      <c r="B41" s="481">
        <v>1.3</v>
      </c>
      <c r="C41" s="153"/>
      <c r="D41" s="153"/>
      <c r="E41" s="153"/>
      <c r="F41" s="94">
        <f ca="1">B41*MAX(C$35:C$36)</f>
        <v>20283.184459960212</v>
      </c>
      <c r="P41" s="94">
        <f ca="1">F41</f>
        <v>20283.184459960212</v>
      </c>
      <c r="Z41" s="94">
        <f ca="1">B41*MIN(B$35:B$36)</f>
        <v>-4494.4494285602841</v>
      </c>
    </row>
    <row r="42" spans="1:26" x14ac:dyDescent="0.3">
      <c r="A42" s="153" t="s">
        <v>1673</v>
      </c>
      <c r="B42" s="481">
        <v>1.2</v>
      </c>
      <c r="C42" s="153"/>
      <c r="D42" s="153"/>
      <c r="E42" s="153"/>
      <c r="F42" s="94">
        <f t="shared" ref="F42:F43" ca="1" si="2">B42*MAX(C$35:C$36)</f>
        <v>18722.939501501733</v>
      </c>
      <c r="P42" s="94">
        <f t="shared" ref="P42:P43" ca="1" si="3">F42</f>
        <v>18722.939501501733</v>
      </c>
      <c r="Z42" s="94">
        <f t="shared" ref="Z42:Z43" ca="1" si="4">B42*MIN(B$35:B$36)</f>
        <v>-4148.7225494402619</v>
      </c>
    </row>
    <row r="43" spans="1:26" x14ac:dyDescent="0.3">
      <c r="A43" s="153" t="s">
        <v>1674</v>
      </c>
      <c r="B43" s="481">
        <v>1.1000000000000001</v>
      </c>
      <c r="C43" s="153"/>
      <c r="D43" s="153"/>
      <c r="E43" s="153"/>
      <c r="F43" s="94">
        <f t="shared" ca="1" si="2"/>
        <v>17162.694543043257</v>
      </c>
      <c r="P43" s="94">
        <f t="shared" ca="1" si="3"/>
        <v>17162.694543043257</v>
      </c>
      <c r="Z43" s="94">
        <f t="shared" ca="1" si="4"/>
        <v>-3802.9956703202406</v>
      </c>
    </row>
    <row r="44" spans="1:26" x14ac:dyDescent="0.3">
      <c r="A44" s="485" t="s">
        <v>1675</v>
      </c>
      <c r="B44" s="488">
        <f ca="1">_xlfn.XLOOKUP(ChaChaTicker,TabCalc[Ticker],TabCalc[L_Sp])</f>
        <v>221.51499999999999</v>
      </c>
      <c r="C44" s="485"/>
      <c r="D44" s="485"/>
      <c r="E44" s="485"/>
      <c r="F44" s="489">
        <f ca="1">_xlfn.XLOOKUP(ChaChaTicker,TabCalc[Ticker],TabCalc[L_Sp])</f>
        <v>221.51499999999999</v>
      </c>
      <c r="P44">
        <f ca="1">F44</f>
        <v>221.51499999999999</v>
      </c>
      <c r="Z44">
        <f ca="1">P44</f>
        <v>221.51499999999999</v>
      </c>
    </row>
    <row r="45" spans="1:26" x14ac:dyDescent="0.3">
      <c r="A45" s="485" t="s">
        <v>1676</v>
      </c>
      <c r="B45" s="488">
        <f ca="1">ABS(_xlfn.XLOOKUP(ChaChaTicker,TabCalc[Ticker],TabCalc[L_Bp]))</f>
        <v>215.02</v>
      </c>
      <c r="C45" s="485"/>
      <c r="D45" s="485"/>
      <c r="E45" s="485"/>
      <c r="F45" s="489">
        <f ca="1">ABS(_xlfn.XLOOKUP(ChaChaTicker,TabCalc[Ticker],TabCalc[L_Bp]))</f>
        <v>215.02</v>
      </c>
      <c r="P45">
        <f ca="1">F45</f>
        <v>215.02</v>
      </c>
      <c r="Z45">
        <f ca="1">P45</f>
        <v>215.02</v>
      </c>
    </row>
    <row r="46" spans="1:26" x14ac:dyDescent="0.3">
      <c r="A46" s="485" t="s">
        <v>1677</v>
      </c>
      <c r="B46" s="488">
        <f ca="1">_xlfn.XLOOKUP(ChaChaTicker,TabCalc[Ticker],TabCalc[Min_SP])</f>
        <v>166.94</v>
      </c>
      <c r="C46" s="485"/>
      <c r="D46" s="485"/>
      <c r="E46" s="485"/>
      <c r="F46" s="489">
        <f ca="1">_xlfn.XLOOKUP(ChaChaTicker,TabCalc[Ticker],TabCalc[Min_SP])</f>
        <v>166.94</v>
      </c>
      <c r="P46">
        <f t="shared" ref="P46:P49" ca="1" si="5">F46</f>
        <v>166.94</v>
      </c>
      <c r="Z46">
        <f t="shared" ref="Z46:Z49" ca="1" si="6">P46</f>
        <v>166.94</v>
      </c>
    </row>
    <row r="47" spans="1:26" x14ac:dyDescent="0.3">
      <c r="A47" s="485" t="s">
        <v>1678</v>
      </c>
      <c r="B47" s="488">
        <f ca="1">ABS(_xlfn.XLOOKUP(ChaChaTicker,TabCalc[Ticker],TabCalc[Min_PP]))</f>
        <v>236.70750000000001</v>
      </c>
      <c r="C47" s="485"/>
      <c r="D47" s="485"/>
      <c r="E47" s="485"/>
      <c r="F47" s="489">
        <f ca="1">ABS(_xlfn.XLOOKUP(ChaChaTicker,TabCalc[Ticker],TabCalc[Min_PP]))</f>
        <v>236.70750000000001</v>
      </c>
      <c r="P47">
        <f t="shared" ca="1" si="5"/>
        <v>236.70750000000001</v>
      </c>
      <c r="Z47">
        <f t="shared" ca="1" si="6"/>
        <v>236.70750000000001</v>
      </c>
    </row>
    <row r="48" spans="1:26" x14ac:dyDescent="0.3">
      <c r="A48" s="485" t="s">
        <v>1679</v>
      </c>
      <c r="B48" s="488">
        <f ca="1">_xlfn.XLOOKUP(ChaChaTicker,TabCalc[Ticker],TabCalc[Max_SP])</f>
        <v>234.24</v>
      </c>
      <c r="C48" s="485"/>
      <c r="D48" s="485"/>
      <c r="E48" s="485"/>
      <c r="F48" s="489">
        <f ca="1">_xlfn.XLOOKUP(ChaChaTicker,TabCalc[Ticker],TabCalc[Max_SP])</f>
        <v>234.24</v>
      </c>
      <c r="P48">
        <f t="shared" ca="1" si="5"/>
        <v>234.24</v>
      </c>
      <c r="Z48">
        <f t="shared" ca="1" si="6"/>
        <v>234.24</v>
      </c>
    </row>
    <row r="49" spans="1:26" x14ac:dyDescent="0.3">
      <c r="A49" s="485" t="s">
        <v>1680</v>
      </c>
      <c r="B49" s="488">
        <f ca="1">ABS(_xlfn.XLOOKUP(ChaChaTicker,TabCalc[Ticker],TabCalc[Max_PP]))</f>
        <v>132.55000000000001</v>
      </c>
      <c r="C49" s="485"/>
      <c r="D49" s="485"/>
      <c r="E49" s="485"/>
      <c r="F49" s="489">
        <f ca="1">ABS(_xlfn.XLOOKUP(ChaChaTicker,TabCalc[Ticker],TabCalc[Max_PP]))</f>
        <v>132.55000000000001</v>
      </c>
      <c r="P49">
        <f t="shared" ca="1" si="5"/>
        <v>132.55000000000001</v>
      </c>
      <c r="Z49">
        <f t="shared" ca="1" si="6"/>
        <v>132.55000000000001</v>
      </c>
    </row>
    <row r="50" spans="1:26" x14ac:dyDescent="0.3">
      <c r="A50" s="195" t="s">
        <v>131</v>
      </c>
      <c r="B50" s="195">
        <f ca="1">_xlfn.XLOOKUP(ChaChaTicker,TabCalc[Ticker],TabCalc[M])</f>
        <v>221.18199999999999</v>
      </c>
      <c r="C50" s="195"/>
      <c r="D50" s="195"/>
      <c r="E50" s="195"/>
      <c r="F50" s="489">
        <f ca="1">_xlfn.XLOOKUP(ChaChaTicker,TabCalc[Ticker],TabCalc[M])</f>
        <v>221.18199999999999</v>
      </c>
      <c r="P50">
        <f ca="1">F50</f>
        <v>221.18199999999999</v>
      </c>
      <c r="Z50">
        <f ca="1">P50</f>
        <v>221.18199999999999</v>
      </c>
    </row>
    <row r="51" spans="1:26" x14ac:dyDescent="0.3">
      <c r="A51" s="195" t="s">
        <v>1850</v>
      </c>
      <c r="B51" s="526">
        <f ca="1">ChaRSI!B51</f>
        <v>203.15856500000001</v>
      </c>
      <c r="C51" s="195"/>
      <c r="D51" s="195"/>
      <c r="E51" s="195"/>
      <c r="F51" s="526">
        <f ca="1">ChaRSI!F51</f>
        <v>203.15856500000001</v>
      </c>
      <c r="G51" s="195"/>
      <c r="H51" s="195"/>
      <c r="I51" s="195"/>
      <c r="J51" s="195"/>
      <c r="K51" s="195"/>
      <c r="L51" s="195"/>
      <c r="M51" s="195"/>
      <c r="N51" s="195"/>
      <c r="O51" s="195"/>
      <c r="P51" s="526">
        <f ca="1">ChaRSI!P51</f>
        <v>203.15856500000001</v>
      </c>
      <c r="Q51" s="195"/>
      <c r="R51" s="195"/>
      <c r="S51" s="195"/>
      <c r="T51" s="195"/>
      <c r="U51" s="195"/>
      <c r="V51" s="195"/>
      <c r="W51" s="195"/>
      <c r="X51" s="195"/>
      <c r="Y51" s="195"/>
      <c r="Z51" s="526">
        <f ca="1">ChaRSI!Z51</f>
        <v>203.15856500000001</v>
      </c>
    </row>
    <row r="52" spans="1:26" x14ac:dyDescent="0.3">
      <c r="A52" s="490" t="s">
        <v>1682</v>
      </c>
      <c r="B52" s="491">
        <f ca="1">MIN(B44:B45,P56:Z56)</f>
        <v>215.02</v>
      </c>
      <c r="C52" s="491">
        <f ca="1">MAX(B44:B45,P56:Z56)</f>
        <v>250.2</v>
      </c>
    </row>
    <row r="53" spans="1:26" x14ac:dyDescent="0.3">
      <c r="A53" s="490" t="s">
        <v>1683</v>
      </c>
      <c r="B53" s="491">
        <f ca="1">MIN(B44:B49,F56:Z56)</f>
        <v>132.55000000000001</v>
      </c>
      <c r="C53" s="491">
        <f ca="1">MAX(B44:B49,F56:Z56)</f>
        <v>250.2</v>
      </c>
    </row>
    <row r="54" spans="1:26" x14ac:dyDescent="0.3">
      <c r="A54" s="490" t="s">
        <v>1681</v>
      </c>
      <c r="B54" s="490">
        <f ca="1">MIN(B44:B48,F56:Z56)</f>
        <v>166.94</v>
      </c>
      <c r="C54" s="491">
        <f ca="1">MAX(B44:B48,F56:Z56)</f>
        <v>250.2</v>
      </c>
    </row>
    <row r="55" spans="1:26" x14ac:dyDescent="0.3">
      <c r="A55" s="480" t="s">
        <v>1665</v>
      </c>
      <c r="B55" s="480"/>
      <c r="C55" s="480"/>
      <c r="D55" s="480"/>
      <c r="E55" s="480"/>
      <c r="F55" s="484">
        <f ca="1">DataShift!F203</f>
        <v>45952</v>
      </c>
      <c r="G55" s="484">
        <f ca="1">DataShift!G203</f>
        <v>45953</v>
      </c>
      <c r="H55" s="484">
        <f ca="1">DataShift!H203</f>
        <v>45954</v>
      </c>
      <c r="I55" s="484">
        <f ca="1">DataShift!I203</f>
        <v>45957</v>
      </c>
      <c r="J55" s="484">
        <f ca="1">DataShift!J203</f>
        <v>45958</v>
      </c>
      <c r="K55" s="484">
        <f ca="1">DataShift!K203</f>
        <v>45959</v>
      </c>
      <c r="L55" s="484">
        <f ca="1">DataShift!L203</f>
        <v>45960</v>
      </c>
      <c r="M55" s="484">
        <f ca="1">DataShift!M203</f>
        <v>45961</v>
      </c>
      <c r="N55" s="484">
        <f ca="1">DataShift!N203</f>
        <v>45964</v>
      </c>
      <c r="O55" s="484">
        <f ca="1">DataShift!O203</f>
        <v>45965</v>
      </c>
      <c r="P55" s="484">
        <f ca="1">DataShift!P203</f>
        <v>45966</v>
      </c>
      <c r="Q55" s="484">
        <f ca="1">DataShift!Q203</f>
        <v>45967</v>
      </c>
      <c r="R55" s="484">
        <f ca="1">DataShift!R203</f>
        <v>45968</v>
      </c>
      <c r="S55" s="484">
        <f ca="1">DataShift!S203</f>
        <v>45971</v>
      </c>
      <c r="T55" s="484">
        <f ca="1">DataShift!T203</f>
        <v>45972</v>
      </c>
      <c r="U55" s="484">
        <f ca="1">DataShift!U203</f>
        <v>45973</v>
      </c>
      <c r="V55" s="484">
        <f ca="1">DataShift!V203</f>
        <v>45974</v>
      </c>
      <c r="W55" s="484">
        <f ca="1">DataShift!W203</f>
        <v>45975</v>
      </c>
      <c r="X55" s="484">
        <f ca="1">DataShift!X203</f>
        <v>45978</v>
      </c>
      <c r="Y55" s="484">
        <f ca="1">DataShift!Y203</f>
        <v>45979</v>
      </c>
      <c r="Z55" s="484">
        <f ca="1">DataShift!Z203</f>
        <v>45980</v>
      </c>
    </row>
    <row r="56" spans="1:26" x14ac:dyDescent="0.3">
      <c r="A56" s="153" t="s">
        <v>139</v>
      </c>
      <c r="B56" s="153">
        <f ca="1">MIN(F56:Z56)</f>
        <v>213.04</v>
      </c>
      <c r="C56" s="153">
        <f ca="1">MAX(F56:Z56)</f>
        <v>250.2</v>
      </c>
      <c r="D56" s="483">
        <f ca="1">AVERAGE(F56:Y56)</f>
        <v>226.18291999999997</v>
      </c>
      <c r="E56" s="153"/>
      <c r="F56" cm="1">
        <f t="array" aca="1" ref="F56" ca="1">_xlfn.XLOOKUP(ChaChaTicker,ListTickers,Tab1Price[Price0])</f>
        <v>216.39</v>
      </c>
      <c r="G56" cm="1">
        <f t="array" aca="1" ref="G56" ca="1">_xlfn.XLOOKUP(ChaRSITicker,ListTickers,Tab1Price[Price1])</f>
        <v>215.16</v>
      </c>
      <c r="H56" cm="1">
        <f t="array" aca="1" ref="H56" ca="1">_xlfn.XLOOKUP(ChaRSITicker,ListTickers,Tab1Price[Price2])</f>
        <v>214.47</v>
      </c>
      <c r="I56" cm="1">
        <f t="array" aca="1" ref="I56" ca="1">_xlfn.XLOOKUP(ChaRSITicker,ListTickers,Tab1Price[Price3])</f>
        <v>213.04</v>
      </c>
      <c r="J56" cm="1">
        <f t="array" aca="1" ref="J56" ca="1">_xlfn.XLOOKUP(ChaRSITicker,ListTickers,Tab1Price[Price4])</f>
        <v>216.48</v>
      </c>
      <c r="K56" cm="1">
        <f t="array" aca="1" ref="K56" ca="1">_xlfn.XLOOKUP(ChaRSITicker,ListTickers,Tab1Price[Price5])</f>
        <v>222.03</v>
      </c>
      <c r="L56" cm="1">
        <f t="array" aca="1" ref="L56" ca="1">_xlfn.XLOOKUP(ChaRSITicker,ListTickers,Tab1Price[Price6])</f>
        <v>217.95</v>
      </c>
      <c r="M56" cm="1">
        <f t="array" aca="1" ref="M56" ca="1">_xlfn.XLOOKUP(ChaRSITicker,ListTickers,Tab1Price[Price7])</f>
        <v>217.95</v>
      </c>
      <c r="N56" cm="1">
        <f t="array" aca="1" ref="N56" ca="1">_xlfn.XLOOKUP(ChaRSITicker,ListTickers,Tab1Price[Price8])</f>
        <v>221.09</v>
      </c>
      <c r="O56" cm="1">
        <f t="array" aca="1" ref="O56" ca="1">_xlfn.XLOOKUP(ChaRSITicker,ListTickers,Tab1Price[Price9])</f>
        <v>224.21</v>
      </c>
      <c r="P56" cm="1">
        <f t="array" aca="1" ref="P56" ca="1">_xlfn.XLOOKUP(ChaRSITicker,ListTickers,Tab1Price[Price10])</f>
        <v>226.97</v>
      </c>
      <c r="Q56" cm="1">
        <f t="array" aca="1" ref="Q56" ca="1">_xlfn.XLOOKUP(ChaRSITicker,ListTickers,Tab1Price[Price11])</f>
        <v>229.25</v>
      </c>
      <c r="R56" cm="1">
        <f t="array" aca="1" ref="R56" ca="1">_xlfn.XLOOKUP(ChaRSITicker,ListTickers,Tab1Price[Price12])</f>
        <v>222.86</v>
      </c>
      <c r="S56" cm="1">
        <f t="array" aca="1" ref="S56" ca="1">_xlfn.XLOOKUP(ChaRSITicker,ListTickers,Tab1Price[Price13])</f>
        <v>248.82</v>
      </c>
      <c r="T56" cm="1">
        <f t="array" aca="1" ref="T56" ca="1">_xlfn.XLOOKUP(ChaRSITicker,ListTickers,Tab1Price[Price14])</f>
        <v>250.2</v>
      </c>
      <c r="U56" cm="1">
        <f t="array" aca="1" ref="U56" ca="1">_xlfn.XLOOKUP(ChaRSITicker,ListTickers,Tab1Price[Price15])</f>
        <v>243.8064</v>
      </c>
      <c r="V56" cm="1">
        <f t="array" aca="1" ref="V56" ca="1">_xlfn.XLOOKUP(ChaRSITicker,ListTickers,Tab1Price[Price16])</f>
        <v>244.56</v>
      </c>
      <c r="W56" cm="1">
        <f t="array" aca="1" ref="W56" ca="1">_xlfn.XLOOKUP(ChaRSITicker,ListTickers,Tab1Price[Price17])</f>
        <v>234.69</v>
      </c>
      <c r="X56" cm="1">
        <f t="array" aca="1" ref="X56" ca="1">_xlfn.XLOOKUP(ChaRSITicker,ListTickers,Tab1Price[Price18])</f>
        <v>222.55</v>
      </c>
      <c r="Y56" cm="1">
        <f t="array" aca="1" ref="Y56" ca="1">_xlfn.XLOOKUP(ChaRSITicker,ListTickers,Tab1Price[Price19])</f>
        <v>221.18199999999999</v>
      </c>
      <c r="Z56" cm="1">
        <f t="array" aca="1" ref="Z56" ca="1">_xlfn.XLOOKUP(ChaRSITicker,ListTickers,Tab1Price[Price20])</f>
        <v>221.18199999999999</v>
      </c>
    </row>
    <row r="57" spans="1:26" x14ac:dyDescent="0.3">
      <c r="A57" s="153" t="s">
        <v>195</v>
      </c>
      <c r="B57" s="482">
        <f t="shared" ref="B57" ca="1" si="7">MIN(F57:Z57)</f>
        <v>-4.4317000000000002E-2</v>
      </c>
      <c r="C57" s="482">
        <f t="shared" ref="C57" ca="1" si="8">MAX(F57:Z57)</f>
        <v>2.5637E-2</v>
      </c>
      <c r="D57" s="483">
        <f ca="1">IFERROR(AVERAGEIF(F57:Y57, "&gt;0"), "")</f>
        <v>1.2805250000000001E-2</v>
      </c>
      <c r="E57" s="153">
        <f ca="1">E58</f>
        <v>780.12247922923893</v>
      </c>
      <c r="F57" s="310" cm="1">
        <f t="array" aca="1" ref="F57" ca="1">_xlfn.XLOOKUP(ChaChaTicker,ListTickers,Tab1ChangePercent[Change%0])</f>
        <v>-1.6722000000000001E-2</v>
      </c>
      <c r="G57" s="310" cm="1">
        <f t="array" aca="1" ref="G57" ca="1">_xlfn.XLOOKUP(ChaChaTicker,ListTickers,Tab1ChangePercent[Change%1])</f>
        <v>-5.6839999999999998E-3</v>
      </c>
      <c r="H57" s="310" cm="1">
        <f t="array" aca="1" ref="H57" ca="1">_xlfn.XLOOKUP(ChaChaTicker,ListTickers,Tab1ChangePercent[Change%2])</f>
        <v>-5.1029999999999999E-3</v>
      </c>
      <c r="I57" s="310" cm="1">
        <f t="array" aca="1" ref="I57" ca="1">_xlfn.XLOOKUP(ChaChaTicker,ListTickers,Tab1ChangePercent[Change%3])</f>
        <v>-6.6679999999999994E-3</v>
      </c>
      <c r="J57" s="310" cm="1">
        <f t="array" aca="1" ref="J57" ca="1">_xlfn.XLOOKUP(ChaChaTicker,ListTickers,Tab1ChangePercent[Change%4])</f>
        <v>1.6147000000000002E-2</v>
      </c>
      <c r="K57" s="310" cm="1">
        <f t="array" aca="1" ref="K57" ca="1">_xlfn.XLOOKUP(ChaChaTicker,ListTickers,Tab1ChangePercent[Change%5])</f>
        <v>2.5637E-2</v>
      </c>
      <c r="L57" s="310" cm="1">
        <f t="array" aca="1" ref="L57" ca="1">_xlfn.XLOOKUP(ChaChaTicker,ListTickers,Tab1ChangePercent[Change%6])</f>
        <v>-1.8376E-2</v>
      </c>
      <c r="M57" s="310" cm="1">
        <f t="array" aca="1" ref="M57" ca="1">_xlfn.XLOOKUP(ChaChaTicker,ListTickers,Tab1ChangePercent[Change%7])</f>
        <v>-1.8376E-2</v>
      </c>
      <c r="N57" s="310" cm="1">
        <f t="array" aca="1" ref="N57" ca="1">_xlfn.XLOOKUP(ChaChaTicker,ListTickers,Tab1ChangePercent[Change%8])</f>
        <v>1.4407000000000001E-2</v>
      </c>
      <c r="O57" s="310" cm="1">
        <f t="array" aca="1" ref="O57" ca="1">_xlfn.XLOOKUP(ChaChaTicker,ListTickers,Tab1ChangePercent[Change%9])</f>
        <v>1.4112E-2</v>
      </c>
      <c r="P57" s="310" cm="1">
        <f t="array" aca="1" ref="P57" ca="1">_xlfn.XLOOKUP(ChaChaTicker,ListTickers,Tab1ChangePercent[Change%10])</f>
        <v>1.2310000000000001E-2</v>
      </c>
      <c r="Q57" s="310" cm="1">
        <f t="array" aca="1" ref="Q57" ca="1">_xlfn.XLOOKUP(ChaChaTicker,ListTickers,Tab1ChangePercent[Change%11])</f>
        <v>1.0045E-2</v>
      </c>
      <c r="R57" s="310" cm="1">
        <f t="array" aca="1" ref="R57" ca="1">_xlfn.XLOOKUP(ChaChaTicker,ListTickers,Tab1ChangePercent[Change%12])</f>
        <v>-3.2306000000000001E-2</v>
      </c>
      <c r="S57" s="310" cm="1">
        <f t="array" aca="1" ref="S57" ca="1">_xlfn.XLOOKUP(ChaChaTicker,ListTickers,Tab1ChangePercent[Change%13])</f>
        <v>-2.0394000000000002E-2</v>
      </c>
      <c r="T57" s="310" cm="1">
        <f t="array" aca="1" ref="T57" ca="1">_xlfn.XLOOKUP(ChaChaTicker,ListTickers,Tab1ChangePercent[Change%14])</f>
        <v>3.5299999999999997E-3</v>
      </c>
      <c r="U57" s="310" cm="1">
        <f t="array" aca="1" ref="U57" ca="1">_xlfn.XLOOKUP(ChaChaTicker,ListTickers,Tab1ChangePercent[Change%15])</f>
        <v>-2.5554E-2</v>
      </c>
      <c r="V57" s="310" cm="1">
        <f t="array" aca="1" ref="V57" ca="1">_xlfn.XLOOKUP(ChaChaTicker,ListTickers,Tab1ChangePercent[Change%16])</f>
        <v>6.2539999999999991E-3</v>
      </c>
      <c r="W57" s="310" cm="1">
        <f t="array" aca="1" ref="W57" ca="1">_xlfn.XLOOKUP(ChaChaTicker,ListTickers,Tab1ChangePercent[Change%17])</f>
        <v>-1.2163999999999999E-2</v>
      </c>
      <c r="X57" s="310" cm="1">
        <f t="array" aca="1" ref="X57" ca="1">_xlfn.XLOOKUP(ChaChaTicker,ListTickers,Tab1ChangePercent[Change%18])</f>
        <v>-4.4317000000000002E-2</v>
      </c>
      <c r="Y57" s="310" cm="1">
        <f t="array" aca="1" ref="Y57" ca="1">_xlfn.XLOOKUP(ChaChaTicker,ListTickers,Tab1ChangePercent[Change%19])</f>
        <v>-6.1470000000000006E-3</v>
      </c>
      <c r="Z57" s="310" cm="1">
        <f t="array" aca="1" ref="Z57" ca="1">_xlfn.XLOOKUP(ChaChaTicker,ListTickers,Tab1ChangePercent[Change%20])</f>
        <v>-6.1470000000000006E-3</v>
      </c>
    </row>
    <row r="58" spans="1:26" x14ac:dyDescent="0.3">
      <c r="A58" s="153" t="s">
        <v>544</v>
      </c>
      <c r="B58" s="482">
        <f t="shared" ref="B58" ca="1" si="9">MIN(F58:Z58)</f>
        <v>8.3155655847150288E-4</v>
      </c>
      <c r="C58" s="482">
        <f t="shared" ref="C58" ca="1" si="10">MAX(F58:Z58)</f>
        <v>20</v>
      </c>
      <c r="D58" s="483">
        <f ca="1">IFERROR(AVERAGEIF(F58:Y58, "&gt;0"), "")</f>
        <v>1.7920839733545393</v>
      </c>
      <c r="E58" s="153">
        <f ca="1">C58/C57</f>
        <v>780.12247922923893</v>
      </c>
      <c r="F58" s="90" cm="1">
        <f t="array" aca="1" ref="F58" ca="1">_xlfn.XLOOKUP(ChaChaTicker,ListTickers,Tab2Agiotage[XAgio0])</f>
        <v>0.94732269094894184</v>
      </c>
      <c r="G58" s="90" cm="1">
        <f t="array" aca="1" ref="G58" ca="1">_xlfn.XLOOKUP(ChaRSITicker,ListTickers,Tab2Free2[Price_R_1])</f>
        <v>20</v>
      </c>
      <c r="H58" s="90" cm="1">
        <f t="array" aca="1" ref="H58" ca="1">_xlfn.XLOOKUP(ChaRSITicker,ListTickers,Tab2Agiotage[XAgio2])</f>
        <v>0.89533238299505757</v>
      </c>
      <c r="I58" s="90" cm="1">
        <f t="array" aca="1" ref="I58" ca="1">_xlfn.XLOOKUP(ChaRSITicker,ListTickers,Tab2Agiotage[XAgio3])</f>
        <v>0.97221744725581261</v>
      </c>
      <c r="J58" s="90" cm="1">
        <f t="array" aca="1" ref="J58" ca="1">_xlfn.XLOOKUP(ChaRSITicker,ListTickers,Tab2Agiotage[XAgio4])</f>
        <v>0.79809917993253798</v>
      </c>
      <c r="K58" s="90" cm="1">
        <f t="array" aca="1" ref="K58" ca="1">_xlfn.XLOOKUP(ChaRSITicker,ListTickers,Tab2Agiotage[XAgio5])</f>
        <v>1.015253951189238</v>
      </c>
      <c r="L58" s="90" cm="1">
        <f t="array" aca="1" ref="L58" ca="1">_xlfn.XLOOKUP(ChaRSITicker,ListTickers,Tab2Agiotage[XAgio6])</f>
        <v>0.90204044987612564</v>
      </c>
      <c r="M58" s="90" cm="1">
        <f t="array" aca="1" ref="M58" ca="1">_xlfn.XLOOKUP(ChaRSITicker,ListTickers,Tab2Agiotage[XAgio7])</f>
        <v>0.90220558528560924</v>
      </c>
      <c r="N58" s="90" cm="1">
        <f t="array" aca="1" ref="N58" ca="1">_xlfn.XLOOKUP(ChaRSITicker,ListTickers,Tab2Agiotage[XAgio8])</f>
        <v>0.64920445918256142</v>
      </c>
      <c r="O58" s="90" cm="1">
        <f t="array" aca="1" ref="O58" ca="1">_xlfn.XLOOKUP(ChaRSITicker,ListTickers,Tab2Agiotage[XAgio9])</f>
        <v>0.80093660307369696</v>
      </c>
      <c r="P58" s="90" cm="1">
        <f t="array" aca="1" ref="P58" ca="1">_xlfn.XLOOKUP(ChaRSITicker,ListTickers,Tab2Agiotage[XAgio10])</f>
        <v>0.82910471818717135</v>
      </c>
      <c r="Q58" s="90" cm="1">
        <f t="array" aca="1" ref="Q58" ca="1">_xlfn.XLOOKUP(ChaRSITicker,ListTickers,Tab2Agiotage[XAgio11])</f>
        <v>1.0310410249263953</v>
      </c>
      <c r="R58" s="90" cm="1">
        <f t="array" aca="1" ref="R58" ca="1">_xlfn.XLOOKUP(ChaRSITicker,ListTickers,Tab2Agiotage[XAgio12])</f>
        <v>1.9825181304189066</v>
      </c>
      <c r="S58" s="90" cm="1">
        <f t="array" aca="1" ref="S58" ca="1">_xlfn.XLOOKUP(ChaRSITicker,ListTickers,Tab2Agiotage[XAgio13])</f>
        <v>0.75486270605619821</v>
      </c>
      <c r="T58" s="90" cm="1">
        <f t="array" aca="1" ref="T58" ca="1">_xlfn.XLOOKUP(ChaRSITicker,ListTickers,Tab2Agiotage[XAgio14])</f>
        <v>0.75409060425367169</v>
      </c>
      <c r="U58" s="90" cm="1">
        <f t="array" aca="1" ref="U58" ca="1">_xlfn.XLOOKUP(ChaRSITicker,ListTickers,Tab2Agiotage[XAgio15])</f>
        <v>0.61932402019166766</v>
      </c>
      <c r="V58" s="90" cm="1">
        <f t="array" aca="1" ref="V58" ca="1">_xlfn.XLOOKUP(ChaRSITicker,ListTickers,Tab2Agiotage[XAgio16])</f>
        <v>0.6942070189669548</v>
      </c>
      <c r="W58" s="90" cm="1">
        <f t="array" aca="1" ref="W58" ca="1">_xlfn.XLOOKUP(ChaRSITicker,ListTickers,Tab2Agiotage[XAgio17])</f>
        <v>0.7408131718550709</v>
      </c>
      <c r="X58" s="90" cm="1">
        <f t="array" aca="1" ref="X58" ca="1">_xlfn.XLOOKUP(ChaRSITicker,ListTickers,Tab2Agiotage[XAgio18])</f>
        <v>8.3155655847150288E-4</v>
      </c>
      <c r="Y58" s="90" cm="1">
        <f t="array" aca="1" ref="Y58" ca="1">_xlfn.XLOOKUP(ChaRSITicker,ListTickers,Tab2Agiotage[XAgio19])</f>
        <v>0.55227376593669197</v>
      </c>
      <c r="Z58" s="90" cm="1">
        <f t="array" aca="1" ref="Z58" ca="1">_xlfn.XLOOKUP(ChaRSITicker,ListTickers,Tab2Agiotage[XAgio20])</f>
        <v>0.55227376593669197</v>
      </c>
    </row>
    <row r="59" spans="1:26" x14ac:dyDescent="0.3">
      <c r="A59" s="153" t="s">
        <v>662</v>
      </c>
      <c r="B59" s="153"/>
      <c r="C59" s="153"/>
      <c r="D59" s="153"/>
      <c r="E59" s="153"/>
      <c r="F59" cm="1">
        <f t="array" aca="1" ref="F59" ca="1">_xlfn.XLOOKUP(ChaChaTicker,ListTickers,Tab2RSIConventional[RSIConv0])</f>
        <v>61</v>
      </c>
      <c r="G59" cm="1">
        <f t="array" aca="1" ref="G59" ca="1">_xlfn.XLOOKUP(ChaRSITicker,ListTickers,Tab2RSIConventional[RSIConv1])</f>
        <v>59</v>
      </c>
      <c r="H59" cm="1">
        <f t="array" aca="1" ref="H59" ca="1">_xlfn.XLOOKUP(ChaRSITicker,ListTickers,Tab2RSIConventional[RSIConv2])</f>
        <v>61</v>
      </c>
      <c r="I59" cm="1">
        <f t="array" aca="1" ref="I59" ca="1">_xlfn.XLOOKUP(ChaRSITicker,ListTickers,Tab2RSIConventional[RSIConv3])</f>
        <v>56</v>
      </c>
      <c r="J59" cm="1">
        <f t="array" aca="1" ref="J59" ca="1">_xlfn.XLOOKUP(ChaRSITicker,ListTickers,Tab2RSIConventional[RSIConv4])</f>
        <v>60</v>
      </c>
      <c r="K59" cm="1">
        <f t="array" aca="1" ref="K59" ca="1">_xlfn.XLOOKUP(ChaRSITicker,ListTickers,Tab2RSIConventional[RSIConv5])</f>
        <v>70</v>
      </c>
      <c r="L59" cm="1">
        <f t="array" aca="1" ref="L59" ca="1">_xlfn.XLOOKUP(ChaRSITicker,ListTickers,Tab2RSIConventional[RSIConv6])</f>
        <v>61</v>
      </c>
      <c r="M59" cm="1">
        <f t="array" aca="1" ref="M59" ca="1">_xlfn.XLOOKUP(ChaRSITicker,ListTickers,Tab2RSIConventional[RSIConv7])</f>
        <v>54</v>
      </c>
      <c r="N59" cm="1">
        <f t="array" aca="1" ref="N59" ca="1">_xlfn.XLOOKUP(ChaRSITicker,ListTickers,Tab2RSIConventional[RSIConv8])</f>
        <v>61</v>
      </c>
      <c r="O59" cm="1">
        <f t="array" aca="1" ref="O59" ca="1">_xlfn.XLOOKUP(ChaRSITicker,ListTickers,Tab2RSIConventional[RSIConv9])</f>
        <v>63</v>
      </c>
      <c r="P59" cm="1">
        <f t="array" aca="1" ref="P59" ca="1">_xlfn.XLOOKUP(ChaRSITicker,ListTickers,Tab2RSIConventional[RSIConv10])</f>
        <v>63</v>
      </c>
      <c r="Q59" cm="1">
        <f t="array" aca="1" ref="Q59" ca="1">_xlfn.XLOOKUP(ChaRSITicker,ListTickers,Tab2RSIConventional[RSIConv11])</f>
        <v>63</v>
      </c>
      <c r="R59" cm="1">
        <f t="array" aca="1" ref="R59" ca="1">_xlfn.XLOOKUP(ChaRSITicker,ListTickers,Tab2RSIConventional[RSIConv12])</f>
        <v>50</v>
      </c>
      <c r="S59" cm="1">
        <f t="array" aca="1" ref="S59" ca="1">_xlfn.XLOOKUP(ChaRSITicker,ListTickers,Tab2RSIConventional[RSIConv13])</f>
        <v>41</v>
      </c>
      <c r="T59" cm="1">
        <f t="array" aca="1" ref="T59" ca="1">_xlfn.XLOOKUP(ChaRSITicker,ListTickers,Tab2RSIConventional[RSIConv14])</f>
        <v>46</v>
      </c>
      <c r="U59" cm="1">
        <f t="array" aca="1" ref="U59" ca="1">_xlfn.XLOOKUP(ChaRSITicker,ListTickers,Tab2RSIConventional[RSIConv15])</f>
        <v>41</v>
      </c>
      <c r="V59" cm="1">
        <f t="array" aca="1" ref="V59" ca="1">_xlfn.XLOOKUP(ChaRSITicker,ListTickers,Tab2RSIConventional[RSIConv16])</f>
        <v>44</v>
      </c>
      <c r="W59" cm="1">
        <f t="array" aca="1" ref="W59" ca="1">_xlfn.XLOOKUP(ChaRSITicker,ListTickers,Tab2RSIConventional[RSIConv17])</f>
        <v>42</v>
      </c>
      <c r="X59" cm="1">
        <f t="array" aca="1" ref="X59" ca="1">_xlfn.XLOOKUP(ChaRSITicker,ListTickers,Tab2RSIConventional[RSIConv18])</f>
        <v>31</v>
      </c>
      <c r="Y59" cm="1">
        <f t="array" aca="1" ref="Y59" ca="1">_xlfn.XLOOKUP(ChaRSITicker,ListTickers,Tab2RSIConventional[RSIConv19])</f>
        <v>24</v>
      </c>
      <c r="Z59" cm="1">
        <f t="array" aca="1" ref="Z59" ca="1">_xlfn.XLOOKUP(ChaRSITicker,ListTickers,Tab2RSIConventional[RSIConv20])</f>
        <v>24</v>
      </c>
    </row>
    <row r="60" spans="1:26" x14ac:dyDescent="0.3">
      <c r="A60" s="153"/>
      <c r="B60" s="153"/>
      <c r="C60" s="153"/>
      <c r="D60" s="153"/>
      <c r="E60" s="481">
        <v>1</v>
      </c>
      <c r="F60" s="221">
        <f t="shared" ref="F60:Z60" ca="1" si="11">$E58</f>
        <v>780.12247922923893</v>
      </c>
      <c r="G60" s="221">
        <f t="shared" ca="1" si="11"/>
        <v>780.12247922923893</v>
      </c>
      <c r="H60" s="221">
        <f t="shared" ca="1" si="11"/>
        <v>780.12247922923893</v>
      </c>
      <c r="I60" s="221">
        <f t="shared" ca="1" si="11"/>
        <v>780.12247922923893</v>
      </c>
      <c r="J60" s="221">
        <f t="shared" ca="1" si="11"/>
        <v>780.12247922923893</v>
      </c>
      <c r="K60" s="221">
        <f t="shared" ca="1" si="11"/>
        <v>780.12247922923893</v>
      </c>
      <c r="L60" s="221">
        <f t="shared" ca="1" si="11"/>
        <v>780.12247922923893</v>
      </c>
      <c r="M60" s="221">
        <f t="shared" ca="1" si="11"/>
        <v>780.12247922923893</v>
      </c>
      <c r="N60" s="221">
        <f t="shared" ca="1" si="11"/>
        <v>780.12247922923893</v>
      </c>
      <c r="O60" s="221">
        <f t="shared" ca="1" si="11"/>
        <v>780.12247922923893</v>
      </c>
      <c r="P60" s="221">
        <f t="shared" ca="1" si="11"/>
        <v>780.12247922923893</v>
      </c>
      <c r="Q60" s="221">
        <f t="shared" ca="1" si="11"/>
        <v>780.12247922923893</v>
      </c>
      <c r="R60" s="221">
        <f t="shared" ca="1" si="11"/>
        <v>780.12247922923893</v>
      </c>
      <c r="S60" s="221">
        <f t="shared" ca="1" si="11"/>
        <v>780.12247922923893</v>
      </c>
      <c r="T60" s="221">
        <f t="shared" ca="1" si="11"/>
        <v>780.12247922923893</v>
      </c>
      <c r="U60" s="221">
        <f t="shared" ca="1" si="11"/>
        <v>780.12247922923893</v>
      </c>
      <c r="V60" s="221">
        <f t="shared" ca="1" si="11"/>
        <v>780.12247922923893</v>
      </c>
      <c r="W60" s="221">
        <f t="shared" ca="1" si="11"/>
        <v>780.12247922923893</v>
      </c>
      <c r="X60" s="221">
        <f t="shared" ca="1" si="11"/>
        <v>780.12247922923893</v>
      </c>
      <c r="Y60" s="221">
        <f t="shared" ca="1" si="11"/>
        <v>780.12247922923893</v>
      </c>
      <c r="Z60" s="221">
        <f t="shared" ca="1" si="11"/>
        <v>780.12247922923893</v>
      </c>
    </row>
    <row r="62" spans="1:26" x14ac:dyDescent="0.3">
      <c r="A62" s="153"/>
    </row>
    <row r="63" spans="1:26" x14ac:dyDescent="0.3">
      <c r="A63" s="153"/>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45980</v>
      </c>
    </row>
    <row r="3" spans="1:16" x14ac:dyDescent="0.3">
      <c r="A3" s="62">
        <f ca="1">TODAY()</f>
        <v>45980</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45979</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45978</v>
      </c>
      <c r="B5" s="72" t="str" cm="1">
        <f t="array" aca="1" ref="B5" ca="1">IFERROR(_xlfn.TEXTJOIN(", ", TRUE, _xlfn._xlws.FILTER(MSG!C$5:C$98, MSG!B$5:B$98=A5)),"")</f>
        <v/>
      </c>
      <c r="D5" s="71"/>
      <c r="E5" s="72"/>
      <c r="G5" s="71"/>
      <c r="H5" s="72"/>
      <c r="J5" s="71"/>
      <c r="K5" s="72"/>
      <c r="M5" s="71"/>
      <c r="N5" s="72"/>
      <c r="P5" s="71"/>
    </row>
    <row r="6" spans="1:16" x14ac:dyDescent="0.3">
      <c r="A6" s="62">
        <f t="shared" ca="1" si="0"/>
        <v>45977</v>
      </c>
      <c r="B6" s="73" t="str" cm="1">
        <f t="array" aca="1" ref="B6" ca="1">IFERROR(_xlfn.TEXTJOIN(", ", TRUE, _xlfn._xlws.FILTER(MSG!C$5:C$98, MSG!B$5:B$98=A6)),"")</f>
        <v/>
      </c>
      <c r="D6" s="71"/>
      <c r="E6" s="73"/>
      <c r="G6" s="71"/>
      <c r="H6" s="73"/>
      <c r="J6" s="71"/>
      <c r="K6" s="73"/>
      <c r="M6" s="71"/>
      <c r="N6" s="73"/>
      <c r="P6" s="71"/>
    </row>
    <row r="7" spans="1:16" x14ac:dyDescent="0.3">
      <c r="A7" s="62">
        <f t="shared" ca="1" si="0"/>
        <v>45976</v>
      </c>
      <c r="B7" s="74" t="str" cm="1">
        <f t="array" aca="1" ref="B7" ca="1">IFERROR(_xlfn.TEXTJOIN(", ", TRUE, _xlfn._xlws.FILTER(MSG!C$5:C$98, MSG!B$5:B$98=A7)),"")</f>
        <v/>
      </c>
      <c r="D7" s="71"/>
      <c r="E7" s="74"/>
      <c r="G7" s="71"/>
      <c r="H7" s="74"/>
      <c r="J7" s="71"/>
      <c r="K7" s="74"/>
      <c r="M7" s="71"/>
      <c r="N7" s="74"/>
      <c r="P7" s="71"/>
    </row>
    <row r="8" spans="1:16" x14ac:dyDescent="0.3">
      <c r="A8" s="62">
        <f t="shared" ca="1" si="0"/>
        <v>45975</v>
      </c>
      <c r="B8" s="75" t="str" cm="1">
        <f t="array" aca="1" ref="B8" ca="1">IFERROR(_xlfn.TEXTJOIN(", ", TRUE, _xlfn._xlws.FILTER(MSG!C$5:C$98, MSG!B$5:B$98=A8)),"")</f>
        <v/>
      </c>
      <c r="D8" s="71"/>
      <c r="E8" s="75"/>
      <c r="G8" s="71"/>
      <c r="H8" s="75"/>
      <c r="J8" s="71"/>
      <c r="K8" s="75"/>
      <c r="M8" s="71"/>
      <c r="N8" s="75"/>
      <c r="P8" s="71"/>
    </row>
    <row r="9" spans="1:16" x14ac:dyDescent="0.3">
      <c r="A9" s="62">
        <f t="shared" ca="1" si="0"/>
        <v>45974</v>
      </c>
      <c r="B9" s="76" t="str" cm="1">
        <f t="array" aca="1" ref="B9" ca="1">IFERROR(_xlfn.TEXTJOIN(", ", TRUE, _xlfn._xlws.FILTER(MSG!C$5:C$98, MSG!B$5:B$98=A9)),"")</f>
        <v/>
      </c>
      <c r="D9" s="71"/>
      <c r="E9" s="76"/>
      <c r="G9" s="71"/>
      <c r="H9" s="76"/>
      <c r="J9" s="71"/>
      <c r="K9" s="76"/>
      <c r="M9" s="71"/>
      <c r="N9" s="76"/>
      <c r="P9" s="71"/>
    </row>
    <row r="10" spans="1:16" x14ac:dyDescent="0.3">
      <c r="A10" s="62">
        <f t="shared" ca="1" si="0"/>
        <v>45973</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45972</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45971</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45970</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45969</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45968</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45967</v>
      </c>
      <c r="B16" s="78" t="str" cm="1">
        <f t="array" aca="1" ref="B16" ca="1">IFERROR(_xlfn.TEXTJOIN(", ", TRUE, _xlfn._xlws.FILTER(MSG!C$5:C$98, MSG!B$5:B$98=A16)),"")</f>
        <v>Markov 47% to go Up: and it did it!</v>
      </c>
      <c r="D16" s="71"/>
      <c r="E16" s="78"/>
      <c r="G16" s="71"/>
      <c r="H16" s="78"/>
      <c r="J16" s="71"/>
      <c r="K16" s="78"/>
      <c r="M16" s="71"/>
      <c r="N16" s="78"/>
      <c r="P16" s="71"/>
    </row>
    <row r="17" spans="1:16" x14ac:dyDescent="0.3">
      <c r="A17" s="62">
        <f t="shared" ca="1" si="0"/>
        <v>45966</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45965</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45964</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45963</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45962</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45961</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45960</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45959</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45958</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45957</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45956</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45955</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45954</v>
      </c>
      <c r="B29" s="78" t="str" cm="1">
        <f t="array" aca="1" ref="B29" ca="1">IFERROR(_xlfn.TEXTJOIN(", ", TRUE, _xlfn._xlws.FILTER(MSG!C$5:C$98, MSG!B$5:B$98=A29)),"")</f>
        <v>4000(begin 250): HOLD; V^33%, Earning report 10/29, ^^=, Earning report 10/29, ^^^38%, Earning report 10/29, ^^^42%</v>
      </c>
      <c r="D29" s="71"/>
      <c r="E29" s="78"/>
      <c r="G29" s="71"/>
      <c r="H29" s="78"/>
      <c r="J29" s="71"/>
      <c r="K29" s="78"/>
      <c r="M29" s="71"/>
      <c r="N29" s="78"/>
      <c r="P29" s="71"/>
    </row>
    <row r="30" spans="1:16" x14ac:dyDescent="0.3">
      <c r="A30" s="62">
        <f t="shared" ca="1" si="0"/>
        <v>45953</v>
      </c>
      <c r="B30" s="78" t="str" cm="1">
        <f t="array" aca="1" ref="B30" ca="1">IFERROR(_xlfn.TEXTJOIN(", ", TRUE, _xlfn._xlws.FILTER(MSG!C$5:C$98, MSG!B$5:B$98=A30)),"")</f>
        <v>C^A^U33%?, SAFASML: Re-Purchase (888, going do</v>
      </c>
      <c r="D30" s="71"/>
      <c r="E30" s="78"/>
      <c r="G30" s="71"/>
      <c r="H30" s="78"/>
      <c r="J30" s="71"/>
      <c r="K30" s="78"/>
      <c r="M30" s="71"/>
      <c r="N30" s="78"/>
      <c r="P30" s="71"/>
    </row>
    <row r="31" spans="1:16" x14ac:dyDescent="0.3">
      <c r="A31" s="62">
        <f t="shared" ca="1" si="0"/>
        <v>45952</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45951</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45950</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45949</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45948</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45947</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45946</v>
      </c>
      <c r="B37" s="78" t="str" cm="1">
        <f t="array" aca="1" ref="B37" ca="1">IFERROR(_xlfn.TEXTJOIN(", ", TRUE, _xlfn._xlws.FILTER(MSG!C$5:C$98, MSG!B$5:B$98=A37)),"")</f>
        <v>FROM 61.30 to 60.60 to 60.10 VV</v>
      </c>
      <c r="D37" s="71"/>
      <c r="E37" s="78"/>
      <c r="G37" s="71"/>
      <c r="H37" s="78"/>
      <c r="J37" s="71"/>
      <c r="K37" s="78"/>
      <c r="M37" s="71"/>
      <c r="N37" s="78"/>
      <c r="P37" s="71"/>
    </row>
    <row r="38" spans="1:16" x14ac:dyDescent="0.3">
      <c r="A38" s="62">
        <f t="shared" ca="1" si="0"/>
        <v>45945</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45944</v>
      </c>
      <c r="B39" s="78" t="str" cm="1">
        <f t="array" aca="1" ref="B39" ca="1">IFERROR(_xlfn.TEXTJOIN(", ", TRUE, _xlfn._xlws.FILTER(MSG!C$5:C$98, MSG!B$5:B$98=A39)),"")</f>
        <v>(0.5%:78%)@257.75:(96=24,744@M: 257.745)&gt;UpMark 57%: CONTINUE V</v>
      </c>
      <c r="D39" s="71"/>
      <c r="E39" s="78"/>
      <c r="G39" s="71"/>
      <c r="H39" s="78"/>
      <c r="J39" s="71"/>
      <c r="K39" s="78"/>
      <c r="M39" s="71"/>
      <c r="N39" s="78"/>
      <c r="P39" s="71"/>
    </row>
    <row r="40" spans="1:16" x14ac:dyDescent="0.3">
      <c r="A40" s="62">
        <f t="shared" ca="1" si="0"/>
        <v>45943</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45942</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45941</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45940</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45939</v>
      </c>
      <c r="B44" s="78" t="str" cm="1">
        <f t="array" aca="1" ref="B44" ca="1">IFERROR(_xlfn.TEXTJOIN(", ", TRUE, _xlfn._xlws.FILTER(MSG!C$5:C$98, MSG!B$5:B$98=A44)),"")</f>
        <v>C^A^, C^A^(C^A^)2-Oct-25, GL+;C^A^^;58%M^, Completed BuyBack program, ^V;, M&gt;A;53%M^, ^^43%</v>
      </c>
      <c r="D44" s="71"/>
      <c r="E44" s="78"/>
      <c r="G44" s="71"/>
      <c r="H44" s="78"/>
      <c r="J44" s="71"/>
      <c r="K44" s="78"/>
      <c r="M44" s="71"/>
      <c r="N44" s="78"/>
      <c r="P44" s="71"/>
    </row>
    <row r="45" spans="1:16" x14ac:dyDescent="0.3">
      <c r="A45" s="62">
        <f t="shared" ca="1" si="0"/>
        <v>45938</v>
      </c>
      <c r="B45" s="78" t="str" cm="1">
        <f t="array" aca="1" ref="B45" ca="1">IFERROR(_xlfn.TEXTJOIN(", ", TRUE, _xlfn._xlws.FILTER(MSG!C$5:C$98, MSG!B$5:B$98=A45)),"")</f>
        <v>46, C=(23% -2.3%, 1.1%) A=1,400%=&gt;158%, C^A^, 10KX397 (L=405, -391), 62%M^, %M^, Report Nov-6, uptrend               , Low A, H M^, Up37%: wait further fall to buy (530x112.98 bought), C^A^; HOLD, A=2.28; 57%M^, 52High, At loss; buymore at low price (A=24.54), Very high Entry 290 (GL -167K$)</v>
      </c>
      <c r="D45" s="71"/>
      <c r="E45" s="78"/>
      <c r="G45" s="71"/>
      <c r="H45" s="78"/>
      <c r="J45" s="71"/>
      <c r="K45" s="78"/>
      <c r="M45" s="71"/>
      <c r="N45" s="78"/>
      <c r="P45" s="71"/>
    </row>
    <row r="46" spans="1:16" x14ac:dyDescent="0.3">
      <c r="A46" s="62">
        <f t="shared" ca="1" si="0"/>
        <v>45937</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45936</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45935</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45934</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45933</v>
      </c>
      <c r="B50" s="78" t="str" cm="1">
        <f t="array" aca="1" ref="B50" ca="1">IFERROR(_xlfn.TEXTJOIN(", ", TRUE, _xlfn._xlws.FILTER(MSG!C$5:C$98, MSG!B$5:B$98=A50)),"")</f>
        <v>See 1YT, High 1YT, Keep climbing, To climb because of the new product, high volatility, keeps 3/10</v>
      </c>
      <c r="D50" s="71"/>
      <c r="E50" s="78"/>
      <c r="G50" s="71"/>
      <c r="H50" s="78"/>
      <c r="J50" s="71"/>
      <c r="K50" s="78"/>
      <c r="M50" s="71"/>
      <c r="N50" s="78"/>
      <c r="P50" s="71"/>
    </row>
    <row r="51" spans="1:16" x14ac:dyDescent="0.3">
      <c r="A51" s="62">
        <f t="shared" ca="1" si="0"/>
        <v>45932</v>
      </c>
      <c r="B51" s="78" t="str" cm="1">
        <f t="array" aca="1" ref="B51" ca="1">IFERROR(_xlfn.TEXTJOIN(", ", TRUE, _xlfn._xlws.FILTER(MSG!C$5:C$98, MSG!B$5:B$98=A51)),"")</f>
        <v xml:space="preserve">To climb because of the new product, high volatility, keeps 3/10, RWE: Wait re-purchase for gain GT  , ENI: Sell 2,000 from .002,wait 15.2, GS: 0                              , JBEOAN: 0                          </v>
      </c>
      <c r="D51" s="71"/>
      <c r="E51" s="78"/>
      <c r="G51" s="71"/>
      <c r="H51" s="78"/>
      <c r="J51" s="71"/>
      <c r="K51" s="78"/>
      <c r="M51" s="71"/>
      <c r="N51" s="78"/>
      <c r="P51" s="71"/>
    </row>
    <row r="52" spans="1:16" x14ac:dyDescent="0.3">
      <c r="A52" s="62">
        <f t="shared" ca="1" si="0"/>
        <v>45931</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45930</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45929</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45928</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45927</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45926</v>
      </c>
      <c r="B57" s="78" t="str" cm="1">
        <f t="array" aca="1" ref="B57" ca="1">IFERROR(_xlfn.TEXTJOIN(", ", TRUE, _xlfn._xlws.FILTER(MSG!C$5:C$98, MSG!B$5:B$98=A57)),"")</f>
        <v>Low Agio: trend down?, -1%/65%@28.49:(508=14472); RSI shows inflexion point +2k bought, Stable Climbing, very low Agio, LAZR: 0                            , RRC: Wait further fall ti buy back/</v>
      </c>
      <c r="D57" s="71"/>
      <c r="E57" s="78"/>
      <c r="G57" s="71"/>
      <c r="H57" s="78"/>
      <c r="J57" s="71"/>
      <c r="K57" s="78"/>
      <c r="M57" s="71"/>
      <c r="N57" s="78"/>
      <c r="P57" s="71"/>
    </row>
    <row r="58" spans="1:16" x14ac:dyDescent="0.3">
      <c r="A58" s="62">
        <f t="shared" ca="1" si="0"/>
        <v>45925</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45924</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45923</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45922</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92">
        <v>0</v>
      </c>
      <c r="F3" s="3"/>
    </row>
    <row r="4" spans="1:8" ht="23" thickBot="1" x14ac:dyDescent="0.35">
      <c r="A4" t="s">
        <v>92</v>
      </c>
      <c r="B4" s="4">
        <f ca="1">NOW()</f>
        <v>45980.99091724537</v>
      </c>
      <c r="D4" s="5"/>
      <c r="F4" s="3"/>
    </row>
    <row r="5" spans="1:8" x14ac:dyDescent="0.3">
      <c r="A5" t="s">
        <v>93</v>
      </c>
      <c r="B5" s="6">
        <f ca="1">TODAY()</f>
        <v>45980</v>
      </c>
      <c r="F5" s="7" t="s">
        <v>94</v>
      </c>
      <c r="G5" s="7" t="str">
        <f ca="1">IF((NOW()-TODAY()-TIME(9,0,0))-ACETZoneShift&lt;0,"Yesterday",NOW()-TODAY()-TIME(9,0,0)-ACETZoneShift)&amp;" CET"</f>
        <v>0.574250578703262 CET</v>
      </c>
    </row>
    <row r="6" spans="1:8" ht="23" thickBot="1" x14ac:dyDescent="0.35">
      <c r="A6" t="s">
        <v>652</v>
      </c>
      <c r="B6" s="8">
        <f ca="1">NOW()-TODAY()</f>
        <v>0.99091724536992842</v>
      </c>
      <c r="C6" t="s">
        <v>95</v>
      </c>
      <c r="E6" t="s">
        <v>96</v>
      </c>
      <c r="F6" s="9">
        <f ca="1">NOW()</f>
        <v>45980.99091724537</v>
      </c>
      <c r="G6" s="9">
        <f ca="1">NOW()-TODAY()-ACETZoneShift+1</f>
        <v>1.9492505787032619</v>
      </c>
    </row>
    <row r="7" spans="1:8" x14ac:dyDescent="0.3">
      <c r="A7" t="s">
        <v>97</v>
      </c>
      <c r="B7" s="8">
        <f ca="1">IF(NOW()-TODAY()-ACETZoneShift&lt;0,NOW()-TODAY()-ACETZoneShift+1,NOW()-TODAY()-ACETZoneShift)</f>
        <v>0.94925057870326179</v>
      </c>
      <c r="C7" t="s">
        <v>98</v>
      </c>
      <c r="D7" s="10">
        <f ca="1">_xlfn.XLOOKUP("EOAN",[1]!RTData[Ticker_Symbol],[1]!RTData[Last trade time])</f>
        <v>45980.71597222222</v>
      </c>
      <c r="E7"/>
      <c r="F7" s="3"/>
    </row>
    <row r="8" spans="1:8" x14ac:dyDescent="0.3">
      <c r="A8" t="s">
        <v>99</v>
      </c>
      <c r="B8" s="8">
        <f ca="1">IF(ACET-TIME(1,0,0)&lt;0,ACET-TIME(1,0,0)+TIME(23,0,0),ACET-TIME(1,0,0))</f>
        <v>0.90758391203659516</v>
      </c>
      <c r="C8" t="s">
        <v>100</v>
      </c>
      <c r="D8" s="10">
        <f ca="1">NOW()-ALastTimeEoan-ACETZoneShift</f>
        <v>0.23327847222147588</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45980.375</v>
      </c>
      <c r="E11" s="15"/>
      <c r="F11" s="7"/>
      <c r="G11" s="15"/>
      <c r="H11" s="13"/>
    </row>
    <row r="12" spans="1:8" x14ac:dyDescent="0.3">
      <c r="A12" s="16" t="s">
        <v>104</v>
      </c>
      <c r="B12" s="8"/>
      <c r="C12" t="s">
        <v>105</v>
      </c>
      <c r="D12" s="17">
        <f ca="1">B4-D11</f>
        <v>0.61591724536992842</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0.94925057870326179</v>
      </c>
    </row>
    <row r="17" spans="1:8" x14ac:dyDescent="0.3">
      <c r="A17" s="12" t="s">
        <v>107</v>
      </c>
      <c r="B17" s="13"/>
      <c r="C17" s="13" t="s">
        <v>108</v>
      </c>
      <c r="D17" s="14">
        <f ca="1">TODAY()+TIME(9,0,0)</f>
        <v>45980.375</v>
      </c>
      <c r="E17" s="15"/>
      <c r="F17" s="7"/>
      <c r="G17" s="15"/>
      <c r="H17" s="13"/>
    </row>
    <row r="18" spans="1:8" x14ac:dyDescent="0.3">
      <c r="A18" s="16" t="s">
        <v>109</v>
      </c>
      <c r="C18" t="s">
        <v>105</v>
      </c>
      <c r="D18" s="17">
        <f ca="1">D12</f>
        <v>0.61591724536992842</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7.4250578705687076E-2</v>
      </c>
      <c r="F20" s="7" t="s">
        <v>111</v>
      </c>
      <c r="H20" s="26">
        <f ca="1">ABS(NOW()-F22)</f>
        <v>45980.345083912034</v>
      </c>
    </row>
    <row r="21" spans="1:8" ht="23" thickBot="1" x14ac:dyDescent="0.35">
      <c r="C21" s="27" t="s">
        <v>112</v>
      </c>
      <c r="D21" s="28" t="str">
        <f ca="1">TEXT(D20,"HH:MM")</f>
        <v>01:46</v>
      </c>
      <c r="E21" s="29" t="s">
        <v>113</v>
      </c>
      <c r="F21" s="30">
        <f ca="1">IF(ActTime-CETZoneShift&lt;0,ActTime-TIME(6,0,0)-CETZoneShift+1,ActTime-TIME(6,0,0)-CETZoneShift)</f>
        <v>0.69925057870326179</v>
      </c>
      <c r="G21" s="29" t="s">
        <v>114</v>
      </c>
      <c r="H21" s="23" t="str">
        <f ca="1">TEXT(H20,"HH:MM")</f>
        <v>08:16</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45980.916666666664</v>
      </c>
      <c r="H22" s="13"/>
    </row>
    <row r="23" spans="1:8" x14ac:dyDescent="0.3">
      <c r="A23" s="16" t="s">
        <v>117</v>
      </c>
      <c r="C23" s="130" t="s">
        <v>118</v>
      </c>
      <c r="D23" t="s">
        <v>655</v>
      </c>
      <c r="E23" s="32">
        <f ca="1">ActTime</f>
        <v>0.99091724536992842</v>
      </c>
      <c r="F23" s="32">
        <f ca="1">ActTime</f>
        <v>0.99091724536992842</v>
      </c>
      <c r="G23" s="32">
        <f ca="1">ActTime</f>
        <v>0.99091724536992842</v>
      </c>
    </row>
    <row r="24" spans="1:8" ht="23" thickBot="1" x14ac:dyDescent="0.35">
      <c r="A24" s="16"/>
      <c r="B24" s="11" t="s">
        <v>119</v>
      </c>
      <c r="C24" s="131" t="s">
        <v>120</v>
      </c>
      <c r="D24" t="s">
        <v>656</v>
      </c>
      <c r="E24" s="17">
        <f>TIME(15,30,0)</f>
        <v>0.64583333333333337</v>
      </c>
      <c r="F24" s="17">
        <f>TIME(22,0,0)</f>
        <v>0.91666666666666663</v>
      </c>
      <c r="G24" s="17">
        <f ca="1">TODAY()+1+AOpenPost+TIME(4,0,0)</f>
        <v>91962.083333333328</v>
      </c>
    </row>
    <row r="25" spans="1:8" ht="23" thickBot="1" x14ac:dyDescent="0.35">
      <c r="A25" s="19" t="s">
        <v>121</v>
      </c>
      <c r="B25" s="20"/>
      <c r="C25" s="20"/>
      <c r="D25" s="20" t="s">
        <v>657</v>
      </c>
      <c r="E25" s="128">
        <f>E24-AOpenPre</f>
        <v>0.22916666666666669</v>
      </c>
      <c r="F25" s="128">
        <f>F24-AOpenTrade</f>
        <v>0.27083333333333337</v>
      </c>
      <c r="G25" s="128">
        <f ca="1">G24-AOpenPost</f>
        <v>45981.166666666664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155</vt:i4>
      </vt:variant>
    </vt:vector>
  </HeadingPairs>
  <TitlesOfParts>
    <vt:vector size="178"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2025-11-19T22:47:56Z</dcterms:modified>
  <cp:category/>
</cp:coreProperties>
</file>